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8.xml" ContentType="application/vnd.openxmlformats-officedocument.spreadsheetml.comments+xml"/>
  <Override PartName="/xl/metadata" ContentType="application/binary"/>
  <Override PartName="/xl/commentsmeta2" ContentType="application/binary"/>
  <Override PartName="/xl/commentsmeta3" ContentType="application/binary"/>
  <Override PartName="/xl/commentsmeta0" ContentType="application/binary"/>
  <Override PartName="/xl/commentsmeta4" ContentType="application/binary"/>
  <Override PartName="/xl/commentsmeta1"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uisfernando\Dropbox\2_WORK\MOMF\ECU_NDC_models\setup_phase_2\AgrUTCUTS\A1_Outputs\reference_works\"/>
    </mc:Choice>
  </mc:AlternateContent>
  <xr:revisionPtr revIDLastSave="0" documentId="13_ncr:1_{5E716AC1-558C-4E51-BDF2-A2E074E4D01A}" xr6:coauthVersionLast="47" xr6:coauthVersionMax="47" xr10:uidLastSave="{00000000-0000-0000-0000-000000000000}"/>
  <bookViews>
    <workbookView xWindow="-38520" yWindow="-120" windowWidth="38640" windowHeight="21120" firstSheet="7" activeTab="8" xr2:uid="{00000000-000D-0000-FFFF-FFFF00000000}"/>
  </bookViews>
  <sheets>
    <sheet name="Calibración-UTCUTS_Osemosys" sheetId="1" state="hidden" r:id="rId1"/>
    <sheet name="Calibración-UTCUTS2" sheetId="11" state="hidden" r:id="rId2"/>
    <sheet name="Drivers_macroeconómicos_USCUSS" sheetId="16" state="hidden" r:id="rId3"/>
    <sheet name="Calibración_BAU_USCUSS" sheetId="15" state="hidden" r:id="rId4"/>
    <sheet name="Emisiones_USCUSS" sheetId="12" state="hidden" r:id="rId5"/>
    <sheet name="Costos_USCUSS" sheetId="18" state="hidden" r:id="rId6"/>
    <sheet name="Beneficios_USCUSS" sheetId="19" state="hidden" r:id="rId7"/>
    <sheet name="Driver_macroeconómicos_Agricult" sheetId="22" r:id="rId8"/>
    <sheet name="Calibración-BAU_Agricultura " sheetId="2" r:id="rId9"/>
    <sheet name="Emisiones_Agricultura" sheetId="3" r:id="rId10"/>
    <sheet name="Proyecciones BAU - Agricultura" sheetId="4" state="hidden" r:id="rId11"/>
    <sheet name="Emisiones UTCUTS-OseMOSYS" sheetId="5" state="hidden" r:id="rId12"/>
    <sheet name="Costos_Agricultura" sheetId="17" r:id="rId13"/>
    <sheet name="Gráficos Agricultura-OseMOSYS" sheetId="6" state="hidden" r:id="rId14"/>
    <sheet name="Gráficos UTCUTS-OseMOSYS" sheetId="7" state="hidden" r:id="rId15"/>
    <sheet name="Drivers Económicos" sheetId="10" state="hidden"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5" roundtripDataSignature="AMtx7mhcAc0gcRHRH/Lm+hmjnYn8kgnVbA=="/>
    </ext>
  </extLst>
</workbook>
</file>

<file path=xl/calcChain.xml><?xml version="1.0" encoding="utf-8"?>
<calcChain xmlns="http://schemas.openxmlformats.org/spreadsheetml/2006/main">
  <c r="C364" i="2" l="1"/>
  <c r="C301" i="2" l="1"/>
  <c r="S299" i="2"/>
  <c r="S301" i="2" s="1"/>
  <c r="J97" i="2"/>
  <c r="J207" i="2" s="1"/>
  <c r="K97" i="2"/>
  <c r="K207" i="2" s="1"/>
  <c r="L97" i="2"/>
  <c r="M97" i="2"/>
  <c r="N97" i="2"/>
  <c r="O97" i="2"/>
  <c r="P97" i="2"/>
  <c r="R97" i="2"/>
  <c r="S97" i="2"/>
  <c r="J98" i="2"/>
  <c r="K98" i="2"/>
  <c r="L98" i="2"/>
  <c r="L208" i="2" s="1"/>
  <c r="M98" i="2"/>
  <c r="N98" i="2"/>
  <c r="O98" i="2"/>
  <c r="P98" i="2"/>
  <c r="Q98" i="2"/>
  <c r="R98" i="2"/>
  <c r="S98" i="2"/>
  <c r="J99" i="2"/>
  <c r="K99" i="2"/>
  <c r="L99" i="2"/>
  <c r="L209" i="2" s="1"/>
  <c r="M99" i="2"/>
  <c r="N99" i="2"/>
  <c r="O99" i="2"/>
  <c r="P99" i="2"/>
  <c r="Q99" i="2"/>
  <c r="R99" i="2"/>
  <c r="S99" i="2"/>
  <c r="J100" i="2"/>
  <c r="J210" i="2" s="1"/>
  <c r="K100" i="2"/>
  <c r="K210" i="2" s="1"/>
  <c r="L100" i="2"/>
  <c r="L210" i="2" s="1"/>
  <c r="M100" i="2"/>
  <c r="N100" i="2"/>
  <c r="O100" i="2"/>
  <c r="P100" i="2"/>
  <c r="Q100" i="2"/>
  <c r="R100" i="2"/>
  <c r="S100" i="2"/>
  <c r="J101" i="2"/>
  <c r="J211" i="2" s="1"/>
  <c r="K101" i="2"/>
  <c r="L101" i="2"/>
  <c r="L211" i="2" s="1"/>
  <c r="M101" i="2"/>
  <c r="N101" i="2"/>
  <c r="O101" i="2"/>
  <c r="P101" i="2"/>
  <c r="Q101" i="2"/>
  <c r="R101" i="2"/>
  <c r="S101" i="2"/>
  <c r="J102" i="2"/>
  <c r="J212" i="2" s="1"/>
  <c r="K102" i="2"/>
  <c r="L102" i="2"/>
  <c r="M102" i="2"/>
  <c r="N102" i="2"/>
  <c r="O102" i="2"/>
  <c r="P102" i="2"/>
  <c r="Q102" i="2"/>
  <c r="R102" i="2"/>
  <c r="S102" i="2"/>
  <c r="J103" i="2"/>
  <c r="K103" i="2"/>
  <c r="K213" i="2" s="1"/>
  <c r="L103" i="2"/>
  <c r="L213" i="2" s="1"/>
  <c r="M103" i="2"/>
  <c r="N103" i="2"/>
  <c r="O103" i="2"/>
  <c r="P103" i="2"/>
  <c r="Q103" i="2"/>
  <c r="R103" i="2"/>
  <c r="S103" i="2"/>
  <c r="J104" i="2"/>
  <c r="J213" i="2" s="1"/>
  <c r="K104" i="2"/>
  <c r="L104" i="2"/>
  <c r="L214" i="2" s="1"/>
  <c r="M104" i="2"/>
  <c r="N104" i="2"/>
  <c r="O104" i="2"/>
  <c r="P104" i="2"/>
  <c r="Q104" i="2"/>
  <c r="R104" i="2"/>
  <c r="S104" i="2"/>
  <c r="J105" i="2"/>
  <c r="K105" i="2"/>
  <c r="L105" i="2"/>
  <c r="L215" i="2" s="1"/>
  <c r="M105" i="2"/>
  <c r="N105" i="2"/>
  <c r="O105" i="2"/>
  <c r="P105" i="2"/>
  <c r="Q105" i="2"/>
  <c r="R105" i="2"/>
  <c r="S105" i="2"/>
  <c r="J106" i="2"/>
  <c r="J216" i="2" s="1"/>
  <c r="K106" i="2"/>
  <c r="L106" i="2"/>
  <c r="L216" i="2" s="1"/>
  <c r="M106" i="2"/>
  <c r="N106" i="2"/>
  <c r="O106" i="2"/>
  <c r="P106" i="2"/>
  <c r="Q106" i="2"/>
  <c r="R106" i="2"/>
  <c r="S106" i="2"/>
  <c r="J107" i="2"/>
  <c r="J217" i="2" s="1"/>
  <c r="K107" i="2"/>
  <c r="K217" i="2" s="1"/>
  <c r="L107" i="2"/>
  <c r="L217" i="2" s="1"/>
  <c r="M107" i="2"/>
  <c r="N107" i="2"/>
  <c r="O107" i="2"/>
  <c r="P107" i="2"/>
  <c r="Q107" i="2"/>
  <c r="R107" i="2"/>
  <c r="S107" i="2"/>
  <c r="J108" i="2"/>
  <c r="K108" i="2"/>
  <c r="L108" i="2"/>
  <c r="L218" i="2" s="1"/>
  <c r="M108" i="2"/>
  <c r="N108" i="2"/>
  <c r="O108" i="2"/>
  <c r="P108" i="2"/>
  <c r="Q108" i="2"/>
  <c r="R108" i="2"/>
  <c r="S108" i="2"/>
  <c r="J109" i="2"/>
  <c r="K109" i="2"/>
  <c r="L109" i="2"/>
  <c r="L219" i="2" s="1"/>
  <c r="M109" i="2"/>
  <c r="N109" i="2"/>
  <c r="O109" i="2"/>
  <c r="P109" i="2"/>
  <c r="Q109" i="2"/>
  <c r="R109" i="2"/>
  <c r="S109" i="2"/>
  <c r="J110" i="2"/>
  <c r="K110" i="2"/>
  <c r="L110" i="2"/>
  <c r="M110" i="2"/>
  <c r="N110" i="2"/>
  <c r="O110" i="2"/>
  <c r="P110" i="2"/>
  <c r="Q110" i="2"/>
  <c r="R110" i="2"/>
  <c r="S110" i="2"/>
  <c r="I98" i="2"/>
  <c r="I99" i="2"/>
  <c r="I100" i="2"/>
  <c r="I210" i="2" s="1"/>
  <c r="I101" i="2"/>
  <c r="I211" i="2" s="1"/>
  <c r="I102" i="2"/>
  <c r="I212" i="2" s="1"/>
  <c r="I103" i="2"/>
  <c r="I104" i="2"/>
  <c r="I213" i="2" s="1"/>
  <c r="I105" i="2"/>
  <c r="I106" i="2"/>
  <c r="I216" i="2" s="1"/>
  <c r="I107" i="2"/>
  <c r="I217" i="2" s="1"/>
  <c r="I108" i="2"/>
  <c r="I109" i="2"/>
  <c r="I110" i="2"/>
  <c r="I97" i="2"/>
  <c r="K216" i="2"/>
  <c r="K220" i="2"/>
  <c r="I215" i="2"/>
  <c r="L212" i="2"/>
  <c r="K211" i="2"/>
  <c r="K212" i="2"/>
  <c r="J215" i="2"/>
  <c r="K215" i="2"/>
  <c r="S168" i="2"/>
  <c r="S155" i="2"/>
  <c r="C128" i="2"/>
  <c r="C127" i="2"/>
  <c r="C126" i="2"/>
  <c r="C125" i="2"/>
  <c r="U125" i="2" s="1"/>
  <c r="V125" i="2" s="1"/>
  <c r="W125" i="2" s="1"/>
  <c r="X125" i="2" s="1"/>
  <c r="Y125" i="2" s="1"/>
  <c r="Z125" i="2" s="1"/>
  <c r="AA125" i="2" s="1"/>
  <c r="AB125" i="2" s="1"/>
  <c r="AC125" i="2" s="1"/>
  <c r="AD125" i="2" s="1"/>
  <c r="AE125" i="2" s="1"/>
  <c r="AF125" i="2" s="1"/>
  <c r="AG125" i="2" s="1"/>
  <c r="AH125" i="2" s="1"/>
  <c r="AI125" i="2" s="1"/>
  <c r="AJ125" i="2" s="1"/>
  <c r="AK125" i="2" s="1"/>
  <c r="AL125" i="2" s="1"/>
  <c r="AM125" i="2" s="1"/>
  <c r="AN125" i="2" s="1"/>
  <c r="AO125" i="2" s="1"/>
  <c r="AP125" i="2" s="1"/>
  <c r="AQ125" i="2" s="1"/>
  <c r="AR125" i="2" s="1"/>
  <c r="AS125" i="2" s="1"/>
  <c r="AT125" i="2" s="1"/>
  <c r="AU125" i="2" s="1"/>
  <c r="AV125" i="2" s="1"/>
  <c r="AW125" i="2" s="1"/>
  <c r="AX125" i="2" s="1"/>
  <c r="AY125" i="2" s="1"/>
  <c r="AZ125" i="2" s="1"/>
  <c r="BA125" i="2" s="1"/>
  <c r="BB125" i="2" s="1"/>
  <c r="BC125" i="2" s="1"/>
  <c r="BD125" i="2" s="1"/>
  <c r="BE125" i="2" s="1"/>
  <c r="BF125" i="2" s="1"/>
  <c r="BG125" i="2" s="1"/>
  <c r="BH125" i="2" s="1"/>
  <c r="BI125" i="2" s="1"/>
  <c r="BJ125" i="2" s="1"/>
  <c r="BK125" i="2" s="1"/>
  <c r="BL125" i="2" s="1"/>
  <c r="BM125" i="2" s="1"/>
  <c r="BN125" i="2" s="1"/>
  <c r="BO125" i="2" s="1"/>
  <c r="C124" i="2"/>
  <c r="U124" i="2" s="1"/>
  <c r="V124" i="2" s="1"/>
  <c r="W124" i="2" s="1"/>
  <c r="X124" i="2" s="1"/>
  <c r="Y124" i="2" s="1"/>
  <c r="Z124" i="2" s="1"/>
  <c r="AA124" i="2" s="1"/>
  <c r="AB124" i="2" s="1"/>
  <c r="AC124" i="2" s="1"/>
  <c r="AD124" i="2" s="1"/>
  <c r="AE124" i="2" s="1"/>
  <c r="AF124" i="2" s="1"/>
  <c r="AG124" i="2" s="1"/>
  <c r="AH124" i="2" s="1"/>
  <c r="AI124" i="2" s="1"/>
  <c r="AJ124" i="2" s="1"/>
  <c r="AK124" i="2" s="1"/>
  <c r="AL124" i="2" s="1"/>
  <c r="AM124" i="2" s="1"/>
  <c r="AN124" i="2" s="1"/>
  <c r="AO124" i="2" s="1"/>
  <c r="AP124" i="2" s="1"/>
  <c r="AQ124" i="2" s="1"/>
  <c r="AR124" i="2" s="1"/>
  <c r="AS124" i="2" s="1"/>
  <c r="AT124" i="2" s="1"/>
  <c r="AU124" i="2" s="1"/>
  <c r="AV124" i="2" s="1"/>
  <c r="AW124" i="2" s="1"/>
  <c r="AX124" i="2" s="1"/>
  <c r="AY124" i="2" s="1"/>
  <c r="AZ124" i="2" s="1"/>
  <c r="BA124" i="2" s="1"/>
  <c r="BB124" i="2" s="1"/>
  <c r="BC124" i="2" s="1"/>
  <c r="BD124" i="2" s="1"/>
  <c r="BE124" i="2" s="1"/>
  <c r="BF124" i="2" s="1"/>
  <c r="BG124" i="2" s="1"/>
  <c r="BH124" i="2" s="1"/>
  <c r="BI124" i="2" s="1"/>
  <c r="BJ124" i="2" s="1"/>
  <c r="BK124" i="2" s="1"/>
  <c r="BL124" i="2" s="1"/>
  <c r="BM124" i="2" s="1"/>
  <c r="BN124" i="2" s="1"/>
  <c r="BO124" i="2" s="1"/>
  <c r="C123" i="2"/>
  <c r="C122" i="2"/>
  <c r="U122" i="2" s="1"/>
  <c r="V122" i="2" s="1"/>
  <c r="W122" i="2" s="1"/>
  <c r="X122" i="2" s="1"/>
  <c r="Y122" i="2" s="1"/>
  <c r="Z122" i="2" s="1"/>
  <c r="AA122" i="2" s="1"/>
  <c r="AB122" i="2" s="1"/>
  <c r="AC122" i="2" s="1"/>
  <c r="AD122" i="2" s="1"/>
  <c r="AE122" i="2" s="1"/>
  <c r="AF122" i="2" s="1"/>
  <c r="AG122" i="2" s="1"/>
  <c r="AH122" i="2" s="1"/>
  <c r="AI122" i="2" s="1"/>
  <c r="AJ122" i="2" s="1"/>
  <c r="AK122" i="2" s="1"/>
  <c r="AL122" i="2" s="1"/>
  <c r="AM122" i="2" s="1"/>
  <c r="AN122" i="2" s="1"/>
  <c r="AO122" i="2" s="1"/>
  <c r="AP122" i="2" s="1"/>
  <c r="AQ122" i="2" s="1"/>
  <c r="AR122" i="2" s="1"/>
  <c r="AS122" i="2" s="1"/>
  <c r="AT122" i="2" s="1"/>
  <c r="AU122" i="2" s="1"/>
  <c r="AV122" i="2" s="1"/>
  <c r="AW122" i="2" s="1"/>
  <c r="AX122" i="2" s="1"/>
  <c r="AY122" i="2" s="1"/>
  <c r="AZ122" i="2" s="1"/>
  <c r="BA122" i="2" s="1"/>
  <c r="BB122" i="2" s="1"/>
  <c r="BC122" i="2" s="1"/>
  <c r="BD122" i="2" s="1"/>
  <c r="BE122" i="2" s="1"/>
  <c r="BF122" i="2" s="1"/>
  <c r="BG122" i="2" s="1"/>
  <c r="BH122" i="2" s="1"/>
  <c r="BI122" i="2" s="1"/>
  <c r="BJ122" i="2" s="1"/>
  <c r="BK122" i="2" s="1"/>
  <c r="BL122" i="2" s="1"/>
  <c r="BM122" i="2" s="1"/>
  <c r="BN122" i="2" s="1"/>
  <c r="BO122" i="2" s="1"/>
  <c r="C121" i="2"/>
  <c r="C120" i="2"/>
  <c r="C119" i="2"/>
  <c r="C118" i="2"/>
  <c r="C117" i="2"/>
  <c r="C116" i="2"/>
  <c r="U116" i="2" s="1"/>
  <c r="V116" i="2" s="1"/>
  <c r="W116" i="2" s="1"/>
  <c r="X116" i="2" s="1"/>
  <c r="Y116" i="2" s="1"/>
  <c r="Z116" i="2" s="1"/>
  <c r="AA116" i="2" s="1"/>
  <c r="AB116" i="2" s="1"/>
  <c r="AC116" i="2" s="1"/>
  <c r="AD116" i="2" s="1"/>
  <c r="AE116" i="2" s="1"/>
  <c r="AF116" i="2" s="1"/>
  <c r="AG116" i="2" s="1"/>
  <c r="AH116" i="2" s="1"/>
  <c r="AI116" i="2" s="1"/>
  <c r="AJ116" i="2" s="1"/>
  <c r="AK116" i="2" s="1"/>
  <c r="AL116" i="2" s="1"/>
  <c r="AM116" i="2" s="1"/>
  <c r="AN116" i="2" s="1"/>
  <c r="AO116" i="2" s="1"/>
  <c r="AP116" i="2" s="1"/>
  <c r="AQ116" i="2" s="1"/>
  <c r="AR116" i="2" s="1"/>
  <c r="AS116" i="2" s="1"/>
  <c r="AT116" i="2" s="1"/>
  <c r="AU116" i="2" s="1"/>
  <c r="AV116" i="2" s="1"/>
  <c r="AW116" i="2" s="1"/>
  <c r="AX116" i="2" s="1"/>
  <c r="AY116" i="2" s="1"/>
  <c r="AZ116" i="2" s="1"/>
  <c r="BA116" i="2" s="1"/>
  <c r="BB116" i="2" s="1"/>
  <c r="BC116" i="2" s="1"/>
  <c r="BD116" i="2" s="1"/>
  <c r="BE116" i="2" s="1"/>
  <c r="BF116" i="2" s="1"/>
  <c r="BG116" i="2" s="1"/>
  <c r="BH116" i="2" s="1"/>
  <c r="BI116" i="2" s="1"/>
  <c r="BJ116" i="2" s="1"/>
  <c r="BK116" i="2" s="1"/>
  <c r="BL116" i="2" s="1"/>
  <c r="BM116" i="2" s="1"/>
  <c r="BN116" i="2" s="1"/>
  <c r="BO116" i="2" s="1"/>
  <c r="C115" i="2"/>
  <c r="U128" i="2"/>
  <c r="V128" i="2" s="1"/>
  <c r="W128" i="2" s="1"/>
  <c r="X128" i="2" s="1"/>
  <c r="Y128" i="2" s="1"/>
  <c r="Z128" i="2" s="1"/>
  <c r="AA128" i="2" s="1"/>
  <c r="AB128" i="2" s="1"/>
  <c r="AC128" i="2" s="1"/>
  <c r="AD128" i="2" s="1"/>
  <c r="AE128" i="2" s="1"/>
  <c r="AF128" i="2" s="1"/>
  <c r="AG128" i="2" s="1"/>
  <c r="AH128" i="2" s="1"/>
  <c r="AI128" i="2" s="1"/>
  <c r="AJ128" i="2" s="1"/>
  <c r="AK128" i="2" s="1"/>
  <c r="AL128" i="2" s="1"/>
  <c r="AM128" i="2" s="1"/>
  <c r="AN128" i="2" s="1"/>
  <c r="AO128" i="2" s="1"/>
  <c r="AP128" i="2" s="1"/>
  <c r="AQ128" i="2" s="1"/>
  <c r="AR128" i="2" s="1"/>
  <c r="AS128" i="2" s="1"/>
  <c r="AT128" i="2" s="1"/>
  <c r="AU128" i="2" s="1"/>
  <c r="AV128" i="2" s="1"/>
  <c r="AW128" i="2" s="1"/>
  <c r="AX128" i="2" s="1"/>
  <c r="AY128" i="2" s="1"/>
  <c r="AZ128" i="2" s="1"/>
  <c r="BA128" i="2" s="1"/>
  <c r="BB128" i="2" s="1"/>
  <c r="BC128" i="2" s="1"/>
  <c r="BD128" i="2" s="1"/>
  <c r="BE128" i="2" s="1"/>
  <c r="BF128" i="2" s="1"/>
  <c r="BG128" i="2" s="1"/>
  <c r="BH128" i="2" s="1"/>
  <c r="BI128" i="2" s="1"/>
  <c r="BJ128" i="2" s="1"/>
  <c r="BK128" i="2" s="1"/>
  <c r="BL128" i="2" s="1"/>
  <c r="BM128" i="2" s="1"/>
  <c r="BN128" i="2" s="1"/>
  <c r="BO128" i="2" s="1"/>
  <c r="U118" i="2"/>
  <c r="V118" i="2" s="1"/>
  <c r="W118" i="2" s="1"/>
  <c r="X118" i="2" s="1"/>
  <c r="Y118" i="2" s="1"/>
  <c r="Z118" i="2" s="1"/>
  <c r="AA118" i="2" s="1"/>
  <c r="AB118" i="2" s="1"/>
  <c r="AC118" i="2" s="1"/>
  <c r="AD118" i="2" s="1"/>
  <c r="AE118" i="2" s="1"/>
  <c r="AF118" i="2" s="1"/>
  <c r="AG118" i="2" s="1"/>
  <c r="AH118" i="2" s="1"/>
  <c r="AI118" i="2" s="1"/>
  <c r="AJ118" i="2" s="1"/>
  <c r="AK118" i="2" s="1"/>
  <c r="AL118" i="2" s="1"/>
  <c r="AM118" i="2" s="1"/>
  <c r="AN118" i="2" s="1"/>
  <c r="AO118" i="2" s="1"/>
  <c r="AP118" i="2" s="1"/>
  <c r="AQ118" i="2" s="1"/>
  <c r="AR118" i="2" s="1"/>
  <c r="AS118" i="2" s="1"/>
  <c r="AT118" i="2" s="1"/>
  <c r="AU118" i="2" s="1"/>
  <c r="AV118" i="2" s="1"/>
  <c r="AW118" i="2" s="1"/>
  <c r="AX118" i="2" s="1"/>
  <c r="AY118" i="2" s="1"/>
  <c r="AZ118" i="2" s="1"/>
  <c r="BA118" i="2" s="1"/>
  <c r="BB118" i="2" s="1"/>
  <c r="BC118" i="2" s="1"/>
  <c r="BD118" i="2" s="1"/>
  <c r="BE118" i="2" s="1"/>
  <c r="BF118" i="2" s="1"/>
  <c r="BG118" i="2" s="1"/>
  <c r="BH118" i="2" s="1"/>
  <c r="BI118" i="2" s="1"/>
  <c r="BJ118" i="2" s="1"/>
  <c r="BK118" i="2" s="1"/>
  <c r="BL118" i="2" s="1"/>
  <c r="BM118" i="2" s="1"/>
  <c r="BN118" i="2" s="1"/>
  <c r="BO118" i="2" s="1"/>
  <c r="U115" i="2"/>
  <c r="V115" i="2" s="1"/>
  <c r="W115" i="2" s="1"/>
  <c r="X115" i="2" s="1"/>
  <c r="Y115" i="2" s="1"/>
  <c r="Z115" i="2" s="1"/>
  <c r="AA115" i="2" s="1"/>
  <c r="AB115" i="2" s="1"/>
  <c r="AC115" i="2" s="1"/>
  <c r="AD115" i="2" s="1"/>
  <c r="AE115" i="2" s="1"/>
  <c r="AF115" i="2" s="1"/>
  <c r="AG115" i="2" s="1"/>
  <c r="AH115" i="2" s="1"/>
  <c r="AI115" i="2" s="1"/>
  <c r="AJ115" i="2" s="1"/>
  <c r="AK115" i="2" s="1"/>
  <c r="AL115" i="2" s="1"/>
  <c r="AM115" i="2" s="1"/>
  <c r="AN115" i="2" s="1"/>
  <c r="AO115" i="2" s="1"/>
  <c r="AP115" i="2" s="1"/>
  <c r="AQ115" i="2" s="1"/>
  <c r="AR115" i="2" s="1"/>
  <c r="AS115" i="2" s="1"/>
  <c r="AT115" i="2" s="1"/>
  <c r="AU115" i="2" s="1"/>
  <c r="AV115" i="2" s="1"/>
  <c r="AW115" i="2" s="1"/>
  <c r="AX115" i="2" s="1"/>
  <c r="AY115" i="2" s="1"/>
  <c r="AZ115" i="2" s="1"/>
  <c r="BA115" i="2" s="1"/>
  <c r="BB115" i="2" s="1"/>
  <c r="BC115" i="2" s="1"/>
  <c r="BD115" i="2" s="1"/>
  <c r="BE115" i="2" s="1"/>
  <c r="BF115" i="2" s="1"/>
  <c r="BG115" i="2" s="1"/>
  <c r="BH115" i="2" s="1"/>
  <c r="BI115" i="2" s="1"/>
  <c r="BJ115" i="2" s="1"/>
  <c r="BK115" i="2" s="1"/>
  <c r="BL115" i="2" s="1"/>
  <c r="BM115" i="2" s="1"/>
  <c r="BN115" i="2" s="1"/>
  <c r="BO115" i="2" s="1"/>
  <c r="P58" i="2"/>
  <c r="Q58" i="2"/>
  <c r="R58" i="2"/>
  <c r="S58" i="2"/>
  <c r="S115" i="2" s="1"/>
  <c r="P59" i="2"/>
  <c r="Q59" i="2"/>
  <c r="R59" i="2"/>
  <c r="S59" i="2"/>
  <c r="S116" i="2" s="1"/>
  <c r="P60" i="2"/>
  <c r="Q60" i="2"/>
  <c r="R60" i="2"/>
  <c r="S60" i="2"/>
  <c r="P61" i="2"/>
  <c r="Q61" i="2"/>
  <c r="R61" i="2"/>
  <c r="S61" i="2"/>
  <c r="P62" i="2"/>
  <c r="Q62" i="2"/>
  <c r="R62" i="2"/>
  <c r="S62" i="2"/>
  <c r="P63" i="2"/>
  <c r="Q63" i="2"/>
  <c r="R63" i="2"/>
  <c r="S63" i="2"/>
  <c r="S120" i="2" s="1"/>
  <c r="P64" i="2"/>
  <c r="Q64" i="2"/>
  <c r="R64" i="2"/>
  <c r="S64" i="2"/>
  <c r="P65" i="2"/>
  <c r="Q65" i="2"/>
  <c r="R65" i="2"/>
  <c r="S65" i="2"/>
  <c r="P66" i="2"/>
  <c r="Q66" i="2"/>
  <c r="R66" i="2"/>
  <c r="S66" i="2"/>
  <c r="P67" i="2"/>
  <c r="Q67" i="2"/>
  <c r="R67" i="2"/>
  <c r="S67" i="2"/>
  <c r="P68" i="2"/>
  <c r="Q68" i="2"/>
  <c r="R68" i="2"/>
  <c r="S68" i="2"/>
  <c r="P69" i="2"/>
  <c r="Q69" i="2"/>
  <c r="R69" i="2"/>
  <c r="S69" i="2"/>
  <c r="P70" i="2"/>
  <c r="Q70" i="2"/>
  <c r="R70" i="2"/>
  <c r="S70" i="2"/>
  <c r="P71" i="2"/>
  <c r="Q71" i="2"/>
  <c r="R71" i="2"/>
  <c r="S71" i="2"/>
  <c r="S128" i="2" s="1"/>
  <c r="H58" i="2"/>
  <c r="I58" i="2"/>
  <c r="J58" i="2"/>
  <c r="K58" i="2"/>
  <c r="L58" i="2"/>
  <c r="M58" i="2"/>
  <c r="N58" i="2"/>
  <c r="O58" i="2"/>
  <c r="H59" i="2"/>
  <c r="I59" i="2"/>
  <c r="J59" i="2"/>
  <c r="K59" i="2"/>
  <c r="L59" i="2"/>
  <c r="M59" i="2"/>
  <c r="N59" i="2"/>
  <c r="O59" i="2"/>
  <c r="H60" i="2"/>
  <c r="I60" i="2"/>
  <c r="J60" i="2"/>
  <c r="K60" i="2"/>
  <c r="L60" i="2"/>
  <c r="M60" i="2"/>
  <c r="N60" i="2"/>
  <c r="O60" i="2"/>
  <c r="H61" i="2"/>
  <c r="I61" i="2"/>
  <c r="J61" i="2"/>
  <c r="K61" i="2"/>
  <c r="L61" i="2"/>
  <c r="M61" i="2"/>
  <c r="N61" i="2"/>
  <c r="O61" i="2"/>
  <c r="H62" i="2"/>
  <c r="I62" i="2"/>
  <c r="J62" i="2"/>
  <c r="K62" i="2"/>
  <c r="L62" i="2"/>
  <c r="M62" i="2"/>
  <c r="N62" i="2"/>
  <c r="O62" i="2"/>
  <c r="H63" i="2"/>
  <c r="I63" i="2"/>
  <c r="J63" i="2"/>
  <c r="K63" i="2"/>
  <c r="L63" i="2"/>
  <c r="M63" i="2"/>
  <c r="N63" i="2"/>
  <c r="O63" i="2"/>
  <c r="H64" i="2"/>
  <c r="I64" i="2"/>
  <c r="J64" i="2"/>
  <c r="K64" i="2"/>
  <c r="L64" i="2"/>
  <c r="M64" i="2"/>
  <c r="N64" i="2"/>
  <c r="O64" i="2"/>
  <c r="H65" i="2"/>
  <c r="I65" i="2"/>
  <c r="J65" i="2"/>
  <c r="K65" i="2"/>
  <c r="L65" i="2"/>
  <c r="M65" i="2"/>
  <c r="N65" i="2"/>
  <c r="O65" i="2"/>
  <c r="H66" i="2"/>
  <c r="I66" i="2"/>
  <c r="J66" i="2"/>
  <c r="K66" i="2"/>
  <c r="L66" i="2"/>
  <c r="M66" i="2"/>
  <c r="N66" i="2"/>
  <c r="O66" i="2"/>
  <c r="H67" i="2"/>
  <c r="I67" i="2"/>
  <c r="J67" i="2"/>
  <c r="K67" i="2"/>
  <c r="L67" i="2"/>
  <c r="M67" i="2"/>
  <c r="N67" i="2"/>
  <c r="O67" i="2"/>
  <c r="H68" i="2"/>
  <c r="I68" i="2"/>
  <c r="J68" i="2"/>
  <c r="K68" i="2"/>
  <c r="L68" i="2"/>
  <c r="M68" i="2"/>
  <c r="N68" i="2"/>
  <c r="O68" i="2"/>
  <c r="H69" i="2"/>
  <c r="I69" i="2"/>
  <c r="J69" i="2"/>
  <c r="K69" i="2"/>
  <c r="L69" i="2"/>
  <c r="M69" i="2"/>
  <c r="N69" i="2"/>
  <c r="O69" i="2"/>
  <c r="H70" i="2"/>
  <c r="I70" i="2"/>
  <c r="J70" i="2"/>
  <c r="K70" i="2"/>
  <c r="L70" i="2"/>
  <c r="M70" i="2"/>
  <c r="N70" i="2"/>
  <c r="O70" i="2"/>
  <c r="H71" i="2"/>
  <c r="I71" i="2"/>
  <c r="J71" i="2"/>
  <c r="K71" i="2"/>
  <c r="L71" i="2"/>
  <c r="M71" i="2"/>
  <c r="N71" i="2"/>
  <c r="O71" i="2"/>
  <c r="G71" i="2"/>
  <c r="G59" i="2"/>
  <c r="G60" i="2"/>
  <c r="G61" i="2"/>
  <c r="G62" i="2"/>
  <c r="G63" i="2"/>
  <c r="G64" i="2"/>
  <c r="G65" i="2"/>
  <c r="G66" i="2"/>
  <c r="G67" i="2"/>
  <c r="G68" i="2"/>
  <c r="G69" i="2"/>
  <c r="G70" i="2"/>
  <c r="S24" i="2"/>
  <c r="S25" i="2"/>
  <c r="S26" i="2"/>
  <c r="S27" i="2"/>
  <c r="S28" i="2"/>
  <c r="S29" i="2"/>
  <c r="S30" i="2"/>
  <c r="S31" i="2"/>
  <c r="S32" i="2"/>
  <c r="S33" i="2"/>
  <c r="S34" i="2"/>
  <c r="S35" i="2"/>
  <c r="S36" i="2"/>
  <c r="S37" i="2"/>
  <c r="H362" i="2"/>
  <c r="I362" i="2"/>
  <c r="J362" i="2"/>
  <c r="K362" i="2"/>
  <c r="L362" i="2"/>
  <c r="M362" i="2"/>
  <c r="N362" i="2"/>
  <c r="O362" i="2"/>
  <c r="P362" i="2"/>
  <c r="Q362" i="2"/>
  <c r="G362" i="2"/>
  <c r="R357" i="2"/>
  <c r="S122" i="2" l="1"/>
  <c r="Q97" i="2"/>
  <c r="Q207" i="2" s="1"/>
  <c r="S124" i="2"/>
  <c r="U127" i="2"/>
  <c r="V127" i="2" s="1"/>
  <c r="W127" i="2" s="1"/>
  <c r="X127" i="2" s="1"/>
  <c r="Y127" i="2" s="1"/>
  <c r="Z127" i="2" s="1"/>
  <c r="AA127" i="2" s="1"/>
  <c r="AB127" i="2" s="1"/>
  <c r="AC127" i="2" s="1"/>
  <c r="AD127" i="2" s="1"/>
  <c r="AE127" i="2" s="1"/>
  <c r="AF127" i="2" s="1"/>
  <c r="AG127" i="2" s="1"/>
  <c r="AH127" i="2" s="1"/>
  <c r="AI127" i="2" s="1"/>
  <c r="AJ127" i="2" s="1"/>
  <c r="AK127" i="2" s="1"/>
  <c r="AL127" i="2" s="1"/>
  <c r="AM127" i="2" s="1"/>
  <c r="AN127" i="2" s="1"/>
  <c r="AO127" i="2" s="1"/>
  <c r="AP127" i="2" s="1"/>
  <c r="AQ127" i="2" s="1"/>
  <c r="AR127" i="2" s="1"/>
  <c r="AS127" i="2" s="1"/>
  <c r="AT127" i="2" s="1"/>
  <c r="AU127" i="2" s="1"/>
  <c r="AV127" i="2" s="1"/>
  <c r="AW127" i="2" s="1"/>
  <c r="AX127" i="2" s="1"/>
  <c r="AY127" i="2" s="1"/>
  <c r="AZ127" i="2" s="1"/>
  <c r="BA127" i="2" s="1"/>
  <c r="BB127" i="2" s="1"/>
  <c r="BC127" i="2" s="1"/>
  <c r="BD127" i="2" s="1"/>
  <c r="BE127" i="2" s="1"/>
  <c r="BF127" i="2" s="1"/>
  <c r="BG127" i="2" s="1"/>
  <c r="BH127" i="2" s="1"/>
  <c r="BI127" i="2" s="1"/>
  <c r="BJ127" i="2" s="1"/>
  <c r="BK127" i="2" s="1"/>
  <c r="BL127" i="2" s="1"/>
  <c r="BM127" i="2" s="1"/>
  <c r="BN127" i="2" s="1"/>
  <c r="BO127" i="2" s="1"/>
  <c r="U117" i="2"/>
  <c r="V117" i="2" s="1"/>
  <c r="W117" i="2" s="1"/>
  <c r="X117" i="2" s="1"/>
  <c r="Y117" i="2" s="1"/>
  <c r="Z117" i="2" s="1"/>
  <c r="AA117" i="2" s="1"/>
  <c r="AB117" i="2" s="1"/>
  <c r="AC117" i="2" s="1"/>
  <c r="AD117" i="2" s="1"/>
  <c r="AE117" i="2" s="1"/>
  <c r="AF117" i="2" s="1"/>
  <c r="AG117" i="2" s="1"/>
  <c r="AH117" i="2" s="1"/>
  <c r="AI117" i="2" s="1"/>
  <c r="AJ117" i="2" s="1"/>
  <c r="AK117" i="2" s="1"/>
  <c r="AL117" i="2" s="1"/>
  <c r="AM117" i="2" s="1"/>
  <c r="AN117" i="2" s="1"/>
  <c r="AO117" i="2" s="1"/>
  <c r="AP117" i="2" s="1"/>
  <c r="AQ117" i="2" s="1"/>
  <c r="AR117" i="2" s="1"/>
  <c r="AS117" i="2" s="1"/>
  <c r="AT117" i="2" s="1"/>
  <c r="AU117" i="2" s="1"/>
  <c r="AV117" i="2" s="1"/>
  <c r="AW117" i="2" s="1"/>
  <c r="AX117" i="2" s="1"/>
  <c r="AY117" i="2" s="1"/>
  <c r="AZ117" i="2" s="1"/>
  <c r="BA117" i="2" s="1"/>
  <c r="BB117" i="2" s="1"/>
  <c r="BC117" i="2" s="1"/>
  <c r="BD117" i="2" s="1"/>
  <c r="BE117" i="2" s="1"/>
  <c r="BF117" i="2" s="1"/>
  <c r="BG117" i="2" s="1"/>
  <c r="BH117" i="2" s="1"/>
  <c r="BI117" i="2" s="1"/>
  <c r="BJ117" i="2" s="1"/>
  <c r="BK117" i="2" s="1"/>
  <c r="BL117" i="2" s="1"/>
  <c r="BM117" i="2" s="1"/>
  <c r="BN117" i="2" s="1"/>
  <c r="BO117" i="2" s="1"/>
  <c r="U126" i="2"/>
  <c r="V126" i="2" s="1"/>
  <c r="W126" i="2" s="1"/>
  <c r="X126" i="2" s="1"/>
  <c r="Y126" i="2" s="1"/>
  <c r="Z126" i="2" s="1"/>
  <c r="AA126" i="2" s="1"/>
  <c r="AB126" i="2" s="1"/>
  <c r="AC126" i="2" s="1"/>
  <c r="AD126" i="2" s="1"/>
  <c r="AE126" i="2" s="1"/>
  <c r="AF126" i="2" s="1"/>
  <c r="AG126" i="2" s="1"/>
  <c r="AH126" i="2" s="1"/>
  <c r="AI126" i="2" s="1"/>
  <c r="AJ126" i="2" s="1"/>
  <c r="AK126" i="2" s="1"/>
  <c r="AL126" i="2" s="1"/>
  <c r="AM126" i="2" s="1"/>
  <c r="AN126" i="2" s="1"/>
  <c r="AO126" i="2" s="1"/>
  <c r="AP126" i="2" s="1"/>
  <c r="AQ126" i="2" s="1"/>
  <c r="AR126" i="2" s="1"/>
  <c r="AS126" i="2" s="1"/>
  <c r="AT126" i="2" s="1"/>
  <c r="AU126" i="2" s="1"/>
  <c r="AV126" i="2" s="1"/>
  <c r="AW126" i="2" s="1"/>
  <c r="AX126" i="2" s="1"/>
  <c r="AY126" i="2" s="1"/>
  <c r="AZ126" i="2" s="1"/>
  <c r="BA126" i="2" s="1"/>
  <c r="BB126" i="2" s="1"/>
  <c r="BC126" i="2" s="1"/>
  <c r="BD126" i="2" s="1"/>
  <c r="BE126" i="2" s="1"/>
  <c r="BF126" i="2" s="1"/>
  <c r="BG126" i="2" s="1"/>
  <c r="BH126" i="2" s="1"/>
  <c r="BI126" i="2" s="1"/>
  <c r="BJ126" i="2" s="1"/>
  <c r="BK126" i="2" s="1"/>
  <c r="BL126" i="2" s="1"/>
  <c r="BM126" i="2" s="1"/>
  <c r="BN126" i="2" s="1"/>
  <c r="BO126" i="2" s="1"/>
  <c r="U120" i="2"/>
  <c r="V120" i="2" s="1"/>
  <c r="W120" i="2" s="1"/>
  <c r="X120" i="2" s="1"/>
  <c r="Y120" i="2" s="1"/>
  <c r="Z120" i="2" s="1"/>
  <c r="AA120" i="2" s="1"/>
  <c r="AB120" i="2" s="1"/>
  <c r="AC120" i="2" s="1"/>
  <c r="AD120" i="2" s="1"/>
  <c r="AE120" i="2" s="1"/>
  <c r="AF120" i="2" s="1"/>
  <c r="AG120" i="2" s="1"/>
  <c r="AH120" i="2" s="1"/>
  <c r="AI120" i="2" s="1"/>
  <c r="AJ120" i="2" s="1"/>
  <c r="AK120" i="2" s="1"/>
  <c r="AL120" i="2" s="1"/>
  <c r="AM120" i="2" s="1"/>
  <c r="AN120" i="2" s="1"/>
  <c r="AO120" i="2" s="1"/>
  <c r="AP120" i="2" s="1"/>
  <c r="AQ120" i="2" s="1"/>
  <c r="AR120" i="2" s="1"/>
  <c r="AS120" i="2" s="1"/>
  <c r="AT120" i="2" s="1"/>
  <c r="AU120" i="2" s="1"/>
  <c r="AV120" i="2" s="1"/>
  <c r="AW120" i="2" s="1"/>
  <c r="AX120" i="2" s="1"/>
  <c r="AY120" i="2" s="1"/>
  <c r="AZ120" i="2" s="1"/>
  <c r="BA120" i="2" s="1"/>
  <c r="BB120" i="2" s="1"/>
  <c r="BC120" i="2" s="1"/>
  <c r="BD120" i="2" s="1"/>
  <c r="BE120" i="2" s="1"/>
  <c r="BF120" i="2" s="1"/>
  <c r="BG120" i="2" s="1"/>
  <c r="BH120" i="2" s="1"/>
  <c r="BI120" i="2" s="1"/>
  <c r="BJ120" i="2" s="1"/>
  <c r="BK120" i="2" s="1"/>
  <c r="BL120" i="2" s="1"/>
  <c r="BM120" i="2" s="1"/>
  <c r="BN120" i="2" s="1"/>
  <c r="BO120" i="2" s="1"/>
  <c r="S126" i="2"/>
  <c r="S118" i="2"/>
  <c r="U123" i="2"/>
  <c r="V123" i="2" s="1"/>
  <c r="W123" i="2" s="1"/>
  <c r="X123" i="2" s="1"/>
  <c r="Y123" i="2" s="1"/>
  <c r="Z123" i="2" s="1"/>
  <c r="AA123" i="2" s="1"/>
  <c r="AB123" i="2" s="1"/>
  <c r="AC123" i="2" s="1"/>
  <c r="AD123" i="2" s="1"/>
  <c r="AE123" i="2" s="1"/>
  <c r="AF123" i="2" s="1"/>
  <c r="AG123" i="2" s="1"/>
  <c r="AH123" i="2" s="1"/>
  <c r="AI123" i="2" s="1"/>
  <c r="AJ123" i="2" s="1"/>
  <c r="AK123" i="2" s="1"/>
  <c r="AL123" i="2" s="1"/>
  <c r="AM123" i="2" s="1"/>
  <c r="AN123" i="2" s="1"/>
  <c r="AO123" i="2" s="1"/>
  <c r="AP123" i="2" s="1"/>
  <c r="AQ123" i="2" s="1"/>
  <c r="AR123" i="2" s="1"/>
  <c r="AS123" i="2" s="1"/>
  <c r="AT123" i="2" s="1"/>
  <c r="AU123" i="2" s="1"/>
  <c r="AV123" i="2" s="1"/>
  <c r="AW123" i="2" s="1"/>
  <c r="AX123" i="2" s="1"/>
  <c r="AY123" i="2" s="1"/>
  <c r="AZ123" i="2" s="1"/>
  <c r="BA123" i="2" s="1"/>
  <c r="BB123" i="2" s="1"/>
  <c r="BC123" i="2" s="1"/>
  <c r="BD123" i="2" s="1"/>
  <c r="BE123" i="2" s="1"/>
  <c r="BF123" i="2" s="1"/>
  <c r="BG123" i="2" s="1"/>
  <c r="BH123" i="2" s="1"/>
  <c r="BI123" i="2" s="1"/>
  <c r="BJ123" i="2" s="1"/>
  <c r="BK123" i="2" s="1"/>
  <c r="BL123" i="2" s="1"/>
  <c r="BM123" i="2" s="1"/>
  <c r="BN123" i="2" s="1"/>
  <c r="BO123" i="2" s="1"/>
  <c r="S123" i="2"/>
  <c r="S121" i="2"/>
  <c r="U119" i="2"/>
  <c r="V119" i="2" s="1"/>
  <c r="W119" i="2" s="1"/>
  <c r="X119" i="2" s="1"/>
  <c r="Y119" i="2" s="1"/>
  <c r="Z119" i="2" s="1"/>
  <c r="AA119" i="2" s="1"/>
  <c r="AB119" i="2" s="1"/>
  <c r="AC119" i="2" s="1"/>
  <c r="AD119" i="2" s="1"/>
  <c r="AE119" i="2" s="1"/>
  <c r="AF119" i="2" s="1"/>
  <c r="AG119" i="2" s="1"/>
  <c r="AH119" i="2" s="1"/>
  <c r="AI119" i="2" s="1"/>
  <c r="AJ119" i="2" s="1"/>
  <c r="AK119" i="2" s="1"/>
  <c r="AL119" i="2" s="1"/>
  <c r="AM119" i="2" s="1"/>
  <c r="AN119" i="2" s="1"/>
  <c r="AO119" i="2" s="1"/>
  <c r="AP119" i="2" s="1"/>
  <c r="AQ119" i="2" s="1"/>
  <c r="AR119" i="2" s="1"/>
  <c r="AS119" i="2" s="1"/>
  <c r="AT119" i="2" s="1"/>
  <c r="AU119" i="2" s="1"/>
  <c r="AV119" i="2" s="1"/>
  <c r="AW119" i="2" s="1"/>
  <c r="AX119" i="2" s="1"/>
  <c r="AY119" i="2" s="1"/>
  <c r="AZ119" i="2" s="1"/>
  <c r="BA119" i="2" s="1"/>
  <c r="BB119" i="2" s="1"/>
  <c r="BC119" i="2" s="1"/>
  <c r="BD119" i="2" s="1"/>
  <c r="BE119" i="2" s="1"/>
  <c r="BF119" i="2" s="1"/>
  <c r="BG119" i="2" s="1"/>
  <c r="BH119" i="2" s="1"/>
  <c r="BI119" i="2" s="1"/>
  <c r="BJ119" i="2" s="1"/>
  <c r="BK119" i="2" s="1"/>
  <c r="BL119" i="2" s="1"/>
  <c r="BM119" i="2" s="1"/>
  <c r="BN119" i="2" s="1"/>
  <c r="BO119" i="2" s="1"/>
  <c r="U121" i="2"/>
  <c r="V121" i="2" s="1"/>
  <c r="W121" i="2" s="1"/>
  <c r="X121" i="2" s="1"/>
  <c r="Y121" i="2" s="1"/>
  <c r="Z121" i="2" s="1"/>
  <c r="AA121" i="2" s="1"/>
  <c r="AB121" i="2" s="1"/>
  <c r="AC121" i="2" s="1"/>
  <c r="AD121" i="2" s="1"/>
  <c r="AE121" i="2" s="1"/>
  <c r="AF121" i="2" s="1"/>
  <c r="AG121" i="2" s="1"/>
  <c r="AH121" i="2" s="1"/>
  <c r="AI121" i="2" s="1"/>
  <c r="AJ121" i="2" s="1"/>
  <c r="AK121" i="2" s="1"/>
  <c r="AL121" i="2" s="1"/>
  <c r="AM121" i="2" s="1"/>
  <c r="AN121" i="2" s="1"/>
  <c r="AO121" i="2" s="1"/>
  <c r="AP121" i="2" s="1"/>
  <c r="AQ121" i="2" s="1"/>
  <c r="AR121" i="2" s="1"/>
  <c r="AS121" i="2" s="1"/>
  <c r="AT121" i="2" s="1"/>
  <c r="AU121" i="2" s="1"/>
  <c r="AV121" i="2" s="1"/>
  <c r="AW121" i="2" s="1"/>
  <c r="AX121" i="2" s="1"/>
  <c r="AY121" i="2" s="1"/>
  <c r="AZ121" i="2" s="1"/>
  <c r="BA121" i="2" s="1"/>
  <c r="BB121" i="2" s="1"/>
  <c r="BC121" i="2" s="1"/>
  <c r="BD121" i="2" s="1"/>
  <c r="BE121" i="2" s="1"/>
  <c r="BF121" i="2" s="1"/>
  <c r="BG121" i="2" s="1"/>
  <c r="BH121" i="2" s="1"/>
  <c r="BI121" i="2" s="1"/>
  <c r="BJ121" i="2" s="1"/>
  <c r="BK121" i="2" s="1"/>
  <c r="BL121" i="2" s="1"/>
  <c r="BM121" i="2" s="1"/>
  <c r="BN121" i="2" s="1"/>
  <c r="BO121" i="2" s="1"/>
  <c r="S127" i="2"/>
  <c r="S119" i="2"/>
  <c r="S125" i="2"/>
  <c r="S117" i="2"/>
  <c r="H321" i="2"/>
  <c r="I321" i="2"/>
  <c r="J321" i="2"/>
  <c r="K321" i="2"/>
  <c r="L321" i="2"/>
  <c r="M321" i="2"/>
  <c r="N321" i="2"/>
  <c r="O321" i="2"/>
  <c r="P321" i="2"/>
  <c r="Q321" i="2"/>
  <c r="R321" i="2"/>
  <c r="G321" i="2"/>
  <c r="T365" i="2"/>
  <c r="U365" i="2" s="1"/>
  <c r="V365" i="2" s="1"/>
  <c r="W365" i="2" s="1"/>
  <c r="X365" i="2" s="1"/>
  <c r="Y365" i="2" s="1"/>
  <c r="Z365" i="2" s="1"/>
  <c r="AA365" i="2" s="1"/>
  <c r="AB365" i="2" s="1"/>
  <c r="AC365" i="2" s="1"/>
  <c r="AD365" i="2" s="1"/>
  <c r="AE365" i="2" s="1"/>
  <c r="AF365" i="2" s="1"/>
  <c r="AG365" i="2" s="1"/>
  <c r="AH365" i="2" s="1"/>
  <c r="AI365" i="2" s="1"/>
  <c r="AJ365" i="2" s="1"/>
  <c r="AK365" i="2" s="1"/>
  <c r="AL365" i="2" s="1"/>
  <c r="AM365" i="2" s="1"/>
  <c r="AN365" i="2" s="1"/>
  <c r="AO365" i="2" s="1"/>
  <c r="AP365" i="2" s="1"/>
  <c r="AQ365" i="2" s="1"/>
  <c r="AR365" i="2" s="1"/>
  <c r="AS365" i="2" s="1"/>
  <c r="AT365" i="2" s="1"/>
  <c r="AU365" i="2" s="1"/>
  <c r="AV365" i="2" s="1"/>
  <c r="AW365" i="2" s="1"/>
  <c r="AX365" i="2" s="1"/>
  <c r="AY365" i="2" s="1"/>
  <c r="AZ365" i="2" s="1"/>
  <c r="BA365" i="2" s="1"/>
  <c r="BB365" i="2" s="1"/>
  <c r="BC365" i="2" s="1"/>
  <c r="BD365" i="2" s="1"/>
  <c r="BE365" i="2" s="1"/>
  <c r="BF365" i="2" s="1"/>
  <c r="BG365" i="2" s="1"/>
  <c r="BH365" i="2" s="1"/>
  <c r="BI365" i="2" s="1"/>
  <c r="BJ365" i="2" s="1"/>
  <c r="BK365" i="2" s="1"/>
  <c r="BL365" i="2" s="1"/>
  <c r="BM365" i="2" s="1"/>
  <c r="BN365" i="2" s="1"/>
  <c r="BO365" i="2" s="1"/>
  <c r="R358" i="2" l="1"/>
  <c r="R362" i="2" s="1"/>
  <c r="T364" i="2" l="1"/>
  <c r="U364" i="2" l="1"/>
  <c r="V364" i="2" l="1"/>
  <c r="W364" i="2" l="1"/>
  <c r="I205" i="3"/>
  <c r="I213" i="3" s="1"/>
  <c r="J205" i="3"/>
  <c r="J213" i="3" s="1"/>
  <c r="K205" i="3"/>
  <c r="K213" i="3" s="1"/>
  <c r="L205" i="3"/>
  <c r="L213" i="3" s="1"/>
  <c r="M205" i="3"/>
  <c r="M213" i="3" s="1"/>
  <c r="N205" i="3"/>
  <c r="N213" i="3" s="1"/>
  <c r="O205" i="3"/>
  <c r="O213" i="3" s="1"/>
  <c r="P205" i="3"/>
  <c r="P213" i="3" s="1"/>
  <c r="H205" i="3"/>
  <c r="H213" i="3" s="1"/>
  <c r="G205" i="3"/>
  <c r="G213" i="3" s="1"/>
  <c r="F205" i="3"/>
  <c r="F213" i="3" s="1"/>
  <c r="E205" i="3"/>
  <c r="E213" i="3" s="1"/>
  <c r="G185" i="3"/>
  <c r="G193" i="3" s="1"/>
  <c r="H185" i="3"/>
  <c r="H193" i="3" s="1"/>
  <c r="I185" i="3"/>
  <c r="I193" i="3" s="1"/>
  <c r="J185" i="3"/>
  <c r="J193" i="3" s="1"/>
  <c r="K185" i="3"/>
  <c r="K193" i="3" s="1"/>
  <c r="L185" i="3"/>
  <c r="L193" i="3" s="1"/>
  <c r="M185" i="3"/>
  <c r="M193" i="3" s="1"/>
  <c r="N185" i="3"/>
  <c r="N193" i="3" s="1"/>
  <c r="O185" i="3"/>
  <c r="O193" i="3" s="1"/>
  <c r="P185" i="3"/>
  <c r="P193" i="3" s="1"/>
  <c r="F185" i="3"/>
  <c r="F193" i="3" s="1"/>
  <c r="E185" i="3"/>
  <c r="E193" i="3" s="1"/>
  <c r="X364" i="2" l="1"/>
  <c r="E77" i="18"/>
  <c r="AZ76" i="18"/>
  <c r="F71" i="18"/>
  <c r="S80" i="16" a="1"/>
  <c r="S80" i="16" s="1"/>
  <c r="R72" i="15"/>
  <c r="S72" i="15" s="1"/>
  <c r="Q64" i="15"/>
  <c r="Q124" i="15"/>
  <c r="M112" i="12"/>
  <c r="R81" i="15"/>
  <c r="S81" i="15" s="1"/>
  <c r="F76" i="18"/>
  <c r="G76" i="18"/>
  <c r="G77" i="18" s="1"/>
  <c r="H76" i="18"/>
  <c r="I76" i="18"/>
  <c r="J76" i="18"/>
  <c r="K76" i="18"/>
  <c r="L76" i="18"/>
  <c r="M76" i="18"/>
  <c r="N76" i="18"/>
  <c r="O76" i="18"/>
  <c r="P76" i="18"/>
  <c r="P77" i="18" s="1"/>
  <c r="Q76" i="18"/>
  <c r="R76" i="18"/>
  <c r="S76" i="18"/>
  <c r="T76" i="18"/>
  <c r="U76" i="18"/>
  <c r="V76" i="18"/>
  <c r="W76" i="18"/>
  <c r="X76" i="18"/>
  <c r="Y76" i="18"/>
  <c r="Z76" i="18"/>
  <c r="AA76" i="18"/>
  <c r="AB76" i="18"/>
  <c r="AC76" i="18"/>
  <c r="AD76" i="18"/>
  <c r="AE76" i="18"/>
  <c r="AF76" i="18"/>
  <c r="AG76" i="18"/>
  <c r="AH76" i="18"/>
  <c r="AI76" i="18"/>
  <c r="AJ76" i="18"/>
  <c r="AK76" i="18"/>
  <c r="AL76" i="18"/>
  <c r="AM76" i="18"/>
  <c r="AN76" i="18"/>
  <c r="AO76" i="18"/>
  <c r="AP76" i="18"/>
  <c r="AQ76" i="18"/>
  <c r="AR76" i="18"/>
  <c r="AS76" i="18"/>
  <c r="AT76" i="18"/>
  <c r="AU76" i="18"/>
  <c r="AV76" i="18"/>
  <c r="AW76" i="18"/>
  <c r="AX76" i="18"/>
  <c r="AY76"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AF71" i="18"/>
  <c r="T101" i="15"/>
  <c r="U101" i="15" s="1"/>
  <c r="V101" i="15" s="1"/>
  <c r="W101" i="15" s="1"/>
  <c r="X101" i="15" s="1"/>
  <c r="Y101" i="15" s="1"/>
  <c r="Z101" i="15" s="1"/>
  <c r="AA101" i="15" s="1"/>
  <c r="AB101" i="15" s="1"/>
  <c r="AC101" i="15" s="1"/>
  <c r="AD101" i="15" s="1"/>
  <c r="AE101" i="15" s="1"/>
  <c r="AF101" i="15" s="1"/>
  <c r="AG101" i="15" s="1"/>
  <c r="AH101" i="15" s="1"/>
  <c r="AI101" i="15" s="1"/>
  <c r="AJ101" i="15" s="1"/>
  <c r="AK101" i="15" s="1"/>
  <c r="AL101" i="15" s="1"/>
  <c r="AM101" i="15" s="1"/>
  <c r="AN101" i="15" s="1"/>
  <c r="AO101" i="15" s="1"/>
  <c r="AP101" i="15" s="1"/>
  <c r="AQ101" i="15" s="1"/>
  <c r="AR101" i="15" s="1"/>
  <c r="AS101" i="15" s="1"/>
  <c r="AT101" i="15" s="1"/>
  <c r="AU101" i="15" s="1"/>
  <c r="AV101" i="15" s="1"/>
  <c r="AW101" i="15" s="1"/>
  <c r="U17" i="15"/>
  <c r="Q99" i="3"/>
  <c r="R99" i="3" s="1"/>
  <c r="S99" i="3" s="1"/>
  <c r="T99" i="3" s="1"/>
  <c r="U99" i="3" s="1"/>
  <c r="V99" i="3" s="1"/>
  <c r="W99" i="3" s="1"/>
  <c r="X99" i="3" s="1"/>
  <c r="Y99" i="3" s="1"/>
  <c r="Z99" i="3" s="1"/>
  <c r="AA99" i="3" s="1"/>
  <c r="AB99" i="3" s="1"/>
  <c r="AC99" i="3" s="1"/>
  <c r="AD99" i="3" s="1"/>
  <c r="AE99" i="3" s="1"/>
  <c r="AF99" i="3" s="1"/>
  <c r="AG99" i="3" s="1"/>
  <c r="AH99" i="3" s="1"/>
  <c r="AI99" i="3" s="1"/>
  <c r="AJ99" i="3" s="1"/>
  <c r="AK99" i="3" s="1"/>
  <c r="AL99" i="3" s="1"/>
  <c r="AM99" i="3" s="1"/>
  <c r="AN99" i="3" s="1"/>
  <c r="AO99" i="3" s="1"/>
  <c r="AP99" i="3" s="1"/>
  <c r="AQ99" i="3" s="1"/>
  <c r="AR99" i="3" s="1"/>
  <c r="AS99" i="3" s="1"/>
  <c r="AT99" i="3" s="1"/>
  <c r="AU99" i="3" s="1"/>
  <c r="AV99" i="3" s="1"/>
  <c r="AW99" i="3" s="1"/>
  <c r="AX99" i="3" s="1"/>
  <c r="AY99" i="3" s="1"/>
  <c r="AZ99" i="3" s="1"/>
  <c r="BA99" i="3" s="1"/>
  <c r="BB99" i="3" s="1"/>
  <c r="BC99" i="3" s="1"/>
  <c r="BD99" i="3" s="1"/>
  <c r="BE99" i="3" s="1"/>
  <c r="BF99" i="3" s="1"/>
  <c r="BG99" i="3" s="1"/>
  <c r="BH99" i="3" s="1"/>
  <c r="BI99" i="3" s="1"/>
  <c r="BJ99" i="3" s="1"/>
  <c r="BK99" i="3" s="1"/>
  <c r="BL99" i="3" s="1"/>
  <c r="BM99" i="3" s="1"/>
  <c r="Q100" i="3"/>
  <c r="R100" i="3" s="1"/>
  <c r="S100" i="3" s="1"/>
  <c r="T100" i="3" s="1"/>
  <c r="U100" i="3" s="1"/>
  <c r="V100" i="3" s="1"/>
  <c r="W100" i="3" s="1"/>
  <c r="X100" i="3" s="1"/>
  <c r="Y100" i="3" s="1"/>
  <c r="Z100" i="3" s="1"/>
  <c r="AA100" i="3" s="1"/>
  <c r="AB100" i="3" s="1"/>
  <c r="AC100" i="3" s="1"/>
  <c r="AD100" i="3" s="1"/>
  <c r="AE100" i="3" s="1"/>
  <c r="AF100" i="3" s="1"/>
  <c r="AG100" i="3" s="1"/>
  <c r="AH100" i="3" s="1"/>
  <c r="AI100" i="3" s="1"/>
  <c r="AJ100" i="3" s="1"/>
  <c r="AK100" i="3" s="1"/>
  <c r="AL100" i="3" s="1"/>
  <c r="AM100" i="3" s="1"/>
  <c r="AN100" i="3" s="1"/>
  <c r="AO100" i="3" s="1"/>
  <c r="AP100" i="3" s="1"/>
  <c r="AQ100" i="3" s="1"/>
  <c r="AR100" i="3" s="1"/>
  <c r="AS100" i="3" s="1"/>
  <c r="AT100" i="3" s="1"/>
  <c r="AU100" i="3" s="1"/>
  <c r="AV100" i="3" s="1"/>
  <c r="AW100" i="3" s="1"/>
  <c r="AX100" i="3" s="1"/>
  <c r="AY100" i="3" s="1"/>
  <c r="AZ100" i="3" s="1"/>
  <c r="BA100" i="3" s="1"/>
  <c r="BB100" i="3" s="1"/>
  <c r="BC100" i="3" s="1"/>
  <c r="BD100" i="3" s="1"/>
  <c r="BE100" i="3" s="1"/>
  <c r="BF100" i="3" s="1"/>
  <c r="BG100" i="3" s="1"/>
  <c r="BH100" i="3" s="1"/>
  <c r="BI100" i="3" s="1"/>
  <c r="BJ100" i="3" s="1"/>
  <c r="BK100" i="3" s="1"/>
  <c r="BL100" i="3" s="1"/>
  <c r="BM100" i="3" s="1"/>
  <c r="Q101" i="3"/>
  <c r="R101" i="3" s="1"/>
  <c r="S101" i="3" s="1"/>
  <c r="T101" i="3" s="1"/>
  <c r="U101" i="3" s="1"/>
  <c r="V101" i="3" s="1"/>
  <c r="W101" i="3" s="1"/>
  <c r="X101" i="3" s="1"/>
  <c r="Y101" i="3" s="1"/>
  <c r="Z101" i="3" s="1"/>
  <c r="AA101" i="3" s="1"/>
  <c r="AB101" i="3" s="1"/>
  <c r="AC101" i="3" s="1"/>
  <c r="AD101" i="3" s="1"/>
  <c r="AE101" i="3" s="1"/>
  <c r="AF101" i="3" s="1"/>
  <c r="AG101" i="3" s="1"/>
  <c r="AH101" i="3" s="1"/>
  <c r="AI101" i="3" s="1"/>
  <c r="AJ101" i="3" s="1"/>
  <c r="AK101" i="3" s="1"/>
  <c r="AL101" i="3" s="1"/>
  <c r="AM101" i="3" s="1"/>
  <c r="AN101" i="3" s="1"/>
  <c r="AO101" i="3" s="1"/>
  <c r="AP101" i="3" s="1"/>
  <c r="AQ101" i="3" s="1"/>
  <c r="AR101" i="3" s="1"/>
  <c r="AS101" i="3" s="1"/>
  <c r="AT101" i="3" s="1"/>
  <c r="AU101" i="3" s="1"/>
  <c r="AV101" i="3" s="1"/>
  <c r="AW101" i="3" s="1"/>
  <c r="AX101" i="3" s="1"/>
  <c r="AY101" i="3" s="1"/>
  <c r="AZ101" i="3" s="1"/>
  <c r="BA101" i="3" s="1"/>
  <c r="BB101" i="3" s="1"/>
  <c r="BC101" i="3" s="1"/>
  <c r="BD101" i="3" s="1"/>
  <c r="BE101" i="3" s="1"/>
  <c r="BF101" i="3" s="1"/>
  <c r="BG101" i="3" s="1"/>
  <c r="BH101" i="3" s="1"/>
  <c r="BI101" i="3" s="1"/>
  <c r="BJ101" i="3" s="1"/>
  <c r="BK101" i="3" s="1"/>
  <c r="BL101" i="3" s="1"/>
  <c r="BM101" i="3" s="1"/>
  <c r="Q102" i="3"/>
  <c r="R102" i="3" s="1"/>
  <c r="S102" i="3" s="1"/>
  <c r="T102" i="3" s="1"/>
  <c r="U102" i="3" s="1"/>
  <c r="V102" i="3" s="1"/>
  <c r="W102" i="3" s="1"/>
  <c r="X102" i="3" s="1"/>
  <c r="Y102" i="3" s="1"/>
  <c r="Z102" i="3" s="1"/>
  <c r="AA102" i="3" s="1"/>
  <c r="AB102" i="3" s="1"/>
  <c r="AC102" i="3" s="1"/>
  <c r="AD102" i="3" s="1"/>
  <c r="AE102" i="3" s="1"/>
  <c r="AF102" i="3" s="1"/>
  <c r="AG102" i="3" s="1"/>
  <c r="AH102" i="3" s="1"/>
  <c r="AI102" i="3" s="1"/>
  <c r="AJ102" i="3" s="1"/>
  <c r="AK102" i="3" s="1"/>
  <c r="AL102" i="3" s="1"/>
  <c r="AM102" i="3" s="1"/>
  <c r="AN102" i="3" s="1"/>
  <c r="AO102" i="3" s="1"/>
  <c r="AP102" i="3" s="1"/>
  <c r="AQ102" i="3" s="1"/>
  <c r="AR102" i="3" s="1"/>
  <c r="AS102" i="3" s="1"/>
  <c r="AT102" i="3" s="1"/>
  <c r="AU102" i="3" s="1"/>
  <c r="AV102" i="3" s="1"/>
  <c r="AW102" i="3" s="1"/>
  <c r="AX102" i="3" s="1"/>
  <c r="AY102" i="3" s="1"/>
  <c r="AZ102" i="3" s="1"/>
  <c r="BA102" i="3" s="1"/>
  <c r="BB102" i="3" s="1"/>
  <c r="BC102" i="3" s="1"/>
  <c r="BD102" i="3" s="1"/>
  <c r="BE102" i="3" s="1"/>
  <c r="BF102" i="3" s="1"/>
  <c r="BG102" i="3" s="1"/>
  <c r="BH102" i="3" s="1"/>
  <c r="BI102" i="3" s="1"/>
  <c r="BJ102" i="3" s="1"/>
  <c r="BK102" i="3" s="1"/>
  <c r="BL102" i="3" s="1"/>
  <c r="BM102" i="3" s="1"/>
  <c r="Q103" i="3"/>
  <c r="R103" i="3" s="1"/>
  <c r="S103" i="3" s="1"/>
  <c r="T103" i="3" s="1"/>
  <c r="U103" i="3" s="1"/>
  <c r="V103" i="3" s="1"/>
  <c r="W103" i="3" s="1"/>
  <c r="X103" i="3" s="1"/>
  <c r="Y103" i="3" s="1"/>
  <c r="Z103" i="3" s="1"/>
  <c r="AA103" i="3" s="1"/>
  <c r="AB103" i="3" s="1"/>
  <c r="AC103" i="3" s="1"/>
  <c r="AD103" i="3" s="1"/>
  <c r="AE103" i="3" s="1"/>
  <c r="AF103" i="3" s="1"/>
  <c r="AG103" i="3" s="1"/>
  <c r="AH103" i="3" s="1"/>
  <c r="AI103" i="3" s="1"/>
  <c r="AJ103" i="3" s="1"/>
  <c r="AK103" i="3" s="1"/>
  <c r="AL103" i="3" s="1"/>
  <c r="AM103" i="3" s="1"/>
  <c r="AN103" i="3" s="1"/>
  <c r="AO103" i="3" s="1"/>
  <c r="AP103" i="3" s="1"/>
  <c r="AQ103" i="3" s="1"/>
  <c r="AR103" i="3" s="1"/>
  <c r="AS103" i="3" s="1"/>
  <c r="AT103" i="3" s="1"/>
  <c r="AU103" i="3" s="1"/>
  <c r="AV103" i="3" s="1"/>
  <c r="AW103" i="3" s="1"/>
  <c r="AX103" i="3" s="1"/>
  <c r="AY103" i="3" s="1"/>
  <c r="AZ103" i="3" s="1"/>
  <c r="BA103" i="3" s="1"/>
  <c r="BB103" i="3" s="1"/>
  <c r="BC103" i="3" s="1"/>
  <c r="BD103" i="3" s="1"/>
  <c r="BE103" i="3" s="1"/>
  <c r="BF103" i="3" s="1"/>
  <c r="BG103" i="3" s="1"/>
  <c r="BH103" i="3" s="1"/>
  <c r="BI103" i="3" s="1"/>
  <c r="BJ103" i="3" s="1"/>
  <c r="BK103" i="3" s="1"/>
  <c r="BL103" i="3" s="1"/>
  <c r="BM103" i="3" s="1"/>
  <c r="Q104" i="3"/>
  <c r="R104" i="3" s="1"/>
  <c r="S104" i="3" s="1"/>
  <c r="T104" i="3" s="1"/>
  <c r="U104" i="3" s="1"/>
  <c r="V104" i="3" s="1"/>
  <c r="W104" i="3" s="1"/>
  <c r="X104" i="3" s="1"/>
  <c r="Y104" i="3" s="1"/>
  <c r="Z104" i="3" s="1"/>
  <c r="AA104" i="3" s="1"/>
  <c r="AB104" i="3" s="1"/>
  <c r="AC104" i="3" s="1"/>
  <c r="AD104" i="3" s="1"/>
  <c r="AE104" i="3" s="1"/>
  <c r="AF104" i="3" s="1"/>
  <c r="AG104" i="3" s="1"/>
  <c r="AH104" i="3" s="1"/>
  <c r="AI104" i="3" s="1"/>
  <c r="AJ104" i="3" s="1"/>
  <c r="AK104" i="3" s="1"/>
  <c r="AL104" i="3" s="1"/>
  <c r="AM104" i="3" s="1"/>
  <c r="AN104" i="3" s="1"/>
  <c r="AO104" i="3" s="1"/>
  <c r="AP104" i="3" s="1"/>
  <c r="AQ104" i="3" s="1"/>
  <c r="AR104" i="3" s="1"/>
  <c r="AS104" i="3" s="1"/>
  <c r="AT104" i="3" s="1"/>
  <c r="AU104" i="3" s="1"/>
  <c r="AV104" i="3" s="1"/>
  <c r="AW104" i="3" s="1"/>
  <c r="AX104" i="3" s="1"/>
  <c r="AY104" i="3" s="1"/>
  <c r="AZ104" i="3" s="1"/>
  <c r="BA104" i="3" s="1"/>
  <c r="BB104" i="3" s="1"/>
  <c r="BC104" i="3" s="1"/>
  <c r="BD104" i="3" s="1"/>
  <c r="BE104" i="3" s="1"/>
  <c r="BF104" i="3" s="1"/>
  <c r="BG104" i="3" s="1"/>
  <c r="BH104" i="3" s="1"/>
  <c r="BI104" i="3" s="1"/>
  <c r="BJ104" i="3" s="1"/>
  <c r="BK104" i="3" s="1"/>
  <c r="BL104" i="3" s="1"/>
  <c r="BM104" i="3" s="1"/>
  <c r="Q105" i="3"/>
  <c r="R105" i="3" s="1"/>
  <c r="S105" i="3" s="1"/>
  <c r="T105" i="3" s="1"/>
  <c r="U105" i="3" s="1"/>
  <c r="V105" i="3" s="1"/>
  <c r="W105" i="3" s="1"/>
  <c r="X105" i="3" s="1"/>
  <c r="Y105" i="3" s="1"/>
  <c r="Z105" i="3" s="1"/>
  <c r="AA105" i="3" s="1"/>
  <c r="AB105" i="3" s="1"/>
  <c r="AC105" i="3" s="1"/>
  <c r="AD105" i="3" s="1"/>
  <c r="AE105" i="3" s="1"/>
  <c r="AF105" i="3" s="1"/>
  <c r="AG105" i="3" s="1"/>
  <c r="AH105" i="3" s="1"/>
  <c r="AI105" i="3" s="1"/>
  <c r="AJ105" i="3" s="1"/>
  <c r="AK105" i="3" s="1"/>
  <c r="AL105" i="3" s="1"/>
  <c r="AM105" i="3" s="1"/>
  <c r="AN105" i="3" s="1"/>
  <c r="AO105" i="3" s="1"/>
  <c r="AP105" i="3" s="1"/>
  <c r="AQ105" i="3" s="1"/>
  <c r="AR105" i="3" s="1"/>
  <c r="AS105" i="3" s="1"/>
  <c r="AT105" i="3" s="1"/>
  <c r="AU105" i="3" s="1"/>
  <c r="AV105" i="3" s="1"/>
  <c r="AW105" i="3" s="1"/>
  <c r="AX105" i="3" s="1"/>
  <c r="AY105" i="3" s="1"/>
  <c r="AZ105" i="3" s="1"/>
  <c r="BA105" i="3" s="1"/>
  <c r="BB105" i="3" s="1"/>
  <c r="BC105" i="3" s="1"/>
  <c r="BD105" i="3" s="1"/>
  <c r="BE105" i="3" s="1"/>
  <c r="BF105" i="3" s="1"/>
  <c r="BG105" i="3" s="1"/>
  <c r="BH105" i="3" s="1"/>
  <c r="BI105" i="3" s="1"/>
  <c r="BJ105" i="3" s="1"/>
  <c r="BK105" i="3" s="1"/>
  <c r="BL105" i="3" s="1"/>
  <c r="BM105" i="3" s="1"/>
  <c r="Q106" i="3"/>
  <c r="R106" i="3" s="1"/>
  <c r="S106" i="3" s="1"/>
  <c r="T106" i="3" s="1"/>
  <c r="U106" i="3" s="1"/>
  <c r="V106" i="3" s="1"/>
  <c r="W106" i="3" s="1"/>
  <c r="X106" i="3" s="1"/>
  <c r="Y106" i="3" s="1"/>
  <c r="Z106" i="3" s="1"/>
  <c r="AA106" i="3" s="1"/>
  <c r="AB106" i="3" s="1"/>
  <c r="AC106" i="3" s="1"/>
  <c r="AD106" i="3" s="1"/>
  <c r="AE106" i="3" s="1"/>
  <c r="AF106" i="3" s="1"/>
  <c r="AG106" i="3" s="1"/>
  <c r="AH106" i="3" s="1"/>
  <c r="AI106" i="3" s="1"/>
  <c r="AJ106" i="3" s="1"/>
  <c r="AK106" i="3" s="1"/>
  <c r="AL106" i="3" s="1"/>
  <c r="AM106" i="3" s="1"/>
  <c r="AN106" i="3" s="1"/>
  <c r="AO106" i="3" s="1"/>
  <c r="AP106" i="3" s="1"/>
  <c r="AQ106" i="3" s="1"/>
  <c r="AR106" i="3" s="1"/>
  <c r="AS106" i="3" s="1"/>
  <c r="AT106" i="3" s="1"/>
  <c r="AU106" i="3" s="1"/>
  <c r="AV106" i="3" s="1"/>
  <c r="AW106" i="3" s="1"/>
  <c r="AX106" i="3" s="1"/>
  <c r="AY106" i="3" s="1"/>
  <c r="AZ106" i="3" s="1"/>
  <c r="BA106" i="3" s="1"/>
  <c r="BB106" i="3" s="1"/>
  <c r="BC106" i="3" s="1"/>
  <c r="BD106" i="3" s="1"/>
  <c r="BE106" i="3" s="1"/>
  <c r="BF106" i="3" s="1"/>
  <c r="BG106" i="3" s="1"/>
  <c r="BH106" i="3" s="1"/>
  <c r="BI106" i="3" s="1"/>
  <c r="BJ106" i="3" s="1"/>
  <c r="BK106" i="3" s="1"/>
  <c r="BL106" i="3" s="1"/>
  <c r="BM106" i="3" s="1"/>
  <c r="Q107" i="3"/>
  <c r="R107" i="3" s="1"/>
  <c r="S107" i="3" s="1"/>
  <c r="T107" i="3" s="1"/>
  <c r="U107" i="3" s="1"/>
  <c r="V107" i="3" s="1"/>
  <c r="W107" i="3" s="1"/>
  <c r="X107" i="3" s="1"/>
  <c r="Y107" i="3" s="1"/>
  <c r="Z107" i="3" s="1"/>
  <c r="AA107" i="3" s="1"/>
  <c r="AB107" i="3" s="1"/>
  <c r="AC107" i="3" s="1"/>
  <c r="AD107" i="3" s="1"/>
  <c r="AE107" i="3" s="1"/>
  <c r="AF107" i="3" s="1"/>
  <c r="AG107" i="3" s="1"/>
  <c r="AH107" i="3" s="1"/>
  <c r="AI107" i="3" s="1"/>
  <c r="AJ107" i="3" s="1"/>
  <c r="AK107" i="3" s="1"/>
  <c r="AL107" i="3" s="1"/>
  <c r="AM107" i="3" s="1"/>
  <c r="AN107" i="3" s="1"/>
  <c r="AO107" i="3" s="1"/>
  <c r="AP107" i="3" s="1"/>
  <c r="AQ107" i="3" s="1"/>
  <c r="AR107" i="3" s="1"/>
  <c r="AS107" i="3" s="1"/>
  <c r="AT107" i="3" s="1"/>
  <c r="AU107" i="3" s="1"/>
  <c r="AV107" i="3" s="1"/>
  <c r="AW107" i="3" s="1"/>
  <c r="AX107" i="3" s="1"/>
  <c r="AY107" i="3" s="1"/>
  <c r="AZ107" i="3" s="1"/>
  <c r="BA107" i="3" s="1"/>
  <c r="BB107" i="3" s="1"/>
  <c r="BC107" i="3" s="1"/>
  <c r="BD107" i="3" s="1"/>
  <c r="BE107" i="3" s="1"/>
  <c r="BF107" i="3" s="1"/>
  <c r="BG107" i="3" s="1"/>
  <c r="BH107" i="3" s="1"/>
  <c r="BI107" i="3" s="1"/>
  <c r="BJ107" i="3" s="1"/>
  <c r="BK107" i="3" s="1"/>
  <c r="BL107" i="3" s="1"/>
  <c r="BM107" i="3" s="1"/>
  <c r="Q108" i="3"/>
  <c r="R108" i="3" s="1"/>
  <c r="S108" i="3" s="1"/>
  <c r="T108" i="3" s="1"/>
  <c r="U108" i="3" s="1"/>
  <c r="V108" i="3" s="1"/>
  <c r="W108" i="3" s="1"/>
  <c r="X108" i="3" s="1"/>
  <c r="Y108" i="3" s="1"/>
  <c r="Z108" i="3" s="1"/>
  <c r="AA108" i="3" s="1"/>
  <c r="AB108" i="3" s="1"/>
  <c r="AC108" i="3" s="1"/>
  <c r="AD108" i="3" s="1"/>
  <c r="AE108" i="3" s="1"/>
  <c r="AF108" i="3" s="1"/>
  <c r="AG108" i="3" s="1"/>
  <c r="AH108" i="3" s="1"/>
  <c r="AI108" i="3" s="1"/>
  <c r="AJ108" i="3" s="1"/>
  <c r="AK108" i="3" s="1"/>
  <c r="AL108" i="3" s="1"/>
  <c r="AM108" i="3" s="1"/>
  <c r="AN108" i="3" s="1"/>
  <c r="AO108" i="3" s="1"/>
  <c r="AP108" i="3" s="1"/>
  <c r="AQ108" i="3" s="1"/>
  <c r="AR108" i="3" s="1"/>
  <c r="AS108" i="3" s="1"/>
  <c r="AT108" i="3" s="1"/>
  <c r="AU108" i="3" s="1"/>
  <c r="AV108" i="3" s="1"/>
  <c r="AW108" i="3" s="1"/>
  <c r="AX108" i="3" s="1"/>
  <c r="AY108" i="3" s="1"/>
  <c r="AZ108" i="3" s="1"/>
  <c r="BA108" i="3" s="1"/>
  <c r="BB108" i="3" s="1"/>
  <c r="BC108" i="3" s="1"/>
  <c r="BD108" i="3" s="1"/>
  <c r="BE108" i="3" s="1"/>
  <c r="BF108" i="3" s="1"/>
  <c r="BG108" i="3" s="1"/>
  <c r="BH108" i="3" s="1"/>
  <c r="BI108" i="3" s="1"/>
  <c r="BJ108" i="3" s="1"/>
  <c r="BK108" i="3" s="1"/>
  <c r="BL108" i="3" s="1"/>
  <c r="BM108" i="3" s="1"/>
  <c r="Q109" i="3"/>
  <c r="R109" i="3" s="1"/>
  <c r="S109" i="3" s="1"/>
  <c r="T109" i="3" s="1"/>
  <c r="U109" i="3" s="1"/>
  <c r="V109" i="3" s="1"/>
  <c r="W109" i="3" s="1"/>
  <c r="X109" i="3" s="1"/>
  <c r="Y109" i="3" s="1"/>
  <c r="Z109" i="3" s="1"/>
  <c r="AA109" i="3" s="1"/>
  <c r="AB109" i="3" s="1"/>
  <c r="AC109" i="3" s="1"/>
  <c r="AD109" i="3" s="1"/>
  <c r="AE109" i="3" s="1"/>
  <c r="AF109" i="3" s="1"/>
  <c r="AG109" i="3" s="1"/>
  <c r="AH109" i="3" s="1"/>
  <c r="AI109" i="3" s="1"/>
  <c r="AJ109" i="3" s="1"/>
  <c r="AK109" i="3" s="1"/>
  <c r="AL109" i="3" s="1"/>
  <c r="AM109" i="3" s="1"/>
  <c r="AN109" i="3" s="1"/>
  <c r="AO109" i="3" s="1"/>
  <c r="AP109" i="3" s="1"/>
  <c r="AQ109" i="3" s="1"/>
  <c r="AR109" i="3" s="1"/>
  <c r="AS109" i="3" s="1"/>
  <c r="AT109" i="3" s="1"/>
  <c r="AU109" i="3" s="1"/>
  <c r="AV109" i="3" s="1"/>
  <c r="AW109" i="3" s="1"/>
  <c r="AX109" i="3" s="1"/>
  <c r="AY109" i="3" s="1"/>
  <c r="AZ109" i="3" s="1"/>
  <c r="BA109" i="3" s="1"/>
  <c r="BB109" i="3" s="1"/>
  <c r="BC109" i="3" s="1"/>
  <c r="BD109" i="3" s="1"/>
  <c r="BE109" i="3" s="1"/>
  <c r="BF109" i="3" s="1"/>
  <c r="BG109" i="3" s="1"/>
  <c r="BH109" i="3" s="1"/>
  <c r="BI109" i="3" s="1"/>
  <c r="BJ109" i="3" s="1"/>
  <c r="BK109" i="3" s="1"/>
  <c r="BL109" i="3" s="1"/>
  <c r="BM109" i="3" s="1"/>
  <c r="Q110" i="3"/>
  <c r="R110" i="3" s="1"/>
  <c r="S110" i="3" s="1"/>
  <c r="T110" i="3" s="1"/>
  <c r="U110" i="3" s="1"/>
  <c r="V110" i="3" s="1"/>
  <c r="W110" i="3" s="1"/>
  <c r="X110" i="3" s="1"/>
  <c r="Y110" i="3" s="1"/>
  <c r="Z110" i="3" s="1"/>
  <c r="AA110" i="3" s="1"/>
  <c r="AB110" i="3" s="1"/>
  <c r="AC110" i="3" s="1"/>
  <c r="AD110" i="3" s="1"/>
  <c r="AE110" i="3" s="1"/>
  <c r="AF110" i="3" s="1"/>
  <c r="AG110" i="3" s="1"/>
  <c r="AH110" i="3" s="1"/>
  <c r="AI110" i="3" s="1"/>
  <c r="AJ110" i="3" s="1"/>
  <c r="AK110" i="3" s="1"/>
  <c r="AL110" i="3" s="1"/>
  <c r="AM110" i="3" s="1"/>
  <c r="AN110" i="3" s="1"/>
  <c r="AO110" i="3" s="1"/>
  <c r="AP110" i="3" s="1"/>
  <c r="AQ110" i="3" s="1"/>
  <c r="AR110" i="3" s="1"/>
  <c r="AS110" i="3" s="1"/>
  <c r="AT110" i="3" s="1"/>
  <c r="AU110" i="3" s="1"/>
  <c r="AV110" i="3" s="1"/>
  <c r="AW110" i="3" s="1"/>
  <c r="AX110" i="3" s="1"/>
  <c r="AY110" i="3" s="1"/>
  <c r="AZ110" i="3" s="1"/>
  <c r="BA110" i="3" s="1"/>
  <c r="BB110" i="3" s="1"/>
  <c r="BC110" i="3" s="1"/>
  <c r="BD110" i="3" s="1"/>
  <c r="BE110" i="3" s="1"/>
  <c r="BF110" i="3" s="1"/>
  <c r="BG110" i="3" s="1"/>
  <c r="BH110" i="3" s="1"/>
  <c r="BI110" i="3" s="1"/>
  <c r="BJ110" i="3" s="1"/>
  <c r="BK110" i="3" s="1"/>
  <c r="BL110" i="3" s="1"/>
  <c r="BM110" i="3" s="1"/>
  <c r="Q111" i="3"/>
  <c r="R111" i="3" s="1"/>
  <c r="S111" i="3" s="1"/>
  <c r="T111" i="3" s="1"/>
  <c r="U111" i="3" s="1"/>
  <c r="V111" i="3" s="1"/>
  <c r="W111" i="3" s="1"/>
  <c r="X111" i="3" s="1"/>
  <c r="Y111" i="3" s="1"/>
  <c r="Z111" i="3" s="1"/>
  <c r="AA111" i="3" s="1"/>
  <c r="AB111" i="3" s="1"/>
  <c r="AC111" i="3" s="1"/>
  <c r="AD111" i="3" s="1"/>
  <c r="AE111" i="3" s="1"/>
  <c r="AF111" i="3" s="1"/>
  <c r="AG111" i="3" s="1"/>
  <c r="AH111" i="3" s="1"/>
  <c r="AI111" i="3" s="1"/>
  <c r="AJ111" i="3" s="1"/>
  <c r="AK111" i="3" s="1"/>
  <c r="AL111" i="3" s="1"/>
  <c r="AM111" i="3" s="1"/>
  <c r="AN111" i="3" s="1"/>
  <c r="AO111" i="3" s="1"/>
  <c r="AP111" i="3" s="1"/>
  <c r="AQ111" i="3" s="1"/>
  <c r="AR111" i="3" s="1"/>
  <c r="AS111" i="3" s="1"/>
  <c r="AT111" i="3" s="1"/>
  <c r="AU111" i="3" s="1"/>
  <c r="AV111" i="3" s="1"/>
  <c r="AW111" i="3" s="1"/>
  <c r="AX111" i="3" s="1"/>
  <c r="AY111" i="3" s="1"/>
  <c r="AZ111" i="3" s="1"/>
  <c r="BA111" i="3" s="1"/>
  <c r="BB111" i="3" s="1"/>
  <c r="BC111" i="3" s="1"/>
  <c r="BD111" i="3" s="1"/>
  <c r="BE111" i="3" s="1"/>
  <c r="BF111" i="3" s="1"/>
  <c r="BG111" i="3" s="1"/>
  <c r="BH111" i="3" s="1"/>
  <c r="BI111" i="3" s="1"/>
  <c r="BJ111" i="3" s="1"/>
  <c r="BK111" i="3" s="1"/>
  <c r="BL111" i="3" s="1"/>
  <c r="BM111" i="3" s="1"/>
  <c r="Q112" i="3"/>
  <c r="R112" i="3" s="1"/>
  <c r="S112" i="3" s="1"/>
  <c r="T112" i="3" s="1"/>
  <c r="U112" i="3" s="1"/>
  <c r="V112" i="3" s="1"/>
  <c r="W112" i="3" s="1"/>
  <c r="X112" i="3" s="1"/>
  <c r="Y112" i="3" s="1"/>
  <c r="Z112" i="3" s="1"/>
  <c r="AA112" i="3" s="1"/>
  <c r="AB112" i="3" s="1"/>
  <c r="AC112" i="3" s="1"/>
  <c r="AD112" i="3" s="1"/>
  <c r="AE112" i="3" s="1"/>
  <c r="AF112" i="3" s="1"/>
  <c r="AG112" i="3" s="1"/>
  <c r="AH112" i="3" s="1"/>
  <c r="AI112" i="3" s="1"/>
  <c r="AJ112" i="3" s="1"/>
  <c r="AK112" i="3" s="1"/>
  <c r="AL112" i="3" s="1"/>
  <c r="AM112" i="3" s="1"/>
  <c r="AN112" i="3" s="1"/>
  <c r="AO112" i="3" s="1"/>
  <c r="AP112" i="3" s="1"/>
  <c r="AQ112" i="3" s="1"/>
  <c r="AR112" i="3" s="1"/>
  <c r="AS112" i="3" s="1"/>
  <c r="AT112" i="3" s="1"/>
  <c r="AU112" i="3" s="1"/>
  <c r="AV112" i="3" s="1"/>
  <c r="AW112" i="3" s="1"/>
  <c r="AX112" i="3" s="1"/>
  <c r="AY112" i="3" s="1"/>
  <c r="AZ112" i="3" s="1"/>
  <c r="BA112" i="3" s="1"/>
  <c r="BB112" i="3" s="1"/>
  <c r="BC112" i="3" s="1"/>
  <c r="BD112" i="3" s="1"/>
  <c r="BE112" i="3" s="1"/>
  <c r="BF112" i="3" s="1"/>
  <c r="BG112" i="3" s="1"/>
  <c r="BH112" i="3" s="1"/>
  <c r="BI112" i="3" s="1"/>
  <c r="BJ112" i="3" s="1"/>
  <c r="BK112" i="3" s="1"/>
  <c r="BL112" i="3" s="1"/>
  <c r="BM112" i="3" s="1"/>
  <c r="Q98" i="3"/>
  <c r="R98" i="3" s="1"/>
  <c r="S98" i="3" s="1"/>
  <c r="T98" i="3" s="1"/>
  <c r="U98" i="3" s="1"/>
  <c r="V98" i="3" s="1"/>
  <c r="W98" i="3" s="1"/>
  <c r="X98" i="3" s="1"/>
  <c r="Y98" i="3" s="1"/>
  <c r="Z98" i="3" s="1"/>
  <c r="AA98" i="3" s="1"/>
  <c r="AB98" i="3" s="1"/>
  <c r="AC98" i="3" s="1"/>
  <c r="AD98" i="3" s="1"/>
  <c r="AE98" i="3" s="1"/>
  <c r="AF98" i="3" s="1"/>
  <c r="AG98" i="3" s="1"/>
  <c r="AH98" i="3" s="1"/>
  <c r="AI98" i="3" s="1"/>
  <c r="AJ98" i="3" s="1"/>
  <c r="AK98" i="3" s="1"/>
  <c r="AL98" i="3" s="1"/>
  <c r="AM98" i="3" s="1"/>
  <c r="AN98" i="3" s="1"/>
  <c r="AO98" i="3" s="1"/>
  <c r="AP98" i="3" s="1"/>
  <c r="AQ98" i="3" s="1"/>
  <c r="AR98" i="3" s="1"/>
  <c r="AS98" i="3" s="1"/>
  <c r="AT98" i="3" s="1"/>
  <c r="AU98" i="3" s="1"/>
  <c r="AV98" i="3" s="1"/>
  <c r="AW98" i="3" s="1"/>
  <c r="AX98" i="3" s="1"/>
  <c r="AY98" i="3" s="1"/>
  <c r="AZ98" i="3" s="1"/>
  <c r="BA98" i="3" s="1"/>
  <c r="BB98" i="3" s="1"/>
  <c r="BC98" i="3" s="1"/>
  <c r="BD98" i="3" s="1"/>
  <c r="BE98" i="3" s="1"/>
  <c r="BF98" i="3" s="1"/>
  <c r="BG98" i="3" s="1"/>
  <c r="BH98" i="3" s="1"/>
  <c r="BI98" i="3" s="1"/>
  <c r="BJ98" i="3" s="1"/>
  <c r="BK98" i="3" s="1"/>
  <c r="BL98" i="3" s="1"/>
  <c r="BM98" i="3" s="1"/>
  <c r="S401" i="2"/>
  <c r="T401" i="2" s="1"/>
  <c r="U401" i="2" s="1"/>
  <c r="V401" i="2" s="1"/>
  <c r="W401" i="2" s="1"/>
  <c r="X401" i="2" s="1"/>
  <c r="Y401" i="2" s="1"/>
  <c r="Z401" i="2" s="1"/>
  <c r="AA401" i="2" s="1"/>
  <c r="AB401" i="2" s="1"/>
  <c r="AC401" i="2" s="1"/>
  <c r="AD401" i="2" s="1"/>
  <c r="AE401" i="2" s="1"/>
  <c r="AF401" i="2" s="1"/>
  <c r="AG401" i="2" s="1"/>
  <c r="AH401" i="2" s="1"/>
  <c r="AI401" i="2" s="1"/>
  <c r="AJ401" i="2" s="1"/>
  <c r="AK401" i="2" s="1"/>
  <c r="AL401" i="2" s="1"/>
  <c r="AM401" i="2" s="1"/>
  <c r="AN401" i="2" s="1"/>
  <c r="AO401" i="2" s="1"/>
  <c r="AP401" i="2" s="1"/>
  <c r="AQ401" i="2" s="1"/>
  <c r="AR401" i="2" s="1"/>
  <c r="AS401" i="2" s="1"/>
  <c r="AT401" i="2" s="1"/>
  <c r="AU401" i="2" s="1"/>
  <c r="AV401" i="2" s="1"/>
  <c r="AW401" i="2" s="1"/>
  <c r="AX401" i="2" s="1"/>
  <c r="AY401" i="2" s="1"/>
  <c r="AZ401" i="2" s="1"/>
  <c r="BA401" i="2" s="1"/>
  <c r="BB401" i="2" s="1"/>
  <c r="BC401" i="2" s="1"/>
  <c r="BD401" i="2" s="1"/>
  <c r="BE401" i="2" s="1"/>
  <c r="BF401" i="2" s="1"/>
  <c r="BG401" i="2" s="1"/>
  <c r="BH401" i="2" s="1"/>
  <c r="BI401" i="2" s="1"/>
  <c r="BJ401" i="2" s="1"/>
  <c r="BK401" i="2" s="1"/>
  <c r="BL401" i="2" s="1"/>
  <c r="BM401" i="2" s="1"/>
  <c r="BN401" i="2" s="1"/>
  <c r="BO401" i="2" s="1"/>
  <c r="S400" i="2"/>
  <c r="T400" i="2" s="1"/>
  <c r="U400" i="2" s="1"/>
  <c r="V400" i="2" s="1"/>
  <c r="W400" i="2" s="1"/>
  <c r="X400" i="2" s="1"/>
  <c r="Y400" i="2" s="1"/>
  <c r="Z400" i="2" s="1"/>
  <c r="AA400" i="2" s="1"/>
  <c r="AB400" i="2" s="1"/>
  <c r="AC400" i="2" s="1"/>
  <c r="AD400" i="2" s="1"/>
  <c r="AE400" i="2" s="1"/>
  <c r="AF400" i="2" s="1"/>
  <c r="AG400" i="2" s="1"/>
  <c r="AH400" i="2" s="1"/>
  <c r="AI400" i="2" s="1"/>
  <c r="AJ400" i="2" s="1"/>
  <c r="AK400" i="2" s="1"/>
  <c r="AL400" i="2" s="1"/>
  <c r="AM400" i="2" s="1"/>
  <c r="AN400" i="2" s="1"/>
  <c r="AO400" i="2" s="1"/>
  <c r="AP400" i="2" s="1"/>
  <c r="AQ400" i="2" s="1"/>
  <c r="AR400" i="2" s="1"/>
  <c r="AS400" i="2" s="1"/>
  <c r="AT400" i="2" s="1"/>
  <c r="AU400" i="2" s="1"/>
  <c r="AV400" i="2" s="1"/>
  <c r="AW400" i="2" s="1"/>
  <c r="AX400" i="2" s="1"/>
  <c r="AY400" i="2" s="1"/>
  <c r="AZ400" i="2" s="1"/>
  <c r="BA400" i="2" s="1"/>
  <c r="BB400" i="2" s="1"/>
  <c r="BC400" i="2" s="1"/>
  <c r="BD400" i="2" s="1"/>
  <c r="BE400" i="2" s="1"/>
  <c r="BF400" i="2" s="1"/>
  <c r="BG400" i="2" s="1"/>
  <c r="BH400" i="2" s="1"/>
  <c r="BI400" i="2" s="1"/>
  <c r="BJ400" i="2" s="1"/>
  <c r="BK400" i="2" s="1"/>
  <c r="BL400" i="2" s="1"/>
  <c r="BM400" i="2" s="1"/>
  <c r="BN400" i="2" s="1"/>
  <c r="BO400" i="2" s="1"/>
  <c r="S396" i="2"/>
  <c r="T396" i="2" s="1"/>
  <c r="U396" i="2" s="1"/>
  <c r="V396" i="2" s="1"/>
  <c r="W396" i="2" s="1"/>
  <c r="X396" i="2" s="1"/>
  <c r="Y396" i="2" s="1"/>
  <c r="Z396" i="2" s="1"/>
  <c r="AA396" i="2" s="1"/>
  <c r="AB396" i="2" s="1"/>
  <c r="AC396" i="2" s="1"/>
  <c r="AD396" i="2" s="1"/>
  <c r="AE396" i="2" s="1"/>
  <c r="AF396" i="2" s="1"/>
  <c r="AG396" i="2" s="1"/>
  <c r="AH396" i="2" s="1"/>
  <c r="AI396" i="2" s="1"/>
  <c r="AJ396" i="2" s="1"/>
  <c r="AK396" i="2" s="1"/>
  <c r="AL396" i="2" s="1"/>
  <c r="AM396" i="2" s="1"/>
  <c r="AN396" i="2" s="1"/>
  <c r="AO396" i="2" s="1"/>
  <c r="AP396" i="2" s="1"/>
  <c r="AQ396" i="2" s="1"/>
  <c r="AR396" i="2" s="1"/>
  <c r="AS396" i="2" s="1"/>
  <c r="AT396" i="2" s="1"/>
  <c r="AU396" i="2" s="1"/>
  <c r="AV396" i="2" s="1"/>
  <c r="AW396" i="2" s="1"/>
  <c r="AX396" i="2" s="1"/>
  <c r="AY396" i="2" s="1"/>
  <c r="AZ396" i="2" s="1"/>
  <c r="BA396" i="2" s="1"/>
  <c r="BB396" i="2" s="1"/>
  <c r="BC396" i="2" s="1"/>
  <c r="BD396" i="2" s="1"/>
  <c r="BE396" i="2" s="1"/>
  <c r="BF396" i="2" s="1"/>
  <c r="BG396" i="2" s="1"/>
  <c r="BH396" i="2" s="1"/>
  <c r="BI396" i="2" s="1"/>
  <c r="BJ396" i="2" s="1"/>
  <c r="BK396" i="2" s="1"/>
  <c r="BL396" i="2" s="1"/>
  <c r="BM396" i="2" s="1"/>
  <c r="BN396" i="2" s="1"/>
  <c r="BO396" i="2" s="1"/>
  <c r="S395" i="2"/>
  <c r="T395" i="2" s="1"/>
  <c r="U395" i="2" s="1"/>
  <c r="V395" i="2" s="1"/>
  <c r="W395" i="2" s="1"/>
  <c r="X395" i="2" s="1"/>
  <c r="Y395" i="2" s="1"/>
  <c r="Z395" i="2" s="1"/>
  <c r="AA395" i="2" s="1"/>
  <c r="AB395" i="2" s="1"/>
  <c r="AC395" i="2" s="1"/>
  <c r="AD395" i="2" s="1"/>
  <c r="AE395" i="2" s="1"/>
  <c r="AF395" i="2" s="1"/>
  <c r="AG395" i="2" s="1"/>
  <c r="AH395" i="2" s="1"/>
  <c r="AI395" i="2" s="1"/>
  <c r="AJ395" i="2" s="1"/>
  <c r="AK395" i="2" s="1"/>
  <c r="AL395" i="2" s="1"/>
  <c r="AM395" i="2" s="1"/>
  <c r="AN395" i="2" s="1"/>
  <c r="AO395" i="2" s="1"/>
  <c r="AP395" i="2" s="1"/>
  <c r="AQ395" i="2" s="1"/>
  <c r="AR395" i="2" s="1"/>
  <c r="AS395" i="2" s="1"/>
  <c r="AT395" i="2" s="1"/>
  <c r="AU395" i="2" s="1"/>
  <c r="AV395" i="2" s="1"/>
  <c r="AW395" i="2" s="1"/>
  <c r="AX395" i="2" s="1"/>
  <c r="AY395" i="2" s="1"/>
  <c r="AZ395" i="2" s="1"/>
  <c r="BA395" i="2" s="1"/>
  <c r="BB395" i="2" s="1"/>
  <c r="BC395" i="2" s="1"/>
  <c r="BD395" i="2" s="1"/>
  <c r="BE395" i="2" s="1"/>
  <c r="BF395" i="2" s="1"/>
  <c r="BG395" i="2" s="1"/>
  <c r="BH395" i="2" s="1"/>
  <c r="BI395" i="2" s="1"/>
  <c r="BJ395" i="2" s="1"/>
  <c r="BK395" i="2" s="1"/>
  <c r="BL395" i="2" s="1"/>
  <c r="BM395" i="2" s="1"/>
  <c r="BN395" i="2" s="1"/>
  <c r="BO395" i="2" s="1"/>
  <c r="S349" i="2"/>
  <c r="T349" i="2" s="1"/>
  <c r="S335" i="2"/>
  <c r="S336" i="2"/>
  <c r="S334" i="2"/>
  <c r="S318" i="2"/>
  <c r="S358" i="2" s="1"/>
  <c r="S317" i="2"/>
  <c r="S357" i="2" s="1"/>
  <c r="P304" i="2"/>
  <c r="Q304" i="2"/>
  <c r="R304" i="2"/>
  <c r="S304" i="2" s="1"/>
  <c r="T304" i="2" s="1"/>
  <c r="U304" i="2" s="1"/>
  <c r="V304" i="2" s="1"/>
  <c r="W304" i="2" s="1"/>
  <c r="X304" i="2" s="1"/>
  <c r="Y304" i="2" s="1"/>
  <c r="Z304" i="2" s="1"/>
  <c r="AA304" i="2" s="1"/>
  <c r="AB304" i="2" s="1"/>
  <c r="AC304" i="2" s="1"/>
  <c r="AD304" i="2" s="1"/>
  <c r="AE304" i="2" s="1"/>
  <c r="AF304" i="2" s="1"/>
  <c r="AG304" i="2" s="1"/>
  <c r="AH304" i="2" s="1"/>
  <c r="AI304" i="2" s="1"/>
  <c r="AJ304" i="2" s="1"/>
  <c r="AK304" i="2" s="1"/>
  <c r="AL304" i="2" s="1"/>
  <c r="AM304" i="2" s="1"/>
  <c r="AN304" i="2" s="1"/>
  <c r="AO304" i="2" s="1"/>
  <c r="AP304" i="2" s="1"/>
  <c r="AQ304" i="2" s="1"/>
  <c r="AR304" i="2" s="1"/>
  <c r="AS304" i="2" s="1"/>
  <c r="AT304" i="2" s="1"/>
  <c r="AU304" i="2" s="1"/>
  <c r="AV304" i="2" s="1"/>
  <c r="AW304" i="2" s="1"/>
  <c r="AX304" i="2" s="1"/>
  <c r="AY304" i="2" s="1"/>
  <c r="AZ304" i="2" s="1"/>
  <c r="BA304" i="2" s="1"/>
  <c r="BB304" i="2" s="1"/>
  <c r="BC304" i="2" s="1"/>
  <c r="BD304" i="2" s="1"/>
  <c r="BE304" i="2" s="1"/>
  <c r="BF304" i="2" s="1"/>
  <c r="BG304" i="2" s="1"/>
  <c r="BH304" i="2" s="1"/>
  <c r="BI304" i="2" s="1"/>
  <c r="BJ304" i="2" s="1"/>
  <c r="BK304" i="2" s="1"/>
  <c r="BL304" i="2" s="1"/>
  <c r="BM304" i="2" s="1"/>
  <c r="BN304" i="2" s="1"/>
  <c r="BO304" i="2" s="1"/>
  <c r="T296" i="2"/>
  <c r="S191" i="2"/>
  <c r="S196" i="2"/>
  <c r="S202" i="2"/>
  <c r="AG202" i="2" l="1"/>
  <c r="AH202" i="2" s="1"/>
  <c r="AI202" i="2" s="1"/>
  <c r="AJ202" i="2" s="1"/>
  <c r="AK202" i="2" s="1"/>
  <c r="AL202" i="2" s="1"/>
  <c r="AM202" i="2" s="1"/>
  <c r="AN202" i="2" s="1"/>
  <c r="AO202" i="2" s="1"/>
  <c r="AP202" i="2" s="1"/>
  <c r="AQ202" i="2" s="1"/>
  <c r="AR202" i="2" s="1"/>
  <c r="AS202" i="2" s="1"/>
  <c r="AT202" i="2" s="1"/>
  <c r="AU202" i="2" s="1"/>
  <c r="AV202" i="2" s="1"/>
  <c r="AW202" i="2" s="1"/>
  <c r="AX202" i="2" s="1"/>
  <c r="AY202" i="2" s="1"/>
  <c r="AZ202" i="2" s="1"/>
  <c r="BA202" i="2" s="1"/>
  <c r="BB202" i="2" s="1"/>
  <c r="BC202" i="2" s="1"/>
  <c r="BD202" i="2" s="1"/>
  <c r="BE202" i="2" s="1"/>
  <c r="BF202" i="2" s="1"/>
  <c r="BG202" i="2" s="1"/>
  <c r="BH202" i="2" s="1"/>
  <c r="BI202" i="2" s="1"/>
  <c r="BJ202" i="2" s="1"/>
  <c r="BK202" i="2" s="1"/>
  <c r="BL202" i="2" s="1"/>
  <c r="BM202" i="2" s="1"/>
  <c r="BN202" i="2" s="1"/>
  <c r="BO202" i="2" s="1"/>
  <c r="U202" i="2"/>
  <c r="V202" i="2"/>
  <c r="W202" i="2"/>
  <c r="X202" i="2"/>
  <c r="Y202" i="2"/>
  <c r="Z202" i="2"/>
  <c r="AA202" i="2"/>
  <c r="AB202" i="2"/>
  <c r="AC202" i="2"/>
  <c r="AD202" i="2"/>
  <c r="AE202" i="2"/>
  <c r="T202" i="2"/>
  <c r="AG196" i="2"/>
  <c r="AH196" i="2" s="1"/>
  <c r="AI196" i="2" s="1"/>
  <c r="AJ196" i="2" s="1"/>
  <c r="AK196" i="2" s="1"/>
  <c r="AL196" i="2" s="1"/>
  <c r="AM196" i="2" s="1"/>
  <c r="AN196" i="2" s="1"/>
  <c r="AO196" i="2" s="1"/>
  <c r="AP196" i="2" s="1"/>
  <c r="AQ196" i="2" s="1"/>
  <c r="AR196" i="2" s="1"/>
  <c r="AS196" i="2" s="1"/>
  <c r="AT196" i="2" s="1"/>
  <c r="AU196" i="2" s="1"/>
  <c r="AV196" i="2" s="1"/>
  <c r="AW196" i="2" s="1"/>
  <c r="AX196" i="2" s="1"/>
  <c r="AY196" i="2" s="1"/>
  <c r="AZ196" i="2" s="1"/>
  <c r="BA196" i="2" s="1"/>
  <c r="BB196" i="2" s="1"/>
  <c r="BC196" i="2" s="1"/>
  <c r="BD196" i="2" s="1"/>
  <c r="BE196" i="2" s="1"/>
  <c r="BF196" i="2" s="1"/>
  <c r="BG196" i="2" s="1"/>
  <c r="BH196" i="2" s="1"/>
  <c r="BI196" i="2" s="1"/>
  <c r="BJ196" i="2" s="1"/>
  <c r="BK196" i="2" s="1"/>
  <c r="BL196" i="2" s="1"/>
  <c r="BM196" i="2" s="1"/>
  <c r="BN196" i="2" s="1"/>
  <c r="BO196" i="2" s="1"/>
  <c r="U196" i="2"/>
  <c r="V196" i="2"/>
  <c r="W196" i="2"/>
  <c r="X196" i="2"/>
  <c r="Y196" i="2"/>
  <c r="Z196" i="2"/>
  <c r="AA196" i="2"/>
  <c r="AB196" i="2"/>
  <c r="AC196" i="2"/>
  <c r="AD196" i="2"/>
  <c r="AE196" i="2"/>
  <c r="T196" i="2"/>
  <c r="AG191" i="2"/>
  <c r="AH191" i="2" s="1"/>
  <c r="AI191" i="2" s="1"/>
  <c r="AJ191" i="2" s="1"/>
  <c r="AK191" i="2" s="1"/>
  <c r="AL191" i="2" s="1"/>
  <c r="AM191" i="2" s="1"/>
  <c r="AN191" i="2" s="1"/>
  <c r="AO191" i="2" s="1"/>
  <c r="AP191" i="2" s="1"/>
  <c r="AQ191" i="2" s="1"/>
  <c r="AR191" i="2" s="1"/>
  <c r="AS191" i="2" s="1"/>
  <c r="AT191" i="2" s="1"/>
  <c r="AU191" i="2" s="1"/>
  <c r="AV191" i="2" s="1"/>
  <c r="AW191" i="2" s="1"/>
  <c r="AX191" i="2" s="1"/>
  <c r="AY191" i="2" s="1"/>
  <c r="AZ191" i="2" s="1"/>
  <c r="BA191" i="2" s="1"/>
  <c r="BB191" i="2" s="1"/>
  <c r="BC191" i="2" s="1"/>
  <c r="BD191" i="2" s="1"/>
  <c r="BE191" i="2" s="1"/>
  <c r="BF191" i="2" s="1"/>
  <c r="BG191" i="2" s="1"/>
  <c r="BH191" i="2" s="1"/>
  <c r="BI191" i="2" s="1"/>
  <c r="BJ191" i="2" s="1"/>
  <c r="BK191" i="2" s="1"/>
  <c r="BL191" i="2" s="1"/>
  <c r="BM191" i="2" s="1"/>
  <c r="BN191" i="2" s="1"/>
  <c r="BO191" i="2" s="1"/>
  <c r="U191" i="2"/>
  <c r="V191" i="2"/>
  <c r="W191" i="2"/>
  <c r="X191" i="2"/>
  <c r="Y191" i="2"/>
  <c r="Z191" i="2"/>
  <c r="AA191" i="2"/>
  <c r="AB191" i="2"/>
  <c r="AC191" i="2"/>
  <c r="AD191" i="2"/>
  <c r="AE191" i="2"/>
  <c r="T191" i="2"/>
  <c r="U296" i="2"/>
  <c r="V296" i="2" s="1"/>
  <c r="W296" i="2" s="1"/>
  <c r="X296" i="2" s="1"/>
  <c r="Y296" i="2" s="1"/>
  <c r="Z296" i="2" s="1"/>
  <c r="AA296" i="2" s="1"/>
  <c r="AB296" i="2" s="1"/>
  <c r="AC296" i="2" s="1"/>
  <c r="AD296" i="2" s="1"/>
  <c r="AE296" i="2" s="1"/>
  <c r="AF296" i="2" s="1"/>
  <c r="AG296" i="2" s="1"/>
  <c r="AH296" i="2" s="1"/>
  <c r="AI296" i="2" s="1"/>
  <c r="AJ296" i="2" s="1"/>
  <c r="AK296" i="2" s="1"/>
  <c r="AL296" i="2" s="1"/>
  <c r="AM296" i="2" s="1"/>
  <c r="AN296" i="2" s="1"/>
  <c r="AO296" i="2" s="1"/>
  <c r="AP296" i="2" s="1"/>
  <c r="AQ296" i="2" s="1"/>
  <c r="AR296" i="2" s="1"/>
  <c r="AS296" i="2" s="1"/>
  <c r="AT296" i="2" s="1"/>
  <c r="AU296" i="2" s="1"/>
  <c r="AV296" i="2" s="1"/>
  <c r="AW296" i="2" s="1"/>
  <c r="AX296" i="2" s="1"/>
  <c r="AY296" i="2" s="1"/>
  <c r="AZ296" i="2" s="1"/>
  <c r="BA296" i="2" s="1"/>
  <c r="BB296" i="2" s="1"/>
  <c r="BC296" i="2" s="1"/>
  <c r="BD296" i="2" s="1"/>
  <c r="BE296" i="2" s="1"/>
  <c r="BF296" i="2" s="1"/>
  <c r="BG296" i="2" s="1"/>
  <c r="BH296" i="2" s="1"/>
  <c r="BI296" i="2" s="1"/>
  <c r="BJ296" i="2" s="1"/>
  <c r="BK296" i="2" s="1"/>
  <c r="BL296" i="2" s="1"/>
  <c r="BM296" i="2" s="1"/>
  <c r="BN296" i="2" s="1"/>
  <c r="BO296" i="2" s="1"/>
  <c r="T299" i="2"/>
  <c r="Y364" i="2"/>
  <c r="T318" i="2"/>
  <c r="T358" i="2" s="1"/>
  <c r="Q205" i="3"/>
  <c r="Q213" i="3" s="1"/>
  <c r="Q185" i="3"/>
  <c r="Q193" i="3" s="1"/>
  <c r="T335" i="2"/>
  <c r="Q210" i="3"/>
  <c r="Q218" i="3" s="1"/>
  <c r="T334" i="2"/>
  <c r="Q209" i="3"/>
  <c r="Q217" i="3" s="1"/>
  <c r="T336" i="2"/>
  <c r="Q211" i="3"/>
  <c r="Q219" i="3" s="1"/>
  <c r="T317" i="2"/>
  <c r="T357" i="2" s="1"/>
  <c r="S339" i="2"/>
  <c r="S340" i="2"/>
  <c r="S341" i="2"/>
  <c r="O72" i="18"/>
  <c r="O73" i="18" s="1"/>
  <c r="N72" i="18"/>
  <c r="N73" i="18" s="1"/>
  <c r="M72" i="18"/>
  <c r="M73" i="18" s="1"/>
  <c r="L72" i="18"/>
  <c r="L73" i="18" s="1"/>
  <c r="K72" i="18"/>
  <c r="K73" i="18" s="1"/>
  <c r="J72" i="18"/>
  <c r="J73" i="18" s="1"/>
  <c r="I72" i="18"/>
  <c r="I73" i="18" s="1"/>
  <c r="H72" i="18"/>
  <c r="H73" i="18" s="1"/>
  <c r="O77" i="18"/>
  <c r="O78" i="18" s="1"/>
  <c r="N77" i="18"/>
  <c r="N78" i="18" s="1"/>
  <c r="M77" i="18"/>
  <c r="M78" i="18" s="1"/>
  <c r="L77" i="18"/>
  <c r="L78" i="18" s="1"/>
  <c r="K77" i="18"/>
  <c r="K78" i="18" s="1"/>
  <c r="J77" i="18"/>
  <c r="J78" i="18" s="1"/>
  <c r="I77" i="18"/>
  <c r="I78" i="18" s="1"/>
  <c r="H77" i="18"/>
  <c r="H78" i="18" s="1"/>
  <c r="Q181" i="15"/>
  <c r="S182" i="15" s="1"/>
  <c r="R65" i="15"/>
  <c r="R66" i="15" s="1"/>
  <c r="R64" i="15"/>
  <c r="S64" i="15" s="1"/>
  <c r="S68" i="15" s="1"/>
  <c r="U349" i="2"/>
  <c r="V349" i="2" s="1"/>
  <c r="W349" i="2" s="1"/>
  <c r="X349" i="2" s="1"/>
  <c r="Y349" i="2" s="1"/>
  <c r="Z349" i="2" s="1"/>
  <c r="AA349" i="2" s="1"/>
  <c r="AB349" i="2" s="1"/>
  <c r="S345" i="2"/>
  <c r="S362" i="2" s="1"/>
  <c r="S166" i="2"/>
  <c r="T166" i="2" s="1"/>
  <c r="U166" i="2" s="1"/>
  <c r="V166" i="2" s="1"/>
  <c r="W166" i="2" s="1"/>
  <c r="X166" i="2" s="1"/>
  <c r="Y166" i="2" s="1"/>
  <c r="Z166" i="2" s="1"/>
  <c r="AA166" i="2" s="1"/>
  <c r="AB166" i="2" s="1"/>
  <c r="AC166" i="2" s="1"/>
  <c r="AD166" i="2" s="1"/>
  <c r="AE166" i="2" s="1"/>
  <c r="AF166" i="2" s="1"/>
  <c r="AG166" i="2" s="1"/>
  <c r="AH166" i="2" s="1"/>
  <c r="AI166" i="2" s="1"/>
  <c r="AJ166" i="2" s="1"/>
  <c r="AK166" i="2" s="1"/>
  <c r="AL166" i="2" s="1"/>
  <c r="AM166" i="2" s="1"/>
  <c r="AN166" i="2" s="1"/>
  <c r="AO166" i="2" s="1"/>
  <c r="AP166" i="2" s="1"/>
  <c r="AQ166" i="2" s="1"/>
  <c r="AR166" i="2" s="1"/>
  <c r="AS166" i="2" s="1"/>
  <c r="AT166" i="2" s="1"/>
  <c r="AU166" i="2" s="1"/>
  <c r="AV166" i="2" s="1"/>
  <c r="AW166" i="2" s="1"/>
  <c r="AX166" i="2" s="1"/>
  <c r="AY166" i="2" s="1"/>
  <c r="AZ166" i="2" s="1"/>
  <c r="BA166" i="2" s="1"/>
  <c r="BB166" i="2" s="1"/>
  <c r="BC166" i="2" s="1"/>
  <c r="BD166" i="2" s="1"/>
  <c r="BE166" i="2" s="1"/>
  <c r="BF166" i="2" s="1"/>
  <c r="BG166" i="2" s="1"/>
  <c r="BH166" i="2" s="1"/>
  <c r="BI166" i="2" s="1"/>
  <c r="BJ166" i="2" s="1"/>
  <c r="BK166" i="2" s="1"/>
  <c r="BL166" i="2" s="1"/>
  <c r="BM166" i="2" s="1"/>
  <c r="BN166" i="2" s="1"/>
  <c r="BO166" i="2" s="1"/>
  <c r="S156" i="2"/>
  <c r="T156" i="2" s="1"/>
  <c r="U156" i="2" s="1"/>
  <c r="V156" i="2" s="1"/>
  <c r="T64" i="15" l="1"/>
  <c r="T68" i="15" s="1"/>
  <c r="S65" i="15"/>
  <c r="S67" i="15" s="1"/>
  <c r="Z364" i="2"/>
  <c r="T345" i="2"/>
  <c r="T362" i="2" s="1"/>
  <c r="U317" i="2"/>
  <c r="U357" i="2" s="1"/>
  <c r="U336" i="2"/>
  <c r="R211" i="3"/>
  <c r="R219" i="3" s="1"/>
  <c r="U334" i="2"/>
  <c r="R209" i="3"/>
  <c r="R217" i="3" s="1"/>
  <c r="U335" i="2"/>
  <c r="R210" i="3"/>
  <c r="R218" i="3" s="1"/>
  <c r="U318" i="2"/>
  <c r="U358" i="2" s="1"/>
  <c r="R205" i="3"/>
  <c r="R213" i="3" s="1"/>
  <c r="R185" i="3"/>
  <c r="R193" i="3" s="1"/>
  <c r="R67" i="15"/>
  <c r="S66" i="15"/>
  <c r="S186" i="15"/>
  <c r="S183" i="15"/>
  <c r="S181" i="15"/>
  <c r="S185" i="15"/>
  <c r="S184" i="15"/>
  <c r="AC349" i="2"/>
  <c r="S149" i="15" l="1"/>
  <c r="S140" i="15"/>
  <c r="S131" i="15"/>
  <c r="S121" i="15"/>
  <c r="S111" i="15"/>
  <c r="U64" i="15"/>
  <c r="T65" i="15"/>
  <c r="T66" i="15" s="1"/>
  <c r="AA364" i="2"/>
  <c r="U345" i="2"/>
  <c r="U362" i="2" s="1"/>
  <c r="V317" i="2"/>
  <c r="V357" i="2" s="1"/>
  <c r="V334" i="2"/>
  <c r="S209" i="3"/>
  <c r="S217" i="3" s="1"/>
  <c r="V335" i="2"/>
  <c r="S210" i="3"/>
  <c r="S218" i="3" s="1"/>
  <c r="V318" i="2"/>
  <c r="V358" i="2" s="1"/>
  <c r="S205" i="3"/>
  <c r="S213" i="3" s="1"/>
  <c r="S185" i="3"/>
  <c r="S193" i="3" s="1"/>
  <c r="V336" i="2"/>
  <c r="S211" i="3"/>
  <c r="S219" i="3" s="1"/>
  <c r="S187" i="15"/>
  <c r="AD349" i="2"/>
  <c r="T71" i="2"/>
  <c r="U71" i="2" s="1"/>
  <c r="V71" i="2" s="1"/>
  <c r="W71" i="2" s="1"/>
  <c r="X71" i="2" s="1"/>
  <c r="Y71" i="2" s="1"/>
  <c r="Z71" i="2" s="1"/>
  <c r="AA71" i="2" s="1"/>
  <c r="AB71" i="2" s="1"/>
  <c r="AC71" i="2" s="1"/>
  <c r="AD71" i="2" s="1"/>
  <c r="AE71" i="2" s="1"/>
  <c r="AF71" i="2" s="1"/>
  <c r="AG71" i="2" s="1"/>
  <c r="AH71" i="2" s="1"/>
  <c r="AI71" i="2" s="1"/>
  <c r="AJ71" i="2" s="1"/>
  <c r="AK71" i="2" s="1"/>
  <c r="AL71" i="2" s="1"/>
  <c r="AM71" i="2" s="1"/>
  <c r="AN71" i="2" s="1"/>
  <c r="AO71" i="2" s="1"/>
  <c r="AP71" i="2" s="1"/>
  <c r="AQ71" i="2" s="1"/>
  <c r="AR71" i="2" s="1"/>
  <c r="AS71" i="2" s="1"/>
  <c r="AT71" i="2" s="1"/>
  <c r="AU71" i="2" s="1"/>
  <c r="AV71" i="2" s="1"/>
  <c r="AW71" i="2" s="1"/>
  <c r="AX71" i="2" s="1"/>
  <c r="AY71" i="2" s="1"/>
  <c r="AZ71" i="2" s="1"/>
  <c r="BA71" i="2" s="1"/>
  <c r="BB71" i="2" s="1"/>
  <c r="BC71" i="2" s="1"/>
  <c r="BD71" i="2" s="1"/>
  <c r="BE71" i="2" s="1"/>
  <c r="BF71" i="2" s="1"/>
  <c r="BG71" i="2" s="1"/>
  <c r="BH71" i="2" s="1"/>
  <c r="BI71" i="2" s="1"/>
  <c r="BJ71" i="2" s="1"/>
  <c r="BK71" i="2" s="1"/>
  <c r="BL71" i="2" s="1"/>
  <c r="BM71" i="2" s="1"/>
  <c r="BN71" i="2" s="1"/>
  <c r="BO71" i="2" s="1"/>
  <c r="U40" i="15" l="1"/>
  <c r="U65" i="15"/>
  <c r="U68" i="15"/>
  <c r="AB364" i="2"/>
  <c r="W317" i="2"/>
  <c r="W357" i="2" s="1"/>
  <c r="V345" i="2"/>
  <c r="V362" i="2" s="1"/>
  <c r="W336" i="2"/>
  <c r="T211" i="3"/>
  <c r="T219" i="3" s="1"/>
  <c r="W318" i="2"/>
  <c r="W358" i="2" s="1"/>
  <c r="T205" i="3"/>
  <c r="T213" i="3" s="1"/>
  <c r="T185" i="3"/>
  <c r="T193" i="3" s="1"/>
  <c r="W335" i="2"/>
  <c r="T210" i="3"/>
  <c r="T218" i="3" s="1"/>
  <c r="W334" i="2"/>
  <c r="T209" i="3"/>
  <c r="T217" i="3" s="1"/>
  <c r="AE349" i="2"/>
  <c r="AO379" i="17"/>
  <c r="AN379" i="17"/>
  <c r="AM379" i="17"/>
  <c r="AL379" i="17"/>
  <c r="AO378" i="17"/>
  <c r="AN378" i="17"/>
  <c r="AM378" i="17"/>
  <c r="AL378" i="17"/>
  <c r="AO377" i="17"/>
  <c r="AN377" i="17"/>
  <c r="AM377" i="17"/>
  <c r="AL377" i="17"/>
  <c r="AO376" i="17"/>
  <c r="AN376" i="17"/>
  <c r="AM376" i="17"/>
  <c r="AL376" i="17"/>
  <c r="AO375" i="17"/>
  <c r="AN375" i="17"/>
  <c r="AM375" i="17"/>
  <c r="AL375" i="17"/>
  <c r="AO374" i="17"/>
  <c r="AN374" i="17"/>
  <c r="AM374" i="17"/>
  <c r="AL374" i="17"/>
  <c r="AO373" i="17"/>
  <c r="AN373" i="17"/>
  <c r="AM373" i="17"/>
  <c r="AL373" i="17"/>
  <c r="AO372" i="17"/>
  <c r="AN372" i="17"/>
  <c r="AM372" i="17"/>
  <c r="AL372" i="17"/>
  <c r="AO371" i="17"/>
  <c r="AN371" i="17"/>
  <c r="AM371" i="17"/>
  <c r="AL371" i="17"/>
  <c r="AO370" i="17"/>
  <c r="AN370" i="17"/>
  <c r="AM370" i="17"/>
  <c r="AL370" i="17"/>
  <c r="AO369" i="17"/>
  <c r="AN369" i="17"/>
  <c r="AM369" i="17"/>
  <c r="AL369" i="17"/>
  <c r="AO368" i="17"/>
  <c r="AN368" i="17"/>
  <c r="AM368" i="17"/>
  <c r="AL368" i="17"/>
  <c r="AO367" i="17"/>
  <c r="AN367" i="17"/>
  <c r="AM367" i="17"/>
  <c r="AL367" i="17"/>
  <c r="AO366" i="17"/>
  <c r="AN366" i="17"/>
  <c r="AM366" i="17"/>
  <c r="AL366" i="17"/>
  <c r="AO365" i="17"/>
  <c r="AN365" i="17"/>
  <c r="AM365" i="17"/>
  <c r="AL365" i="17"/>
  <c r="AJ379" i="17"/>
  <c r="AI379" i="17"/>
  <c r="AH379" i="17"/>
  <c r="AG379" i="17"/>
  <c r="AF379" i="17"/>
  <c r="AE379" i="17"/>
  <c r="AJ378" i="17"/>
  <c r="AI378" i="17"/>
  <c r="AH378" i="17"/>
  <c r="AG378" i="17"/>
  <c r="AF378" i="17"/>
  <c r="AE378" i="17"/>
  <c r="AJ377" i="17"/>
  <c r="AI377" i="17"/>
  <c r="AH377" i="17"/>
  <c r="AG377" i="17"/>
  <c r="AF377" i="17"/>
  <c r="AE377" i="17"/>
  <c r="AJ376" i="17"/>
  <c r="AI376" i="17"/>
  <c r="AH376" i="17"/>
  <c r="AG376" i="17"/>
  <c r="AF376" i="17"/>
  <c r="AE376" i="17"/>
  <c r="AJ375" i="17"/>
  <c r="AI375" i="17"/>
  <c r="AH375" i="17"/>
  <c r="AG375" i="17"/>
  <c r="AF375" i="17"/>
  <c r="AE375" i="17"/>
  <c r="AJ374" i="17"/>
  <c r="AI374" i="17"/>
  <c r="AH374" i="17"/>
  <c r="AG374" i="17"/>
  <c r="AF374" i="17"/>
  <c r="AE374" i="17"/>
  <c r="AJ373" i="17"/>
  <c r="AI373" i="17"/>
  <c r="AH373" i="17"/>
  <c r="AG373" i="17"/>
  <c r="AF373" i="17"/>
  <c r="AE373" i="17"/>
  <c r="AJ372" i="17"/>
  <c r="AI372" i="17"/>
  <c r="AH372" i="17"/>
  <c r="AG372" i="17"/>
  <c r="AF372" i="17"/>
  <c r="AE372" i="17"/>
  <c r="AJ371" i="17"/>
  <c r="AI371" i="17"/>
  <c r="AH371" i="17"/>
  <c r="AG371" i="17"/>
  <c r="AF371" i="17"/>
  <c r="AE371" i="17"/>
  <c r="AJ370" i="17"/>
  <c r="AI370" i="17"/>
  <c r="AH370" i="17"/>
  <c r="AG370" i="17"/>
  <c r="AF370" i="17"/>
  <c r="AE370" i="17"/>
  <c r="AJ369" i="17"/>
  <c r="AI369" i="17"/>
  <c r="AH369" i="17"/>
  <c r="AG369" i="17"/>
  <c r="AF369" i="17"/>
  <c r="AE369" i="17"/>
  <c r="AJ368" i="17"/>
  <c r="AI368" i="17"/>
  <c r="AH368" i="17"/>
  <c r="AG368" i="17"/>
  <c r="AF368" i="17"/>
  <c r="AE368" i="17"/>
  <c r="AJ367" i="17"/>
  <c r="AI367" i="17"/>
  <c r="AH367" i="17"/>
  <c r="AG367" i="17"/>
  <c r="AF367" i="17"/>
  <c r="AE367" i="17"/>
  <c r="AJ366" i="17"/>
  <c r="AI366" i="17"/>
  <c r="AH366" i="17"/>
  <c r="AG366" i="17"/>
  <c r="AF366" i="17"/>
  <c r="AE366" i="17"/>
  <c r="AJ365" i="17"/>
  <c r="AI365" i="17"/>
  <c r="AH365" i="17"/>
  <c r="AG365" i="17"/>
  <c r="AF365" i="17"/>
  <c r="AE365" i="17"/>
  <c r="AC379" i="17"/>
  <c r="AB379" i="17"/>
  <c r="AA379" i="17"/>
  <c r="Z379" i="17"/>
  <c r="Y379" i="17"/>
  <c r="X379" i="17"/>
  <c r="AC378" i="17"/>
  <c r="AB378" i="17"/>
  <c r="AA378" i="17"/>
  <c r="Z378" i="17"/>
  <c r="Y378" i="17"/>
  <c r="X378" i="17"/>
  <c r="AC377" i="17"/>
  <c r="AB377" i="17"/>
  <c r="AA377" i="17"/>
  <c r="Z377" i="17"/>
  <c r="Y377" i="17"/>
  <c r="X377" i="17"/>
  <c r="AC376" i="17"/>
  <c r="AB376" i="17"/>
  <c r="AA376" i="17"/>
  <c r="Z376" i="17"/>
  <c r="Y376" i="17"/>
  <c r="X376" i="17"/>
  <c r="AC375" i="17"/>
  <c r="AB375" i="17"/>
  <c r="AA375" i="17"/>
  <c r="Z375" i="17"/>
  <c r="Y375" i="17"/>
  <c r="X375" i="17"/>
  <c r="AC374" i="17"/>
  <c r="AB374" i="17"/>
  <c r="AA374" i="17"/>
  <c r="Z374" i="17"/>
  <c r="Y374" i="17"/>
  <c r="X374" i="17"/>
  <c r="AC373" i="17"/>
  <c r="AB373" i="17"/>
  <c r="AA373" i="17"/>
  <c r="Z373" i="17"/>
  <c r="Y373" i="17"/>
  <c r="X373" i="17"/>
  <c r="AC372" i="17"/>
  <c r="AB372" i="17"/>
  <c r="AA372" i="17"/>
  <c r="Z372" i="17"/>
  <c r="Y372" i="17"/>
  <c r="X372" i="17"/>
  <c r="AC371" i="17"/>
  <c r="AB371" i="17"/>
  <c r="AA371" i="17"/>
  <c r="Z371" i="17"/>
  <c r="Y371" i="17"/>
  <c r="X371" i="17"/>
  <c r="AC370" i="17"/>
  <c r="AB370" i="17"/>
  <c r="AA370" i="17"/>
  <c r="Z370" i="17"/>
  <c r="Y370" i="17"/>
  <c r="X370" i="17"/>
  <c r="AC369" i="17"/>
  <c r="AB369" i="17"/>
  <c r="AA369" i="17"/>
  <c r="Z369" i="17"/>
  <c r="Y369" i="17"/>
  <c r="X369" i="17"/>
  <c r="AC368" i="17"/>
  <c r="AB368" i="17"/>
  <c r="AA368" i="17"/>
  <c r="Z368" i="17"/>
  <c r="Y368" i="17"/>
  <c r="X368" i="17"/>
  <c r="AC367" i="17"/>
  <c r="AB367" i="17"/>
  <c r="AA367" i="17"/>
  <c r="Z367" i="17"/>
  <c r="Y367" i="17"/>
  <c r="X367" i="17"/>
  <c r="AC366" i="17"/>
  <c r="AB366" i="17"/>
  <c r="AA366" i="17"/>
  <c r="Z366" i="17"/>
  <c r="Y366" i="17"/>
  <c r="X366" i="17"/>
  <c r="AC365" i="17"/>
  <c r="AB365" i="17"/>
  <c r="AA365" i="17"/>
  <c r="Z365" i="17"/>
  <c r="Y365" i="17"/>
  <c r="X365" i="17"/>
  <c r="V379" i="17"/>
  <c r="U379" i="17"/>
  <c r="T379" i="17"/>
  <c r="S379" i="17"/>
  <c r="R379" i="17"/>
  <c r="Q379" i="17"/>
  <c r="V378" i="17"/>
  <c r="U378" i="17"/>
  <c r="T378" i="17"/>
  <c r="S378" i="17"/>
  <c r="R378" i="17"/>
  <c r="Q378" i="17"/>
  <c r="V377" i="17"/>
  <c r="U377" i="17"/>
  <c r="T377" i="17"/>
  <c r="S377" i="17"/>
  <c r="R377" i="17"/>
  <c r="Q377" i="17"/>
  <c r="V376" i="17"/>
  <c r="U376" i="17"/>
  <c r="T376" i="17"/>
  <c r="S376" i="17"/>
  <c r="R376" i="17"/>
  <c r="Q376" i="17"/>
  <c r="V375" i="17"/>
  <c r="U375" i="17"/>
  <c r="T375" i="17"/>
  <c r="S375" i="17"/>
  <c r="R375" i="17"/>
  <c r="Q375" i="17"/>
  <c r="V374" i="17"/>
  <c r="U374" i="17"/>
  <c r="T374" i="17"/>
  <c r="S374" i="17"/>
  <c r="R374" i="17"/>
  <c r="Q374" i="17"/>
  <c r="V373" i="17"/>
  <c r="U373" i="17"/>
  <c r="T373" i="17"/>
  <c r="S373" i="17"/>
  <c r="R373" i="17"/>
  <c r="Q373" i="17"/>
  <c r="V372" i="17"/>
  <c r="U372" i="17"/>
  <c r="T372" i="17"/>
  <c r="S372" i="17"/>
  <c r="R372" i="17"/>
  <c r="Q372" i="17"/>
  <c r="V371" i="17"/>
  <c r="U371" i="17"/>
  <c r="T371" i="17"/>
  <c r="S371" i="17"/>
  <c r="R371" i="17"/>
  <c r="Q371" i="17"/>
  <c r="V370" i="17"/>
  <c r="U370" i="17"/>
  <c r="T370" i="17"/>
  <c r="S370" i="17"/>
  <c r="R370" i="17"/>
  <c r="Q370" i="17"/>
  <c r="V369" i="17"/>
  <c r="U369" i="17"/>
  <c r="T369" i="17"/>
  <c r="S369" i="17"/>
  <c r="R369" i="17"/>
  <c r="Q369" i="17"/>
  <c r="V368" i="17"/>
  <c r="U368" i="17"/>
  <c r="T368" i="17"/>
  <c r="S368" i="17"/>
  <c r="R368" i="17"/>
  <c r="Q368" i="17"/>
  <c r="V367" i="17"/>
  <c r="U367" i="17"/>
  <c r="T367" i="17"/>
  <c r="S367" i="17"/>
  <c r="R367" i="17"/>
  <c r="Q367" i="17"/>
  <c r="V366" i="17"/>
  <c r="U366" i="17"/>
  <c r="T366" i="17"/>
  <c r="S366" i="17"/>
  <c r="R366" i="17"/>
  <c r="Q366" i="17"/>
  <c r="V365" i="17"/>
  <c r="U365" i="17"/>
  <c r="T365" i="17"/>
  <c r="S365" i="17"/>
  <c r="R365" i="17"/>
  <c r="Q365" i="17"/>
  <c r="K365" i="17"/>
  <c r="L365" i="17"/>
  <c r="M365" i="17"/>
  <c r="N365" i="17"/>
  <c r="O365" i="17"/>
  <c r="K366" i="17"/>
  <c r="L366" i="17"/>
  <c r="M366" i="17"/>
  <c r="N366" i="17"/>
  <c r="O366" i="17"/>
  <c r="K367" i="17"/>
  <c r="L367" i="17"/>
  <c r="M367" i="17"/>
  <c r="N367" i="17"/>
  <c r="O367" i="17"/>
  <c r="K368" i="17"/>
  <c r="L368" i="17"/>
  <c r="M368" i="17"/>
  <c r="N368" i="17"/>
  <c r="O368" i="17"/>
  <c r="K369" i="17"/>
  <c r="L369" i="17"/>
  <c r="M369" i="17"/>
  <c r="N369" i="17"/>
  <c r="O369" i="17"/>
  <c r="K370" i="17"/>
  <c r="L370" i="17"/>
  <c r="M370" i="17"/>
  <c r="N370" i="17"/>
  <c r="O370" i="17"/>
  <c r="K371" i="17"/>
  <c r="L371" i="17"/>
  <c r="M371" i="17"/>
  <c r="N371" i="17"/>
  <c r="O371" i="17"/>
  <c r="K372" i="17"/>
  <c r="L372" i="17"/>
  <c r="M372" i="17"/>
  <c r="N372" i="17"/>
  <c r="O372" i="17"/>
  <c r="K373" i="17"/>
  <c r="L373" i="17"/>
  <c r="M373" i="17"/>
  <c r="N373" i="17"/>
  <c r="O373" i="17"/>
  <c r="K374" i="17"/>
  <c r="L374" i="17"/>
  <c r="M374" i="17"/>
  <c r="N374" i="17"/>
  <c r="O374" i="17"/>
  <c r="K375" i="17"/>
  <c r="L375" i="17"/>
  <c r="M375" i="17"/>
  <c r="N375" i="17"/>
  <c r="O375" i="17"/>
  <c r="K376" i="17"/>
  <c r="L376" i="17"/>
  <c r="M376" i="17"/>
  <c r="N376" i="17"/>
  <c r="O376" i="17"/>
  <c r="K377" i="17"/>
  <c r="L377" i="17"/>
  <c r="M377" i="17"/>
  <c r="N377" i="17"/>
  <c r="O377" i="17"/>
  <c r="K378" i="17"/>
  <c r="L378" i="17"/>
  <c r="M378" i="17"/>
  <c r="N378" i="17"/>
  <c r="O378" i="17"/>
  <c r="K379" i="17"/>
  <c r="L379" i="17"/>
  <c r="M379" i="17"/>
  <c r="N379" i="17"/>
  <c r="O379" i="17"/>
  <c r="J366" i="17"/>
  <c r="J367" i="17"/>
  <c r="J368" i="17"/>
  <c r="J369" i="17"/>
  <c r="J370" i="17"/>
  <c r="J371" i="17"/>
  <c r="J372" i="17"/>
  <c r="J373" i="17"/>
  <c r="J374" i="17"/>
  <c r="J375" i="17"/>
  <c r="J376" i="17"/>
  <c r="J377" i="17"/>
  <c r="J378" i="17"/>
  <c r="J379" i="17"/>
  <c r="J365" i="17"/>
  <c r="U67" i="15" l="1"/>
  <c r="U66" i="15"/>
  <c r="V65" i="15"/>
  <c r="V64" i="15"/>
  <c r="AC364" i="2"/>
  <c r="X317" i="2"/>
  <c r="X357" i="2" s="1"/>
  <c r="W345" i="2"/>
  <c r="W362" i="2" s="1"/>
  <c r="X334" i="2"/>
  <c r="U209" i="3"/>
  <c r="U217" i="3" s="1"/>
  <c r="X335" i="2"/>
  <c r="U210" i="3"/>
  <c r="U218" i="3" s="1"/>
  <c r="X318" i="2"/>
  <c r="X358" i="2" s="1"/>
  <c r="U205" i="3"/>
  <c r="U213" i="3" s="1"/>
  <c r="U185" i="3"/>
  <c r="U193" i="3" s="1"/>
  <c r="X336" i="2"/>
  <c r="U211" i="3"/>
  <c r="U219" i="3" s="1"/>
  <c r="AF349" i="2"/>
  <c r="AP4" i="17"/>
  <c r="AQ4" i="17"/>
  <c r="AR4" i="17"/>
  <c r="AS4" i="17"/>
  <c r="AT4" i="17"/>
  <c r="AU4" i="17"/>
  <c r="AV4" i="17"/>
  <c r="AW4" i="17"/>
  <c r="AX4" i="17"/>
  <c r="AY4" i="17"/>
  <c r="AZ4" i="17"/>
  <c r="BA4" i="17"/>
  <c r="BB4" i="17"/>
  <c r="BC4" i="17"/>
  <c r="BD4" i="17"/>
  <c r="BE4" i="17"/>
  <c r="BF4" i="17"/>
  <c r="BG4" i="17"/>
  <c r="BH4" i="17"/>
  <c r="BI4" i="17"/>
  <c r="V40" i="15" l="1"/>
  <c r="V67" i="15"/>
  <c r="V68" i="15"/>
  <c r="W65" i="15"/>
  <c r="W66" i="15" s="1"/>
  <c r="W64" i="15"/>
  <c r="AD364" i="2"/>
  <c r="Y317" i="2"/>
  <c r="Y357" i="2" s="1"/>
  <c r="X345" i="2"/>
  <c r="X362" i="2" s="1"/>
  <c r="Y336" i="2"/>
  <c r="V211" i="3"/>
  <c r="V219" i="3" s="1"/>
  <c r="Y335" i="2"/>
  <c r="V210" i="3"/>
  <c r="V218" i="3" s="1"/>
  <c r="Y318" i="2"/>
  <c r="Y358" i="2" s="1"/>
  <c r="V205" i="3"/>
  <c r="V213" i="3" s="1"/>
  <c r="V185" i="3"/>
  <c r="V193" i="3" s="1"/>
  <c r="Y334" i="2"/>
  <c r="V209" i="3"/>
  <c r="V217" i="3" s="1"/>
  <c r="AG349" i="2"/>
  <c r="K349" i="17"/>
  <c r="K350" i="17"/>
  <c r="K351" i="17"/>
  <c r="K352" i="17"/>
  <c r="K353" i="17"/>
  <c r="K354" i="17"/>
  <c r="K355" i="17"/>
  <c r="K356" i="17"/>
  <c r="K357" i="17"/>
  <c r="K358" i="17"/>
  <c r="K359" i="17"/>
  <c r="K360" i="17"/>
  <c r="K361" i="17"/>
  <c r="K362" i="17"/>
  <c r="K363" i="17"/>
  <c r="J351" i="17"/>
  <c r="J352" i="17"/>
  <c r="J353" i="17"/>
  <c r="J354" i="17"/>
  <c r="J355" i="17"/>
  <c r="J356" i="17"/>
  <c r="J357" i="17"/>
  <c r="J358" i="17"/>
  <c r="J359" i="17"/>
  <c r="J360" i="17"/>
  <c r="J361" i="17"/>
  <c r="J362" i="17"/>
  <c r="J363" i="17"/>
  <c r="K317" i="17"/>
  <c r="K318" i="17"/>
  <c r="K319" i="17"/>
  <c r="K320" i="17"/>
  <c r="K321" i="17"/>
  <c r="K322" i="17"/>
  <c r="K323" i="17"/>
  <c r="K324" i="17"/>
  <c r="K325" i="17"/>
  <c r="K326" i="17"/>
  <c r="K327" i="17"/>
  <c r="K328" i="17"/>
  <c r="K329" i="17"/>
  <c r="K330" i="17"/>
  <c r="K331" i="17"/>
  <c r="J319" i="17"/>
  <c r="J320" i="17"/>
  <c r="J321" i="17"/>
  <c r="J322" i="17"/>
  <c r="J323" i="17"/>
  <c r="J324" i="17"/>
  <c r="J325" i="17"/>
  <c r="J326" i="17"/>
  <c r="J327" i="17"/>
  <c r="J328" i="17"/>
  <c r="J329" i="17"/>
  <c r="J330" i="17"/>
  <c r="J331" i="17"/>
  <c r="K285" i="17"/>
  <c r="K286" i="17"/>
  <c r="K287" i="17"/>
  <c r="K288" i="17"/>
  <c r="K289" i="17"/>
  <c r="K290" i="17"/>
  <c r="K291" i="17"/>
  <c r="K292" i="17"/>
  <c r="K293" i="17"/>
  <c r="K294" i="17"/>
  <c r="K295" i="17"/>
  <c r="K296" i="17"/>
  <c r="K297" i="17"/>
  <c r="K298" i="17"/>
  <c r="J287" i="17"/>
  <c r="J288" i="17"/>
  <c r="J289" i="17"/>
  <c r="J290" i="17"/>
  <c r="J291" i="17"/>
  <c r="J292" i="17"/>
  <c r="J293" i="17"/>
  <c r="J294" i="17"/>
  <c r="J295" i="17"/>
  <c r="J296" i="17"/>
  <c r="J297" i="17"/>
  <c r="J298" i="17"/>
  <c r="J286" i="17"/>
  <c r="J283" i="17"/>
  <c r="J299" i="17" s="1"/>
  <c r="K283" i="17"/>
  <c r="L283" i="17"/>
  <c r="I283" i="17"/>
  <c r="I299" i="17" s="1"/>
  <c r="J317" i="17"/>
  <c r="I317" i="17"/>
  <c r="J350" i="17"/>
  <c r="J349" i="17"/>
  <c r="J318" i="17"/>
  <c r="I286" i="17"/>
  <c r="J285" i="17"/>
  <c r="I285" i="17"/>
  <c r="I349" i="17"/>
  <c r="I351" i="17"/>
  <c r="I352" i="17"/>
  <c r="I353" i="17"/>
  <c r="I354" i="17"/>
  <c r="I355" i="17"/>
  <c r="I356" i="17"/>
  <c r="I357" i="17"/>
  <c r="I358" i="17"/>
  <c r="I359" i="17"/>
  <c r="I360" i="17"/>
  <c r="I361" i="17"/>
  <c r="I362" i="17"/>
  <c r="I363" i="17"/>
  <c r="I350" i="17"/>
  <c r="I319" i="17"/>
  <c r="I320" i="17"/>
  <c r="I321" i="17"/>
  <c r="I322" i="17"/>
  <c r="I323" i="17"/>
  <c r="I324" i="17"/>
  <c r="I325" i="17"/>
  <c r="I326" i="17"/>
  <c r="I327" i="17"/>
  <c r="I328" i="17"/>
  <c r="I329" i="17"/>
  <c r="I330" i="17"/>
  <c r="I331" i="17"/>
  <c r="I318" i="17"/>
  <c r="I287" i="17"/>
  <c r="I288" i="17"/>
  <c r="I289" i="17"/>
  <c r="I290" i="17"/>
  <c r="I291" i="17"/>
  <c r="I292" i="17"/>
  <c r="I293" i="17"/>
  <c r="I294" i="17"/>
  <c r="I295" i="17"/>
  <c r="I296" i="17"/>
  <c r="I297" i="17"/>
  <c r="I298" i="17"/>
  <c r="N4" i="17"/>
  <c r="O4" i="17"/>
  <c r="P4" i="17"/>
  <c r="Q4" i="17"/>
  <c r="R4" i="17"/>
  <c r="S4" i="17"/>
  <c r="T4" i="17"/>
  <c r="U4" i="17"/>
  <c r="V4" i="17"/>
  <c r="W4" i="17"/>
  <c r="X4" i="17"/>
  <c r="Y4" i="17"/>
  <c r="Z4" i="17"/>
  <c r="AA4" i="17"/>
  <c r="AB4" i="17"/>
  <c r="AC4" i="17"/>
  <c r="AD4" i="17"/>
  <c r="AE4" i="17"/>
  <c r="AF4" i="17"/>
  <c r="AG4" i="17"/>
  <c r="AH4" i="17"/>
  <c r="AI4" i="17"/>
  <c r="AJ4" i="17"/>
  <c r="AK4" i="17"/>
  <c r="AL4" i="17"/>
  <c r="AM4" i="17"/>
  <c r="AN4" i="17"/>
  <c r="AO4" i="17"/>
  <c r="M4" i="17"/>
  <c r="M85" i="17" s="1"/>
  <c r="K461" i="17"/>
  <c r="K462" i="17"/>
  <c r="K463" i="17"/>
  <c r="J463" i="17"/>
  <c r="J462" i="17"/>
  <c r="J461" i="17"/>
  <c r="G339" i="2"/>
  <c r="H339" i="2"/>
  <c r="I339" i="2"/>
  <c r="J339" i="2"/>
  <c r="K339" i="2"/>
  <c r="L339" i="2"/>
  <c r="M339" i="2"/>
  <c r="G340" i="2"/>
  <c r="H340" i="2"/>
  <c r="I340" i="2"/>
  <c r="J340" i="2"/>
  <c r="K340" i="2"/>
  <c r="L340" i="2"/>
  <c r="M340" i="2"/>
  <c r="G341" i="2"/>
  <c r="H341" i="2"/>
  <c r="I341" i="2"/>
  <c r="J341" i="2"/>
  <c r="K341" i="2"/>
  <c r="L341" i="2"/>
  <c r="M341" i="2"/>
  <c r="P339" i="2"/>
  <c r="Q339" i="2"/>
  <c r="R339" i="2"/>
  <c r="P340" i="2"/>
  <c r="Q340" i="2"/>
  <c r="R340" i="2"/>
  <c r="P341" i="2"/>
  <c r="Q341" i="2"/>
  <c r="R341" i="2"/>
  <c r="O339" i="2"/>
  <c r="O340" i="2"/>
  <c r="O341" i="2"/>
  <c r="N339" i="2"/>
  <c r="N341" i="2"/>
  <c r="N340" i="2"/>
  <c r="W68" i="15" l="1"/>
  <c r="W40" i="15"/>
  <c r="X65" i="15"/>
  <c r="X64" i="15"/>
  <c r="AE364" i="2"/>
  <c r="Z317" i="2"/>
  <c r="Z357" i="2" s="1"/>
  <c r="Y345" i="2"/>
  <c r="Y362" i="2" s="1"/>
  <c r="Z334" i="2"/>
  <c r="W209" i="3"/>
  <c r="W217" i="3" s="1"/>
  <c r="Z318" i="2"/>
  <c r="Z358" i="2" s="1"/>
  <c r="W205" i="3"/>
  <c r="W213" i="3" s="1"/>
  <c r="W185" i="3"/>
  <c r="W193" i="3" s="1"/>
  <c r="Z335" i="2"/>
  <c r="W210" i="3"/>
  <c r="W218" i="3" s="1"/>
  <c r="Z336" i="2"/>
  <c r="W211" i="3"/>
  <c r="W219" i="3" s="1"/>
  <c r="AH349" i="2"/>
  <c r="B318" i="17"/>
  <c r="L302" i="17" s="1"/>
  <c r="I370" i="17"/>
  <c r="I375" i="17"/>
  <c r="I376" i="17"/>
  <c r="I367" i="17"/>
  <c r="I374" i="17"/>
  <c r="I378" i="17"/>
  <c r="I368" i="17"/>
  <c r="I372" i="17"/>
  <c r="I365" i="17"/>
  <c r="I377" i="17"/>
  <c r="I369" i="17"/>
  <c r="I366" i="17"/>
  <c r="I373" i="17"/>
  <c r="B330" i="17"/>
  <c r="L314" i="17" s="1"/>
  <c r="I379" i="17"/>
  <c r="I371" i="17"/>
  <c r="B319" i="17"/>
  <c r="B326" i="17"/>
  <c r="L310" i="17" s="1"/>
  <c r="B355" i="17"/>
  <c r="L339" i="17" s="1"/>
  <c r="B292" i="17"/>
  <c r="B354" i="17"/>
  <c r="B362" i="17"/>
  <c r="L346" i="17" s="1"/>
  <c r="B317" i="17"/>
  <c r="L301" i="17" s="1"/>
  <c r="B360" i="17"/>
  <c r="B352" i="17"/>
  <c r="B329" i="17"/>
  <c r="L313" i="17" s="1"/>
  <c r="B321" i="17"/>
  <c r="L305" i="17" s="1"/>
  <c r="B325" i="17"/>
  <c r="L309" i="17" s="1"/>
  <c r="B322" i="17"/>
  <c r="L306" i="17" s="1"/>
  <c r="B359" i="17"/>
  <c r="L343" i="17" s="1"/>
  <c r="B351" i="17"/>
  <c r="L335" i="17" s="1"/>
  <c r="B288" i="17"/>
  <c r="N85" i="17"/>
  <c r="B353" i="17"/>
  <c r="L337" i="17" s="1"/>
  <c r="B298" i="17"/>
  <c r="B349" i="17"/>
  <c r="L333" i="17" s="1"/>
  <c r="B297" i="17"/>
  <c r="B357" i="17"/>
  <c r="L341" i="17" s="1"/>
  <c r="B285" i="17"/>
  <c r="B350" i="17"/>
  <c r="B356" i="17"/>
  <c r="L340" i="17" s="1"/>
  <c r="B361" i="17"/>
  <c r="L345" i="17" s="1"/>
  <c r="B296" i="17"/>
  <c r="B327" i="17"/>
  <c r="B293" i="17"/>
  <c r="B294" i="17"/>
  <c r="B295" i="17"/>
  <c r="B287" i="17"/>
  <c r="K299" i="17"/>
  <c r="B291" i="17"/>
  <c r="B358" i="17"/>
  <c r="L342" i="17" s="1"/>
  <c r="B363" i="17"/>
  <c r="B290" i="17"/>
  <c r="B286" i="17"/>
  <c r="B289" i="17"/>
  <c r="B328" i="17"/>
  <c r="L312" i="17" s="1"/>
  <c r="B320" i="17"/>
  <c r="L304" i="17" s="1"/>
  <c r="B324" i="17"/>
  <c r="L308" i="17" s="1"/>
  <c r="B331" i="17"/>
  <c r="B323" i="17"/>
  <c r="L307" i="17" s="1"/>
  <c r="M94" i="17"/>
  <c r="M92" i="17"/>
  <c r="M91" i="17"/>
  <c r="M90" i="17"/>
  <c r="M86" i="17"/>
  <c r="M84" i="17"/>
  <c r="M83" i="17"/>
  <c r="M97" i="17"/>
  <c r="M89" i="17"/>
  <c r="M96" i="17"/>
  <c r="M88" i="17"/>
  <c r="M95" i="17"/>
  <c r="M87" i="17"/>
  <c r="M93" i="17"/>
  <c r="E508" i="17"/>
  <c r="F508" i="17"/>
  <c r="G508" i="17"/>
  <c r="H508" i="17"/>
  <c r="I508" i="17"/>
  <c r="J508" i="17"/>
  <c r="K508" i="17"/>
  <c r="L508" i="17"/>
  <c r="J505" i="17"/>
  <c r="K505" i="17"/>
  <c r="L505" i="17"/>
  <c r="AR505" i="17" s="1"/>
  <c r="M505" i="17"/>
  <c r="AS505" i="17" s="1"/>
  <c r="N505" i="17"/>
  <c r="AT505" i="17" s="1"/>
  <c r="O505" i="17"/>
  <c r="AU505" i="17" s="1"/>
  <c r="P505" i="17"/>
  <c r="AV505" i="17" s="1"/>
  <c r="Q505" i="17"/>
  <c r="AW505" i="17" s="1"/>
  <c r="R505" i="17"/>
  <c r="AX505" i="17" s="1"/>
  <c r="S505" i="17"/>
  <c r="AY505" i="17" s="1"/>
  <c r="T505" i="17"/>
  <c r="AZ505" i="17" s="1"/>
  <c r="U505" i="17"/>
  <c r="BA505" i="17" s="1"/>
  <c r="V505" i="17"/>
  <c r="BB505" i="17" s="1"/>
  <c r="W505" i="17"/>
  <c r="BC505" i="17" s="1"/>
  <c r="X505" i="17"/>
  <c r="BD505" i="17" s="1"/>
  <c r="Y505" i="17"/>
  <c r="BE505" i="17" s="1"/>
  <c r="Z505" i="17"/>
  <c r="BF505" i="17" s="1"/>
  <c r="AA505" i="17"/>
  <c r="BG505" i="17" s="1"/>
  <c r="AB505" i="17"/>
  <c r="BH505" i="17" s="1"/>
  <c r="AC505" i="17"/>
  <c r="BI505" i="17" s="1"/>
  <c r="AD505" i="17"/>
  <c r="BJ505" i="17" s="1"/>
  <c r="AE505" i="17"/>
  <c r="BK505" i="17" s="1"/>
  <c r="AF505" i="17"/>
  <c r="BL505" i="17" s="1"/>
  <c r="AG505" i="17"/>
  <c r="BM505" i="17" s="1"/>
  <c r="AH505" i="17"/>
  <c r="BN505" i="17" s="1"/>
  <c r="AI505" i="17"/>
  <c r="BO505" i="17" s="1"/>
  <c r="AJ505" i="17"/>
  <c r="BP505" i="17" s="1"/>
  <c r="AK505" i="17"/>
  <c r="BQ505" i="17" s="1"/>
  <c r="AL505" i="17"/>
  <c r="BR505" i="17" s="1"/>
  <c r="AM505" i="17"/>
  <c r="BS505" i="17" s="1"/>
  <c r="AN505" i="17"/>
  <c r="BT505" i="17" s="1"/>
  <c r="AO505" i="17"/>
  <c r="BU505" i="17" s="1"/>
  <c r="J506" i="17"/>
  <c r="K506" i="17"/>
  <c r="L506" i="17"/>
  <c r="AR506" i="17" s="1"/>
  <c r="M506" i="17"/>
  <c r="AS506" i="17" s="1"/>
  <c r="N506" i="17"/>
  <c r="AT506" i="17" s="1"/>
  <c r="O506" i="17"/>
  <c r="AU506" i="17" s="1"/>
  <c r="P506" i="17"/>
  <c r="AV506" i="17" s="1"/>
  <c r="Q506" i="17"/>
  <c r="AW506" i="17" s="1"/>
  <c r="R506" i="17"/>
  <c r="AX506" i="17" s="1"/>
  <c r="S506" i="17"/>
  <c r="AY506" i="17" s="1"/>
  <c r="T506" i="17"/>
  <c r="U506" i="17"/>
  <c r="BA506" i="17" s="1"/>
  <c r="V506" i="17"/>
  <c r="BB506" i="17" s="1"/>
  <c r="W506" i="17"/>
  <c r="BC506" i="17" s="1"/>
  <c r="X506" i="17"/>
  <c r="BD506" i="17" s="1"/>
  <c r="Y506" i="17"/>
  <c r="BE506" i="17" s="1"/>
  <c r="Z506" i="17"/>
  <c r="BF506" i="17" s="1"/>
  <c r="AA506" i="17"/>
  <c r="BG506" i="17" s="1"/>
  <c r="AB506" i="17"/>
  <c r="BH506" i="17" s="1"/>
  <c r="AC506" i="17"/>
  <c r="BI506" i="17" s="1"/>
  <c r="AD506" i="17"/>
  <c r="BJ506" i="17" s="1"/>
  <c r="AE506" i="17"/>
  <c r="BK506" i="17" s="1"/>
  <c r="AF506" i="17"/>
  <c r="BL506" i="17" s="1"/>
  <c r="AG506" i="17"/>
  <c r="BM506" i="17" s="1"/>
  <c r="AH506" i="17"/>
  <c r="BN506" i="17" s="1"/>
  <c r="AI506" i="17"/>
  <c r="BO506" i="17" s="1"/>
  <c r="AJ506" i="17"/>
  <c r="BP506" i="17" s="1"/>
  <c r="AK506" i="17"/>
  <c r="BQ506" i="17" s="1"/>
  <c r="AL506" i="17"/>
  <c r="BR506" i="17" s="1"/>
  <c r="AM506" i="17"/>
  <c r="BS506" i="17" s="1"/>
  <c r="AN506" i="17"/>
  <c r="BT506" i="17" s="1"/>
  <c r="AO506" i="17"/>
  <c r="BU506" i="17" s="1"/>
  <c r="J507" i="17"/>
  <c r="K507" i="17"/>
  <c r="L507" i="17"/>
  <c r="AR507" i="17" s="1"/>
  <c r="M507" i="17"/>
  <c r="AS507" i="17" s="1"/>
  <c r="N507" i="17"/>
  <c r="AT507" i="17" s="1"/>
  <c r="O507" i="17"/>
  <c r="AU507" i="17" s="1"/>
  <c r="P507" i="17"/>
  <c r="AV507" i="17" s="1"/>
  <c r="Q507" i="17"/>
  <c r="AW507" i="17" s="1"/>
  <c r="R507" i="17"/>
  <c r="AX507" i="17" s="1"/>
  <c r="S507" i="17"/>
  <c r="AY507" i="17" s="1"/>
  <c r="T507" i="17"/>
  <c r="AZ507" i="17" s="1"/>
  <c r="U507" i="17"/>
  <c r="BA507" i="17" s="1"/>
  <c r="V507" i="17"/>
  <c r="BB507" i="17" s="1"/>
  <c r="W507" i="17"/>
  <c r="BC507" i="17" s="1"/>
  <c r="X507" i="17"/>
  <c r="BD507" i="17" s="1"/>
  <c r="Y507" i="17"/>
  <c r="BE507" i="17" s="1"/>
  <c r="Z507" i="17"/>
  <c r="BF507" i="17" s="1"/>
  <c r="AA507" i="17"/>
  <c r="BG507" i="17" s="1"/>
  <c r="AB507" i="17"/>
  <c r="BH507" i="17" s="1"/>
  <c r="AC507" i="17"/>
  <c r="BI507" i="17" s="1"/>
  <c r="AD507" i="17"/>
  <c r="BJ507" i="17" s="1"/>
  <c r="AE507" i="17"/>
  <c r="BK507" i="17" s="1"/>
  <c r="AF507" i="17"/>
  <c r="BL507" i="17" s="1"/>
  <c r="AG507" i="17"/>
  <c r="BM507" i="17" s="1"/>
  <c r="AH507" i="17"/>
  <c r="BN507" i="17" s="1"/>
  <c r="AI507" i="17"/>
  <c r="BO507" i="17" s="1"/>
  <c r="AJ507" i="17"/>
  <c r="BP507" i="17" s="1"/>
  <c r="AK507" i="17"/>
  <c r="BQ507" i="17" s="1"/>
  <c r="AL507" i="17"/>
  <c r="BR507" i="17" s="1"/>
  <c r="AM507" i="17"/>
  <c r="BS507" i="17" s="1"/>
  <c r="AN507" i="17"/>
  <c r="BT507" i="17" s="1"/>
  <c r="AO507" i="17"/>
  <c r="BU507" i="17" s="1"/>
  <c r="J495" i="17"/>
  <c r="K495" i="17"/>
  <c r="L495" i="17"/>
  <c r="M495" i="17"/>
  <c r="N495" i="17"/>
  <c r="O495" i="17"/>
  <c r="P495" i="17"/>
  <c r="Q495" i="17"/>
  <c r="R495" i="17"/>
  <c r="S495" i="17"/>
  <c r="T495" i="17"/>
  <c r="U495" i="17"/>
  <c r="V495" i="17"/>
  <c r="W495" i="17"/>
  <c r="X495" i="17"/>
  <c r="Y495" i="17"/>
  <c r="Z495" i="17"/>
  <c r="AA495" i="17"/>
  <c r="AB495" i="17"/>
  <c r="AC495" i="17"/>
  <c r="AD495" i="17"/>
  <c r="AE495" i="17"/>
  <c r="AF495" i="17"/>
  <c r="AG495" i="17"/>
  <c r="AH495" i="17"/>
  <c r="AI495" i="17"/>
  <c r="AJ495" i="17"/>
  <c r="AK495" i="17"/>
  <c r="AL495" i="17"/>
  <c r="AM495" i="17"/>
  <c r="AN495" i="17"/>
  <c r="AO495" i="17"/>
  <c r="J496" i="17"/>
  <c r="K496" i="17"/>
  <c r="L496" i="17"/>
  <c r="M496" i="17"/>
  <c r="N496" i="17"/>
  <c r="O496" i="17"/>
  <c r="P496" i="17"/>
  <c r="Q496" i="17"/>
  <c r="R496" i="17"/>
  <c r="S496" i="17"/>
  <c r="T496" i="17"/>
  <c r="U496" i="17"/>
  <c r="V496" i="17"/>
  <c r="W496" i="17"/>
  <c r="X496" i="17"/>
  <c r="Y496" i="17"/>
  <c r="Z496" i="17"/>
  <c r="AA496" i="17"/>
  <c r="AB496" i="17"/>
  <c r="AC496" i="17"/>
  <c r="AD496" i="17"/>
  <c r="AE496" i="17"/>
  <c r="AF496" i="17"/>
  <c r="AG496" i="17"/>
  <c r="AH496" i="17"/>
  <c r="AI496" i="17"/>
  <c r="AJ496" i="17"/>
  <c r="AK496" i="17"/>
  <c r="AL496" i="17"/>
  <c r="AM496" i="17"/>
  <c r="AN496" i="17"/>
  <c r="AO496" i="17"/>
  <c r="J497" i="17"/>
  <c r="K497" i="17"/>
  <c r="L497" i="17"/>
  <c r="M497" i="17"/>
  <c r="N497" i="17"/>
  <c r="O497" i="17"/>
  <c r="P497" i="17"/>
  <c r="Q497" i="17"/>
  <c r="R497" i="17"/>
  <c r="S497" i="17"/>
  <c r="T497" i="17"/>
  <c r="U497" i="17"/>
  <c r="V497" i="17"/>
  <c r="W497" i="17"/>
  <c r="X497" i="17"/>
  <c r="Y497" i="17"/>
  <c r="Z497" i="17"/>
  <c r="AA497" i="17"/>
  <c r="AB497" i="17"/>
  <c r="AC497" i="17"/>
  <c r="AD497" i="17"/>
  <c r="AE497" i="17"/>
  <c r="AF497" i="17"/>
  <c r="AG497" i="17"/>
  <c r="AH497" i="17"/>
  <c r="AI497" i="17"/>
  <c r="AJ497" i="17"/>
  <c r="AK497" i="17"/>
  <c r="AL497" i="17"/>
  <c r="AM497" i="17"/>
  <c r="AN497" i="17"/>
  <c r="AO497" i="17"/>
  <c r="J433" i="17"/>
  <c r="K433" i="17"/>
  <c r="L433" i="17"/>
  <c r="M433" i="17"/>
  <c r="N433" i="17"/>
  <c r="O433" i="17"/>
  <c r="P433" i="17"/>
  <c r="Q433" i="17"/>
  <c r="R433" i="17"/>
  <c r="S433" i="17"/>
  <c r="T433" i="17"/>
  <c r="U433" i="17"/>
  <c r="V433" i="17"/>
  <c r="W433" i="17"/>
  <c r="X433" i="17"/>
  <c r="Y433" i="17"/>
  <c r="Z433" i="17"/>
  <c r="AA433" i="17"/>
  <c r="AB433" i="17"/>
  <c r="AC433" i="17"/>
  <c r="AD433" i="17"/>
  <c r="AE433" i="17"/>
  <c r="AF433" i="17"/>
  <c r="AG433" i="17"/>
  <c r="AH433" i="17"/>
  <c r="AI433" i="17"/>
  <c r="AJ433" i="17"/>
  <c r="AK433" i="17"/>
  <c r="AL433" i="17"/>
  <c r="AM433" i="17"/>
  <c r="AN433" i="17"/>
  <c r="AO433" i="17"/>
  <c r="J434" i="17"/>
  <c r="K434" i="17"/>
  <c r="L434" i="17"/>
  <c r="M434" i="17"/>
  <c r="N434" i="17"/>
  <c r="O434" i="17"/>
  <c r="P434" i="17"/>
  <c r="Q434" i="17"/>
  <c r="R434" i="17"/>
  <c r="S434" i="17"/>
  <c r="T434" i="17"/>
  <c r="U434" i="17"/>
  <c r="V434" i="17"/>
  <c r="W434" i="17"/>
  <c r="X434" i="17"/>
  <c r="Y434" i="17"/>
  <c r="Z434" i="17"/>
  <c r="AA434" i="17"/>
  <c r="AB434" i="17"/>
  <c r="AC434" i="17"/>
  <c r="AD434" i="17"/>
  <c r="AE434" i="17"/>
  <c r="AF434" i="17"/>
  <c r="AG434" i="17"/>
  <c r="AH434" i="17"/>
  <c r="AI434" i="17"/>
  <c r="AJ434" i="17"/>
  <c r="AK434" i="17"/>
  <c r="AL434" i="17"/>
  <c r="AM434" i="17"/>
  <c r="AN434" i="17"/>
  <c r="AO434" i="17"/>
  <c r="J435" i="17"/>
  <c r="K435" i="17"/>
  <c r="L435" i="17"/>
  <c r="M435" i="17"/>
  <c r="N435" i="17"/>
  <c r="O435" i="17"/>
  <c r="P435" i="17"/>
  <c r="Q435" i="17"/>
  <c r="R435" i="17"/>
  <c r="S435" i="17"/>
  <c r="T435" i="17"/>
  <c r="U435" i="17"/>
  <c r="V435" i="17"/>
  <c r="W435" i="17"/>
  <c r="X435" i="17"/>
  <c r="Y435" i="17"/>
  <c r="Z435" i="17"/>
  <c r="AA435" i="17"/>
  <c r="AB435" i="17"/>
  <c r="AC435" i="17"/>
  <c r="AD435" i="17"/>
  <c r="AE435" i="17"/>
  <c r="AF435" i="17"/>
  <c r="AG435" i="17"/>
  <c r="AH435" i="17"/>
  <c r="AI435" i="17"/>
  <c r="AJ435" i="17"/>
  <c r="AK435" i="17"/>
  <c r="AL435" i="17"/>
  <c r="AM435" i="17"/>
  <c r="AN435" i="17"/>
  <c r="AO435" i="17"/>
  <c r="J436" i="17"/>
  <c r="K436" i="17"/>
  <c r="L436" i="17"/>
  <c r="M436" i="17"/>
  <c r="N436" i="17"/>
  <c r="O436" i="17"/>
  <c r="P436" i="17"/>
  <c r="Q436" i="17"/>
  <c r="R436" i="17"/>
  <c r="S436" i="17"/>
  <c r="T436" i="17"/>
  <c r="U436" i="17"/>
  <c r="V436" i="17"/>
  <c r="W436" i="17"/>
  <c r="X436" i="17"/>
  <c r="Y436" i="17"/>
  <c r="Z436" i="17"/>
  <c r="AA436" i="17"/>
  <c r="AB436" i="17"/>
  <c r="AC436" i="17"/>
  <c r="AD436" i="17"/>
  <c r="AE436" i="17"/>
  <c r="AF436" i="17"/>
  <c r="AG436" i="17"/>
  <c r="AH436" i="17"/>
  <c r="AI436" i="17"/>
  <c r="AJ436" i="17"/>
  <c r="AK436" i="17"/>
  <c r="AL436" i="17"/>
  <c r="AM436" i="17"/>
  <c r="AN436" i="17"/>
  <c r="AO436" i="17"/>
  <c r="J437" i="17"/>
  <c r="K437" i="17"/>
  <c r="L437" i="17"/>
  <c r="M437" i="17"/>
  <c r="N437" i="17"/>
  <c r="O437" i="17"/>
  <c r="P437" i="17"/>
  <c r="Q437" i="17"/>
  <c r="R437" i="17"/>
  <c r="S437" i="17"/>
  <c r="T437" i="17"/>
  <c r="U437" i="17"/>
  <c r="V437" i="17"/>
  <c r="W437" i="17"/>
  <c r="X437" i="17"/>
  <c r="Y437" i="17"/>
  <c r="Z437" i="17"/>
  <c r="AA437" i="17"/>
  <c r="AB437" i="17"/>
  <c r="AC437" i="17"/>
  <c r="AD437" i="17"/>
  <c r="AE437" i="17"/>
  <c r="AF437" i="17"/>
  <c r="AG437" i="17"/>
  <c r="AH437" i="17"/>
  <c r="AI437" i="17"/>
  <c r="AJ437" i="17"/>
  <c r="AK437" i="17"/>
  <c r="AL437" i="17"/>
  <c r="AM437" i="17"/>
  <c r="AN437" i="17"/>
  <c r="AO437" i="17"/>
  <c r="J438" i="17"/>
  <c r="K438" i="17"/>
  <c r="L438" i="17"/>
  <c r="M438" i="17"/>
  <c r="N438" i="17"/>
  <c r="O438" i="17"/>
  <c r="P438" i="17"/>
  <c r="Q438" i="17"/>
  <c r="R438" i="17"/>
  <c r="S438" i="17"/>
  <c r="T438" i="17"/>
  <c r="U438" i="17"/>
  <c r="V438" i="17"/>
  <c r="W438" i="17"/>
  <c r="X438" i="17"/>
  <c r="Y438" i="17"/>
  <c r="Z438" i="17"/>
  <c r="AA438" i="17"/>
  <c r="AB438" i="17"/>
  <c r="AC438" i="17"/>
  <c r="AD438" i="17"/>
  <c r="AE438" i="17"/>
  <c r="AF438" i="17"/>
  <c r="AG438" i="17"/>
  <c r="AH438" i="17"/>
  <c r="AI438" i="17"/>
  <c r="AJ438" i="17"/>
  <c r="AK438" i="17"/>
  <c r="AL438" i="17"/>
  <c r="AM438" i="17"/>
  <c r="AN438" i="17"/>
  <c r="AO438" i="17"/>
  <c r="J439" i="17"/>
  <c r="K439" i="17"/>
  <c r="L439" i="17"/>
  <c r="M439" i="17"/>
  <c r="N439" i="17"/>
  <c r="O439" i="17"/>
  <c r="P439" i="17"/>
  <c r="Q439" i="17"/>
  <c r="R439" i="17"/>
  <c r="S439" i="17"/>
  <c r="T439" i="17"/>
  <c r="U439" i="17"/>
  <c r="V439" i="17"/>
  <c r="W439" i="17"/>
  <c r="X439" i="17"/>
  <c r="Y439" i="17"/>
  <c r="Z439" i="17"/>
  <c r="AA439" i="17"/>
  <c r="AB439" i="17"/>
  <c r="AC439" i="17"/>
  <c r="AD439" i="17"/>
  <c r="AE439" i="17"/>
  <c r="AF439" i="17"/>
  <c r="AG439" i="17"/>
  <c r="AH439" i="17"/>
  <c r="AI439" i="17"/>
  <c r="AJ439" i="17"/>
  <c r="AK439" i="17"/>
  <c r="AL439" i="17"/>
  <c r="AM439" i="17"/>
  <c r="AN439" i="17"/>
  <c r="AO439" i="17"/>
  <c r="J440" i="17"/>
  <c r="K440" i="17"/>
  <c r="L440" i="17"/>
  <c r="M440" i="17"/>
  <c r="N440" i="17"/>
  <c r="O440" i="17"/>
  <c r="P440" i="17"/>
  <c r="Q440" i="17"/>
  <c r="R440" i="17"/>
  <c r="S440" i="17"/>
  <c r="T440" i="17"/>
  <c r="U440" i="17"/>
  <c r="V440" i="17"/>
  <c r="W440" i="17"/>
  <c r="X440" i="17"/>
  <c r="Y440" i="17"/>
  <c r="Z440" i="17"/>
  <c r="AA440" i="17"/>
  <c r="AB440" i="17"/>
  <c r="AC440" i="17"/>
  <c r="AD440" i="17"/>
  <c r="AE440" i="17"/>
  <c r="AF440" i="17"/>
  <c r="AG440" i="17"/>
  <c r="AH440" i="17"/>
  <c r="AI440" i="17"/>
  <c r="AJ440" i="17"/>
  <c r="AK440" i="17"/>
  <c r="AL440" i="17"/>
  <c r="AM440" i="17"/>
  <c r="AN440" i="17"/>
  <c r="AO440" i="17"/>
  <c r="J441" i="17"/>
  <c r="K441" i="17"/>
  <c r="L441" i="17"/>
  <c r="M441" i="17"/>
  <c r="N441" i="17"/>
  <c r="O441" i="17"/>
  <c r="P441" i="17"/>
  <c r="Q441" i="17"/>
  <c r="R441" i="17"/>
  <c r="S441" i="17"/>
  <c r="T441" i="17"/>
  <c r="U441" i="17"/>
  <c r="V441" i="17"/>
  <c r="W441" i="17"/>
  <c r="X441" i="17"/>
  <c r="Y441" i="17"/>
  <c r="Z441" i="17"/>
  <c r="AA441" i="17"/>
  <c r="AB441" i="17"/>
  <c r="AC441" i="17"/>
  <c r="AD441" i="17"/>
  <c r="AE441" i="17"/>
  <c r="AF441" i="17"/>
  <c r="AG441" i="17"/>
  <c r="AH441" i="17"/>
  <c r="AI441" i="17"/>
  <c r="AJ441" i="17"/>
  <c r="AK441" i="17"/>
  <c r="AL441" i="17"/>
  <c r="AM441" i="17"/>
  <c r="AN441" i="17"/>
  <c r="AO441" i="17"/>
  <c r="J442" i="17"/>
  <c r="K442" i="17"/>
  <c r="L442" i="17"/>
  <c r="M442" i="17"/>
  <c r="N442" i="17"/>
  <c r="O442" i="17"/>
  <c r="P442" i="17"/>
  <c r="Q442" i="17"/>
  <c r="R442" i="17"/>
  <c r="S442" i="17"/>
  <c r="T442" i="17"/>
  <c r="U442" i="17"/>
  <c r="V442" i="17"/>
  <c r="W442" i="17"/>
  <c r="X442" i="17"/>
  <c r="Y442" i="17"/>
  <c r="Z442" i="17"/>
  <c r="AA442" i="17"/>
  <c r="AB442" i="17"/>
  <c r="AC442" i="17"/>
  <c r="AD442" i="17"/>
  <c r="AE442" i="17"/>
  <c r="AF442" i="17"/>
  <c r="AG442" i="17"/>
  <c r="AH442" i="17"/>
  <c r="AI442" i="17"/>
  <c r="AJ442" i="17"/>
  <c r="AK442" i="17"/>
  <c r="AL442" i="17"/>
  <c r="AM442" i="17"/>
  <c r="AN442" i="17"/>
  <c r="AO442" i="17"/>
  <c r="J443" i="17"/>
  <c r="K443" i="17"/>
  <c r="L443" i="17"/>
  <c r="M443" i="17"/>
  <c r="N443" i="17"/>
  <c r="O443" i="17"/>
  <c r="P443" i="17"/>
  <c r="Q443" i="17"/>
  <c r="R443" i="17"/>
  <c r="S443" i="17"/>
  <c r="T443" i="17"/>
  <c r="U443" i="17"/>
  <c r="V443" i="17"/>
  <c r="W443" i="17"/>
  <c r="X443" i="17"/>
  <c r="Y443" i="17"/>
  <c r="Z443" i="17"/>
  <c r="AA443" i="17"/>
  <c r="AB443" i="17"/>
  <c r="AC443" i="17"/>
  <c r="AD443" i="17"/>
  <c r="AE443" i="17"/>
  <c r="AF443" i="17"/>
  <c r="AG443" i="17"/>
  <c r="AH443" i="17"/>
  <c r="AI443" i="17"/>
  <c r="AJ443" i="17"/>
  <c r="AK443" i="17"/>
  <c r="AL443" i="17"/>
  <c r="AM443" i="17"/>
  <c r="AN443" i="17"/>
  <c r="AO443" i="17"/>
  <c r="J444" i="17"/>
  <c r="K444" i="17"/>
  <c r="L444" i="17"/>
  <c r="M444" i="17"/>
  <c r="N444" i="17"/>
  <c r="O444" i="17"/>
  <c r="P444" i="17"/>
  <c r="Q444" i="17"/>
  <c r="R444" i="17"/>
  <c r="S444" i="17"/>
  <c r="T444" i="17"/>
  <c r="U444" i="17"/>
  <c r="V444" i="17"/>
  <c r="W444" i="17"/>
  <c r="X444" i="17"/>
  <c r="Y444" i="17"/>
  <c r="Z444" i="17"/>
  <c r="AA444" i="17"/>
  <c r="AB444" i="17"/>
  <c r="AC444" i="17"/>
  <c r="AD444" i="17"/>
  <c r="AE444" i="17"/>
  <c r="AF444" i="17"/>
  <c r="AG444" i="17"/>
  <c r="AH444" i="17"/>
  <c r="AI444" i="17"/>
  <c r="AJ444" i="17"/>
  <c r="AK444" i="17"/>
  <c r="AL444" i="17"/>
  <c r="AM444" i="17"/>
  <c r="AN444" i="17"/>
  <c r="AO444" i="17"/>
  <c r="J445" i="17"/>
  <c r="K445" i="17"/>
  <c r="L445" i="17"/>
  <c r="M445" i="17"/>
  <c r="N445" i="17"/>
  <c r="O445" i="17"/>
  <c r="P445" i="17"/>
  <c r="Q445" i="17"/>
  <c r="R445" i="17"/>
  <c r="S445" i="17"/>
  <c r="T445" i="17"/>
  <c r="U445" i="17"/>
  <c r="V445" i="17"/>
  <c r="W445" i="17"/>
  <c r="X445" i="17"/>
  <c r="Y445" i="17"/>
  <c r="Z445" i="17"/>
  <c r="AA445" i="17"/>
  <c r="AB445" i="17"/>
  <c r="AC445" i="17"/>
  <c r="AD445" i="17"/>
  <c r="AE445" i="17"/>
  <c r="AF445" i="17"/>
  <c r="AG445" i="17"/>
  <c r="AH445" i="17"/>
  <c r="AI445" i="17"/>
  <c r="AJ445" i="17"/>
  <c r="AK445" i="17"/>
  <c r="AL445" i="17"/>
  <c r="AM445" i="17"/>
  <c r="AN445" i="17"/>
  <c r="AO445" i="17"/>
  <c r="J446" i="17"/>
  <c r="K446" i="17"/>
  <c r="L446" i="17"/>
  <c r="M446" i="17"/>
  <c r="N446" i="17"/>
  <c r="O446" i="17"/>
  <c r="P446" i="17"/>
  <c r="Q446" i="17"/>
  <c r="R446" i="17"/>
  <c r="S446" i="17"/>
  <c r="T446" i="17"/>
  <c r="U446" i="17"/>
  <c r="V446" i="17"/>
  <c r="W446" i="17"/>
  <c r="X446" i="17"/>
  <c r="Y446" i="17"/>
  <c r="Z446" i="17"/>
  <c r="AA446" i="17"/>
  <c r="AB446" i="17"/>
  <c r="AC446" i="17"/>
  <c r="AD446" i="17"/>
  <c r="AE446" i="17"/>
  <c r="AF446" i="17"/>
  <c r="AG446" i="17"/>
  <c r="AH446" i="17"/>
  <c r="AI446" i="17"/>
  <c r="AJ446" i="17"/>
  <c r="AK446" i="17"/>
  <c r="AL446" i="17"/>
  <c r="AM446" i="17"/>
  <c r="AN446" i="17"/>
  <c r="AO446" i="17"/>
  <c r="J447" i="17"/>
  <c r="K447" i="17"/>
  <c r="L447" i="17"/>
  <c r="M447" i="17"/>
  <c r="N447" i="17"/>
  <c r="O447" i="17"/>
  <c r="P447" i="17"/>
  <c r="Q447" i="17"/>
  <c r="R447" i="17"/>
  <c r="S447" i="17"/>
  <c r="T447" i="17"/>
  <c r="U447" i="17"/>
  <c r="V447" i="17"/>
  <c r="W447" i="17"/>
  <c r="X447" i="17"/>
  <c r="Y447" i="17"/>
  <c r="Z447" i="17"/>
  <c r="AA447" i="17"/>
  <c r="AB447" i="17"/>
  <c r="AC447" i="17"/>
  <c r="AD447" i="17"/>
  <c r="AE447" i="17"/>
  <c r="AF447" i="17"/>
  <c r="AG447" i="17"/>
  <c r="AH447" i="17"/>
  <c r="AI447" i="17"/>
  <c r="AJ447" i="17"/>
  <c r="AK447" i="17"/>
  <c r="AL447" i="17"/>
  <c r="AM447" i="17"/>
  <c r="AN447" i="17"/>
  <c r="AO447" i="17"/>
  <c r="I506" i="17"/>
  <c r="I507" i="17"/>
  <c r="I505" i="17"/>
  <c r="AZ506" i="17"/>
  <c r="I497" i="17"/>
  <c r="I496" i="17"/>
  <c r="I495" i="17"/>
  <c r="I434" i="17"/>
  <c r="I435" i="17"/>
  <c r="I436" i="17"/>
  <c r="I437" i="17"/>
  <c r="I438" i="17"/>
  <c r="I439" i="17"/>
  <c r="I440" i="17"/>
  <c r="I441" i="17"/>
  <c r="I442" i="17"/>
  <c r="I443" i="17"/>
  <c r="I444" i="17"/>
  <c r="I445" i="17"/>
  <c r="I446" i="17"/>
  <c r="I447" i="17"/>
  <c r="I433" i="17"/>
  <c r="J399" i="17"/>
  <c r="K399" i="17"/>
  <c r="L399" i="17"/>
  <c r="M399" i="17"/>
  <c r="N399" i="17"/>
  <c r="O399" i="17"/>
  <c r="P399" i="17"/>
  <c r="Q399" i="17"/>
  <c r="R399" i="17"/>
  <c r="S399" i="17"/>
  <c r="T399" i="17"/>
  <c r="U399" i="17"/>
  <c r="V399" i="17"/>
  <c r="W399" i="17"/>
  <c r="X399" i="17"/>
  <c r="Y399" i="17"/>
  <c r="Z399" i="17"/>
  <c r="AA399" i="17"/>
  <c r="AB399" i="17"/>
  <c r="AC399" i="17"/>
  <c r="AD399" i="17"/>
  <c r="AE399" i="17"/>
  <c r="AF399" i="17"/>
  <c r="AG399" i="17"/>
  <c r="AH399" i="17"/>
  <c r="AI399" i="17"/>
  <c r="AJ399" i="17"/>
  <c r="AK399" i="17"/>
  <c r="AL399" i="17"/>
  <c r="AM399" i="17"/>
  <c r="AN399" i="17"/>
  <c r="AO399" i="17"/>
  <c r="J400" i="17"/>
  <c r="K400" i="17"/>
  <c r="L400" i="17"/>
  <c r="M400" i="17"/>
  <c r="N400" i="17"/>
  <c r="O400" i="17"/>
  <c r="P400" i="17"/>
  <c r="Q400" i="17"/>
  <c r="R400" i="17"/>
  <c r="S400" i="17"/>
  <c r="T400" i="17"/>
  <c r="U400" i="17"/>
  <c r="V400" i="17"/>
  <c r="W400" i="17"/>
  <c r="X400" i="17"/>
  <c r="Y400" i="17"/>
  <c r="Z400" i="17"/>
  <c r="AA400" i="17"/>
  <c r="AB400" i="17"/>
  <c r="AC400" i="17"/>
  <c r="AD400" i="17"/>
  <c r="AE400" i="17"/>
  <c r="AF400" i="17"/>
  <c r="AG400" i="17"/>
  <c r="AH400" i="17"/>
  <c r="AI400" i="17"/>
  <c r="AJ400" i="17"/>
  <c r="AK400" i="17"/>
  <c r="AL400" i="17"/>
  <c r="AM400" i="17"/>
  <c r="AN400" i="17"/>
  <c r="AO400" i="17"/>
  <c r="J401" i="17"/>
  <c r="K401" i="17"/>
  <c r="L401" i="17"/>
  <c r="M401" i="17"/>
  <c r="N401" i="17"/>
  <c r="O401" i="17"/>
  <c r="P401" i="17"/>
  <c r="Q401" i="17"/>
  <c r="R401" i="17"/>
  <c r="S401" i="17"/>
  <c r="T401" i="17"/>
  <c r="U401" i="17"/>
  <c r="V401" i="17"/>
  <c r="W401" i="17"/>
  <c r="X401" i="17"/>
  <c r="Y401" i="17"/>
  <c r="Z401" i="17"/>
  <c r="AA401" i="17"/>
  <c r="AB401" i="17"/>
  <c r="AC401" i="17"/>
  <c r="AD401" i="17"/>
  <c r="AE401" i="17"/>
  <c r="AF401" i="17"/>
  <c r="AG401" i="17"/>
  <c r="AH401" i="17"/>
  <c r="AI401" i="17"/>
  <c r="AJ401" i="17"/>
  <c r="AK401" i="17"/>
  <c r="AL401" i="17"/>
  <c r="AM401" i="17"/>
  <c r="AN401" i="17"/>
  <c r="AO401" i="17"/>
  <c r="J402" i="17"/>
  <c r="K402" i="17"/>
  <c r="L402" i="17"/>
  <c r="M402" i="17"/>
  <c r="N402" i="17"/>
  <c r="O402" i="17"/>
  <c r="P402" i="17"/>
  <c r="Q402" i="17"/>
  <c r="R402" i="17"/>
  <c r="S402" i="17"/>
  <c r="T402" i="17"/>
  <c r="U402" i="17"/>
  <c r="V402" i="17"/>
  <c r="W402" i="17"/>
  <c r="X402" i="17"/>
  <c r="Y402" i="17"/>
  <c r="Z402" i="17"/>
  <c r="AA402" i="17"/>
  <c r="AB402" i="17"/>
  <c r="AC402" i="17"/>
  <c r="AD402" i="17"/>
  <c r="AE402" i="17"/>
  <c r="AF402" i="17"/>
  <c r="AG402" i="17"/>
  <c r="AH402" i="17"/>
  <c r="AI402" i="17"/>
  <c r="AJ402" i="17"/>
  <c r="AK402" i="17"/>
  <c r="AL402" i="17"/>
  <c r="AM402" i="17"/>
  <c r="AN402" i="17"/>
  <c r="AO402" i="17"/>
  <c r="J403" i="17"/>
  <c r="K403" i="17"/>
  <c r="L403" i="17"/>
  <c r="M403" i="17"/>
  <c r="N403" i="17"/>
  <c r="O403" i="17"/>
  <c r="P403" i="17"/>
  <c r="Q403" i="17"/>
  <c r="R403" i="17"/>
  <c r="S403" i="17"/>
  <c r="T403" i="17"/>
  <c r="U403" i="17"/>
  <c r="V403" i="17"/>
  <c r="W403" i="17"/>
  <c r="X403" i="17"/>
  <c r="Y403" i="17"/>
  <c r="Z403" i="17"/>
  <c r="AA403" i="17"/>
  <c r="AB403" i="17"/>
  <c r="AC403" i="17"/>
  <c r="AD403" i="17"/>
  <c r="AE403" i="17"/>
  <c r="AF403" i="17"/>
  <c r="AG403" i="17"/>
  <c r="AH403" i="17"/>
  <c r="AI403" i="17"/>
  <c r="AJ403" i="17"/>
  <c r="AK403" i="17"/>
  <c r="AL403" i="17"/>
  <c r="AM403" i="17"/>
  <c r="AN403" i="17"/>
  <c r="AO403" i="17"/>
  <c r="J404" i="17"/>
  <c r="K404" i="17"/>
  <c r="L404" i="17"/>
  <c r="M404" i="17"/>
  <c r="N404" i="17"/>
  <c r="O404" i="17"/>
  <c r="P404" i="17"/>
  <c r="Q404" i="17"/>
  <c r="R404" i="17"/>
  <c r="S404" i="17"/>
  <c r="T404" i="17"/>
  <c r="U404" i="17"/>
  <c r="V404" i="17"/>
  <c r="W404" i="17"/>
  <c r="X404" i="17"/>
  <c r="Y404" i="17"/>
  <c r="Z404" i="17"/>
  <c r="AA404" i="17"/>
  <c r="AB404" i="17"/>
  <c r="AC404" i="17"/>
  <c r="AD404" i="17"/>
  <c r="AE404" i="17"/>
  <c r="AF404" i="17"/>
  <c r="AG404" i="17"/>
  <c r="AH404" i="17"/>
  <c r="AI404" i="17"/>
  <c r="AJ404" i="17"/>
  <c r="AK404" i="17"/>
  <c r="AL404" i="17"/>
  <c r="AM404" i="17"/>
  <c r="AN404" i="17"/>
  <c r="AO404" i="17"/>
  <c r="J405" i="17"/>
  <c r="K405" i="17"/>
  <c r="L405" i="17"/>
  <c r="M405" i="17"/>
  <c r="N405" i="17"/>
  <c r="O405" i="17"/>
  <c r="P405" i="17"/>
  <c r="Q405" i="17"/>
  <c r="R405" i="17"/>
  <c r="S405" i="17"/>
  <c r="T405" i="17"/>
  <c r="U405" i="17"/>
  <c r="V405" i="17"/>
  <c r="W405" i="17"/>
  <c r="X405" i="17"/>
  <c r="Y405" i="17"/>
  <c r="Z405" i="17"/>
  <c r="AA405" i="17"/>
  <c r="AB405" i="17"/>
  <c r="AC405" i="17"/>
  <c r="AD405" i="17"/>
  <c r="AE405" i="17"/>
  <c r="AF405" i="17"/>
  <c r="AG405" i="17"/>
  <c r="AH405" i="17"/>
  <c r="AI405" i="17"/>
  <c r="AJ405" i="17"/>
  <c r="AK405" i="17"/>
  <c r="AL405" i="17"/>
  <c r="AM405" i="17"/>
  <c r="AN405" i="17"/>
  <c r="AO405" i="17"/>
  <c r="J406" i="17"/>
  <c r="K406" i="17"/>
  <c r="L406" i="17"/>
  <c r="M406" i="17"/>
  <c r="N406" i="17"/>
  <c r="O406" i="17"/>
  <c r="P406" i="17"/>
  <c r="Q406" i="17"/>
  <c r="R406" i="17"/>
  <c r="S406" i="17"/>
  <c r="T406" i="17"/>
  <c r="U406" i="17"/>
  <c r="V406" i="17"/>
  <c r="W406" i="17"/>
  <c r="X406" i="17"/>
  <c r="Y406" i="17"/>
  <c r="Z406" i="17"/>
  <c r="AA406" i="17"/>
  <c r="AB406" i="17"/>
  <c r="AC406" i="17"/>
  <c r="AD406" i="17"/>
  <c r="AE406" i="17"/>
  <c r="AF406" i="17"/>
  <c r="AG406" i="17"/>
  <c r="AH406" i="17"/>
  <c r="AI406" i="17"/>
  <c r="AJ406" i="17"/>
  <c r="AK406" i="17"/>
  <c r="AL406" i="17"/>
  <c r="AM406" i="17"/>
  <c r="AN406" i="17"/>
  <c r="AO406" i="17"/>
  <c r="J407" i="17"/>
  <c r="K407" i="17"/>
  <c r="L407" i="17"/>
  <c r="M407" i="17"/>
  <c r="N407" i="17"/>
  <c r="O407" i="17"/>
  <c r="P407" i="17"/>
  <c r="Q407" i="17"/>
  <c r="R407" i="17"/>
  <c r="S407" i="17"/>
  <c r="T407" i="17"/>
  <c r="U407" i="17"/>
  <c r="V407" i="17"/>
  <c r="W407" i="17"/>
  <c r="X407" i="17"/>
  <c r="Y407" i="17"/>
  <c r="Z407" i="17"/>
  <c r="AA407" i="17"/>
  <c r="AB407" i="17"/>
  <c r="AC407" i="17"/>
  <c r="AD407" i="17"/>
  <c r="AE407" i="17"/>
  <c r="AF407" i="17"/>
  <c r="AG407" i="17"/>
  <c r="AH407" i="17"/>
  <c r="AI407" i="17"/>
  <c r="AJ407" i="17"/>
  <c r="AK407" i="17"/>
  <c r="AL407" i="17"/>
  <c r="AM407" i="17"/>
  <c r="AN407" i="17"/>
  <c r="AO407" i="17"/>
  <c r="J408" i="17"/>
  <c r="K408" i="17"/>
  <c r="L408" i="17"/>
  <c r="M408" i="17"/>
  <c r="N408" i="17"/>
  <c r="O408" i="17"/>
  <c r="P408" i="17"/>
  <c r="Q408" i="17"/>
  <c r="R408" i="17"/>
  <c r="S408" i="17"/>
  <c r="T408" i="17"/>
  <c r="U408" i="17"/>
  <c r="V408" i="17"/>
  <c r="W408" i="17"/>
  <c r="X408" i="17"/>
  <c r="Y408" i="17"/>
  <c r="Z408" i="17"/>
  <c r="AA408" i="17"/>
  <c r="AB408" i="17"/>
  <c r="AC408" i="17"/>
  <c r="AD408" i="17"/>
  <c r="AE408" i="17"/>
  <c r="AF408" i="17"/>
  <c r="AG408" i="17"/>
  <c r="AH408" i="17"/>
  <c r="AI408" i="17"/>
  <c r="AJ408" i="17"/>
  <c r="AK408" i="17"/>
  <c r="AL408" i="17"/>
  <c r="AM408" i="17"/>
  <c r="AN408" i="17"/>
  <c r="AO408" i="17"/>
  <c r="J409" i="17"/>
  <c r="K409" i="17"/>
  <c r="L409" i="17"/>
  <c r="M409" i="17"/>
  <c r="N409" i="17"/>
  <c r="O409" i="17"/>
  <c r="P409" i="17"/>
  <c r="Q409" i="17"/>
  <c r="R409" i="17"/>
  <c r="S409" i="17"/>
  <c r="T409" i="17"/>
  <c r="U409" i="17"/>
  <c r="V409" i="17"/>
  <c r="W409" i="17"/>
  <c r="X409" i="17"/>
  <c r="Y409" i="17"/>
  <c r="Z409" i="17"/>
  <c r="AA409" i="17"/>
  <c r="AB409" i="17"/>
  <c r="AC409" i="17"/>
  <c r="AD409" i="17"/>
  <c r="AE409" i="17"/>
  <c r="AF409" i="17"/>
  <c r="AG409" i="17"/>
  <c r="AH409" i="17"/>
  <c r="AI409" i="17"/>
  <c r="AJ409" i="17"/>
  <c r="AK409" i="17"/>
  <c r="AL409" i="17"/>
  <c r="AM409" i="17"/>
  <c r="AN409" i="17"/>
  <c r="AO409" i="17"/>
  <c r="J410" i="17"/>
  <c r="K410" i="17"/>
  <c r="L410" i="17"/>
  <c r="M410" i="17"/>
  <c r="N410" i="17"/>
  <c r="O410" i="17"/>
  <c r="P410" i="17"/>
  <c r="Q410" i="17"/>
  <c r="R410" i="17"/>
  <c r="S410" i="17"/>
  <c r="T410" i="17"/>
  <c r="U410" i="17"/>
  <c r="V410" i="17"/>
  <c r="W410" i="17"/>
  <c r="X410" i="17"/>
  <c r="Y410" i="17"/>
  <c r="Z410" i="17"/>
  <c r="AA410" i="17"/>
  <c r="AB410" i="17"/>
  <c r="AC410" i="17"/>
  <c r="AD410" i="17"/>
  <c r="AE410" i="17"/>
  <c r="AF410" i="17"/>
  <c r="AG410" i="17"/>
  <c r="AH410" i="17"/>
  <c r="AI410" i="17"/>
  <c r="AJ410" i="17"/>
  <c r="AK410" i="17"/>
  <c r="AL410" i="17"/>
  <c r="AM410" i="17"/>
  <c r="AN410" i="17"/>
  <c r="AO410" i="17"/>
  <c r="J411" i="17"/>
  <c r="K411" i="17"/>
  <c r="L411" i="17"/>
  <c r="M411" i="17"/>
  <c r="N411" i="17"/>
  <c r="O411" i="17"/>
  <c r="P411" i="17"/>
  <c r="Q411" i="17"/>
  <c r="R411" i="17"/>
  <c r="S411" i="17"/>
  <c r="T411" i="17"/>
  <c r="U411" i="17"/>
  <c r="V411" i="17"/>
  <c r="W411" i="17"/>
  <c r="X411" i="17"/>
  <c r="Y411" i="17"/>
  <c r="Z411" i="17"/>
  <c r="AA411" i="17"/>
  <c r="AB411" i="17"/>
  <c r="AC411" i="17"/>
  <c r="AD411" i="17"/>
  <c r="AE411" i="17"/>
  <c r="AF411" i="17"/>
  <c r="AG411" i="17"/>
  <c r="AH411" i="17"/>
  <c r="AI411" i="17"/>
  <c r="AJ411" i="17"/>
  <c r="AK411" i="17"/>
  <c r="AL411" i="17"/>
  <c r="AM411" i="17"/>
  <c r="AN411" i="17"/>
  <c r="AO411" i="17"/>
  <c r="J412" i="17"/>
  <c r="K412" i="17"/>
  <c r="L412" i="17"/>
  <c r="M412" i="17"/>
  <c r="N412" i="17"/>
  <c r="O412" i="17"/>
  <c r="P412" i="17"/>
  <c r="Q412" i="17"/>
  <c r="R412" i="17"/>
  <c r="S412" i="17"/>
  <c r="T412" i="17"/>
  <c r="U412" i="17"/>
  <c r="V412" i="17"/>
  <c r="W412" i="17"/>
  <c r="X412" i="17"/>
  <c r="Y412" i="17"/>
  <c r="Z412" i="17"/>
  <c r="AA412" i="17"/>
  <c r="AB412" i="17"/>
  <c r="AC412" i="17"/>
  <c r="AD412" i="17"/>
  <c r="AE412" i="17"/>
  <c r="AF412" i="17"/>
  <c r="AG412" i="17"/>
  <c r="AH412" i="17"/>
  <c r="AI412" i="17"/>
  <c r="AJ412" i="17"/>
  <c r="AK412" i="17"/>
  <c r="AL412" i="17"/>
  <c r="AM412" i="17"/>
  <c r="AN412" i="17"/>
  <c r="AO412" i="17"/>
  <c r="J413" i="17"/>
  <c r="K413" i="17"/>
  <c r="L413" i="17"/>
  <c r="M413" i="17"/>
  <c r="N413" i="17"/>
  <c r="O413" i="17"/>
  <c r="P413" i="17"/>
  <c r="Q413" i="17"/>
  <c r="R413" i="17"/>
  <c r="S413" i="17"/>
  <c r="T413" i="17"/>
  <c r="U413" i="17"/>
  <c r="V413" i="17"/>
  <c r="W413" i="17"/>
  <c r="X413" i="17"/>
  <c r="Y413" i="17"/>
  <c r="Z413" i="17"/>
  <c r="AA413" i="17"/>
  <c r="AB413" i="17"/>
  <c r="AC413" i="17"/>
  <c r="AD413" i="17"/>
  <c r="AE413" i="17"/>
  <c r="AF413" i="17"/>
  <c r="AG413" i="17"/>
  <c r="AH413" i="17"/>
  <c r="AI413" i="17"/>
  <c r="AJ413" i="17"/>
  <c r="AK413" i="17"/>
  <c r="AL413" i="17"/>
  <c r="AM413" i="17"/>
  <c r="AN413" i="17"/>
  <c r="AO413" i="17"/>
  <c r="I400" i="17"/>
  <c r="I401" i="17"/>
  <c r="I402" i="17"/>
  <c r="I403" i="17"/>
  <c r="I404" i="17"/>
  <c r="I405" i="17"/>
  <c r="I406" i="17"/>
  <c r="I407" i="17"/>
  <c r="I408" i="17"/>
  <c r="I409" i="17"/>
  <c r="I410" i="17"/>
  <c r="I411" i="17"/>
  <c r="I412" i="17"/>
  <c r="I413" i="17"/>
  <c r="I399" i="17"/>
  <c r="X68" i="15" l="1"/>
  <c r="X40" i="15"/>
  <c r="Y65" i="15"/>
  <c r="Y64" i="15"/>
  <c r="AF364" i="2"/>
  <c r="AA317" i="2"/>
  <c r="AA357" i="2" s="1"/>
  <c r="Z345" i="2"/>
  <c r="Z362" i="2" s="1"/>
  <c r="AA336" i="2"/>
  <c r="X211" i="3"/>
  <c r="X219" i="3" s="1"/>
  <c r="AA335" i="2"/>
  <c r="X210" i="3"/>
  <c r="X218" i="3" s="1"/>
  <c r="AA318" i="2"/>
  <c r="AA358" i="2" s="1"/>
  <c r="X205" i="3"/>
  <c r="X213" i="3" s="1"/>
  <c r="X185" i="3"/>
  <c r="X193" i="3" s="1"/>
  <c r="AA334" i="2"/>
  <c r="X209" i="3"/>
  <c r="X217" i="3" s="1"/>
  <c r="AI349" i="2"/>
  <c r="AD369" i="17"/>
  <c r="W369" i="17"/>
  <c r="P369" i="17"/>
  <c r="AK369" i="17"/>
  <c r="W375" i="17"/>
  <c r="P375" i="17"/>
  <c r="AD375" i="17"/>
  <c r="AK375" i="17"/>
  <c r="P368" i="17"/>
  <c r="W368" i="17"/>
  <c r="AD368" i="17"/>
  <c r="AK368" i="17"/>
  <c r="L303" i="17"/>
  <c r="P366" i="17"/>
  <c r="AK366" i="17"/>
  <c r="W366" i="17"/>
  <c r="AD366" i="17"/>
  <c r="P374" i="17"/>
  <c r="AK374" i="17"/>
  <c r="W374" i="17"/>
  <c r="AD374" i="17"/>
  <c r="W365" i="17"/>
  <c r="AD365" i="17"/>
  <c r="P365" i="17"/>
  <c r="AK365" i="17"/>
  <c r="P370" i="17"/>
  <c r="W370" i="17"/>
  <c r="AD370" i="17"/>
  <c r="AK370" i="17"/>
  <c r="AD373" i="17"/>
  <c r="P373" i="17"/>
  <c r="W373" i="17"/>
  <c r="AK373" i="17"/>
  <c r="AD377" i="17"/>
  <c r="P377" i="17"/>
  <c r="AK377" i="17"/>
  <c r="W377" i="17"/>
  <c r="P376" i="17"/>
  <c r="W376" i="17"/>
  <c r="AD376" i="17"/>
  <c r="AK376" i="17"/>
  <c r="P372" i="17"/>
  <c r="W372" i="17"/>
  <c r="AK372" i="17"/>
  <c r="AD372" i="17"/>
  <c r="P367" i="17"/>
  <c r="AD367" i="17"/>
  <c r="AK367" i="17"/>
  <c r="W367" i="17"/>
  <c r="W371" i="17"/>
  <c r="P371" i="17"/>
  <c r="AK371" i="17"/>
  <c r="AD371" i="17"/>
  <c r="L336" i="17"/>
  <c r="P378" i="17"/>
  <c r="W378" i="17"/>
  <c r="AD378" i="17"/>
  <c r="AK378" i="17"/>
  <c r="O85" i="17"/>
  <c r="L275" i="17"/>
  <c r="L280" i="17"/>
  <c r="B299" i="17"/>
  <c r="L273" i="17"/>
  <c r="L271" i="17"/>
  <c r="L276" i="17"/>
  <c r="L270" i="17"/>
  <c r="L279" i="17"/>
  <c r="L272" i="17"/>
  <c r="L282" i="17"/>
  <c r="L274" i="17"/>
  <c r="L278" i="17"/>
  <c r="L269" i="17"/>
  <c r="L277" i="17"/>
  <c r="L281" i="17"/>
  <c r="N97" i="17"/>
  <c r="N83" i="17"/>
  <c r="N93" i="17"/>
  <c r="N84" i="17"/>
  <c r="N87" i="17"/>
  <c r="N86" i="17"/>
  <c r="N95" i="17"/>
  <c r="N90" i="17"/>
  <c r="N88" i="17"/>
  <c r="N91" i="17"/>
  <c r="N96" i="17"/>
  <c r="N92" i="17"/>
  <c r="N89" i="17"/>
  <c r="N94" i="17"/>
  <c r="L338" i="17"/>
  <c r="L344" i="17"/>
  <c r="L315" i="17"/>
  <c r="L347" i="17"/>
  <c r="L334" i="17"/>
  <c r="L311" i="17"/>
  <c r="F77" i="18"/>
  <c r="F78" i="18" s="1"/>
  <c r="Q77" i="18"/>
  <c r="R77" i="18"/>
  <c r="S77" i="18"/>
  <c r="T77" i="18"/>
  <c r="U77" i="18"/>
  <c r="U78" i="18" s="1"/>
  <c r="V77" i="18"/>
  <c r="V78" i="18" s="1"/>
  <c r="W77" i="18"/>
  <c r="X77" i="18"/>
  <c r="X78" i="18" s="1"/>
  <c r="Y77" i="18"/>
  <c r="Z77" i="18"/>
  <c r="AA77" i="18"/>
  <c r="AB77" i="18"/>
  <c r="AC77" i="18"/>
  <c r="AC78" i="18" s="1"/>
  <c r="AD77" i="18"/>
  <c r="AD78" i="18" s="1"/>
  <c r="AE77" i="18"/>
  <c r="AF77" i="18"/>
  <c r="AF78" i="18" s="1"/>
  <c r="AG77" i="18"/>
  <c r="AH77" i="18"/>
  <c r="AI77" i="18"/>
  <c r="AJ77" i="18"/>
  <c r="AK77" i="18"/>
  <c r="AK78" i="18" s="1"/>
  <c r="AL77" i="18"/>
  <c r="AL78" i="18" s="1"/>
  <c r="AM77" i="18"/>
  <c r="AN77" i="18"/>
  <c r="AN78" i="18" s="1"/>
  <c r="AO77" i="18"/>
  <c r="AP77" i="18"/>
  <c r="AQ77" i="18"/>
  <c r="AR77" i="18"/>
  <c r="AS77" i="18"/>
  <c r="AS78" i="18" s="1"/>
  <c r="AT77" i="18"/>
  <c r="AT78" i="18" s="1"/>
  <c r="AU77" i="18"/>
  <c r="AV77" i="18"/>
  <c r="AV78" i="18" s="1"/>
  <c r="AW77" i="18"/>
  <c r="AX77" i="18"/>
  <c r="AY77" i="18"/>
  <c r="AZ77" i="18"/>
  <c r="G78" i="18"/>
  <c r="P78" i="18"/>
  <c r="Q78" i="18"/>
  <c r="R78" i="18"/>
  <c r="S78" i="18"/>
  <c r="T78" i="18"/>
  <c r="W78" i="18"/>
  <c r="Y78" i="18"/>
  <c r="Z78" i="18"/>
  <c r="AA78" i="18"/>
  <c r="AB78" i="18"/>
  <c r="AE78" i="18"/>
  <c r="AG78" i="18"/>
  <c r="AH78" i="18"/>
  <c r="AI78" i="18"/>
  <c r="AJ78" i="18"/>
  <c r="AM78" i="18"/>
  <c r="AO78" i="18"/>
  <c r="AP78" i="18"/>
  <c r="AQ78" i="18"/>
  <c r="AR78" i="18"/>
  <c r="AU78" i="18"/>
  <c r="AW78" i="18"/>
  <c r="AX78" i="18"/>
  <c r="AY78" i="18"/>
  <c r="AZ78" i="18"/>
  <c r="E78" i="18"/>
  <c r="F72" i="18"/>
  <c r="F73" i="18" s="1"/>
  <c r="G72" i="18"/>
  <c r="G73" i="18" s="1"/>
  <c r="P72" i="18"/>
  <c r="P73" i="18" s="1"/>
  <c r="Q72" i="18"/>
  <c r="Q73" i="18" s="1"/>
  <c r="R72" i="18"/>
  <c r="R73" i="18" s="1"/>
  <c r="S72" i="18"/>
  <c r="S73" i="18" s="1"/>
  <c r="T72" i="18"/>
  <c r="T73" i="18" s="1"/>
  <c r="U72" i="18"/>
  <c r="U73" i="18" s="1"/>
  <c r="V72" i="18"/>
  <c r="V73" i="18" s="1"/>
  <c r="W72" i="18"/>
  <c r="W73" i="18" s="1"/>
  <c r="X72" i="18"/>
  <c r="X73" i="18" s="1"/>
  <c r="Y72" i="18"/>
  <c r="Y73" i="18" s="1"/>
  <c r="Z72" i="18"/>
  <c r="Z73" i="18" s="1"/>
  <c r="AA72" i="18"/>
  <c r="AA73" i="18" s="1"/>
  <c r="AB72" i="18"/>
  <c r="AB73" i="18" s="1"/>
  <c r="AC72" i="18"/>
  <c r="AC73" i="18" s="1"/>
  <c r="AD72" i="18"/>
  <c r="AD73" i="18" s="1"/>
  <c r="AE72" i="18"/>
  <c r="AE73" i="18" s="1"/>
  <c r="AF72" i="18"/>
  <c r="AF73" i="18" s="1"/>
  <c r="AG72" i="18"/>
  <c r="AG73" i="18" s="1"/>
  <c r="AH72" i="18"/>
  <c r="AH73" i="18" s="1"/>
  <c r="AI72" i="18"/>
  <c r="AI73" i="18" s="1"/>
  <c r="AJ72" i="18"/>
  <c r="AJ73" i="18" s="1"/>
  <c r="AK72" i="18"/>
  <c r="AK73" i="18" s="1"/>
  <c r="AL72" i="18"/>
  <c r="AL73" i="18" s="1"/>
  <c r="AM72" i="18"/>
  <c r="AM73" i="18" s="1"/>
  <c r="AN72" i="18"/>
  <c r="AN73" i="18" s="1"/>
  <c r="AO72" i="18"/>
  <c r="AO73" i="18" s="1"/>
  <c r="AP72" i="18"/>
  <c r="AP73" i="18" s="1"/>
  <c r="AQ72" i="18"/>
  <c r="AQ73" i="18" s="1"/>
  <c r="AR72" i="18"/>
  <c r="AR73" i="18" s="1"/>
  <c r="AS72" i="18"/>
  <c r="AS73" i="18" s="1"/>
  <c r="AT72" i="18"/>
  <c r="AT73" i="18" s="1"/>
  <c r="AU72" i="18"/>
  <c r="AU73" i="18" s="1"/>
  <c r="AV72" i="18"/>
  <c r="AV73" i="18" s="1"/>
  <c r="AW72" i="18"/>
  <c r="AW73" i="18" s="1"/>
  <c r="AX72" i="18"/>
  <c r="AX73" i="18" s="1"/>
  <c r="AY72" i="18"/>
  <c r="AY73" i="18" s="1"/>
  <c r="AZ72" i="18"/>
  <c r="AZ73" i="18" s="1"/>
  <c r="E72" i="18"/>
  <c r="E73" i="18" s="1"/>
  <c r="E85" i="18"/>
  <c r="E89" i="18"/>
  <c r="E66" i="18"/>
  <c r="E57" i="18"/>
  <c r="E48" i="18"/>
  <c r="E39" i="18"/>
  <c r="E30" i="18"/>
  <c r="E21" i="18"/>
  <c r="E12" i="18"/>
  <c r="Y68" i="15" l="1"/>
  <c r="Y40" i="15"/>
  <c r="Z65" i="15"/>
  <c r="Z64" i="15"/>
  <c r="AG364" i="2"/>
  <c r="AB317" i="2"/>
  <c r="AB357" i="2" s="1"/>
  <c r="AA345" i="2"/>
  <c r="AA362" i="2" s="1"/>
  <c r="AB334" i="2"/>
  <c r="Y209" i="3"/>
  <c r="Y217" i="3" s="1"/>
  <c r="AB318" i="2"/>
  <c r="AB358" i="2" s="1"/>
  <c r="Y205" i="3"/>
  <c r="Y213" i="3" s="1"/>
  <c r="Y185" i="3"/>
  <c r="Y193" i="3" s="1"/>
  <c r="AB335" i="2"/>
  <c r="Y210" i="3"/>
  <c r="Y218" i="3" s="1"/>
  <c r="AB336" i="2"/>
  <c r="Y211" i="3"/>
  <c r="Y219" i="3" s="1"/>
  <c r="AJ349" i="2"/>
  <c r="P85" i="17"/>
  <c r="Q85" i="17" s="1"/>
  <c r="W379" i="17"/>
  <c r="AD379" i="17"/>
  <c r="P379" i="17"/>
  <c r="AK379" i="17"/>
  <c r="O96" i="17"/>
  <c r="O95" i="17"/>
  <c r="O93" i="17"/>
  <c r="O94" i="17"/>
  <c r="O91" i="17"/>
  <c r="O86" i="17"/>
  <c r="O83" i="17"/>
  <c r="O89" i="17"/>
  <c r="O88" i="17"/>
  <c r="O87" i="17"/>
  <c r="O92" i="17"/>
  <c r="O90" i="17"/>
  <c r="O84" i="17"/>
  <c r="O97" i="17"/>
  <c r="E18" i="19"/>
  <c r="E12" i="19"/>
  <c r="D5" i="19"/>
  <c r="D6" i="19" s="1"/>
  <c r="C26" i="19"/>
  <c r="C27" i="19" s="1"/>
  <c r="C28" i="19" s="1"/>
  <c r="D18" i="19"/>
  <c r="D12" i="19"/>
  <c r="E6" i="19"/>
  <c r="J517" i="17"/>
  <c r="Q121" i="15"/>
  <c r="T72" i="15"/>
  <c r="U72" i="15" s="1"/>
  <c r="M176" i="12"/>
  <c r="N176" i="12"/>
  <c r="O176" i="12"/>
  <c r="P176" i="12"/>
  <c r="Q176" i="12"/>
  <c r="R176" i="12"/>
  <c r="S176" i="12"/>
  <c r="T176" i="12"/>
  <c r="U176" i="12"/>
  <c r="V176" i="12"/>
  <c r="W176" i="12"/>
  <c r="X176" i="12"/>
  <c r="Y176" i="12"/>
  <c r="Z176" i="12"/>
  <c r="AA176" i="12"/>
  <c r="AB176" i="12"/>
  <c r="AC176" i="12"/>
  <c r="AD176" i="12"/>
  <c r="AE176" i="12"/>
  <c r="AF176" i="12"/>
  <c r="AG176" i="12"/>
  <c r="AH176" i="12"/>
  <c r="AI176" i="12"/>
  <c r="AJ176" i="12"/>
  <c r="AK176" i="12"/>
  <c r="AL176" i="12"/>
  <c r="AM176" i="12"/>
  <c r="AN176" i="12"/>
  <c r="AO176" i="12"/>
  <c r="AP176" i="12"/>
  <c r="AQ176" i="12"/>
  <c r="AR176" i="12"/>
  <c r="AS176" i="12"/>
  <c r="AT176" i="12"/>
  <c r="AU176" i="12"/>
  <c r="AV176" i="12"/>
  <c r="AW176" i="12"/>
  <c r="AX176" i="12"/>
  <c r="AY176" i="12"/>
  <c r="AZ176" i="12"/>
  <c r="BA176" i="12"/>
  <c r="BB176" i="12"/>
  <c r="BC176" i="12"/>
  <c r="BD176" i="12"/>
  <c r="BE176" i="12"/>
  <c r="BF176" i="12"/>
  <c r="BG176" i="12"/>
  <c r="BH176" i="12"/>
  <c r="BI176" i="12"/>
  <c r="BJ176" i="12"/>
  <c r="BK176" i="12"/>
  <c r="BL176" i="12"/>
  <c r="BM176" i="12"/>
  <c r="M170" i="12"/>
  <c r="M169" i="12"/>
  <c r="M168" i="12"/>
  <c r="M167" i="12"/>
  <c r="M166" i="12"/>
  <c r="M162" i="12"/>
  <c r="M161" i="12"/>
  <c r="M160" i="12"/>
  <c r="M159" i="12"/>
  <c r="M158" i="12"/>
  <c r="M151" i="12"/>
  <c r="R151" i="15"/>
  <c r="N150" i="12" s="1"/>
  <c r="M152" i="12"/>
  <c r="M150" i="12"/>
  <c r="M149" i="12"/>
  <c r="M148" i="12"/>
  <c r="M143" i="12"/>
  <c r="M142" i="12"/>
  <c r="M141" i="12"/>
  <c r="M140" i="12"/>
  <c r="M139" i="12"/>
  <c r="M135" i="12"/>
  <c r="M134" i="12"/>
  <c r="R79" i="15"/>
  <c r="M133" i="12"/>
  <c r="M132" i="12"/>
  <c r="M131" i="12"/>
  <c r="M130" i="12"/>
  <c r="M118" i="12"/>
  <c r="M116" i="12"/>
  <c r="M115" i="12"/>
  <c r="M113" i="12"/>
  <c r="Z68" i="15" l="1"/>
  <c r="Z40" i="15"/>
  <c r="AA65" i="15"/>
  <c r="AA64" i="15"/>
  <c r="AH364" i="2"/>
  <c r="AC317" i="2"/>
  <c r="AC357" i="2" s="1"/>
  <c r="AB345" i="2"/>
  <c r="AB362" i="2" s="1"/>
  <c r="AC336" i="2"/>
  <c r="Z211" i="3"/>
  <c r="Z219" i="3" s="1"/>
  <c r="AC335" i="2"/>
  <c r="Z210" i="3"/>
  <c r="Z218" i="3" s="1"/>
  <c r="AC318" i="2"/>
  <c r="AC358" i="2" s="1"/>
  <c r="Z205" i="3"/>
  <c r="Z213" i="3" s="1"/>
  <c r="Z185" i="3"/>
  <c r="Z193" i="3" s="1"/>
  <c r="AC334" i="2"/>
  <c r="Z209" i="3"/>
  <c r="Z217" i="3" s="1"/>
  <c r="S79" i="15"/>
  <c r="T79" i="15" s="1"/>
  <c r="U79" i="15" s="1"/>
  <c r="V79" i="15" s="1"/>
  <c r="W79" i="15" s="1"/>
  <c r="X79" i="15" s="1"/>
  <c r="Y79" i="15" s="1"/>
  <c r="Z79" i="15" s="1"/>
  <c r="AA79" i="15" s="1"/>
  <c r="AB79" i="15" s="1"/>
  <c r="AC79" i="15" s="1"/>
  <c r="AD79" i="15" s="1"/>
  <c r="AE79" i="15" s="1"/>
  <c r="AF79" i="15" s="1"/>
  <c r="AG79" i="15" s="1"/>
  <c r="AH79" i="15" s="1"/>
  <c r="AI79" i="15" s="1"/>
  <c r="AJ79" i="15" s="1"/>
  <c r="AK79" i="15" s="1"/>
  <c r="AL79" i="15" s="1"/>
  <c r="AM79" i="15" s="1"/>
  <c r="AN79" i="15" s="1"/>
  <c r="AO79" i="15" s="1"/>
  <c r="AP79" i="15" s="1"/>
  <c r="AQ79" i="15" s="1"/>
  <c r="AR79" i="15" s="1"/>
  <c r="AS79" i="15" s="1"/>
  <c r="AT79" i="15" s="1"/>
  <c r="AU79" i="15" s="1"/>
  <c r="AV79" i="15" s="1"/>
  <c r="AW79" i="15" s="1"/>
  <c r="AX79" i="15" s="1"/>
  <c r="AY79" i="15" s="1"/>
  <c r="AZ79" i="15" s="1"/>
  <c r="BA79" i="15" s="1"/>
  <c r="BB79" i="15" s="1"/>
  <c r="BC79" i="15" s="1"/>
  <c r="BD79" i="15" s="1"/>
  <c r="BE79" i="15" s="1"/>
  <c r="BF79" i="15" s="1"/>
  <c r="BG79" i="15" s="1"/>
  <c r="BH79" i="15" s="1"/>
  <c r="BI79" i="15" s="1"/>
  <c r="BJ79" i="15" s="1"/>
  <c r="BK79" i="15" s="1"/>
  <c r="BL79" i="15" s="1"/>
  <c r="BM79" i="15" s="1"/>
  <c r="BN79" i="15" s="1"/>
  <c r="BO79" i="15" s="1"/>
  <c r="BP79" i="15" s="1"/>
  <c r="BQ79" i="15" s="1"/>
  <c r="V72" i="15"/>
  <c r="AK349" i="2"/>
  <c r="P92" i="17"/>
  <c r="P89" i="17"/>
  <c r="P94" i="17"/>
  <c r="P97" i="17"/>
  <c r="R85" i="17"/>
  <c r="P83" i="17"/>
  <c r="P93" i="17"/>
  <c r="P84" i="17"/>
  <c r="P87" i="17"/>
  <c r="P86" i="17"/>
  <c r="P95" i="17"/>
  <c r="P90" i="17"/>
  <c r="P88" i="17"/>
  <c r="P91" i="17"/>
  <c r="P96" i="17"/>
  <c r="C29" i="19"/>
  <c r="J190" i="17"/>
  <c r="F537" i="17"/>
  <c r="G537" i="17"/>
  <c r="H537" i="17"/>
  <c r="I537" i="17"/>
  <c r="J537" i="17"/>
  <c r="K537" i="17"/>
  <c r="L537" i="17"/>
  <c r="E537" i="17"/>
  <c r="F531" i="17"/>
  <c r="G531" i="17"/>
  <c r="H531" i="17"/>
  <c r="I531" i="17"/>
  <c r="J531" i="17"/>
  <c r="K531" i="17"/>
  <c r="L531" i="17"/>
  <c r="E531" i="17"/>
  <c r="F525" i="17"/>
  <c r="G525" i="17"/>
  <c r="H525" i="17"/>
  <c r="I525" i="17"/>
  <c r="J525" i="17"/>
  <c r="K525" i="17"/>
  <c r="L525" i="17"/>
  <c r="E525" i="17"/>
  <c r="AA68" i="15" l="1"/>
  <c r="AA40" i="15"/>
  <c r="AB65" i="15"/>
  <c r="AB64" i="15"/>
  <c r="AI364" i="2"/>
  <c r="AD317" i="2"/>
  <c r="AD357" i="2" s="1"/>
  <c r="AC345" i="2"/>
  <c r="AC362" i="2" s="1"/>
  <c r="AD318" i="2"/>
  <c r="AD358" i="2" s="1"/>
  <c r="AA185" i="3"/>
  <c r="AA193" i="3" s="1"/>
  <c r="AA205" i="3"/>
  <c r="AA213" i="3" s="1"/>
  <c r="AD335" i="2"/>
  <c r="AA210" i="3"/>
  <c r="AA218" i="3" s="1"/>
  <c r="AD334" i="2"/>
  <c r="AA209" i="3"/>
  <c r="AA217" i="3" s="1"/>
  <c r="AD336" i="2"/>
  <c r="AA211" i="3"/>
  <c r="AA219" i="3" s="1"/>
  <c r="W72" i="15"/>
  <c r="AL349" i="2"/>
  <c r="Q84" i="17"/>
  <c r="Q95" i="17"/>
  <c r="Q90" i="17"/>
  <c r="Q94" i="17"/>
  <c r="Q86" i="17"/>
  <c r="Q83" i="17"/>
  <c r="Q89" i="17"/>
  <c r="Q97" i="17"/>
  <c r="Q93" i="17"/>
  <c r="Q96" i="17"/>
  <c r="Q91" i="17"/>
  <c r="Q88" i="17"/>
  <c r="Q87" i="17"/>
  <c r="S85" i="17"/>
  <c r="Q92" i="17"/>
  <c r="C30" i="19"/>
  <c r="F498" i="17"/>
  <c r="G498" i="17"/>
  <c r="H498" i="17"/>
  <c r="I498" i="17"/>
  <c r="J498" i="17"/>
  <c r="K498" i="17"/>
  <c r="L498" i="17"/>
  <c r="E498" i="17"/>
  <c r="AB68" i="15" l="1"/>
  <c r="AB40" i="15"/>
  <c r="AC65" i="15"/>
  <c r="AC64" i="15"/>
  <c r="AJ364" i="2"/>
  <c r="AE317" i="2"/>
  <c r="AE357" i="2" s="1"/>
  <c r="AD345" i="2"/>
  <c r="AD362" i="2" s="1"/>
  <c r="AE336" i="2"/>
  <c r="AB211" i="3"/>
  <c r="AB219" i="3" s="1"/>
  <c r="AE335" i="2"/>
  <c r="AB210" i="3"/>
  <c r="AB218" i="3" s="1"/>
  <c r="AE334" i="2"/>
  <c r="AB209" i="3"/>
  <c r="AB217" i="3" s="1"/>
  <c r="AE318" i="2"/>
  <c r="AE358" i="2" s="1"/>
  <c r="AB205" i="3"/>
  <c r="AB213" i="3" s="1"/>
  <c r="AB185" i="3"/>
  <c r="AB193" i="3" s="1"/>
  <c r="X72" i="15"/>
  <c r="AM349" i="2"/>
  <c r="R88" i="17"/>
  <c r="R94" i="17"/>
  <c r="R91" i="17"/>
  <c r="R92" i="17"/>
  <c r="R90" i="17"/>
  <c r="T85" i="17"/>
  <c r="R95" i="17"/>
  <c r="R97" i="17"/>
  <c r="R89" i="17"/>
  <c r="R96" i="17"/>
  <c r="R83" i="17"/>
  <c r="R87" i="17"/>
  <c r="R93" i="17"/>
  <c r="R86" i="17"/>
  <c r="R84" i="17"/>
  <c r="C31" i="19"/>
  <c r="J214" i="17"/>
  <c r="J217" i="17"/>
  <c r="J218" i="17"/>
  <c r="J236" i="17"/>
  <c r="J237" i="17"/>
  <c r="J247" i="17"/>
  <c r="J248" i="17"/>
  <c r="J258" i="17"/>
  <c r="E448" i="17"/>
  <c r="F448" i="17"/>
  <c r="G448" i="17"/>
  <c r="H448" i="17"/>
  <c r="I448" i="17"/>
  <c r="J448" i="17"/>
  <c r="K448" i="17"/>
  <c r="L448" i="17"/>
  <c r="AR501" i="17"/>
  <c r="AS501" i="17"/>
  <c r="AT501" i="17"/>
  <c r="AU501" i="17"/>
  <c r="AV501" i="17"/>
  <c r="AW501" i="17"/>
  <c r="AX501" i="17"/>
  <c r="AY501" i="17"/>
  <c r="AZ501" i="17"/>
  <c r="BA501" i="17"/>
  <c r="BB501" i="17"/>
  <c r="BC501" i="17"/>
  <c r="BD501" i="17"/>
  <c r="BE501" i="17"/>
  <c r="BF501" i="17"/>
  <c r="BG501" i="17"/>
  <c r="BH501" i="17"/>
  <c r="BI501" i="17"/>
  <c r="BJ501" i="17"/>
  <c r="BK501" i="17"/>
  <c r="BL501" i="17"/>
  <c r="BM501" i="17"/>
  <c r="BN501" i="17"/>
  <c r="BO501" i="17"/>
  <c r="BP501" i="17"/>
  <c r="BQ501" i="17"/>
  <c r="BR501" i="17"/>
  <c r="BS501" i="17"/>
  <c r="BT501" i="17"/>
  <c r="BU501" i="17"/>
  <c r="AR502" i="17"/>
  <c r="AS502" i="17"/>
  <c r="AT502" i="17"/>
  <c r="AU502" i="17"/>
  <c r="AV502" i="17"/>
  <c r="AW502" i="17"/>
  <c r="AX502" i="17"/>
  <c r="AY502" i="17"/>
  <c r="AZ502" i="17"/>
  <c r="BA502" i="17"/>
  <c r="BB502" i="17"/>
  <c r="BC502" i="17"/>
  <c r="BD502" i="17"/>
  <c r="BE502" i="17"/>
  <c r="BF502" i="17"/>
  <c r="BG502" i="17"/>
  <c r="BH502" i="17"/>
  <c r="BI502" i="17"/>
  <c r="BJ502" i="17"/>
  <c r="BK502" i="17"/>
  <c r="BL502" i="17"/>
  <c r="BM502" i="17"/>
  <c r="BN502" i="17"/>
  <c r="BO502" i="17"/>
  <c r="BP502" i="17"/>
  <c r="BQ502" i="17"/>
  <c r="BR502" i="17"/>
  <c r="BS502" i="17"/>
  <c r="BT502" i="17"/>
  <c r="BU502" i="17"/>
  <c r="AR503" i="17"/>
  <c r="AS503" i="17"/>
  <c r="AT503" i="17"/>
  <c r="AU503" i="17"/>
  <c r="AV503" i="17"/>
  <c r="AW503" i="17"/>
  <c r="AX503" i="17"/>
  <c r="AY503" i="17"/>
  <c r="AZ503" i="17"/>
  <c r="BA503" i="17"/>
  <c r="BB503" i="17"/>
  <c r="BC503" i="17"/>
  <c r="BD503" i="17"/>
  <c r="BE503" i="17"/>
  <c r="BF503" i="17"/>
  <c r="BG503" i="17"/>
  <c r="BH503" i="17"/>
  <c r="BI503" i="17"/>
  <c r="BJ503" i="17"/>
  <c r="BK503" i="17"/>
  <c r="BL503" i="17"/>
  <c r="BM503" i="17"/>
  <c r="BN503" i="17"/>
  <c r="BO503" i="17"/>
  <c r="BP503" i="17"/>
  <c r="BQ503" i="17"/>
  <c r="BR503" i="17"/>
  <c r="BS503" i="17"/>
  <c r="BT503" i="17"/>
  <c r="BU503" i="17"/>
  <c r="R115" i="15"/>
  <c r="N116" i="12" s="1"/>
  <c r="R114" i="15"/>
  <c r="N115" i="12" s="1"/>
  <c r="S115" i="15"/>
  <c r="O116" i="12" s="1"/>
  <c r="T115" i="15"/>
  <c r="P116" i="12" s="1"/>
  <c r="M128" i="12"/>
  <c r="R173" i="15"/>
  <c r="S173" i="15"/>
  <c r="T173" i="15"/>
  <c r="R172" i="15"/>
  <c r="N170" i="12" s="1"/>
  <c r="S172" i="15"/>
  <c r="O170" i="12" s="1"/>
  <c r="T172" i="15"/>
  <c r="P170" i="12" s="1"/>
  <c r="R163" i="15"/>
  <c r="N161" i="12" s="1"/>
  <c r="S163" i="15"/>
  <c r="O161" i="12" s="1"/>
  <c r="T163" i="15"/>
  <c r="P161" i="12" s="1"/>
  <c r="R162" i="15"/>
  <c r="N160" i="12" s="1"/>
  <c r="S162" i="15"/>
  <c r="O160" i="12" s="1"/>
  <c r="T162" i="15"/>
  <c r="P160" i="12" s="1"/>
  <c r="R154" i="15"/>
  <c r="S154" i="15"/>
  <c r="T154" i="15"/>
  <c r="R153" i="15"/>
  <c r="N152" i="12" s="1"/>
  <c r="S153" i="15"/>
  <c r="O152" i="12" s="1"/>
  <c r="T153" i="15"/>
  <c r="P152" i="12" s="1"/>
  <c r="R144" i="15"/>
  <c r="N143" i="12" s="1"/>
  <c r="S144" i="15"/>
  <c r="O143" i="12" s="1"/>
  <c r="T144" i="15"/>
  <c r="P143" i="12" s="1"/>
  <c r="R135" i="15"/>
  <c r="N134" i="12" s="1"/>
  <c r="S135" i="15"/>
  <c r="O134" i="12" s="1"/>
  <c r="T135" i="15"/>
  <c r="P134" i="12" s="1"/>
  <c r="Q127" i="15"/>
  <c r="Q125" i="15"/>
  <c r="R125" i="15"/>
  <c r="N125" i="12" s="1"/>
  <c r="S125" i="15"/>
  <c r="O125" i="12" s="1"/>
  <c r="T125" i="15"/>
  <c r="P125" i="12" s="1"/>
  <c r="R124" i="15"/>
  <c r="N124" i="12" s="1"/>
  <c r="S124" i="15"/>
  <c r="O124" i="12" s="1"/>
  <c r="T124" i="15"/>
  <c r="P124" i="12" s="1"/>
  <c r="Q123" i="15"/>
  <c r="S114" i="15"/>
  <c r="O115" i="12" s="1"/>
  <c r="T114" i="15"/>
  <c r="P115" i="12" s="1"/>
  <c r="M119" i="12"/>
  <c r="AC68" i="15" l="1"/>
  <c r="AC40" i="15"/>
  <c r="AD65" i="15"/>
  <c r="AD64" i="15"/>
  <c r="AK364" i="2"/>
  <c r="AF317" i="2"/>
  <c r="AF357" i="2" s="1"/>
  <c r="AE345" i="2"/>
  <c r="AE362" i="2" s="1"/>
  <c r="AF318" i="2"/>
  <c r="AF358" i="2" s="1"/>
  <c r="AC205" i="3"/>
  <c r="AC213" i="3" s="1"/>
  <c r="AC185" i="3"/>
  <c r="AC193" i="3" s="1"/>
  <c r="AF334" i="2"/>
  <c r="AC209" i="3"/>
  <c r="AC217" i="3" s="1"/>
  <c r="AF335" i="2"/>
  <c r="AC210" i="3"/>
  <c r="AC218" i="3" s="1"/>
  <c r="AF336" i="2"/>
  <c r="AC211" i="3"/>
  <c r="AC219" i="3" s="1"/>
  <c r="Y72" i="15"/>
  <c r="AN349" i="2"/>
  <c r="S87" i="17"/>
  <c r="S97" i="17"/>
  <c r="S92" i="17"/>
  <c r="S84" i="17"/>
  <c r="S83" i="17"/>
  <c r="S95" i="17"/>
  <c r="S91" i="17"/>
  <c r="S86" i="17"/>
  <c r="S96" i="17"/>
  <c r="U85" i="17"/>
  <c r="S94" i="17"/>
  <c r="S93" i="17"/>
  <c r="S89" i="17"/>
  <c r="S90" i="17"/>
  <c r="S88" i="17"/>
  <c r="J239" i="17"/>
  <c r="J228" i="17"/>
  <c r="J250" i="17"/>
  <c r="M163" i="12"/>
  <c r="M155" i="12"/>
  <c r="M145" i="12"/>
  <c r="M172" i="12"/>
  <c r="M136" i="12"/>
  <c r="T155" i="2"/>
  <c r="U155" i="2" s="1"/>
  <c r="V155" i="2" s="1"/>
  <c r="M184" i="12" l="1"/>
  <c r="AD68" i="15"/>
  <c r="AD40" i="15"/>
  <c r="AE65" i="15"/>
  <c r="AE64" i="15"/>
  <c r="AE68" i="15" s="1"/>
  <c r="AL364" i="2"/>
  <c r="AG317" i="2"/>
  <c r="AG357" i="2" s="1"/>
  <c r="AF345" i="2"/>
  <c r="AF362" i="2" s="1"/>
  <c r="AG336" i="2"/>
  <c r="AD211" i="3"/>
  <c r="AD219" i="3" s="1"/>
  <c r="AG335" i="2"/>
  <c r="AD210" i="3"/>
  <c r="AD218" i="3" s="1"/>
  <c r="AG334" i="2"/>
  <c r="AD209" i="3"/>
  <c r="AD217" i="3" s="1"/>
  <c r="AG318" i="2"/>
  <c r="AG358" i="2" s="1"/>
  <c r="AD205" i="3"/>
  <c r="AD213" i="3" s="1"/>
  <c r="AD185" i="3"/>
  <c r="AD193" i="3" s="1"/>
  <c r="Z72" i="15"/>
  <c r="AO349" i="2"/>
  <c r="T86" i="17"/>
  <c r="T91" i="17"/>
  <c r="T94" i="17"/>
  <c r="T90" i="17"/>
  <c r="V85" i="17"/>
  <c r="T95" i="17"/>
  <c r="T97" i="17"/>
  <c r="T92" i="17"/>
  <c r="T93" i="17"/>
  <c r="T84" i="17"/>
  <c r="T88" i="17"/>
  <c r="T89" i="17"/>
  <c r="T96" i="17"/>
  <c r="T83" i="17"/>
  <c r="T87" i="17"/>
  <c r="Q291" i="3"/>
  <c r="R291" i="3"/>
  <c r="S291" i="3"/>
  <c r="T291" i="3"/>
  <c r="U291" i="3"/>
  <c r="V291" i="3"/>
  <c r="W291" i="3"/>
  <c r="X291" i="3"/>
  <c r="Y291" i="3"/>
  <c r="Z291" i="3"/>
  <c r="AA291" i="3"/>
  <c r="AB291" i="3"/>
  <c r="AC291" i="3"/>
  <c r="AD291" i="3"/>
  <c r="AE291" i="3"/>
  <c r="AF291" i="3"/>
  <c r="AG291" i="3"/>
  <c r="AH291" i="3"/>
  <c r="AI291" i="3"/>
  <c r="AJ291" i="3"/>
  <c r="AK291" i="3"/>
  <c r="AL291" i="3"/>
  <c r="AM291" i="3"/>
  <c r="AN291" i="3"/>
  <c r="AO291" i="3"/>
  <c r="AP291" i="3"/>
  <c r="AQ291" i="3"/>
  <c r="AR291" i="3"/>
  <c r="AS291" i="3"/>
  <c r="AT291" i="3"/>
  <c r="AU291" i="3"/>
  <c r="AV291" i="3"/>
  <c r="AW291" i="3"/>
  <c r="AX291" i="3"/>
  <c r="AY291" i="3"/>
  <c r="AZ291" i="3"/>
  <c r="BA291" i="3"/>
  <c r="BB291" i="3"/>
  <c r="BC291" i="3"/>
  <c r="BD291" i="3"/>
  <c r="BE291" i="3"/>
  <c r="BF291" i="3"/>
  <c r="BG291" i="3"/>
  <c r="BH291" i="3"/>
  <c r="BI291" i="3"/>
  <c r="BJ291" i="3"/>
  <c r="BK291" i="3"/>
  <c r="BL291" i="3"/>
  <c r="BM291" i="3"/>
  <c r="Q295" i="3"/>
  <c r="R295" i="3"/>
  <c r="S295" i="3"/>
  <c r="T295" i="3"/>
  <c r="U295" i="3"/>
  <c r="V295" i="3"/>
  <c r="W295" i="3"/>
  <c r="X295" i="3"/>
  <c r="Y295" i="3"/>
  <c r="Z295" i="3"/>
  <c r="AA295" i="3"/>
  <c r="AB295" i="3"/>
  <c r="AC295" i="3"/>
  <c r="AD295" i="3"/>
  <c r="AE295" i="3"/>
  <c r="AF295" i="3"/>
  <c r="AG295" i="3"/>
  <c r="AH295" i="3"/>
  <c r="AI295" i="3"/>
  <c r="AJ295" i="3"/>
  <c r="AK295" i="3"/>
  <c r="AL295" i="3"/>
  <c r="AM295" i="3"/>
  <c r="AN295" i="3"/>
  <c r="AO295" i="3"/>
  <c r="AP295" i="3"/>
  <c r="AQ295" i="3"/>
  <c r="AR295" i="3"/>
  <c r="AS295" i="3"/>
  <c r="AT295" i="3"/>
  <c r="AU295" i="3"/>
  <c r="AV295" i="3"/>
  <c r="AW295" i="3"/>
  <c r="AX295" i="3"/>
  <c r="AY295" i="3"/>
  <c r="AZ295" i="3"/>
  <c r="BA295" i="3"/>
  <c r="BB295" i="3"/>
  <c r="BC295" i="3"/>
  <c r="BD295" i="3"/>
  <c r="BE295" i="3"/>
  <c r="BF295" i="3"/>
  <c r="BG295" i="3"/>
  <c r="BH295" i="3"/>
  <c r="BI295" i="3"/>
  <c r="BJ295" i="3"/>
  <c r="BK295" i="3"/>
  <c r="BL295" i="3"/>
  <c r="BM295" i="3"/>
  <c r="O230" i="3"/>
  <c r="O231" i="3" s="1"/>
  <c r="P230" i="3"/>
  <c r="P231" i="3" s="1"/>
  <c r="O380" i="2"/>
  <c r="AF65" i="15" l="1"/>
  <c r="AF64" i="15"/>
  <c r="AF68" i="15" s="1"/>
  <c r="AM364" i="2"/>
  <c r="AH317" i="2"/>
  <c r="AH357" i="2" s="1"/>
  <c r="AG345" i="2"/>
  <c r="AG362" i="2" s="1"/>
  <c r="AH318" i="2"/>
  <c r="AH358" i="2" s="1"/>
  <c r="AE205" i="3"/>
  <c r="AE213" i="3" s="1"/>
  <c r="AE185" i="3"/>
  <c r="AE193" i="3" s="1"/>
  <c r="AH335" i="2"/>
  <c r="AE210" i="3"/>
  <c r="AE218" i="3" s="1"/>
  <c r="AH334" i="2"/>
  <c r="AE209" i="3"/>
  <c r="AE217" i="3" s="1"/>
  <c r="AH336" i="2"/>
  <c r="AE211" i="3"/>
  <c r="AE219" i="3" s="1"/>
  <c r="AA72" i="15"/>
  <c r="AP349" i="2"/>
  <c r="U89" i="17"/>
  <c r="U92" i="17"/>
  <c r="U90" i="17"/>
  <c r="U88" i="17"/>
  <c r="U97" i="17"/>
  <c r="U94" i="17"/>
  <c r="U87" i="17"/>
  <c r="U83" i="17"/>
  <c r="U84" i="17"/>
  <c r="U95" i="17"/>
  <c r="U91" i="17"/>
  <c r="U96" i="17"/>
  <c r="U93" i="17"/>
  <c r="W85" i="17"/>
  <c r="U86" i="17"/>
  <c r="BM175" i="3"/>
  <c r="BL175" i="3"/>
  <c r="BK175" i="3"/>
  <c r="BJ175" i="3"/>
  <c r="BI175" i="3"/>
  <c r="BH175" i="3"/>
  <c r="BG175" i="3"/>
  <c r="BF175" i="3"/>
  <c r="BE175" i="3"/>
  <c r="BD175" i="3"/>
  <c r="BC175" i="3"/>
  <c r="BB175" i="3"/>
  <c r="BA175" i="3"/>
  <c r="AZ175" i="3"/>
  <c r="AY175" i="3"/>
  <c r="AX175" i="3"/>
  <c r="AW175" i="3"/>
  <c r="AV175" i="3"/>
  <c r="AU175" i="3"/>
  <c r="AT175" i="3"/>
  <c r="BM155" i="3"/>
  <c r="BL155" i="3"/>
  <c r="BK155" i="3"/>
  <c r="BJ155" i="3"/>
  <c r="BI155" i="3"/>
  <c r="BH155" i="3"/>
  <c r="BG155" i="3"/>
  <c r="BF155" i="3"/>
  <c r="BE155" i="3"/>
  <c r="BD155" i="3"/>
  <c r="BC155" i="3"/>
  <c r="BB155" i="3"/>
  <c r="BA155" i="3"/>
  <c r="AZ155" i="3"/>
  <c r="AY155" i="3"/>
  <c r="AX155" i="3"/>
  <c r="AW155" i="3"/>
  <c r="AV155" i="3"/>
  <c r="AU155" i="3"/>
  <c r="AT155" i="3"/>
  <c r="AG65" i="15" l="1"/>
  <c r="AG64" i="15"/>
  <c r="AG68" i="15" s="1"/>
  <c r="AN364" i="2"/>
  <c r="AI317" i="2"/>
  <c r="AI357" i="2" s="1"/>
  <c r="AH345" i="2"/>
  <c r="AH362" i="2" s="1"/>
  <c r="AI336" i="2"/>
  <c r="AF211" i="3"/>
  <c r="AF219" i="3" s="1"/>
  <c r="AI334" i="2"/>
  <c r="AF209" i="3"/>
  <c r="AF217" i="3" s="1"/>
  <c r="AI335" i="2"/>
  <c r="AF210" i="3"/>
  <c r="AF218" i="3" s="1"/>
  <c r="AI318" i="2"/>
  <c r="AI358" i="2" s="1"/>
  <c r="AF205" i="3"/>
  <c r="AF213" i="3" s="1"/>
  <c r="AF185" i="3"/>
  <c r="AF193" i="3" s="1"/>
  <c r="AB72" i="15"/>
  <c r="AQ349" i="2"/>
  <c r="V88" i="17"/>
  <c r="V83" i="17"/>
  <c r="V86" i="17"/>
  <c r="V91" i="17"/>
  <c r="V87" i="17"/>
  <c r="V90" i="17"/>
  <c r="X85" i="17"/>
  <c r="V95" i="17"/>
  <c r="V94" i="17"/>
  <c r="V92" i="17"/>
  <c r="V96" i="17"/>
  <c r="V93" i="17"/>
  <c r="V84" i="17"/>
  <c r="V97" i="17"/>
  <c r="V89" i="17"/>
  <c r="T151" i="15"/>
  <c r="P150" i="12" s="1"/>
  <c r="U160" i="15"/>
  <c r="Q158" i="12" s="1"/>
  <c r="AH65" i="15" l="1"/>
  <c r="AH64" i="15"/>
  <c r="AH68" i="15" s="1"/>
  <c r="AO364" i="2"/>
  <c r="AJ317" i="2"/>
  <c r="AJ357" i="2" s="1"/>
  <c r="AI345" i="2"/>
  <c r="AI362" i="2" s="1"/>
  <c r="AJ318" i="2"/>
  <c r="AJ358" i="2" s="1"/>
  <c r="AG205" i="3"/>
  <c r="AG213" i="3" s="1"/>
  <c r="AG185" i="3"/>
  <c r="AG193" i="3" s="1"/>
  <c r="AJ335" i="2"/>
  <c r="AG210" i="3"/>
  <c r="AG218" i="3" s="1"/>
  <c r="AJ334" i="2"/>
  <c r="AG209" i="3"/>
  <c r="AG217" i="3" s="1"/>
  <c r="AJ336" i="2"/>
  <c r="AG211" i="3"/>
  <c r="AG219" i="3" s="1"/>
  <c r="T81" i="15"/>
  <c r="U81" i="15" s="1"/>
  <c r="AC72" i="15"/>
  <c r="AC170" i="15" s="1"/>
  <c r="Y168" i="12" s="1"/>
  <c r="AR349" i="2"/>
  <c r="Y85" i="17"/>
  <c r="W96" i="17"/>
  <c r="W97" i="17"/>
  <c r="W83" i="17"/>
  <c r="W93" i="17"/>
  <c r="W91" i="17"/>
  <c r="W89" i="17"/>
  <c r="W86" i="17"/>
  <c r="W90" i="17"/>
  <c r="W95" i="17"/>
  <c r="W92" i="17"/>
  <c r="W84" i="17"/>
  <c r="W94" i="17"/>
  <c r="W87" i="17"/>
  <c r="W88" i="17"/>
  <c r="T170" i="15"/>
  <c r="P168" i="12" s="1"/>
  <c r="T160" i="15"/>
  <c r="P158" i="12" s="1"/>
  <c r="T142" i="15"/>
  <c r="P141" i="12" s="1"/>
  <c r="T133" i="15"/>
  <c r="P132" i="12" s="1"/>
  <c r="T123" i="15"/>
  <c r="S170" i="15"/>
  <c r="O168" i="12" s="1"/>
  <c r="S160" i="15"/>
  <c r="O158" i="12" s="1"/>
  <c r="S151" i="15"/>
  <c r="O150" i="12" s="1"/>
  <c r="S142" i="15"/>
  <c r="O141" i="12" s="1"/>
  <c r="S133" i="15"/>
  <c r="O132" i="12" s="1"/>
  <c r="S123" i="15"/>
  <c r="R170" i="15"/>
  <c r="N168" i="12" s="1"/>
  <c r="R160" i="15"/>
  <c r="N158" i="12" s="1"/>
  <c r="R142" i="15"/>
  <c r="N141" i="12" s="1"/>
  <c r="R133" i="15"/>
  <c r="N132" i="12" s="1"/>
  <c r="R123" i="15"/>
  <c r="AC123" i="15"/>
  <c r="AB170" i="15"/>
  <c r="X168" i="12" s="1"/>
  <c r="AB160" i="15"/>
  <c r="X158" i="12" s="1"/>
  <c r="AB151" i="15"/>
  <c r="X150" i="12" s="1"/>
  <c r="AB142" i="15"/>
  <c r="X141" i="12" s="1"/>
  <c r="AB133" i="15"/>
  <c r="X132" i="12" s="1"/>
  <c r="AB123" i="15"/>
  <c r="AA170" i="15"/>
  <c r="W168" i="12" s="1"/>
  <c r="AA160" i="15"/>
  <c r="W158" i="12" s="1"/>
  <c r="AA151" i="15"/>
  <c r="W150" i="12" s="1"/>
  <c r="AA142" i="15"/>
  <c r="W141" i="12" s="1"/>
  <c r="AA133" i="15"/>
  <c r="W132" i="12" s="1"/>
  <c r="AA123" i="15"/>
  <c r="Z170" i="15"/>
  <c r="V168" i="12" s="1"/>
  <c r="Z160" i="15"/>
  <c r="V158" i="12" s="1"/>
  <c r="Z151" i="15"/>
  <c r="V150" i="12" s="1"/>
  <c r="Z142" i="15"/>
  <c r="V141" i="12" s="1"/>
  <c r="Z133" i="15"/>
  <c r="V132" i="12" s="1"/>
  <c r="Z123" i="15"/>
  <c r="Y170" i="15"/>
  <c r="U168" i="12" s="1"/>
  <c r="Y160" i="15"/>
  <c r="U158" i="12" s="1"/>
  <c r="Y151" i="15"/>
  <c r="U150" i="12" s="1"/>
  <c r="Y142" i="15"/>
  <c r="U141" i="12" s="1"/>
  <c r="Y133" i="15"/>
  <c r="U132" i="12" s="1"/>
  <c r="Y123" i="15"/>
  <c r="X170" i="15"/>
  <c r="T168" i="12" s="1"/>
  <c r="X160" i="15"/>
  <c r="T158" i="12" s="1"/>
  <c r="X151" i="15"/>
  <c r="T150" i="12" s="1"/>
  <c r="X142" i="15"/>
  <c r="T141" i="12" s="1"/>
  <c r="X133" i="15"/>
  <c r="T132" i="12" s="1"/>
  <c r="X123" i="15"/>
  <c r="W170" i="15"/>
  <c r="S168" i="12" s="1"/>
  <c r="W160" i="15"/>
  <c r="S158" i="12" s="1"/>
  <c r="W151" i="15"/>
  <c r="S150" i="12" s="1"/>
  <c r="W142" i="15"/>
  <c r="S141" i="12" s="1"/>
  <c r="W133" i="15"/>
  <c r="S132" i="12" s="1"/>
  <c r="W123" i="15"/>
  <c r="V170" i="15"/>
  <c r="R168" i="12" s="1"/>
  <c r="V160" i="15"/>
  <c r="R158" i="12" s="1"/>
  <c r="V151" i="15"/>
  <c r="R150" i="12" s="1"/>
  <c r="V142" i="15"/>
  <c r="R141" i="12" s="1"/>
  <c r="V133" i="15"/>
  <c r="R132" i="12" s="1"/>
  <c r="V123" i="15"/>
  <c r="U170" i="15"/>
  <c r="Q168" i="12" s="1"/>
  <c r="U151" i="15"/>
  <c r="Q150" i="12" s="1"/>
  <c r="U142" i="15"/>
  <c r="Q141" i="12" s="1"/>
  <c r="U133" i="15"/>
  <c r="Q132" i="12" s="1"/>
  <c r="U123" i="15"/>
  <c r="AC133" i="15" l="1"/>
  <c r="Y132" i="12" s="1"/>
  <c r="AC142" i="15"/>
  <c r="Y141" i="12" s="1"/>
  <c r="AC151" i="15"/>
  <c r="Y150" i="12" s="1"/>
  <c r="AC160" i="15"/>
  <c r="Y158" i="12" s="1"/>
  <c r="AI65" i="15"/>
  <c r="AI64" i="15"/>
  <c r="AI68" i="15" s="1"/>
  <c r="AP364" i="2"/>
  <c r="AK317" i="2"/>
  <c r="AK357" i="2" s="1"/>
  <c r="AJ345" i="2"/>
  <c r="AJ362" i="2" s="1"/>
  <c r="AK336" i="2"/>
  <c r="AH211" i="3"/>
  <c r="AH219" i="3" s="1"/>
  <c r="AK334" i="2"/>
  <c r="AH209" i="3"/>
  <c r="AH217" i="3" s="1"/>
  <c r="AK335" i="2"/>
  <c r="AH210" i="3"/>
  <c r="AH218" i="3" s="1"/>
  <c r="AK318" i="2"/>
  <c r="AK358" i="2" s="1"/>
  <c r="AH205" i="3"/>
  <c r="AH213" i="3" s="1"/>
  <c r="AH185" i="3"/>
  <c r="AH193" i="3" s="1"/>
  <c r="V81" i="15"/>
  <c r="W81" i="15" s="1"/>
  <c r="X81" i="15" s="1"/>
  <c r="Y81" i="15" s="1"/>
  <c r="Z81" i="15" s="1"/>
  <c r="AA81" i="15" s="1"/>
  <c r="AB81" i="15" s="1"/>
  <c r="AC81" i="15" s="1"/>
  <c r="AD81" i="15" s="1"/>
  <c r="AE81" i="15" s="1"/>
  <c r="AF81" i="15" s="1"/>
  <c r="AG81" i="15" s="1"/>
  <c r="AH81" i="15" s="1"/>
  <c r="AI81" i="15" s="1"/>
  <c r="AJ81" i="15" s="1"/>
  <c r="AK81" i="15" s="1"/>
  <c r="AL81" i="15" s="1"/>
  <c r="AM81" i="15" s="1"/>
  <c r="AN81" i="15" s="1"/>
  <c r="AO81" i="15" s="1"/>
  <c r="AP81" i="15" s="1"/>
  <c r="AQ81" i="15" s="1"/>
  <c r="AR81" i="15" s="1"/>
  <c r="AS81" i="15" s="1"/>
  <c r="AT81" i="15" s="1"/>
  <c r="AU81" i="15" s="1"/>
  <c r="AV81" i="15" s="1"/>
  <c r="AW81" i="15" s="1"/>
  <c r="AX81" i="15" s="1"/>
  <c r="AY81" i="15" s="1"/>
  <c r="AZ81" i="15" s="1"/>
  <c r="BA81" i="15" s="1"/>
  <c r="BB81" i="15" s="1"/>
  <c r="BC81" i="15" s="1"/>
  <c r="BD81" i="15" s="1"/>
  <c r="BE81" i="15" s="1"/>
  <c r="BF81" i="15" s="1"/>
  <c r="BG81" i="15" s="1"/>
  <c r="BH81" i="15" s="1"/>
  <c r="BI81" i="15" s="1"/>
  <c r="BJ81" i="15" s="1"/>
  <c r="BK81" i="15" s="1"/>
  <c r="BL81" i="15" s="1"/>
  <c r="BM81" i="15" s="1"/>
  <c r="BN81" i="15" s="1"/>
  <c r="BO81" i="15" s="1"/>
  <c r="BP81" i="15" s="1"/>
  <c r="BQ81" i="15" s="1"/>
  <c r="AD72" i="15"/>
  <c r="AS349" i="2"/>
  <c r="T55" i="2"/>
  <c r="X84" i="17"/>
  <c r="X86" i="17"/>
  <c r="X83" i="17"/>
  <c r="X88" i="17"/>
  <c r="X92" i="17"/>
  <c r="X89" i="17"/>
  <c r="X97" i="17"/>
  <c r="X87" i="17"/>
  <c r="X95" i="17"/>
  <c r="X91" i="17"/>
  <c r="X96" i="17"/>
  <c r="X94" i="17"/>
  <c r="X90" i="17"/>
  <c r="X93" i="17"/>
  <c r="Z85" i="17"/>
  <c r="I17" i="15"/>
  <c r="J17" i="15"/>
  <c r="K17" i="15"/>
  <c r="L17" i="15"/>
  <c r="M17" i="15"/>
  <c r="N17" i="15"/>
  <c r="O17" i="15"/>
  <c r="P17" i="15"/>
  <c r="Q17" i="15"/>
  <c r="R17" i="15"/>
  <c r="S17" i="15"/>
  <c r="T17" i="15"/>
  <c r="V17" i="15"/>
  <c r="W17" i="15"/>
  <c r="X17" i="15"/>
  <c r="Y17" i="15"/>
  <c r="Z17" i="15"/>
  <c r="AA17" i="15"/>
  <c r="AB17" i="15"/>
  <c r="AC17" i="15"/>
  <c r="AD17" i="15"/>
  <c r="AE17" i="15"/>
  <c r="AF17" i="15"/>
  <c r="AG17" i="15"/>
  <c r="AH17" i="15"/>
  <c r="AI17" i="15"/>
  <c r="AJ17" i="15"/>
  <c r="AK17" i="15"/>
  <c r="AL17" i="15"/>
  <c r="AM17" i="15"/>
  <c r="AN17" i="15"/>
  <c r="AO17" i="15"/>
  <c r="AP17" i="15"/>
  <c r="AQ17" i="15"/>
  <c r="AR17" i="15"/>
  <c r="AS17" i="15"/>
  <c r="AT17" i="15"/>
  <c r="AU17" i="15"/>
  <c r="AV17" i="15"/>
  <c r="AW17" i="15"/>
  <c r="I18" i="15"/>
  <c r="J18" i="15"/>
  <c r="K18" i="15"/>
  <c r="L18" i="15"/>
  <c r="M18" i="15"/>
  <c r="N18" i="15"/>
  <c r="O18" i="15"/>
  <c r="P18" i="15"/>
  <c r="Q18" i="15"/>
  <c r="R18" i="15"/>
  <c r="S18" i="15"/>
  <c r="T18" i="15"/>
  <c r="U18" i="15"/>
  <c r="V18" i="15"/>
  <c r="W18" i="15"/>
  <c r="X18" i="15"/>
  <c r="Y18" i="15"/>
  <c r="Z18" i="15"/>
  <c r="AA18" i="15"/>
  <c r="AB18" i="15"/>
  <c r="AC18" i="15"/>
  <c r="AD18" i="15"/>
  <c r="AE18" i="15"/>
  <c r="AF18" i="15"/>
  <c r="AG18" i="15"/>
  <c r="AH18" i="15"/>
  <c r="AI18" i="15"/>
  <c r="AJ18" i="15"/>
  <c r="AK18" i="15"/>
  <c r="AL18" i="15"/>
  <c r="AM18" i="15"/>
  <c r="AN18" i="15"/>
  <c r="AO18" i="15"/>
  <c r="AP18" i="15"/>
  <c r="AQ18" i="15"/>
  <c r="AR18" i="15"/>
  <c r="AS18" i="15"/>
  <c r="AT18" i="15"/>
  <c r="AU18" i="15"/>
  <c r="AV18" i="15"/>
  <c r="AW18" i="15"/>
  <c r="I19" i="15"/>
  <c r="J19" i="15"/>
  <c r="K19" i="15"/>
  <c r="L19" i="15"/>
  <c r="M19" i="15"/>
  <c r="N19" i="15"/>
  <c r="O19" i="15"/>
  <c r="P19" i="15"/>
  <c r="Q19" i="15"/>
  <c r="R19" i="15"/>
  <c r="S19" i="15"/>
  <c r="T19" i="15"/>
  <c r="U19" i="15"/>
  <c r="V19" i="15"/>
  <c r="W19" i="15"/>
  <c r="X19" i="15"/>
  <c r="Y19" i="15"/>
  <c r="Z19" i="15"/>
  <c r="AA19" i="15"/>
  <c r="AB19" i="15"/>
  <c r="AC19" i="15"/>
  <c r="AD19" i="15"/>
  <c r="AE19" i="15"/>
  <c r="AF19" i="15"/>
  <c r="AG19" i="15"/>
  <c r="AH19" i="15"/>
  <c r="AI19" i="15"/>
  <c r="AJ19" i="15"/>
  <c r="AK19" i="15"/>
  <c r="AL19" i="15"/>
  <c r="AM19" i="15"/>
  <c r="AN19" i="15"/>
  <c r="AO19" i="15"/>
  <c r="AP19" i="15"/>
  <c r="AQ19" i="15"/>
  <c r="AR19" i="15"/>
  <c r="AS19" i="15"/>
  <c r="AT19" i="15"/>
  <c r="AU19" i="15"/>
  <c r="AV19" i="15"/>
  <c r="AW19" i="15"/>
  <c r="I20" i="15"/>
  <c r="J20" i="15"/>
  <c r="K20" i="15"/>
  <c r="L20" i="15"/>
  <c r="M20" i="15"/>
  <c r="N20" i="15"/>
  <c r="O20" i="15"/>
  <c r="P20" i="15"/>
  <c r="Q20" i="15"/>
  <c r="R20" i="15"/>
  <c r="S20" i="15"/>
  <c r="T20" i="15"/>
  <c r="U20" i="15"/>
  <c r="V20" i="15"/>
  <c r="W20" i="15"/>
  <c r="X20" i="15"/>
  <c r="Y20" i="15"/>
  <c r="Z20" i="15"/>
  <c r="AA20" i="15"/>
  <c r="AB20" i="15"/>
  <c r="AC20" i="15"/>
  <c r="AD20" i="15"/>
  <c r="AE20" i="15"/>
  <c r="AF20" i="15"/>
  <c r="AG20" i="15"/>
  <c r="AH20" i="15"/>
  <c r="AI20" i="15"/>
  <c r="AJ20" i="15"/>
  <c r="AK20" i="15"/>
  <c r="AL20" i="15"/>
  <c r="AM20" i="15"/>
  <c r="AN20" i="15"/>
  <c r="AO20" i="15"/>
  <c r="AP20" i="15"/>
  <c r="AQ20" i="15"/>
  <c r="AR20" i="15"/>
  <c r="AS20" i="15"/>
  <c r="AT20" i="15"/>
  <c r="AU20" i="15"/>
  <c r="AV20" i="15"/>
  <c r="AW20" i="15"/>
  <c r="I21" i="15"/>
  <c r="J21" i="15"/>
  <c r="K21" i="15"/>
  <c r="L21" i="15"/>
  <c r="M21" i="15"/>
  <c r="N21" i="15"/>
  <c r="O21" i="15"/>
  <c r="P21" i="15"/>
  <c r="Q21" i="15"/>
  <c r="R21" i="15"/>
  <c r="S21" i="15"/>
  <c r="T21" i="15"/>
  <c r="U21" i="15"/>
  <c r="V21" i="15"/>
  <c r="W21" i="15"/>
  <c r="X21" i="15"/>
  <c r="Y21" i="15"/>
  <c r="Z21" i="15"/>
  <c r="AA21" i="15"/>
  <c r="AB21" i="15"/>
  <c r="AC21" i="15"/>
  <c r="AD21" i="15"/>
  <c r="AE21" i="15"/>
  <c r="AF21" i="15"/>
  <c r="AG21" i="15"/>
  <c r="AH21" i="15"/>
  <c r="AI21" i="15"/>
  <c r="AJ21" i="15"/>
  <c r="AK21" i="15"/>
  <c r="AL21" i="15"/>
  <c r="AM21" i="15"/>
  <c r="AN21" i="15"/>
  <c r="AO21" i="15"/>
  <c r="AP21" i="15"/>
  <c r="AQ21" i="15"/>
  <c r="AR21" i="15"/>
  <c r="AS21" i="15"/>
  <c r="AT21" i="15"/>
  <c r="AU21" i="15"/>
  <c r="AV21" i="15"/>
  <c r="AW21" i="15"/>
  <c r="I22" i="15"/>
  <c r="J22" i="15"/>
  <c r="K22" i="15"/>
  <c r="L22" i="15"/>
  <c r="M22" i="15"/>
  <c r="N22" i="15"/>
  <c r="O22" i="15"/>
  <c r="P22" i="15"/>
  <c r="Q22" i="15"/>
  <c r="R22" i="15"/>
  <c r="S22" i="15"/>
  <c r="T22" i="15"/>
  <c r="U22" i="15"/>
  <c r="V22" i="15"/>
  <c r="W22" i="15"/>
  <c r="X22" i="15"/>
  <c r="Y22" i="15"/>
  <c r="Z22" i="15"/>
  <c r="AA22" i="15"/>
  <c r="AB22" i="15"/>
  <c r="AC22" i="15"/>
  <c r="AD22" i="15"/>
  <c r="AE22" i="15"/>
  <c r="AF22" i="15"/>
  <c r="AG22" i="15"/>
  <c r="AH22" i="15"/>
  <c r="AI22" i="15"/>
  <c r="AJ22" i="15"/>
  <c r="AK22" i="15"/>
  <c r="AL22" i="15"/>
  <c r="AM22" i="15"/>
  <c r="AN22" i="15"/>
  <c r="AO22" i="15"/>
  <c r="AP22" i="15"/>
  <c r="AQ22" i="15"/>
  <c r="AR22" i="15"/>
  <c r="AS22" i="15"/>
  <c r="AT22" i="15"/>
  <c r="AU22" i="15"/>
  <c r="AV22" i="15"/>
  <c r="AW22" i="15"/>
  <c r="I23" i="15"/>
  <c r="J23" i="15"/>
  <c r="K23" i="15"/>
  <c r="L23" i="15"/>
  <c r="M23" i="15"/>
  <c r="N23" i="15"/>
  <c r="O23" i="15"/>
  <c r="P23" i="15"/>
  <c r="Q23" i="15"/>
  <c r="R23" i="15"/>
  <c r="S23" i="15"/>
  <c r="T23" i="15"/>
  <c r="U23" i="15"/>
  <c r="V23" i="15"/>
  <c r="W23" i="15"/>
  <c r="X23" i="15"/>
  <c r="Y23" i="15"/>
  <c r="Z23" i="15"/>
  <c r="AA23" i="15"/>
  <c r="AB23" i="15"/>
  <c r="AC23" i="15"/>
  <c r="AD23" i="15"/>
  <c r="AE23" i="15"/>
  <c r="AF23" i="15"/>
  <c r="AG23" i="15"/>
  <c r="AH23" i="15"/>
  <c r="AI23" i="15"/>
  <c r="AJ23" i="15"/>
  <c r="AK23" i="15"/>
  <c r="AL23" i="15"/>
  <c r="AM23" i="15"/>
  <c r="AN23" i="15"/>
  <c r="AO23" i="15"/>
  <c r="AP23" i="15"/>
  <c r="AQ23" i="15"/>
  <c r="AR23" i="15"/>
  <c r="AS23" i="15"/>
  <c r="AT23" i="15"/>
  <c r="AU23" i="15"/>
  <c r="AV23" i="15"/>
  <c r="AW23" i="15"/>
  <c r="I24" i="15"/>
  <c r="J24" i="15"/>
  <c r="K24" i="15"/>
  <c r="L24" i="15"/>
  <c r="M24" i="15"/>
  <c r="N24" i="15"/>
  <c r="O24" i="15"/>
  <c r="P24" i="15"/>
  <c r="Q24" i="15"/>
  <c r="R24" i="15"/>
  <c r="S24" i="15"/>
  <c r="T24" i="15"/>
  <c r="U24" i="15"/>
  <c r="V24" i="15"/>
  <c r="W24" i="15"/>
  <c r="X24" i="15"/>
  <c r="Y24" i="15"/>
  <c r="Z24" i="15"/>
  <c r="AA24" i="15"/>
  <c r="AB24" i="15"/>
  <c r="AC24" i="15"/>
  <c r="AD24" i="15"/>
  <c r="AE24" i="15"/>
  <c r="AF24" i="15"/>
  <c r="AG24" i="15"/>
  <c r="AH24" i="15"/>
  <c r="AI24" i="15"/>
  <c r="AJ24" i="15"/>
  <c r="AK24" i="15"/>
  <c r="AL24" i="15"/>
  <c r="AM24" i="15"/>
  <c r="AN24" i="15"/>
  <c r="AO24" i="15"/>
  <c r="AP24" i="15"/>
  <c r="AQ24" i="15"/>
  <c r="AR24" i="15"/>
  <c r="AS24" i="15"/>
  <c r="AT24" i="15"/>
  <c r="AU24" i="15"/>
  <c r="AV24" i="15"/>
  <c r="AW24" i="15"/>
  <c r="G61" i="15"/>
  <c r="M61" i="15"/>
  <c r="O61" i="15"/>
  <c r="Q61" i="15"/>
  <c r="G64" i="15"/>
  <c r="M64" i="15"/>
  <c r="O64" i="15"/>
  <c r="G70" i="15"/>
  <c r="M70" i="15"/>
  <c r="O70" i="15"/>
  <c r="Q70" i="15"/>
  <c r="R70" i="15" s="1"/>
  <c r="S70" i="15" s="1"/>
  <c r="G75" i="15"/>
  <c r="G86" i="15" s="1"/>
  <c r="M75" i="15"/>
  <c r="U163" i="15"/>
  <c r="Q161" i="12" s="1"/>
  <c r="R84" i="15"/>
  <c r="S84" i="15" s="1"/>
  <c r="T84" i="15" s="1"/>
  <c r="Q88" i="15"/>
  <c r="T95" i="15"/>
  <c r="S103" i="15"/>
  <c r="Q165" i="15"/>
  <c r="W156" i="2"/>
  <c r="X156" i="2" s="1"/>
  <c r="Y156" i="2" s="1"/>
  <c r="Z156" i="2" s="1"/>
  <c r="AA156" i="2" s="1"/>
  <c r="AB156" i="2" s="1"/>
  <c r="AC156" i="2" s="1"/>
  <c r="AD156" i="2" s="1"/>
  <c r="AE156" i="2" s="1"/>
  <c r="AF156" i="2" s="1"/>
  <c r="AG156" i="2" s="1"/>
  <c r="AH156" i="2" s="1"/>
  <c r="AI156" i="2" s="1"/>
  <c r="AJ156" i="2" s="1"/>
  <c r="AK156" i="2" s="1"/>
  <c r="AL156" i="2" s="1"/>
  <c r="AM156" i="2" s="1"/>
  <c r="AN156" i="2" s="1"/>
  <c r="AO156" i="2" s="1"/>
  <c r="AP156" i="2" s="1"/>
  <c r="AQ156" i="2" s="1"/>
  <c r="AR156" i="2" s="1"/>
  <c r="AS156" i="2" s="1"/>
  <c r="AT156" i="2" s="1"/>
  <c r="AU156" i="2" s="1"/>
  <c r="AV156" i="2" s="1"/>
  <c r="AW156" i="2" s="1"/>
  <c r="AX156" i="2" s="1"/>
  <c r="AY156" i="2" s="1"/>
  <c r="AZ156" i="2" s="1"/>
  <c r="BA156" i="2" s="1"/>
  <c r="BB156" i="2" s="1"/>
  <c r="BC156" i="2" s="1"/>
  <c r="BD156" i="2" s="1"/>
  <c r="BE156" i="2" s="1"/>
  <c r="BF156" i="2" s="1"/>
  <c r="BG156" i="2" s="1"/>
  <c r="BH156" i="2" s="1"/>
  <c r="BI156" i="2" s="1"/>
  <c r="BJ156" i="2" s="1"/>
  <c r="BK156" i="2" s="1"/>
  <c r="BL156" i="2" s="1"/>
  <c r="BM156" i="2" s="1"/>
  <c r="BN156" i="2" s="1"/>
  <c r="BO156" i="2" s="1"/>
  <c r="M86" i="15" l="1"/>
  <c r="T70" i="15"/>
  <c r="S159" i="15"/>
  <c r="AJ65" i="15"/>
  <c r="AJ64" i="15"/>
  <c r="AJ68" i="15" s="1"/>
  <c r="AQ364" i="2"/>
  <c r="AL317" i="2"/>
  <c r="AL357" i="2" s="1"/>
  <c r="AK345" i="2"/>
  <c r="AK362" i="2" s="1"/>
  <c r="AL318" i="2"/>
  <c r="AL358" i="2" s="1"/>
  <c r="AI185" i="3"/>
  <c r="AI193" i="3" s="1"/>
  <c r="AI205" i="3"/>
  <c r="AI213" i="3" s="1"/>
  <c r="AL335" i="2"/>
  <c r="AI210" i="3"/>
  <c r="AI218" i="3" s="1"/>
  <c r="AL334" i="2"/>
  <c r="AI209" i="3"/>
  <c r="AI217" i="3" s="1"/>
  <c r="AL336" i="2"/>
  <c r="AI211" i="3"/>
  <c r="AI219" i="3" s="1"/>
  <c r="S75" i="15"/>
  <c r="R75" i="15"/>
  <c r="AE72" i="15"/>
  <c r="AD170" i="15"/>
  <c r="Z168" i="12" s="1"/>
  <c r="AD160" i="15"/>
  <c r="Z158" i="12" s="1"/>
  <c r="AD151" i="15"/>
  <c r="Z150" i="12" s="1"/>
  <c r="AD142" i="15"/>
  <c r="Z141" i="12" s="1"/>
  <c r="AD133" i="15"/>
  <c r="Z132" i="12" s="1"/>
  <c r="AD123" i="15"/>
  <c r="AT349" i="2"/>
  <c r="U55" i="2"/>
  <c r="Y94" i="17"/>
  <c r="Y87" i="17"/>
  <c r="Y88" i="17"/>
  <c r="AA85" i="17"/>
  <c r="Y96" i="17"/>
  <c r="Y97" i="17"/>
  <c r="Y83" i="17"/>
  <c r="Y93" i="17"/>
  <c r="Y91" i="17"/>
  <c r="Y89" i="17"/>
  <c r="Y86" i="17"/>
  <c r="Y90" i="17"/>
  <c r="Y95" i="17"/>
  <c r="Y92" i="17"/>
  <c r="Y84" i="17"/>
  <c r="U70" i="15"/>
  <c r="U112" i="15" s="1"/>
  <c r="R159" i="15"/>
  <c r="R132" i="15"/>
  <c r="Q67" i="15"/>
  <c r="Q86" i="15"/>
  <c r="R117" i="15"/>
  <c r="N118" i="12" s="1"/>
  <c r="R164" i="15"/>
  <c r="N162" i="12" s="1"/>
  <c r="R155" i="15"/>
  <c r="R145" i="15"/>
  <c r="R136" i="15"/>
  <c r="N135" i="12" s="1"/>
  <c r="R127" i="15"/>
  <c r="N127" i="12" s="1"/>
  <c r="Q122" i="15"/>
  <c r="U173" i="15"/>
  <c r="U154" i="15"/>
  <c r="U135" i="15"/>
  <c r="Q134" i="12" s="1"/>
  <c r="U125" i="15"/>
  <c r="Q125" i="12" s="1"/>
  <c r="U115" i="15"/>
  <c r="Q116" i="12" s="1"/>
  <c r="AS25" i="15"/>
  <c r="AT25" i="15"/>
  <c r="AV25" i="15"/>
  <c r="AN25" i="15"/>
  <c r="AF25" i="15"/>
  <c r="X25" i="15"/>
  <c r="P25" i="15"/>
  <c r="T103" i="15"/>
  <c r="W103" i="15"/>
  <c r="U103" i="15"/>
  <c r="W25" i="15"/>
  <c r="U25" i="15"/>
  <c r="O25" i="15"/>
  <c r="AD25" i="15"/>
  <c r="AU25" i="15"/>
  <c r="AE25" i="15"/>
  <c r="AM25" i="15"/>
  <c r="V25" i="15"/>
  <c r="AL25" i="15"/>
  <c r="AK25" i="15"/>
  <c r="M25" i="15"/>
  <c r="AW25" i="15"/>
  <c r="AG25" i="15"/>
  <c r="Q25" i="15"/>
  <c r="AP25" i="15"/>
  <c r="Z25" i="15"/>
  <c r="J25" i="15"/>
  <c r="AI25" i="15"/>
  <c r="S25" i="15"/>
  <c r="AR25" i="15"/>
  <c r="AJ25" i="15"/>
  <c r="AB25" i="15"/>
  <c r="T25" i="15"/>
  <c r="N25" i="15"/>
  <c r="AC25" i="15"/>
  <c r="AO25" i="15"/>
  <c r="Y25" i="15"/>
  <c r="AH25" i="15"/>
  <c r="R25" i="15"/>
  <c r="AQ25" i="15"/>
  <c r="AA25" i="15"/>
  <c r="K25" i="15"/>
  <c r="L25" i="15"/>
  <c r="V103" i="15"/>
  <c r="O86" i="15"/>
  <c r="I25" i="15"/>
  <c r="AK65" i="15" l="1"/>
  <c r="AK64" i="15"/>
  <c r="AK68" i="15" s="1"/>
  <c r="AR364" i="2"/>
  <c r="AM317" i="2"/>
  <c r="AM357" i="2" s="1"/>
  <c r="AL345" i="2"/>
  <c r="AL362" i="2" s="1"/>
  <c r="AM336" i="2"/>
  <c r="AJ211" i="3"/>
  <c r="AJ219" i="3" s="1"/>
  <c r="AM334" i="2"/>
  <c r="AJ209" i="3"/>
  <c r="AJ217" i="3" s="1"/>
  <c r="AM335" i="2"/>
  <c r="AJ210" i="3"/>
  <c r="AJ218" i="3" s="1"/>
  <c r="AM318" i="2"/>
  <c r="AM358" i="2" s="1"/>
  <c r="AJ205" i="3"/>
  <c r="AJ213" i="3" s="1"/>
  <c r="AJ185" i="3"/>
  <c r="AJ193" i="3" s="1"/>
  <c r="V70" i="15"/>
  <c r="W70" i="15" s="1"/>
  <c r="X70" i="15" s="1"/>
  <c r="Y70" i="15" s="1"/>
  <c r="Z70" i="15" s="1"/>
  <c r="AA70" i="15" s="1"/>
  <c r="AB70" i="15" s="1"/>
  <c r="AC70" i="15" s="1"/>
  <c r="AD70" i="15" s="1"/>
  <c r="AE70" i="15" s="1"/>
  <c r="AF70" i="15" s="1"/>
  <c r="AG70" i="15" s="1"/>
  <c r="AH70" i="15" s="1"/>
  <c r="AI70" i="15" s="1"/>
  <c r="AJ70" i="15" s="1"/>
  <c r="AK70" i="15" s="1"/>
  <c r="AL70" i="15" s="1"/>
  <c r="AM70" i="15" s="1"/>
  <c r="AN70" i="15" s="1"/>
  <c r="AO70" i="15" s="1"/>
  <c r="AP70" i="15" s="1"/>
  <c r="AQ70" i="15" s="1"/>
  <c r="AR70" i="15" s="1"/>
  <c r="AS70" i="15" s="1"/>
  <c r="AT70" i="15" s="1"/>
  <c r="AU70" i="15" s="1"/>
  <c r="AV70" i="15" s="1"/>
  <c r="AW70" i="15" s="1"/>
  <c r="AX70" i="15" s="1"/>
  <c r="AY70" i="15" s="1"/>
  <c r="AZ70" i="15" s="1"/>
  <c r="BA70" i="15" s="1"/>
  <c r="BB70" i="15" s="1"/>
  <c r="BC70" i="15" s="1"/>
  <c r="BD70" i="15" s="1"/>
  <c r="BE70" i="15" s="1"/>
  <c r="BF70" i="15" s="1"/>
  <c r="BG70" i="15" s="1"/>
  <c r="BH70" i="15" s="1"/>
  <c r="BI70" i="15" s="1"/>
  <c r="BJ70" i="15" s="1"/>
  <c r="BK70" i="15" s="1"/>
  <c r="BL70" i="15" s="1"/>
  <c r="BM70" i="15" s="1"/>
  <c r="BN70" i="15" s="1"/>
  <c r="BO70" i="15" s="1"/>
  <c r="BP70" i="15" s="1"/>
  <c r="BQ70" i="15" s="1"/>
  <c r="U94" i="15"/>
  <c r="U93" i="15"/>
  <c r="AF72" i="15"/>
  <c r="AE170" i="15"/>
  <c r="AA168" i="12" s="1"/>
  <c r="AE160" i="15"/>
  <c r="AA158" i="12" s="1"/>
  <c r="AE151" i="15"/>
  <c r="AA150" i="12" s="1"/>
  <c r="AE142" i="15"/>
  <c r="AA141" i="12" s="1"/>
  <c r="AE133" i="15"/>
  <c r="AA132" i="12" s="1"/>
  <c r="AE123" i="15"/>
  <c r="AU349" i="2"/>
  <c r="V55" i="2"/>
  <c r="Z90" i="17"/>
  <c r="AB85" i="17"/>
  <c r="Z84" i="17"/>
  <c r="Z86" i="17"/>
  <c r="Z83" i="17"/>
  <c r="Z88" i="17"/>
  <c r="Z92" i="17"/>
  <c r="Z89" i="17"/>
  <c r="Z97" i="17"/>
  <c r="Z87" i="17"/>
  <c r="Z93" i="17"/>
  <c r="Z95" i="17"/>
  <c r="Z91" i="17"/>
  <c r="Z96" i="17"/>
  <c r="Z94" i="17"/>
  <c r="M178" i="12"/>
  <c r="M179" i="12" s="1"/>
  <c r="R111" i="15"/>
  <c r="N112" i="12" s="1"/>
  <c r="R168" i="15"/>
  <c r="N166" i="12" s="1"/>
  <c r="R149" i="15"/>
  <c r="N148" i="12" s="1"/>
  <c r="R140" i="15"/>
  <c r="N139" i="12" s="1"/>
  <c r="R131" i="15"/>
  <c r="N130" i="12" s="1"/>
  <c r="R121" i="15"/>
  <c r="N121" i="12" s="1"/>
  <c r="R86" i="15"/>
  <c r="R112" i="15"/>
  <c r="N113" i="12" s="1"/>
  <c r="R169" i="15"/>
  <c r="N167" i="12" s="1"/>
  <c r="R150" i="15"/>
  <c r="N149" i="12" s="1"/>
  <c r="R141" i="15"/>
  <c r="N140" i="12" s="1"/>
  <c r="N131" i="12"/>
  <c r="R122" i="15"/>
  <c r="N122" i="12" s="1"/>
  <c r="U84" i="15"/>
  <c r="S164" i="15"/>
  <c r="O162" i="12" s="1"/>
  <c r="S155" i="15"/>
  <c r="S145" i="15"/>
  <c r="S136" i="15"/>
  <c r="O135" i="12" s="1"/>
  <c r="S127" i="15"/>
  <c r="O127" i="12" s="1"/>
  <c r="S117" i="15"/>
  <c r="O118" i="12" s="1"/>
  <c r="R171" i="15"/>
  <c r="N169" i="12" s="1"/>
  <c r="R161" i="15"/>
  <c r="N159" i="12" s="1"/>
  <c r="R152" i="15"/>
  <c r="N151" i="12" s="1"/>
  <c r="R143" i="15"/>
  <c r="N142" i="12" s="1"/>
  <c r="V173" i="15"/>
  <c r="V163" i="15"/>
  <c r="R161" i="12" s="1"/>
  <c r="V154" i="15"/>
  <c r="V135" i="15"/>
  <c r="R134" i="12" s="1"/>
  <c r="V125" i="15"/>
  <c r="R125" i="12" s="1"/>
  <c r="V115" i="15"/>
  <c r="R116" i="12" s="1"/>
  <c r="X103" i="15"/>
  <c r="Y103" i="15"/>
  <c r="W116" i="15"/>
  <c r="Z103" i="15"/>
  <c r="AL65" i="15" l="1"/>
  <c r="AL64" i="15"/>
  <c r="AL68" i="15" s="1"/>
  <c r="AS364" i="2"/>
  <c r="AN317" i="2"/>
  <c r="AN357" i="2" s="1"/>
  <c r="AM345" i="2"/>
  <c r="AM362" i="2" s="1"/>
  <c r="AN335" i="2"/>
  <c r="AK210" i="3"/>
  <c r="AK218" i="3" s="1"/>
  <c r="AN318" i="2"/>
  <c r="AN358" i="2" s="1"/>
  <c r="AK205" i="3"/>
  <c r="AK213" i="3" s="1"/>
  <c r="AK185" i="3"/>
  <c r="AK193" i="3" s="1"/>
  <c r="AN334" i="2"/>
  <c r="AK209" i="3"/>
  <c r="AK217" i="3" s="1"/>
  <c r="AN336" i="2"/>
  <c r="AK211" i="3"/>
  <c r="AK219" i="3" s="1"/>
  <c r="AG72" i="15"/>
  <c r="AF170" i="15"/>
  <c r="AB168" i="12" s="1"/>
  <c r="AF160" i="15"/>
  <c r="AB158" i="12" s="1"/>
  <c r="AF151" i="15"/>
  <c r="AB150" i="12" s="1"/>
  <c r="AF142" i="15"/>
  <c r="AB141" i="12" s="1"/>
  <c r="AF133" i="15"/>
  <c r="AB132" i="12" s="1"/>
  <c r="AF123" i="15"/>
  <c r="AV349" i="2"/>
  <c r="W55" i="2"/>
  <c r="AA89" i="17"/>
  <c r="AA86" i="17"/>
  <c r="AA95" i="17"/>
  <c r="AA94" i="17"/>
  <c r="AA93" i="17"/>
  <c r="AA92" i="17"/>
  <c r="AA84" i="17"/>
  <c r="AA96" i="17"/>
  <c r="AA87" i="17"/>
  <c r="AA88" i="17"/>
  <c r="AC85" i="17"/>
  <c r="AA91" i="17"/>
  <c r="AA97" i="17"/>
  <c r="AA83" i="17"/>
  <c r="AA90" i="17"/>
  <c r="S168" i="15"/>
  <c r="O166" i="12" s="1"/>
  <c r="O112" i="12"/>
  <c r="N178" i="12"/>
  <c r="N128" i="12"/>
  <c r="N119" i="12"/>
  <c r="O178" i="12"/>
  <c r="N172" i="12"/>
  <c r="S86" i="15"/>
  <c r="R134" i="15"/>
  <c r="N133" i="12" s="1"/>
  <c r="R113" i="15"/>
  <c r="T164" i="15"/>
  <c r="P162" i="12" s="1"/>
  <c r="T155" i="15"/>
  <c r="T145" i="15"/>
  <c r="T136" i="15"/>
  <c r="P135" i="12" s="1"/>
  <c r="T127" i="15"/>
  <c r="P127" i="12" s="1"/>
  <c r="T117" i="15"/>
  <c r="P118" i="12" s="1"/>
  <c r="S169" i="15"/>
  <c r="O167" i="12" s="1"/>
  <c r="S150" i="15"/>
  <c r="O149" i="12" s="1"/>
  <c r="S141" i="15"/>
  <c r="O140" i="12" s="1"/>
  <c r="S132" i="15"/>
  <c r="O131" i="12" s="1"/>
  <c r="S122" i="15"/>
  <c r="O122" i="12" s="1"/>
  <c r="S112" i="15"/>
  <c r="O113" i="12" s="1"/>
  <c r="O148" i="12"/>
  <c r="O139" i="12"/>
  <c r="O130" i="12"/>
  <c r="O121" i="12"/>
  <c r="S171" i="15"/>
  <c r="O169" i="12" s="1"/>
  <c r="S161" i="15"/>
  <c r="O159" i="12" s="1"/>
  <c r="S152" i="15"/>
  <c r="O151" i="12" s="1"/>
  <c r="S143" i="15"/>
  <c r="O142" i="12" s="1"/>
  <c r="S134" i="15"/>
  <c r="O133" i="12" s="1"/>
  <c r="S113" i="15"/>
  <c r="N136" i="12"/>
  <c r="N145" i="12"/>
  <c r="R146" i="15"/>
  <c r="N155" i="12"/>
  <c r="R156" i="15"/>
  <c r="N163" i="12"/>
  <c r="R165" i="15"/>
  <c r="R174" i="15"/>
  <c r="W173" i="15"/>
  <c r="W163" i="15"/>
  <c r="S161" i="12" s="1"/>
  <c r="W154" i="15"/>
  <c r="W135" i="15"/>
  <c r="S134" i="12" s="1"/>
  <c r="W125" i="15"/>
  <c r="S125" i="12" s="1"/>
  <c r="W115" i="15"/>
  <c r="S116" i="12" s="1"/>
  <c r="AA103" i="15"/>
  <c r="X116" i="15"/>
  <c r="R137" i="15" l="1"/>
  <c r="AM65" i="15"/>
  <c r="AM64" i="15"/>
  <c r="AM68" i="15" s="1"/>
  <c r="AT364" i="2"/>
  <c r="AO317" i="2"/>
  <c r="AO357" i="2" s="1"/>
  <c r="AN345" i="2"/>
  <c r="AN362" i="2" s="1"/>
  <c r="AO336" i="2"/>
  <c r="AL211" i="3"/>
  <c r="AL219" i="3" s="1"/>
  <c r="AO318" i="2"/>
  <c r="AO358" i="2" s="1"/>
  <c r="AL205" i="3"/>
  <c r="AL213" i="3" s="1"/>
  <c r="AL185" i="3"/>
  <c r="AL193" i="3" s="1"/>
  <c r="AO334" i="2"/>
  <c r="AL209" i="3"/>
  <c r="AL217" i="3" s="1"/>
  <c r="AO335" i="2"/>
  <c r="AL210" i="3"/>
  <c r="AL218" i="3" s="1"/>
  <c r="T67" i="15"/>
  <c r="T149" i="15"/>
  <c r="T140" i="15"/>
  <c r="T121" i="15"/>
  <c r="T111" i="15"/>
  <c r="T75" i="15"/>
  <c r="T86" i="15" s="1"/>
  <c r="AH72" i="15"/>
  <c r="AG170" i="15"/>
  <c r="AC168" i="12" s="1"/>
  <c r="AG160" i="15"/>
  <c r="AC158" i="12" s="1"/>
  <c r="AG151" i="15"/>
  <c r="AC150" i="12" s="1"/>
  <c r="AG142" i="15"/>
  <c r="AC141" i="12" s="1"/>
  <c r="AG133" i="15"/>
  <c r="AC132" i="12" s="1"/>
  <c r="AG123" i="15"/>
  <c r="AW349" i="2"/>
  <c r="X55" i="2"/>
  <c r="AB94" i="17"/>
  <c r="AD85" i="17"/>
  <c r="AB83" i="17"/>
  <c r="AB88" i="17"/>
  <c r="AB92" i="17"/>
  <c r="AB86" i="17"/>
  <c r="AB91" i="17"/>
  <c r="AB84" i="17"/>
  <c r="AB96" i="17"/>
  <c r="AB90" i="17"/>
  <c r="AB95" i="17"/>
  <c r="AB97" i="17"/>
  <c r="AB87" i="17"/>
  <c r="AB93" i="17"/>
  <c r="AB89" i="17"/>
  <c r="U111" i="15"/>
  <c r="T168" i="15"/>
  <c r="T131" i="15"/>
  <c r="P130" i="12" s="1"/>
  <c r="N184" i="12"/>
  <c r="N179" i="12" s="1"/>
  <c r="P178" i="12"/>
  <c r="O119" i="12"/>
  <c r="O128" i="12"/>
  <c r="S128" i="15"/>
  <c r="P166" i="12"/>
  <c r="P148" i="12"/>
  <c r="P139" i="12"/>
  <c r="P121" i="12"/>
  <c r="P112" i="12"/>
  <c r="T169" i="15"/>
  <c r="P167" i="12" s="1"/>
  <c r="T159" i="15"/>
  <c r="T150" i="15"/>
  <c r="P149" i="12" s="1"/>
  <c r="T141" i="15"/>
  <c r="P140" i="12" s="1"/>
  <c r="T132" i="15"/>
  <c r="P131" i="12" s="1"/>
  <c r="T122" i="15"/>
  <c r="P122" i="12" s="1"/>
  <c r="T112" i="15"/>
  <c r="P113" i="12" s="1"/>
  <c r="U164" i="15"/>
  <c r="Q162" i="12" s="1"/>
  <c r="U155" i="15"/>
  <c r="U145" i="15"/>
  <c r="U136" i="15"/>
  <c r="Q135" i="12" s="1"/>
  <c r="U127" i="15"/>
  <c r="Q127" i="12" s="1"/>
  <c r="U117" i="15"/>
  <c r="Q118" i="12" s="1"/>
  <c r="V84" i="15"/>
  <c r="T143" i="15"/>
  <c r="P142" i="12" s="1"/>
  <c r="T134" i="15"/>
  <c r="P133" i="12" s="1"/>
  <c r="T113" i="15"/>
  <c r="O136" i="12"/>
  <c r="S137" i="15"/>
  <c r="O145" i="12"/>
  <c r="S146" i="15"/>
  <c r="O155" i="12"/>
  <c r="S156" i="15"/>
  <c r="O163" i="12"/>
  <c r="S165" i="15"/>
  <c r="O172" i="12"/>
  <c r="S174" i="15"/>
  <c r="X173" i="15"/>
  <c r="X163" i="15"/>
  <c r="T161" i="12" s="1"/>
  <c r="X154" i="15"/>
  <c r="X135" i="15"/>
  <c r="T134" i="12" s="1"/>
  <c r="X125" i="15"/>
  <c r="T125" i="12" s="1"/>
  <c r="X115" i="15"/>
  <c r="T116" i="12" s="1"/>
  <c r="AB103" i="15"/>
  <c r="Y116" i="15"/>
  <c r="T152" i="15" l="1"/>
  <c r="P151" i="12" s="1"/>
  <c r="T171" i="15"/>
  <c r="P169" i="12" s="1"/>
  <c r="T161" i="15"/>
  <c r="P159" i="12" s="1"/>
  <c r="AN65" i="15"/>
  <c r="AN64" i="15"/>
  <c r="AN68" i="15" s="1"/>
  <c r="AU364" i="2"/>
  <c r="AP317" i="2"/>
  <c r="AP357" i="2" s="1"/>
  <c r="AO345" i="2"/>
  <c r="AO362" i="2" s="1"/>
  <c r="AP335" i="2"/>
  <c r="AM210" i="3"/>
  <c r="AM218" i="3" s="1"/>
  <c r="AP334" i="2"/>
  <c r="AM209" i="3"/>
  <c r="AM217" i="3" s="1"/>
  <c r="AP318" i="2"/>
  <c r="AP358" i="2" s="1"/>
  <c r="AM205" i="3"/>
  <c r="AM213" i="3" s="1"/>
  <c r="AM185" i="3"/>
  <c r="AM193" i="3" s="1"/>
  <c r="AP336" i="2"/>
  <c r="AM211" i="3"/>
  <c r="AM219" i="3" s="1"/>
  <c r="AI72" i="15"/>
  <c r="AH170" i="15"/>
  <c r="AD168" i="12" s="1"/>
  <c r="AH160" i="15"/>
  <c r="AD158" i="12" s="1"/>
  <c r="AH151" i="15"/>
  <c r="AD150" i="12" s="1"/>
  <c r="AH142" i="15"/>
  <c r="AD141" i="12" s="1"/>
  <c r="AH133" i="15"/>
  <c r="AD132" i="12" s="1"/>
  <c r="AH123" i="15"/>
  <c r="AX349" i="2"/>
  <c r="Y55" i="2"/>
  <c r="AC88" i="17"/>
  <c r="AC84" i="17"/>
  <c r="AC91" i="17"/>
  <c r="AC83" i="17"/>
  <c r="AC97" i="17"/>
  <c r="AC95" i="17"/>
  <c r="AC93" i="17"/>
  <c r="AC90" i="17"/>
  <c r="AC86" i="17"/>
  <c r="AE85" i="17"/>
  <c r="AC89" i="17"/>
  <c r="AC87" i="17"/>
  <c r="AC96" i="17"/>
  <c r="AC92" i="17"/>
  <c r="AC94" i="17"/>
  <c r="V66" i="15"/>
  <c r="U168" i="15"/>
  <c r="Q166" i="12" s="1"/>
  <c r="U149" i="15"/>
  <c r="U140" i="15"/>
  <c r="U131" i="15"/>
  <c r="Q130" i="12" s="1"/>
  <c r="U121" i="15"/>
  <c r="O184" i="12"/>
  <c r="O179" i="12" s="1"/>
  <c r="Q178" i="12"/>
  <c r="Q139" i="12"/>
  <c r="Q148" i="12"/>
  <c r="V164" i="15"/>
  <c r="R162" i="12" s="1"/>
  <c r="V155" i="15"/>
  <c r="V145" i="15"/>
  <c r="V136" i="15"/>
  <c r="R135" i="12" s="1"/>
  <c r="V127" i="15"/>
  <c r="R127" i="12" s="1"/>
  <c r="V117" i="15"/>
  <c r="R118" i="12" s="1"/>
  <c r="W84" i="15"/>
  <c r="U159" i="15"/>
  <c r="U132" i="15"/>
  <c r="Q131" i="12" s="1"/>
  <c r="U169" i="15"/>
  <c r="Q167" i="12" s="1"/>
  <c r="U150" i="15"/>
  <c r="Q149" i="12" s="1"/>
  <c r="U141" i="15"/>
  <c r="Q140" i="12" s="1"/>
  <c r="U122" i="15"/>
  <c r="Q122" i="12" s="1"/>
  <c r="Q113" i="12"/>
  <c r="V94" i="15"/>
  <c r="P119" i="12"/>
  <c r="P128" i="12"/>
  <c r="T128" i="15"/>
  <c r="P136" i="12"/>
  <c r="T137" i="15"/>
  <c r="P145" i="12"/>
  <c r="T146" i="15"/>
  <c r="P155" i="12"/>
  <c r="T156" i="15"/>
  <c r="P163" i="12"/>
  <c r="T165" i="15"/>
  <c r="P172" i="12"/>
  <c r="T174" i="15"/>
  <c r="Q288" i="3"/>
  <c r="Q297" i="3" s="1"/>
  <c r="Q230" i="3"/>
  <c r="Q231" i="3" s="1"/>
  <c r="Y173" i="15"/>
  <c r="Y163" i="15"/>
  <c r="U161" i="12" s="1"/>
  <c r="Y154" i="15"/>
  <c r="Y135" i="15"/>
  <c r="U134" i="12" s="1"/>
  <c r="Y125" i="15"/>
  <c r="U125" i="12" s="1"/>
  <c r="Y115" i="15"/>
  <c r="U116" i="12" s="1"/>
  <c r="AC103" i="15"/>
  <c r="Z116" i="15"/>
  <c r="AO65" i="15" l="1"/>
  <c r="AO64" i="15"/>
  <c r="AO68" i="15" s="1"/>
  <c r="AV364" i="2"/>
  <c r="AQ317" i="2"/>
  <c r="AQ357" i="2" s="1"/>
  <c r="AP345" i="2"/>
  <c r="AP362" i="2" s="1"/>
  <c r="AQ318" i="2"/>
  <c r="AQ358" i="2" s="1"/>
  <c r="AN205" i="3"/>
  <c r="AN213" i="3" s="1"/>
  <c r="AN185" i="3"/>
  <c r="AN193" i="3" s="1"/>
  <c r="AQ334" i="2"/>
  <c r="AN209" i="3"/>
  <c r="AN217" i="3" s="1"/>
  <c r="AQ336" i="2"/>
  <c r="AN211" i="3"/>
  <c r="AN219" i="3" s="1"/>
  <c r="AQ335" i="2"/>
  <c r="AN210" i="3"/>
  <c r="AN218" i="3" s="1"/>
  <c r="AJ72" i="15"/>
  <c r="AI170" i="15"/>
  <c r="AE168" i="12" s="1"/>
  <c r="AI160" i="15"/>
  <c r="AE158" i="12" s="1"/>
  <c r="AI151" i="15"/>
  <c r="AE150" i="12" s="1"/>
  <c r="AI142" i="15"/>
  <c r="AE141" i="12" s="1"/>
  <c r="AI133" i="15"/>
  <c r="AE132" i="12" s="1"/>
  <c r="AI123" i="15"/>
  <c r="AY349" i="2"/>
  <c r="Z55" i="2"/>
  <c r="M333" i="17"/>
  <c r="M301" i="17"/>
  <c r="AD87" i="17"/>
  <c r="AD90" i="17"/>
  <c r="AD83" i="17"/>
  <c r="AD94" i="17"/>
  <c r="AD89" i="17"/>
  <c r="AD93" i="17"/>
  <c r="AD91" i="17"/>
  <c r="AD92" i="17"/>
  <c r="AF85" i="17"/>
  <c r="AD95" i="17"/>
  <c r="AD84" i="17"/>
  <c r="AD96" i="17"/>
  <c r="AD86" i="17"/>
  <c r="AD97" i="17"/>
  <c r="AD88" i="17"/>
  <c r="V168" i="15"/>
  <c r="V149" i="15"/>
  <c r="R148" i="12" s="1"/>
  <c r="V140" i="15"/>
  <c r="V131" i="15"/>
  <c r="V121" i="15"/>
  <c r="V111" i="15"/>
  <c r="R112" i="12" s="1"/>
  <c r="P184" i="12"/>
  <c r="P179" i="12" s="1"/>
  <c r="R178" i="12"/>
  <c r="R166" i="12"/>
  <c r="R139" i="12"/>
  <c r="R130" i="12"/>
  <c r="Q112" i="12"/>
  <c r="Q121" i="12"/>
  <c r="R121" i="12"/>
  <c r="V93" i="15"/>
  <c r="U95" i="15"/>
  <c r="V159" i="15"/>
  <c r="V169" i="15"/>
  <c r="R167" i="12" s="1"/>
  <c r="V150" i="15"/>
  <c r="R149" i="12" s="1"/>
  <c r="V141" i="15"/>
  <c r="R140" i="12" s="1"/>
  <c r="V132" i="15"/>
  <c r="R131" i="12" s="1"/>
  <c r="V122" i="15"/>
  <c r="R122" i="12" s="1"/>
  <c r="V112" i="15"/>
  <c r="R113" i="12" s="1"/>
  <c r="W164" i="15"/>
  <c r="S162" i="12" s="1"/>
  <c r="W155" i="15"/>
  <c r="W145" i="15"/>
  <c r="W136" i="15"/>
  <c r="S135" i="12" s="1"/>
  <c r="W127" i="15"/>
  <c r="S127" i="12" s="1"/>
  <c r="W117" i="15"/>
  <c r="S118" i="12" s="1"/>
  <c r="X84" i="15"/>
  <c r="Q89" i="3"/>
  <c r="Q90" i="3" s="1"/>
  <c r="Q43" i="3"/>
  <c r="R288" i="3"/>
  <c r="R297" i="3" s="1"/>
  <c r="R230" i="3"/>
  <c r="R231" i="3" s="1"/>
  <c r="Z173" i="15"/>
  <c r="Z163" i="15"/>
  <c r="V161" i="12" s="1"/>
  <c r="Z154" i="15"/>
  <c r="Z135" i="15"/>
  <c r="V134" i="12" s="1"/>
  <c r="Z125" i="15"/>
  <c r="V125" i="12" s="1"/>
  <c r="Z115" i="15"/>
  <c r="V116" i="12" s="1"/>
  <c r="AA116" i="15"/>
  <c r="AD103" i="15"/>
  <c r="AP65" i="15" l="1"/>
  <c r="AP64" i="15"/>
  <c r="AP68" i="15" s="1"/>
  <c r="AW364" i="2"/>
  <c r="AR317" i="2"/>
  <c r="AR357" i="2" s="1"/>
  <c r="AQ345" i="2"/>
  <c r="AQ362" i="2" s="1"/>
  <c r="AR335" i="2"/>
  <c r="AO210" i="3"/>
  <c r="AO218" i="3" s="1"/>
  <c r="AR336" i="2"/>
  <c r="AO211" i="3"/>
  <c r="AO219" i="3" s="1"/>
  <c r="AR334" i="2"/>
  <c r="AO209" i="3"/>
  <c r="AO217" i="3" s="1"/>
  <c r="AR318" i="2"/>
  <c r="AR358" i="2" s="1"/>
  <c r="AO205" i="3"/>
  <c r="AO213" i="3" s="1"/>
  <c r="AO185" i="3"/>
  <c r="AO193" i="3" s="1"/>
  <c r="W67" i="15"/>
  <c r="AK72" i="15"/>
  <c r="AJ170" i="15"/>
  <c r="AF168" i="12" s="1"/>
  <c r="AJ160" i="15"/>
  <c r="AF158" i="12" s="1"/>
  <c r="AJ151" i="15"/>
  <c r="AF150" i="12" s="1"/>
  <c r="AJ142" i="15"/>
  <c r="AF141" i="12" s="1"/>
  <c r="AJ133" i="15"/>
  <c r="AF132" i="12" s="1"/>
  <c r="AJ123" i="15"/>
  <c r="AZ349" i="2"/>
  <c r="AA55" i="2"/>
  <c r="N301" i="17"/>
  <c r="N333" i="17"/>
  <c r="AE92" i="17"/>
  <c r="AE94" i="17"/>
  <c r="AE88" i="17"/>
  <c r="AE84" i="17"/>
  <c r="AE91" i="17"/>
  <c r="AE83" i="17"/>
  <c r="AE97" i="17"/>
  <c r="AE95" i="17"/>
  <c r="AE93" i="17"/>
  <c r="AE90" i="17"/>
  <c r="AE96" i="17"/>
  <c r="AE86" i="17"/>
  <c r="AG85" i="17"/>
  <c r="AE89" i="17"/>
  <c r="AE87" i="17"/>
  <c r="X66" i="15"/>
  <c r="W168" i="15"/>
  <c r="S166" i="12" s="1"/>
  <c r="W149" i="15"/>
  <c r="W140" i="15"/>
  <c r="S139" i="12" s="1"/>
  <c r="W131" i="15"/>
  <c r="S130" i="12" s="1"/>
  <c r="W121" i="15"/>
  <c r="W111" i="15"/>
  <c r="S112" i="12" s="1"/>
  <c r="S178" i="12"/>
  <c r="S148" i="12"/>
  <c r="S121" i="12"/>
  <c r="X164" i="15"/>
  <c r="T162" i="12" s="1"/>
  <c r="X155" i="15"/>
  <c r="X145" i="15"/>
  <c r="X136" i="15"/>
  <c r="T135" i="12" s="1"/>
  <c r="X127" i="15"/>
  <c r="T127" i="12" s="1"/>
  <c r="X117" i="15"/>
  <c r="T118" i="12" s="1"/>
  <c r="Y84" i="15"/>
  <c r="W159" i="15"/>
  <c r="W169" i="15"/>
  <c r="S167" i="12" s="1"/>
  <c r="W150" i="15"/>
  <c r="S149" i="12" s="1"/>
  <c r="W141" i="15"/>
  <c r="S140" i="12" s="1"/>
  <c r="W132" i="15"/>
  <c r="S131" i="12" s="1"/>
  <c r="W122" i="15"/>
  <c r="S122" i="12" s="1"/>
  <c r="W112" i="15"/>
  <c r="S113" i="12" s="1"/>
  <c r="W94" i="15"/>
  <c r="X94" i="15" s="1"/>
  <c r="V95" i="15"/>
  <c r="W93" i="15"/>
  <c r="Q55" i="3"/>
  <c r="Q67" i="3"/>
  <c r="Q61" i="3"/>
  <c r="Q49" i="3"/>
  <c r="S288" i="3"/>
  <c r="S297" i="3" s="1"/>
  <c r="S230" i="3"/>
  <c r="S231" i="3" s="1"/>
  <c r="R89" i="3"/>
  <c r="R90" i="3" s="1"/>
  <c r="R43" i="3"/>
  <c r="AA173" i="15"/>
  <c r="AA163" i="15"/>
  <c r="W161" i="12" s="1"/>
  <c r="AA154" i="15"/>
  <c r="AA135" i="15"/>
  <c r="W134" i="12" s="1"/>
  <c r="AA125" i="15"/>
  <c r="W125" i="12" s="1"/>
  <c r="AA115" i="15"/>
  <c r="W116" i="12" s="1"/>
  <c r="AE103" i="15"/>
  <c r="AB116" i="15"/>
  <c r="AQ65" i="15" l="1"/>
  <c r="AQ64" i="15"/>
  <c r="AQ68" i="15" s="1"/>
  <c r="AX364" i="2"/>
  <c r="AS317" i="2"/>
  <c r="AS357" i="2" s="1"/>
  <c r="AR345" i="2"/>
  <c r="AR362" i="2" s="1"/>
  <c r="AS318" i="2"/>
  <c r="AS358" i="2" s="1"/>
  <c r="AP205" i="3"/>
  <c r="AP213" i="3" s="1"/>
  <c r="AP185" i="3"/>
  <c r="AP193" i="3" s="1"/>
  <c r="AS334" i="2"/>
  <c r="AP209" i="3"/>
  <c r="AP217" i="3" s="1"/>
  <c r="AS336" i="2"/>
  <c r="AP211" i="3"/>
  <c r="AP219" i="3" s="1"/>
  <c r="AS335" i="2"/>
  <c r="AP210" i="3"/>
  <c r="AP218" i="3" s="1"/>
  <c r="AL72" i="15"/>
  <c r="AK170" i="15"/>
  <c r="AG168" i="12" s="1"/>
  <c r="AK160" i="15"/>
  <c r="AG158" i="12" s="1"/>
  <c r="AK151" i="15"/>
  <c r="AG150" i="12" s="1"/>
  <c r="AK142" i="15"/>
  <c r="AG141" i="12" s="1"/>
  <c r="AK133" i="15"/>
  <c r="AG132" i="12" s="1"/>
  <c r="AK123" i="15"/>
  <c r="BA349" i="2"/>
  <c r="AB55" i="2"/>
  <c r="O301" i="17"/>
  <c r="O333" i="17"/>
  <c r="AF95" i="17"/>
  <c r="AF84" i="17"/>
  <c r="AF86" i="17"/>
  <c r="AF87" i="17"/>
  <c r="AF96" i="17"/>
  <c r="AF97" i="17"/>
  <c r="AF88" i="17"/>
  <c r="AF89" i="17"/>
  <c r="AF90" i="17"/>
  <c r="AF83" i="17"/>
  <c r="AF94" i="17"/>
  <c r="AH85" i="17"/>
  <c r="AF93" i="17"/>
  <c r="AF91" i="17"/>
  <c r="AF92" i="17"/>
  <c r="Y66" i="15"/>
  <c r="X168" i="15"/>
  <c r="X149" i="15"/>
  <c r="X140" i="15"/>
  <c r="T139" i="12" s="1"/>
  <c r="X131" i="15"/>
  <c r="X121" i="15"/>
  <c r="X111" i="15"/>
  <c r="T112" i="12" s="1"/>
  <c r="X67" i="15"/>
  <c r="T178" i="12" s="1"/>
  <c r="T166" i="12"/>
  <c r="T148" i="12"/>
  <c r="T130" i="12"/>
  <c r="T121" i="12"/>
  <c r="X93" i="15"/>
  <c r="W95" i="15"/>
  <c r="X159" i="15"/>
  <c r="X169" i="15"/>
  <c r="T167" i="12" s="1"/>
  <c r="X150" i="15"/>
  <c r="T149" i="12" s="1"/>
  <c r="X141" i="15"/>
  <c r="T140" i="12" s="1"/>
  <c r="X132" i="15"/>
  <c r="T131" i="12" s="1"/>
  <c r="X122" i="15"/>
  <c r="T122" i="12" s="1"/>
  <c r="X112" i="15"/>
  <c r="T113" i="12" s="1"/>
  <c r="Y164" i="15"/>
  <c r="U162" i="12" s="1"/>
  <c r="Y155" i="15"/>
  <c r="Y145" i="15"/>
  <c r="Y136" i="15"/>
  <c r="U135" i="12" s="1"/>
  <c r="Y127" i="15"/>
  <c r="U127" i="12" s="1"/>
  <c r="Y117" i="15"/>
  <c r="U118" i="12" s="1"/>
  <c r="Z84" i="15"/>
  <c r="Q73" i="3"/>
  <c r="R49" i="3"/>
  <c r="R55" i="3"/>
  <c r="R67" i="3"/>
  <c r="R61" i="3"/>
  <c r="T288" i="3"/>
  <c r="T297" i="3" s="1"/>
  <c r="T230" i="3"/>
  <c r="T231" i="3" s="1"/>
  <c r="S89" i="3"/>
  <c r="S90" i="3" s="1"/>
  <c r="S43" i="3"/>
  <c r="AB173" i="15"/>
  <c r="AB163" i="15"/>
  <c r="X161" i="12" s="1"/>
  <c r="AB154" i="15"/>
  <c r="AB135" i="15"/>
  <c r="X134" i="12" s="1"/>
  <c r="AB125" i="15"/>
  <c r="X125" i="12" s="1"/>
  <c r="AB115" i="15"/>
  <c r="X116" i="12" s="1"/>
  <c r="AF103" i="15"/>
  <c r="AC116" i="15"/>
  <c r="T174" i="11"/>
  <c r="S174" i="11"/>
  <c r="R174" i="11"/>
  <c r="T164" i="11"/>
  <c r="S164" i="11"/>
  <c r="R164" i="11"/>
  <c r="Q164" i="11"/>
  <c r="T154" i="11"/>
  <c r="S154" i="11"/>
  <c r="R154" i="11"/>
  <c r="T143" i="11"/>
  <c r="S143" i="11"/>
  <c r="R143" i="11"/>
  <c r="T133" i="11"/>
  <c r="S133" i="11"/>
  <c r="R133" i="11"/>
  <c r="T123" i="11"/>
  <c r="S123" i="11"/>
  <c r="S98" i="11"/>
  <c r="T90" i="11"/>
  <c r="Q83" i="11"/>
  <c r="R79" i="11"/>
  <c r="S79" i="11" s="1"/>
  <c r="T79" i="11" s="1"/>
  <c r="U79" i="11" s="1"/>
  <c r="R76" i="11"/>
  <c r="S76" i="11" s="1"/>
  <c r="T76" i="11" s="1"/>
  <c r="U76" i="11" s="1"/>
  <c r="V76" i="11" s="1"/>
  <c r="W76" i="11" s="1"/>
  <c r="X76" i="11" s="1"/>
  <c r="Y76" i="11" s="1"/>
  <c r="Z76" i="11" s="1"/>
  <c r="AA76" i="11" s="1"/>
  <c r="AB76" i="11" s="1"/>
  <c r="AC76" i="11" s="1"/>
  <c r="AD76" i="11" s="1"/>
  <c r="AE76" i="11" s="1"/>
  <c r="AF76" i="11" s="1"/>
  <c r="AG76" i="11" s="1"/>
  <c r="AH76" i="11" s="1"/>
  <c r="AI76" i="11" s="1"/>
  <c r="AJ76" i="11" s="1"/>
  <c r="AK76" i="11" s="1"/>
  <c r="AL76" i="11" s="1"/>
  <c r="AM76" i="11" s="1"/>
  <c r="AN76" i="11" s="1"/>
  <c r="AO76" i="11" s="1"/>
  <c r="AP76" i="11" s="1"/>
  <c r="AQ76" i="11" s="1"/>
  <c r="AR76" i="11" s="1"/>
  <c r="AS76" i="11" s="1"/>
  <c r="AT76" i="11" s="1"/>
  <c r="AU76" i="11" s="1"/>
  <c r="AV76" i="11" s="1"/>
  <c r="AW76" i="11" s="1"/>
  <c r="U74" i="11"/>
  <c r="U72" i="11"/>
  <c r="M70" i="11"/>
  <c r="G70" i="11"/>
  <c r="Q65" i="11"/>
  <c r="O65" i="11"/>
  <c r="M65" i="11"/>
  <c r="G65" i="11"/>
  <c r="Q64" i="11"/>
  <c r="O64" i="11"/>
  <c r="O81" i="11" s="1"/>
  <c r="M64" i="11"/>
  <c r="M81" i="11" s="1"/>
  <c r="G64" i="11"/>
  <c r="Q61" i="11"/>
  <c r="O61" i="11"/>
  <c r="M61" i="11"/>
  <c r="G61"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AW21" i="11"/>
  <c r="AV21" i="11"/>
  <c r="AU21" i="11"/>
  <c r="AT21" i="11"/>
  <c r="AS21" i="11"/>
  <c r="AR21" i="11"/>
  <c r="AQ21" i="11"/>
  <c r="AP21" i="11"/>
  <c r="AO21" i="11"/>
  <c r="AN21" i="11"/>
  <c r="AM21" i="11"/>
  <c r="AL21" i="11"/>
  <c r="AK21" i="11"/>
  <c r="AJ21" i="11"/>
  <c r="AI21" i="11"/>
  <c r="AH21" i="11"/>
  <c r="AG21" i="11"/>
  <c r="AF21" i="11"/>
  <c r="AE21" i="11"/>
  <c r="AD21" i="11"/>
  <c r="AC21" i="11"/>
  <c r="AB21" i="11"/>
  <c r="AA21" i="11"/>
  <c r="Z21" i="11"/>
  <c r="Y21" i="11"/>
  <c r="X21" i="11"/>
  <c r="W21" i="11"/>
  <c r="V21" i="11"/>
  <c r="U21" i="11"/>
  <c r="T21" i="11"/>
  <c r="S21" i="11"/>
  <c r="R21" i="11"/>
  <c r="Q21" i="11"/>
  <c r="P21" i="11"/>
  <c r="O21" i="11"/>
  <c r="N21" i="11"/>
  <c r="M21" i="11"/>
  <c r="L21" i="11"/>
  <c r="K21" i="11"/>
  <c r="J21" i="11"/>
  <c r="I21"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AW17" i="11"/>
  <c r="AV17" i="11"/>
  <c r="AU17" i="11"/>
  <c r="AT17" i="11"/>
  <c r="AT25" i="11" s="1"/>
  <c r="AS17" i="11"/>
  <c r="AR17" i="11"/>
  <c r="AQ17" i="11"/>
  <c r="AP17" i="11"/>
  <c r="AO17" i="11"/>
  <c r="AN17" i="11"/>
  <c r="AM17" i="11"/>
  <c r="AL17" i="11"/>
  <c r="AL25" i="11" s="1"/>
  <c r="AK17" i="11"/>
  <c r="AJ17" i="11"/>
  <c r="AI17" i="11"/>
  <c r="AH17" i="11"/>
  <c r="AG17" i="11"/>
  <c r="AF17" i="11"/>
  <c r="AE17" i="11"/>
  <c r="AD17" i="11"/>
  <c r="AD25" i="11" s="1"/>
  <c r="AC17" i="11"/>
  <c r="AB17" i="11"/>
  <c r="AA17" i="11"/>
  <c r="Z17" i="11"/>
  <c r="Y17" i="11"/>
  <c r="X17" i="11"/>
  <c r="W17" i="11"/>
  <c r="V17" i="11"/>
  <c r="V25" i="11" s="1"/>
  <c r="U17" i="11"/>
  <c r="T17" i="11"/>
  <c r="S17" i="11"/>
  <c r="R17" i="11"/>
  <c r="Q17" i="11"/>
  <c r="P17" i="11"/>
  <c r="O17" i="11"/>
  <c r="N17" i="11"/>
  <c r="N25" i="11" s="1"/>
  <c r="M17" i="11"/>
  <c r="L17" i="11"/>
  <c r="K17" i="11"/>
  <c r="J17" i="11"/>
  <c r="I17" i="11"/>
  <c r="G250" i="10"/>
  <c r="F250" i="10"/>
  <c r="E250" i="10"/>
  <c r="G246" i="10"/>
  <c r="F246" i="10"/>
  <c r="E246" i="10"/>
  <c r="G242" i="10"/>
  <c r="F242" i="10"/>
  <c r="E242" i="10"/>
  <c r="G238" i="10"/>
  <c r="F238" i="10"/>
  <c r="E238" i="10"/>
  <c r="G234" i="10"/>
  <c r="F234" i="10"/>
  <c r="E234" i="10"/>
  <c r="G230" i="10"/>
  <c r="F230" i="10"/>
  <c r="E230" i="10"/>
  <c r="G225" i="10"/>
  <c r="F225" i="10"/>
  <c r="E225" i="10"/>
  <c r="G221" i="10"/>
  <c r="F221" i="10"/>
  <c r="E221" i="10"/>
  <c r="G217" i="10"/>
  <c r="F217" i="10"/>
  <c r="E217" i="10"/>
  <c r="G213" i="10"/>
  <c r="F213" i="10"/>
  <c r="E213" i="10"/>
  <c r="G209" i="10"/>
  <c r="F209" i="10"/>
  <c r="E209" i="10"/>
  <c r="G205" i="10"/>
  <c r="F205" i="10"/>
  <c r="E205" i="10"/>
  <c r="J200" i="10"/>
  <c r="I200" i="10"/>
  <c r="H200" i="10"/>
  <c r="G200" i="10"/>
  <c r="F200" i="10"/>
  <c r="E200" i="10"/>
  <c r="I196" i="10"/>
  <c r="H196" i="10"/>
  <c r="G196" i="10"/>
  <c r="F196" i="10"/>
  <c r="E196" i="10"/>
  <c r="H192" i="10"/>
  <c r="G192" i="10"/>
  <c r="F192" i="10"/>
  <c r="E192" i="10"/>
  <c r="H188" i="10"/>
  <c r="G188" i="10"/>
  <c r="F188" i="10"/>
  <c r="E188" i="10"/>
  <c r="J184" i="10"/>
  <c r="I184" i="10"/>
  <c r="H184" i="10"/>
  <c r="G184" i="10"/>
  <c r="F184" i="10"/>
  <c r="E184" i="10"/>
  <c r="F180" i="10"/>
  <c r="E180" i="10"/>
  <c r="G133" i="10"/>
  <c r="F133" i="10"/>
  <c r="E133" i="10"/>
  <c r="G17" i="10"/>
  <c r="F17" i="10"/>
  <c r="E17" i="10"/>
  <c r="AJ8" i="10"/>
  <c r="AI8" i="10"/>
  <c r="AH8" i="10"/>
  <c r="AG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F288" i="3"/>
  <c r="F297" i="3" s="1"/>
  <c r="G288" i="3"/>
  <c r="G297" i="3" s="1"/>
  <c r="H288" i="3"/>
  <c r="H297" i="3" s="1"/>
  <c r="I288" i="3"/>
  <c r="I297" i="3" s="1"/>
  <c r="J288" i="3"/>
  <c r="J297" i="3" s="1"/>
  <c r="K288" i="3"/>
  <c r="K297" i="3" s="1"/>
  <c r="L288" i="3"/>
  <c r="L297" i="3" s="1"/>
  <c r="M288" i="3"/>
  <c r="M297" i="3" s="1"/>
  <c r="N288" i="3"/>
  <c r="N297" i="3" s="1"/>
  <c r="O288" i="3"/>
  <c r="O297" i="3" s="1"/>
  <c r="P288" i="3"/>
  <c r="P297" i="3" s="1"/>
  <c r="E288" i="3"/>
  <c r="E297" i="3" s="1"/>
  <c r="E302" i="3"/>
  <c r="E307" i="3" s="1"/>
  <c r="G302" i="3"/>
  <c r="G307" i="3" s="1"/>
  <c r="I302" i="3"/>
  <c r="I307" i="3" s="1"/>
  <c r="K302" i="3"/>
  <c r="K307" i="3" s="1"/>
  <c r="M302" i="3"/>
  <c r="M307" i="3" s="1"/>
  <c r="N307" i="3" s="1"/>
  <c r="O307" i="3" s="1"/>
  <c r="P307" i="3" s="1"/>
  <c r="Q307" i="3" s="1"/>
  <c r="R307" i="3" s="1"/>
  <c r="S307" i="3" s="1"/>
  <c r="T307" i="3" s="1"/>
  <c r="U307" i="3" s="1"/>
  <c r="V307" i="3" s="1"/>
  <c r="W307" i="3" s="1"/>
  <c r="X307" i="3" s="1"/>
  <c r="Y307" i="3" s="1"/>
  <c r="Z307" i="3" s="1"/>
  <c r="AA307" i="3" s="1"/>
  <c r="AB307" i="3" s="1"/>
  <c r="AC307" i="3" s="1"/>
  <c r="AD307" i="3" s="1"/>
  <c r="AE307" i="3" s="1"/>
  <c r="AF307" i="3" s="1"/>
  <c r="AG307" i="3" s="1"/>
  <c r="AH307" i="3" s="1"/>
  <c r="AI307" i="3" s="1"/>
  <c r="AJ307" i="3" s="1"/>
  <c r="AK307" i="3" s="1"/>
  <c r="AL307" i="3" s="1"/>
  <c r="AM307" i="3" s="1"/>
  <c r="AN307" i="3" s="1"/>
  <c r="AO307" i="3" s="1"/>
  <c r="AP307" i="3" s="1"/>
  <c r="AQ307" i="3" s="1"/>
  <c r="AR307" i="3" s="1"/>
  <c r="AS307" i="3" s="1"/>
  <c r="AT307" i="3" s="1"/>
  <c r="AU307" i="3" s="1"/>
  <c r="AV307" i="3" s="1"/>
  <c r="AW307" i="3" s="1"/>
  <c r="AX307" i="3" s="1"/>
  <c r="AY307" i="3" s="1"/>
  <c r="AZ307" i="3" s="1"/>
  <c r="BA307" i="3" s="1"/>
  <c r="BB307" i="3" s="1"/>
  <c r="BC307" i="3" s="1"/>
  <c r="BD307" i="3" s="1"/>
  <c r="BE307" i="3" s="1"/>
  <c r="BF307" i="3" s="1"/>
  <c r="BG307" i="3" s="1"/>
  <c r="BH307" i="3" s="1"/>
  <c r="BI307" i="3" s="1"/>
  <c r="BJ307" i="3" s="1"/>
  <c r="BK307" i="3" s="1"/>
  <c r="BL307" i="3" s="1"/>
  <c r="BM307" i="3" s="1"/>
  <c r="G301" i="3"/>
  <c r="G305" i="3" s="1"/>
  <c r="I301" i="3"/>
  <c r="I305" i="3" s="1"/>
  <c r="K301" i="3"/>
  <c r="K305" i="3" s="1"/>
  <c r="M301" i="3"/>
  <c r="M305" i="3" s="1"/>
  <c r="N305" i="3" s="1"/>
  <c r="O305" i="3" s="1"/>
  <c r="P305" i="3" s="1"/>
  <c r="Q305" i="3" s="1"/>
  <c r="R305" i="3" s="1"/>
  <c r="S305" i="3" s="1"/>
  <c r="T305" i="3" s="1"/>
  <c r="U305" i="3" s="1"/>
  <c r="V305" i="3" s="1"/>
  <c r="W305" i="3" s="1"/>
  <c r="X305" i="3" s="1"/>
  <c r="Y305" i="3" s="1"/>
  <c r="Z305" i="3" s="1"/>
  <c r="AA305" i="3" s="1"/>
  <c r="AB305" i="3" s="1"/>
  <c r="AC305" i="3" s="1"/>
  <c r="AD305" i="3" s="1"/>
  <c r="AE305" i="3" s="1"/>
  <c r="AF305" i="3" s="1"/>
  <c r="AG305" i="3" s="1"/>
  <c r="AH305" i="3" s="1"/>
  <c r="AI305" i="3" s="1"/>
  <c r="AJ305" i="3" s="1"/>
  <c r="AK305" i="3" s="1"/>
  <c r="AL305" i="3" s="1"/>
  <c r="AM305" i="3" s="1"/>
  <c r="AN305" i="3" s="1"/>
  <c r="AO305" i="3" s="1"/>
  <c r="AP305" i="3" s="1"/>
  <c r="AQ305" i="3" s="1"/>
  <c r="AR305" i="3" s="1"/>
  <c r="AS305" i="3" s="1"/>
  <c r="AT305" i="3" s="1"/>
  <c r="AU305" i="3" s="1"/>
  <c r="AV305" i="3" s="1"/>
  <c r="AW305" i="3" s="1"/>
  <c r="AX305" i="3" s="1"/>
  <c r="AY305" i="3" s="1"/>
  <c r="AZ305" i="3" s="1"/>
  <c r="BA305" i="3" s="1"/>
  <c r="BB305" i="3" s="1"/>
  <c r="BC305" i="3" s="1"/>
  <c r="BD305" i="3" s="1"/>
  <c r="BE305" i="3" s="1"/>
  <c r="BF305" i="3" s="1"/>
  <c r="BG305" i="3" s="1"/>
  <c r="BH305" i="3" s="1"/>
  <c r="BI305" i="3" s="1"/>
  <c r="BJ305" i="3" s="1"/>
  <c r="BK305" i="3" s="1"/>
  <c r="BL305" i="3" s="1"/>
  <c r="BM305" i="3" s="1"/>
  <c r="E301" i="3"/>
  <c r="E305" i="3" s="1"/>
  <c r="M300" i="3"/>
  <c r="M304" i="3" s="1"/>
  <c r="N304" i="3" s="1"/>
  <c r="O304" i="3" s="1"/>
  <c r="P304" i="3" s="1"/>
  <c r="Q304" i="3" s="1"/>
  <c r="R304" i="3" s="1"/>
  <c r="S304" i="3" s="1"/>
  <c r="T304" i="3" s="1"/>
  <c r="U304" i="3" s="1"/>
  <c r="V304" i="3" s="1"/>
  <c r="W304" i="3" s="1"/>
  <c r="X304" i="3" s="1"/>
  <c r="Y304" i="3" s="1"/>
  <c r="Z304" i="3" s="1"/>
  <c r="AA304" i="3" s="1"/>
  <c r="AB304" i="3" s="1"/>
  <c r="AC304" i="3" s="1"/>
  <c r="AD304" i="3" s="1"/>
  <c r="AE304" i="3" s="1"/>
  <c r="AF304" i="3" s="1"/>
  <c r="AG304" i="3" s="1"/>
  <c r="AH304" i="3" s="1"/>
  <c r="AI304" i="3" s="1"/>
  <c r="AJ304" i="3" s="1"/>
  <c r="AK304" i="3" s="1"/>
  <c r="AL304" i="3" s="1"/>
  <c r="AM304" i="3" s="1"/>
  <c r="AN304" i="3" s="1"/>
  <c r="AO304" i="3" s="1"/>
  <c r="AP304" i="3" s="1"/>
  <c r="AQ304" i="3" s="1"/>
  <c r="AR304" i="3" s="1"/>
  <c r="AS304" i="3" s="1"/>
  <c r="AT304" i="3" s="1"/>
  <c r="AU304" i="3" s="1"/>
  <c r="AV304" i="3" s="1"/>
  <c r="AW304" i="3" s="1"/>
  <c r="AX304" i="3" s="1"/>
  <c r="AY304" i="3" s="1"/>
  <c r="AZ304" i="3" s="1"/>
  <c r="BA304" i="3" s="1"/>
  <c r="BB304" i="3" s="1"/>
  <c r="BC304" i="3" s="1"/>
  <c r="BD304" i="3" s="1"/>
  <c r="BE304" i="3" s="1"/>
  <c r="BF304" i="3" s="1"/>
  <c r="BG304" i="3" s="1"/>
  <c r="BH304" i="3" s="1"/>
  <c r="BI304" i="3" s="1"/>
  <c r="BJ304" i="3" s="1"/>
  <c r="BK304" i="3" s="1"/>
  <c r="BL304" i="3" s="1"/>
  <c r="BM304" i="3" s="1"/>
  <c r="K300" i="3"/>
  <c r="K304" i="3" s="1"/>
  <c r="I300" i="3"/>
  <c r="I304" i="3" s="1"/>
  <c r="G300" i="3"/>
  <c r="G304" i="3" s="1"/>
  <c r="E300" i="3"/>
  <c r="E304" i="3" s="1"/>
  <c r="F285" i="3"/>
  <c r="F294" i="3" s="1"/>
  <c r="G285" i="3"/>
  <c r="G294" i="3" s="1"/>
  <c r="H285" i="3"/>
  <c r="H294" i="3" s="1"/>
  <c r="I285" i="3"/>
  <c r="I294" i="3" s="1"/>
  <c r="J285" i="3"/>
  <c r="J294" i="3" s="1"/>
  <c r="K285" i="3"/>
  <c r="K294" i="3" s="1"/>
  <c r="L285" i="3"/>
  <c r="L294" i="3" s="1"/>
  <c r="M285" i="3"/>
  <c r="M294" i="3" s="1"/>
  <c r="N285" i="3"/>
  <c r="N294" i="3" s="1"/>
  <c r="O285" i="3"/>
  <c r="O294" i="3" s="1"/>
  <c r="P285" i="3"/>
  <c r="P294" i="3" s="1"/>
  <c r="E285" i="3"/>
  <c r="E294" i="3" s="1"/>
  <c r="M291" i="3"/>
  <c r="M295" i="3"/>
  <c r="F291" i="3"/>
  <c r="G291" i="3"/>
  <c r="H291" i="3"/>
  <c r="I291" i="3"/>
  <c r="J291" i="3"/>
  <c r="K291" i="3"/>
  <c r="L291" i="3"/>
  <c r="N291" i="3"/>
  <c r="O291" i="3"/>
  <c r="P291" i="3"/>
  <c r="F295" i="3"/>
  <c r="G295" i="3"/>
  <c r="H295" i="3"/>
  <c r="I295" i="3"/>
  <c r="J295" i="3"/>
  <c r="K295" i="3"/>
  <c r="L295" i="3"/>
  <c r="N295" i="3"/>
  <c r="O295" i="3"/>
  <c r="P295" i="3"/>
  <c r="E291" i="3"/>
  <c r="E295" i="3"/>
  <c r="F287" i="3"/>
  <c r="F296" i="3" s="1"/>
  <c r="G287" i="3"/>
  <c r="G296" i="3" s="1"/>
  <c r="H287" i="3"/>
  <c r="H296" i="3" s="1"/>
  <c r="I287" i="3"/>
  <c r="I296" i="3" s="1"/>
  <c r="J287" i="3"/>
  <c r="J296" i="3" s="1"/>
  <c r="K287" i="3"/>
  <c r="K296" i="3" s="1"/>
  <c r="L287" i="3"/>
  <c r="L296" i="3" s="1"/>
  <c r="M287" i="3"/>
  <c r="M296" i="3" s="1"/>
  <c r="N287" i="3"/>
  <c r="N296" i="3" s="1"/>
  <c r="O287" i="3"/>
  <c r="O296" i="3" s="1"/>
  <c r="P287" i="3"/>
  <c r="P296" i="3" s="1"/>
  <c r="E287" i="3"/>
  <c r="E296" i="3" s="1"/>
  <c r="F281" i="3"/>
  <c r="F290" i="3" s="1"/>
  <c r="G281" i="3"/>
  <c r="G290" i="3" s="1"/>
  <c r="H281" i="3"/>
  <c r="H290" i="3" s="1"/>
  <c r="I281" i="3"/>
  <c r="I290" i="3" s="1"/>
  <c r="J281" i="3"/>
  <c r="J290" i="3" s="1"/>
  <c r="K281" i="3"/>
  <c r="K290" i="3" s="1"/>
  <c r="L281" i="3"/>
  <c r="L290" i="3" s="1"/>
  <c r="M281" i="3"/>
  <c r="M290" i="3" s="1"/>
  <c r="N281" i="3"/>
  <c r="N290" i="3" s="1"/>
  <c r="O281" i="3"/>
  <c r="O290" i="3" s="1"/>
  <c r="P281" i="3"/>
  <c r="P290" i="3" s="1"/>
  <c r="E281" i="3"/>
  <c r="E290" i="3" s="1"/>
  <c r="P279" i="3"/>
  <c r="O279" i="3"/>
  <c r="N279" i="3"/>
  <c r="M279" i="3"/>
  <c r="L279" i="3"/>
  <c r="P278" i="3"/>
  <c r="O278" i="3"/>
  <c r="N278" i="3"/>
  <c r="M278" i="3"/>
  <c r="L278" i="3"/>
  <c r="P277" i="3"/>
  <c r="O277" i="3"/>
  <c r="N277" i="3"/>
  <c r="M277" i="3"/>
  <c r="L277" i="3"/>
  <c r="P276" i="3"/>
  <c r="O276" i="3"/>
  <c r="N276" i="3"/>
  <c r="M276" i="3"/>
  <c r="L276" i="3"/>
  <c r="P275" i="3"/>
  <c r="O275" i="3"/>
  <c r="N275" i="3"/>
  <c r="M275" i="3"/>
  <c r="L275" i="3"/>
  <c r="P274" i="3"/>
  <c r="O274" i="3"/>
  <c r="N274" i="3"/>
  <c r="M274" i="3"/>
  <c r="L274" i="3"/>
  <c r="P273" i="3"/>
  <c r="O273" i="3"/>
  <c r="N273" i="3"/>
  <c r="M273" i="3"/>
  <c r="L273" i="3"/>
  <c r="P272" i="3"/>
  <c r="O272" i="3"/>
  <c r="N272" i="3"/>
  <c r="M272" i="3"/>
  <c r="L272" i="3"/>
  <c r="P271" i="3"/>
  <c r="O271" i="3"/>
  <c r="N271" i="3"/>
  <c r="M271" i="3"/>
  <c r="L271" i="3"/>
  <c r="P270" i="3"/>
  <c r="O270" i="3"/>
  <c r="N270" i="3"/>
  <c r="M270" i="3"/>
  <c r="L270" i="3"/>
  <c r="P269" i="3"/>
  <c r="O269" i="3"/>
  <c r="N269" i="3"/>
  <c r="M269" i="3"/>
  <c r="L269" i="3"/>
  <c r="P268" i="3"/>
  <c r="O268" i="3"/>
  <c r="N268" i="3"/>
  <c r="M268" i="3"/>
  <c r="L268" i="3"/>
  <c r="P267" i="3"/>
  <c r="O267" i="3"/>
  <c r="N267" i="3"/>
  <c r="M267" i="3"/>
  <c r="L267" i="3"/>
  <c r="P266" i="3"/>
  <c r="O266" i="3"/>
  <c r="N266" i="3"/>
  <c r="M266" i="3"/>
  <c r="L266" i="3"/>
  <c r="P265" i="3"/>
  <c r="O265" i="3"/>
  <c r="N265" i="3"/>
  <c r="M265" i="3"/>
  <c r="L265" i="3"/>
  <c r="F245" i="3"/>
  <c r="F253" i="3" s="1"/>
  <c r="F261" i="3" s="1"/>
  <c r="G245" i="3"/>
  <c r="G253" i="3" s="1"/>
  <c r="G261" i="3" s="1"/>
  <c r="H245" i="3"/>
  <c r="H253" i="3" s="1"/>
  <c r="H261" i="3" s="1"/>
  <c r="I245" i="3"/>
  <c r="I253" i="3" s="1"/>
  <c r="I261" i="3" s="1"/>
  <c r="J245" i="3"/>
  <c r="J253" i="3" s="1"/>
  <c r="J261" i="3" s="1"/>
  <c r="K245" i="3"/>
  <c r="K253" i="3" s="1"/>
  <c r="K261" i="3" s="1"/>
  <c r="L245" i="3"/>
  <c r="L253" i="3" s="1"/>
  <c r="L261" i="3" s="1"/>
  <c r="M245" i="3"/>
  <c r="M253" i="3" s="1"/>
  <c r="M261" i="3" s="1"/>
  <c r="N245" i="3"/>
  <c r="N253" i="3" s="1"/>
  <c r="N261" i="3" s="1"/>
  <c r="O245" i="3"/>
  <c r="O253" i="3" s="1"/>
  <c r="O261" i="3" s="1"/>
  <c r="P245" i="3"/>
  <c r="P253" i="3" s="1"/>
  <c r="P261" i="3" s="1"/>
  <c r="E245" i="3"/>
  <c r="E253" i="3" s="1"/>
  <c r="E261" i="3" s="1"/>
  <c r="F244" i="3"/>
  <c r="F252" i="3" s="1"/>
  <c r="F260" i="3" s="1"/>
  <c r="G244" i="3"/>
  <c r="G252" i="3" s="1"/>
  <c r="G260" i="3" s="1"/>
  <c r="H244" i="3"/>
  <c r="H252" i="3" s="1"/>
  <c r="H260" i="3" s="1"/>
  <c r="I244" i="3"/>
  <c r="I252" i="3" s="1"/>
  <c r="I260" i="3" s="1"/>
  <c r="J244" i="3"/>
  <c r="J252" i="3" s="1"/>
  <c r="J260" i="3" s="1"/>
  <c r="K244" i="3"/>
  <c r="K252" i="3" s="1"/>
  <c r="K260" i="3" s="1"/>
  <c r="L244" i="3"/>
  <c r="L252" i="3" s="1"/>
  <c r="L260" i="3" s="1"/>
  <c r="M244" i="3"/>
  <c r="M252" i="3" s="1"/>
  <c r="M260" i="3" s="1"/>
  <c r="N244" i="3"/>
  <c r="N252" i="3" s="1"/>
  <c r="N260" i="3" s="1"/>
  <c r="O244" i="3"/>
  <c r="O252" i="3" s="1"/>
  <c r="O260" i="3" s="1"/>
  <c r="P244" i="3"/>
  <c r="P252" i="3" s="1"/>
  <c r="P260" i="3" s="1"/>
  <c r="E244" i="3"/>
  <c r="E252" i="3" s="1"/>
  <c r="E260" i="3" s="1"/>
  <c r="F243" i="3"/>
  <c r="F251" i="3" s="1"/>
  <c r="F259" i="3" s="1"/>
  <c r="G243" i="3"/>
  <c r="G251" i="3" s="1"/>
  <c r="G259" i="3" s="1"/>
  <c r="H243" i="3"/>
  <c r="H251" i="3" s="1"/>
  <c r="H259" i="3" s="1"/>
  <c r="I243" i="3"/>
  <c r="I251" i="3" s="1"/>
  <c r="I259" i="3" s="1"/>
  <c r="J243" i="3"/>
  <c r="J251" i="3" s="1"/>
  <c r="J259" i="3" s="1"/>
  <c r="K243" i="3"/>
  <c r="K251" i="3" s="1"/>
  <c r="K259" i="3" s="1"/>
  <c r="L243" i="3"/>
  <c r="L251" i="3" s="1"/>
  <c r="L259" i="3" s="1"/>
  <c r="M243" i="3"/>
  <c r="M251" i="3" s="1"/>
  <c r="M259" i="3" s="1"/>
  <c r="N243" i="3"/>
  <c r="N251" i="3" s="1"/>
  <c r="N259" i="3" s="1"/>
  <c r="O243" i="3"/>
  <c r="O251" i="3" s="1"/>
  <c r="O259" i="3" s="1"/>
  <c r="P243" i="3"/>
  <c r="P251" i="3" s="1"/>
  <c r="P259" i="3" s="1"/>
  <c r="E243" i="3"/>
  <c r="E251" i="3" s="1"/>
  <c r="E259" i="3" s="1"/>
  <c r="AE25" i="11" l="1"/>
  <c r="P25" i="11"/>
  <c r="X25" i="11"/>
  <c r="AF25" i="11"/>
  <c r="AN25" i="11"/>
  <c r="AV25" i="11"/>
  <c r="W25" i="11"/>
  <c r="I25" i="11"/>
  <c r="Q25" i="11"/>
  <c r="Y25" i="11"/>
  <c r="AG25" i="11"/>
  <c r="AO25" i="11"/>
  <c r="AW25" i="11"/>
  <c r="AM25" i="11"/>
  <c r="J25" i="11"/>
  <c r="R25" i="11"/>
  <c r="Z25" i="11"/>
  <c r="AH25" i="11"/>
  <c r="AP25" i="11"/>
  <c r="AU25" i="11"/>
  <c r="K25" i="11"/>
  <c r="S25" i="11"/>
  <c r="AA25" i="11"/>
  <c r="AI25" i="11"/>
  <c r="AQ25" i="11"/>
  <c r="L25" i="11"/>
  <c r="T25" i="11"/>
  <c r="AB25" i="11"/>
  <c r="AJ25" i="11"/>
  <c r="AR25" i="11"/>
  <c r="O25" i="11"/>
  <c r="M25" i="11"/>
  <c r="U25" i="11"/>
  <c r="AC25" i="11"/>
  <c r="AK25" i="11"/>
  <c r="AS25" i="11"/>
  <c r="G81" i="11"/>
  <c r="AR65" i="15"/>
  <c r="AR64" i="15"/>
  <c r="AR68" i="15" s="1"/>
  <c r="AY364" i="2"/>
  <c r="AT317" i="2"/>
  <c r="AT357" i="2" s="1"/>
  <c r="AS345" i="2"/>
  <c r="AS362" i="2" s="1"/>
  <c r="AT335" i="2"/>
  <c r="AQ210" i="3"/>
  <c r="AQ218" i="3" s="1"/>
  <c r="AT336" i="2"/>
  <c r="AQ211" i="3"/>
  <c r="AQ219" i="3" s="1"/>
  <c r="AT334" i="2"/>
  <c r="AQ209" i="3"/>
  <c r="AQ217" i="3" s="1"/>
  <c r="AT318" i="2"/>
  <c r="AT358" i="2" s="1"/>
  <c r="AQ185" i="3"/>
  <c r="AQ193" i="3" s="1"/>
  <c r="AQ205" i="3"/>
  <c r="AQ213" i="3" s="1"/>
  <c r="AM72" i="15"/>
  <c r="AL170" i="15"/>
  <c r="AH168" i="12" s="1"/>
  <c r="AL160" i="15"/>
  <c r="AH158" i="12" s="1"/>
  <c r="AL151" i="15"/>
  <c r="AH150" i="12" s="1"/>
  <c r="AL142" i="15"/>
  <c r="AH141" i="12" s="1"/>
  <c r="AL133" i="15"/>
  <c r="AH132" i="12" s="1"/>
  <c r="AL123" i="15"/>
  <c r="BB349" i="2"/>
  <c r="AC55" i="2"/>
  <c r="P333" i="17"/>
  <c r="P301" i="17"/>
  <c r="AI85" i="17"/>
  <c r="AG89" i="17"/>
  <c r="AG87" i="17"/>
  <c r="AG92" i="17"/>
  <c r="AG94" i="17"/>
  <c r="AG88" i="17"/>
  <c r="AG86" i="17"/>
  <c r="AG91" i="17"/>
  <c r="AG83" i="17"/>
  <c r="AG97" i="17"/>
  <c r="AG84" i="17"/>
  <c r="AG93" i="17"/>
  <c r="AG90" i="17"/>
  <c r="AG96" i="17"/>
  <c r="AG95" i="17"/>
  <c r="Z66" i="15"/>
  <c r="Y168" i="15"/>
  <c r="U166" i="12" s="1"/>
  <c r="Y149" i="15"/>
  <c r="U148" i="12" s="1"/>
  <c r="Y140" i="15"/>
  <c r="Y131" i="15"/>
  <c r="Y121" i="15"/>
  <c r="U121" i="12" s="1"/>
  <c r="Y111" i="15"/>
  <c r="U112" i="12" s="1"/>
  <c r="Y67" i="15"/>
  <c r="U178" i="12" s="1"/>
  <c r="U139" i="12"/>
  <c r="U130" i="12"/>
  <c r="Z164" i="15"/>
  <c r="V162" i="12" s="1"/>
  <c r="Z155" i="15"/>
  <c r="Z145" i="15"/>
  <c r="Z136" i="15"/>
  <c r="V135" i="12" s="1"/>
  <c r="Z127" i="15"/>
  <c r="V127" i="12" s="1"/>
  <c r="Z117" i="15"/>
  <c r="V118" i="12" s="1"/>
  <c r="AA84" i="15"/>
  <c r="Y159" i="15"/>
  <c r="Y169" i="15"/>
  <c r="U167" i="12" s="1"/>
  <c r="Y150" i="15"/>
  <c r="U149" i="12" s="1"/>
  <c r="Y141" i="15"/>
  <c r="U140" i="12" s="1"/>
  <c r="Y132" i="15"/>
  <c r="U131" i="12" s="1"/>
  <c r="Y122" i="15"/>
  <c r="U122" i="12" s="1"/>
  <c r="Y112" i="15"/>
  <c r="U113" i="12" s="1"/>
  <c r="Y94" i="15"/>
  <c r="Z94" i="15" s="1"/>
  <c r="X95" i="15"/>
  <c r="Y93" i="15"/>
  <c r="U288" i="3"/>
  <c r="U297" i="3" s="1"/>
  <c r="U230" i="3"/>
  <c r="U231" i="3" s="1"/>
  <c r="S55" i="3"/>
  <c r="S67" i="3"/>
  <c r="S61" i="3"/>
  <c r="S49" i="3"/>
  <c r="T89" i="3"/>
  <c r="T90" i="3" s="1"/>
  <c r="T43" i="3"/>
  <c r="R73" i="3"/>
  <c r="AC173" i="15"/>
  <c r="AC163" i="15"/>
  <c r="Y161" i="12" s="1"/>
  <c r="AC154" i="15"/>
  <c r="AC135" i="15"/>
  <c r="Y134" i="12" s="1"/>
  <c r="AC125" i="15"/>
  <c r="Y125" i="12" s="1"/>
  <c r="AC115" i="15"/>
  <c r="Y116" i="12" s="1"/>
  <c r="AG103" i="15"/>
  <c r="AD116" i="15"/>
  <c r="T97" i="11"/>
  <c r="U97" i="11" s="1"/>
  <c r="V97" i="11" s="1"/>
  <c r="W97" i="11" s="1"/>
  <c r="X97" i="11" s="1"/>
  <c r="Y97" i="11" s="1"/>
  <c r="Z97" i="11" s="1"/>
  <c r="AA97" i="11" s="1"/>
  <c r="AB97" i="11" s="1"/>
  <c r="AC97" i="11" s="1"/>
  <c r="AD97" i="11" s="1"/>
  <c r="AE97" i="11" s="1"/>
  <c r="AF97" i="11" s="1"/>
  <c r="AG97" i="11" s="1"/>
  <c r="AH97" i="11" s="1"/>
  <c r="AI97" i="11" s="1"/>
  <c r="AJ97" i="11" s="1"/>
  <c r="AK97" i="11" s="1"/>
  <c r="AL97" i="11" s="1"/>
  <c r="AM97" i="11" s="1"/>
  <c r="AN97" i="11" s="1"/>
  <c r="AO97" i="11" s="1"/>
  <c r="AP97" i="11" s="1"/>
  <c r="AQ97" i="11" s="1"/>
  <c r="AR97" i="11" s="1"/>
  <c r="AS97" i="11" s="1"/>
  <c r="AT97" i="11" s="1"/>
  <c r="AU97" i="11" s="1"/>
  <c r="AV97" i="11" s="1"/>
  <c r="AW97" i="11" s="1"/>
  <c r="T96" i="11"/>
  <c r="U96" i="11" s="1"/>
  <c r="R65" i="11"/>
  <c r="S65" i="11" s="1"/>
  <c r="T65" i="11" s="1"/>
  <c r="U65" i="11" s="1"/>
  <c r="U88" i="11" s="1"/>
  <c r="Q81" i="11"/>
  <c r="R64" i="11"/>
  <c r="U89" i="11"/>
  <c r="U172" i="11"/>
  <c r="U161" i="11"/>
  <c r="U151" i="11"/>
  <c r="U141" i="11"/>
  <c r="U119" i="11"/>
  <c r="U109" i="11"/>
  <c r="V72" i="11"/>
  <c r="U173" i="11"/>
  <c r="U162" i="11"/>
  <c r="U152" i="11"/>
  <c r="U131" i="11"/>
  <c r="U120" i="11"/>
  <c r="U110" i="11"/>
  <c r="V74" i="11"/>
  <c r="U163" i="11"/>
  <c r="U153" i="11"/>
  <c r="U142" i="11"/>
  <c r="U132" i="11"/>
  <c r="U122" i="11"/>
  <c r="U112" i="11"/>
  <c r="V79" i="11"/>
  <c r="T98" i="11"/>
  <c r="F211" i="3"/>
  <c r="F219" i="3" s="1"/>
  <c r="G211" i="3"/>
  <c r="G219" i="3" s="1"/>
  <c r="H211" i="3"/>
  <c r="H219" i="3" s="1"/>
  <c r="I211" i="3"/>
  <c r="I219" i="3" s="1"/>
  <c r="J211" i="3"/>
  <c r="J219" i="3" s="1"/>
  <c r="K211" i="3"/>
  <c r="K219" i="3" s="1"/>
  <c r="L211" i="3"/>
  <c r="L219" i="3" s="1"/>
  <c r="M211" i="3"/>
  <c r="M219" i="3" s="1"/>
  <c r="N211" i="3"/>
  <c r="N219" i="3" s="1"/>
  <c r="O211" i="3"/>
  <c r="O219" i="3" s="1"/>
  <c r="P211" i="3"/>
  <c r="P219" i="3" s="1"/>
  <c r="E211" i="3"/>
  <c r="E219" i="3" s="1"/>
  <c r="F210" i="3"/>
  <c r="F218" i="3" s="1"/>
  <c r="G210" i="3"/>
  <c r="G218" i="3" s="1"/>
  <c r="H210" i="3"/>
  <c r="H218" i="3" s="1"/>
  <c r="I210" i="3"/>
  <c r="I218" i="3" s="1"/>
  <c r="J210" i="3"/>
  <c r="J218" i="3" s="1"/>
  <c r="K210" i="3"/>
  <c r="K218" i="3" s="1"/>
  <c r="L210" i="3"/>
  <c r="L218" i="3" s="1"/>
  <c r="M210" i="3"/>
  <c r="M218" i="3" s="1"/>
  <c r="N210" i="3"/>
  <c r="N218" i="3" s="1"/>
  <c r="O210" i="3"/>
  <c r="O218" i="3" s="1"/>
  <c r="P210" i="3"/>
  <c r="P218" i="3" s="1"/>
  <c r="E210" i="3"/>
  <c r="E218" i="3" s="1"/>
  <c r="F209" i="3"/>
  <c r="F217" i="3" s="1"/>
  <c r="G209" i="3"/>
  <c r="G217" i="3" s="1"/>
  <c r="H209" i="3"/>
  <c r="H217" i="3" s="1"/>
  <c r="I209" i="3"/>
  <c r="I217" i="3" s="1"/>
  <c r="J209" i="3"/>
  <c r="J217" i="3" s="1"/>
  <c r="K209" i="3"/>
  <c r="K217" i="3" s="1"/>
  <c r="L209" i="3"/>
  <c r="L217" i="3" s="1"/>
  <c r="M209" i="3"/>
  <c r="M217" i="3" s="1"/>
  <c r="N209" i="3"/>
  <c r="N217" i="3" s="1"/>
  <c r="O209" i="3"/>
  <c r="O217" i="3" s="1"/>
  <c r="P209" i="3"/>
  <c r="P217" i="3" s="1"/>
  <c r="E209" i="3"/>
  <c r="E217" i="3" s="1"/>
  <c r="F191" i="3"/>
  <c r="F199" i="3" s="1"/>
  <c r="G191" i="3"/>
  <c r="G199" i="3" s="1"/>
  <c r="H191" i="3"/>
  <c r="H199" i="3" s="1"/>
  <c r="I191" i="3"/>
  <c r="I199" i="3" s="1"/>
  <c r="J191" i="3"/>
  <c r="J199" i="3" s="1"/>
  <c r="K191" i="3"/>
  <c r="K199" i="3" s="1"/>
  <c r="L191" i="3"/>
  <c r="L199" i="3" s="1"/>
  <c r="M191" i="3"/>
  <c r="M199" i="3" s="1"/>
  <c r="N191" i="3"/>
  <c r="N199" i="3" s="1"/>
  <c r="O191" i="3"/>
  <c r="O199" i="3" s="1"/>
  <c r="P191" i="3"/>
  <c r="P199" i="3" s="1"/>
  <c r="E191" i="3"/>
  <c r="E199" i="3" s="1"/>
  <c r="F189" i="3"/>
  <c r="F197" i="3" s="1"/>
  <c r="G189" i="3"/>
  <c r="G197" i="3" s="1"/>
  <c r="H189" i="3"/>
  <c r="H197" i="3" s="1"/>
  <c r="I189" i="3"/>
  <c r="I197" i="3" s="1"/>
  <c r="J189" i="3"/>
  <c r="J197" i="3" s="1"/>
  <c r="K189" i="3"/>
  <c r="K197" i="3" s="1"/>
  <c r="L189" i="3"/>
  <c r="L197" i="3" s="1"/>
  <c r="M189" i="3"/>
  <c r="M197" i="3" s="1"/>
  <c r="N189" i="3"/>
  <c r="N197" i="3" s="1"/>
  <c r="O189" i="3"/>
  <c r="O197" i="3" s="1"/>
  <c r="P189" i="3"/>
  <c r="P197" i="3" s="1"/>
  <c r="E189" i="3"/>
  <c r="E197" i="3" s="1"/>
  <c r="F190" i="3"/>
  <c r="F198" i="3" s="1"/>
  <c r="G190" i="3"/>
  <c r="G198" i="3" s="1"/>
  <c r="H190" i="3"/>
  <c r="H198" i="3" s="1"/>
  <c r="I190" i="3"/>
  <c r="I198" i="3" s="1"/>
  <c r="J190" i="3"/>
  <c r="J198" i="3" s="1"/>
  <c r="K190" i="3"/>
  <c r="K198" i="3" s="1"/>
  <c r="L190" i="3"/>
  <c r="L198" i="3" s="1"/>
  <c r="M190" i="3"/>
  <c r="M198" i="3" s="1"/>
  <c r="N190" i="3"/>
  <c r="N198" i="3" s="1"/>
  <c r="O190" i="3"/>
  <c r="O198" i="3" s="1"/>
  <c r="P190" i="3"/>
  <c r="P198" i="3" s="1"/>
  <c r="E190" i="3"/>
  <c r="E198" i="3" s="1"/>
  <c r="U107" i="11" l="1"/>
  <c r="U117" i="11"/>
  <c r="U128" i="11"/>
  <c r="U138" i="11"/>
  <c r="U148" i="11"/>
  <c r="V65" i="11"/>
  <c r="U169" i="11"/>
  <c r="AS65" i="15"/>
  <c r="AS64" i="15"/>
  <c r="AS68" i="15" s="1"/>
  <c r="AZ364" i="2"/>
  <c r="AU317" i="2"/>
  <c r="AU357" i="2" s="1"/>
  <c r="AT345" i="2"/>
  <c r="AT362" i="2" s="1"/>
  <c r="AU318" i="2"/>
  <c r="AU358" i="2" s="1"/>
  <c r="AR205" i="3"/>
  <c r="AR213" i="3" s="1"/>
  <c r="AR185" i="3"/>
  <c r="AR193" i="3" s="1"/>
  <c r="AU334" i="2"/>
  <c r="AR209" i="3"/>
  <c r="AR217" i="3" s="1"/>
  <c r="AU336" i="2"/>
  <c r="AR211" i="3"/>
  <c r="AR219" i="3" s="1"/>
  <c r="AU335" i="2"/>
  <c r="AR210" i="3"/>
  <c r="AR218" i="3" s="1"/>
  <c r="AN72" i="15"/>
  <c r="AM170" i="15"/>
  <c r="AI168" i="12" s="1"/>
  <c r="AM160" i="15"/>
  <c r="AI158" i="12" s="1"/>
  <c r="AM151" i="15"/>
  <c r="AI150" i="12" s="1"/>
  <c r="AM142" i="15"/>
  <c r="AI141" i="12" s="1"/>
  <c r="AM133" i="15"/>
  <c r="AI132" i="12" s="1"/>
  <c r="AM123" i="15"/>
  <c r="BC349" i="2"/>
  <c r="AD55" i="2"/>
  <c r="Q301" i="17"/>
  <c r="Q333" i="17"/>
  <c r="AH93" i="17"/>
  <c r="AH91" i="17"/>
  <c r="AH92" i="17"/>
  <c r="AH95" i="17"/>
  <c r="AH84" i="17"/>
  <c r="AH86" i="17"/>
  <c r="AH87" i="17"/>
  <c r="AH96" i="17"/>
  <c r="AH97" i="17"/>
  <c r="AH88" i="17"/>
  <c r="AH89" i="17"/>
  <c r="AH90" i="17"/>
  <c r="AH83" i="17"/>
  <c r="AH94" i="17"/>
  <c r="AJ85" i="17"/>
  <c r="AA66" i="15"/>
  <c r="Z168" i="15"/>
  <c r="Z149" i="15"/>
  <c r="Z140" i="15"/>
  <c r="Z131" i="15"/>
  <c r="V130" i="12" s="1"/>
  <c r="Z121" i="15"/>
  <c r="Z111" i="15"/>
  <c r="V112" i="12" s="1"/>
  <c r="Z67" i="15"/>
  <c r="V178" i="12" s="1"/>
  <c r="V166" i="12"/>
  <c r="V139" i="12"/>
  <c r="V148" i="12"/>
  <c r="V121" i="12"/>
  <c r="Y95" i="15"/>
  <c r="Z93" i="15"/>
  <c r="Z159" i="15"/>
  <c r="Z169" i="15"/>
  <c r="V167" i="12" s="1"/>
  <c r="Z150" i="15"/>
  <c r="V149" i="12" s="1"/>
  <c r="Z141" i="15"/>
  <c r="V140" i="12" s="1"/>
  <c r="Z132" i="15"/>
  <c r="V131" i="12" s="1"/>
  <c r="Z122" i="15"/>
  <c r="V122" i="12" s="1"/>
  <c r="Z112" i="15"/>
  <c r="V113" i="12" s="1"/>
  <c r="AA164" i="15"/>
  <c r="W162" i="12" s="1"/>
  <c r="AA155" i="15"/>
  <c r="AA145" i="15"/>
  <c r="AA136" i="15"/>
  <c r="W135" i="12" s="1"/>
  <c r="AA127" i="15"/>
  <c r="W127" i="12" s="1"/>
  <c r="AA117" i="15"/>
  <c r="W118" i="12" s="1"/>
  <c r="AB84" i="15"/>
  <c r="S73" i="3"/>
  <c r="T49" i="3"/>
  <c r="T55" i="3"/>
  <c r="T67" i="3"/>
  <c r="T61" i="3"/>
  <c r="U89" i="3"/>
  <c r="U90" i="3" s="1"/>
  <c r="U43" i="3"/>
  <c r="V288" i="3"/>
  <c r="V297" i="3" s="1"/>
  <c r="V230" i="3"/>
  <c r="V231" i="3" s="1"/>
  <c r="AD173" i="15"/>
  <c r="AD163" i="15"/>
  <c r="Z161" i="12" s="1"/>
  <c r="AD154" i="15"/>
  <c r="AD135" i="15"/>
  <c r="Z134" i="12" s="1"/>
  <c r="AD125" i="15"/>
  <c r="Z125" i="12" s="1"/>
  <c r="AD115" i="15"/>
  <c r="Z116" i="12" s="1"/>
  <c r="AH103" i="15"/>
  <c r="AE116" i="15"/>
  <c r="U98" i="11"/>
  <c r="V96" i="11"/>
  <c r="V163" i="11"/>
  <c r="V153" i="11"/>
  <c r="V142" i="11"/>
  <c r="V132" i="11"/>
  <c r="V122" i="11"/>
  <c r="V112" i="11"/>
  <c r="W79" i="11"/>
  <c r="V173" i="11"/>
  <c r="V162" i="11"/>
  <c r="V152" i="11"/>
  <c r="V131" i="11"/>
  <c r="V120" i="11"/>
  <c r="V110" i="11"/>
  <c r="W74" i="11"/>
  <c r="V172" i="11"/>
  <c r="V161" i="11"/>
  <c r="V151" i="11"/>
  <c r="V141" i="11"/>
  <c r="V119" i="11"/>
  <c r="V109" i="11"/>
  <c r="W72" i="11"/>
  <c r="V169" i="11"/>
  <c r="V148" i="11"/>
  <c r="V138" i="11"/>
  <c r="V128" i="11"/>
  <c r="V117" i="11"/>
  <c r="V107" i="11"/>
  <c r="W65" i="11"/>
  <c r="U90" i="11"/>
  <c r="V88" i="11"/>
  <c r="V89" i="11"/>
  <c r="R70" i="11"/>
  <c r="S64" i="11"/>
  <c r="Q190" i="3"/>
  <c r="Q198" i="3" s="1"/>
  <c r="Q191" i="3"/>
  <c r="Q199" i="3" s="1"/>
  <c r="Q189" i="3"/>
  <c r="Q197" i="3" s="1"/>
  <c r="W89" i="11" l="1"/>
  <c r="AT65" i="15"/>
  <c r="AT64" i="15"/>
  <c r="BA364" i="2"/>
  <c r="AV317" i="2"/>
  <c r="AV357" i="2" s="1"/>
  <c r="AU345" i="2"/>
  <c r="AU362" i="2" s="1"/>
  <c r="AV335" i="2"/>
  <c r="AS210" i="3"/>
  <c r="AS218" i="3" s="1"/>
  <c r="AV336" i="2"/>
  <c r="AS211" i="3"/>
  <c r="AS219" i="3" s="1"/>
  <c r="AV334" i="2"/>
  <c r="AS209" i="3"/>
  <c r="AS217" i="3" s="1"/>
  <c r="AV318" i="2"/>
  <c r="AV358" i="2" s="1"/>
  <c r="AS205" i="3"/>
  <c r="AS213" i="3" s="1"/>
  <c r="AS185" i="3"/>
  <c r="AS193" i="3" s="1"/>
  <c r="AO72" i="15"/>
  <c r="AN170" i="15"/>
  <c r="AJ168" i="12" s="1"/>
  <c r="AN160" i="15"/>
  <c r="AJ158" i="12" s="1"/>
  <c r="AN151" i="15"/>
  <c r="AJ150" i="12" s="1"/>
  <c r="AN142" i="15"/>
  <c r="AJ141" i="12" s="1"/>
  <c r="AN133" i="15"/>
  <c r="AJ132" i="12" s="1"/>
  <c r="AN123" i="15"/>
  <c r="BD349" i="2"/>
  <c r="AE55" i="2"/>
  <c r="R333" i="17"/>
  <c r="R301" i="17"/>
  <c r="AI90" i="17"/>
  <c r="AI96" i="17"/>
  <c r="AI95" i="17"/>
  <c r="AK85" i="17"/>
  <c r="AI89" i="17"/>
  <c r="AI87" i="17"/>
  <c r="AI92" i="17"/>
  <c r="AI94" i="17"/>
  <c r="AI88" i="17"/>
  <c r="AI86" i="17"/>
  <c r="AI91" i="17"/>
  <c r="AI83" i="17"/>
  <c r="AI97" i="17"/>
  <c r="AI84" i="17"/>
  <c r="AI93" i="17"/>
  <c r="AB66" i="15"/>
  <c r="AA168" i="15"/>
  <c r="AA149" i="15"/>
  <c r="AA140" i="15"/>
  <c r="AA131" i="15"/>
  <c r="AA121" i="15"/>
  <c r="W121" i="12" s="1"/>
  <c r="AA111" i="15"/>
  <c r="W112" i="12" s="1"/>
  <c r="AA67" i="15"/>
  <c r="W178" i="12" s="1"/>
  <c r="W166" i="12"/>
  <c r="W139" i="12"/>
  <c r="W148" i="12"/>
  <c r="W130" i="12"/>
  <c r="AB164" i="15"/>
  <c r="X162" i="12" s="1"/>
  <c r="AB155" i="15"/>
  <c r="AB145" i="15"/>
  <c r="AB136" i="15"/>
  <c r="X135" i="12" s="1"/>
  <c r="AB127" i="15"/>
  <c r="X127" i="12" s="1"/>
  <c r="AB117" i="15"/>
  <c r="X118" i="12" s="1"/>
  <c r="AC84" i="15"/>
  <c r="AA159" i="15"/>
  <c r="AA169" i="15"/>
  <c r="W167" i="12" s="1"/>
  <c r="AA150" i="15"/>
  <c r="W149" i="12" s="1"/>
  <c r="AA141" i="15"/>
  <c r="W140" i="12" s="1"/>
  <c r="AA132" i="15"/>
  <c r="W131" i="12" s="1"/>
  <c r="AA122" i="15"/>
  <c r="W122" i="12" s="1"/>
  <c r="AA112" i="15"/>
  <c r="W113" i="12" s="1"/>
  <c r="AA94" i="15"/>
  <c r="AB94" i="15" s="1"/>
  <c r="AA93" i="15"/>
  <c r="Z95" i="15"/>
  <c r="R191" i="3"/>
  <c r="R199" i="3" s="1"/>
  <c r="Q287" i="3"/>
  <c r="Q296" i="3" s="1"/>
  <c r="Q245" i="3"/>
  <c r="Q253" i="3" s="1"/>
  <c r="Q261" i="3" s="1"/>
  <c r="R189" i="3"/>
  <c r="R197" i="3" s="1"/>
  <c r="Q243" i="3"/>
  <c r="Q251" i="3" s="1"/>
  <c r="Q259" i="3" s="1"/>
  <c r="Q285" i="3"/>
  <c r="Q294" i="3" s="1"/>
  <c r="R190" i="3"/>
  <c r="R198" i="3" s="1"/>
  <c r="Q244" i="3"/>
  <c r="Q252" i="3" s="1"/>
  <c r="Q260" i="3" s="1"/>
  <c r="W230" i="3"/>
  <c r="W231" i="3" s="1"/>
  <c r="W288" i="3"/>
  <c r="W297" i="3" s="1"/>
  <c r="T73" i="3"/>
  <c r="U55" i="3"/>
  <c r="U49" i="3"/>
  <c r="U67" i="3"/>
  <c r="U61" i="3"/>
  <c r="V89" i="3"/>
  <c r="V90" i="3" s="1"/>
  <c r="V43" i="3"/>
  <c r="AE173" i="15"/>
  <c r="AE163" i="15"/>
  <c r="AA161" i="12" s="1"/>
  <c r="AE154" i="15"/>
  <c r="AE135" i="15"/>
  <c r="AA134" i="12" s="1"/>
  <c r="AE125" i="15"/>
  <c r="AA125" i="12" s="1"/>
  <c r="AE115" i="15"/>
  <c r="AA116" i="12" s="1"/>
  <c r="AF116" i="15"/>
  <c r="AI103" i="15"/>
  <c r="S70" i="11"/>
  <c r="S81" i="11" s="1"/>
  <c r="T64" i="11"/>
  <c r="R83" i="11"/>
  <c r="R81" i="11"/>
  <c r="V90" i="11"/>
  <c r="W88" i="11"/>
  <c r="W169" i="11"/>
  <c r="W148" i="11"/>
  <c r="W138" i="11"/>
  <c r="W128" i="11"/>
  <c r="W117" i="11"/>
  <c r="W107" i="11"/>
  <c r="X65" i="11"/>
  <c r="W172" i="11"/>
  <c r="W161" i="11"/>
  <c r="W151" i="11"/>
  <c r="W141" i="11"/>
  <c r="W119" i="11"/>
  <c r="W109" i="11"/>
  <c r="X72" i="11"/>
  <c r="W173" i="11"/>
  <c r="W162" i="11"/>
  <c r="W152" i="11"/>
  <c r="W131" i="11"/>
  <c r="W120" i="11"/>
  <c r="W110" i="11"/>
  <c r="X74" i="11"/>
  <c r="W163" i="11"/>
  <c r="W153" i="11"/>
  <c r="W142" i="11"/>
  <c r="W132" i="11"/>
  <c r="W122" i="11"/>
  <c r="W112" i="11"/>
  <c r="X79" i="11"/>
  <c r="V98" i="11"/>
  <c r="W96" i="11"/>
  <c r="Q61" i="1"/>
  <c r="O61" i="1"/>
  <c r="N363" i="4"/>
  <c r="M363" i="4"/>
  <c r="L363" i="4"/>
  <c r="K363" i="4"/>
  <c r="J363" i="4"/>
  <c r="N346" i="4"/>
  <c r="M346" i="4"/>
  <c r="L346" i="4"/>
  <c r="K346" i="4"/>
  <c r="J346" i="4"/>
  <c r="D324" i="4"/>
  <c r="C324" i="4"/>
  <c r="D323" i="4"/>
  <c r="C323" i="4"/>
  <c r="N320" i="4"/>
  <c r="M320" i="4"/>
  <c r="L320" i="4"/>
  <c r="K320" i="4"/>
  <c r="J320" i="4"/>
  <c r="I320" i="4"/>
  <c r="H320" i="4"/>
  <c r="N310" i="4"/>
  <c r="M310" i="4"/>
  <c r="L310" i="4"/>
  <c r="K310" i="4"/>
  <c r="J310" i="4"/>
  <c r="I310" i="4"/>
  <c r="H310" i="4"/>
  <c r="G310" i="4"/>
  <c r="F310" i="4"/>
  <c r="E310" i="4"/>
  <c r="D310" i="4"/>
  <c r="C310" i="4"/>
  <c r="N309" i="4"/>
  <c r="M309" i="4"/>
  <c r="M311" i="4" s="1"/>
  <c r="L309" i="4"/>
  <c r="L311" i="4" s="1"/>
  <c r="K309" i="4"/>
  <c r="J309" i="4"/>
  <c r="I309" i="4"/>
  <c r="H309" i="4"/>
  <c r="G309" i="4"/>
  <c r="F309" i="4"/>
  <c r="E309" i="4"/>
  <c r="D309" i="4"/>
  <c r="C309" i="4"/>
  <c r="N302" i="4"/>
  <c r="M302" i="4"/>
  <c r="L302" i="4"/>
  <c r="K302" i="4"/>
  <c r="J302" i="4"/>
  <c r="I302" i="4"/>
  <c r="H302" i="4"/>
  <c r="G302" i="4"/>
  <c r="F302" i="4"/>
  <c r="E302" i="4"/>
  <c r="D302" i="4"/>
  <c r="C302" i="4"/>
  <c r="N301" i="4"/>
  <c r="M301" i="4"/>
  <c r="M303" i="4" s="1"/>
  <c r="L301" i="4"/>
  <c r="L303" i="4" s="1"/>
  <c r="K301" i="4"/>
  <c r="J301" i="4"/>
  <c r="I301" i="4"/>
  <c r="H301" i="4"/>
  <c r="G301" i="4"/>
  <c r="F301" i="4"/>
  <c r="E301" i="4"/>
  <c r="D301" i="4"/>
  <c r="C301" i="4"/>
  <c r="G288" i="4"/>
  <c r="F288" i="4"/>
  <c r="E288" i="4"/>
  <c r="D288" i="4"/>
  <c r="C288" i="4"/>
  <c r="G287" i="4"/>
  <c r="F287" i="4"/>
  <c r="E287" i="4"/>
  <c r="D287" i="4"/>
  <c r="C287" i="4"/>
  <c r="G286" i="4"/>
  <c r="F286" i="4"/>
  <c r="E286" i="4"/>
  <c r="D286" i="4"/>
  <c r="C286" i="4"/>
  <c r="G282" i="4"/>
  <c r="F282" i="4"/>
  <c r="E282" i="4"/>
  <c r="D282" i="4"/>
  <c r="C282" i="4"/>
  <c r="G281" i="4"/>
  <c r="F281" i="4"/>
  <c r="E281" i="4"/>
  <c r="D281" i="4"/>
  <c r="C281" i="4"/>
  <c r="G280" i="4"/>
  <c r="F280" i="4"/>
  <c r="E280" i="4"/>
  <c r="D280" i="4"/>
  <c r="C280" i="4"/>
  <c r="N271" i="4"/>
  <c r="M271" i="4"/>
  <c r="L271" i="4"/>
  <c r="K271" i="4"/>
  <c r="J271" i="4"/>
  <c r="I271" i="4"/>
  <c r="H271" i="4"/>
  <c r="G271" i="4"/>
  <c r="F271" i="4"/>
  <c r="E271" i="4"/>
  <c r="D271" i="4"/>
  <c r="C271" i="4"/>
  <c r="N268" i="4"/>
  <c r="M268" i="4"/>
  <c r="L268" i="4"/>
  <c r="K268" i="4"/>
  <c r="J268" i="4"/>
  <c r="I268" i="4"/>
  <c r="H268" i="4"/>
  <c r="G268" i="4"/>
  <c r="F268" i="4"/>
  <c r="E268" i="4"/>
  <c r="D268" i="4"/>
  <c r="C268" i="4"/>
  <c r="N254" i="4"/>
  <c r="M254" i="4"/>
  <c r="L254" i="4"/>
  <c r="K254" i="4"/>
  <c r="J254" i="4"/>
  <c r="I254" i="4"/>
  <c r="H254" i="4"/>
  <c r="G254" i="4"/>
  <c r="F254" i="4"/>
  <c r="E254" i="4"/>
  <c r="D254" i="4"/>
  <c r="C254" i="4"/>
  <c r="N253" i="4"/>
  <c r="M253" i="4"/>
  <c r="L253" i="4"/>
  <c r="K253" i="4"/>
  <c r="J253" i="4"/>
  <c r="I253" i="4"/>
  <c r="H253" i="4"/>
  <c r="G253" i="4"/>
  <c r="F253" i="4"/>
  <c r="E253" i="4"/>
  <c r="D253" i="4"/>
  <c r="C253" i="4"/>
  <c r="N252" i="4"/>
  <c r="M252" i="4"/>
  <c r="L252" i="4"/>
  <c r="K252" i="4"/>
  <c r="J252" i="4"/>
  <c r="I252" i="4"/>
  <c r="H252" i="4"/>
  <c r="G252" i="4"/>
  <c r="F252" i="4"/>
  <c r="E252" i="4"/>
  <c r="D252" i="4"/>
  <c r="C252" i="4"/>
  <c r="N251" i="4"/>
  <c r="M251" i="4"/>
  <c r="L251" i="4"/>
  <c r="K251" i="4"/>
  <c r="J251" i="4"/>
  <c r="I251" i="4"/>
  <c r="G251" i="4"/>
  <c r="F251" i="4"/>
  <c r="E251" i="4"/>
  <c r="D251" i="4"/>
  <c r="C251" i="4"/>
  <c r="N250" i="4"/>
  <c r="M250" i="4"/>
  <c r="L250" i="4"/>
  <c r="K250" i="4"/>
  <c r="J250" i="4"/>
  <c r="I250" i="4"/>
  <c r="H250" i="4"/>
  <c r="G250" i="4"/>
  <c r="F250" i="4"/>
  <c r="E250" i="4"/>
  <c r="D250" i="4"/>
  <c r="C250" i="4"/>
  <c r="K249" i="4"/>
  <c r="J249" i="4"/>
  <c r="I249" i="4"/>
  <c r="H249" i="4"/>
  <c r="G249" i="4"/>
  <c r="F249" i="4"/>
  <c r="E249" i="4"/>
  <c r="D249" i="4"/>
  <c r="C249" i="4"/>
  <c r="N248" i="4"/>
  <c r="M248" i="4"/>
  <c r="L248" i="4"/>
  <c r="K248" i="4"/>
  <c r="J248" i="4"/>
  <c r="I248" i="4"/>
  <c r="H248" i="4"/>
  <c r="G248" i="4"/>
  <c r="F248" i="4"/>
  <c r="E248" i="4"/>
  <c r="D248" i="4"/>
  <c r="C248" i="4"/>
  <c r="N247" i="4"/>
  <c r="M247" i="4"/>
  <c r="L247" i="4"/>
  <c r="K247" i="4"/>
  <c r="J247" i="4"/>
  <c r="I247" i="4"/>
  <c r="H247" i="4"/>
  <c r="G247" i="4"/>
  <c r="F247" i="4"/>
  <c r="E247" i="4"/>
  <c r="D247" i="4"/>
  <c r="C247" i="4"/>
  <c r="N246" i="4"/>
  <c r="M246" i="4"/>
  <c r="L246" i="4"/>
  <c r="K246" i="4"/>
  <c r="J246" i="4"/>
  <c r="I246" i="4"/>
  <c r="H246" i="4"/>
  <c r="G246" i="4"/>
  <c r="F246" i="4"/>
  <c r="E246" i="4"/>
  <c r="D246" i="4"/>
  <c r="C246" i="4"/>
  <c r="N245" i="4"/>
  <c r="M245" i="4"/>
  <c r="L245" i="4"/>
  <c r="K245" i="4"/>
  <c r="J245" i="4"/>
  <c r="I245" i="4"/>
  <c r="H245" i="4"/>
  <c r="G245" i="4"/>
  <c r="F245" i="4"/>
  <c r="E245" i="4"/>
  <c r="D245" i="4"/>
  <c r="C245" i="4"/>
  <c r="G244" i="4"/>
  <c r="F244" i="4"/>
  <c r="E244" i="4"/>
  <c r="D244" i="4"/>
  <c r="C244" i="4"/>
  <c r="N243" i="4"/>
  <c r="M243" i="4"/>
  <c r="L243" i="4"/>
  <c r="K243" i="4"/>
  <c r="J243" i="4"/>
  <c r="I243" i="4"/>
  <c r="H243" i="4"/>
  <c r="G243" i="4"/>
  <c r="F243" i="4"/>
  <c r="E243" i="4"/>
  <c r="D243" i="4"/>
  <c r="C243" i="4"/>
  <c r="N242" i="4"/>
  <c r="M242" i="4"/>
  <c r="M256" i="4" s="1"/>
  <c r="L242" i="4"/>
  <c r="K242" i="4"/>
  <c r="J242" i="4"/>
  <c r="I242" i="4"/>
  <c r="H242" i="4"/>
  <c r="G242" i="4"/>
  <c r="F242" i="4"/>
  <c r="E242" i="4"/>
  <c r="D242" i="4"/>
  <c r="C242" i="4"/>
  <c r="N221" i="4"/>
  <c r="M221" i="4"/>
  <c r="M185" i="4" s="1"/>
  <c r="L221" i="4"/>
  <c r="K221" i="4"/>
  <c r="J221" i="4"/>
  <c r="J185" i="4" s="1"/>
  <c r="I221" i="4"/>
  <c r="I185" i="4" s="1"/>
  <c r="H221" i="4"/>
  <c r="G221" i="4"/>
  <c r="F221" i="4"/>
  <c r="E221" i="4"/>
  <c r="D221" i="4"/>
  <c r="C221" i="4"/>
  <c r="N220" i="4"/>
  <c r="M220" i="4"/>
  <c r="L220" i="4"/>
  <c r="K220" i="4"/>
  <c r="J220" i="4"/>
  <c r="I220" i="4"/>
  <c r="H220" i="4"/>
  <c r="G220" i="4"/>
  <c r="F220" i="4"/>
  <c r="E220" i="4"/>
  <c r="D220" i="4"/>
  <c r="C220" i="4"/>
  <c r="G219" i="4"/>
  <c r="F219" i="4"/>
  <c r="E219" i="4"/>
  <c r="D219" i="4"/>
  <c r="C219" i="4"/>
  <c r="N218" i="4"/>
  <c r="M218" i="4"/>
  <c r="L218" i="4"/>
  <c r="K218" i="4"/>
  <c r="J218" i="4"/>
  <c r="I218" i="4"/>
  <c r="G218" i="4"/>
  <c r="F218" i="4"/>
  <c r="E218" i="4"/>
  <c r="D218" i="4"/>
  <c r="C218" i="4"/>
  <c r="N217" i="4"/>
  <c r="M217" i="4"/>
  <c r="L217" i="4"/>
  <c r="K217" i="4"/>
  <c r="J217" i="4"/>
  <c r="I217" i="4"/>
  <c r="H217" i="4"/>
  <c r="G217" i="4"/>
  <c r="F217" i="4"/>
  <c r="E217" i="4"/>
  <c r="D217" i="4"/>
  <c r="C217" i="4"/>
  <c r="N216" i="4"/>
  <c r="M216" i="4"/>
  <c r="L216" i="4"/>
  <c r="K216" i="4"/>
  <c r="J216" i="4"/>
  <c r="I216" i="4"/>
  <c r="H216" i="4"/>
  <c r="G216" i="4"/>
  <c r="F216" i="4"/>
  <c r="E216" i="4"/>
  <c r="D216" i="4"/>
  <c r="C216" i="4"/>
  <c r="N215" i="4"/>
  <c r="M215" i="4"/>
  <c r="L215" i="4"/>
  <c r="K215" i="4"/>
  <c r="J215" i="4"/>
  <c r="I215" i="4"/>
  <c r="H215" i="4"/>
  <c r="G215" i="4"/>
  <c r="F215" i="4"/>
  <c r="E215" i="4"/>
  <c r="D215" i="4"/>
  <c r="C215" i="4"/>
  <c r="N214" i="4"/>
  <c r="M214" i="4"/>
  <c r="L214" i="4"/>
  <c r="K214" i="4"/>
  <c r="J214" i="4"/>
  <c r="I214" i="4"/>
  <c r="H214" i="4"/>
  <c r="G214" i="4"/>
  <c r="F214" i="4"/>
  <c r="E214" i="4"/>
  <c r="D214" i="4"/>
  <c r="C214" i="4"/>
  <c r="N213" i="4"/>
  <c r="M213" i="4"/>
  <c r="L213" i="4"/>
  <c r="K213" i="4"/>
  <c r="J213" i="4"/>
  <c r="I213" i="4"/>
  <c r="H213" i="4"/>
  <c r="G213" i="4"/>
  <c r="F213" i="4"/>
  <c r="E213" i="4"/>
  <c r="D213" i="4"/>
  <c r="C213" i="4"/>
  <c r="N212" i="4"/>
  <c r="M212" i="4"/>
  <c r="L212" i="4"/>
  <c r="K212" i="4"/>
  <c r="J212" i="4"/>
  <c r="I212" i="4"/>
  <c r="H212" i="4"/>
  <c r="G212" i="4"/>
  <c r="F212" i="4"/>
  <c r="E212" i="4"/>
  <c r="D212" i="4"/>
  <c r="C212" i="4"/>
  <c r="N211" i="4"/>
  <c r="M211" i="4"/>
  <c r="L211" i="4"/>
  <c r="K211" i="4"/>
  <c r="J211" i="4"/>
  <c r="I211" i="4"/>
  <c r="H211" i="4"/>
  <c r="G211" i="4"/>
  <c r="F211" i="4"/>
  <c r="E211" i="4"/>
  <c r="D211" i="4"/>
  <c r="C211" i="4"/>
  <c r="N210" i="4"/>
  <c r="M210" i="4"/>
  <c r="M223" i="4" s="1"/>
  <c r="L210" i="4"/>
  <c r="K210" i="4"/>
  <c r="K223" i="4" s="1"/>
  <c r="J210" i="4"/>
  <c r="I210" i="4"/>
  <c r="H210" i="4"/>
  <c r="G210" i="4"/>
  <c r="F210" i="4"/>
  <c r="E210" i="4"/>
  <c r="D210" i="4"/>
  <c r="C210" i="4"/>
  <c r="G209" i="4"/>
  <c r="F209" i="4"/>
  <c r="E209" i="4"/>
  <c r="D209" i="4"/>
  <c r="C209" i="4"/>
  <c r="N208" i="4"/>
  <c r="L208" i="4"/>
  <c r="L223" i="4" s="1"/>
  <c r="J208" i="4"/>
  <c r="I208" i="4"/>
  <c r="H208" i="4"/>
  <c r="H223" i="4" s="1"/>
  <c r="G208" i="4"/>
  <c r="F208" i="4"/>
  <c r="E208" i="4"/>
  <c r="D208" i="4"/>
  <c r="C208" i="4"/>
  <c r="N185" i="4"/>
  <c r="L185" i="4"/>
  <c r="K185" i="4"/>
  <c r="H185" i="4"/>
  <c r="G185" i="4"/>
  <c r="F185" i="4"/>
  <c r="E185" i="4"/>
  <c r="D185" i="4"/>
  <c r="C185" i="4"/>
  <c r="G172" i="4"/>
  <c r="F172" i="4"/>
  <c r="E172" i="4"/>
  <c r="D172" i="4"/>
  <c r="C172" i="4"/>
  <c r="N169" i="4"/>
  <c r="M169" i="4"/>
  <c r="L169" i="4"/>
  <c r="L184" i="4" s="1"/>
  <c r="K169" i="4"/>
  <c r="K184" i="4" s="1"/>
  <c r="J169" i="4"/>
  <c r="J184" i="4" s="1"/>
  <c r="I169" i="4"/>
  <c r="I184" i="4" s="1"/>
  <c r="H169" i="4"/>
  <c r="H184" i="4" s="1"/>
  <c r="G169" i="4"/>
  <c r="G184" i="4" s="1"/>
  <c r="F169" i="4"/>
  <c r="F184" i="4" s="1"/>
  <c r="E169" i="4"/>
  <c r="E184" i="4" s="1"/>
  <c r="D169" i="4"/>
  <c r="D184" i="4" s="1"/>
  <c r="C169" i="4"/>
  <c r="C184" i="4" s="1"/>
  <c r="N168" i="4"/>
  <c r="M168" i="4"/>
  <c r="M183" i="4" s="1"/>
  <c r="L168" i="4"/>
  <c r="L183" i="4" s="1"/>
  <c r="K168" i="4"/>
  <c r="K183" i="4" s="1"/>
  <c r="J168" i="4"/>
  <c r="J183" i="4" s="1"/>
  <c r="I168" i="4"/>
  <c r="I183" i="4" s="1"/>
  <c r="H168" i="4"/>
  <c r="H183" i="4" s="1"/>
  <c r="G168" i="4"/>
  <c r="G183" i="4" s="1"/>
  <c r="F168" i="4"/>
  <c r="F183" i="4" s="1"/>
  <c r="E168" i="4"/>
  <c r="E183" i="4" s="1"/>
  <c r="D168" i="4"/>
  <c r="D183" i="4" s="1"/>
  <c r="C168" i="4"/>
  <c r="C183" i="4" s="1"/>
  <c r="N167" i="4"/>
  <c r="M167" i="4"/>
  <c r="M182" i="4" s="1"/>
  <c r="L167" i="4"/>
  <c r="L182" i="4" s="1"/>
  <c r="K167" i="4"/>
  <c r="K182" i="4" s="1"/>
  <c r="J167" i="4"/>
  <c r="J182" i="4" s="1"/>
  <c r="I167" i="4"/>
  <c r="I182" i="4" s="1"/>
  <c r="H167" i="4"/>
  <c r="H182" i="4" s="1"/>
  <c r="G167" i="4"/>
  <c r="G182" i="4" s="1"/>
  <c r="F167" i="4"/>
  <c r="F182" i="4" s="1"/>
  <c r="E167" i="4"/>
  <c r="E182" i="4" s="1"/>
  <c r="D167" i="4"/>
  <c r="D182" i="4" s="1"/>
  <c r="C167" i="4"/>
  <c r="C182" i="4" s="1"/>
  <c r="N166" i="4"/>
  <c r="M166" i="4"/>
  <c r="M181" i="4" s="1"/>
  <c r="L166" i="4"/>
  <c r="L181" i="4" s="1"/>
  <c r="K166" i="4"/>
  <c r="K181" i="4" s="1"/>
  <c r="J166" i="4"/>
  <c r="I166" i="4"/>
  <c r="H166" i="4"/>
  <c r="H181" i="4" s="1"/>
  <c r="G166" i="4"/>
  <c r="G181" i="4" s="1"/>
  <c r="F166" i="4"/>
  <c r="F181" i="4" s="1"/>
  <c r="E166" i="4"/>
  <c r="E181" i="4" s="1"/>
  <c r="D166" i="4"/>
  <c r="D181" i="4" s="1"/>
  <c r="C166" i="4"/>
  <c r="C181" i="4" s="1"/>
  <c r="N165" i="4"/>
  <c r="M165" i="4"/>
  <c r="L165" i="4"/>
  <c r="L180" i="4" s="1"/>
  <c r="K165" i="4"/>
  <c r="K180" i="4" s="1"/>
  <c r="J165" i="4"/>
  <c r="J180" i="4" s="1"/>
  <c r="I165" i="4"/>
  <c r="I180" i="4" s="1"/>
  <c r="H165" i="4"/>
  <c r="H180" i="4" s="1"/>
  <c r="G165" i="4"/>
  <c r="G180" i="4" s="1"/>
  <c r="F165" i="4"/>
  <c r="F180" i="4" s="1"/>
  <c r="E165" i="4"/>
  <c r="E180" i="4" s="1"/>
  <c r="D165" i="4"/>
  <c r="D180" i="4" s="1"/>
  <c r="C165" i="4"/>
  <c r="C180" i="4" s="1"/>
  <c r="N164" i="4"/>
  <c r="M164" i="4"/>
  <c r="M179" i="4" s="1"/>
  <c r="L164" i="4"/>
  <c r="L179" i="4" s="1"/>
  <c r="K164" i="4"/>
  <c r="K179" i="4" s="1"/>
  <c r="J164" i="4"/>
  <c r="I164" i="4"/>
  <c r="H164" i="4"/>
  <c r="H179" i="4" s="1"/>
  <c r="G164" i="4"/>
  <c r="F164" i="4"/>
  <c r="E164" i="4"/>
  <c r="D164" i="4"/>
  <c r="C164" i="4"/>
  <c r="N163" i="4"/>
  <c r="M163" i="4"/>
  <c r="L163" i="4"/>
  <c r="L178" i="4" s="1"/>
  <c r="K163" i="4"/>
  <c r="K178" i="4" s="1"/>
  <c r="J163" i="4"/>
  <c r="J178" i="4" s="1"/>
  <c r="I163" i="4"/>
  <c r="I178" i="4" s="1"/>
  <c r="H163" i="4"/>
  <c r="H178" i="4" s="1"/>
  <c r="G163" i="4"/>
  <c r="G179" i="4" s="1"/>
  <c r="F163" i="4"/>
  <c r="F179" i="4" s="1"/>
  <c r="E163" i="4"/>
  <c r="E179" i="4" s="1"/>
  <c r="D163" i="4"/>
  <c r="D179" i="4" s="1"/>
  <c r="C163" i="4"/>
  <c r="C179" i="4" s="1"/>
  <c r="N162" i="4"/>
  <c r="M162" i="4"/>
  <c r="M177" i="4" s="1"/>
  <c r="L162" i="4"/>
  <c r="L177" i="4" s="1"/>
  <c r="K162" i="4"/>
  <c r="K177" i="4" s="1"/>
  <c r="J162" i="4"/>
  <c r="I162" i="4"/>
  <c r="H162" i="4"/>
  <c r="H177" i="4" s="1"/>
  <c r="G162" i="4"/>
  <c r="G178" i="4" s="1"/>
  <c r="F162" i="4"/>
  <c r="F178" i="4" s="1"/>
  <c r="E162" i="4"/>
  <c r="E178" i="4" s="1"/>
  <c r="D162" i="4"/>
  <c r="D178" i="4" s="1"/>
  <c r="C162" i="4"/>
  <c r="C178" i="4" s="1"/>
  <c r="N161" i="4"/>
  <c r="M161" i="4"/>
  <c r="L161" i="4"/>
  <c r="L176" i="4" s="1"/>
  <c r="K161" i="4"/>
  <c r="K176" i="4" s="1"/>
  <c r="J161" i="4"/>
  <c r="J176" i="4" s="1"/>
  <c r="I161" i="4"/>
  <c r="I176" i="4" s="1"/>
  <c r="H161" i="4"/>
  <c r="H176" i="4" s="1"/>
  <c r="G161" i="4"/>
  <c r="G177" i="4" s="1"/>
  <c r="F161" i="4"/>
  <c r="F177" i="4" s="1"/>
  <c r="E161" i="4"/>
  <c r="E177" i="4" s="1"/>
  <c r="D161" i="4"/>
  <c r="D177" i="4" s="1"/>
  <c r="C161" i="4"/>
  <c r="C177" i="4" s="1"/>
  <c r="N160" i="4"/>
  <c r="M160" i="4"/>
  <c r="M175" i="4" s="1"/>
  <c r="L160" i="4"/>
  <c r="L175" i="4" s="1"/>
  <c r="K160" i="4"/>
  <c r="K175" i="4" s="1"/>
  <c r="J160" i="4"/>
  <c r="I160" i="4"/>
  <c r="H160" i="4"/>
  <c r="H175" i="4" s="1"/>
  <c r="G160" i="4"/>
  <c r="G176" i="4" s="1"/>
  <c r="F160" i="4"/>
  <c r="F176" i="4" s="1"/>
  <c r="E160" i="4"/>
  <c r="E176" i="4" s="1"/>
  <c r="D160" i="4"/>
  <c r="D176" i="4" s="1"/>
  <c r="C160" i="4"/>
  <c r="C176" i="4" s="1"/>
  <c r="N159" i="4"/>
  <c r="M159" i="4"/>
  <c r="L159" i="4"/>
  <c r="L174" i="4" s="1"/>
  <c r="K159" i="4"/>
  <c r="K174" i="4" s="1"/>
  <c r="J159" i="4"/>
  <c r="J174" i="4" s="1"/>
  <c r="I159" i="4"/>
  <c r="I174" i="4" s="1"/>
  <c r="H159" i="4"/>
  <c r="H174" i="4" s="1"/>
  <c r="G159" i="4"/>
  <c r="G175" i="4" s="1"/>
  <c r="F159" i="4"/>
  <c r="F175" i="4" s="1"/>
  <c r="E159" i="4"/>
  <c r="E175" i="4" s="1"/>
  <c r="D159" i="4"/>
  <c r="D175" i="4" s="1"/>
  <c r="C159" i="4"/>
  <c r="C175" i="4" s="1"/>
  <c r="N158" i="4"/>
  <c r="M158" i="4"/>
  <c r="M173" i="4" s="1"/>
  <c r="L158" i="4"/>
  <c r="L173" i="4" s="1"/>
  <c r="K158" i="4"/>
  <c r="K173" i="4" s="1"/>
  <c r="J158" i="4"/>
  <c r="J173" i="4" s="1"/>
  <c r="I158" i="4"/>
  <c r="I173" i="4" s="1"/>
  <c r="H158" i="4"/>
  <c r="H173" i="4" s="1"/>
  <c r="G158" i="4"/>
  <c r="G174" i="4" s="1"/>
  <c r="F158" i="4"/>
  <c r="F174" i="4" s="1"/>
  <c r="E158" i="4"/>
  <c r="E174" i="4" s="1"/>
  <c r="D158" i="4"/>
  <c r="D174" i="4" s="1"/>
  <c r="C158" i="4"/>
  <c r="C174" i="4" s="1"/>
  <c r="N157" i="4"/>
  <c r="M157" i="4"/>
  <c r="M172" i="4" s="1"/>
  <c r="L157" i="4"/>
  <c r="L172" i="4" s="1"/>
  <c r="K157" i="4"/>
  <c r="K172" i="4" s="1"/>
  <c r="J157" i="4"/>
  <c r="J172" i="4" s="1"/>
  <c r="I157" i="4"/>
  <c r="I172" i="4" s="1"/>
  <c r="H157" i="4"/>
  <c r="G157" i="4"/>
  <c r="G173" i="4" s="1"/>
  <c r="F157" i="4"/>
  <c r="F173" i="4" s="1"/>
  <c r="E157" i="4"/>
  <c r="E173" i="4" s="1"/>
  <c r="D157" i="4"/>
  <c r="D173" i="4" s="1"/>
  <c r="C157" i="4"/>
  <c r="C173" i="4" s="1"/>
  <c r="N134" i="4"/>
  <c r="M134" i="4"/>
  <c r="L134" i="4"/>
  <c r="K134" i="4"/>
  <c r="J134" i="4"/>
  <c r="I134" i="4"/>
  <c r="H134" i="4"/>
  <c r="F133" i="4"/>
  <c r="E133" i="4"/>
  <c r="D133" i="4"/>
  <c r="C133" i="4"/>
  <c r="G121" i="4"/>
  <c r="F121" i="4"/>
  <c r="E121" i="4"/>
  <c r="D121" i="4"/>
  <c r="C121" i="4"/>
  <c r="N118" i="4"/>
  <c r="M118" i="4"/>
  <c r="L118" i="4"/>
  <c r="K118" i="4"/>
  <c r="J118" i="4"/>
  <c r="I118" i="4"/>
  <c r="H118" i="4"/>
  <c r="F117" i="4"/>
  <c r="E117" i="4"/>
  <c r="D117" i="4"/>
  <c r="C117" i="4"/>
  <c r="G104" i="4"/>
  <c r="F104" i="4"/>
  <c r="E104" i="4"/>
  <c r="D104" i="4"/>
  <c r="C104" i="4"/>
  <c r="F101" i="4"/>
  <c r="E101" i="4"/>
  <c r="D101" i="4"/>
  <c r="C101" i="4"/>
  <c r="N100" i="4"/>
  <c r="M100" i="4"/>
  <c r="L100" i="4"/>
  <c r="K100" i="4"/>
  <c r="J100" i="4"/>
  <c r="I100" i="4"/>
  <c r="H100" i="4"/>
  <c r="G100" i="4"/>
  <c r="G116" i="4" s="1"/>
  <c r="F100" i="4"/>
  <c r="F116" i="4" s="1"/>
  <c r="E100" i="4"/>
  <c r="E116" i="4" s="1"/>
  <c r="D100" i="4"/>
  <c r="D116" i="4" s="1"/>
  <c r="C100" i="4"/>
  <c r="C116" i="4" s="1"/>
  <c r="N99" i="4"/>
  <c r="M99" i="4"/>
  <c r="L99" i="4"/>
  <c r="K99" i="4"/>
  <c r="J99" i="4"/>
  <c r="I99" i="4"/>
  <c r="H99" i="4"/>
  <c r="G99" i="4"/>
  <c r="G115" i="4" s="1"/>
  <c r="G132" i="4" s="1"/>
  <c r="F99" i="4"/>
  <c r="F115" i="4" s="1"/>
  <c r="F132" i="4" s="1"/>
  <c r="E99" i="4"/>
  <c r="E115" i="4" s="1"/>
  <c r="E132" i="4" s="1"/>
  <c r="D99" i="4"/>
  <c r="D115" i="4" s="1"/>
  <c r="D132" i="4" s="1"/>
  <c r="C99" i="4"/>
  <c r="C115" i="4" s="1"/>
  <c r="C132" i="4" s="1"/>
  <c r="N98" i="4"/>
  <c r="M98" i="4"/>
  <c r="L98" i="4"/>
  <c r="K98" i="4"/>
  <c r="J98" i="4"/>
  <c r="I98" i="4"/>
  <c r="H98" i="4"/>
  <c r="G98" i="4"/>
  <c r="G114" i="4" s="1"/>
  <c r="G131" i="4" s="1"/>
  <c r="F98" i="4"/>
  <c r="F114" i="4" s="1"/>
  <c r="F131" i="4" s="1"/>
  <c r="E98" i="4"/>
  <c r="E114" i="4" s="1"/>
  <c r="E131" i="4" s="1"/>
  <c r="D98" i="4"/>
  <c r="D114" i="4" s="1"/>
  <c r="D131" i="4" s="1"/>
  <c r="C98" i="4"/>
  <c r="C114" i="4" s="1"/>
  <c r="C131" i="4" s="1"/>
  <c r="N97" i="4"/>
  <c r="M97" i="4"/>
  <c r="L97" i="4"/>
  <c r="K97" i="4"/>
  <c r="J97" i="4"/>
  <c r="I97" i="4"/>
  <c r="H97" i="4"/>
  <c r="G97" i="4"/>
  <c r="G113" i="4" s="1"/>
  <c r="G130" i="4" s="1"/>
  <c r="F97" i="4"/>
  <c r="F113" i="4" s="1"/>
  <c r="F130" i="4" s="1"/>
  <c r="E97" i="4"/>
  <c r="E113" i="4" s="1"/>
  <c r="E130" i="4" s="1"/>
  <c r="D97" i="4"/>
  <c r="D113" i="4" s="1"/>
  <c r="D130" i="4" s="1"/>
  <c r="C97" i="4"/>
  <c r="C113" i="4" s="1"/>
  <c r="C130" i="4" s="1"/>
  <c r="N96" i="4"/>
  <c r="M96" i="4"/>
  <c r="L96" i="4"/>
  <c r="K96" i="4"/>
  <c r="J96" i="4"/>
  <c r="I96" i="4"/>
  <c r="H96" i="4"/>
  <c r="G96" i="4"/>
  <c r="G112" i="4" s="1"/>
  <c r="G129" i="4" s="1"/>
  <c r="F96" i="4"/>
  <c r="F112" i="4" s="1"/>
  <c r="F129" i="4" s="1"/>
  <c r="E96" i="4"/>
  <c r="E112" i="4" s="1"/>
  <c r="E129" i="4" s="1"/>
  <c r="D96" i="4"/>
  <c r="D112" i="4" s="1"/>
  <c r="D129" i="4" s="1"/>
  <c r="C96" i="4"/>
  <c r="C112" i="4" s="1"/>
  <c r="C129" i="4" s="1"/>
  <c r="N95" i="4"/>
  <c r="M95" i="4"/>
  <c r="L95" i="4"/>
  <c r="K95" i="4"/>
  <c r="J95" i="4"/>
  <c r="I95" i="4"/>
  <c r="H95" i="4"/>
  <c r="G95" i="4"/>
  <c r="F95" i="4"/>
  <c r="E95" i="4"/>
  <c r="D95" i="4"/>
  <c r="C95" i="4"/>
  <c r="N94" i="4"/>
  <c r="M94" i="4"/>
  <c r="L94" i="4"/>
  <c r="K94" i="4"/>
  <c r="J94" i="4"/>
  <c r="I94" i="4"/>
  <c r="H94" i="4"/>
  <c r="G94" i="4"/>
  <c r="G111" i="4" s="1"/>
  <c r="G128" i="4" s="1"/>
  <c r="F94" i="4"/>
  <c r="F111" i="4" s="1"/>
  <c r="F128" i="4" s="1"/>
  <c r="E94" i="4"/>
  <c r="E111" i="4" s="1"/>
  <c r="E128" i="4" s="1"/>
  <c r="D94" i="4"/>
  <c r="D111" i="4" s="1"/>
  <c r="D128" i="4" s="1"/>
  <c r="C94" i="4"/>
  <c r="C111" i="4" s="1"/>
  <c r="C128" i="4" s="1"/>
  <c r="N93" i="4"/>
  <c r="M93" i="4"/>
  <c r="L93" i="4"/>
  <c r="K93" i="4"/>
  <c r="J93" i="4"/>
  <c r="I93" i="4"/>
  <c r="H93" i="4"/>
  <c r="G93" i="4"/>
  <c r="G110" i="4" s="1"/>
  <c r="F93" i="4"/>
  <c r="F110" i="4" s="1"/>
  <c r="E93" i="4"/>
  <c r="E110" i="4" s="1"/>
  <c r="D93" i="4"/>
  <c r="D110" i="4" s="1"/>
  <c r="C93" i="4"/>
  <c r="C110" i="4" s="1"/>
  <c r="N92" i="4"/>
  <c r="M92" i="4"/>
  <c r="L92" i="4"/>
  <c r="K92" i="4"/>
  <c r="J92" i="4"/>
  <c r="I92" i="4"/>
  <c r="H92" i="4"/>
  <c r="G92" i="4"/>
  <c r="G109" i="4" s="1"/>
  <c r="G127" i="4" s="1"/>
  <c r="F92" i="4"/>
  <c r="F109" i="4" s="1"/>
  <c r="F127" i="4" s="1"/>
  <c r="E92" i="4"/>
  <c r="E109" i="4" s="1"/>
  <c r="E127" i="4" s="1"/>
  <c r="D92" i="4"/>
  <c r="D109" i="4" s="1"/>
  <c r="D127" i="4" s="1"/>
  <c r="C92" i="4"/>
  <c r="C109" i="4" s="1"/>
  <c r="C127" i="4" s="1"/>
  <c r="N91" i="4"/>
  <c r="M91" i="4"/>
  <c r="L91" i="4"/>
  <c r="K91" i="4"/>
  <c r="J91" i="4"/>
  <c r="I91" i="4"/>
  <c r="H91" i="4"/>
  <c r="G91" i="4"/>
  <c r="G108" i="4" s="1"/>
  <c r="G126" i="4" s="1"/>
  <c r="F91" i="4"/>
  <c r="F108" i="4" s="1"/>
  <c r="F126" i="4" s="1"/>
  <c r="E91" i="4"/>
  <c r="E108" i="4" s="1"/>
  <c r="E126" i="4" s="1"/>
  <c r="D91" i="4"/>
  <c r="D108" i="4" s="1"/>
  <c r="D126" i="4" s="1"/>
  <c r="C91" i="4"/>
  <c r="C108" i="4" s="1"/>
  <c r="C126" i="4" s="1"/>
  <c r="N90" i="4"/>
  <c r="M90" i="4"/>
  <c r="L90" i="4"/>
  <c r="K90" i="4"/>
  <c r="J90" i="4"/>
  <c r="I90" i="4"/>
  <c r="H90" i="4"/>
  <c r="G90" i="4"/>
  <c r="G107" i="4" s="1"/>
  <c r="G125" i="4" s="1"/>
  <c r="F90" i="4"/>
  <c r="F107" i="4" s="1"/>
  <c r="F125" i="4" s="1"/>
  <c r="E90" i="4"/>
  <c r="E107" i="4" s="1"/>
  <c r="E125" i="4" s="1"/>
  <c r="D90" i="4"/>
  <c r="D107" i="4" s="1"/>
  <c r="D125" i="4" s="1"/>
  <c r="C90" i="4"/>
  <c r="C107" i="4" s="1"/>
  <c r="C125" i="4" s="1"/>
  <c r="N89" i="4"/>
  <c r="M89" i="4"/>
  <c r="L89" i="4"/>
  <c r="K89" i="4"/>
  <c r="J89" i="4"/>
  <c r="I89" i="4"/>
  <c r="H89" i="4"/>
  <c r="G89" i="4"/>
  <c r="G106" i="4" s="1"/>
  <c r="G124" i="4" s="1"/>
  <c r="F89" i="4"/>
  <c r="F106" i="4" s="1"/>
  <c r="F124" i="4" s="1"/>
  <c r="E89" i="4"/>
  <c r="E106" i="4" s="1"/>
  <c r="E124" i="4" s="1"/>
  <c r="D89" i="4"/>
  <c r="D106" i="4" s="1"/>
  <c r="D124" i="4" s="1"/>
  <c r="C89" i="4"/>
  <c r="C106" i="4" s="1"/>
  <c r="C124" i="4" s="1"/>
  <c r="N88" i="4"/>
  <c r="M88" i="4"/>
  <c r="L88" i="4"/>
  <c r="L102" i="4" s="1"/>
  <c r="K88" i="4"/>
  <c r="K102" i="4" s="1"/>
  <c r="J88" i="4"/>
  <c r="J102" i="4" s="1"/>
  <c r="I88" i="4"/>
  <c r="I102" i="4" s="1"/>
  <c r="H88" i="4"/>
  <c r="H102" i="4" s="1"/>
  <c r="G88" i="4"/>
  <c r="F88" i="4"/>
  <c r="E88" i="4"/>
  <c r="D88" i="4"/>
  <c r="C88" i="4"/>
  <c r="N69" i="4"/>
  <c r="M69" i="4"/>
  <c r="L69" i="4"/>
  <c r="K69" i="4"/>
  <c r="J69" i="4"/>
  <c r="I69" i="4"/>
  <c r="H69" i="4"/>
  <c r="G56" i="4"/>
  <c r="F56" i="4"/>
  <c r="E56" i="4"/>
  <c r="D56" i="4"/>
  <c r="C56" i="4"/>
  <c r="N53" i="4"/>
  <c r="M53" i="4"/>
  <c r="L53" i="4"/>
  <c r="K53" i="4"/>
  <c r="J53" i="4"/>
  <c r="I53" i="4"/>
  <c r="H53" i="4"/>
  <c r="G39" i="4"/>
  <c r="F39" i="4"/>
  <c r="E39" i="4"/>
  <c r="D39" i="4"/>
  <c r="C39" i="4"/>
  <c r="N36" i="4"/>
  <c r="M36" i="4"/>
  <c r="L36" i="4"/>
  <c r="K36" i="4"/>
  <c r="J36" i="4"/>
  <c r="I36" i="4"/>
  <c r="H36" i="4"/>
  <c r="G36" i="4"/>
  <c r="F36" i="4"/>
  <c r="E36" i="4"/>
  <c r="D36" i="4"/>
  <c r="C36" i="4"/>
  <c r="N35" i="4"/>
  <c r="M35" i="4"/>
  <c r="L35" i="4"/>
  <c r="K35" i="4"/>
  <c r="J35" i="4"/>
  <c r="I35" i="4"/>
  <c r="H35" i="4"/>
  <c r="G35" i="4"/>
  <c r="G52" i="4" s="1"/>
  <c r="F35" i="4"/>
  <c r="F52" i="4" s="1"/>
  <c r="E35" i="4"/>
  <c r="E52" i="4" s="1"/>
  <c r="D35" i="4"/>
  <c r="D52" i="4" s="1"/>
  <c r="C35" i="4"/>
  <c r="C52" i="4" s="1"/>
  <c r="N34" i="4"/>
  <c r="M34" i="4"/>
  <c r="L34" i="4"/>
  <c r="K34" i="4"/>
  <c r="J34" i="4"/>
  <c r="I34" i="4"/>
  <c r="H34" i="4"/>
  <c r="G34" i="4"/>
  <c r="G51" i="4" s="1"/>
  <c r="F34" i="4"/>
  <c r="F51" i="4" s="1"/>
  <c r="E34" i="4"/>
  <c r="E51" i="4" s="1"/>
  <c r="D34" i="4"/>
  <c r="D51" i="4" s="1"/>
  <c r="C34" i="4"/>
  <c r="C51" i="4" s="1"/>
  <c r="N33" i="4"/>
  <c r="M33" i="4"/>
  <c r="L33" i="4"/>
  <c r="K33" i="4"/>
  <c r="J33" i="4"/>
  <c r="I33" i="4"/>
  <c r="H33" i="4"/>
  <c r="G33" i="4"/>
  <c r="G50" i="4" s="1"/>
  <c r="G68" i="4" s="1"/>
  <c r="F33" i="4"/>
  <c r="F50" i="4" s="1"/>
  <c r="F68" i="4" s="1"/>
  <c r="E33" i="4"/>
  <c r="E50" i="4" s="1"/>
  <c r="E68" i="4" s="1"/>
  <c r="D33" i="4"/>
  <c r="D50" i="4" s="1"/>
  <c r="D68" i="4" s="1"/>
  <c r="C33" i="4"/>
  <c r="C50" i="4" s="1"/>
  <c r="C68" i="4" s="1"/>
  <c r="N32" i="4"/>
  <c r="M32" i="4"/>
  <c r="L32" i="4"/>
  <c r="K32" i="4"/>
  <c r="J32" i="4"/>
  <c r="I32" i="4"/>
  <c r="H32" i="4"/>
  <c r="G32" i="4"/>
  <c r="G49" i="4" s="1"/>
  <c r="G67" i="4" s="1"/>
  <c r="F32" i="4"/>
  <c r="F49" i="4" s="1"/>
  <c r="F67" i="4" s="1"/>
  <c r="E32" i="4"/>
  <c r="E49" i="4" s="1"/>
  <c r="E67" i="4" s="1"/>
  <c r="D32" i="4"/>
  <c r="D49" i="4" s="1"/>
  <c r="D67" i="4" s="1"/>
  <c r="C32" i="4"/>
  <c r="C49" i="4" s="1"/>
  <c r="C67" i="4" s="1"/>
  <c r="N31" i="4"/>
  <c r="M31" i="4"/>
  <c r="L31" i="4"/>
  <c r="K31" i="4"/>
  <c r="J31" i="4"/>
  <c r="I31" i="4"/>
  <c r="H31" i="4"/>
  <c r="G31" i="4"/>
  <c r="G48" i="4" s="1"/>
  <c r="G66" i="4" s="1"/>
  <c r="F31" i="4"/>
  <c r="F48" i="4" s="1"/>
  <c r="F66" i="4" s="1"/>
  <c r="E31" i="4"/>
  <c r="E48" i="4" s="1"/>
  <c r="E66" i="4" s="1"/>
  <c r="D31" i="4"/>
  <c r="D48" i="4" s="1"/>
  <c r="D66" i="4" s="1"/>
  <c r="C31" i="4"/>
  <c r="C48" i="4" s="1"/>
  <c r="C66" i="4" s="1"/>
  <c r="N30" i="4"/>
  <c r="M30" i="4"/>
  <c r="L30" i="4"/>
  <c r="K30" i="4"/>
  <c r="J30" i="4"/>
  <c r="I30" i="4"/>
  <c r="H30" i="4"/>
  <c r="G30" i="4"/>
  <c r="G47" i="4" s="1"/>
  <c r="G65" i="4" s="1"/>
  <c r="F30" i="4"/>
  <c r="F47" i="4" s="1"/>
  <c r="F65" i="4" s="1"/>
  <c r="E30" i="4"/>
  <c r="E47" i="4" s="1"/>
  <c r="E65" i="4" s="1"/>
  <c r="D30" i="4"/>
  <c r="D47" i="4" s="1"/>
  <c r="D65" i="4" s="1"/>
  <c r="C30" i="4"/>
  <c r="C47" i="4" s="1"/>
  <c r="C65" i="4" s="1"/>
  <c r="N29" i="4"/>
  <c r="M29" i="4"/>
  <c r="L29" i="4"/>
  <c r="K29" i="4"/>
  <c r="J29" i="4"/>
  <c r="I29" i="4"/>
  <c r="H29" i="4"/>
  <c r="G29" i="4"/>
  <c r="G46" i="4" s="1"/>
  <c r="G64" i="4" s="1"/>
  <c r="F29" i="4"/>
  <c r="F46" i="4" s="1"/>
  <c r="F64" i="4" s="1"/>
  <c r="E29" i="4"/>
  <c r="E46" i="4" s="1"/>
  <c r="E64" i="4" s="1"/>
  <c r="D29" i="4"/>
  <c r="D46" i="4" s="1"/>
  <c r="D64" i="4" s="1"/>
  <c r="C29" i="4"/>
  <c r="C46" i="4" s="1"/>
  <c r="C64" i="4" s="1"/>
  <c r="N28" i="4"/>
  <c r="M28" i="4"/>
  <c r="L28" i="4"/>
  <c r="K28" i="4"/>
  <c r="J28" i="4"/>
  <c r="I28" i="4"/>
  <c r="H28" i="4"/>
  <c r="G28" i="4"/>
  <c r="G45" i="4" s="1"/>
  <c r="G63" i="4" s="1"/>
  <c r="F28" i="4"/>
  <c r="F45" i="4" s="1"/>
  <c r="F63" i="4" s="1"/>
  <c r="E28" i="4"/>
  <c r="E45" i="4" s="1"/>
  <c r="E63" i="4" s="1"/>
  <c r="D28" i="4"/>
  <c r="D45" i="4" s="1"/>
  <c r="D63" i="4" s="1"/>
  <c r="C28" i="4"/>
  <c r="C45" i="4" s="1"/>
  <c r="C63" i="4" s="1"/>
  <c r="N27" i="4"/>
  <c r="M27" i="4"/>
  <c r="L27" i="4"/>
  <c r="K27" i="4"/>
  <c r="J27" i="4"/>
  <c r="I27" i="4"/>
  <c r="H27" i="4"/>
  <c r="G27" i="4"/>
  <c r="G44" i="4" s="1"/>
  <c r="G62" i="4" s="1"/>
  <c r="F27" i="4"/>
  <c r="F44" i="4" s="1"/>
  <c r="F62" i="4" s="1"/>
  <c r="E27" i="4"/>
  <c r="E44" i="4" s="1"/>
  <c r="E62" i="4" s="1"/>
  <c r="D27" i="4"/>
  <c r="D44" i="4" s="1"/>
  <c r="D62" i="4" s="1"/>
  <c r="C27" i="4"/>
  <c r="C44" i="4" s="1"/>
  <c r="C62" i="4" s="1"/>
  <c r="N26" i="4"/>
  <c r="M26" i="4"/>
  <c r="L26" i="4"/>
  <c r="K26" i="4"/>
  <c r="J26" i="4"/>
  <c r="I26" i="4"/>
  <c r="H26" i="4"/>
  <c r="G26" i="4"/>
  <c r="G43" i="4" s="1"/>
  <c r="G61" i="4" s="1"/>
  <c r="F26" i="4"/>
  <c r="F43" i="4" s="1"/>
  <c r="F61" i="4" s="1"/>
  <c r="E26" i="4"/>
  <c r="E43" i="4" s="1"/>
  <c r="E61" i="4" s="1"/>
  <c r="D26" i="4"/>
  <c r="D43" i="4" s="1"/>
  <c r="D61" i="4" s="1"/>
  <c r="C26" i="4"/>
  <c r="C43" i="4" s="1"/>
  <c r="C61" i="4" s="1"/>
  <c r="N25" i="4"/>
  <c r="M25" i="4"/>
  <c r="L25" i="4"/>
  <c r="K25" i="4"/>
  <c r="J25" i="4"/>
  <c r="I25" i="4"/>
  <c r="H25" i="4"/>
  <c r="G25" i="4"/>
  <c r="G42" i="4" s="1"/>
  <c r="G60" i="4" s="1"/>
  <c r="F25" i="4"/>
  <c r="F42" i="4" s="1"/>
  <c r="F60" i="4" s="1"/>
  <c r="E25" i="4"/>
  <c r="E42" i="4" s="1"/>
  <c r="E60" i="4" s="1"/>
  <c r="D25" i="4"/>
  <c r="D42" i="4" s="1"/>
  <c r="D60" i="4" s="1"/>
  <c r="C25" i="4"/>
  <c r="C42" i="4" s="1"/>
  <c r="C60" i="4" s="1"/>
  <c r="N24" i="4"/>
  <c r="M24" i="4"/>
  <c r="L24" i="4"/>
  <c r="K24" i="4"/>
  <c r="J24" i="4"/>
  <c r="I24" i="4"/>
  <c r="H24" i="4"/>
  <c r="G24" i="4"/>
  <c r="G41" i="4" s="1"/>
  <c r="G59" i="4" s="1"/>
  <c r="F24" i="4"/>
  <c r="F41" i="4" s="1"/>
  <c r="F59" i="4" s="1"/>
  <c r="E24" i="4"/>
  <c r="E41" i="4" s="1"/>
  <c r="E59" i="4" s="1"/>
  <c r="D24" i="4"/>
  <c r="D41" i="4" s="1"/>
  <c r="D59" i="4" s="1"/>
  <c r="C24" i="4"/>
  <c r="C41" i="4" s="1"/>
  <c r="C59" i="4" s="1"/>
  <c r="N23" i="4"/>
  <c r="M23" i="4"/>
  <c r="L23" i="4"/>
  <c r="L37" i="4" s="1"/>
  <c r="K23" i="4"/>
  <c r="K37" i="4" s="1"/>
  <c r="J23" i="4"/>
  <c r="J37" i="4" s="1"/>
  <c r="I23" i="4"/>
  <c r="I37" i="4" s="1"/>
  <c r="H23" i="4"/>
  <c r="H37" i="4" s="1"/>
  <c r="G23" i="4"/>
  <c r="F23" i="4"/>
  <c r="E23" i="4"/>
  <c r="D23" i="4"/>
  <c r="C23" i="4"/>
  <c r="P239" i="3"/>
  <c r="P247" i="3" s="1"/>
  <c r="P255" i="3" s="1"/>
  <c r="O239" i="3"/>
  <c r="O247" i="3" s="1"/>
  <c r="O255" i="3" s="1"/>
  <c r="N239" i="3"/>
  <c r="N247" i="3" s="1"/>
  <c r="N255" i="3" s="1"/>
  <c r="M239" i="3"/>
  <c r="M247" i="3" s="1"/>
  <c r="M255" i="3" s="1"/>
  <c r="L239" i="3"/>
  <c r="L247" i="3" s="1"/>
  <c r="L255" i="3" s="1"/>
  <c r="K239" i="3"/>
  <c r="K247" i="3" s="1"/>
  <c r="K255" i="3" s="1"/>
  <c r="J239" i="3"/>
  <c r="J247" i="3" s="1"/>
  <c r="J255" i="3" s="1"/>
  <c r="I239" i="3"/>
  <c r="I247" i="3" s="1"/>
  <c r="I255" i="3" s="1"/>
  <c r="H239" i="3"/>
  <c r="H247" i="3" s="1"/>
  <c r="H255" i="3" s="1"/>
  <c r="G239" i="3"/>
  <c r="G247" i="3" s="1"/>
  <c r="G255" i="3" s="1"/>
  <c r="F239" i="3"/>
  <c r="F247" i="3" s="1"/>
  <c r="F255" i="3" s="1"/>
  <c r="E239" i="3"/>
  <c r="E247" i="3" s="1"/>
  <c r="E255" i="3" s="1"/>
  <c r="N230" i="3"/>
  <c r="M230" i="3"/>
  <c r="M231" i="3" s="1"/>
  <c r="L230" i="3"/>
  <c r="L231" i="3" s="1"/>
  <c r="K230" i="3"/>
  <c r="K231" i="3" s="1"/>
  <c r="J230" i="3"/>
  <c r="J231" i="3" s="1"/>
  <c r="I230" i="3"/>
  <c r="I231" i="3" s="1"/>
  <c r="H230" i="3"/>
  <c r="H231" i="3" s="1"/>
  <c r="G230" i="3"/>
  <c r="G231" i="3" s="1"/>
  <c r="F230" i="3"/>
  <c r="F231" i="3" s="1"/>
  <c r="E230" i="3"/>
  <c r="E231" i="3" s="1"/>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E175" i="3"/>
  <c r="AS155" i="3"/>
  <c r="AR155" i="3"/>
  <c r="AQ155" i="3"/>
  <c r="AP155" i="3"/>
  <c r="AO155" i="3"/>
  <c r="AN155" i="3"/>
  <c r="AM155" i="3"/>
  <c r="AL155" i="3"/>
  <c r="AK155" i="3"/>
  <c r="AJ155" i="3"/>
  <c r="AI155" i="3"/>
  <c r="AH155" i="3"/>
  <c r="AG155" i="3"/>
  <c r="AF155" i="3"/>
  <c r="AE155" i="3"/>
  <c r="AD155" i="3"/>
  <c r="AC155" i="3"/>
  <c r="AB155" i="3"/>
  <c r="AA155" i="3"/>
  <c r="Z155" i="3"/>
  <c r="Y155" i="3"/>
  <c r="X155" i="3"/>
  <c r="W155" i="3"/>
  <c r="V155" i="3"/>
  <c r="U155" i="3"/>
  <c r="T155" i="3"/>
  <c r="S155" i="3"/>
  <c r="R155" i="3"/>
  <c r="Q155" i="3"/>
  <c r="P155" i="3"/>
  <c r="O155" i="3"/>
  <c r="N155" i="3"/>
  <c r="M155" i="3"/>
  <c r="L155" i="3"/>
  <c r="K155" i="3"/>
  <c r="J155" i="3"/>
  <c r="I155" i="3"/>
  <c r="H155" i="3"/>
  <c r="G155" i="3"/>
  <c r="F155" i="3"/>
  <c r="E155" i="3"/>
  <c r="P132" i="3"/>
  <c r="O132" i="3"/>
  <c r="N132" i="3"/>
  <c r="M132" i="3"/>
  <c r="L132" i="3"/>
  <c r="P113" i="3"/>
  <c r="O113" i="3"/>
  <c r="N113" i="3"/>
  <c r="M113" i="3"/>
  <c r="L113" i="3"/>
  <c r="P89" i="3"/>
  <c r="O89" i="3"/>
  <c r="O90" i="3" s="1"/>
  <c r="N89" i="3"/>
  <c r="N90" i="3" s="1"/>
  <c r="M89" i="3"/>
  <c r="M90" i="3" s="1"/>
  <c r="L89" i="3"/>
  <c r="L90" i="3" s="1"/>
  <c r="K89" i="3"/>
  <c r="K90" i="3" s="1"/>
  <c r="J89" i="3"/>
  <c r="J90" i="3" s="1"/>
  <c r="I89" i="3"/>
  <c r="I90" i="3" s="1"/>
  <c r="H89" i="3"/>
  <c r="H90" i="3" s="1"/>
  <c r="G89" i="3"/>
  <c r="G90" i="3" s="1"/>
  <c r="F89" i="3"/>
  <c r="F90" i="3" s="1"/>
  <c r="E89" i="3"/>
  <c r="E90" i="3" s="1"/>
  <c r="L85" i="3"/>
  <c r="J85" i="3"/>
  <c r="H85" i="3"/>
  <c r="F85" i="3"/>
  <c r="M84" i="3"/>
  <c r="N84" i="3" s="1"/>
  <c r="O84" i="3" s="1"/>
  <c r="P84" i="3" s="1"/>
  <c r="Q84" i="3" s="1"/>
  <c r="R84" i="3" s="1"/>
  <c r="S84" i="3" s="1"/>
  <c r="T84" i="3" s="1"/>
  <c r="U84" i="3" s="1"/>
  <c r="V84" i="3" s="1"/>
  <c r="W84" i="3" s="1"/>
  <c r="X84" i="3" s="1"/>
  <c r="Y84" i="3" s="1"/>
  <c r="Z84" i="3" s="1"/>
  <c r="AA84" i="3" s="1"/>
  <c r="AB84" i="3" s="1"/>
  <c r="AC84" i="3" s="1"/>
  <c r="AD84" i="3" s="1"/>
  <c r="AE84" i="3" s="1"/>
  <c r="AF84" i="3" s="1"/>
  <c r="AG84" i="3" s="1"/>
  <c r="AH84" i="3" s="1"/>
  <c r="AI84" i="3" s="1"/>
  <c r="AJ84" i="3" s="1"/>
  <c r="AK84" i="3" s="1"/>
  <c r="AL84" i="3" s="1"/>
  <c r="AM84" i="3" s="1"/>
  <c r="AN84" i="3" s="1"/>
  <c r="AO84" i="3" s="1"/>
  <c r="AP84" i="3" s="1"/>
  <c r="AQ84" i="3" s="1"/>
  <c r="AR84" i="3" s="1"/>
  <c r="AS84" i="3" s="1"/>
  <c r="AT84" i="3" s="1"/>
  <c r="AU84" i="3" s="1"/>
  <c r="AV84" i="3" s="1"/>
  <c r="AW84" i="3" s="1"/>
  <c r="AX84" i="3" s="1"/>
  <c r="AY84" i="3" s="1"/>
  <c r="AZ84" i="3" s="1"/>
  <c r="BA84" i="3" s="1"/>
  <c r="BB84" i="3" s="1"/>
  <c r="BC84" i="3" s="1"/>
  <c r="BD84" i="3" s="1"/>
  <c r="BE84" i="3" s="1"/>
  <c r="BF84" i="3" s="1"/>
  <c r="BG84" i="3" s="1"/>
  <c r="BH84" i="3" s="1"/>
  <c r="BI84" i="3" s="1"/>
  <c r="BJ84" i="3" s="1"/>
  <c r="BK84" i="3" s="1"/>
  <c r="BL84" i="3" s="1"/>
  <c r="BM84" i="3" s="1"/>
  <c r="K84" i="3"/>
  <c r="I84" i="3"/>
  <c r="G84" i="3"/>
  <c r="E84" i="3"/>
  <c r="M83" i="3"/>
  <c r="N83" i="3" s="1"/>
  <c r="O83" i="3" s="1"/>
  <c r="P83" i="3" s="1"/>
  <c r="Q83" i="3" s="1"/>
  <c r="R83" i="3" s="1"/>
  <c r="S83" i="3" s="1"/>
  <c r="T83" i="3" s="1"/>
  <c r="U83" i="3" s="1"/>
  <c r="V83" i="3" s="1"/>
  <c r="W83" i="3" s="1"/>
  <c r="X83" i="3" s="1"/>
  <c r="Y83" i="3" s="1"/>
  <c r="Z83" i="3" s="1"/>
  <c r="AA83" i="3" s="1"/>
  <c r="AB83" i="3" s="1"/>
  <c r="AC83" i="3" s="1"/>
  <c r="AD83" i="3" s="1"/>
  <c r="AE83" i="3" s="1"/>
  <c r="AF83" i="3" s="1"/>
  <c r="AG83" i="3" s="1"/>
  <c r="AH83" i="3" s="1"/>
  <c r="AI83" i="3" s="1"/>
  <c r="AJ83" i="3" s="1"/>
  <c r="AK83" i="3" s="1"/>
  <c r="AL83" i="3" s="1"/>
  <c r="AM83" i="3" s="1"/>
  <c r="AN83" i="3" s="1"/>
  <c r="AO83" i="3" s="1"/>
  <c r="AP83" i="3" s="1"/>
  <c r="AQ83" i="3" s="1"/>
  <c r="AR83" i="3" s="1"/>
  <c r="AS83" i="3" s="1"/>
  <c r="AT83" i="3" s="1"/>
  <c r="AU83" i="3" s="1"/>
  <c r="AV83" i="3" s="1"/>
  <c r="AW83" i="3" s="1"/>
  <c r="AX83" i="3" s="1"/>
  <c r="AY83" i="3" s="1"/>
  <c r="AZ83" i="3" s="1"/>
  <c r="BA83" i="3" s="1"/>
  <c r="BB83" i="3" s="1"/>
  <c r="BC83" i="3" s="1"/>
  <c r="BD83" i="3" s="1"/>
  <c r="BE83" i="3" s="1"/>
  <c r="BF83" i="3" s="1"/>
  <c r="BG83" i="3" s="1"/>
  <c r="BH83" i="3" s="1"/>
  <c r="BI83" i="3" s="1"/>
  <c r="BJ83" i="3" s="1"/>
  <c r="BK83" i="3" s="1"/>
  <c r="BL83" i="3" s="1"/>
  <c r="BM83" i="3" s="1"/>
  <c r="K83" i="3"/>
  <c r="I83" i="3"/>
  <c r="G83" i="3"/>
  <c r="E83" i="3"/>
  <c r="P81" i="3"/>
  <c r="O81" i="3"/>
  <c r="N81" i="3"/>
  <c r="M81" i="3"/>
  <c r="L81" i="3"/>
  <c r="K81" i="3"/>
  <c r="J81" i="3"/>
  <c r="I81" i="3"/>
  <c r="H81" i="3"/>
  <c r="G81" i="3"/>
  <c r="F81" i="3"/>
  <c r="E81" i="3"/>
  <c r="P46" i="3"/>
  <c r="O46" i="3"/>
  <c r="N46" i="3"/>
  <c r="M46" i="3"/>
  <c r="L46" i="3"/>
  <c r="K46" i="3"/>
  <c r="J46" i="3"/>
  <c r="I46" i="3"/>
  <c r="H46" i="3"/>
  <c r="G46" i="3"/>
  <c r="F46" i="3"/>
  <c r="E46" i="3"/>
  <c r="P45" i="3"/>
  <c r="O45" i="3"/>
  <c r="N45" i="3"/>
  <c r="M45" i="3"/>
  <c r="L45" i="3"/>
  <c r="K45" i="3"/>
  <c r="J45" i="3"/>
  <c r="I45" i="3"/>
  <c r="H45" i="3"/>
  <c r="G45" i="3"/>
  <c r="F45" i="3"/>
  <c r="E45" i="3"/>
  <c r="P44" i="3"/>
  <c r="O44" i="3"/>
  <c r="N44" i="3"/>
  <c r="M44" i="3"/>
  <c r="L44" i="3"/>
  <c r="K44" i="3"/>
  <c r="J44" i="3"/>
  <c r="I44" i="3"/>
  <c r="H44" i="3"/>
  <c r="G44" i="3"/>
  <c r="F44" i="3"/>
  <c r="E44" i="3"/>
  <c r="P43" i="3"/>
  <c r="O43" i="3"/>
  <c r="N43" i="3"/>
  <c r="M43" i="3"/>
  <c r="L43" i="3"/>
  <c r="K43" i="3"/>
  <c r="J43" i="3"/>
  <c r="I43" i="3"/>
  <c r="H43" i="3"/>
  <c r="G43" i="3"/>
  <c r="F43" i="3"/>
  <c r="E43" i="3"/>
  <c r="K39" i="3"/>
  <c r="J39" i="3"/>
  <c r="I39" i="3"/>
  <c r="H39" i="3"/>
  <c r="G39" i="3"/>
  <c r="F39" i="3"/>
  <c r="E39" i="3"/>
  <c r="P22" i="3"/>
  <c r="P38" i="3" s="1"/>
  <c r="O22" i="3"/>
  <c r="O38" i="3" s="1"/>
  <c r="N22" i="3"/>
  <c r="N38" i="3" s="1"/>
  <c r="M22" i="3"/>
  <c r="M38" i="3" s="1"/>
  <c r="L22" i="3"/>
  <c r="L38" i="3" s="1"/>
  <c r="P21" i="3"/>
  <c r="P37" i="3" s="1"/>
  <c r="O21" i="3"/>
  <c r="O37" i="3" s="1"/>
  <c r="N21" i="3"/>
  <c r="N37" i="3" s="1"/>
  <c r="M21" i="3"/>
  <c r="M37" i="3" s="1"/>
  <c r="L21" i="3"/>
  <c r="L37" i="3" s="1"/>
  <c r="P20" i="3"/>
  <c r="P36" i="3" s="1"/>
  <c r="O20" i="3"/>
  <c r="O36" i="3" s="1"/>
  <c r="N20" i="3"/>
  <c r="N36" i="3" s="1"/>
  <c r="M20" i="3"/>
  <c r="M36" i="3" s="1"/>
  <c r="L20" i="3"/>
  <c r="L36" i="3" s="1"/>
  <c r="P19" i="3"/>
  <c r="P35" i="3" s="1"/>
  <c r="O19" i="3"/>
  <c r="O35" i="3" s="1"/>
  <c r="N19" i="3"/>
  <c r="N35" i="3" s="1"/>
  <c r="M19" i="3"/>
  <c r="M35" i="3" s="1"/>
  <c r="L19" i="3"/>
  <c r="L35" i="3" s="1"/>
  <c r="P18" i="3"/>
  <c r="P34" i="3" s="1"/>
  <c r="O18" i="3"/>
  <c r="O34" i="3" s="1"/>
  <c r="N18" i="3"/>
  <c r="N34" i="3" s="1"/>
  <c r="M18" i="3"/>
  <c r="M34" i="3" s="1"/>
  <c r="L18" i="3"/>
  <c r="L34" i="3" s="1"/>
  <c r="P17" i="3"/>
  <c r="P33" i="3" s="1"/>
  <c r="O17" i="3"/>
  <c r="O33" i="3" s="1"/>
  <c r="N17" i="3"/>
  <c r="N33" i="3" s="1"/>
  <c r="M17" i="3"/>
  <c r="M33" i="3" s="1"/>
  <c r="L17" i="3"/>
  <c r="L33" i="3" s="1"/>
  <c r="P16" i="3"/>
  <c r="P32" i="3" s="1"/>
  <c r="O16" i="3"/>
  <c r="O32" i="3" s="1"/>
  <c r="N16" i="3"/>
  <c r="N32" i="3" s="1"/>
  <c r="M16" i="3"/>
  <c r="M32" i="3" s="1"/>
  <c r="L16" i="3"/>
  <c r="L32" i="3" s="1"/>
  <c r="P15" i="3"/>
  <c r="P31" i="3" s="1"/>
  <c r="O15" i="3"/>
  <c r="O31" i="3" s="1"/>
  <c r="N15" i="3"/>
  <c r="N31" i="3" s="1"/>
  <c r="M15" i="3"/>
  <c r="M31" i="3" s="1"/>
  <c r="L15" i="3"/>
  <c r="L31" i="3" s="1"/>
  <c r="P14" i="3"/>
  <c r="P30" i="3" s="1"/>
  <c r="O14" i="3"/>
  <c r="O30" i="3" s="1"/>
  <c r="N14" i="3"/>
  <c r="N30" i="3" s="1"/>
  <c r="M14" i="3"/>
  <c r="M30" i="3" s="1"/>
  <c r="L14" i="3"/>
  <c r="L30" i="3" s="1"/>
  <c r="P13" i="3"/>
  <c r="P29" i="3" s="1"/>
  <c r="O13" i="3"/>
  <c r="O29" i="3" s="1"/>
  <c r="N13" i="3"/>
  <c r="N29" i="3" s="1"/>
  <c r="M13" i="3"/>
  <c r="M29" i="3" s="1"/>
  <c r="L13" i="3"/>
  <c r="L29" i="3" s="1"/>
  <c r="P12" i="3"/>
  <c r="P28" i="3" s="1"/>
  <c r="O12" i="3"/>
  <c r="O28" i="3" s="1"/>
  <c r="N12" i="3"/>
  <c r="N28" i="3" s="1"/>
  <c r="M12" i="3"/>
  <c r="M28" i="3" s="1"/>
  <c r="L12" i="3"/>
  <c r="L28" i="3" s="1"/>
  <c r="P11" i="3"/>
  <c r="P27" i="3" s="1"/>
  <c r="O11" i="3"/>
  <c r="O27" i="3" s="1"/>
  <c r="N11" i="3"/>
  <c r="N27" i="3" s="1"/>
  <c r="M11" i="3"/>
  <c r="M27" i="3" s="1"/>
  <c r="L11" i="3"/>
  <c r="L27" i="3" s="1"/>
  <c r="P10" i="3"/>
  <c r="P26" i="3" s="1"/>
  <c r="O10" i="3"/>
  <c r="O26" i="3" s="1"/>
  <c r="N10" i="3"/>
  <c r="N26" i="3" s="1"/>
  <c r="M10" i="3"/>
  <c r="M26" i="3" s="1"/>
  <c r="L10" i="3"/>
  <c r="L26" i="3" s="1"/>
  <c r="P9" i="3"/>
  <c r="P25" i="3" s="1"/>
  <c r="O9" i="3"/>
  <c r="O25" i="3" s="1"/>
  <c r="N9" i="3"/>
  <c r="N25" i="3" s="1"/>
  <c r="M9" i="3"/>
  <c r="M25" i="3" s="1"/>
  <c r="L9" i="3"/>
  <c r="L25" i="3" s="1"/>
  <c r="P8" i="3"/>
  <c r="P24" i="3" s="1"/>
  <c r="O8" i="3"/>
  <c r="O24" i="3" s="1"/>
  <c r="N8" i="3"/>
  <c r="N24" i="3" s="1"/>
  <c r="M8" i="3"/>
  <c r="M24" i="3" s="1"/>
  <c r="L8" i="3"/>
  <c r="L24" i="3" s="1"/>
  <c r="K416" i="2"/>
  <c r="H401" i="2"/>
  <c r="G401" i="2"/>
  <c r="H400" i="2"/>
  <c r="G400" i="2"/>
  <c r="R381" i="2"/>
  <c r="Q381" i="2"/>
  <c r="P381" i="2"/>
  <c r="O381" i="2"/>
  <c r="N381" i="2"/>
  <c r="M381" i="2"/>
  <c r="L381" i="2"/>
  <c r="K381" i="2"/>
  <c r="J381" i="2"/>
  <c r="I381" i="2"/>
  <c r="H381" i="2"/>
  <c r="G381" i="2"/>
  <c r="R380" i="2"/>
  <c r="Q380" i="2"/>
  <c r="P380" i="2"/>
  <c r="N380" i="2"/>
  <c r="M380" i="2"/>
  <c r="L380" i="2"/>
  <c r="K380" i="2"/>
  <c r="J380" i="2"/>
  <c r="I380" i="2"/>
  <c r="H380" i="2"/>
  <c r="G380" i="2"/>
  <c r="R373" i="2"/>
  <c r="S373" i="2" s="1"/>
  <c r="T373" i="2" s="1"/>
  <c r="U373" i="2" s="1"/>
  <c r="V373" i="2" s="1"/>
  <c r="W373" i="2" s="1"/>
  <c r="X373" i="2" s="1"/>
  <c r="Y373" i="2" s="1"/>
  <c r="Z373" i="2" s="1"/>
  <c r="AA373" i="2" s="1"/>
  <c r="AB373" i="2" s="1"/>
  <c r="AC373" i="2" s="1"/>
  <c r="AD373" i="2" s="1"/>
  <c r="AE373" i="2" s="1"/>
  <c r="AF373" i="2" s="1"/>
  <c r="AG373" i="2" s="1"/>
  <c r="AH373" i="2" s="1"/>
  <c r="AI373" i="2" s="1"/>
  <c r="AJ373" i="2" s="1"/>
  <c r="AK373" i="2" s="1"/>
  <c r="AL373" i="2" s="1"/>
  <c r="AM373" i="2" s="1"/>
  <c r="AN373" i="2" s="1"/>
  <c r="AO373" i="2" s="1"/>
  <c r="AP373" i="2" s="1"/>
  <c r="AQ373" i="2" s="1"/>
  <c r="AR373" i="2" s="1"/>
  <c r="AS373" i="2" s="1"/>
  <c r="AT373" i="2" s="1"/>
  <c r="AU373" i="2" s="1"/>
  <c r="AV373" i="2" s="1"/>
  <c r="AW373" i="2" s="1"/>
  <c r="AX373" i="2" s="1"/>
  <c r="AY373" i="2" s="1"/>
  <c r="AZ373" i="2" s="1"/>
  <c r="BA373" i="2" s="1"/>
  <c r="BB373" i="2" s="1"/>
  <c r="BC373" i="2" s="1"/>
  <c r="BD373" i="2" s="1"/>
  <c r="BE373" i="2" s="1"/>
  <c r="BF373" i="2" s="1"/>
  <c r="BG373" i="2" s="1"/>
  <c r="BH373" i="2" s="1"/>
  <c r="BI373" i="2" s="1"/>
  <c r="BJ373" i="2" s="1"/>
  <c r="BK373" i="2" s="1"/>
  <c r="BL373" i="2" s="1"/>
  <c r="BM373" i="2" s="1"/>
  <c r="BN373" i="2" s="1"/>
  <c r="BO373" i="2" s="1"/>
  <c r="Q373" i="2"/>
  <c r="P373" i="2"/>
  <c r="O373" i="2"/>
  <c r="N373" i="2"/>
  <c r="M373" i="2"/>
  <c r="L373" i="2"/>
  <c r="K373" i="2"/>
  <c r="J373" i="2"/>
  <c r="I373" i="2"/>
  <c r="H373" i="2"/>
  <c r="G373" i="2"/>
  <c r="R372" i="2"/>
  <c r="Q372" i="2"/>
  <c r="Q385" i="2" s="1"/>
  <c r="P372" i="2"/>
  <c r="O372" i="2"/>
  <c r="O385" i="2" s="1"/>
  <c r="N372" i="2"/>
  <c r="M372" i="2"/>
  <c r="L372" i="2"/>
  <c r="K372" i="2"/>
  <c r="J372" i="2"/>
  <c r="I372" i="2"/>
  <c r="H372" i="2"/>
  <c r="G372" i="2"/>
  <c r="R331" i="2"/>
  <c r="Q331" i="2"/>
  <c r="P331" i="2"/>
  <c r="O331" i="2"/>
  <c r="N331" i="2"/>
  <c r="M331" i="2"/>
  <c r="L331" i="2"/>
  <c r="R330" i="2"/>
  <c r="Q330" i="2"/>
  <c r="P330" i="2"/>
  <c r="O330" i="2"/>
  <c r="N330" i="2"/>
  <c r="M330" i="2"/>
  <c r="L330" i="2"/>
  <c r="R329" i="2"/>
  <c r="Q329" i="2"/>
  <c r="P329" i="2"/>
  <c r="O329" i="2"/>
  <c r="N329" i="2"/>
  <c r="M329" i="2"/>
  <c r="L329" i="2"/>
  <c r="R320" i="2"/>
  <c r="Q320" i="2"/>
  <c r="P320" i="2"/>
  <c r="O320" i="2"/>
  <c r="N320" i="2"/>
  <c r="M320" i="2"/>
  <c r="L320" i="2"/>
  <c r="K320" i="2"/>
  <c r="J320" i="2"/>
  <c r="I320" i="2"/>
  <c r="H320" i="2"/>
  <c r="G320" i="2"/>
  <c r="R319" i="2"/>
  <c r="Q319" i="2"/>
  <c r="P319" i="2"/>
  <c r="O319" i="2"/>
  <c r="N319" i="2"/>
  <c r="M319" i="2"/>
  <c r="L319" i="2"/>
  <c r="K319" i="2"/>
  <c r="J319" i="2"/>
  <c r="I319" i="2"/>
  <c r="H319" i="2"/>
  <c r="G319" i="2"/>
  <c r="R307" i="2"/>
  <c r="S307" i="2" s="1"/>
  <c r="T307" i="2" s="1"/>
  <c r="U307" i="2" s="1"/>
  <c r="V307" i="2" s="1"/>
  <c r="W307" i="2" s="1"/>
  <c r="X307" i="2" s="1"/>
  <c r="Y307" i="2" s="1"/>
  <c r="Z307" i="2" s="1"/>
  <c r="AA307" i="2" s="1"/>
  <c r="AB307" i="2" s="1"/>
  <c r="AC307" i="2" s="1"/>
  <c r="AD307" i="2" s="1"/>
  <c r="AE307" i="2" s="1"/>
  <c r="AF307" i="2" s="1"/>
  <c r="AG307" i="2" s="1"/>
  <c r="AH307" i="2" s="1"/>
  <c r="AI307" i="2" s="1"/>
  <c r="AJ307" i="2" s="1"/>
  <c r="AK307" i="2" s="1"/>
  <c r="AL307" i="2" s="1"/>
  <c r="AM307" i="2" s="1"/>
  <c r="AN307" i="2" s="1"/>
  <c r="AO307" i="2" s="1"/>
  <c r="AP307" i="2" s="1"/>
  <c r="AQ307" i="2" s="1"/>
  <c r="AR307" i="2" s="1"/>
  <c r="AS307" i="2" s="1"/>
  <c r="AT307" i="2" s="1"/>
  <c r="AU307" i="2" s="1"/>
  <c r="AV307" i="2" s="1"/>
  <c r="AW307" i="2" s="1"/>
  <c r="AX307" i="2" s="1"/>
  <c r="AY307" i="2" s="1"/>
  <c r="AZ307" i="2" s="1"/>
  <c r="BA307" i="2" s="1"/>
  <c r="BB307" i="2" s="1"/>
  <c r="BC307" i="2" s="1"/>
  <c r="BD307" i="2" s="1"/>
  <c r="BE307" i="2" s="1"/>
  <c r="BF307" i="2" s="1"/>
  <c r="BG307" i="2" s="1"/>
  <c r="BH307" i="2" s="1"/>
  <c r="BI307" i="2" s="1"/>
  <c r="BJ307" i="2" s="1"/>
  <c r="BK307" i="2" s="1"/>
  <c r="BL307" i="2" s="1"/>
  <c r="BM307" i="2" s="1"/>
  <c r="BN307" i="2" s="1"/>
  <c r="BO307" i="2" s="1"/>
  <c r="Q307" i="2"/>
  <c r="P307" i="2"/>
  <c r="O307" i="2"/>
  <c r="N307" i="2"/>
  <c r="M307" i="2"/>
  <c r="L307" i="2"/>
  <c r="K307" i="2"/>
  <c r="J307" i="2"/>
  <c r="I307" i="2"/>
  <c r="H307" i="2"/>
  <c r="G307" i="2"/>
  <c r="O304" i="2"/>
  <c r="N304" i="2"/>
  <c r="M304" i="2"/>
  <c r="L304" i="2"/>
  <c r="K304" i="2"/>
  <c r="J304" i="2"/>
  <c r="I304" i="2"/>
  <c r="H304" i="2"/>
  <c r="G304" i="2"/>
  <c r="R299" i="2"/>
  <c r="Q299" i="2"/>
  <c r="Q301" i="2" s="1"/>
  <c r="P299" i="2"/>
  <c r="P301" i="2" s="1"/>
  <c r="O299" i="2"/>
  <c r="O301" i="2" s="1"/>
  <c r="N299" i="2"/>
  <c r="N301" i="2" s="1"/>
  <c r="M299" i="2"/>
  <c r="M301" i="2" s="1"/>
  <c r="L299" i="2"/>
  <c r="L301" i="2" s="1"/>
  <c r="K299" i="2"/>
  <c r="K301" i="2" s="1"/>
  <c r="J299" i="2"/>
  <c r="J301" i="2" s="1"/>
  <c r="I299" i="2"/>
  <c r="I301" i="2" s="1"/>
  <c r="H299" i="2"/>
  <c r="H301" i="2" s="1"/>
  <c r="G299" i="2"/>
  <c r="G301" i="2" s="1"/>
  <c r="P268" i="2"/>
  <c r="P284" i="2" s="1"/>
  <c r="O268" i="2"/>
  <c r="O284" i="2" s="1"/>
  <c r="N268" i="2"/>
  <c r="N284" i="2" s="1"/>
  <c r="M268" i="2"/>
  <c r="M284" i="2" s="1"/>
  <c r="L268" i="2"/>
  <c r="L284" i="2" s="1"/>
  <c r="K268" i="2"/>
  <c r="K284" i="2" s="1"/>
  <c r="J268" i="2"/>
  <c r="J284" i="2" s="1"/>
  <c r="I268" i="2"/>
  <c r="I284" i="2" s="1"/>
  <c r="H268" i="2"/>
  <c r="H284" i="2" s="1"/>
  <c r="G268" i="2"/>
  <c r="G284" i="2" s="1"/>
  <c r="P267" i="2"/>
  <c r="O267" i="2"/>
  <c r="N267" i="2"/>
  <c r="M267" i="2"/>
  <c r="L267" i="2"/>
  <c r="K267" i="2"/>
  <c r="J267" i="2"/>
  <c r="I267" i="2"/>
  <c r="H267" i="2"/>
  <c r="G267" i="2"/>
  <c r="P266" i="2"/>
  <c r="O266" i="2"/>
  <c r="N266" i="2"/>
  <c r="M266" i="2"/>
  <c r="K266" i="2"/>
  <c r="J266" i="2"/>
  <c r="I266" i="2"/>
  <c r="H266" i="2"/>
  <c r="G266" i="2"/>
  <c r="P265" i="2"/>
  <c r="O265" i="2"/>
  <c r="N265" i="2"/>
  <c r="M265" i="2"/>
  <c r="L265" i="2"/>
  <c r="K265" i="2"/>
  <c r="J265" i="2"/>
  <c r="I265" i="2"/>
  <c r="H265" i="2"/>
  <c r="G265" i="2"/>
  <c r="P264" i="2"/>
  <c r="O264" i="2"/>
  <c r="N264" i="2"/>
  <c r="M264" i="2"/>
  <c r="L264" i="2"/>
  <c r="K264" i="2"/>
  <c r="J264" i="2"/>
  <c r="I264" i="2"/>
  <c r="H264" i="2"/>
  <c r="G264" i="2"/>
  <c r="P263" i="2"/>
  <c r="O263" i="2"/>
  <c r="N263" i="2"/>
  <c r="M263" i="2"/>
  <c r="L263" i="2"/>
  <c r="K263" i="2"/>
  <c r="J263" i="2"/>
  <c r="I263" i="2"/>
  <c r="H263" i="2"/>
  <c r="G263" i="2"/>
  <c r="P262" i="2"/>
  <c r="O262" i="2"/>
  <c r="N262" i="2"/>
  <c r="M262" i="2"/>
  <c r="L262" i="2"/>
  <c r="K262" i="2"/>
  <c r="J262" i="2"/>
  <c r="I262" i="2"/>
  <c r="H262" i="2"/>
  <c r="G262" i="2"/>
  <c r="P261" i="2"/>
  <c r="O261" i="2"/>
  <c r="N261" i="2"/>
  <c r="M261" i="2"/>
  <c r="L261" i="2"/>
  <c r="K261" i="2"/>
  <c r="J261" i="2"/>
  <c r="I261" i="2"/>
  <c r="H261" i="2"/>
  <c r="G261" i="2"/>
  <c r="P260" i="2"/>
  <c r="O260" i="2"/>
  <c r="N260" i="2"/>
  <c r="M260" i="2"/>
  <c r="L260" i="2"/>
  <c r="K260" i="2"/>
  <c r="J260" i="2"/>
  <c r="I260" i="2"/>
  <c r="H260" i="2"/>
  <c r="G260" i="2"/>
  <c r="P259" i="2"/>
  <c r="O259" i="2"/>
  <c r="N259" i="2"/>
  <c r="M259" i="2"/>
  <c r="L259" i="2"/>
  <c r="K259" i="2"/>
  <c r="J259" i="2"/>
  <c r="I259" i="2"/>
  <c r="H259" i="2"/>
  <c r="G259" i="2"/>
  <c r="P258" i="2"/>
  <c r="O258" i="2"/>
  <c r="N258" i="2"/>
  <c r="M258" i="2"/>
  <c r="L258" i="2"/>
  <c r="K258" i="2"/>
  <c r="J258" i="2"/>
  <c r="I258" i="2"/>
  <c r="H258" i="2"/>
  <c r="G258" i="2"/>
  <c r="P257" i="2"/>
  <c r="O257" i="2"/>
  <c r="P256" i="2"/>
  <c r="O256" i="2"/>
  <c r="L255" i="2"/>
  <c r="K255" i="2"/>
  <c r="J255" i="2"/>
  <c r="I255" i="2"/>
  <c r="H255" i="2"/>
  <c r="G255" i="2"/>
  <c r="Q252" i="2"/>
  <c r="R252" i="2" s="1"/>
  <c r="Q251" i="2"/>
  <c r="R251" i="2" s="1"/>
  <c r="Q250" i="2"/>
  <c r="R250" i="2" s="1"/>
  <c r="Q249" i="2"/>
  <c r="R249" i="2" s="1"/>
  <c r="Q248" i="2"/>
  <c r="R248" i="2" s="1"/>
  <c r="Q246" i="2"/>
  <c r="R246" i="2" s="1"/>
  <c r="Q245" i="2"/>
  <c r="R245" i="2" s="1"/>
  <c r="Q244" i="2"/>
  <c r="R244" i="2" s="1"/>
  <c r="Q243" i="2"/>
  <c r="R243" i="2" s="1"/>
  <c r="Q242" i="2"/>
  <c r="Q241" i="2"/>
  <c r="R241" i="2" s="1"/>
  <c r="Q240" i="2"/>
  <c r="R240" i="2" s="1"/>
  <c r="Q236" i="2"/>
  <c r="L236" i="2"/>
  <c r="L266" i="2" s="1"/>
  <c r="Q231" i="2"/>
  <c r="Q230" i="2"/>
  <c r="Q229" i="2"/>
  <c r="Q228" i="2"/>
  <c r="N227" i="2"/>
  <c r="N257" i="2" s="1"/>
  <c r="Q226" i="2"/>
  <c r="N226" i="2" s="1"/>
  <c r="N256" i="2" s="1"/>
  <c r="M225" i="2"/>
  <c r="R223" i="2"/>
  <c r="S201" i="2"/>
  <c r="S200" i="2"/>
  <c r="S199" i="2"/>
  <c r="S198" i="2"/>
  <c r="S197" i="2"/>
  <c r="S195" i="2"/>
  <c r="S194" i="2"/>
  <c r="S193" i="2"/>
  <c r="S192" i="2"/>
  <c r="S190" i="2"/>
  <c r="S189" i="2"/>
  <c r="R168" i="2"/>
  <c r="Q168" i="2"/>
  <c r="Q220" i="2" s="1"/>
  <c r="P168" i="2"/>
  <c r="O168" i="2"/>
  <c r="O220" i="2" s="1"/>
  <c r="N168" i="2"/>
  <c r="N220" i="2" s="1"/>
  <c r="M168" i="2"/>
  <c r="M220" i="2" s="1"/>
  <c r="L168" i="2"/>
  <c r="L220" i="2" s="1"/>
  <c r="K168" i="2"/>
  <c r="J168" i="2"/>
  <c r="I168" i="2"/>
  <c r="H168" i="2"/>
  <c r="G168" i="2"/>
  <c r="S167" i="2"/>
  <c r="T167" i="2" s="1"/>
  <c r="U167" i="2" s="1"/>
  <c r="V167" i="2" s="1"/>
  <c r="W167" i="2" s="1"/>
  <c r="X167" i="2" s="1"/>
  <c r="Y167" i="2" s="1"/>
  <c r="Z167" i="2" s="1"/>
  <c r="AA167" i="2" s="1"/>
  <c r="AB167" i="2" s="1"/>
  <c r="AC167" i="2" s="1"/>
  <c r="AD167" i="2" s="1"/>
  <c r="AE167" i="2" s="1"/>
  <c r="AF167" i="2" s="1"/>
  <c r="AG167" i="2" s="1"/>
  <c r="AH167" i="2" s="1"/>
  <c r="AI167" i="2" s="1"/>
  <c r="AJ167" i="2" s="1"/>
  <c r="AK167" i="2" s="1"/>
  <c r="AL167" i="2" s="1"/>
  <c r="AM167" i="2" s="1"/>
  <c r="AN167" i="2" s="1"/>
  <c r="AO167" i="2" s="1"/>
  <c r="AP167" i="2" s="1"/>
  <c r="AQ167" i="2" s="1"/>
  <c r="AR167" i="2" s="1"/>
  <c r="AS167" i="2" s="1"/>
  <c r="AT167" i="2" s="1"/>
  <c r="AU167" i="2" s="1"/>
  <c r="AV167" i="2" s="1"/>
  <c r="AW167" i="2" s="1"/>
  <c r="AX167" i="2" s="1"/>
  <c r="AY167" i="2" s="1"/>
  <c r="AZ167" i="2" s="1"/>
  <c r="BA167" i="2" s="1"/>
  <c r="BB167" i="2" s="1"/>
  <c r="BC167" i="2" s="1"/>
  <c r="BD167" i="2" s="1"/>
  <c r="BE167" i="2" s="1"/>
  <c r="BF167" i="2" s="1"/>
  <c r="BG167" i="2" s="1"/>
  <c r="BH167" i="2" s="1"/>
  <c r="BI167" i="2" s="1"/>
  <c r="BJ167" i="2" s="1"/>
  <c r="BK167" i="2" s="1"/>
  <c r="BL167" i="2" s="1"/>
  <c r="BM167" i="2" s="1"/>
  <c r="BN167" i="2" s="1"/>
  <c r="BO167" i="2" s="1"/>
  <c r="S165" i="2"/>
  <c r="T165" i="2" s="1"/>
  <c r="U165" i="2" s="1"/>
  <c r="V165" i="2" s="1"/>
  <c r="W165" i="2" s="1"/>
  <c r="X165" i="2" s="1"/>
  <c r="Y165" i="2" s="1"/>
  <c r="Z165" i="2" s="1"/>
  <c r="AA165" i="2" s="1"/>
  <c r="AB165" i="2" s="1"/>
  <c r="AC165" i="2" s="1"/>
  <c r="AD165" i="2" s="1"/>
  <c r="AE165" i="2" s="1"/>
  <c r="AF165" i="2" s="1"/>
  <c r="AG165" i="2" s="1"/>
  <c r="AH165" i="2" s="1"/>
  <c r="AI165" i="2" s="1"/>
  <c r="AJ165" i="2" s="1"/>
  <c r="AK165" i="2" s="1"/>
  <c r="AL165" i="2" s="1"/>
  <c r="AM165" i="2" s="1"/>
  <c r="AN165" i="2" s="1"/>
  <c r="AO165" i="2" s="1"/>
  <c r="AP165" i="2" s="1"/>
  <c r="AQ165" i="2" s="1"/>
  <c r="AR165" i="2" s="1"/>
  <c r="AS165" i="2" s="1"/>
  <c r="AT165" i="2" s="1"/>
  <c r="AU165" i="2" s="1"/>
  <c r="AV165" i="2" s="1"/>
  <c r="AW165" i="2" s="1"/>
  <c r="AX165" i="2" s="1"/>
  <c r="AY165" i="2" s="1"/>
  <c r="AZ165" i="2" s="1"/>
  <c r="BA165" i="2" s="1"/>
  <c r="BB165" i="2" s="1"/>
  <c r="BC165" i="2" s="1"/>
  <c r="BD165" i="2" s="1"/>
  <c r="BE165" i="2" s="1"/>
  <c r="BF165" i="2" s="1"/>
  <c r="BG165" i="2" s="1"/>
  <c r="BH165" i="2" s="1"/>
  <c r="BI165" i="2" s="1"/>
  <c r="BJ165" i="2" s="1"/>
  <c r="BK165" i="2" s="1"/>
  <c r="BL165" i="2" s="1"/>
  <c r="BM165" i="2" s="1"/>
  <c r="BN165" i="2" s="1"/>
  <c r="BO165" i="2" s="1"/>
  <c r="S164" i="2"/>
  <c r="T164" i="2" s="1"/>
  <c r="U164" i="2" s="1"/>
  <c r="V164" i="2" s="1"/>
  <c r="W164" i="2" s="1"/>
  <c r="X164" i="2" s="1"/>
  <c r="Y164" i="2" s="1"/>
  <c r="Z164" i="2" s="1"/>
  <c r="AA164" i="2" s="1"/>
  <c r="AB164" i="2" s="1"/>
  <c r="AC164" i="2" s="1"/>
  <c r="AD164" i="2" s="1"/>
  <c r="AE164" i="2" s="1"/>
  <c r="AF164" i="2" s="1"/>
  <c r="AG164" i="2" s="1"/>
  <c r="AH164" i="2" s="1"/>
  <c r="AI164" i="2" s="1"/>
  <c r="AJ164" i="2" s="1"/>
  <c r="AK164" i="2" s="1"/>
  <c r="AL164" i="2" s="1"/>
  <c r="AM164" i="2" s="1"/>
  <c r="AN164" i="2" s="1"/>
  <c r="AO164" i="2" s="1"/>
  <c r="AP164" i="2" s="1"/>
  <c r="AQ164" i="2" s="1"/>
  <c r="AR164" i="2" s="1"/>
  <c r="AS164" i="2" s="1"/>
  <c r="AT164" i="2" s="1"/>
  <c r="AU164" i="2" s="1"/>
  <c r="AV164" i="2" s="1"/>
  <c r="AW164" i="2" s="1"/>
  <c r="AX164" i="2" s="1"/>
  <c r="AY164" i="2" s="1"/>
  <c r="AZ164" i="2" s="1"/>
  <c r="BA164" i="2" s="1"/>
  <c r="BB164" i="2" s="1"/>
  <c r="BC164" i="2" s="1"/>
  <c r="BD164" i="2" s="1"/>
  <c r="BE164" i="2" s="1"/>
  <c r="BF164" i="2" s="1"/>
  <c r="BG164" i="2" s="1"/>
  <c r="BH164" i="2" s="1"/>
  <c r="BI164" i="2" s="1"/>
  <c r="BJ164" i="2" s="1"/>
  <c r="BK164" i="2" s="1"/>
  <c r="BL164" i="2" s="1"/>
  <c r="BM164" i="2" s="1"/>
  <c r="BN164" i="2" s="1"/>
  <c r="BO164" i="2" s="1"/>
  <c r="S163" i="2"/>
  <c r="T163" i="2" s="1"/>
  <c r="U163" i="2" s="1"/>
  <c r="V163" i="2" s="1"/>
  <c r="W163" i="2" s="1"/>
  <c r="X163" i="2" s="1"/>
  <c r="Y163" i="2" s="1"/>
  <c r="Z163" i="2" s="1"/>
  <c r="AA163" i="2" s="1"/>
  <c r="AB163" i="2" s="1"/>
  <c r="AC163" i="2" s="1"/>
  <c r="AD163" i="2" s="1"/>
  <c r="AE163" i="2" s="1"/>
  <c r="AF163" i="2" s="1"/>
  <c r="AG163" i="2" s="1"/>
  <c r="AH163" i="2" s="1"/>
  <c r="AI163" i="2" s="1"/>
  <c r="AJ163" i="2" s="1"/>
  <c r="AK163" i="2" s="1"/>
  <c r="AL163" i="2" s="1"/>
  <c r="AM163" i="2" s="1"/>
  <c r="AN163" i="2" s="1"/>
  <c r="AO163" i="2" s="1"/>
  <c r="AP163" i="2" s="1"/>
  <c r="AQ163" i="2" s="1"/>
  <c r="AR163" i="2" s="1"/>
  <c r="AS163" i="2" s="1"/>
  <c r="AT163" i="2" s="1"/>
  <c r="AU163" i="2" s="1"/>
  <c r="AV163" i="2" s="1"/>
  <c r="AW163" i="2" s="1"/>
  <c r="AX163" i="2" s="1"/>
  <c r="AY163" i="2" s="1"/>
  <c r="AZ163" i="2" s="1"/>
  <c r="BA163" i="2" s="1"/>
  <c r="BB163" i="2" s="1"/>
  <c r="BC163" i="2" s="1"/>
  <c r="BD163" i="2" s="1"/>
  <c r="BE163" i="2" s="1"/>
  <c r="BF163" i="2" s="1"/>
  <c r="BG163" i="2" s="1"/>
  <c r="BH163" i="2" s="1"/>
  <c r="BI163" i="2" s="1"/>
  <c r="BJ163" i="2" s="1"/>
  <c r="BK163" i="2" s="1"/>
  <c r="BL163" i="2" s="1"/>
  <c r="BM163" i="2" s="1"/>
  <c r="BN163" i="2" s="1"/>
  <c r="BO163" i="2" s="1"/>
  <c r="S162" i="2"/>
  <c r="T162" i="2" s="1"/>
  <c r="U162" i="2" s="1"/>
  <c r="V162" i="2" s="1"/>
  <c r="W162" i="2" s="1"/>
  <c r="X162" i="2" s="1"/>
  <c r="Y162" i="2" s="1"/>
  <c r="Z162" i="2" s="1"/>
  <c r="AA162" i="2" s="1"/>
  <c r="AB162" i="2" s="1"/>
  <c r="AC162" i="2" s="1"/>
  <c r="AD162" i="2" s="1"/>
  <c r="AE162" i="2" s="1"/>
  <c r="AF162" i="2" s="1"/>
  <c r="AG162" i="2" s="1"/>
  <c r="AH162" i="2" s="1"/>
  <c r="AI162" i="2" s="1"/>
  <c r="AJ162" i="2" s="1"/>
  <c r="AK162" i="2" s="1"/>
  <c r="AL162" i="2" s="1"/>
  <c r="AM162" i="2" s="1"/>
  <c r="AN162" i="2" s="1"/>
  <c r="AO162" i="2" s="1"/>
  <c r="AP162" i="2" s="1"/>
  <c r="AQ162" i="2" s="1"/>
  <c r="AR162" i="2" s="1"/>
  <c r="AS162" i="2" s="1"/>
  <c r="AT162" i="2" s="1"/>
  <c r="AU162" i="2" s="1"/>
  <c r="AV162" i="2" s="1"/>
  <c r="AW162" i="2" s="1"/>
  <c r="AX162" i="2" s="1"/>
  <c r="AY162" i="2" s="1"/>
  <c r="AZ162" i="2" s="1"/>
  <c r="BA162" i="2" s="1"/>
  <c r="BB162" i="2" s="1"/>
  <c r="BC162" i="2" s="1"/>
  <c r="BD162" i="2" s="1"/>
  <c r="BE162" i="2" s="1"/>
  <c r="BF162" i="2" s="1"/>
  <c r="BG162" i="2" s="1"/>
  <c r="BH162" i="2" s="1"/>
  <c r="BI162" i="2" s="1"/>
  <c r="BJ162" i="2" s="1"/>
  <c r="BK162" i="2" s="1"/>
  <c r="BL162" i="2" s="1"/>
  <c r="BM162" i="2" s="1"/>
  <c r="BN162" i="2" s="1"/>
  <c r="BO162" i="2" s="1"/>
  <c r="S161" i="2"/>
  <c r="T161" i="2" s="1"/>
  <c r="U161" i="2" s="1"/>
  <c r="V161" i="2" s="1"/>
  <c r="W161" i="2" s="1"/>
  <c r="X161" i="2" s="1"/>
  <c r="Y161" i="2" s="1"/>
  <c r="Z161" i="2" s="1"/>
  <c r="AA161" i="2" s="1"/>
  <c r="AB161" i="2" s="1"/>
  <c r="AC161" i="2" s="1"/>
  <c r="AD161" i="2" s="1"/>
  <c r="AE161" i="2" s="1"/>
  <c r="AF161" i="2" s="1"/>
  <c r="AG161" i="2" s="1"/>
  <c r="AH161" i="2" s="1"/>
  <c r="AI161" i="2" s="1"/>
  <c r="AJ161" i="2" s="1"/>
  <c r="AK161" i="2" s="1"/>
  <c r="AL161" i="2" s="1"/>
  <c r="AM161" i="2" s="1"/>
  <c r="AN161" i="2" s="1"/>
  <c r="AO161" i="2" s="1"/>
  <c r="AP161" i="2" s="1"/>
  <c r="AQ161" i="2" s="1"/>
  <c r="AR161" i="2" s="1"/>
  <c r="AS161" i="2" s="1"/>
  <c r="AT161" i="2" s="1"/>
  <c r="AU161" i="2" s="1"/>
  <c r="AV161" i="2" s="1"/>
  <c r="AW161" i="2" s="1"/>
  <c r="AX161" i="2" s="1"/>
  <c r="AY161" i="2" s="1"/>
  <c r="AZ161" i="2" s="1"/>
  <c r="BA161" i="2" s="1"/>
  <c r="BB161" i="2" s="1"/>
  <c r="BC161" i="2" s="1"/>
  <c r="BD161" i="2" s="1"/>
  <c r="BE161" i="2" s="1"/>
  <c r="BF161" i="2" s="1"/>
  <c r="BG161" i="2" s="1"/>
  <c r="BH161" i="2" s="1"/>
  <c r="BI161" i="2" s="1"/>
  <c r="BJ161" i="2" s="1"/>
  <c r="BK161" i="2" s="1"/>
  <c r="BL161" i="2" s="1"/>
  <c r="BM161" i="2" s="1"/>
  <c r="BN161" i="2" s="1"/>
  <c r="BO161" i="2" s="1"/>
  <c r="S160" i="2"/>
  <c r="T160" i="2" s="1"/>
  <c r="U160" i="2" s="1"/>
  <c r="V160" i="2" s="1"/>
  <c r="W160" i="2" s="1"/>
  <c r="X160" i="2" s="1"/>
  <c r="Y160" i="2" s="1"/>
  <c r="Z160" i="2" s="1"/>
  <c r="AA160" i="2" s="1"/>
  <c r="AB160" i="2" s="1"/>
  <c r="AC160" i="2" s="1"/>
  <c r="AD160" i="2" s="1"/>
  <c r="AE160" i="2" s="1"/>
  <c r="AF160" i="2" s="1"/>
  <c r="AG160" i="2" s="1"/>
  <c r="AH160" i="2" s="1"/>
  <c r="AI160" i="2" s="1"/>
  <c r="AJ160" i="2" s="1"/>
  <c r="AK160" i="2" s="1"/>
  <c r="AL160" i="2" s="1"/>
  <c r="AM160" i="2" s="1"/>
  <c r="AN160" i="2" s="1"/>
  <c r="AO160" i="2" s="1"/>
  <c r="AP160" i="2" s="1"/>
  <c r="AQ160" i="2" s="1"/>
  <c r="AR160" i="2" s="1"/>
  <c r="AS160" i="2" s="1"/>
  <c r="AT160" i="2" s="1"/>
  <c r="AU160" i="2" s="1"/>
  <c r="AV160" i="2" s="1"/>
  <c r="AW160" i="2" s="1"/>
  <c r="AX160" i="2" s="1"/>
  <c r="AY160" i="2" s="1"/>
  <c r="AZ160" i="2" s="1"/>
  <c r="BA160" i="2" s="1"/>
  <c r="BB160" i="2" s="1"/>
  <c r="BC160" i="2" s="1"/>
  <c r="BD160" i="2" s="1"/>
  <c r="BE160" i="2" s="1"/>
  <c r="BF160" i="2" s="1"/>
  <c r="BG160" i="2" s="1"/>
  <c r="BH160" i="2" s="1"/>
  <c r="BI160" i="2" s="1"/>
  <c r="BJ160" i="2" s="1"/>
  <c r="BK160" i="2" s="1"/>
  <c r="BL160" i="2" s="1"/>
  <c r="BM160" i="2" s="1"/>
  <c r="BN160" i="2" s="1"/>
  <c r="BO160" i="2" s="1"/>
  <c r="S159" i="2"/>
  <c r="T159" i="2" s="1"/>
  <c r="U159" i="2" s="1"/>
  <c r="V159" i="2" s="1"/>
  <c r="W159" i="2" s="1"/>
  <c r="X159" i="2" s="1"/>
  <c r="Y159" i="2" s="1"/>
  <c r="Z159" i="2" s="1"/>
  <c r="AA159" i="2" s="1"/>
  <c r="AB159" i="2" s="1"/>
  <c r="AC159" i="2" s="1"/>
  <c r="AD159" i="2" s="1"/>
  <c r="AE159" i="2" s="1"/>
  <c r="AF159" i="2" s="1"/>
  <c r="AG159" i="2" s="1"/>
  <c r="AH159" i="2" s="1"/>
  <c r="AI159" i="2" s="1"/>
  <c r="AJ159" i="2" s="1"/>
  <c r="AK159" i="2" s="1"/>
  <c r="AL159" i="2" s="1"/>
  <c r="AM159" i="2" s="1"/>
  <c r="AN159" i="2" s="1"/>
  <c r="AO159" i="2" s="1"/>
  <c r="AP159" i="2" s="1"/>
  <c r="AQ159" i="2" s="1"/>
  <c r="AR159" i="2" s="1"/>
  <c r="AS159" i="2" s="1"/>
  <c r="AT159" i="2" s="1"/>
  <c r="AU159" i="2" s="1"/>
  <c r="AV159" i="2" s="1"/>
  <c r="AW159" i="2" s="1"/>
  <c r="AX159" i="2" s="1"/>
  <c r="AY159" i="2" s="1"/>
  <c r="AZ159" i="2" s="1"/>
  <c r="BA159" i="2" s="1"/>
  <c r="BB159" i="2" s="1"/>
  <c r="BC159" i="2" s="1"/>
  <c r="BD159" i="2" s="1"/>
  <c r="BE159" i="2" s="1"/>
  <c r="BF159" i="2" s="1"/>
  <c r="BG159" i="2" s="1"/>
  <c r="BH159" i="2" s="1"/>
  <c r="BI159" i="2" s="1"/>
  <c r="BJ159" i="2" s="1"/>
  <c r="BK159" i="2" s="1"/>
  <c r="BL159" i="2" s="1"/>
  <c r="BM159" i="2" s="1"/>
  <c r="BN159" i="2" s="1"/>
  <c r="BO159" i="2" s="1"/>
  <c r="S157" i="2"/>
  <c r="T157" i="2" s="1"/>
  <c r="U157" i="2" s="1"/>
  <c r="V157" i="2" s="1"/>
  <c r="W157" i="2" s="1"/>
  <c r="X157" i="2" s="1"/>
  <c r="Y157" i="2" s="1"/>
  <c r="Z157" i="2" s="1"/>
  <c r="AA157" i="2" s="1"/>
  <c r="AB157" i="2" s="1"/>
  <c r="AC157" i="2" s="1"/>
  <c r="AD157" i="2" s="1"/>
  <c r="AE157" i="2" s="1"/>
  <c r="AF157" i="2" s="1"/>
  <c r="AG157" i="2" s="1"/>
  <c r="AH157" i="2" s="1"/>
  <c r="AI157" i="2" s="1"/>
  <c r="AJ157" i="2" s="1"/>
  <c r="AK157" i="2" s="1"/>
  <c r="AL157" i="2" s="1"/>
  <c r="AM157" i="2" s="1"/>
  <c r="AN157" i="2" s="1"/>
  <c r="AO157" i="2" s="1"/>
  <c r="AP157" i="2" s="1"/>
  <c r="AQ157" i="2" s="1"/>
  <c r="AR157" i="2" s="1"/>
  <c r="AS157" i="2" s="1"/>
  <c r="AT157" i="2" s="1"/>
  <c r="AU157" i="2" s="1"/>
  <c r="AV157" i="2" s="1"/>
  <c r="AW157" i="2" s="1"/>
  <c r="AX157" i="2" s="1"/>
  <c r="AY157" i="2" s="1"/>
  <c r="AZ157" i="2" s="1"/>
  <c r="BA157" i="2" s="1"/>
  <c r="BB157" i="2" s="1"/>
  <c r="BC157" i="2" s="1"/>
  <c r="BD157" i="2" s="1"/>
  <c r="BE157" i="2" s="1"/>
  <c r="BF157" i="2" s="1"/>
  <c r="BG157" i="2" s="1"/>
  <c r="BH157" i="2" s="1"/>
  <c r="BI157" i="2" s="1"/>
  <c r="BJ157" i="2" s="1"/>
  <c r="BK157" i="2" s="1"/>
  <c r="BL157" i="2" s="1"/>
  <c r="BM157" i="2" s="1"/>
  <c r="BN157" i="2" s="1"/>
  <c r="BO157" i="2" s="1"/>
  <c r="R128" i="2"/>
  <c r="Q128" i="2"/>
  <c r="P128" i="2"/>
  <c r="O128" i="2"/>
  <c r="N128" i="2"/>
  <c r="M128" i="2"/>
  <c r="L128" i="2"/>
  <c r="K128" i="2"/>
  <c r="H109" i="2"/>
  <c r="G109" i="2"/>
  <c r="H108" i="2"/>
  <c r="G108" i="2"/>
  <c r="H107" i="2"/>
  <c r="H217" i="2" s="1"/>
  <c r="G107" i="2"/>
  <c r="G217" i="2" s="1"/>
  <c r="H106" i="2"/>
  <c r="H216" i="2" s="1"/>
  <c r="G106" i="2"/>
  <c r="G216" i="2" s="1"/>
  <c r="H105" i="2"/>
  <c r="H215" i="2" s="1"/>
  <c r="G105" i="2"/>
  <c r="G215" i="2" s="1"/>
  <c r="H104" i="2"/>
  <c r="H213" i="2" s="1"/>
  <c r="G104" i="2"/>
  <c r="H103" i="2"/>
  <c r="G103" i="2"/>
  <c r="H102" i="2"/>
  <c r="H212" i="2" s="1"/>
  <c r="G102" i="2"/>
  <c r="G212" i="2" s="1"/>
  <c r="H101" i="2"/>
  <c r="H211" i="2" s="1"/>
  <c r="G101" i="2"/>
  <c r="G211" i="2" s="1"/>
  <c r="H100" i="2"/>
  <c r="H210" i="2" s="1"/>
  <c r="G100" i="2"/>
  <c r="G210" i="2" s="1"/>
  <c r="H99" i="2"/>
  <c r="G99" i="2"/>
  <c r="H98" i="2"/>
  <c r="G98" i="2"/>
  <c r="I207" i="2"/>
  <c r="H97" i="2"/>
  <c r="H207" i="2" s="1"/>
  <c r="G97" i="2"/>
  <c r="G207" i="2" s="1"/>
  <c r="T70" i="2"/>
  <c r="U70" i="2" s="1"/>
  <c r="V70" i="2" s="1"/>
  <c r="W70" i="2" s="1"/>
  <c r="X70" i="2" s="1"/>
  <c r="Y70" i="2" s="1"/>
  <c r="Z70" i="2" s="1"/>
  <c r="AA70" i="2" s="1"/>
  <c r="AB70" i="2" s="1"/>
  <c r="AC70" i="2" s="1"/>
  <c r="AD70" i="2" s="1"/>
  <c r="AE70" i="2" s="1"/>
  <c r="AF70" i="2" s="1"/>
  <c r="AG70" i="2" s="1"/>
  <c r="AH70" i="2" s="1"/>
  <c r="AI70" i="2" s="1"/>
  <c r="AJ70" i="2" s="1"/>
  <c r="AK70" i="2" s="1"/>
  <c r="AL70" i="2" s="1"/>
  <c r="AM70" i="2" s="1"/>
  <c r="AN70" i="2" s="1"/>
  <c r="AO70" i="2" s="1"/>
  <c r="AP70" i="2" s="1"/>
  <c r="AQ70" i="2" s="1"/>
  <c r="AR70" i="2" s="1"/>
  <c r="AS70" i="2" s="1"/>
  <c r="AT70" i="2" s="1"/>
  <c r="AU70" i="2" s="1"/>
  <c r="AV70" i="2" s="1"/>
  <c r="AW70" i="2" s="1"/>
  <c r="AX70" i="2" s="1"/>
  <c r="AY70" i="2" s="1"/>
  <c r="AZ70" i="2" s="1"/>
  <c r="BA70" i="2" s="1"/>
  <c r="BB70" i="2" s="1"/>
  <c r="BC70" i="2" s="1"/>
  <c r="BD70" i="2" s="1"/>
  <c r="BE70" i="2" s="1"/>
  <c r="BF70" i="2" s="1"/>
  <c r="BG70" i="2" s="1"/>
  <c r="BH70" i="2" s="1"/>
  <c r="BI70" i="2" s="1"/>
  <c r="BJ70" i="2" s="1"/>
  <c r="BK70" i="2" s="1"/>
  <c r="BL70" i="2" s="1"/>
  <c r="BM70" i="2" s="1"/>
  <c r="BN70" i="2" s="1"/>
  <c r="BO70" i="2" s="1"/>
  <c r="T69" i="2"/>
  <c r="U69" i="2" s="1"/>
  <c r="V69" i="2" s="1"/>
  <c r="W69" i="2" s="1"/>
  <c r="X69" i="2" s="1"/>
  <c r="Y69" i="2" s="1"/>
  <c r="Z69" i="2" s="1"/>
  <c r="AA69" i="2" s="1"/>
  <c r="AB69" i="2" s="1"/>
  <c r="AC69" i="2" s="1"/>
  <c r="AD69" i="2" s="1"/>
  <c r="AE69" i="2" s="1"/>
  <c r="AF69" i="2" s="1"/>
  <c r="AG69" i="2" s="1"/>
  <c r="AH69" i="2" s="1"/>
  <c r="AI69" i="2" s="1"/>
  <c r="AJ69" i="2" s="1"/>
  <c r="AK69" i="2" s="1"/>
  <c r="AL69" i="2" s="1"/>
  <c r="AM69" i="2" s="1"/>
  <c r="AN69" i="2" s="1"/>
  <c r="AO69" i="2" s="1"/>
  <c r="AP69" i="2" s="1"/>
  <c r="AQ69" i="2" s="1"/>
  <c r="AR69" i="2" s="1"/>
  <c r="AS69" i="2" s="1"/>
  <c r="AT69" i="2" s="1"/>
  <c r="AU69" i="2" s="1"/>
  <c r="AV69" i="2" s="1"/>
  <c r="AW69" i="2" s="1"/>
  <c r="AX69" i="2" s="1"/>
  <c r="AY69" i="2" s="1"/>
  <c r="AZ69" i="2" s="1"/>
  <c r="BA69" i="2" s="1"/>
  <c r="BB69" i="2" s="1"/>
  <c r="BC69" i="2" s="1"/>
  <c r="BD69" i="2" s="1"/>
  <c r="BE69" i="2" s="1"/>
  <c r="BF69" i="2" s="1"/>
  <c r="BG69" i="2" s="1"/>
  <c r="BH69" i="2" s="1"/>
  <c r="BI69" i="2" s="1"/>
  <c r="BJ69" i="2" s="1"/>
  <c r="BK69" i="2" s="1"/>
  <c r="BL69" i="2" s="1"/>
  <c r="BM69" i="2" s="1"/>
  <c r="BN69" i="2" s="1"/>
  <c r="BO69" i="2" s="1"/>
  <c r="T68" i="2"/>
  <c r="U68" i="2" s="1"/>
  <c r="V68" i="2" s="1"/>
  <c r="W68" i="2" s="1"/>
  <c r="X68" i="2" s="1"/>
  <c r="Y68" i="2" s="1"/>
  <c r="Z68" i="2" s="1"/>
  <c r="AA68" i="2" s="1"/>
  <c r="AB68" i="2" s="1"/>
  <c r="AC68" i="2" s="1"/>
  <c r="AD68" i="2" s="1"/>
  <c r="AE68" i="2" s="1"/>
  <c r="AF68" i="2" s="1"/>
  <c r="AG68" i="2" s="1"/>
  <c r="AH68" i="2" s="1"/>
  <c r="AI68" i="2" s="1"/>
  <c r="AJ68" i="2" s="1"/>
  <c r="AK68" i="2" s="1"/>
  <c r="AL68" i="2" s="1"/>
  <c r="AM68" i="2" s="1"/>
  <c r="AN68" i="2" s="1"/>
  <c r="AO68" i="2" s="1"/>
  <c r="AP68" i="2" s="1"/>
  <c r="AQ68" i="2" s="1"/>
  <c r="AR68" i="2" s="1"/>
  <c r="AS68" i="2" s="1"/>
  <c r="AT68" i="2" s="1"/>
  <c r="AU68" i="2" s="1"/>
  <c r="AV68" i="2" s="1"/>
  <c r="AW68" i="2" s="1"/>
  <c r="AX68" i="2" s="1"/>
  <c r="AY68" i="2" s="1"/>
  <c r="AZ68" i="2" s="1"/>
  <c r="BA68" i="2" s="1"/>
  <c r="BB68" i="2" s="1"/>
  <c r="BC68" i="2" s="1"/>
  <c r="BD68" i="2" s="1"/>
  <c r="BE68" i="2" s="1"/>
  <c r="BF68" i="2" s="1"/>
  <c r="BG68" i="2" s="1"/>
  <c r="BH68" i="2" s="1"/>
  <c r="BI68" i="2" s="1"/>
  <c r="BJ68" i="2" s="1"/>
  <c r="BK68" i="2" s="1"/>
  <c r="BL68" i="2" s="1"/>
  <c r="BM68" i="2" s="1"/>
  <c r="BN68" i="2" s="1"/>
  <c r="BO68" i="2" s="1"/>
  <c r="T67" i="2"/>
  <c r="U67" i="2" s="1"/>
  <c r="V67" i="2" s="1"/>
  <c r="W67" i="2" s="1"/>
  <c r="X67" i="2" s="1"/>
  <c r="Y67" i="2" s="1"/>
  <c r="Z67" i="2" s="1"/>
  <c r="AA67" i="2" s="1"/>
  <c r="AB67" i="2" s="1"/>
  <c r="AC67" i="2" s="1"/>
  <c r="AD67" i="2" s="1"/>
  <c r="AE67" i="2" s="1"/>
  <c r="AF67" i="2" s="1"/>
  <c r="AG67" i="2" s="1"/>
  <c r="AH67" i="2" s="1"/>
  <c r="AI67" i="2" s="1"/>
  <c r="AJ67" i="2" s="1"/>
  <c r="AK67" i="2" s="1"/>
  <c r="AL67" i="2" s="1"/>
  <c r="AM67" i="2" s="1"/>
  <c r="AN67" i="2" s="1"/>
  <c r="AO67" i="2" s="1"/>
  <c r="AP67" i="2" s="1"/>
  <c r="AQ67" i="2" s="1"/>
  <c r="AR67" i="2" s="1"/>
  <c r="AS67" i="2" s="1"/>
  <c r="AT67" i="2" s="1"/>
  <c r="AU67" i="2" s="1"/>
  <c r="AV67" i="2" s="1"/>
  <c r="AW67" i="2" s="1"/>
  <c r="AX67" i="2" s="1"/>
  <c r="AY67" i="2" s="1"/>
  <c r="AZ67" i="2" s="1"/>
  <c r="BA67" i="2" s="1"/>
  <c r="BB67" i="2" s="1"/>
  <c r="BC67" i="2" s="1"/>
  <c r="BD67" i="2" s="1"/>
  <c r="BE67" i="2" s="1"/>
  <c r="BF67" i="2" s="1"/>
  <c r="BG67" i="2" s="1"/>
  <c r="BH67" i="2" s="1"/>
  <c r="BI67" i="2" s="1"/>
  <c r="BJ67" i="2" s="1"/>
  <c r="BK67" i="2" s="1"/>
  <c r="BL67" i="2" s="1"/>
  <c r="BM67" i="2" s="1"/>
  <c r="BN67" i="2" s="1"/>
  <c r="BO67" i="2" s="1"/>
  <c r="T66" i="2"/>
  <c r="U66" i="2" s="1"/>
  <c r="V66" i="2" s="1"/>
  <c r="W66" i="2" s="1"/>
  <c r="X66" i="2" s="1"/>
  <c r="Y66" i="2" s="1"/>
  <c r="Z66" i="2" s="1"/>
  <c r="AA66" i="2" s="1"/>
  <c r="AB66" i="2" s="1"/>
  <c r="AC66" i="2" s="1"/>
  <c r="AD66" i="2" s="1"/>
  <c r="AE66" i="2" s="1"/>
  <c r="AF66" i="2" s="1"/>
  <c r="AG66" i="2" s="1"/>
  <c r="AH66" i="2" s="1"/>
  <c r="AI66" i="2" s="1"/>
  <c r="AJ66" i="2" s="1"/>
  <c r="AK66" i="2" s="1"/>
  <c r="AL66" i="2" s="1"/>
  <c r="AM66" i="2" s="1"/>
  <c r="AN66" i="2" s="1"/>
  <c r="AO66" i="2" s="1"/>
  <c r="AP66" i="2" s="1"/>
  <c r="AQ66" i="2" s="1"/>
  <c r="AR66" i="2" s="1"/>
  <c r="AS66" i="2" s="1"/>
  <c r="AT66" i="2" s="1"/>
  <c r="AU66" i="2" s="1"/>
  <c r="AV66" i="2" s="1"/>
  <c r="AW66" i="2" s="1"/>
  <c r="AX66" i="2" s="1"/>
  <c r="AY66" i="2" s="1"/>
  <c r="AZ66" i="2" s="1"/>
  <c r="BA66" i="2" s="1"/>
  <c r="BB66" i="2" s="1"/>
  <c r="BC66" i="2" s="1"/>
  <c r="BD66" i="2" s="1"/>
  <c r="BE66" i="2" s="1"/>
  <c r="BF66" i="2" s="1"/>
  <c r="BG66" i="2" s="1"/>
  <c r="BH66" i="2" s="1"/>
  <c r="BI66" i="2" s="1"/>
  <c r="BJ66" i="2" s="1"/>
  <c r="BK66" i="2" s="1"/>
  <c r="BL66" i="2" s="1"/>
  <c r="BM66" i="2" s="1"/>
  <c r="BN66" i="2" s="1"/>
  <c r="BO66" i="2" s="1"/>
  <c r="T65" i="2"/>
  <c r="U65" i="2" s="1"/>
  <c r="V65" i="2" s="1"/>
  <c r="W65" i="2" s="1"/>
  <c r="X65" i="2" s="1"/>
  <c r="Y65" i="2" s="1"/>
  <c r="Z65" i="2" s="1"/>
  <c r="AA65" i="2" s="1"/>
  <c r="AB65" i="2" s="1"/>
  <c r="AC65" i="2" s="1"/>
  <c r="AD65" i="2" s="1"/>
  <c r="AE65" i="2" s="1"/>
  <c r="AF65" i="2" s="1"/>
  <c r="AG65" i="2" s="1"/>
  <c r="AH65" i="2" s="1"/>
  <c r="AI65" i="2" s="1"/>
  <c r="AJ65" i="2" s="1"/>
  <c r="AK65" i="2" s="1"/>
  <c r="AL65" i="2" s="1"/>
  <c r="AM65" i="2" s="1"/>
  <c r="AN65" i="2" s="1"/>
  <c r="AO65" i="2" s="1"/>
  <c r="AP65" i="2" s="1"/>
  <c r="AQ65" i="2" s="1"/>
  <c r="AR65" i="2" s="1"/>
  <c r="AS65" i="2" s="1"/>
  <c r="AT65" i="2" s="1"/>
  <c r="AU65" i="2" s="1"/>
  <c r="AV65" i="2" s="1"/>
  <c r="AW65" i="2" s="1"/>
  <c r="AX65" i="2" s="1"/>
  <c r="AY65" i="2" s="1"/>
  <c r="AZ65" i="2" s="1"/>
  <c r="BA65" i="2" s="1"/>
  <c r="BB65" i="2" s="1"/>
  <c r="BC65" i="2" s="1"/>
  <c r="BD65" i="2" s="1"/>
  <c r="BE65" i="2" s="1"/>
  <c r="BF65" i="2" s="1"/>
  <c r="BG65" i="2" s="1"/>
  <c r="BH65" i="2" s="1"/>
  <c r="BI65" i="2" s="1"/>
  <c r="BJ65" i="2" s="1"/>
  <c r="BK65" i="2" s="1"/>
  <c r="BL65" i="2" s="1"/>
  <c r="BM65" i="2" s="1"/>
  <c r="BN65" i="2" s="1"/>
  <c r="BO65" i="2" s="1"/>
  <c r="T64" i="2"/>
  <c r="U64" i="2" s="1"/>
  <c r="V64" i="2" s="1"/>
  <c r="W64" i="2" s="1"/>
  <c r="X64" i="2" s="1"/>
  <c r="Y64" i="2" s="1"/>
  <c r="Z64" i="2" s="1"/>
  <c r="AA64" i="2" s="1"/>
  <c r="AB64" i="2" s="1"/>
  <c r="AC64" i="2" s="1"/>
  <c r="AD64" i="2" s="1"/>
  <c r="AE64" i="2" s="1"/>
  <c r="AF64" i="2" s="1"/>
  <c r="AG64" i="2" s="1"/>
  <c r="AH64" i="2" s="1"/>
  <c r="AI64" i="2" s="1"/>
  <c r="AJ64" i="2" s="1"/>
  <c r="AK64" i="2" s="1"/>
  <c r="AL64" i="2" s="1"/>
  <c r="AM64" i="2" s="1"/>
  <c r="AN64" i="2" s="1"/>
  <c r="AO64" i="2" s="1"/>
  <c r="AP64" i="2" s="1"/>
  <c r="AQ64" i="2" s="1"/>
  <c r="AR64" i="2" s="1"/>
  <c r="AS64" i="2" s="1"/>
  <c r="AT64" i="2" s="1"/>
  <c r="AU64" i="2" s="1"/>
  <c r="AV64" i="2" s="1"/>
  <c r="AW64" i="2" s="1"/>
  <c r="AX64" i="2" s="1"/>
  <c r="AY64" i="2" s="1"/>
  <c r="AZ64" i="2" s="1"/>
  <c r="BA64" i="2" s="1"/>
  <c r="BB64" i="2" s="1"/>
  <c r="BC64" i="2" s="1"/>
  <c r="BD64" i="2" s="1"/>
  <c r="BE64" i="2" s="1"/>
  <c r="BF64" i="2" s="1"/>
  <c r="BG64" i="2" s="1"/>
  <c r="BH64" i="2" s="1"/>
  <c r="BI64" i="2" s="1"/>
  <c r="BJ64" i="2" s="1"/>
  <c r="BK64" i="2" s="1"/>
  <c r="BL64" i="2" s="1"/>
  <c r="BM64" i="2" s="1"/>
  <c r="BN64" i="2" s="1"/>
  <c r="BO64" i="2" s="1"/>
  <c r="T63" i="2"/>
  <c r="U63" i="2" s="1"/>
  <c r="V63" i="2" s="1"/>
  <c r="W63" i="2" s="1"/>
  <c r="X63" i="2" s="1"/>
  <c r="Y63" i="2" s="1"/>
  <c r="Z63" i="2" s="1"/>
  <c r="AA63" i="2" s="1"/>
  <c r="AB63" i="2" s="1"/>
  <c r="AC63" i="2" s="1"/>
  <c r="AD63" i="2" s="1"/>
  <c r="AE63" i="2" s="1"/>
  <c r="AF63" i="2" s="1"/>
  <c r="AG63" i="2" s="1"/>
  <c r="AH63" i="2" s="1"/>
  <c r="AI63" i="2" s="1"/>
  <c r="AJ63" i="2" s="1"/>
  <c r="AK63" i="2" s="1"/>
  <c r="AL63" i="2" s="1"/>
  <c r="AM63" i="2" s="1"/>
  <c r="AN63" i="2" s="1"/>
  <c r="AO63" i="2" s="1"/>
  <c r="AP63" i="2" s="1"/>
  <c r="AQ63" i="2" s="1"/>
  <c r="AR63" i="2" s="1"/>
  <c r="AS63" i="2" s="1"/>
  <c r="AT63" i="2" s="1"/>
  <c r="AU63" i="2" s="1"/>
  <c r="AV63" i="2" s="1"/>
  <c r="AW63" i="2" s="1"/>
  <c r="AX63" i="2" s="1"/>
  <c r="AY63" i="2" s="1"/>
  <c r="AZ63" i="2" s="1"/>
  <c r="BA63" i="2" s="1"/>
  <c r="BB63" i="2" s="1"/>
  <c r="BC63" i="2" s="1"/>
  <c r="BD63" i="2" s="1"/>
  <c r="BE63" i="2" s="1"/>
  <c r="BF63" i="2" s="1"/>
  <c r="BG63" i="2" s="1"/>
  <c r="BH63" i="2" s="1"/>
  <c r="BI63" i="2" s="1"/>
  <c r="BJ63" i="2" s="1"/>
  <c r="BK63" i="2" s="1"/>
  <c r="BL63" i="2" s="1"/>
  <c r="BM63" i="2" s="1"/>
  <c r="BN63" i="2" s="1"/>
  <c r="BO63" i="2" s="1"/>
  <c r="T62" i="2"/>
  <c r="U62" i="2" s="1"/>
  <c r="V62" i="2" s="1"/>
  <c r="W62" i="2" s="1"/>
  <c r="X62" i="2" s="1"/>
  <c r="Y62" i="2" s="1"/>
  <c r="Z62" i="2" s="1"/>
  <c r="AA62" i="2" s="1"/>
  <c r="AB62" i="2" s="1"/>
  <c r="AC62" i="2" s="1"/>
  <c r="AD62" i="2" s="1"/>
  <c r="AE62" i="2" s="1"/>
  <c r="AF62" i="2" s="1"/>
  <c r="AG62" i="2" s="1"/>
  <c r="AH62" i="2" s="1"/>
  <c r="AI62" i="2" s="1"/>
  <c r="AJ62" i="2" s="1"/>
  <c r="AK62" i="2" s="1"/>
  <c r="AL62" i="2" s="1"/>
  <c r="AM62" i="2" s="1"/>
  <c r="AN62" i="2" s="1"/>
  <c r="AO62" i="2" s="1"/>
  <c r="AP62" i="2" s="1"/>
  <c r="AQ62" i="2" s="1"/>
  <c r="AR62" i="2" s="1"/>
  <c r="AS62" i="2" s="1"/>
  <c r="AT62" i="2" s="1"/>
  <c r="AU62" i="2" s="1"/>
  <c r="AV62" i="2" s="1"/>
  <c r="AW62" i="2" s="1"/>
  <c r="AX62" i="2" s="1"/>
  <c r="AY62" i="2" s="1"/>
  <c r="AZ62" i="2" s="1"/>
  <c r="BA62" i="2" s="1"/>
  <c r="BB62" i="2" s="1"/>
  <c r="BC62" i="2" s="1"/>
  <c r="BD62" i="2" s="1"/>
  <c r="BE62" i="2" s="1"/>
  <c r="BF62" i="2" s="1"/>
  <c r="BG62" i="2" s="1"/>
  <c r="BH62" i="2" s="1"/>
  <c r="BI62" i="2" s="1"/>
  <c r="BJ62" i="2" s="1"/>
  <c r="BK62" i="2" s="1"/>
  <c r="BL62" i="2" s="1"/>
  <c r="BM62" i="2" s="1"/>
  <c r="BN62" i="2" s="1"/>
  <c r="BO62" i="2" s="1"/>
  <c r="T61" i="2"/>
  <c r="U61" i="2" s="1"/>
  <c r="V61" i="2" s="1"/>
  <c r="W61" i="2" s="1"/>
  <c r="T60" i="2"/>
  <c r="U60" i="2" s="1"/>
  <c r="V60" i="2" s="1"/>
  <c r="W60" i="2" s="1"/>
  <c r="X60" i="2" s="1"/>
  <c r="Y60" i="2" s="1"/>
  <c r="Z60" i="2" s="1"/>
  <c r="AA60" i="2" s="1"/>
  <c r="AB60" i="2" s="1"/>
  <c r="AC60" i="2" s="1"/>
  <c r="AD60" i="2" s="1"/>
  <c r="AE60" i="2" s="1"/>
  <c r="AF60" i="2" s="1"/>
  <c r="AG60" i="2" s="1"/>
  <c r="AH60" i="2" s="1"/>
  <c r="AI60" i="2" s="1"/>
  <c r="AJ60" i="2" s="1"/>
  <c r="AK60" i="2" s="1"/>
  <c r="AL60" i="2" s="1"/>
  <c r="AM60" i="2" s="1"/>
  <c r="AN60" i="2" s="1"/>
  <c r="AO60" i="2" s="1"/>
  <c r="AP60" i="2" s="1"/>
  <c r="AQ60" i="2" s="1"/>
  <c r="AR60" i="2" s="1"/>
  <c r="AS60" i="2" s="1"/>
  <c r="AT60" i="2" s="1"/>
  <c r="AU60" i="2" s="1"/>
  <c r="AV60" i="2" s="1"/>
  <c r="AW60" i="2" s="1"/>
  <c r="AX60" i="2" s="1"/>
  <c r="AY60" i="2" s="1"/>
  <c r="AZ60" i="2" s="1"/>
  <c r="BA60" i="2" s="1"/>
  <c r="BB60" i="2" s="1"/>
  <c r="BC60" i="2" s="1"/>
  <c r="BD60" i="2" s="1"/>
  <c r="BE60" i="2" s="1"/>
  <c r="BF60" i="2" s="1"/>
  <c r="BG60" i="2" s="1"/>
  <c r="BH60" i="2" s="1"/>
  <c r="BI60" i="2" s="1"/>
  <c r="BJ60" i="2" s="1"/>
  <c r="BK60" i="2" s="1"/>
  <c r="BL60" i="2" s="1"/>
  <c r="BM60" i="2" s="1"/>
  <c r="BN60" i="2" s="1"/>
  <c r="BO60" i="2" s="1"/>
  <c r="T59" i="2"/>
  <c r="U59" i="2" s="1"/>
  <c r="V59" i="2" s="1"/>
  <c r="W59" i="2" s="1"/>
  <c r="X59" i="2" s="1"/>
  <c r="Y59" i="2" s="1"/>
  <c r="Z59" i="2" s="1"/>
  <c r="AA59" i="2" s="1"/>
  <c r="AB59" i="2" s="1"/>
  <c r="AC59" i="2" s="1"/>
  <c r="AD59" i="2" s="1"/>
  <c r="AE59" i="2" s="1"/>
  <c r="AF59" i="2" s="1"/>
  <c r="AG59" i="2" s="1"/>
  <c r="AH59" i="2" s="1"/>
  <c r="AI59" i="2" s="1"/>
  <c r="AJ59" i="2" s="1"/>
  <c r="AK59" i="2" s="1"/>
  <c r="AL59" i="2" s="1"/>
  <c r="AM59" i="2" s="1"/>
  <c r="AN59" i="2" s="1"/>
  <c r="AO59" i="2" s="1"/>
  <c r="AP59" i="2" s="1"/>
  <c r="AQ59" i="2" s="1"/>
  <c r="AR59" i="2" s="1"/>
  <c r="AS59" i="2" s="1"/>
  <c r="AT59" i="2" s="1"/>
  <c r="AU59" i="2" s="1"/>
  <c r="AV59" i="2" s="1"/>
  <c r="AW59" i="2" s="1"/>
  <c r="AX59" i="2" s="1"/>
  <c r="AY59" i="2" s="1"/>
  <c r="AZ59" i="2" s="1"/>
  <c r="BA59" i="2" s="1"/>
  <c r="BB59" i="2" s="1"/>
  <c r="BC59" i="2" s="1"/>
  <c r="BD59" i="2" s="1"/>
  <c r="BE59" i="2" s="1"/>
  <c r="BF59" i="2" s="1"/>
  <c r="BG59" i="2" s="1"/>
  <c r="BH59" i="2" s="1"/>
  <c r="BI59" i="2" s="1"/>
  <c r="BJ59" i="2" s="1"/>
  <c r="BK59" i="2" s="1"/>
  <c r="BL59" i="2" s="1"/>
  <c r="BM59" i="2" s="1"/>
  <c r="BN59" i="2" s="1"/>
  <c r="BO59" i="2" s="1"/>
  <c r="T58" i="2"/>
  <c r="U58" i="2" s="1"/>
  <c r="V58" i="2" s="1"/>
  <c r="G58" i="2"/>
  <c r="R37" i="2"/>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AO37" i="2" s="1"/>
  <c r="AP37" i="2" s="1"/>
  <c r="AQ37" i="2" s="1"/>
  <c r="AR37" i="2" s="1"/>
  <c r="AS37" i="2" s="1"/>
  <c r="AT37" i="2" s="1"/>
  <c r="AU37" i="2" s="1"/>
  <c r="AV37" i="2" s="1"/>
  <c r="AW37" i="2" s="1"/>
  <c r="AX37" i="2" s="1"/>
  <c r="AY37" i="2" s="1"/>
  <c r="AZ37" i="2" s="1"/>
  <c r="BA37" i="2" s="1"/>
  <c r="BB37" i="2" s="1"/>
  <c r="BC37" i="2" s="1"/>
  <c r="BD37" i="2" s="1"/>
  <c r="BE37" i="2" s="1"/>
  <c r="BF37" i="2" s="1"/>
  <c r="BG37" i="2" s="1"/>
  <c r="BH37" i="2" s="1"/>
  <c r="BI37" i="2" s="1"/>
  <c r="BJ37" i="2" s="1"/>
  <c r="BK37" i="2" s="1"/>
  <c r="BL37" i="2" s="1"/>
  <c r="BM37" i="2" s="1"/>
  <c r="BN37" i="2" s="1"/>
  <c r="BO37" i="2" s="1"/>
  <c r="Q37" i="2"/>
  <c r="P37" i="2"/>
  <c r="O37" i="2"/>
  <c r="N37" i="2"/>
  <c r="M37" i="2"/>
  <c r="L37" i="2"/>
  <c r="K37" i="2"/>
  <c r="J37" i="2"/>
  <c r="I37" i="2"/>
  <c r="H37" i="2"/>
  <c r="G37" i="2"/>
  <c r="R36" i="2"/>
  <c r="T36" i="2" s="1"/>
  <c r="U36" i="2" s="1"/>
  <c r="V36" i="2" s="1"/>
  <c r="W36" i="2" s="1"/>
  <c r="X36" i="2" s="1"/>
  <c r="Y36" i="2" s="1"/>
  <c r="Z36" i="2" s="1"/>
  <c r="AA36" i="2" s="1"/>
  <c r="AB36" i="2" s="1"/>
  <c r="AC36" i="2" s="1"/>
  <c r="AD36" i="2" s="1"/>
  <c r="AE36" i="2" s="1"/>
  <c r="AF36" i="2" s="1"/>
  <c r="AG36" i="2" s="1"/>
  <c r="AH36" i="2" s="1"/>
  <c r="AI36" i="2" s="1"/>
  <c r="AJ36" i="2" s="1"/>
  <c r="AK36" i="2" s="1"/>
  <c r="AL36" i="2" s="1"/>
  <c r="AM36" i="2" s="1"/>
  <c r="AN36" i="2" s="1"/>
  <c r="AO36" i="2" s="1"/>
  <c r="AP36" i="2" s="1"/>
  <c r="AQ36" i="2" s="1"/>
  <c r="AR36" i="2" s="1"/>
  <c r="AS36" i="2" s="1"/>
  <c r="AT36" i="2" s="1"/>
  <c r="AU36" i="2" s="1"/>
  <c r="AV36" i="2" s="1"/>
  <c r="AW36" i="2" s="1"/>
  <c r="AX36" i="2" s="1"/>
  <c r="AY36" i="2" s="1"/>
  <c r="AZ36" i="2" s="1"/>
  <c r="BA36" i="2" s="1"/>
  <c r="BB36" i="2" s="1"/>
  <c r="BC36" i="2" s="1"/>
  <c r="BD36" i="2" s="1"/>
  <c r="BE36" i="2" s="1"/>
  <c r="BF36" i="2" s="1"/>
  <c r="BG36" i="2" s="1"/>
  <c r="BH36" i="2" s="1"/>
  <c r="BI36" i="2" s="1"/>
  <c r="BJ36" i="2" s="1"/>
  <c r="BK36" i="2" s="1"/>
  <c r="BL36" i="2" s="1"/>
  <c r="BM36" i="2" s="1"/>
  <c r="BN36" i="2" s="1"/>
  <c r="BO36" i="2" s="1"/>
  <c r="Q36" i="2"/>
  <c r="P36" i="2"/>
  <c r="O36" i="2"/>
  <c r="N36" i="2"/>
  <c r="M36" i="2"/>
  <c r="L36" i="2"/>
  <c r="K36" i="2"/>
  <c r="J36" i="2"/>
  <c r="I36" i="2"/>
  <c r="H36" i="2"/>
  <c r="G36" i="2"/>
  <c r="R35" i="2"/>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AO35" i="2" s="1"/>
  <c r="AP35" i="2" s="1"/>
  <c r="AQ35" i="2" s="1"/>
  <c r="AR35" i="2" s="1"/>
  <c r="AS35" i="2" s="1"/>
  <c r="AT35" i="2" s="1"/>
  <c r="AU35" i="2" s="1"/>
  <c r="AV35" i="2" s="1"/>
  <c r="AW35" i="2" s="1"/>
  <c r="AX35" i="2" s="1"/>
  <c r="AY35" i="2" s="1"/>
  <c r="AZ35" i="2" s="1"/>
  <c r="BA35" i="2" s="1"/>
  <c r="BB35" i="2" s="1"/>
  <c r="BC35" i="2" s="1"/>
  <c r="BD35" i="2" s="1"/>
  <c r="BE35" i="2" s="1"/>
  <c r="BF35" i="2" s="1"/>
  <c r="BG35" i="2" s="1"/>
  <c r="BH35" i="2" s="1"/>
  <c r="BI35" i="2" s="1"/>
  <c r="BJ35" i="2" s="1"/>
  <c r="BK35" i="2" s="1"/>
  <c r="BL35" i="2" s="1"/>
  <c r="BM35" i="2" s="1"/>
  <c r="BN35" i="2" s="1"/>
  <c r="BO35" i="2" s="1"/>
  <c r="Q35" i="2"/>
  <c r="P35" i="2"/>
  <c r="O35" i="2"/>
  <c r="N35" i="2"/>
  <c r="M35" i="2"/>
  <c r="L35" i="2"/>
  <c r="K35" i="2"/>
  <c r="J35" i="2"/>
  <c r="I35" i="2"/>
  <c r="H35" i="2"/>
  <c r="G35" i="2"/>
  <c r="R34" i="2"/>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AO34" i="2" s="1"/>
  <c r="AP34" i="2" s="1"/>
  <c r="AQ34" i="2" s="1"/>
  <c r="AR34" i="2" s="1"/>
  <c r="AS34" i="2" s="1"/>
  <c r="AT34" i="2" s="1"/>
  <c r="AU34" i="2" s="1"/>
  <c r="AV34" i="2" s="1"/>
  <c r="AW34" i="2" s="1"/>
  <c r="AX34" i="2" s="1"/>
  <c r="AY34" i="2" s="1"/>
  <c r="AZ34" i="2" s="1"/>
  <c r="BA34" i="2" s="1"/>
  <c r="BB34" i="2" s="1"/>
  <c r="BC34" i="2" s="1"/>
  <c r="BD34" i="2" s="1"/>
  <c r="BE34" i="2" s="1"/>
  <c r="BF34" i="2" s="1"/>
  <c r="BG34" i="2" s="1"/>
  <c r="BH34" i="2" s="1"/>
  <c r="BI34" i="2" s="1"/>
  <c r="BJ34" i="2" s="1"/>
  <c r="BK34" i="2" s="1"/>
  <c r="BL34" i="2" s="1"/>
  <c r="BM34" i="2" s="1"/>
  <c r="BN34" i="2" s="1"/>
  <c r="BO34" i="2" s="1"/>
  <c r="Q34" i="2"/>
  <c r="P34" i="2"/>
  <c r="O34" i="2"/>
  <c r="N34" i="2"/>
  <c r="M34" i="2"/>
  <c r="L34" i="2"/>
  <c r="K34" i="2"/>
  <c r="J34" i="2"/>
  <c r="I34" i="2"/>
  <c r="H34" i="2"/>
  <c r="G34" i="2"/>
  <c r="R33" i="2"/>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AO33" i="2" s="1"/>
  <c r="AP33" i="2" s="1"/>
  <c r="AQ33" i="2" s="1"/>
  <c r="AR33" i="2" s="1"/>
  <c r="AS33" i="2" s="1"/>
  <c r="AT33" i="2" s="1"/>
  <c r="AU33" i="2" s="1"/>
  <c r="AV33" i="2" s="1"/>
  <c r="AW33" i="2" s="1"/>
  <c r="AX33" i="2" s="1"/>
  <c r="AY33" i="2" s="1"/>
  <c r="AZ33" i="2" s="1"/>
  <c r="BA33" i="2" s="1"/>
  <c r="BB33" i="2" s="1"/>
  <c r="BC33" i="2" s="1"/>
  <c r="BD33" i="2" s="1"/>
  <c r="BE33" i="2" s="1"/>
  <c r="BF33" i="2" s="1"/>
  <c r="BG33" i="2" s="1"/>
  <c r="BH33" i="2" s="1"/>
  <c r="BI33" i="2" s="1"/>
  <c r="BJ33" i="2" s="1"/>
  <c r="BK33" i="2" s="1"/>
  <c r="BL33" i="2" s="1"/>
  <c r="BM33" i="2" s="1"/>
  <c r="BN33" i="2" s="1"/>
  <c r="BO33" i="2" s="1"/>
  <c r="Q33" i="2"/>
  <c r="P33" i="2"/>
  <c r="O33" i="2"/>
  <c r="N33" i="2"/>
  <c r="M33" i="2"/>
  <c r="L33" i="2"/>
  <c r="K33" i="2"/>
  <c r="J33" i="2"/>
  <c r="I33" i="2"/>
  <c r="H33" i="2"/>
  <c r="G33" i="2"/>
  <c r="R32" i="2"/>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AO32" i="2" s="1"/>
  <c r="AP32" i="2" s="1"/>
  <c r="AQ32" i="2" s="1"/>
  <c r="AR32" i="2" s="1"/>
  <c r="AS32" i="2" s="1"/>
  <c r="AT32" i="2" s="1"/>
  <c r="AU32" i="2" s="1"/>
  <c r="AV32" i="2" s="1"/>
  <c r="AW32" i="2" s="1"/>
  <c r="AX32" i="2" s="1"/>
  <c r="AY32" i="2" s="1"/>
  <c r="AZ32" i="2" s="1"/>
  <c r="BA32" i="2" s="1"/>
  <c r="BB32" i="2" s="1"/>
  <c r="BC32" i="2" s="1"/>
  <c r="BD32" i="2" s="1"/>
  <c r="BE32" i="2" s="1"/>
  <c r="BF32" i="2" s="1"/>
  <c r="BG32" i="2" s="1"/>
  <c r="BH32" i="2" s="1"/>
  <c r="BI32" i="2" s="1"/>
  <c r="BJ32" i="2" s="1"/>
  <c r="BK32" i="2" s="1"/>
  <c r="BL32" i="2" s="1"/>
  <c r="BM32" i="2" s="1"/>
  <c r="BN32" i="2" s="1"/>
  <c r="BO32" i="2" s="1"/>
  <c r="Q32" i="2"/>
  <c r="P32" i="2"/>
  <c r="O32" i="2"/>
  <c r="N32" i="2"/>
  <c r="M32" i="2"/>
  <c r="L32" i="2"/>
  <c r="K32" i="2"/>
  <c r="J32" i="2"/>
  <c r="I32" i="2"/>
  <c r="H32" i="2"/>
  <c r="G32" i="2"/>
  <c r="R31" i="2"/>
  <c r="T31" i="2" s="1"/>
  <c r="U31" i="2" s="1"/>
  <c r="V31" i="2" s="1"/>
  <c r="W31" i="2" s="1"/>
  <c r="X31" i="2" s="1"/>
  <c r="Y31" i="2" s="1"/>
  <c r="Z31" i="2" s="1"/>
  <c r="AA31" i="2" s="1"/>
  <c r="AB31" i="2" s="1"/>
  <c r="AC31" i="2" s="1"/>
  <c r="AD31" i="2" s="1"/>
  <c r="AE31" i="2" s="1"/>
  <c r="AF31" i="2" s="1"/>
  <c r="AG31" i="2" s="1"/>
  <c r="AH31" i="2" s="1"/>
  <c r="AI31" i="2" s="1"/>
  <c r="AJ31" i="2" s="1"/>
  <c r="AK31" i="2" s="1"/>
  <c r="AL31" i="2" s="1"/>
  <c r="AM31" i="2" s="1"/>
  <c r="AN31" i="2" s="1"/>
  <c r="AO31" i="2" s="1"/>
  <c r="AP31" i="2" s="1"/>
  <c r="AQ31" i="2" s="1"/>
  <c r="AR31" i="2" s="1"/>
  <c r="AS31" i="2" s="1"/>
  <c r="AT31" i="2" s="1"/>
  <c r="AU31" i="2" s="1"/>
  <c r="AV31" i="2" s="1"/>
  <c r="AW31" i="2" s="1"/>
  <c r="AX31" i="2" s="1"/>
  <c r="AY31" i="2" s="1"/>
  <c r="AZ31" i="2" s="1"/>
  <c r="BA31" i="2" s="1"/>
  <c r="BB31" i="2" s="1"/>
  <c r="BC31" i="2" s="1"/>
  <c r="BD31" i="2" s="1"/>
  <c r="BE31" i="2" s="1"/>
  <c r="BF31" i="2" s="1"/>
  <c r="BG31" i="2" s="1"/>
  <c r="BH31" i="2" s="1"/>
  <c r="BI31" i="2" s="1"/>
  <c r="BJ31" i="2" s="1"/>
  <c r="BK31" i="2" s="1"/>
  <c r="BL31" i="2" s="1"/>
  <c r="BM31" i="2" s="1"/>
  <c r="BN31" i="2" s="1"/>
  <c r="BO31" i="2" s="1"/>
  <c r="Q31" i="2"/>
  <c r="P31" i="2"/>
  <c r="O31" i="2"/>
  <c r="N31" i="2"/>
  <c r="M31" i="2"/>
  <c r="L31" i="2"/>
  <c r="K31" i="2"/>
  <c r="J31" i="2"/>
  <c r="I31" i="2"/>
  <c r="H31" i="2"/>
  <c r="G31" i="2"/>
  <c r="R30" i="2"/>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AO30" i="2" s="1"/>
  <c r="AP30" i="2" s="1"/>
  <c r="AQ30" i="2" s="1"/>
  <c r="AR30" i="2" s="1"/>
  <c r="AS30" i="2" s="1"/>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Q30" i="2"/>
  <c r="P30" i="2"/>
  <c r="O30" i="2"/>
  <c r="N30" i="2"/>
  <c r="M30" i="2"/>
  <c r="L30" i="2"/>
  <c r="K30" i="2"/>
  <c r="J30" i="2"/>
  <c r="I30" i="2"/>
  <c r="H30" i="2"/>
  <c r="G30" i="2"/>
  <c r="R29" i="2"/>
  <c r="T29" i="2" s="1"/>
  <c r="U29" i="2" s="1"/>
  <c r="V29" i="2" s="1"/>
  <c r="W29" i="2" s="1"/>
  <c r="X29" i="2" s="1"/>
  <c r="Y29" i="2" s="1"/>
  <c r="Z29" i="2" s="1"/>
  <c r="AA29" i="2" s="1"/>
  <c r="AB29" i="2" s="1"/>
  <c r="AC29" i="2" s="1"/>
  <c r="AD29" i="2" s="1"/>
  <c r="AE29" i="2" s="1"/>
  <c r="AF29" i="2" s="1"/>
  <c r="AG29" i="2" s="1"/>
  <c r="AH29" i="2" s="1"/>
  <c r="AI29" i="2" s="1"/>
  <c r="AJ29" i="2" s="1"/>
  <c r="AK29" i="2" s="1"/>
  <c r="AL29" i="2" s="1"/>
  <c r="AM29" i="2" s="1"/>
  <c r="AN29" i="2" s="1"/>
  <c r="AO29" i="2" s="1"/>
  <c r="AP29" i="2" s="1"/>
  <c r="AQ29" i="2" s="1"/>
  <c r="AR29" i="2" s="1"/>
  <c r="AS29" i="2" s="1"/>
  <c r="AT29" i="2" s="1"/>
  <c r="AU29" i="2" s="1"/>
  <c r="AV29" i="2" s="1"/>
  <c r="AW29" i="2" s="1"/>
  <c r="AX29" i="2" s="1"/>
  <c r="AY29" i="2" s="1"/>
  <c r="AZ29" i="2" s="1"/>
  <c r="BA29" i="2" s="1"/>
  <c r="BB29" i="2" s="1"/>
  <c r="BC29" i="2" s="1"/>
  <c r="BD29" i="2" s="1"/>
  <c r="BE29" i="2" s="1"/>
  <c r="BF29" i="2" s="1"/>
  <c r="BG29" i="2" s="1"/>
  <c r="BH29" i="2" s="1"/>
  <c r="BI29" i="2" s="1"/>
  <c r="BJ29" i="2" s="1"/>
  <c r="BK29" i="2" s="1"/>
  <c r="BL29" i="2" s="1"/>
  <c r="BM29" i="2" s="1"/>
  <c r="BN29" i="2" s="1"/>
  <c r="BO29" i="2" s="1"/>
  <c r="Q29" i="2"/>
  <c r="P29" i="2"/>
  <c r="O29" i="2"/>
  <c r="N29" i="2"/>
  <c r="M29" i="2"/>
  <c r="L29" i="2"/>
  <c r="K29" i="2"/>
  <c r="J29" i="2"/>
  <c r="I29" i="2"/>
  <c r="H29" i="2"/>
  <c r="G29" i="2"/>
  <c r="R28" i="2"/>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AO28" i="2" s="1"/>
  <c r="AP28" i="2" s="1"/>
  <c r="AQ28" i="2" s="1"/>
  <c r="AR28" i="2" s="1"/>
  <c r="AS28" i="2" s="1"/>
  <c r="AT28" i="2" s="1"/>
  <c r="AU28" i="2" s="1"/>
  <c r="AV28" i="2" s="1"/>
  <c r="AW28" i="2" s="1"/>
  <c r="AX28" i="2" s="1"/>
  <c r="AY28" i="2" s="1"/>
  <c r="AZ28" i="2" s="1"/>
  <c r="BA28" i="2" s="1"/>
  <c r="BB28" i="2" s="1"/>
  <c r="BC28" i="2" s="1"/>
  <c r="BD28" i="2" s="1"/>
  <c r="BE28" i="2" s="1"/>
  <c r="BF28" i="2" s="1"/>
  <c r="BG28" i="2" s="1"/>
  <c r="BH28" i="2" s="1"/>
  <c r="BI28" i="2" s="1"/>
  <c r="BJ28" i="2" s="1"/>
  <c r="BK28" i="2" s="1"/>
  <c r="BL28" i="2" s="1"/>
  <c r="BM28" i="2" s="1"/>
  <c r="BN28" i="2" s="1"/>
  <c r="BO28" i="2" s="1"/>
  <c r="Q28" i="2"/>
  <c r="P28" i="2"/>
  <c r="O28" i="2"/>
  <c r="N28" i="2"/>
  <c r="M28" i="2"/>
  <c r="L28" i="2"/>
  <c r="K28" i="2"/>
  <c r="J28" i="2"/>
  <c r="I28" i="2"/>
  <c r="H28" i="2"/>
  <c r="G28" i="2"/>
  <c r="R27" i="2"/>
  <c r="T27" i="2" s="1"/>
  <c r="U27" i="2" s="1"/>
  <c r="V27" i="2" s="1"/>
  <c r="W27" i="2" s="1"/>
  <c r="Q27" i="2"/>
  <c r="P27" i="2"/>
  <c r="O27" i="2"/>
  <c r="N27" i="2"/>
  <c r="M27" i="2"/>
  <c r="L27" i="2"/>
  <c r="K27" i="2"/>
  <c r="J27" i="2"/>
  <c r="I27" i="2"/>
  <c r="H27" i="2"/>
  <c r="G27" i="2"/>
  <c r="R26" i="2"/>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AO26" i="2" s="1"/>
  <c r="AP26" i="2" s="1"/>
  <c r="AQ26" i="2" s="1"/>
  <c r="AR26" i="2" s="1"/>
  <c r="AS26" i="2" s="1"/>
  <c r="AT26" i="2" s="1"/>
  <c r="AU26" i="2" s="1"/>
  <c r="AV26" i="2" s="1"/>
  <c r="AW26" i="2" s="1"/>
  <c r="AX26" i="2" s="1"/>
  <c r="AY26" i="2" s="1"/>
  <c r="AZ26" i="2" s="1"/>
  <c r="BA26" i="2" s="1"/>
  <c r="BB26" i="2" s="1"/>
  <c r="BC26" i="2" s="1"/>
  <c r="BD26" i="2" s="1"/>
  <c r="BE26" i="2" s="1"/>
  <c r="BF26" i="2" s="1"/>
  <c r="BG26" i="2" s="1"/>
  <c r="BH26" i="2" s="1"/>
  <c r="BI26" i="2" s="1"/>
  <c r="BJ26" i="2" s="1"/>
  <c r="BK26" i="2" s="1"/>
  <c r="BL26" i="2" s="1"/>
  <c r="BM26" i="2" s="1"/>
  <c r="BN26" i="2" s="1"/>
  <c r="BO26" i="2" s="1"/>
  <c r="Q26" i="2"/>
  <c r="P26" i="2"/>
  <c r="O26" i="2"/>
  <c r="N26" i="2"/>
  <c r="M26" i="2"/>
  <c r="L26" i="2"/>
  <c r="K26" i="2"/>
  <c r="J26" i="2"/>
  <c r="I26" i="2"/>
  <c r="H26" i="2"/>
  <c r="G26" i="2"/>
  <c r="R25" i="2"/>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AO25" i="2" s="1"/>
  <c r="AP25" i="2" s="1"/>
  <c r="AQ25" i="2" s="1"/>
  <c r="AR25" i="2" s="1"/>
  <c r="AS25" i="2" s="1"/>
  <c r="AT25" i="2" s="1"/>
  <c r="AU25" i="2" s="1"/>
  <c r="AV25" i="2" s="1"/>
  <c r="AW25" i="2" s="1"/>
  <c r="AX25" i="2" s="1"/>
  <c r="AY25" i="2" s="1"/>
  <c r="AZ25" i="2" s="1"/>
  <c r="BA25" i="2" s="1"/>
  <c r="BB25" i="2" s="1"/>
  <c r="BC25" i="2" s="1"/>
  <c r="BD25" i="2" s="1"/>
  <c r="BE25" i="2" s="1"/>
  <c r="BF25" i="2" s="1"/>
  <c r="BG25" i="2" s="1"/>
  <c r="BH25" i="2" s="1"/>
  <c r="BI25" i="2" s="1"/>
  <c r="BJ25" i="2" s="1"/>
  <c r="BK25" i="2" s="1"/>
  <c r="BL25" i="2" s="1"/>
  <c r="BM25" i="2" s="1"/>
  <c r="BN25" i="2" s="1"/>
  <c r="BO25" i="2" s="1"/>
  <c r="Q25" i="2"/>
  <c r="P25" i="2"/>
  <c r="O25" i="2"/>
  <c r="N25" i="2"/>
  <c r="M25" i="2"/>
  <c r="L25" i="2"/>
  <c r="K25" i="2"/>
  <c r="J25" i="2"/>
  <c r="I25" i="2"/>
  <c r="H25" i="2"/>
  <c r="G25" i="2"/>
  <c r="R24" i="2"/>
  <c r="T24" i="2" s="1"/>
  <c r="U24" i="2" s="1"/>
  <c r="V24" i="2" s="1"/>
  <c r="W24" i="2" s="1"/>
  <c r="X24" i="2" s="1"/>
  <c r="Q24" i="2"/>
  <c r="P24" i="2"/>
  <c r="O24" i="2"/>
  <c r="N24" i="2"/>
  <c r="M24" i="2"/>
  <c r="L24" i="2"/>
  <c r="K24" i="2"/>
  <c r="J24" i="2"/>
  <c r="I24" i="2"/>
  <c r="H24" i="2"/>
  <c r="G24" i="2"/>
  <c r="S98" i="1"/>
  <c r="T90" i="1"/>
  <c r="M70" i="1"/>
  <c r="G70" i="1"/>
  <c r="Q65" i="1"/>
  <c r="R65" i="1" s="1"/>
  <c r="S65" i="1" s="1"/>
  <c r="T65" i="1" s="1"/>
  <c r="U65" i="1" s="1"/>
  <c r="V65" i="1" s="1"/>
  <c r="W65" i="1" s="1"/>
  <c r="X65" i="1" s="1"/>
  <c r="Y65" i="1" s="1"/>
  <c r="Z65" i="1" s="1"/>
  <c r="AA65" i="1" s="1"/>
  <c r="AB65" i="1" s="1"/>
  <c r="AC65" i="1" s="1"/>
  <c r="AD65" i="1" s="1"/>
  <c r="AE65" i="1" s="1"/>
  <c r="AF65" i="1" s="1"/>
  <c r="AG65" i="1" s="1"/>
  <c r="AH65" i="1" s="1"/>
  <c r="AI65" i="1" s="1"/>
  <c r="AJ65" i="1" s="1"/>
  <c r="AK65" i="1" s="1"/>
  <c r="AL65" i="1" s="1"/>
  <c r="AM65" i="1" s="1"/>
  <c r="AN65" i="1" s="1"/>
  <c r="AO65" i="1" s="1"/>
  <c r="AP65" i="1" s="1"/>
  <c r="AQ65" i="1" s="1"/>
  <c r="AR65" i="1" s="1"/>
  <c r="AS65" i="1" s="1"/>
  <c r="AT65" i="1" s="1"/>
  <c r="AU65" i="1" s="1"/>
  <c r="AV65" i="1" s="1"/>
  <c r="AW65" i="1" s="1"/>
  <c r="O65" i="1"/>
  <c r="M65" i="1"/>
  <c r="G65" i="1"/>
  <c r="Q64" i="1"/>
  <c r="R64" i="1" s="1"/>
  <c r="S64" i="1" s="1"/>
  <c r="T64" i="1" s="1"/>
  <c r="U64" i="1" s="1"/>
  <c r="V64" i="1" s="1"/>
  <c r="W64" i="1" s="1"/>
  <c r="X64" i="1" s="1"/>
  <c r="Y64" i="1" s="1"/>
  <c r="Z64" i="1" s="1"/>
  <c r="AA64" i="1" s="1"/>
  <c r="AB64" i="1" s="1"/>
  <c r="AC64" i="1" s="1"/>
  <c r="AD64" i="1" s="1"/>
  <c r="AE64" i="1" s="1"/>
  <c r="AF64" i="1" s="1"/>
  <c r="AG64" i="1" s="1"/>
  <c r="AH64" i="1" s="1"/>
  <c r="AI64" i="1" s="1"/>
  <c r="AJ64" i="1" s="1"/>
  <c r="AK64" i="1" s="1"/>
  <c r="AL64" i="1" s="1"/>
  <c r="AM64" i="1" s="1"/>
  <c r="AN64" i="1" s="1"/>
  <c r="AO64" i="1" s="1"/>
  <c r="AP64" i="1" s="1"/>
  <c r="AQ64" i="1" s="1"/>
  <c r="AR64" i="1" s="1"/>
  <c r="AS64" i="1" s="1"/>
  <c r="AT64" i="1" s="1"/>
  <c r="AU64" i="1" s="1"/>
  <c r="AV64" i="1" s="1"/>
  <c r="AW64" i="1" s="1"/>
  <c r="O64" i="1"/>
  <c r="M64" i="1"/>
  <c r="G64" i="1"/>
  <c r="M61" i="1"/>
  <c r="G61"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AW23" i="1"/>
  <c r="AV23" i="1"/>
  <c r="AU23" i="1"/>
  <c r="AT23" i="1"/>
  <c r="AS23"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AW17" i="1"/>
  <c r="AV17" i="1"/>
  <c r="AU17" i="1"/>
  <c r="AU25" i="1" s="1"/>
  <c r="AT17" i="1"/>
  <c r="AS17" i="1"/>
  <c r="AR17" i="1"/>
  <c r="AQ17" i="1"/>
  <c r="AP17" i="1"/>
  <c r="AO17" i="1"/>
  <c r="AN17" i="1"/>
  <c r="AM17" i="1"/>
  <c r="AM25" i="1" s="1"/>
  <c r="AL17" i="1"/>
  <c r="AK17" i="1"/>
  <c r="AJ17" i="1"/>
  <c r="AI17" i="1"/>
  <c r="AH17" i="1"/>
  <c r="AG17" i="1"/>
  <c r="AF17" i="1"/>
  <c r="AE17" i="1"/>
  <c r="AE25" i="1" s="1"/>
  <c r="AD17" i="1"/>
  <c r="AC17" i="1"/>
  <c r="AB17" i="1"/>
  <c r="AA17" i="1"/>
  <c r="Z17" i="1"/>
  <c r="Y17" i="1"/>
  <c r="X17" i="1"/>
  <c r="W17" i="1"/>
  <c r="W25" i="1" s="1"/>
  <c r="V17" i="1"/>
  <c r="U17" i="1"/>
  <c r="T17" i="1"/>
  <c r="S17" i="1"/>
  <c r="R17" i="1"/>
  <c r="Q17" i="1"/>
  <c r="P17" i="1"/>
  <c r="O17" i="1"/>
  <c r="O25" i="1" s="1"/>
  <c r="N17" i="1"/>
  <c r="M17" i="1"/>
  <c r="L17" i="1"/>
  <c r="K17" i="1"/>
  <c r="J17" i="1"/>
  <c r="I17" i="1"/>
  <c r="X25" i="1" l="1"/>
  <c r="AN25" i="1"/>
  <c r="I25" i="1"/>
  <c r="Q25" i="1"/>
  <c r="Y25" i="1"/>
  <c r="AG25" i="1"/>
  <c r="AO25" i="1"/>
  <c r="AW25" i="1"/>
  <c r="H303" i="4"/>
  <c r="H311" i="4"/>
  <c r="AH25" i="1"/>
  <c r="H256" i="4"/>
  <c r="I303" i="4"/>
  <c r="I311" i="4"/>
  <c r="J25" i="1"/>
  <c r="Z25" i="1"/>
  <c r="AA25" i="1"/>
  <c r="AQ25" i="1"/>
  <c r="M174" i="4"/>
  <c r="I179" i="4"/>
  <c r="M180" i="4"/>
  <c r="T25" i="1"/>
  <c r="AR25" i="1"/>
  <c r="M81" i="1"/>
  <c r="N102" i="4"/>
  <c r="J175" i="4"/>
  <c r="J177" i="4"/>
  <c r="J179" i="4"/>
  <c r="J181" i="4"/>
  <c r="I223" i="4"/>
  <c r="J256" i="4"/>
  <c r="K303" i="4"/>
  <c r="K311" i="4"/>
  <c r="P25" i="1"/>
  <c r="AV25" i="1"/>
  <c r="K25" i="1"/>
  <c r="S25" i="1"/>
  <c r="AI25" i="1"/>
  <c r="G81" i="1"/>
  <c r="M37" i="4"/>
  <c r="M102" i="4"/>
  <c r="I175" i="4"/>
  <c r="M176" i="4"/>
  <c r="I177" i="4"/>
  <c r="M178" i="4"/>
  <c r="I181" i="4"/>
  <c r="M184" i="4"/>
  <c r="I256" i="4"/>
  <c r="J303" i="4"/>
  <c r="J311" i="4"/>
  <c r="L25" i="1"/>
  <c r="AB25" i="1"/>
  <c r="AJ25" i="1"/>
  <c r="M25" i="1"/>
  <c r="U25" i="1"/>
  <c r="AC25" i="1"/>
  <c r="AK25" i="1"/>
  <c r="AS25" i="1"/>
  <c r="J223" i="4"/>
  <c r="K256" i="4"/>
  <c r="AF25" i="1"/>
  <c r="R25" i="1"/>
  <c r="AP25" i="1"/>
  <c r="N25" i="1"/>
  <c r="V25" i="1"/>
  <c r="AD25" i="1"/>
  <c r="AL25" i="1"/>
  <c r="AT25" i="1"/>
  <c r="H172" i="4"/>
  <c r="L256" i="4"/>
  <c r="U189" i="2"/>
  <c r="V189" i="2"/>
  <c r="W189" i="2"/>
  <c r="X189" i="2"/>
  <c r="Y189" i="2"/>
  <c r="Z189" i="2"/>
  <c r="AA189" i="2"/>
  <c r="AB189" i="2"/>
  <c r="AC189" i="2"/>
  <c r="AD189" i="2"/>
  <c r="AE189" i="2"/>
  <c r="AG190" i="2"/>
  <c r="AH190" i="2" s="1"/>
  <c r="AI190" i="2" s="1"/>
  <c r="AJ190" i="2" s="1"/>
  <c r="AK190" i="2" s="1"/>
  <c r="AL190" i="2" s="1"/>
  <c r="AM190" i="2" s="1"/>
  <c r="AN190" i="2" s="1"/>
  <c r="AO190" i="2" s="1"/>
  <c r="AP190" i="2" s="1"/>
  <c r="AQ190" i="2" s="1"/>
  <c r="AR190" i="2" s="1"/>
  <c r="AS190" i="2" s="1"/>
  <c r="AT190" i="2" s="1"/>
  <c r="AU190" i="2" s="1"/>
  <c r="AV190" i="2" s="1"/>
  <c r="AW190" i="2" s="1"/>
  <c r="AX190" i="2" s="1"/>
  <c r="AY190" i="2" s="1"/>
  <c r="AZ190" i="2" s="1"/>
  <c r="BA190" i="2" s="1"/>
  <c r="BB190" i="2" s="1"/>
  <c r="BC190" i="2" s="1"/>
  <c r="BD190" i="2" s="1"/>
  <c r="BE190" i="2" s="1"/>
  <c r="BF190" i="2" s="1"/>
  <c r="BG190" i="2" s="1"/>
  <c r="BH190" i="2" s="1"/>
  <c r="BI190" i="2" s="1"/>
  <c r="BJ190" i="2" s="1"/>
  <c r="BK190" i="2" s="1"/>
  <c r="BL190" i="2" s="1"/>
  <c r="BM190" i="2" s="1"/>
  <c r="BN190" i="2" s="1"/>
  <c r="BO190" i="2" s="1"/>
  <c r="U190" i="2"/>
  <c r="V190" i="2"/>
  <c r="W190" i="2"/>
  <c r="X190" i="2"/>
  <c r="Y190" i="2"/>
  <c r="Z190" i="2"/>
  <c r="AA190" i="2"/>
  <c r="AB190" i="2"/>
  <c r="AC190" i="2"/>
  <c r="AD190" i="2"/>
  <c r="AE190" i="2"/>
  <c r="T190" i="2"/>
  <c r="U192" i="2"/>
  <c r="V192" i="2"/>
  <c r="W192" i="2"/>
  <c r="X192" i="2"/>
  <c r="Y192" i="2"/>
  <c r="Z192" i="2"/>
  <c r="AA192" i="2"/>
  <c r="AB192" i="2"/>
  <c r="AC192" i="2"/>
  <c r="AD192" i="2"/>
  <c r="AE192" i="2"/>
  <c r="T192" i="2"/>
  <c r="AG193" i="2"/>
  <c r="AH193" i="2" s="1"/>
  <c r="AI193" i="2" s="1"/>
  <c r="AJ193" i="2" s="1"/>
  <c r="AK193" i="2" s="1"/>
  <c r="AL193" i="2" s="1"/>
  <c r="AM193" i="2" s="1"/>
  <c r="AN193" i="2" s="1"/>
  <c r="AO193" i="2" s="1"/>
  <c r="AP193" i="2" s="1"/>
  <c r="AQ193" i="2" s="1"/>
  <c r="AR193" i="2" s="1"/>
  <c r="AS193" i="2" s="1"/>
  <c r="AT193" i="2" s="1"/>
  <c r="AU193" i="2" s="1"/>
  <c r="AV193" i="2" s="1"/>
  <c r="AW193" i="2" s="1"/>
  <c r="AX193" i="2" s="1"/>
  <c r="AY193" i="2" s="1"/>
  <c r="AZ193" i="2" s="1"/>
  <c r="BA193" i="2" s="1"/>
  <c r="BB193" i="2" s="1"/>
  <c r="BC193" i="2" s="1"/>
  <c r="BD193" i="2" s="1"/>
  <c r="BE193" i="2" s="1"/>
  <c r="BF193" i="2" s="1"/>
  <c r="BG193" i="2" s="1"/>
  <c r="BH193" i="2" s="1"/>
  <c r="BI193" i="2" s="1"/>
  <c r="BJ193" i="2" s="1"/>
  <c r="BK193" i="2" s="1"/>
  <c r="BL193" i="2" s="1"/>
  <c r="BM193" i="2" s="1"/>
  <c r="BN193" i="2" s="1"/>
  <c r="BO193" i="2" s="1"/>
  <c r="U193" i="2"/>
  <c r="V193" i="2"/>
  <c r="W193" i="2"/>
  <c r="X193" i="2"/>
  <c r="Y193" i="2"/>
  <c r="Z193" i="2"/>
  <c r="AA193" i="2"/>
  <c r="AB193" i="2"/>
  <c r="AC193" i="2"/>
  <c r="AD193" i="2"/>
  <c r="AE193" i="2"/>
  <c r="T193" i="2"/>
  <c r="AG194" i="2"/>
  <c r="AH194" i="2" s="1"/>
  <c r="AI194" i="2" s="1"/>
  <c r="AJ194" i="2" s="1"/>
  <c r="AK194" i="2" s="1"/>
  <c r="AL194" i="2" s="1"/>
  <c r="AM194" i="2" s="1"/>
  <c r="AN194" i="2" s="1"/>
  <c r="AO194" i="2" s="1"/>
  <c r="AP194" i="2" s="1"/>
  <c r="AQ194" i="2" s="1"/>
  <c r="AR194" i="2" s="1"/>
  <c r="AS194" i="2" s="1"/>
  <c r="AT194" i="2" s="1"/>
  <c r="AU194" i="2" s="1"/>
  <c r="AV194" i="2" s="1"/>
  <c r="AW194" i="2" s="1"/>
  <c r="AX194" i="2" s="1"/>
  <c r="AY194" i="2" s="1"/>
  <c r="AZ194" i="2" s="1"/>
  <c r="BA194" i="2" s="1"/>
  <c r="BB194" i="2" s="1"/>
  <c r="BC194" i="2" s="1"/>
  <c r="BD194" i="2" s="1"/>
  <c r="BE194" i="2" s="1"/>
  <c r="BF194" i="2" s="1"/>
  <c r="BG194" i="2" s="1"/>
  <c r="BH194" i="2" s="1"/>
  <c r="BI194" i="2" s="1"/>
  <c r="BJ194" i="2" s="1"/>
  <c r="BK194" i="2" s="1"/>
  <c r="BL194" i="2" s="1"/>
  <c r="BM194" i="2" s="1"/>
  <c r="BN194" i="2" s="1"/>
  <c r="BO194" i="2" s="1"/>
  <c r="U194" i="2"/>
  <c r="V194" i="2"/>
  <c r="W194" i="2"/>
  <c r="X194" i="2"/>
  <c r="Y194" i="2"/>
  <c r="Z194" i="2"/>
  <c r="AA194" i="2"/>
  <c r="AB194" i="2"/>
  <c r="AC194" i="2"/>
  <c r="AD194" i="2"/>
  <c r="AE194" i="2"/>
  <c r="T194" i="2"/>
  <c r="AG195" i="2"/>
  <c r="AH195" i="2" s="1"/>
  <c r="AI195" i="2" s="1"/>
  <c r="AJ195" i="2" s="1"/>
  <c r="AK195" i="2" s="1"/>
  <c r="AL195" i="2" s="1"/>
  <c r="AM195" i="2" s="1"/>
  <c r="AN195" i="2" s="1"/>
  <c r="AO195" i="2" s="1"/>
  <c r="AP195" i="2" s="1"/>
  <c r="AQ195" i="2" s="1"/>
  <c r="AR195" i="2" s="1"/>
  <c r="AS195" i="2" s="1"/>
  <c r="AT195" i="2" s="1"/>
  <c r="AU195" i="2" s="1"/>
  <c r="AV195" i="2" s="1"/>
  <c r="AW195" i="2" s="1"/>
  <c r="AX195" i="2" s="1"/>
  <c r="AY195" i="2" s="1"/>
  <c r="AZ195" i="2" s="1"/>
  <c r="BA195" i="2" s="1"/>
  <c r="BB195" i="2" s="1"/>
  <c r="BC195" i="2" s="1"/>
  <c r="BD195" i="2" s="1"/>
  <c r="BE195" i="2" s="1"/>
  <c r="BF195" i="2" s="1"/>
  <c r="BG195" i="2" s="1"/>
  <c r="BH195" i="2" s="1"/>
  <c r="BI195" i="2" s="1"/>
  <c r="BJ195" i="2" s="1"/>
  <c r="BK195" i="2" s="1"/>
  <c r="BL195" i="2" s="1"/>
  <c r="BM195" i="2" s="1"/>
  <c r="BN195" i="2" s="1"/>
  <c r="BO195" i="2" s="1"/>
  <c r="U195" i="2"/>
  <c r="V195" i="2"/>
  <c r="W195" i="2"/>
  <c r="X195" i="2"/>
  <c r="Y195" i="2"/>
  <c r="Z195" i="2"/>
  <c r="AA195" i="2"/>
  <c r="AB195" i="2"/>
  <c r="AC195" i="2"/>
  <c r="AD195" i="2"/>
  <c r="AE195" i="2"/>
  <c r="T195" i="2"/>
  <c r="AG197" i="2"/>
  <c r="AH197" i="2" s="1"/>
  <c r="AI197" i="2" s="1"/>
  <c r="AJ197" i="2" s="1"/>
  <c r="AK197" i="2" s="1"/>
  <c r="AL197" i="2" s="1"/>
  <c r="AM197" i="2" s="1"/>
  <c r="AN197" i="2" s="1"/>
  <c r="AO197" i="2" s="1"/>
  <c r="AP197" i="2" s="1"/>
  <c r="AQ197" i="2" s="1"/>
  <c r="AR197" i="2" s="1"/>
  <c r="AS197" i="2" s="1"/>
  <c r="AT197" i="2" s="1"/>
  <c r="AU197" i="2" s="1"/>
  <c r="AV197" i="2" s="1"/>
  <c r="AW197" i="2" s="1"/>
  <c r="AX197" i="2" s="1"/>
  <c r="AY197" i="2" s="1"/>
  <c r="AZ197" i="2" s="1"/>
  <c r="BA197" i="2" s="1"/>
  <c r="BB197" i="2" s="1"/>
  <c r="BC197" i="2" s="1"/>
  <c r="BD197" i="2" s="1"/>
  <c r="BE197" i="2" s="1"/>
  <c r="BF197" i="2" s="1"/>
  <c r="BG197" i="2" s="1"/>
  <c r="BH197" i="2" s="1"/>
  <c r="BI197" i="2" s="1"/>
  <c r="BJ197" i="2" s="1"/>
  <c r="BK197" i="2" s="1"/>
  <c r="BL197" i="2" s="1"/>
  <c r="BM197" i="2" s="1"/>
  <c r="BN197" i="2" s="1"/>
  <c r="BO197" i="2" s="1"/>
  <c r="U197" i="2"/>
  <c r="V197" i="2"/>
  <c r="W197" i="2"/>
  <c r="X197" i="2"/>
  <c r="Y197" i="2"/>
  <c r="Z197" i="2"/>
  <c r="AA197" i="2"/>
  <c r="AB197" i="2"/>
  <c r="AC197" i="2"/>
  <c r="AD197" i="2"/>
  <c r="AE197" i="2"/>
  <c r="T197" i="2"/>
  <c r="AG198" i="2"/>
  <c r="AH198" i="2" s="1"/>
  <c r="AI198" i="2" s="1"/>
  <c r="AJ198" i="2" s="1"/>
  <c r="AK198" i="2" s="1"/>
  <c r="AL198" i="2" s="1"/>
  <c r="AM198" i="2" s="1"/>
  <c r="AN198" i="2" s="1"/>
  <c r="AO198" i="2" s="1"/>
  <c r="AP198" i="2" s="1"/>
  <c r="AQ198" i="2" s="1"/>
  <c r="AR198" i="2" s="1"/>
  <c r="AS198" i="2" s="1"/>
  <c r="AT198" i="2" s="1"/>
  <c r="AU198" i="2" s="1"/>
  <c r="AV198" i="2" s="1"/>
  <c r="AW198" i="2" s="1"/>
  <c r="AX198" i="2" s="1"/>
  <c r="AY198" i="2" s="1"/>
  <c r="AZ198" i="2" s="1"/>
  <c r="BA198" i="2" s="1"/>
  <c r="BB198" i="2" s="1"/>
  <c r="BC198" i="2" s="1"/>
  <c r="BD198" i="2" s="1"/>
  <c r="BE198" i="2" s="1"/>
  <c r="BF198" i="2" s="1"/>
  <c r="BG198" i="2" s="1"/>
  <c r="BH198" i="2" s="1"/>
  <c r="BI198" i="2" s="1"/>
  <c r="BJ198" i="2" s="1"/>
  <c r="BK198" i="2" s="1"/>
  <c r="BL198" i="2" s="1"/>
  <c r="BM198" i="2" s="1"/>
  <c r="BN198" i="2" s="1"/>
  <c r="BO198" i="2" s="1"/>
  <c r="U198" i="2"/>
  <c r="V198" i="2"/>
  <c r="W198" i="2"/>
  <c r="X198" i="2"/>
  <c r="Y198" i="2"/>
  <c r="Z198" i="2"/>
  <c r="AA198" i="2"/>
  <c r="AB198" i="2"/>
  <c r="AC198" i="2"/>
  <c r="AD198" i="2"/>
  <c r="AE198" i="2"/>
  <c r="T198" i="2"/>
  <c r="AG199" i="2"/>
  <c r="AH199" i="2" s="1"/>
  <c r="AI199" i="2" s="1"/>
  <c r="AJ199" i="2" s="1"/>
  <c r="AK199" i="2" s="1"/>
  <c r="AL199" i="2" s="1"/>
  <c r="AM199" i="2" s="1"/>
  <c r="AN199" i="2" s="1"/>
  <c r="AO199" i="2" s="1"/>
  <c r="AP199" i="2" s="1"/>
  <c r="AQ199" i="2" s="1"/>
  <c r="AR199" i="2" s="1"/>
  <c r="AS199" i="2" s="1"/>
  <c r="AT199" i="2" s="1"/>
  <c r="AU199" i="2" s="1"/>
  <c r="AV199" i="2" s="1"/>
  <c r="AW199" i="2" s="1"/>
  <c r="AX199" i="2" s="1"/>
  <c r="AY199" i="2" s="1"/>
  <c r="AZ199" i="2" s="1"/>
  <c r="BA199" i="2" s="1"/>
  <c r="BB199" i="2" s="1"/>
  <c r="BC199" i="2" s="1"/>
  <c r="BD199" i="2" s="1"/>
  <c r="BE199" i="2" s="1"/>
  <c r="BF199" i="2" s="1"/>
  <c r="BG199" i="2" s="1"/>
  <c r="BH199" i="2" s="1"/>
  <c r="BI199" i="2" s="1"/>
  <c r="BJ199" i="2" s="1"/>
  <c r="BK199" i="2" s="1"/>
  <c r="BL199" i="2" s="1"/>
  <c r="BM199" i="2" s="1"/>
  <c r="BN199" i="2" s="1"/>
  <c r="BO199" i="2" s="1"/>
  <c r="U199" i="2"/>
  <c r="V199" i="2"/>
  <c r="W199" i="2"/>
  <c r="X199" i="2"/>
  <c r="Y199" i="2"/>
  <c r="Z199" i="2"/>
  <c r="AA199" i="2"/>
  <c r="AB199" i="2"/>
  <c r="AC199" i="2"/>
  <c r="AD199" i="2"/>
  <c r="AE199" i="2"/>
  <c r="T199" i="2"/>
  <c r="AG200" i="2"/>
  <c r="AH200" i="2" s="1"/>
  <c r="AI200" i="2" s="1"/>
  <c r="AJ200" i="2" s="1"/>
  <c r="AK200" i="2" s="1"/>
  <c r="AL200" i="2" s="1"/>
  <c r="AM200" i="2" s="1"/>
  <c r="AN200" i="2" s="1"/>
  <c r="AO200" i="2" s="1"/>
  <c r="AP200" i="2" s="1"/>
  <c r="AQ200" i="2" s="1"/>
  <c r="AR200" i="2" s="1"/>
  <c r="AS200" i="2" s="1"/>
  <c r="AT200" i="2" s="1"/>
  <c r="AU200" i="2" s="1"/>
  <c r="AV200" i="2" s="1"/>
  <c r="AW200" i="2" s="1"/>
  <c r="AX200" i="2" s="1"/>
  <c r="AY200" i="2" s="1"/>
  <c r="AZ200" i="2" s="1"/>
  <c r="BA200" i="2" s="1"/>
  <c r="BB200" i="2" s="1"/>
  <c r="BC200" i="2" s="1"/>
  <c r="BD200" i="2" s="1"/>
  <c r="BE200" i="2" s="1"/>
  <c r="BF200" i="2" s="1"/>
  <c r="BG200" i="2" s="1"/>
  <c r="BH200" i="2" s="1"/>
  <c r="BI200" i="2" s="1"/>
  <c r="BJ200" i="2" s="1"/>
  <c r="BK200" i="2" s="1"/>
  <c r="BL200" i="2" s="1"/>
  <c r="BM200" i="2" s="1"/>
  <c r="BN200" i="2" s="1"/>
  <c r="BO200" i="2" s="1"/>
  <c r="U200" i="2"/>
  <c r="V200" i="2"/>
  <c r="W200" i="2"/>
  <c r="X200" i="2"/>
  <c r="Y200" i="2"/>
  <c r="Z200" i="2"/>
  <c r="AA200" i="2"/>
  <c r="AB200" i="2"/>
  <c r="AC200" i="2"/>
  <c r="AD200" i="2"/>
  <c r="AE200" i="2"/>
  <c r="T200" i="2"/>
  <c r="AG201" i="2"/>
  <c r="AH201" i="2" s="1"/>
  <c r="AI201" i="2" s="1"/>
  <c r="AJ201" i="2" s="1"/>
  <c r="AK201" i="2" s="1"/>
  <c r="AL201" i="2" s="1"/>
  <c r="AM201" i="2" s="1"/>
  <c r="AN201" i="2" s="1"/>
  <c r="AO201" i="2" s="1"/>
  <c r="AP201" i="2" s="1"/>
  <c r="AQ201" i="2" s="1"/>
  <c r="AR201" i="2" s="1"/>
  <c r="AS201" i="2" s="1"/>
  <c r="AT201" i="2" s="1"/>
  <c r="AU201" i="2" s="1"/>
  <c r="AV201" i="2" s="1"/>
  <c r="AW201" i="2" s="1"/>
  <c r="AX201" i="2" s="1"/>
  <c r="AY201" i="2" s="1"/>
  <c r="AZ201" i="2" s="1"/>
  <c r="BA201" i="2" s="1"/>
  <c r="BB201" i="2" s="1"/>
  <c r="BC201" i="2" s="1"/>
  <c r="BD201" i="2" s="1"/>
  <c r="BE201" i="2" s="1"/>
  <c r="BF201" i="2" s="1"/>
  <c r="BG201" i="2" s="1"/>
  <c r="BH201" i="2" s="1"/>
  <c r="BI201" i="2" s="1"/>
  <c r="BJ201" i="2" s="1"/>
  <c r="BK201" i="2" s="1"/>
  <c r="BL201" i="2" s="1"/>
  <c r="BM201" i="2" s="1"/>
  <c r="BN201" i="2" s="1"/>
  <c r="BO201" i="2" s="1"/>
  <c r="U201" i="2"/>
  <c r="V201" i="2"/>
  <c r="W201" i="2"/>
  <c r="X201" i="2"/>
  <c r="Y201" i="2"/>
  <c r="Z201" i="2"/>
  <c r="AA201" i="2"/>
  <c r="AB201" i="2"/>
  <c r="AC201" i="2"/>
  <c r="AD201" i="2"/>
  <c r="AE201" i="2"/>
  <c r="T201" i="2"/>
  <c r="L170" i="2"/>
  <c r="K170" i="2"/>
  <c r="G170" i="2"/>
  <c r="H170" i="2"/>
  <c r="I170" i="2"/>
  <c r="J170" i="2"/>
  <c r="AU64" i="15"/>
  <c r="AT68" i="15"/>
  <c r="AU65" i="15"/>
  <c r="P385" i="2"/>
  <c r="BB364" i="2"/>
  <c r="S372" i="2"/>
  <c r="R385" i="2"/>
  <c r="R386" i="2"/>
  <c r="S380" i="2"/>
  <c r="T380" i="2" s="1"/>
  <c r="U380" i="2" s="1"/>
  <c r="V380" i="2" s="1"/>
  <c r="W380" i="2" s="1"/>
  <c r="X380" i="2" s="1"/>
  <c r="Y380" i="2" s="1"/>
  <c r="Z380" i="2" s="1"/>
  <c r="AA380" i="2" s="1"/>
  <c r="AB380" i="2" s="1"/>
  <c r="AC380" i="2" s="1"/>
  <c r="AD380" i="2" s="1"/>
  <c r="AE380" i="2" s="1"/>
  <c r="AF380" i="2" s="1"/>
  <c r="AG380" i="2" s="1"/>
  <c r="AH380" i="2" s="1"/>
  <c r="AI380" i="2" s="1"/>
  <c r="AJ380" i="2" s="1"/>
  <c r="AK380" i="2" s="1"/>
  <c r="AL380" i="2" s="1"/>
  <c r="AM380" i="2" s="1"/>
  <c r="AN380" i="2" s="1"/>
  <c r="AO380" i="2" s="1"/>
  <c r="AP380" i="2" s="1"/>
  <c r="AQ380" i="2" s="1"/>
  <c r="AR380" i="2" s="1"/>
  <c r="AS380" i="2" s="1"/>
  <c r="AT380" i="2" s="1"/>
  <c r="AU380" i="2" s="1"/>
  <c r="AV380" i="2" s="1"/>
  <c r="AW380" i="2" s="1"/>
  <c r="AX380" i="2" s="1"/>
  <c r="AY380" i="2" s="1"/>
  <c r="AZ380" i="2" s="1"/>
  <c r="BA380" i="2" s="1"/>
  <c r="BB380" i="2" s="1"/>
  <c r="BC380" i="2" s="1"/>
  <c r="BD380" i="2" s="1"/>
  <c r="BE380" i="2" s="1"/>
  <c r="BF380" i="2" s="1"/>
  <c r="BG380" i="2" s="1"/>
  <c r="BH380" i="2" s="1"/>
  <c r="BI380" i="2" s="1"/>
  <c r="BJ380" i="2" s="1"/>
  <c r="BK380" i="2" s="1"/>
  <c r="BL380" i="2" s="1"/>
  <c r="BM380" i="2" s="1"/>
  <c r="BN380" i="2" s="1"/>
  <c r="BO380" i="2" s="1"/>
  <c r="S381" i="2"/>
  <c r="AW317" i="2"/>
  <c r="AW357" i="2" s="1"/>
  <c r="AV345" i="2"/>
  <c r="AV362" i="2" s="1"/>
  <c r="G240" i="3"/>
  <c r="G248" i="3" s="1"/>
  <c r="G256" i="3" s="1"/>
  <c r="G206" i="3"/>
  <c r="G214" i="3" s="1"/>
  <c r="G186" i="3"/>
  <c r="G194" i="3" s="1"/>
  <c r="O240" i="3"/>
  <c r="O248" i="3" s="1"/>
  <c r="O256" i="3" s="1"/>
  <c r="O206" i="3"/>
  <c r="O214" i="3" s="1"/>
  <c r="O186" i="3"/>
  <c r="O194" i="3" s="1"/>
  <c r="K207" i="3"/>
  <c r="K215" i="3" s="1"/>
  <c r="K187" i="3"/>
  <c r="K195" i="3" s="1"/>
  <c r="G208" i="3"/>
  <c r="G216" i="3" s="1"/>
  <c r="G188" i="3"/>
  <c r="G196" i="3" s="1"/>
  <c r="O208" i="3"/>
  <c r="O216" i="3" s="1"/>
  <c r="O188" i="3"/>
  <c r="O196" i="3" s="1"/>
  <c r="H240" i="3"/>
  <c r="H248" i="3" s="1"/>
  <c r="H256" i="3" s="1"/>
  <c r="H186" i="3"/>
  <c r="H194" i="3" s="1"/>
  <c r="H206" i="3"/>
  <c r="H214" i="3" s="1"/>
  <c r="S319" i="2"/>
  <c r="P206" i="3"/>
  <c r="P214" i="3" s="1"/>
  <c r="P186" i="3"/>
  <c r="P194" i="3" s="1"/>
  <c r="L207" i="3"/>
  <c r="L215" i="3" s="1"/>
  <c r="L187" i="3"/>
  <c r="L195" i="3" s="1"/>
  <c r="H208" i="3"/>
  <c r="H216" i="3" s="1"/>
  <c r="H188" i="3"/>
  <c r="H196" i="3" s="1"/>
  <c r="P208" i="3"/>
  <c r="P216" i="3" s="1"/>
  <c r="P188" i="3"/>
  <c r="P196" i="3" s="1"/>
  <c r="AW318" i="2"/>
  <c r="AW358" i="2" s="1"/>
  <c r="AT205" i="3"/>
  <c r="AT213" i="3" s="1"/>
  <c r="AT185" i="3"/>
  <c r="AT193" i="3" s="1"/>
  <c r="I240" i="3"/>
  <c r="I248" i="3" s="1"/>
  <c r="I256" i="3" s="1"/>
  <c r="I206" i="3"/>
  <c r="I214" i="3" s="1"/>
  <c r="I186" i="3"/>
  <c r="I194" i="3" s="1"/>
  <c r="E187" i="3"/>
  <c r="E195" i="3" s="1"/>
  <c r="E207" i="3"/>
  <c r="E215" i="3" s="1"/>
  <c r="M207" i="3"/>
  <c r="M215" i="3" s="1"/>
  <c r="M187" i="3"/>
  <c r="M195" i="3" s="1"/>
  <c r="I208" i="3"/>
  <c r="I216" i="3" s="1"/>
  <c r="I188" i="3"/>
  <c r="I196" i="3" s="1"/>
  <c r="J240" i="3"/>
  <c r="J248" i="3" s="1"/>
  <c r="J256" i="3" s="1"/>
  <c r="J206" i="3"/>
  <c r="J214" i="3" s="1"/>
  <c r="J186" i="3"/>
  <c r="J194" i="3" s="1"/>
  <c r="F207" i="3"/>
  <c r="F215" i="3" s="1"/>
  <c r="F187" i="3"/>
  <c r="F195" i="3" s="1"/>
  <c r="N207" i="3"/>
  <c r="N215" i="3" s="1"/>
  <c r="N187" i="3"/>
  <c r="N195" i="3" s="1"/>
  <c r="J208" i="3"/>
  <c r="J216" i="3" s="1"/>
  <c r="J188" i="3"/>
  <c r="J196" i="3" s="1"/>
  <c r="AW334" i="2"/>
  <c r="AT209" i="3"/>
  <c r="AT217" i="3" s="1"/>
  <c r="K240" i="3"/>
  <c r="K248" i="3" s="1"/>
  <c r="K256" i="3" s="1"/>
  <c r="K206" i="3"/>
  <c r="K214" i="3" s="1"/>
  <c r="K186" i="3"/>
  <c r="K194" i="3" s="1"/>
  <c r="G207" i="3"/>
  <c r="G215" i="3" s="1"/>
  <c r="G187" i="3"/>
  <c r="G195" i="3" s="1"/>
  <c r="O207" i="3"/>
  <c r="O215" i="3" s="1"/>
  <c r="O187" i="3"/>
  <c r="O195" i="3" s="1"/>
  <c r="K208" i="3"/>
  <c r="K216" i="3" s="1"/>
  <c r="K188" i="3"/>
  <c r="K196" i="3" s="1"/>
  <c r="L240" i="3"/>
  <c r="L248" i="3" s="1"/>
  <c r="L256" i="3" s="1"/>
  <c r="L206" i="3"/>
  <c r="L214" i="3" s="1"/>
  <c r="L186" i="3"/>
  <c r="L194" i="3" s="1"/>
  <c r="H207" i="3"/>
  <c r="H215" i="3" s="1"/>
  <c r="H187" i="3"/>
  <c r="H195" i="3" s="1"/>
  <c r="P207" i="3"/>
  <c r="P215" i="3" s="1"/>
  <c r="P187" i="3"/>
  <c r="P195" i="3" s="1"/>
  <c r="L208" i="3"/>
  <c r="L216" i="3" s="1"/>
  <c r="L188" i="3"/>
  <c r="L196" i="3" s="1"/>
  <c r="AW336" i="2"/>
  <c r="AT211" i="3"/>
  <c r="AT219" i="3" s="1"/>
  <c r="E240" i="3"/>
  <c r="E248" i="3" s="1"/>
  <c r="E256" i="3" s="1"/>
  <c r="E206" i="3"/>
  <c r="E214" i="3" s="1"/>
  <c r="E186" i="3"/>
  <c r="E194" i="3" s="1"/>
  <c r="M240" i="3"/>
  <c r="M248" i="3" s="1"/>
  <c r="M256" i="3" s="1"/>
  <c r="M206" i="3"/>
  <c r="M214" i="3" s="1"/>
  <c r="M186" i="3"/>
  <c r="M194" i="3" s="1"/>
  <c r="I207" i="3"/>
  <c r="I215" i="3" s="1"/>
  <c r="I187" i="3"/>
  <c r="I195" i="3" s="1"/>
  <c r="E208" i="3"/>
  <c r="E216" i="3" s="1"/>
  <c r="E188" i="3"/>
  <c r="E196" i="3" s="1"/>
  <c r="M208" i="3"/>
  <c r="M216" i="3" s="1"/>
  <c r="M188" i="3"/>
  <c r="M196" i="3" s="1"/>
  <c r="F240" i="3"/>
  <c r="F248" i="3" s="1"/>
  <c r="F256" i="3" s="1"/>
  <c r="F206" i="3"/>
  <c r="F214" i="3" s="1"/>
  <c r="F186" i="3"/>
  <c r="F194" i="3" s="1"/>
  <c r="N240" i="3"/>
  <c r="N248" i="3" s="1"/>
  <c r="N256" i="3" s="1"/>
  <c r="N186" i="3"/>
  <c r="N194" i="3" s="1"/>
  <c r="N206" i="3"/>
  <c r="N214" i="3" s="1"/>
  <c r="J207" i="3"/>
  <c r="J215" i="3" s="1"/>
  <c r="J187" i="3"/>
  <c r="J195" i="3" s="1"/>
  <c r="F208" i="3"/>
  <c r="F216" i="3" s="1"/>
  <c r="F188" i="3"/>
  <c r="F196" i="3" s="1"/>
  <c r="N188" i="3"/>
  <c r="N196" i="3" s="1"/>
  <c r="N208" i="3"/>
  <c r="N216" i="3" s="1"/>
  <c r="AW335" i="2"/>
  <c r="AT210" i="3"/>
  <c r="AT218" i="3" s="1"/>
  <c r="AP72" i="15"/>
  <c r="AO170" i="15"/>
  <c r="AK168" i="12" s="1"/>
  <c r="AO160" i="15"/>
  <c r="AK158" i="12" s="1"/>
  <c r="AO151" i="15"/>
  <c r="AK150" i="12" s="1"/>
  <c r="AO142" i="15"/>
  <c r="AK141" i="12" s="1"/>
  <c r="AO133" i="15"/>
  <c r="AK132" i="12" s="1"/>
  <c r="AO123" i="15"/>
  <c r="BE349" i="2"/>
  <c r="P284" i="3"/>
  <c r="P293" i="3" s="1"/>
  <c r="S321" i="2"/>
  <c r="S158" i="2"/>
  <c r="T158" i="2" s="1"/>
  <c r="U158" i="2" s="1"/>
  <c r="V158" i="2" s="1"/>
  <c r="W158" i="2" s="1"/>
  <c r="X158" i="2" s="1"/>
  <c r="Y158" i="2" s="1"/>
  <c r="Z158" i="2" s="1"/>
  <c r="AA158" i="2" s="1"/>
  <c r="AB158" i="2" s="1"/>
  <c r="AC158" i="2" s="1"/>
  <c r="AD158" i="2" s="1"/>
  <c r="AE158" i="2" s="1"/>
  <c r="AF158" i="2" s="1"/>
  <c r="AG158" i="2" s="1"/>
  <c r="AH158" i="2" s="1"/>
  <c r="AI158" i="2" s="1"/>
  <c r="AJ158" i="2" s="1"/>
  <c r="AK158" i="2" s="1"/>
  <c r="AL158" i="2" s="1"/>
  <c r="AM158" i="2" s="1"/>
  <c r="AN158" i="2" s="1"/>
  <c r="AO158" i="2" s="1"/>
  <c r="AP158" i="2" s="1"/>
  <c r="AQ158" i="2" s="1"/>
  <c r="AR158" i="2" s="1"/>
  <c r="AS158" i="2" s="1"/>
  <c r="AT158" i="2" s="1"/>
  <c r="AU158" i="2" s="1"/>
  <c r="AV158" i="2" s="1"/>
  <c r="AW158" i="2" s="1"/>
  <c r="AX158" i="2" s="1"/>
  <c r="AY158" i="2" s="1"/>
  <c r="AZ158" i="2" s="1"/>
  <c r="BA158" i="2" s="1"/>
  <c r="BB158" i="2" s="1"/>
  <c r="BC158" i="2" s="1"/>
  <c r="BD158" i="2" s="1"/>
  <c r="BE158" i="2" s="1"/>
  <c r="BF158" i="2" s="1"/>
  <c r="BG158" i="2" s="1"/>
  <c r="BH158" i="2" s="1"/>
  <c r="BI158" i="2" s="1"/>
  <c r="BJ158" i="2" s="1"/>
  <c r="BK158" i="2" s="1"/>
  <c r="BL158" i="2" s="1"/>
  <c r="BM158" i="2" s="1"/>
  <c r="BN158" i="2" s="1"/>
  <c r="BO158" i="2" s="1"/>
  <c r="R220" i="2"/>
  <c r="T168" i="2"/>
  <c r="U168" i="2" s="1"/>
  <c r="V168" i="2" s="1"/>
  <c r="W168" i="2" s="1"/>
  <c r="X168" i="2" s="1"/>
  <c r="Y168" i="2" s="1"/>
  <c r="Z168" i="2" s="1"/>
  <c r="AA168" i="2" s="1"/>
  <c r="AB168" i="2" s="1"/>
  <c r="AC168" i="2" s="1"/>
  <c r="AD168" i="2" s="1"/>
  <c r="AE168" i="2" s="1"/>
  <c r="AF168" i="2" s="1"/>
  <c r="AG168" i="2" s="1"/>
  <c r="AH168" i="2" s="1"/>
  <c r="AI168" i="2" s="1"/>
  <c r="AJ168" i="2" s="1"/>
  <c r="AK168" i="2" s="1"/>
  <c r="AL168" i="2" s="1"/>
  <c r="AM168" i="2" s="1"/>
  <c r="AN168" i="2" s="1"/>
  <c r="AO168" i="2" s="1"/>
  <c r="AP168" i="2" s="1"/>
  <c r="AQ168" i="2" s="1"/>
  <c r="AR168" i="2" s="1"/>
  <c r="AS168" i="2" s="1"/>
  <c r="AT168" i="2" s="1"/>
  <c r="AU168" i="2" s="1"/>
  <c r="AV168" i="2" s="1"/>
  <c r="AW168" i="2" s="1"/>
  <c r="AX168" i="2" s="1"/>
  <c r="AY168" i="2" s="1"/>
  <c r="AZ168" i="2" s="1"/>
  <c r="BA168" i="2" s="1"/>
  <c r="BB168" i="2" s="1"/>
  <c r="BC168" i="2" s="1"/>
  <c r="BD168" i="2" s="1"/>
  <c r="BE168" i="2" s="1"/>
  <c r="BF168" i="2" s="1"/>
  <c r="BG168" i="2" s="1"/>
  <c r="BH168" i="2" s="1"/>
  <c r="BI168" i="2" s="1"/>
  <c r="BJ168" i="2" s="1"/>
  <c r="BK168" i="2" s="1"/>
  <c r="BL168" i="2" s="1"/>
  <c r="BM168" i="2" s="1"/>
  <c r="BN168" i="2" s="1"/>
  <c r="BO168" i="2" s="1"/>
  <c r="P283" i="3"/>
  <c r="P292" i="3" s="1"/>
  <c r="S320" i="2"/>
  <c r="Q115" i="2"/>
  <c r="AF55" i="2"/>
  <c r="S333" i="17"/>
  <c r="S301" i="17"/>
  <c r="AJ83" i="17"/>
  <c r="AJ94" i="17"/>
  <c r="AL85" i="17"/>
  <c r="AJ93" i="17"/>
  <c r="AJ91" i="17"/>
  <c r="AJ92" i="17"/>
  <c r="AJ95" i="17"/>
  <c r="AJ84" i="17"/>
  <c r="AJ86" i="17"/>
  <c r="AJ87" i="17"/>
  <c r="AJ96" i="17"/>
  <c r="AJ97" i="17"/>
  <c r="AJ88" i="17"/>
  <c r="AJ89" i="17"/>
  <c r="AJ90" i="17"/>
  <c r="M463" i="17"/>
  <c r="M462" i="17"/>
  <c r="M461" i="17"/>
  <c r="Q217" i="2"/>
  <c r="Q218" i="2"/>
  <c r="R218" i="2"/>
  <c r="Q8" i="3"/>
  <c r="Q24" i="3" s="1"/>
  <c r="AC66" i="15"/>
  <c r="AB168" i="15"/>
  <c r="X166" i="12" s="1"/>
  <c r="AB149" i="15"/>
  <c r="AB140" i="15"/>
  <c r="AB131" i="15"/>
  <c r="X130" i="12" s="1"/>
  <c r="AB121" i="15"/>
  <c r="X121" i="12" s="1"/>
  <c r="AB111" i="15"/>
  <c r="X112" i="12" s="1"/>
  <c r="AB67" i="15"/>
  <c r="X178" i="12" s="1"/>
  <c r="X139" i="12"/>
  <c r="X148" i="12"/>
  <c r="AB93" i="15"/>
  <c r="AA95" i="15"/>
  <c r="AB159" i="15"/>
  <c r="AB169" i="15"/>
  <c r="X167" i="12" s="1"/>
  <c r="AB150" i="15"/>
  <c r="X149" i="12" s="1"/>
  <c r="AB141" i="15"/>
  <c r="X140" i="12" s="1"/>
  <c r="AB132" i="15"/>
  <c r="X131" i="12" s="1"/>
  <c r="AB122" i="15"/>
  <c r="X122" i="12" s="1"/>
  <c r="AB112" i="15"/>
  <c r="X113" i="12" s="1"/>
  <c r="AC164" i="15"/>
  <c r="Y162" i="12" s="1"/>
  <c r="AC155" i="15"/>
  <c r="AC145" i="15"/>
  <c r="AC136" i="15"/>
  <c r="Y135" i="12" s="1"/>
  <c r="AC127" i="15"/>
  <c r="Y127" i="12" s="1"/>
  <c r="AC117" i="15"/>
  <c r="Y118" i="12" s="1"/>
  <c r="AD84" i="15"/>
  <c r="U73" i="3"/>
  <c r="Q12" i="3"/>
  <c r="Q13" i="3"/>
  <c r="Q21" i="3"/>
  <c r="Q20" i="3"/>
  <c r="Q14" i="3"/>
  <c r="Q22" i="3"/>
  <c r="V49" i="3"/>
  <c r="V61" i="3"/>
  <c r="V55" i="3"/>
  <c r="V67" i="3"/>
  <c r="Q281" i="3"/>
  <c r="Q290" i="3" s="1"/>
  <c r="Q15" i="3"/>
  <c r="Q239" i="3"/>
  <c r="Q247" i="3" s="1"/>
  <c r="Q255" i="3" s="1"/>
  <c r="Q16" i="3"/>
  <c r="W89" i="3"/>
  <c r="W90" i="3" s="1"/>
  <c r="W43" i="3"/>
  <c r="S189" i="3"/>
  <c r="S197" i="3" s="1"/>
  <c r="R285" i="3"/>
  <c r="R294" i="3" s="1"/>
  <c r="R243" i="3"/>
  <c r="R251" i="3" s="1"/>
  <c r="R259" i="3" s="1"/>
  <c r="Q9" i="3"/>
  <c r="Q17" i="3"/>
  <c r="X288" i="3"/>
  <c r="X297" i="3" s="1"/>
  <c r="X230" i="3"/>
  <c r="X231" i="3" s="1"/>
  <c r="Q10" i="3"/>
  <c r="Q18" i="3"/>
  <c r="Q11" i="3"/>
  <c r="Q19" i="3"/>
  <c r="S190" i="3"/>
  <c r="S198" i="3" s="1"/>
  <c r="R244" i="3"/>
  <c r="R252" i="3" s="1"/>
  <c r="R260" i="3" s="1"/>
  <c r="S191" i="3"/>
  <c r="S199" i="3" s="1"/>
  <c r="R287" i="3"/>
  <c r="R296" i="3" s="1"/>
  <c r="R245" i="3"/>
  <c r="R253" i="3" s="1"/>
  <c r="R261" i="3" s="1"/>
  <c r="R213" i="2"/>
  <c r="R215" i="2"/>
  <c r="R219" i="2"/>
  <c r="Q209" i="2"/>
  <c r="Q211" i="2"/>
  <c r="Q213" i="2"/>
  <c r="Q215" i="2"/>
  <c r="Q219" i="2"/>
  <c r="R217" i="2"/>
  <c r="R209" i="2"/>
  <c r="R211" i="2"/>
  <c r="Q208" i="2"/>
  <c r="Q210" i="2"/>
  <c r="Q212" i="2"/>
  <c r="Q214" i="2"/>
  <c r="Q216" i="2"/>
  <c r="R208" i="2"/>
  <c r="R210" i="2"/>
  <c r="R212" i="2"/>
  <c r="R214" i="2"/>
  <c r="R216" i="2"/>
  <c r="AF173" i="15"/>
  <c r="AF163" i="15"/>
  <c r="AB161" i="12" s="1"/>
  <c r="AF154" i="15"/>
  <c r="AF135" i="15"/>
  <c r="AB134" i="12" s="1"/>
  <c r="AF125" i="15"/>
  <c r="AB125" i="12" s="1"/>
  <c r="AF115" i="15"/>
  <c r="AB116" i="12" s="1"/>
  <c r="N85" i="3"/>
  <c r="P90" i="3"/>
  <c r="N231" i="3"/>
  <c r="R301" i="2"/>
  <c r="U301" i="2" s="1"/>
  <c r="M170" i="2"/>
  <c r="G38" i="2"/>
  <c r="O38" i="2"/>
  <c r="G72" i="2"/>
  <c r="O72" i="2"/>
  <c r="Q256" i="2"/>
  <c r="AG116" i="15"/>
  <c r="AJ103" i="15"/>
  <c r="N72" i="2"/>
  <c r="M72" i="2"/>
  <c r="M38" i="2"/>
  <c r="N38" i="2"/>
  <c r="P220" i="2"/>
  <c r="W98" i="11"/>
  <c r="X96" i="11"/>
  <c r="X163" i="11"/>
  <c r="X153" i="11"/>
  <c r="X142" i="11"/>
  <c r="X132" i="11"/>
  <c r="X122" i="11"/>
  <c r="X112" i="11"/>
  <c r="Y79" i="11"/>
  <c r="X173" i="11"/>
  <c r="X162" i="11"/>
  <c r="X152" i="11"/>
  <c r="X131" i="11"/>
  <c r="X120" i="11"/>
  <c r="X110" i="11"/>
  <c r="Y74" i="11"/>
  <c r="X172" i="11"/>
  <c r="X161" i="11"/>
  <c r="X151" i="11"/>
  <c r="X141" i="11"/>
  <c r="X119" i="11"/>
  <c r="X109" i="11"/>
  <c r="Y72" i="11"/>
  <c r="X169" i="11"/>
  <c r="X148" i="11"/>
  <c r="X138" i="11"/>
  <c r="X128" i="11"/>
  <c r="X117" i="11"/>
  <c r="X107" i="11"/>
  <c r="Y65" i="11"/>
  <c r="X89" i="11"/>
  <c r="Y89" i="11" s="1"/>
  <c r="W90" i="11"/>
  <c r="X88" i="11"/>
  <c r="T70" i="11"/>
  <c r="U64" i="11"/>
  <c r="E241" i="3"/>
  <c r="E249" i="3" s="1"/>
  <c r="E257" i="3" s="1"/>
  <c r="E283" i="3"/>
  <c r="E292" i="3" s="1"/>
  <c r="F241" i="3"/>
  <c r="F249" i="3" s="1"/>
  <c r="F257" i="3" s="1"/>
  <c r="F283" i="3"/>
  <c r="F292" i="3" s="1"/>
  <c r="G241" i="3"/>
  <c r="G249" i="3" s="1"/>
  <c r="G257" i="3" s="1"/>
  <c r="G283" i="3"/>
  <c r="G292" i="3" s="1"/>
  <c r="H241" i="3"/>
  <c r="H249" i="3" s="1"/>
  <c r="H257" i="3" s="1"/>
  <c r="H283" i="3"/>
  <c r="H292" i="3" s="1"/>
  <c r="I241" i="3"/>
  <c r="I249" i="3" s="1"/>
  <c r="I257" i="3" s="1"/>
  <c r="I283" i="3"/>
  <c r="I292" i="3" s="1"/>
  <c r="J241" i="3"/>
  <c r="J249" i="3" s="1"/>
  <c r="J257" i="3" s="1"/>
  <c r="J283" i="3"/>
  <c r="J292" i="3" s="1"/>
  <c r="K241" i="3"/>
  <c r="K249" i="3" s="1"/>
  <c r="K257" i="3" s="1"/>
  <c r="K283" i="3"/>
  <c r="K292" i="3" s="1"/>
  <c r="L241" i="3"/>
  <c r="L249" i="3" s="1"/>
  <c r="L257" i="3" s="1"/>
  <c r="L283" i="3"/>
  <c r="M241" i="3"/>
  <c r="M249" i="3" s="1"/>
  <c r="M257" i="3" s="1"/>
  <c r="M283" i="3"/>
  <c r="M292" i="3" s="1"/>
  <c r="N241" i="3"/>
  <c r="N249" i="3" s="1"/>
  <c r="N257" i="3" s="1"/>
  <c r="N283" i="3"/>
  <c r="N292" i="3" s="1"/>
  <c r="O241" i="3"/>
  <c r="O249" i="3" s="1"/>
  <c r="O257" i="3" s="1"/>
  <c r="O283" i="3"/>
  <c r="O292" i="3" s="1"/>
  <c r="E242" i="3"/>
  <c r="E250" i="3" s="1"/>
  <c r="E258" i="3" s="1"/>
  <c r="E284" i="3"/>
  <c r="E293" i="3" s="1"/>
  <c r="F242" i="3"/>
  <c r="F250" i="3" s="1"/>
  <c r="F258" i="3" s="1"/>
  <c r="F284" i="3"/>
  <c r="F293" i="3" s="1"/>
  <c r="G242" i="3"/>
  <c r="G250" i="3" s="1"/>
  <c r="G258" i="3" s="1"/>
  <c r="G284" i="3"/>
  <c r="G293" i="3" s="1"/>
  <c r="H242" i="3"/>
  <c r="H250" i="3" s="1"/>
  <c r="H258" i="3" s="1"/>
  <c r="H284" i="3"/>
  <c r="H293" i="3" s="1"/>
  <c r="I242" i="3"/>
  <c r="I250" i="3" s="1"/>
  <c r="I258" i="3" s="1"/>
  <c r="I284" i="3"/>
  <c r="I293" i="3" s="1"/>
  <c r="J242" i="3"/>
  <c r="J250" i="3" s="1"/>
  <c r="J258" i="3" s="1"/>
  <c r="J284" i="3"/>
  <c r="J293" i="3" s="1"/>
  <c r="K242" i="3"/>
  <c r="K250" i="3" s="1"/>
  <c r="K258" i="3" s="1"/>
  <c r="K284" i="3"/>
  <c r="K293" i="3" s="1"/>
  <c r="L242" i="3"/>
  <c r="L250" i="3" s="1"/>
  <c r="L258" i="3" s="1"/>
  <c r="L284" i="3"/>
  <c r="L293" i="3" s="1"/>
  <c r="M242" i="3"/>
  <c r="M250" i="3" s="1"/>
  <c r="M258" i="3" s="1"/>
  <c r="M284" i="3"/>
  <c r="M293" i="3" s="1"/>
  <c r="N242" i="3"/>
  <c r="N250" i="3" s="1"/>
  <c r="N258" i="3" s="1"/>
  <c r="N284" i="3"/>
  <c r="N293" i="3" s="1"/>
  <c r="O242" i="3"/>
  <c r="O250" i="3" s="1"/>
  <c r="O258" i="3" s="1"/>
  <c r="O284" i="3"/>
  <c r="O293" i="3" s="1"/>
  <c r="D331" i="2"/>
  <c r="E85" i="3"/>
  <c r="G85" i="3"/>
  <c r="I85" i="3"/>
  <c r="K85" i="3"/>
  <c r="M85" i="3"/>
  <c r="M226" i="2"/>
  <c r="M256" i="2" s="1"/>
  <c r="M272" i="2" s="1"/>
  <c r="L39" i="3"/>
  <c r="L38" i="2"/>
  <c r="L72" i="2"/>
  <c r="D330" i="2"/>
  <c r="D329" i="2"/>
  <c r="J72" i="2"/>
  <c r="O203" i="2"/>
  <c r="M39" i="3"/>
  <c r="K38" i="2"/>
  <c r="K72" i="2"/>
  <c r="P203" i="2"/>
  <c r="N39" i="3"/>
  <c r="J38" i="2"/>
  <c r="Q203" i="2"/>
  <c r="O39" i="3"/>
  <c r="P39" i="3"/>
  <c r="P38" i="2"/>
  <c r="H72" i="2"/>
  <c r="N170" i="2"/>
  <c r="M227" i="2"/>
  <c r="H38" i="2"/>
  <c r="P72" i="2"/>
  <c r="I38" i="2"/>
  <c r="Q38" i="2"/>
  <c r="I72" i="2"/>
  <c r="Q72" i="2"/>
  <c r="P170" i="2"/>
  <c r="O170" i="2"/>
  <c r="O81" i="1"/>
  <c r="Q81" i="1"/>
  <c r="R38" i="2"/>
  <c r="R72" i="2"/>
  <c r="G115" i="2"/>
  <c r="G111" i="2"/>
  <c r="H115" i="2"/>
  <c r="H111" i="2"/>
  <c r="I115" i="2"/>
  <c r="I111" i="2"/>
  <c r="J115" i="2"/>
  <c r="J111" i="2"/>
  <c r="K115" i="2"/>
  <c r="K111" i="2"/>
  <c r="L207" i="2"/>
  <c r="L115" i="2"/>
  <c r="L111" i="2"/>
  <c r="M207" i="2"/>
  <c r="M115" i="2"/>
  <c r="M111" i="2"/>
  <c r="N207" i="2"/>
  <c r="N115" i="2"/>
  <c r="N111" i="2"/>
  <c r="O207" i="2"/>
  <c r="O115" i="2"/>
  <c r="O111" i="2"/>
  <c r="P207" i="2"/>
  <c r="P115" i="2"/>
  <c r="P111" i="2"/>
  <c r="R115" i="2"/>
  <c r="R111" i="2"/>
  <c r="G116" i="2"/>
  <c r="H116" i="2"/>
  <c r="I116" i="2"/>
  <c r="J116" i="2"/>
  <c r="K116" i="2"/>
  <c r="L116" i="2"/>
  <c r="M208" i="2"/>
  <c r="M116" i="2"/>
  <c r="N208" i="2"/>
  <c r="N116" i="2"/>
  <c r="O208" i="2"/>
  <c r="O116" i="2"/>
  <c r="P208" i="2"/>
  <c r="P116" i="2"/>
  <c r="Q116" i="2"/>
  <c r="R116" i="2"/>
  <c r="G117" i="2"/>
  <c r="H117" i="2"/>
  <c r="I117" i="2"/>
  <c r="J117" i="2"/>
  <c r="K117" i="2"/>
  <c r="L117" i="2"/>
  <c r="M209" i="2"/>
  <c r="M117" i="2"/>
  <c r="N209" i="2"/>
  <c r="N117" i="2"/>
  <c r="O209" i="2"/>
  <c r="O117" i="2"/>
  <c r="P209" i="2"/>
  <c r="P117" i="2"/>
  <c r="Q117" i="2"/>
  <c r="R117" i="2"/>
  <c r="G431" i="2"/>
  <c r="G430" i="2"/>
  <c r="G429" i="2"/>
  <c r="G118" i="2"/>
  <c r="H431" i="2"/>
  <c r="H430" i="2"/>
  <c r="H429" i="2"/>
  <c r="H118" i="2"/>
  <c r="I431" i="2"/>
  <c r="I430" i="2"/>
  <c r="I429" i="2"/>
  <c r="I118" i="2"/>
  <c r="J431" i="2"/>
  <c r="J430" i="2"/>
  <c r="J429" i="2"/>
  <c r="J118" i="2"/>
  <c r="K431" i="2"/>
  <c r="K430" i="2"/>
  <c r="K429" i="2"/>
  <c r="K118" i="2"/>
  <c r="L431" i="2"/>
  <c r="L430" i="2"/>
  <c r="L429" i="2"/>
  <c r="L118" i="2"/>
  <c r="M431" i="2"/>
  <c r="M430" i="2"/>
  <c r="M429" i="2"/>
  <c r="M210" i="2"/>
  <c r="M118" i="2"/>
  <c r="N431" i="2"/>
  <c r="N430" i="2"/>
  <c r="N429" i="2"/>
  <c r="N210" i="2"/>
  <c r="N118" i="2"/>
  <c r="O431" i="2"/>
  <c r="O430" i="2"/>
  <c r="O429" i="2"/>
  <c r="O210" i="2"/>
  <c r="O118" i="2"/>
  <c r="P431" i="2"/>
  <c r="P430" i="2"/>
  <c r="P429" i="2"/>
  <c r="P210" i="2"/>
  <c r="P118" i="2"/>
  <c r="Q431" i="2"/>
  <c r="Q430" i="2"/>
  <c r="Q429" i="2"/>
  <c r="Q118" i="2"/>
  <c r="R431" i="2"/>
  <c r="R430" i="2"/>
  <c r="R429" i="2"/>
  <c r="R118" i="2"/>
  <c r="G119" i="2"/>
  <c r="H119" i="2"/>
  <c r="I119" i="2"/>
  <c r="J119" i="2"/>
  <c r="K119" i="2"/>
  <c r="L119" i="2"/>
  <c r="M211" i="2"/>
  <c r="M119" i="2"/>
  <c r="N211" i="2"/>
  <c r="N119" i="2"/>
  <c r="O211" i="2"/>
  <c r="O119" i="2"/>
  <c r="P211" i="2"/>
  <c r="P119" i="2"/>
  <c r="Q119" i="2"/>
  <c r="R119" i="2"/>
  <c r="G425" i="2"/>
  <c r="G424" i="2"/>
  <c r="G423" i="2"/>
  <c r="G422" i="2"/>
  <c r="G421" i="2"/>
  <c r="G420" i="2"/>
  <c r="G120" i="2"/>
  <c r="H425" i="2"/>
  <c r="H424" i="2"/>
  <c r="H423" i="2"/>
  <c r="H422" i="2"/>
  <c r="H421" i="2"/>
  <c r="H420" i="2"/>
  <c r="H120" i="2"/>
  <c r="I425" i="2"/>
  <c r="I424" i="2"/>
  <c r="I423" i="2"/>
  <c r="I422" i="2"/>
  <c r="I421" i="2"/>
  <c r="I420" i="2"/>
  <c r="I120" i="2"/>
  <c r="J425" i="2"/>
  <c r="J424" i="2"/>
  <c r="J423" i="2"/>
  <c r="J422" i="2"/>
  <c r="J421" i="2"/>
  <c r="J420" i="2"/>
  <c r="J120" i="2"/>
  <c r="K425" i="2"/>
  <c r="K424" i="2"/>
  <c r="K423" i="2"/>
  <c r="K422" i="2"/>
  <c r="K421" i="2"/>
  <c r="K420" i="2"/>
  <c r="K120" i="2"/>
  <c r="L425" i="2"/>
  <c r="L424" i="2"/>
  <c r="L423" i="2"/>
  <c r="L422" i="2"/>
  <c r="L421" i="2"/>
  <c r="L420" i="2"/>
  <c r="L120" i="2"/>
  <c r="M425" i="2"/>
  <c r="M424" i="2"/>
  <c r="M423" i="2"/>
  <c r="M422" i="2"/>
  <c r="M421" i="2"/>
  <c r="M420" i="2"/>
  <c r="M212" i="2"/>
  <c r="M120" i="2"/>
  <c r="N425" i="2"/>
  <c r="N424" i="2"/>
  <c r="N423" i="2"/>
  <c r="N422" i="2"/>
  <c r="N421" i="2"/>
  <c r="N420" i="2"/>
  <c r="N212" i="2"/>
  <c r="N120" i="2"/>
  <c r="O425" i="2"/>
  <c r="O424" i="2"/>
  <c r="O423" i="2"/>
  <c r="O422" i="2"/>
  <c r="O421" i="2"/>
  <c r="O420" i="2"/>
  <c r="O212" i="2"/>
  <c r="O120" i="2"/>
  <c r="P425" i="2"/>
  <c r="P424" i="2"/>
  <c r="P423" i="2"/>
  <c r="P422" i="2"/>
  <c r="P421" i="2"/>
  <c r="P420" i="2"/>
  <c r="P212" i="2"/>
  <c r="P120" i="2"/>
  <c r="Q425" i="2"/>
  <c r="Q424" i="2"/>
  <c r="Q423" i="2"/>
  <c r="Q422" i="2"/>
  <c r="Q421" i="2"/>
  <c r="Q420" i="2"/>
  <c r="Q120" i="2"/>
  <c r="R425" i="2"/>
  <c r="R424" i="2"/>
  <c r="R423" i="2"/>
  <c r="R422" i="2"/>
  <c r="R421" i="2"/>
  <c r="R420" i="2"/>
  <c r="R120" i="2"/>
  <c r="K121" i="2"/>
  <c r="L121" i="2"/>
  <c r="M213" i="2"/>
  <c r="M121" i="2"/>
  <c r="N213" i="2"/>
  <c r="N121" i="2"/>
  <c r="O213" i="2"/>
  <c r="O121" i="2"/>
  <c r="P213" i="2"/>
  <c r="P121" i="2"/>
  <c r="Q121" i="2"/>
  <c r="R121" i="2"/>
  <c r="L122" i="2"/>
  <c r="M214" i="2"/>
  <c r="M122" i="2"/>
  <c r="N214" i="2"/>
  <c r="N122" i="2"/>
  <c r="O214" i="2"/>
  <c r="O122" i="2"/>
  <c r="P214" i="2"/>
  <c r="P122" i="2"/>
  <c r="Q122" i="2"/>
  <c r="R122" i="2"/>
  <c r="G123" i="2"/>
  <c r="H123" i="2"/>
  <c r="I123" i="2"/>
  <c r="J123" i="2"/>
  <c r="K123" i="2"/>
  <c r="L123" i="2"/>
  <c r="M215" i="2"/>
  <c r="M123" i="2"/>
  <c r="N215" i="2"/>
  <c r="N123" i="2"/>
  <c r="O215" i="2"/>
  <c r="O123" i="2"/>
  <c r="P215" i="2"/>
  <c r="P123" i="2"/>
  <c r="Q123" i="2"/>
  <c r="R123" i="2"/>
  <c r="G124" i="2"/>
  <c r="H124" i="2"/>
  <c r="I124" i="2"/>
  <c r="J124" i="2"/>
  <c r="K124" i="2"/>
  <c r="L124" i="2"/>
  <c r="M216" i="2"/>
  <c r="M124" i="2"/>
  <c r="N216" i="2"/>
  <c r="N124" i="2"/>
  <c r="O216" i="2"/>
  <c r="O124" i="2"/>
  <c r="P216" i="2"/>
  <c r="P124" i="2"/>
  <c r="Q124" i="2"/>
  <c r="R124" i="2"/>
  <c r="G125" i="2"/>
  <c r="H125" i="2"/>
  <c r="I125" i="2"/>
  <c r="J125" i="2"/>
  <c r="K125" i="2"/>
  <c r="L125" i="2"/>
  <c r="M217" i="2"/>
  <c r="M125" i="2"/>
  <c r="N217" i="2"/>
  <c r="N125" i="2"/>
  <c r="O217" i="2"/>
  <c r="O125" i="2"/>
  <c r="P217" i="2"/>
  <c r="P125" i="2"/>
  <c r="Q125" i="2"/>
  <c r="R125" i="2"/>
  <c r="G126" i="2"/>
  <c r="H126" i="2"/>
  <c r="I126" i="2"/>
  <c r="J126" i="2"/>
  <c r="K126" i="2"/>
  <c r="L126" i="2"/>
  <c r="M218" i="2"/>
  <c r="M126" i="2"/>
  <c r="N218" i="2"/>
  <c r="N126" i="2"/>
  <c r="O218" i="2"/>
  <c r="O126" i="2"/>
  <c r="P218" i="2"/>
  <c r="P126" i="2"/>
  <c r="Q126" i="2"/>
  <c r="R126" i="2"/>
  <c r="G127" i="2"/>
  <c r="H127" i="2"/>
  <c r="I127" i="2"/>
  <c r="J127" i="2"/>
  <c r="K127" i="2"/>
  <c r="L127" i="2"/>
  <c r="M219" i="2"/>
  <c r="M127" i="2"/>
  <c r="N219" i="2"/>
  <c r="N127" i="2"/>
  <c r="O219" i="2"/>
  <c r="O127" i="2"/>
  <c r="P219" i="2"/>
  <c r="P127" i="2"/>
  <c r="Q127" i="2"/>
  <c r="R127" i="2"/>
  <c r="R203" i="2"/>
  <c r="R256" i="2"/>
  <c r="M255" i="2"/>
  <c r="M271" i="2" s="1"/>
  <c r="N225" i="2"/>
  <c r="N272" i="2"/>
  <c r="N273" i="2"/>
  <c r="L282" i="2"/>
  <c r="Q266" i="2"/>
  <c r="R236" i="2"/>
  <c r="R266" i="2" s="1"/>
  <c r="Q257" i="2"/>
  <c r="R242" i="2"/>
  <c r="R257" i="2" s="1"/>
  <c r="G271" i="2"/>
  <c r="H271" i="2"/>
  <c r="I271" i="2"/>
  <c r="J271" i="2"/>
  <c r="K271" i="2"/>
  <c r="L271" i="2"/>
  <c r="O272" i="2"/>
  <c r="P272" i="2"/>
  <c r="O273" i="2"/>
  <c r="P273" i="2"/>
  <c r="G274" i="2"/>
  <c r="H274" i="2"/>
  <c r="I274" i="2"/>
  <c r="J274" i="2"/>
  <c r="K274" i="2"/>
  <c r="L274" i="2"/>
  <c r="M274" i="2"/>
  <c r="N274" i="2"/>
  <c r="O274" i="2"/>
  <c r="P274" i="2"/>
  <c r="G275" i="2"/>
  <c r="H275" i="2"/>
  <c r="I275" i="2"/>
  <c r="J275" i="2"/>
  <c r="K275" i="2"/>
  <c r="L275" i="2"/>
  <c r="M275" i="2"/>
  <c r="N275" i="2"/>
  <c r="O275" i="2"/>
  <c r="P275" i="2"/>
  <c r="G276" i="2"/>
  <c r="H276" i="2"/>
  <c r="I276" i="2"/>
  <c r="J276" i="2"/>
  <c r="K276" i="2"/>
  <c r="L276" i="2"/>
  <c r="M276" i="2"/>
  <c r="N276" i="2"/>
  <c r="O276" i="2"/>
  <c r="P276" i="2"/>
  <c r="G277" i="2"/>
  <c r="H277" i="2"/>
  <c r="I277" i="2"/>
  <c r="J277" i="2"/>
  <c r="K277" i="2"/>
  <c r="L277" i="2"/>
  <c r="M277" i="2"/>
  <c r="N277" i="2"/>
  <c r="O277" i="2"/>
  <c r="P277" i="2"/>
  <c r="G278" i="2"/>
  <c r="H278" i="2"/>
  <c r="I278" i="2"/>
  <c r="J278" i="2"/>
  <c r="K278" i="2"/>
  <c r="L278" i="2"/>
  <c r="M278" i="2"/>
  <c r="N278" i="2"/>
  <c r="O278" i="2"/>
  <c r="P278" i="2"/>
  <c r="G279" i="2"/>
  <c r="H279" i="2"/>
  <c r="I279" i="2"/>
  <c r="J279" i="2"/>
  <c r="K279" i="2"/>
  <c r="L279" i="2"/>
  <c r="M279" i="2"/>
  <c r="N279" i="2"/>
  <c r="O279" i="2"/>
  <c r="P279" i="2"/>
  <c r="G280" i="2"/>
  <c r="H280" i="2"/>
  <c r="I280" i="2"/>
  <c r="J280" i="2"/>
  <c r="K280" i="2"/>
  <c r="L280" i="2"/>
  <c r="M280" i="2"/>
  <c r="N280" i="2"/>
  <c r="O280" i="2"/>
  <c r="P280" i="2"/>
  <c r="G281" i="2"/>
  <c r="H281" i="2"/>
  <c r="I281" i="2"/>
  <c r="J281" i="2"/>
  <c r="K281" i="2"/>
  <c r="L281" i="2"/>
  <c r="M281" i="2"/>
  <c r="N281" i="2"/>
  <c r="O281" i="2"/>
  <c r="P281" i="2"/>
  <c r="G282" i="2"/>
  <c r="H282" i="2"/>
  <c r="I282" i="2"/>
  <c r="J282" i="2"/>
  <c r="K282" i="2"/>
  <c r="M282" i="2"/>
  <c r="N282" i="2"/>
  <c r="O282" i="2"/>
  <c r="P282" i="2"/>
  <c r="G283" i="2"/>
  <c r="H283" i="2"/>
  <c r="I283" i="2"/>
  <c r="J283" i="2"/>
  <c r="K283" i="2"/>
  <c r="L283" i="2"/>
  <c r="M283" i="2"/>
  <c r="N283" i="2"/>
  <c r="O283" i="2"/>
  <c r="P283" i="2"/>
  <c r="P240" i="3"/>
  <c r="P248" i="3" s="1"/>
  <c r="P256" i="3" s="1"/>
  <c r="P241" i="3"/>
  <c r="P249" i="3" s="1"/>
  <c r="P257" i="3" s="1"/>
  <c r="P242" i="3"/>
  <c r="P250" i="3" s="1"/>
  <c r="P258" i="3" s="1"/>
  <c r="E67" i="3"/>
  <c r="E61" i="3"/>
  <c r="E55" i="3"/>
  <c r="E49" i="3"/>
  <c r="E47" i="3"/>
  <c r="F67" i="3"/>
  <c r="F61" i="3"/>
  <c r="F55" i="3"/>
  <c r="F49" i="3"/>
  <c r="F47" i="3"/>
  <c r="G67" i="3"/>
  <c r="G61" i="3"/>
  <c r="G55" i="3"/>
  <c r="G49" i="3"/>
  <c r="G47" i="3"/>
  <c r="H67" i="3"/>
  <c r="H61" i="3"/>
  <c r="H55" i="3"/>
  <c r="H49" i="3"/>
  <c r="H47" i="3"/>
  <c r="I67" i="3"/>
  <c r="I61" i="3"/>
  <c r="I55" i="3"/>
  <c r="I49" i="3"/>
  <c r="I47" i="3"/>
  <c r="J67" i="3"/>
  <c r="J61" i="3"/>
  <c r="J55" i="3"/>
  <c r="J49" i="3"/>
  <c r="J47" i="3"/>
  <c r="K67" i="3"/>
  <c r="K61" i="3"/>
  <c r="K55" i="3"/>
  <c r="K49" i="3"/>
  <c r="K47" i="3"/>
  <c r="L67" i="3"/>
  <c r="L61" i="3"/>
  <c r="L55" i="3"/>
  <c r="L49" i="3"/>
  <c r="L47" i="3"/>
  <c r="M67" i="3"/>
  <c r="M61" i="3"/>
  <c r="M55" i="3"/>
  <c r="M49" i="3"/>
  <c r="M47" i="3"/>
  <c r="N67" i="3"/>
  <c r="N61" i="3"/>
  <c r="N55" i="3"/>
  <c r="N49" i="3"/>
  <c r="N47" i="3"/>
  <c r="O67" i="3"/>
  <c r="O61" i="3"/>
  <c r="O55" i="3"/>
  <c r="O49" i="3"/>
  <c r="O47" i="3"/>
  <c r="P67" i="3"/>
  <c r="P61" i="3"/>
  <c r="P55" i="3"/>
  <c r="P49" i="3"/>
  <c r="P47" i="3"/>
  <c r="E68" i="3"/>
  <c r="E62" i="3"/>
  <c r="E56" i="3"/>
  <c r="E50" i="3"/>
  <c r="F68" i="3"/>
  <c r="F62" i="3"/>
  <c r="F56" i="3"/>
  <c r="F50" i="3"/>
  <c r="G68" i="3"/>
  <c r="G62" i="3"/>
  <c r="G56" i="3"/>
  <c r="G50" i="3"/>
  <c r="H68" i="3"/>
  <c r="H62" i="3"/>
  <c r="H56" i="3"/>
  <c r="H50" i="3"/>
  <c r="I68" i="3"/>
  <c r="I62" i="3"/>
  <c r="I56" i="3"/>
  <c r="I50" i="3"/>
  <c r="J68" i="3"/>
  <c r="J62" i="3"/>
  <c r="J56" i="3"/>
  <c r="J50" i="3"/>
  <c r="K68" i="3"/>
  <c r="K62" i="3"/>
  <c r="K56" i="3"/>
  <c r="K50" i="3"/>
  <c r="L68" i="3"/>
  <c r="L62" i="3"/>
  <c r="L56" i="3"/>
  <c r="L50" i="3"/>
  <c r="M68" i="3"/>
  <c r="M62" i="3"/>
  <c r="M56" i="3"/>
  <c r="M50" i="3"/>
  <c r="N68" i="3"/>
  <c r="N62" i="3"/>
  <c r="N56" i="3"/>
  <c r="N50" i="3"/>
  <c r="O68" i="3"/>
  <c r="O62" i="3"/>
  <c r="O56" i="3"/>
  <c r="O50" i="3"/>
  <c r="P68" i="3"/>
  <c r="P62" i="3"/>
  <c r="P56" i="3"/>
  <c r="P50" i="3"/>
  <c r="E69" i="3"/>
  <c r="E63" i="3"/>
  <c r="E57" i="3"/>
  <c r="E51" i="3"/>
  <c r="F69" i="3"/>
  <c r="F63" i="3"/>
  <c r="F57" i="3"/>
  <c r="F51" i="3"/>
  <c r="G69" i="3"/>
  <c r="G63" i="3"/>
  <c r="G57" i="3"/>
  <c r="G51" i="3"/>
  <c r="H69" i="3"/>
  <c r="H63" i="3"/>
  <c r="H57" i="3"/>
  <c r="H51" i="3"/>
  <c r="I69" i="3"/>
  <c r="I63" i="3"/>
  <c r="I57" i="3"/>
  <c r="I51" i="3"/>
  <c r="J69" i="3"/>
  <c r="J63" i="3"/>
  <c r="J57" i="3"/>
  <c r="J51" i="3"/>
  <c r="K69" i="3"/>
  <c r="K63" i="3"/>
  <c r="K57" i="3"/>
  <c r="K51" i="3"/>
  <c r="L69" i="3"/>
  <c r="L63" i="3"/>
  <c r="L57" i="3"/>
  <c r="L51" i="3"/>
  <c r="M69" i="3"/>
  <c r="M63" i="3"/>
  <c r="M57" i="3"/>
  <c r="M51" i="3"/>
  <c r="N69" i="3"/>
  <c r="N63" i="3"/>
  <c r="N57" i="3"/>
  <c r="N51" i="3"/>
  <c r="O69" i="3"/>
  <c r="O63" i="3"/>
  <c r="O57" i="3"/>
  <c r="O51" i="3"/>
  <c r="P69" i="3"/>
  <c r="P63" i="3"/>
  <c r="P57" i="3"/>
  <c r="P51" i="3"/>
  <c r="E70" i="3"/>
  <c r="E64" i="3"/>
  <c r="E58" i="3"/>
  <c r="E52" i="3"/>
  <c r="F70" i="3"/>
  <c r="F64" i="3"/>
  <c r="F58" i="3"/>
  <c r="F52" i="3"/>
  <c r="G70" i="3"/>
  <c r="G64" i="3"/>
  <c r="G58" i="3"/>
  <c r="G52" i="3"/>
  <c r="H70" i="3"/>
  <c r="H64" i="3"/>
  <c r="H58" i="3"/>
  <c r="H52" i="3"/>
  <c r="I70" i="3"/>
  <c r="I64" i="3"/>
  <c r="I58" i="3"/>
  <c r="I52" i="3"/>
  <c r="J70" i="3"/>
  <c r="J64" i="3"/>
  <c r="J58" i="3"/>
  <c r="J52" i="3"/>
  <c r="K70" i="3"/>
  <c r="K64" i="3"/>
  <c r="K58" i="3"/>
  <c r="K52" i="3"/>
  <c r="L70" i="3"/>
  <c r="L64" i="3"/>
  <c r="L58" i="3"/>
  <c r="L52" i="3"/>
  <c r="M70" i="3"/>
  <c r="M64" i="3"/>
  <c r="M58" i="3"/>
  <c r="M52" i="3"/>
  <c r="N70" i="3"/>
  <c r="N64" i="3"/>
  <c r="N58" i="3"/>
  <c r="N52" i="3"/>
  <c r="O70" i="3"/>
  <c r="O64" i="3"/>
  <c r="O58" i="3"/>
  <c r="O52" i="3"/>
  <c r="P70" i="3"/>
  <c r="P64" i="3"/>
  <c r="P58" i="3"/>
  <c r="P52" i="3"/>
  <c r="Q113" i="3"/>
  <c r="C40" i="4"/>
  <c r="C58" i="4" s="1"/>
  <c r="C37" i="4"/>
  <c r="C55" i="4" s="1"/>
  <c r="D40" i="4"/>
  <c r="D58" i="4" s="1"/>
  <c r="D37" i="4"/>
  <c r="D55" i="4" s="1"/>
  <c r="E40" i="4"/>
  <c r="E58" i="4" s="1"/>
  <c r="E37" i="4"/>
  <c r="E55" i="4" s="1"/>
  <c r="F40" i="4"/>
  <c r="F58" i="4" s="1"/>
  <c r="F37" i="4"/>
  <c r="F55" i="4" s="1"/>
  <c r="G40" i="4"/>
  <c r="G58" i="4" s="1"/>
  <c r="G37" i="4"/>
  <c r="G55" i="4" s="1"/>
  <c r="N37" i="4"/>
  <c r="C57" i="4"/>
  <c r="D57" i="4"/>
  <c r="D53" i="4"/>
  <c r="E57" i="4"/>
  <c r="E53" i="4"/>
  <c r="F57" i="4"/>
  <c r="G57" i="4"/>
  <c r="G53" i="4"/>
  <c r="O53" i="4"/>
  <c r="O69" i="4"/>
  <c r="C105" i="4"/>
  <c r="C123" i="4" s="1"/>
  <c r="C102" i="4"/>
  <c r="C120" i="4" s="1"/>
  <c r="D105" i="4"/>
  <c r="D123" i="4" s="1"/>
  <c r="D102" i="4"/>
  <c r="D120" i="4" s="1"/>
  <c r="E105" i="4"/>
  <c r="E123" i="4" s="1"/>
  <c r="E102" i="4"/>
  <c r="E120" i="4" s="1"/>
  <c r="F105" i="4"/>
  <c r="F123" i="4" s="1"/>
  <c r="F102" i="4"/>
  <c r="F120" i="4" s="1"/>
  <c r="G105" i="4"/>
  <c r="G123" i="4" s="1"/>
  <c r="G102" i="4"/>
  <c r="G120" i="4" s="1"/>
  <c r="C122" i="4"/>
  <c r="D122" i="4"/>
  <c r="D118" i="4"/>
  <c r="E122" i="4"/>
  <c r="E118" i="4"/>
  <c r="F122" i="4"/>
  <c r="F118" i="4"/>
  <c r="G122" i="4"/>
  <c r="O118" i="4"/>
  <c r="O134" i="4"/>
  <c r="N172" i="4"/>
  <c r="N173" i="4"/>
  <c r="N174" i="4"/>
  <c r="N175" i="4"/>
  <c r="N176" i="4"/>
  <c r="N177" i="4"/>
  <c r="N178" i="4"/>
  <c r="N179" i="4"/>
  <c r="N180" i="4"/>
  <c r="N181" i="4"/>
  <c r="N182" i="4"/>
  <c r="N183" i="4"/>
  <c r="N184" i="4"/>
  <c r="O185" i="4"/>
  <c r="N223" i="4"/>
  <c r="N256" i="4"/>
  <c r="N303" i="4"/>
  <c r="N311" i="4"/>
  <c r="AT309" i="4"/>
  <c r="AT310" i="4"/>
  <c r="O320" i="4"/>
  <c r="O346" i="4"/>
  <c r="O363" i="4"/>
  <c r="C53" i="4" l="1"/>
  <c r="G118" i="4"/>
  <c r="C118" i="4"/>
  <c r="F53" i="4"/>
  <c r="P298" i="3"/>
  <c r="V301" i="2"/>
  <c r="U299" i="2"/>
  <c r="AU40" i="15"/>
  <c r="AU68" i="15"/>
  <c r="AV65" i="15"/>
  <c r="AV64" i="15"/>
  <c r="S216" i="2"/>
  <c r="S210" i="2"/>
  <c r="S217" i="2"/>
  <c r="S211" i="2"/>
  <c r="S209" i="2"/>
  <c r="S212" i="2"/>
  <c r="T110" i="2"/>
  <c r="T94" i="2" s="1"/>
  <c r="S208" i="2"/>
  <c r="BC364" i="2"/>
  <c r="T372" i="2"/>
  <c r="S385" i="2"/>
  <c r="Q111" i="2"/>
  <c r="T381" i="2"/>
  <c r="S386" i="2"/>
  <c r="F200" i="3"/>
  <c r="K200" i="3"/>
  <c r="N200" i="3"/>
  <c r="AX317" i="2"/>
  <c r="AX357" i="2" s="1"/>
  <c r="AW345" i="2"/>
  <c r="AW362" i="2" s="1"/>
  <c r="N220" i="3"/>
  <c r="E220" i="3"/>
  <c r="L200" i="3"/>
  <c r="G200" i="3"/>
  <c r="P200" i="3"/>
  <c r="M200" i="3"/>
  <c r="J200" i="3"/>
  <c r="H220" i="3"/>
  <c r="E200" i="3"/>
  <c r="I200" i="3"/>
  <c r="H200" i="3"/>
  <c r="O200" i="3"/>
  <c r="M220" i="3"/>
  <c r="T319" i="2"/>
  <c r="Q206" i="3"/>
  <c r="Q214" i="3" s="1"/>
  <c r="Q186" i="3"/>
  <c r="Q194" i="3" s="1"/>
  <c r="J222" i="3"/>
  <c r="J201" i="3"/>
  <c r="E222" i="3"/>
  <c r="E201" i="3"/>
  <c r="AX334" i="2"/>
  <c r="AU209" i="3"/>
  <c r="AU217" i="3" s="1"/>
  <c r="J220" i="3"/>
  <c r="I222" i="3"/>
  <c r="I201" i="3"/>
  <c r="H222" i="3"/>
  <c r="H201" i="3"/>
  <c r="O201" i="3"/>
  <c r="O222" i="3"/>
  <c r="I220" i="3"/>
  <c r="O220" i="3"/>
  <c r="AX335" i="2"/>
  <c r="AU210" i="3"/>
  <c r="AU218" i="3" s="1"/>
  <c r="N222" i="3"/>
  <c r="N201" i="3"/>
  <c r="L201" i="3"/>
  <c r="L222" i="3"/>
  <c r="G201" i="3"/>
  <c r="G222" i="3"/>
  <c r="T320" i="2"/>
  <c r="Q207" i="3"/>
  <c r="Q215" i="3" s="1"/>
  <c r="Q187" i="3"/>
  <c r="Q195" i="3" s="1"/>
  <c r="T321" i="2"/>
  <c r="Q208" i="3"/>
  <c r="Q216" i="3" s="1"/>
  <c r="Q188" i="3"/>
  <c r="Q196" i="3" s="1"/>
  <c r="F201" i="3"/>
  <c r="F222" i="3"/>
  <c r="AX336" i="2"/>
  <c r="AU211" i="3"/>
  <c r="AU219" i="3" s="1"/>
  <c r="L220" i="3"/>
  <c r="K222" i="3"/>
  <c r="K201" i="3"/>
  <c r="P222" i="3"/>
  <c r="P201" i="3"/>
  <c r="G220" i="3"/>
  <c r="F220" i="3"/>
  <c r="M201" i="3"/>
  <c r="M222" i="3"/>
  <c r="K220" i="3"/>
  <c r="AX318" i="2"/>
  <c r="AX358" i="2" s="1"/>
  <c r="AU205" i="3"/>
  <c r="AU213" i="3" s="1"/>
  <c r="AU185" i="3"/>
  <c r="AU193" i="3" s="1"/>
  <c r="P220" i="3"/>
  <c r="AQ72" i="15"/>
  <c r="AP170" i="15"/>
  <c r="AL168" i="12" s="1"/>
  <c r="AP160" i="15"/>
  <c r="AL158" i="12" s="1"/>
  <c r="AP151" i="15"/>
  <c r="AL150" i="12" s="1"/>
  <c r="AP142" i="15"/>
  <c r="AL141" i="12" s="1"/>
  <c r="AP133" i="15"/>
  <c r="AL132" i="12" s="1"/>
  <c r="AP123" i="15"/>
  <c r="S220" i="2"/>
  <c r="BF349" i="2"/>
  <c r="Q33" i="3"/>
  <c r="AG55" i="2"/>
  <c r="T47" i="2"/>
  <c r="T53" i="2"/>
  <c r="T43" i="2"/>
  <c r="T44" i="2"/>
  <c r="T51" i="2"/>
  <c r="T52" i="2"/>
  <c r="T54" i="2"/>
  <c r="T72" i="2"/>
  <c r="T50" i="2"/>
  <c r="T49" i="2"/>
  <c r="T48" i="2"/>
  <c r="T46" i="2"/>
  <c r="Q25" i="3"/>
  <c r="M303" i="17"/>
  <c r="M335" i="17"/>
  <c r="M313" i="17"/>
  <c r="M345" i="17"/>
  <c r="Q46" i="3"/>
  <c r="Q52" i="3" s="1"/>
  <c r="M311" i="17"/>
  <c r="M343" i="17"/>
  <c r="M314" i="17"/>
  <c r="M346" i="17"/>
  <c r="Q45" i="3"/>
  <c r="Q57" i="3" s="1"/>
  <c r="M306" i="17"/>
  <c r="M338" i="17"/>
  <c r="M340" i="17"/>
  <c r="M308" i="17"/>
  <c r="M309" i="17"/>
  <c r="M341" i="17"/>
  <c r="M344" i="17"/>
  <c r="M312" i="17"/>
  <c r="M304" i="17"/>
  <c r="M336" i="17"/>
  <c r="T301" i="17"/>
  <c r="T333" i="17"/>
  <c r="M283" i="17"/>
  <c r="M315" i="17"/>
  <c r="M347" i="17"/>
  <c r="M307" i="17"/>
  <c r="M339" i="17"/>
  <c r="M342" i="17"/>
  <c r="M310" i="17"/>
  <c r="M302" i="17"/>
  <c r="M334" i="17"/>
  <c r="Q44" i="3"/>
  <c r="Q50" i="3" s="1"/>
  <c r="M337" i="17"/>
  <c r="M305" i="17"/>
  <c r="AK93" i="17"/>
  <c r="AK97" i="17"/>
  <c r="AK90" i="17"/>
  <c r="AK96" i="17"/>
  <c r="AK95" i="17"/>
  <c r="AM85" i="17"/>
  <c r="AK84" i="17"/>
  <c r="AK89" i="17"/>
  <c r="AK87" i="17"/>
  <c r="AK92" i="17"/>
  <c r="AK94" i="17"/>
  <c r="AK88" i="17"/>
  <c r="AK86" i="17"/>
  <c r="AK91" i="17"/>
  <c r="AK83" i="17"/>
  <c r="N461" i="17"/>
  <c r="N463" i="17"/>
  <c r="N462" i="17"/>
  <c r="Q27" i="3"/>
  <c r="T339" i="2"/>
  <c r="T340" i="2"/>
  <c r="T341" i="2"/>
  <c r="R8" i="3"/>
  <c r="R24" i="3" s="1"/>
  <c r="AD66" i="15"/>
  <c r="AC168" i="15"/>
  <c r="Y166" i="12" s="1"/>
  <c r="AC149" i="15"/>
  <c r="AC140" i="15"/>
  <c r="AC131" i="15"/>
  <c r="AC121" i="15"/>
  <c r="Y121" i="12" s="1"/>
  <c r="AC111" i="15"/>
  <c r="Y112" i="12" s="1"/>
  <c r="AC67" i="15"/>
  <c r="Y178" i="12" s="1"/>
  <c r="Y139" i="12"/>
  <c r="Y148" i="12"/>
  <c r="Y130" i="12"/>
  <c r="AD164" i="15"/>
  <c r="Z162" i="12" s="1"/>
  <c r="AD155" i="15"/>
  <c r="AD145" i="15"/>
  <c r="AD136" i="15"/>
  <c r="Z135" i="12" s="1"/>
  <c r="AD127" i="15"/>
  <c r="Z127" i="12" s="1"/>
  <c r="AD117" i="15"/>
  <c r="Z118" i="12" s="1"/>
  <c r="AE84" i="15"/>
  <c r="AC159" i="15"/>
  <c r="AC169" i="15"/>
  <c r="Y167" i="12" s="1"/>
  <c r="AC150" i="15"/>
  <c r="Y149" i="12" s="1"/>
  <c r="AC141" i="15"/>
  <c r="Y140" i="12" s="1"/>
  <c r="AC132" i="15"/>
  <c r="Y131" i="12" s="1"/>
  <c r="AC122" i="15"/>
  <c r="Y122" i="12" s="1"/>
  <c r="AC112" i="15"/>
  <c r="Y113" i="12" s="1"/>
  <c r="AC94" i="15"/>
  <c r="AD94" i="15" s="1"/>
  <c r="AC93" i="15"/>
  <c r="AB95" i="15"/>
  <c r="Q35" i="3"/>
  <c r="Q34" i="3"/>
  <c r="Y288" i="3"/>
  <c r="Y297" i="3" s="1"/>
  <c r="Y230" i="3"/>
  <c r="Y231" i="3" s="1"/>
  <c r="Q36" i="3"/>
  <c r="R281" i="3"/>
  <c r="R290" i="3" s="1"/>
  <c r="R11" i="3"/>
  <c r="T19" i="2"/>
  <c r="T9" i="2"/>
  <c r="T14" i="2"/>
  <c r="R239" i="3"/>
  <c r="R247" i="3" s="1"/>
  <c r="R255" i="3" s="1"/>
  <c r="R20" i="3"/>
  <c r="T191" i="3"/>
  <c r="T199" i="3" s="1"/>
  <c r="S287" i="3"/>
  <c r="S296" i="3" s="1"/>
  <c r="S245" i="3"/>
  <c r="S253" i="3" s="1"/>
  <c r="S261" i="3" s="1"/>
  <c r="T189" i="3"/>
  <c r="T197" i="3" s="1"/>
  <c r="S285" i="3"/>
  <c r="S294" i="3" s="1"/>
  <c r="S243" i="3"/>
  <c r="S251" i="3" s="1"/>
  <c r="S259" i="3" s="1"/>
  <c r="Q31" i="3"/>
  <c r="Q37" i="3"/>
  <c r="Q284" i="3"/>
  <c r="Q293" i="3" s="1"/>
  <c r="Q242" i="3"/>
  <c r="Q250" i="3" s="1"/>
  <c r="Q258" i="3" s="1"/>
  <c r="R18" i="3"/>
  <c r="R17" i="3"/>
  <c r="T17" i="2"/>
  <c r="T20" i="2"/>
  <c r="T12" i="2"/>
  <c r="W55" i="3"/>
  <c r="W49" i="3"/>
  <c r="W61" i="3"/>
  <c r="W67" i="3"/>
  <c r="R15" i="3"/>
  <c r="V73" i="3"/>
  <c r="R21" i="3"/>
  <c r="Q26" i="3"/>
  <c r="Q38" i="3"/>
  <c r="Q29" i="3"/>
  <c r="Q283" i="3"/>
  <c r="Q292" i="3" s="1"/>
  <c r="Q241" i="3"/>
  <c r="Q249" i="3" s="1"/>
  <c r="Q257" i="3" s="1"/>
  <c r="T190" i="3"/>
  <c r="T198" i="3" s="1"/>
  <c r="S244" i="3"/>
  <c r="S252" i="3" s="1"/>
  <c r="S260" i="3" s="1"/>
  <c r="R10" i="3"/>
  <c r="R9" i="3"/>
  <c r="T15" i="2"/>
  <c r="T18" i="2"/>
  <c r="T10" i="2"/>
  <c r="X89" i="3"/>
  <c r="X90" i="3" s="1"/>
  <c r="X43" i="3"/>
  <c r="R22" i="3"/>
  <c r="R13" i="3"/>
  <c r="Q32" i="3"/>
  <c r="Q30" i="3"/>
  <c r="Q28" i="3"/>
  <c r="Q240" i="3"/>
  <c r="Q248" i="3" s="1"/>
  <c r="Q256" i="3" s="1"/>
  <c r="R19" i="3"/>
  <c r="T21" i="2"/>
  <c r="T13" i="2"/>
  <c r="T16" i="2"/>
  <c r="T8" i="2"/>
  <c r="R16" i="3"/>
  <c r="T11" i="2"/>
  <c r="R14" i="3"/>
  <c r="R12" i="3"/>
  <c r="S309" i="2"/>
  <c r="H262" i="3"/>
  <c r="AG173" i="15"/>
  <c r="AG163" i="15"/>
  <c r="AC161" i="12" s="1"/>
  <c r="AG154" i="15"/>
  <c r="AG135" i="15"/>
  <c r="AC134" i="12" s="1"/>
  <c r="AG125" i="15"/>
  <c r="AC125" i="12" s="1"/>
  <c r="AG115" i="15"/>
  <c r="AC116" i="12" s="1"/>
  <c r="O85" i="3"/>
  <c r="S218" i="2"/>
  <c r="O262" i="3"/>
  <c r="K262" i="3"/>
  <c r="K306" i="3" s="1"/>
  <c r="G262" i="3"/>
  <c r="G306" i="3" s="1"/>
  <c r="L226" i="2"/>
  <c r="K226" i="2" s="1"/>
  <c r="N262" i="3"/>
  <c r="J262" i="3"/>
  <c r="F262" i="3"/>
  <c r="L262" i="3"/>
  <c r="AK103" i="15"/>
  <c r="AH116" i="15"/>
  <c r="M262" i="3"/>
  <c r="M306" i="3" s="1"/>
  <c r="N306" i="3" s="1"/>
  <c r="O306" i="3" s="1"/>
  <c r="P306" i="3" s="1"/>
  <c r="Q306" i="3" s="1"/>
  <c r="R306" i="3" s="1"/>
  <c r="S306" i="3" s="1"/>
  <c r="T306" i="3" s="1"/>
  <c r="U306" i="3" s="1"/>
  <c r="V306" i="3" s="1"/>
  <c r="W306" i="3" s="1"/>
  <c r="X306" i="3" s="1"/>
  <c r="Y306" i="3" s="1"/>
  <c r="Z306" i="3" s="1"/>
  <c r="AA306" i="3" s="1"/>
  <c r="AB306" i="3" s="1"/>
  <c r="AC306" i="3" s="1"/>
  <c r="AD306" i="3" s="1"/>
  <c r="AE306" i="3" s="1"/>
  <c r="AF306" i="3" s="1"/>
  <c r="AG306" i="3" s="1"/>
  <c r="AH306" i="3" s="1"/>
  <c r="AI306" i="3" s="1"/>
  <c r="AJ306" i="3" s="1"/>
  <c r="AK306" i="3" s="1"/>
  <c r="AL306" i="3" s="1"/>
  <c r="AM306" i="3" s="1"/>
  <c r="AN306" i="3" s="1"/>
  <c r="AO306" i="3" s="1"/>
  <c r="AP306" i="3" s="1"/>
  <c r="AQ306" i="3" s="1"/>
  <c r="AR306" i="3" s="1"/>
  <c r="AS306" i="3" s="1"/>
  <c r="AT306" i="3" s="1"/>
  <c r="AU306" i="3" s="1"/>
  <c r="AV306" i="3" s="1"/>
  <c r="AW306" i="3" s="1"/>
  <c r="AX306" i="3" s="1"/>
  <c r="AY306" i="3" s="1"/>
  <c r="AZ306" i="3" s="1"/>
  <c r="BA306" i="3" s="1"/>
  <c r="BB306" i="3" s="1"/>
  <c r="BC306" i="3" s="1"/>
  <c r="BD306" i="3" s="1"/>
  <c r="BE306" i="3" s="1"/>
  <c r="BF306" i="3" s="1"/>
  <c r="BG306" i="3" s="1"/>
  <c r="BH306" i="3" s="1"/>
  <c r="BI306" i="3" s="1"/>
  <c r="BJ306" i="3" s="1"/>
  <c r="BK306" i="3" s="1"/>
  <c r="BL306" i="3" s="1"/>
  <c r="BM306" i="3" s="1"/>
  <c r="I262" i="3"/>
  <c r="I306" i="3" s="1"/>
  <c r="E262" i="3"/>
  <c r="E306" i="3" s="1"/>
  <c r="U158" i="11"/>
  <c r="U147" i="11"/>
  <c r="U116" i="11"/>
  <c r="U106" i="11"/>
  <c r="U113" i="11" s="1"/>
  <c r="V64" i="11"/>
  <c r="T83" i="11"/>
  <c r="T81" i="11"/>
  <c r="X90" i="11"/>
  <c r="Y88" i="11"/>
  <c r="Y169" i="11"/>
  <c r="Y148" i="11"/>
  <c r="Y138" i="11"/>
  <c r="Y128" i="11"/>
  <c r="Y117" i="11"/>
  <c r="Y107" i="11"/>
  <c r="Z65" i="11"/>
  <c r="Y172" i="11"/>
  <c r="Y161" i="11"/>
  <c r="Y151" i="11"/>
  <c r="Y141" i="11"/>
  <c r="Y119" i="11"/>
  <c r="Y109" i="11"/>
  <c r="Z72" i="11"/>
  <c r="Y173" i="11"/>
  <c r="Y162" i="11"/>
  <c r="Y152" i="11"/>
  <c r="Y131" i="11"/>
  <c r="Y120" i="11"/>
  <c r="Y110" i="11"/>
  <c r="Z74" i="11"/>
  <c r="Y163" i="11"/>
  <c r="Y153" i="11"/>
  <c r="Y142" i="11"/>
  <c r="Y132" i="11"/>
  <c r="Y122" i="11"/>
  <c r="Y112" i="11"/>
  <c r="Z79" i="11"/>
  <c r="X98" i="11"/>
  <c r="Y96" i="11"/>
  <c r="O298" i="3"/>
  <c r="N298" i="3"/>
  <c r="M298" i="3"/>
  <c r="L292" i="3"/>
  <c r="L298" i="3" s="1"/>
  <c r="L280" i="3"/>
  <c r="K298" i="3"/>
  <c r="J298" i="3"/>
  <c r="I298" i="3"/>
  <c r="H298" i="3"/>
  <c r="G298" i="3"/>
  <c r="F298" i="3"/>
  <c r="E298" i="3"/>
  <c r="P262" i="3"/>
  <c r="N76" i="3"/>
  <c r="J76" i="3"/>
  <c r="F76" i="3"/>
  <c r="N75" i="3"/>
  <c r="J75" i="3"/>
  <c r="F75" i="3"/>
  <c r="N74" i="3"/>
  <c r="J74" i="3"/>
  <c r="F74" i="3"/>
  <c r="P76" i="3"/>
  <c r="L76" i="3"/>
  <c r="H76" i="3"/>
  <c r="P75" i="3"/>
  <c r="L75" i="3"/>
  <c r="H75" i="3"/>
  <c r="P74" i="3"/>
  <c r="L74" i="3"/>
  <c r="H74" i="3"/>
  <c r="M76" i="3"/>
  <c r="K76" i="3"/>
  <c r="G76" i="3"/>
  <c r="E76" i="3"/>
  <c r="O75" i="3"/>
  <c r="M75" i="3"/>
  <c r="K75" i="3"/>
  <c r="G75" i="3"/>
  <c r="E75" i="3"/>
  <c r="O74" i="3"/>
  <c r="M74" i="3"/>
  <c r="K74" i="3"/>
  <c r="I74" i="3"/>
  <c r="G74" i="3"/>
  <c r="E74" i="3"/>
  <c r="O76" i="3"/>
  <c r="I76" i="3"/>
  <c r="I75" i="3"/>
  <c r="M257" i="2"/>
  <c r="M273" i="2" s="1"/>
  <c r="L227" i="2"/>
  <c r="P363" i="4"/>
  <c r="P346" i="4"/>
  <c r="P320" i="4"/>
  <c r="AU310" i="4"/>
  <c r="O311" i="4"/>
  <c r="AU309" i="4"/>
  <c r="O303" i="4"/>
  <c r="O256" i="4"/>
  <c r="O223" i="4"/>
  <c r="O172" i="4"/>
  <c r="P185" i="4"/>
  <c r="O184" i="4"/>
  <c r="O183" i="4"/>
  <c r="O182" i="4"/>
  <c r="O181" i="4"/>
  <c r="O180" i="4"/>
  <c r="O179" i="4"/>
  <c r="O178" i="4"/>
  <c r="O177" i="4"/>
  <c r="O176" i="4"/>
  <c r="O175" i="4"/>
  <c r="O174" i="4"/>
  <c r="O173" i="4"/>
  <c r="P134" i="4"/>
  <c r="P118" i="4"/>
  <c r="G134" i="4"/>
  <c r="F134" i="4"/>
  <c r="E134" i="4"/>
  <c r="D134" i="4"/>
  <c r="C134" i="4"/>
  <c r="P69" i="4"/>
  <c r="P53" i="4"/>
  <c r="O37" i="4"/>
  <c r="G69" i="4"/>
  <c r="F69" i="4"/>
  <c r="E69" i="4"/>
  <c r="D69" i="4"/>
  <c r="C69" i="4"/>
  <c r="R113" i="3"/>
  <c r="P73" i="3"/>
  <c r="P53" i="3"/>
  <c r="P59" i="3"/>
  <c r="P65" i="3"/>
  <c r="P71" i="3"/>
  <c r="O73" i="3"/>
  <c r="O53" i="3"/>
  <c r="O59" i="3"/>
  <c r="O65" i="3"/>
  <c r="O71" i="3"/>
  <c r="N73" i="3"/>
  <c r="N53" i="3"/>
  <c r="N59" i="3"/>
  <c r="N65" i="3"/>
  <c r="N71" i="3"/>
  <c r="M73" i="3"/>
  <c r="M53" i="3"/>
  <c r="M59" i="3"/>
  <c r="M65" i="3"/>
  <c r="M71" i="3"/>
  <c r="L73" i="3"/>
  <c r="L53" i="3"/>
  <c r="L59" i="3"/>
  <c r="L65" i="3"/>
  <c r="L71" i="3"/>
  <c r="K73" i="3"/>
  <c r="K53" i="3"/>
  <c r="K59" i="3"/>
  <c r="K65" i="3"/>
  <c r="K71" i="3"/>
  <c r="J73" i="3"/>
  <c r="J53" i="3"/>
  <c r="J59" i="3"/>
  <c r="J65" i="3"/>
  <c r="J71" i="3"/>
  <c r="I73" i="3"/>
  <c r="I53" i="3"/>
  <c r="I59" i="3"/>
  <c r="I65" i="3"/>
  <c r="I71" i="3"/>
  <c r="H73" i="3"/>
  <c r="H53" i="3"/>
  <c r="H59" i="3"/>
  <c r="H65" i="3"/>
  <c r="H71" i="3"/>
  <c r="G73" i="3"/>
  <c r="G53" i="3"/>
  <c r="G59" i="3"/>
  <c r="G65" i="3"/>
  <c r="G71" i="3"/>
  <c r="F73" i="3"/>
  <c r="F53" i="3"/>
  <c r="F59" i="3"/>
  <c r="F65" i="3"/>
  <c r="F71" i="3"/>
  <c r="E73" i="3"/>
  <c r="E53" i="3"/>
  <c r="E59" i="3"/>
  <c r="E65" i="3"/>
  <c r="E71" i="3"/>
  <c r="N255" i="2"/>
  <c r="N271" i="2" s="1"/>
  <c r="O225" i="2"/>
  <c r="S203" i="2"/>
  <c r="S72" i="2"/>
  <c r="O102" i="4"/>
  <c r="S38" i="2"/>
  <c r="W301" i="2" l="1"/>
  <c r="V299" i="2"/>
  <c r="S213" i="2"/>
  <c r="AV40" i="15"/>
  <c r="AV68" i="15"/>
  <c r="AW65" i="15"/>
  <c r="AW64" i="15"/>
  <c r="T97" i="2"/>
  <c r="T82" i="2" s="1"/>
  <c r="S215" i="2"/>
  <c r="S214" i="2"/>
  <c r="S111" i="2"/>
  <c r="S219" i="2"/>
  <c r="T101" i="2"/>
  <c r="T102" i="2"/>
  <c r="T104" i="2"/>
  <c r="T89" i="2" s="1"/>
  <c r="T100" i="2"/>
  <c r="U110" i="2"/>
  <c r="U94" i="2" s="1"/>
  <c r="T105" i="2"/>
  <c r="T215" i="2" s="1"/>
  <c r="T107" i="2"/>
  <c r="T91" i="2" s="1"/>
  <c r="T108" i="2"/>
  <c r="T92" i="2" s="1"/>
  <c r="T109" i="2"/>
  <c r="T93" i="2" s="1"/>
  <c r="T220" i="2"/>
  <c r="T99" i="2"/>
  <c r="T103" i="2"/>
  <c r="T106" i="2"/>
  <c r="T90" i="2" s="1"/>
  <c r="T98" i="2"/>
  <c r="T83" i="2" s="1"/>
  <c r="BD364" i="2"/>
  <c r="U372" i="2"/>
  <c r="T385" i="2"/>
  <c r="U381" i="2"/>
  <c r="T386" i="2"/>
  <c r="AY317" i="2"/>
  <c r="AY357" i="2" s="1"/>
  <c r="AX345" i="2"/>
  <c r="AX362" i="2" s="1"/>
  <c r="Q200" i="3"/>
  <c r="AY334" i="2"/>
  <c r="AV209" i="3"/>
  <c r="AV217" i="3" s="1"/>
  <c r="AY318" i="2"/>
  <c r="AY358" i="2" s="1"/>
  <c r="AV205" i="3"/>
  <c r="AV213" i="3" s="1"/>
  <c r="AV185" i="3"/>
  <c r="AV193" i="3" s="1"/>
  <c r="U321" i="2"/>
  <c r="R208" i="3"/>
  <c r="R216" i="3" s="1"/>
  <c r="R188" i="3"/>
  <c r="R196" i="3" s="1"/>
  <c r="AY336" i="2"/>
  <c r="AV211" i="3"/>
  <c r="AV219" i="3" s="1"/>
  <c r="U320" i="2"/>
  <c r="R207" i="3"/>
  <c r="R215" i="3" s="1"/>
  <c r="R187" i="3"/>
  <c r="R195" i="3" s="1"/>
  <c r="AY335" i="2"/>
  <c r="AV210" i="3"/>
  <c r="AV218" i="3" s="1"/>
  <c r="Q201" i="3"/>
  <c r="Q222" i="3"/>
  <c r="Q220" i="3"/>
  <c r="U319" i="2"/>
  <c r="R206" i="3"/>
  <c r="R214" i="3" s="1"/>
  <c r="R186" i="3"/>
  <c r="R194" i="3" s="1"/>
  <c r="U67" i="11"/>
  <c r="U70" i="11" s="1"/>
  <c r="U160" i="11" s="1"/>
  <c r="AR72" i="15"/>
  <c r="AQ170" i="15"/>
  <c r="AM168" i="12" s="1"/>
  <c r="AQ160" i="15"/>
  <c r="AM158" i="12" s="1"/>
  <c r="AQ151" i="15"/>
  <c r="AM150" i="12" s="1"/>
  <c r="AQ142" i="15"/>
  <c r="AM141" i="12" s="1"/>
  <c r="AQ133" i="15"/>
  <c r="AM132" i="12" s="1"/>
  <c r="AQ123" i="15"/>
  <c r="BG349" i="2"/>
  <c r="Q69" i="3"/>
  <c r="Q51" i="3"/>
  <c r="Q53" i="3" s="1"/>
  <c r="Q63" i="3"/>
  <c r="L256" i="2"/>
  <c r="L272" i="2" s="1"/>
  <c r="AH55" i="2"/>
  <c r="U48" i="2"/>
  <c r="U54" i="2"/>
  <c r="U44" i="2"/>
  <c r="U49" i="2"/>
  <c r="U52" i="2"/>
  <c r="U43" i="2"/>
  <c r="U50" i="2"/>
  <c r="U51" i="2"/>
  <c r="U53" i="2"/>
  <c r="U46" i="2"/>
  <c r="T42" i="2"/>
  <c r="T45" i="2"/>
  <c r="U47" i="2"/>
  <c r="R36" i="3"/>
  <c r="Q70" i="3"/>
  <c r="N336" i="17"/>
  <c r="N304" i="17"/>
  <c r="R44" i="3"/>
  <c r="R62" i="3" s="1"/>
  <c r="N337" i="17"/>
  <c r="N305" i="17"/>
  <c r="N307" i="17"/>
  <c r="N339" i="17"/>
  <c r="Q64" i="3"/>
  <c r="Q76" i="3" s="1"/>
  <c r="N312" i="17"/>
  <c r="N344" i="17"/>
  <c r="Q58" i="3"/>
  <c r="N283" i="17"/>
  <c r="N347" i="17"/>
  <c r="N315" i="17"/>
  <c r="Q62" i="3"/>
  <c r="Q74" i="3" s="1"/>
  <c r="N309" i="17"/>
  <c r="N341" i="17"/>
  <c r="N340" i="17"/>
  <c r="N308" i="17"/>
  <c r="N302" i="17"/>
  <c r="N334" i="17"/>
  <c r="Q68" i="3"/>
  <c r="N314" i="17"/>
  <c r="N346" i="17"/>
  <c r="N313" i="17"/>
  <c r="N345" i="17"/>
  <c r="Q47" i="3"/>
  <c r="R45" i="3"/>
  <c r="R57" i="3" s="1"/>
  <c r="N338" i="17"/>
  <c r="N306" i="17"/>
  <c r="Q56" i="3"/>
  <c r="N303" i="17"/>
  <c r="N335" i="17"/>
  <c r="N310" i="17"/>
  <c r="N342" i="17"/>
  <c r="U333" i="17"/>
  <c r="U301" i="17"/>
  <c r="R46" i="3"/>
  <c r="R58" i="3" s="1"/>
  <c r="N311" i="17"/>
  <c r="N343" i="17"/>
  <c r="AL88" i="17"/>
  <c r="AL89" i="17"/>
  <c r="AL96" i="17"/>
  <c r="AL83" i="17"/>
  <c r="AL94" i="17"/>
  <c r="AL84" i="17"/>
  <c r="AL90" i="17"/>
  <c r="AL91" i="17"/>
  <c r="AL92" i="17"/>
  <c r="AN85" i="17"/>
  <c r="AL97" i="17"/>
  <c r="AL86" i="17"/>
  <c r="AL87" i="17"/>
  <c r="AL95" i="17"/>
  <c r="AL93" i="17"/>
  <c r="O461" i="17"/>
  <c r="O463" i="17"/>
  <c r="O462" i="17"/>
  <c r="U339" i="2"/>
  <c r="U340" i="2"/>
  <c r="U341" i="2"/>
  <c r="T309" i="2"/>
  <c r="R28" i="3"/>
  <c r="R35" i="3"/>
  <c r="R30" i="3"/>
  <c r="S8" i="3"/>
  <c r="S24" i="3" s="1"/>
  <c r="AE66" i="15"/>
  <c r="AD168" i="15"/>
  <c r="Z166" i="12" s="1"/>
  <c r="AD149" i="15"/>
  <c r="AD140" i="15"/>
  <c r="AD131" i="15"/>
  <c r="AD121" i="15"/>
  <c r="Z121" i="12" s="1"/>
  <c r="AD111" i="15"/>
  <c r="Z112" i="12" s="1"/>
  <c r="AD67" i="15"/>
  <c r="Z178" i="12" s="1"/>
  <c r="Z139" i="12"/>
  <c r="Z148" i="12"/>
  <c r="Z130" i="12"/>
  <c r="AC95" i="15"/>
  <c r="AD93" i="15"/>
  <c r="AD159" i="15"/>
  <c r="AD169" i="15"/>
  <c r="Z167" i="12" s="1"/>
  <c r="AD150" i="15"/>
  <c r="Z149" i="12" s="1"/>
  <c r="AD141" i="15"/>
  <c r="Z140" i="12" s="1"/>
  <c r="AD132" i="15"/>
  <c r="Z131" i="12" s="1"/>
  <c r="AD122" i="15"/>
  <c r="Z122" i="12" s="1"/>
  <c r="AD112" i="15"/>
  <c r="Z113" i="12" s="1"/>
  <c r="AE164" i="15"/>
  <c r="AA162" i="12" s="1"/>
  <c r="AE155" i="15"/>
  <c r="AE145" i="15"/>
  <c r="AE136" i="15"/>
  <c r="AA135" i="12" s="1"/>
  <c r="AE127" i="15"/>
  <c r="AA127" i="12" s="1"/>
  <c r="AE117" i="15"/>
  <c r="AA118" i="12" s="1"/>
  <c r="AF84" i="15"/>
  <c r="R34" i="3"/>
  <c r="Q298" i="3"/>
  <c r="R31" i="3"/>
  <c r="Q262" i="3"/>
  <c r="R26" i="3"/>
  <c r="S16" i="3"/>
  <c r="U21" i="2"/>
  <c r="S22" i="3"/>
  <c r="S239" i="3"/>
  <c r="S247" i="3" s="1"/>
  <c r="S255" i="3" s="1"/>
  <c r="S11" i="3"/>
  <c r="X55" i="3"/>
  <c r="X49" i="3"/>
  <c r="X61" i="3"/>
  <c r="X67" i="3"/>
  <c r="U15" i="2"/>
  <c r="U12" i="2"/>
  <c r="S18" i="3"/>
  <c r="U189" i="3"/>
  <c r="U197" i="3" s="1"/>
  <c r="T285" i="3"/>
  <c r="T294" i="3" s="1"/>
  <c r="T243" i="3"/>
  <c r="T251" i="3" s="1"/>
  <c r="T259" i="3" s="1"/>
  <c r="S12" i="3"/>
  <c r="U8" i="2"/>
  <c r="S19" i="3"/>
  <c r="R25" i="3"/>
  <c r="R283" i="3"/>
  <c r="R292" i="3" s="1"/>
  <c r="R241" i="3"/>
  <c r="R249" i="3" s="1"/>
  <c r="R257" i="3" s="1"/>
  <c r="U14" i="2"/>
  <c r="Y89" i="3"/>
  <c r="Y90" i="3" s="1"/>
  <c r="Y43" i="3"/>
  <c r="S9" i="3"/>
  <c r="S15" i="3"/>
  <c r="U20" i="2"/>
  <c r="S14" i="3"/>
  <c r="U16" i="2"/>
  <c r="R240" i="3"/>
  <c r="R248" i="3" s="1"/>
  <c r="R256" i="3" s="1"/>
  <c r="R242" i="3"/>
  <c r="R250" i="3" s="1"/>
  <c r="R258" i="3" s="1"/>
  <c r="R284" i="3"/>
  <c r="R293" i="3" s="1"/>
  <c r="U191" i="3"/>
  <c r="U199" i="3" s="1"/>
  <c r="T287" i="3"/>
  <c r="T296" i="3" s="1"/>
  <c r="T245" i="3"/>
  <c r="T253" i="3" s="1"/>
  <c r="T261" i="3" s="1"/>
  <c r="U9" i="2"/>
  <c r="R29" i="3"/>
  <c r="U10" i="2"/>
  <c r="S10" i="3"/>
  <c r="Q39" i="3"/>
  <c r="U17" i="2"/>
  <c r="U11" i="2"/>
  <c r="U13" i="2"/>
  <c r="S13" i="3"/>
  <c r="R37" i="3"/>
  <c r="W73" i="3"/>
  <c r="R33" i="3"/>
  <c r="S20" i="3"/>
  <c r="U19" i="2"/>
  <c r="S281" i="3"/>
  <c r="S290" i="3" s="1"/>
  <c r="R32" i="3"/>
  <c r="R38" i="3"/>
  <c r="U18" i="2"/>
  <c r="U190" i="3"/>
  <c r="U198" i="3" s="1"/>
  <c r="T244" i="3"/>
  <c r="T252" i="3" s="1"/>
  <c r="T260" i="3" s="1"/>
  <c r="S21" i="3"/>
  <c r="S17" i="3"/>
  <c r="R27" i="3"/>
  <c r="Z288" i="3"/>
  <c r="Z297" i="3" s="1"/>
  <c r="Z230" i="3"/>
  <c r="Z231" i="3" s="1"/>
  <c r="AH173" i="15"/>
  <c r="AH163" i="15"/>
  <c r="AD161" i="12" s="1"/>
  <c r="AH154" i="15"/>
  <c r="AH135" i="15"/>
  <c r="AD134" i="12" s="1"/>
  <c r="AH125" i="15"/>
  <c r="AD125" i="12" s="1"/>
  <c r="AH115" i="15"/>
  <c r="AD116" i="12" s="1"/>
  <c r="P77" i="3"/>
  <c r="O308" i="3"/>
  <c r="N308" i="3"/>
  <c r="P85" i="3"/>
  <c r="G308" i="3"/>
  <c r="K308" i="3"/>
  <c r="E308" i="3"/>
  <c r="I308" i="3"/>
  <c r="M308" i="3"/>
  <c r="AL103" i="15"/>
  <c r="AI116" i="15"/>
  <c r="U309" i="2"/>
  <c r="Y98" i="11"/>
  <c r="Z96" i="11"/>
  <c r="Z163" i="11"/>
  <c r="Z153" i="11"/>
  <c r="Z142" i="11"/>
  <c r="Z132" i="11"/>
  <c r="Z122" i="11"/>
  <c r="Z112" i="11"/>
  <c r="AA79" i="11"/>
  <c r="Z173" i="11"/>
  <c r="Z162" i="11"/>
  <c r="Z152" i="11"/>
  <c r="Z131" i="11"/>
  <c r="Z120" i="11"/>
  <c r="Z110" i="11"/>
  <c r="AA74" i="11"/>
  <c r="Z172" i="11"/>
  <c r="Z161" i="11"/>
  <c r="Z151" i="11"/>
  <c r="Z141" i="11"/>
  <c r="Z119" i="11"/>
  <c r="Z109" i="11"/>
  <c r="AA72" i="11"/>
  <c r="Z169" i="11"/>
  <c r="Z148" i="11"/>
  <c r="Z138" i="11"/>
  <c r="Z128" i="11"/>
  <c r="Z117" i="11"/>
  <c r="Z107" i="11"/>
  <c r="AA65" i="11"/>
  <c r="Z89" i="11"/>
  <c r="Y90" i="11"/>
  <c r="Z88" i="11"/>
  <c r="V158" i="11"/>
  <c r="V147" i="11"/>
  <c r="V116" i="11"/>
  <c r="V123" i="11" s="1"/>
  <c r="V106" i="11"/>
  <c r="W64" i="11"/>
  <c r="U123" i="11"/>
  <c r="R123" i="11"/>
  <c r="L77" i="3"/>
  <c r="F77" i="3"/>
  <c r="K77" i="3"/>
  <c r="E77" i="3"/>
  <c r="G77" i="3"/>
  <c r="O77" i="3"/>
  <c r="I77" i="3"/>
  <c r="N77" i="3"/>
  <c r="H77" i="3"/>
  <c r="M77" i="3"/>
  <c r="J77" i="3"/>
  <c r="L257" i="2"/>
  <c r="L273" i="2" s="1"/>
  <c r="K227" i="2"/>
  <c r="K256" i="2"/>
  <c r="K272" i="2" s="1"/>
  <c r="J226" i="2"/>
  <c r="T38" i="2"/>
  <c r="P102" i="4"/>
  <c r="O255" i="2"/>
  <c r="O271" i="2" s="1"/>
  <c r="P225" i="2"/>
  <c r="BQ380" i="2"/>
  <c r="BQ381" i="2"/>
  <c r="S113" i="3"/>
  <c r="P37" i="4"/>
  <c r="Q53" i="4"/>
  <c r="Q69" i="4"/>
  <c r="Q118" i="4"/>
  <c r="Q134" i="4"/>
  <c r="P173" i="4"/>
  <c r="P174" i="4"/>
  <c r="P175" i="4"/>
  <c r="P176" i="4"/>
  <c r="P177" i="4"/>
  <c r="P178" i="4"/>
  <c r="P179" i="4"/>
  <c r="P180" i="4"/>
  <c r="P181" i="4"/>
  <c r="P182" i="4"/>
  <c r="P183" i="4"/>
  <c r="P184" i="4"/>
  <c r="Q185" i="4"/>
  <c r="P223" i="4"/>
  <c r="P172" i="4"/>
  <c r="P256" i="4"/>
  <c r="P303" i="4"/>
  <c r="P311" i="4"/>
  <c r="AV309" i="4"/>
  <c r="AV310" i="4"/>
  <c r="Q320" i="4"/>
  <c r="Q346" i="4"/>
  <c r="Q363" i="4"/>
  <c r="AA89" i="11" l="1"/>
  <c r="T213" i="2"/>
  <c r="T88" i="2"/>
  <c r="T209" i="2"/>
  <c r="T84" i="2"/>
  <c r="T210" i="2"/>
  <c r="T85" i="2"/>
  <c r="T212" i="2"/>
  <c r="T87" i="2"/>
  <c r="T211" i="2"/>
  <c r="T86" i="2"/>
  <c r="X301" i="2"/>
  <c r="W299" i="2"/>
  <c r="U220" i="2"/>
  <c r="AW40" i="15"/>
  <c r="AW68" i="15"/>
  <c r="AX65" i="15"/>
  <c r="AX64" i="15"/>
  <c r="AX68" i="15" s="1"/>
  <c r="U97" i="2"/>
  <c r="U82" i="2" s="1"/>
  <c r="T217" i="2"/>
  <c r="T208" i="2"/>
  <c r="T214" i="2"/>
  <c r="T219" i="2"/>
  <c r="T218" i="2"/>
  <c r="T111" i="2"/>
  <c r="U104" i="2"/>
  <c r="U89" i="2" s="1"/>
  <c r="U103" i="2"/>
  <c r="U105" i="2"/>
  <c r="U215" i="2" s="1"/>
  <c r="U108" i="2"/>
  <c r="U92" i="2" s="1"/>
  <c r="U99" i="2"/>
  <c r="U102" i="2"/>
  <c r="U107" i="2"/>
  <c r="U106" i="2"/>
  <c r="U109" i="2"/>
  <c r="U93" i="2" s="1"/>
  <c r="U100" i="2"/>
  <c r="U85" i="2" s="1"/>
  <c r="V110" i="2"/>
  <c r="V94" i="2" s="1"/>
  <c r="U101" i="2"/>
  <c r="U86" i="2" s="1"/>
  <c r="U98" i="2"/>
  <c r="U83" i="2" s="1"/>
  <c r="BE364" i="2"/>
  <c r="V372" i="2"/>
  <c r="U385" i="2"/>
  <c r="V67" i="11"/>
  <c r="V159" i="11" s="1"/>
  <c r="U159" i="11"/>
  <c r="U164" i="11" s="1"/>
  <c r="U171" i="11"/>
  <c r="V381" i="2"/>
  <c r="U386" i="2"/>
  <c r="AZ317" i="2"/>
  <c r="AZ357" i="2" s="1"/>
  <c r="AY345" i="2"/>
  <c r="AY362" i="2" s="1"/>
  <c r="U170" i="11"/>
  <c r="U81" i="11"/>
  <c r="U83" i="11"/>
  <c r="U139" i="11"/>
  <c r="U129" i="11"/>
  <c r="U130" i="11"/>
  <c r="U150" i="11"/>
  <c r="U140" i="11"/>
  <c r="U149" i="11"/>
  <c r="R200" i="3"/>
  <c r="AZ335" i="2"/>
  <c r="AW210" i="3"/>
  <c r="AW218" i="3" s="1"/>
  <c r="V321" i="2"/>
  <c r="S208" i="3"/>
  <c r="S216" i="3" s="1"/>
  <c r="S188" i="3"/>
  <c r="S196" i="3" s="1"/>
  <c r="R222" i="3"/>
  <c r="R201" i="3"/>
  <c r="R220" i="3"/>
  <c r="V319" i="2"/>
  <c r="S206" i="3"/>
  <c r="S214" i="3" s="1"/>
  <c r="S186" i="3"/>
  <c r="S194" i="3" s="1"/>
  <c r="V320" i="2"/>
  <c r="S207" i="3"/>
  <c r="S215" i="3" s="1"/>
  <c r="S187" i="3"/>
  <c r="S195" i="3" s="1"/>
  <c r="AZ318" i="2"/>
  <c r="AZ358" i="2" s="1"/>
  <c r="AW205" i="3"/>
  <c r="AW213" i="3" s="1"/>
  <c r="AW185" i="3"/>
  <c r="AW193" i="3" s="1"/>
  <c r="AZ336" i="2"/>
  <c r="AW211" i="3"/>
  <c r="AW219" i="3" s="1"/>
  <c r="AZ334" i="2"/>
  <c r="AW209" i="3"/>
  <c r="AW217" i="3" s="1"/>
  <c r="U172" i="15"/>
  <c r="Q170" i="12" s="1"/>
  <c r="U162" i="15"/>
  <c r="Q160" i="12" s="1"/>
  <c r="U153" i="15"/>
  <c r="Q152" i="12" s="1"/>
  <c r="U144" i="15"/>
  <c r="Q143" i="12" s="1"/>
  <c r="U124" i="15"/>
  <c r="U114" i="15"/>
  <c r="Q115" i="12" s="1"/>
  <c r="Q119" i="12" s="1"/>
  <c r="U75" i="15"/>
  <c r="AS72" i="15"/>
  <c r="AR170" i="15"/>
  <c r="AN168" i="12" s="1"/>
  <c r="AR160" i="15"/>
  <c r="AN158" i="12" s="1"/>
  <c r="AR151" i="15"/>
  <c r="AN150" i="12" s="1"/>
  <c r="AR142" i="15"/>
  <c r="AN141" i="12" s="1"/>
  <c r="AR133" i="15"/>
  <c r="AN132" i="12" s="1"/>
  <c r="AR123" i="15"/>
  <c r="Q75" i="3"/>
  <c r="Q77" i="3" s="1"/>
  <c r="BH349" i="2"/>
  <c r="R69" i="3"/>
  <c r="R68" i="3"/>
  <c r="R56" i="3"/>
  <c r="R59" i="3" s="1"/>
  <c r="R50" i="3"/>
  <c r="R74" i="3" s="1"/>
  <c r="Q71" i="3"/>
  <c r="Q59" i="3"/>
  <c r="R63" i="3"/>
  <c r="AI55" i="2"/>
  <c r="V51" i="2"/>
  <c r="V49" i="2"/>
  <c r="U45" i="2"/>
  <c r="V44" i="2"/>
  <c r="V50" i="2"/>
  <c r="V46" i="2"/>
  <c r="V43" i="2"/>
  <c r="V54" i="2"/>
  <c r="U42" i="2"/>
  <c r="V47" i="2"/>
  <c r="V53" i="2"/>
  <c r="V52" i="2"/>
  <c r="V48" i="2"/>
  <c r="R52" i="3"/>
  <c r="S37" i="3"/>
  <c r="R47" i="3"/>
  <c r="R64" i="3"/>
  <c r="R51" i="3"/>
  <c r="Q65" i="3"/>
  <c r="R70" i="3"/>
  <c r="S38" i="3"/>
  <c r="O314" i="17"/>
  <c r="O346" i="17"/>
  <c r="V333" i="17"/>
  <c r="V301" i="17"/>
  <c r="O307" i="17"/>
  <c r="O339" i="17"/>
  <c r="S45" i="3"/>
  <c r="S57" i="3" s="1"/>
  <c r="O306" i="17"/>
  <c r="O338" i="17"/>
  <c r="O312" i="17"/>
  <c r="O344" i="17"/>
  <c r="O304" i="17"/>
  <c r="O336" i="17"/>
  <c r="O303" i="17"/>
  <c r="O335" i="17"/>
  <c r="O342" i="17"/>
  <c r="O310" i="17"/>
  <c r="O345" i="17"/>
  <c r="O313" i="17"/>
  <c r="O340" i="17"/>
  <c r="O308" i="17"/>
  <c r="S44" i="3"/>
  <c r="S56" i="3" s="1"/>
  <c r="O305" i="17"/>
  <c r="O337" i="17"/>
  <c r="O309" i="17"/>
  <c r="O341" i="17"/>
  <c r="O283" i="17"/>
  <c r="O347" i="17"/>
  <c r="O315" i="17"/>
  <c r="S46" i="3"/>
  <c r="S58" i="3" s="1"/>
  <c r="O311" i="17"/>
  <c r="O343" i="17"/>
  <c r="O302" i="17"/>
  <c r="O334" i="17"/>
  <c r="AM86" i="17"/>
  <c r="AM91" i="17"/>
  <c r="AM83" i="17"/>
  <c r="AM93" i="17"/>
  <c r="AM97" i="17"/>
  <c r="AM90" i="17"/>
  <c r="AM96" i="17"/>
  <c r="AM95" i="17"/>
  <c r="AO85" i="17"/>
  <c r="AM84" i="17"/>
  <c r="AM89" i="17"/>
  <c r="AM87" i="17"/>
  <c r="AM92" i="17"/>
  <c r="AM94" i="17"/>
  <c r="AM88" i="17"/>
  <c r="P461" i="17"/>
  <c r="P463" i="17"/>
  <c r="P462" i="17"/>
  <c r="V339" i="2"/>
  <c r="V340" i="2"/>
  <c r="V341" i="2"/>
  <c r="S31" i="3"/>
  <c r="T8" i="3"/>
  <c r="T24" i="3" s="1"/>
  <c r="AF66" i="15"/>
  <c r="AE168" i="15"/>
  <c r="AA166" i="12" s="1"/>
  <c r="AE149" i="15"/>
  <c r="AE140" i="15"/>
  <c r="AE131" i="15"/>
  <c r="AA130" i="12" s="1"/>
  <c r="AE121" i="15"/>
  <c r="AE111" i="15"/>
  <c r="AA112" i="12" s="1"/>
  <c r="AE67" i="15"/>
  <c r="AA178" i="12" s="1"/>
  <c r="AA139" i="12"/>
  <c r="AA148" i="12"/>
  <c r="AA121" i="12"/>
  <c r="AF164" i="15"/>
  <c r="AB162" i="12" s="1"/>
  <c r="AF155" i="15"/>
  <c r="AF145" i="15"/>
  <c r="AF136" i="15"/>
  <c r="AB135" i="12" s="1"/>
  <c r="AF127" i="15"/>
  <c r="AB127" i="12" s="1"/>
  <c r="AF117" i="15"/>
  <c r="AB118" i="12" s="1"/>
  <c r="AG84" i="15"/>
  <c r="AE159" i="15"/>
  <c r="AE169" i="15"/>
  <c r="AA167" i="12" s="1"/>
  <c r="AE150" i="15"/>
  <c r="AA149" i="12" s="1"/>
  <c r="AE141" i="15"/>
  <c r="AA140" i="12" s="1"/>
  <c r="AE132" i="15"/>
  <c r="AA131" i="12" s="1"/>
  <c r="AE122" i="15"/>
  <c r="AA122" i="12" s="1"/>
  <c r="AE112" i="15"/>
  <c r="AA113" i="12" s="1"/>
  <c r="AE94" i="15"/>
  <c r="AF94" i="15" s="1"/>
  <c r="AD95" i="15"/>
  <c r="AE93" i="15"/>
  <c r="S29" i="3"/>
  <c r="S33" i="3"/>
  <c r="S30" i="3"/>
  <c r="S25" i="3"/>
  <c r="V18" i="2"/>
  <c r="T20" i="3"/>
  <c r="V13" i="2"/>
  <c r="T10" i="3"/>
  <c r="R262" i="3"/>
  <c r="T18" i="3"/>
  <c r="T281" i="3"/>
  <c r="T290" i="3" s="1"/>
  <c r="T17" i="3"/>
  <c r="S240" i="3"/>
  <c r="S248" i="3" s="1"/>
  <c r="S256" i="3" s="1"/>
  <c r="T15" i="3"/>
  <c r="V14" i="2"/>
  <c r="V8" i="2"/>
  <c r="V11" i="2"/>
  <c r="V10" i="2"/>
  <c r="V9" i="2"/>
  <c r="S284" i="3"/>
  <c r="S293" i="3" s="1"/>
  <c r="S242" i="3"/>
  <c r="S250" i="3" s="1"/>
  <c r="S258" i="3" s="1"/>
  <c r="S28" i="3"/>
  <c r="V12" i="2"/>
  <c r="S27" i="3"/>
  <c r="V16" i="2"/>
  <c r="T9" i="3"/>
  <c r="R298" i="3"/>
  <c r="T12" i="3"/>
  <c r="T11" i="3"/>
  <c r="T22" i="3"/>
  <c r="T21" i="3"/>
  <c r="V17" i="2"/>
  <c r="Y55" i="3"/>
  <c r="Y67" i="3"/>
  <c r="Y49" i="3"/>
  <c r="Y61" i="3"/>
  <c r="S283" i="3"/>
  <c r="S292" i="3" s="1"/>
  <c r="S241" i="3"/>
  <c r="S249" i="3" s="1"/>
  <c r="S257" i="3" s="1"/>
  <c r="V15" i="2"/>
  <c r="V191" i="3"/>
  <c r="V199" i="3" s="1"/>
  <c r="U287" i="3"/>
  <c r="U296" i="3" s="1"/>
  <c r="U245" i="3"/>
  <c r="U253" i="3" s="1"/>
  <c r="U261" i="3" s="1"/>
  <c r="T14" i="3"/>
  <c r="R39" i="3"/>
  <c r="T239" i="3"/>
  <c r="T247" i="3" s="1"/>
  <c r="T255" i="3" s="1"/>
  <c r="V21" i="2"/>
  <c r="AA288" i="3"/>
  <c r="AA297" i="3" s="1"/>
  <c r="AA230" i="3"/>
  <c r="AA231" i="3" s="1"/>
  <c r="V190" i="3"/>
  <c r="V198" i="3" s="1"/>
  <c r="U244" i="3"/>
  <c r="U252" i="3" s="1"/>
  <c r="U260" i="3" s="1"/>
  <c r="V19" i="2"/>
  <c r="T13" i="3"/>
  <c r="Z89" i="3"/>
  <c r="Z90" i="3" s="1"/>
  <c r="Z43" i="3"/>
  <c r="S35" i="3"/>
  <c r="V189" i="3"/>
  <c r="V197" i="3" s="1"/>
  <c r="U285" i="3"/>
  <c r="U294" i="3" s="1"/>
  <c r="U243" i="3"/>
  <c r="U251" i="3" s="1"/>
  <c r="U259" i="3" s="1"/>
  <c r="S32" i="3"/>
  <c r="S36" i="3"/>
  <c r="S26" i="3"/>
  <c r="V20" i="2"/>
  <c r="T19" i="3"/>
  <c r="S34" i="3"/>
  <c r="X73" i="3"/>
  <c r="T16" i="3"/>
  <c r="AI173" i="15"/>
  <c r="AI163" i="15"/>
  <c r="AE161" i="12" s="1"/>
  <c r="AI154" i="15"/>
  <c r="AI135" i="15"/>
  <c r="AE134" i="12" s="1"/>
  <c r="AI125" i="15"/>
  <c r="AE125" i="12" s="1"/>
  <c r="AI115" i="15"/>
  <c r="AE116" i="12" s="1"/>
  <c r="Q85" i="3"/>
  <c r="P308" i="3"/>
  <c r="AM103" i="15"/>
  <c r="AJ116" i="15"/>
  <c r="V309" i="2"/>
  <c r="W158" i="11"/>
  <c r="W147" i="11"/>
  <c r="W116" i="11"/>
  <c r="W123" i="11" s="1"/>
  <c r="W106" i="11"/>
  <c r="X64" i="11"/>
  <c r="Z90" i="11"/>
  <c r="AA88" i="11"/>
  <c r="AA169" i="11"/>
  <c r="AA148" i="11"/>
  <c r="AA138" i="11"/>
  <c r="AA128" i="11"/>
  <c r="AA117" i="11"/>
  <c r="AA107" i="11"/>
  <c r="AB65" i="11"/>
  <c r="AA172" i="11"/>
  <c r="AA161" i="11"/>
  <c r="AA151" i="11"/>
  <c r="AA141" i="11"/>
  <c r="AA119" i="11"/>
  <c r="AA109" i="11"/>
  <c r="AB72" i="11"/>
  <c r="AA173" i="11"/>
  <c r="AA162" i="11"/>
  <c r="AA152" i="11"/>
  <c r="AA131" i="11"/>
  <c r="AA120" i="11"/>
  <c r="AA110" i="11"/>
  <c r="AB74" i="11"/>
  <c r="AA163" i="11"/>
  <c r="AA153" i="11"/>
  <c r="AA142" i="11"/>
  <c r="AA132" i="11"/>
  <c r="AA122" i="11"/>
  <c r="AA112" i="11"/>
  <c r="AB79" i="11"/>
  <c r="Z98" i="11"/>
  <c r="AA96" i="11"/>
  <c r="J256" i="2"/>
  <c r="J272" i="2" s="1"/>
  <c r="I226" i="2"/>
  <c r="K257" i="2"/>
  <c r="K273" i="2" s="1"/>
  <c r="J227" i="2"/>
  <c r="R363" i="4"/>
  <c r="R346" i="4"/>
  <c r="R320" i="4"/>
  <c r="AW310" i="4"/>
  <c r="Q311" i="4"/>
  <c r="AW309" i="4"/>
  <c r="Q303" i="4"/>
  <c r="Q256" i="4"/>
  <c r="Q223" i="4"/>
  <c r="Q172" i="4"/>
  <c r="R185" i="4"/>
  <c r="Q184" i="4"/>
  <c r="Q183" i="4"/>
  <c r="Q182" i="4"/>
  <c r="Q181" i="4"/>
  <c r="Q180" i="4"/>
  <c r="Q179" i="4"/>
  <c r="Q178" i="4"/>
  <c r="Q177" i="4"/>
  <c r="Q176" i="4"/>
  <c r="Q175" i="4"/>
  <c r="Q174" i="4"/>
  <c r="Q173" i="4"/>
  <c r="R134" i="4"/>
  <c r="R118" i="4"/>
  <c r="R69" i="4"/>
  <c r="R53" i="4"/>
  <c r="Q37" i="4"/>
  <c r="T113" i="3"/>
  <c r="BR381" i="2"/>
  <c r="BR380" i="2"/>
  <c r="P255" i="2"/>
  <c r="P271" i="2" s="1"/>
  <c r="Q225" i="2"/>
  <c r="Q255" i="2" s="1"/>
  <c r="U72" i="2"/>
  <c r="Q102" i="4"/>
  <c r="U38" i="2"/>
  <c r="W67" i="11" s="1"/>
  <c r="U90" i="2" l="1"/>
  <c r="U217" i="2"/>
  <c r="U91" i="2"/>
  <c r="U212" i="2"/>
  <c r="U87" i="2"/>
  <c r="U209" i="2"/>
  <c r="U84" i="2"/>
  <c r="U213" i="2"/>
  <c r="U88" i="2"/>
  <c r="Y301" i="2"/>
  <c r="X299" i="2"/>
  <c r="AY65" i="15"/>
  <c r="AY64" i="15"/>
  <c r="AY68" i="15" s="1"/>
  <c r="V97" i="2"/>
  <c r="V82" i="2" s="1"/>
  <c r="U219" i="2"/>
  <c r="U208" i="2"/>
  <c r="U211" i="2"/>
  <c r="U218" i="2"/>
  <c r="U214" i="2"/>
  <c r="U111" i="2"/>
  <c r="V108" i="2"/>
  <c r="V92" i="2" s="1"/>
  <c r="U210" i="2"/>
  <c r="V100" i="2"/>
  <c r="V85" i="2" s="1"/>
  <c r="V102" i="2"/>
  <c r="V87" i="2" s="1"/>
  <c r="V103" i="2"/>
  <c r="W110" i="2"/>
  <c r="W94" i="2" s="1"/>
  <c r="V105" i="2"/>
  <c r="V215" i="2" s="1"/>
  <c r="V109" i="2"/>
  <c r="V99" i="2"/>
  <c r="V84" i="2" s="1"/>
  <c r="V104" i="2"/>
  <c r="V89" i="2" s="1"/>
  <c r="V107" i="2"/>
  <c r="V220" i="2"/>
  <c r="V101" i="2"/>
  <c r="V106" i="2"/>
  <c r="V98" i="2"/>
  <c r="V83" i="2" s="1"/>
  <c r="U174" i="11"/>
  <c r="BF364" i="2"/>
  <c r="W372" i="2"/>
  <c r="V385" i="2"/>
  <c r="V70" i="11"/>
  <c r="V140" i="11" s="1"/>
  <c r="V170" i="11"/>
  <c r="V111" i="11"/>
  <c r="V129" i="11"/>
  <c r="V139" i="11"/>
  <c r="V149" i="11"/>
  <c r="V108" i="11" s="1"/>
  <c r="U143" i="11"/>
  <c r="W381" i="2"/>
  <c r="V386" i="2"/>
  <c r="S200" i="3"/>
  <c r="U154" i="11"/>
  <c r="U133" i="11"/>
  <c r="BA317" i="2"/>
  <c r="BA357" i="2" s="1"/>
  <c r="AZ345" i="2"/>
  <c r="AZ362" i="2" s="1"/>
  <c r="BA318" i="2"/>
  <c r="BA358" i="2" s="1"/>
  <c r="AX205" i="3"/>
  <c r="AX213" i="3" s="1"/>
  <c r="AX185" i="3"/>
  <c r="AX193" i="3" s="1"/>
  <c r="BA334" i="2"/>
  <c r="AX209" i="3"/>
  <c r="AX217" i="3" s="1"/>
  <c r="W320" i="2"/>
  <c r="T207" i="3"/>
  <c r="T215" i="3" s="1"/>
  <c r="T187" i="3"/>
  <c r="T195" i="3" s="1"/>
  <c r="S201" i="3"/>
  <c r="S222" i="3"/>
  <c r="W321" i="2"/>
  <c r="T208" i="3"/>
  <c r="T216" i="3" s="1"/>
  <c r="T188" i="3"/>
  <c r="T196" i="3" s="1"/>
  <c r="BA336" i="2"/>
  <c r="AX211" i="3"/>
  <c r="AX219" i="3" s="1"/>
  <c r="S220" i="3"/>
  <c r="W319" i="2"/>
  <c r="T206" i="3"/>
  <c r="T214" i="3" s="1"/>
  <c r="T186" i="3"/>
  <c r="T194" i="3" s="1"/>
  <c r="BA335" i="2"/>
  <c r="AX210" i="3"/>
  <c r="AX218" i="3" s="1"/>
  <c r="U161" i="15"/>
  <c r="U171" i="15"/>
  <c r="U152" i="15"/>
  <c r="U143" i="15"/>
  <c r="U134" i="15"/>
  <c r="U86" i="15"/>
  <c r="U113" i="15"/>
  <c r="U118" i="15" s="1"/>
  <c r="Q124" i="12"/>
  <c r="Q128" i="12" s="1"/>
  <c r="R128" i="15"/>
  <c r="U128" i="15"/>
  <c r="V172" i="15"/>
  <c r="R170" i="12" s="1"/>
  <c r="V162" i="15"/>
  <c r="R160" i="12" s="1"/>
  <c r="V153" i="15"/>
  <c r="R152" i="12" s="1"/>
  <c r="V144" i="15"/>
  <c r="R143" i="12" s="1"/>
  <c r="V124" i="15"/>
  <c r="V114" i="15"/>
  <c r="R115" i="12" s="1"/>
  <c r="R119" i="12" s="1"/>
  <c r="V75" i="15"/>
  <c r="AT72" i="15"/>
  <c r="AS170" i="15"/>
  <c r="AO168" i="12" s="1"/>
  <c r="AS160" i="15"/>
  <c r="AO158" i="12" s="1"/>
  <c r="AS151" i="15"/>
  <c r="AO150" i="12" s="1"/>
  <c r="AS142" i="15"/>
  <c r="AO141" i="12" s="1"/>
  <c r="AS133" i="15"/>
  <c r="AO132" i="12" s="1"/>
  <c r="AS123" i="15"/>
  <c r="BI349" i="2"/>
  <c r="R75" i="3"/>
  <c r="T35" i="3"/>
  <c r="S70" i="3"/>
  <c r="R65" i="3"/>
  <c r="R71" i="3"/>
  <c r="R76" i="3"/>
  <c r="R53" i="3"/>
  <c r="AJ55" i="2"/>
  <c r="W43" i="2"/>
  <c r="W52" i="2"/>
  <c r="V45" i="2"/>
  <c r="W47" i="2"/>
  <c r="W46" i="2"/>
  <c r="W49" i="2"/>
  <c r="W54" i="2"/>
  <c r="W53" i="2"/>
  <c r="W44" i="2"/>
  <c r="W48" i="2"/>
  <c r="W58" i="2"/>
  <c r="V42" i="2"/>
  <c r="W50" i="2"/>
  <c r="W51" i="2"/>
  <c r="S51" i="3"/>
  <c r="S47" i="3"/>
  <c r="S64" i="3"/>
  <c r="S62" i="3"/>
  <c r="S52" i="3"/>
  <c r="S68" i="3"/>
  <c r="S50" i="3"/>
  <c r="S69" i="3"/>
  <c r="S63" i="3"/>
  <c r="S298" i="3"/>
  <c r="P314" i="17"/>
  <c r="P346" i="17"/>
  <c r="P283" i="17"/>
  <c r="P315" i="17"/>
  <c r="P347" i="17"/>
  <c r="T45" i="3"/>
  <c r="T57" i="3" s="1"/>
  <c r="P306" i="17"/>
  <c r="P338" i="17"/>
  <c r="P304" i="17"/>
  <c r="P336" i="17"/>
  <c r="P307" i="17"/>
  <c r="P339" i="17"/>
  <c r="P303" i="17"/>
  <c r="P335" i="17"/>
  <c r="P313" i="17"/>
  <c r="P345" i="17"/>
  <c r="P342" i="17"/>
  <c r="P310" i="17"/>
  <c r="P302" i="17"/>
  <c r="P334" i="17"/>
  <c r="P309" i="17"/>
  <c r="P341" i="17"/>
  <c r="P308" i="17"/>
  <c r="P340" i="17"/>
  <c r="T44" i="3"/>
  <c r="T50" i="3" s="1"/>
  <c r="P337" i="17"/>
  <c r="P305" i="17"/>
  <c r="W333" i="17"/>
  <c r="W301" i="17"/>
  <c r="T46" i="3"/>
  <c r="T52" i="3" s="1"/>
  <c r="P343" i="17"/>
  <c r="P311" i="17"/>
  <c r="P344" i="17"/>
  <c r="P312" i="17"/>
  <c r="AP85" i="17"/>
  <c r="AN87" i="17"/>
  <c r="AN95" i="17"/>
  <c r="AN93" i="17"/>
  <c r="AN88" i="17"/>
  <c r="AN89" i="17"/>
  <c r="AN96" i="17"/>
  <c r="AN83" i="17"/>
  <c r="AN94" i="17"/>
  <c r="AN84" i="17"/>
  <c r="AN90" i="17"/>
  <c r="AN91" i="17"/>
  <c r="AN92" i="17"/>
  <c r="AN97" i="17"/>
  <c r="AN86" i="17"/>
  <c r="Q462" i="17"/>
  <c r="Q461" i="17"/>
  <c r="Q463" i="17"/>
  <c r="W339" i="2"/>
  <c r="W340" i="2"/>
  <c r="W341" i="2"/>
  <c r="T30" i="3"/>
  <c r="T27" i="3"/>
  <c r="T25" i="3"/>
  <c r="U8" i="3"/>
  <c r="U24" i="3" s="1"/>
  <c r="AG66" i="15"/>
  <c r="AF168" i="15"/>
  <c r="AB166" i="12" s="1"/>
  <c r="AF149" i="15"/>
  <c r="AF140" i="15"/>
  <c r="AF131" i="15"/>
  <c r="AF121" i="15"/>
  <c r="AB121" i="12" s="1"/>
  <c r="AF111" i="15"/>
  <c r="AB112" i="12" s="1"/>
  <c r="AF67" i="15"/>
  <c r="AB178" i="12" s="1"/>
  <c r="AB139" i="12"/>
  <c r="AB148" i="12"/>
  <c r="AB130" i="12"/>
  <c r="AE95" i="15"/>
  <c r="AF93" i="15"/>
  <c r="AF159" i="15"/>
  <c r="AF169" i="15"/>
  <c r="AB167" i="12" s="1"/>
  <c r="AF150" i="15"/>
  <c r="AB149" i="12" s="1"/>
  <c r="AF141" i="15"/>
  <c r="AB140" i="12" s="1"/>
  <c r="AF132" i="15"/>
  <c r="AB131" i="12" s="1"/>
  <c r="AF122" i="15"/>
  <c r="AB122" i="12" s="1"/>
  <c r="AF112" i="15"/>
  <c r="AB113" i="12" s="1"/>
  <c r="AG164" i="15"/>
  <c r="AC162" i="12" s="1"/>
  <c r="AG155" i="15"/>
  <c r="AG145" i="15"/>
  <c r="AG136" i="15"/>
  <c r="AC135" i="12" s="1"/>
  <c r="AG127" i="15"/>
  <c r="AC127" i="12" s="1"/>
  <c r="AG117" i="15"/>
  <c r="AC118" i="12" s="1"/>
  <c r="AH84" i="15"/>
  <c r="S262" i="3"/>
  <c r="T38" i="3"/>
  <c r="S39" i="3"/>
  <c r="S59" i="3"/>
  <c r="U16" i="3"/>
  <c r="W21" i="2"/>
  <c r="U21" i="3"/>
  <c r="U10" i="3"/>
  <c r="Z49" i="3"/>
  <c r="Z55" i="3"/>
  <c r="Z67" i="3"/>
  <c r="Z61" i="3"/>
  <c r="W19" i="2"/>
  <c r="W191" i="3"/>
  <c r="W199" i="3" s="1"/>
  <c r="V287" i="3"/>
  <c r="V296" i="3" s="1"/>
  <c r="V245" i="3"/>
  <c r="V253" i="3" s="1"/>
  <c r="V261" i="3" s="1"/>
  <c r="U9" i="3"/>
  <c r="T240" i="3"/>
  <c r="T248" i="3" s="1"/>
  <c r="T256" i="3" s="1"/>
  <c r="U239" i="3"/>
  <c r="U247" i="3" s="1"/>
  <c r="U255" i="3" s="1"/>
  <c r="Y73" i="3"/>
  <c r="U22" i="3"/>
  <c r="W12" i="2"/>
  <c r="W10" i="2"/>
  <c r="T34" i="3"/>
  <c r="W13" i="2"/>
  <c r="AA89" i="3"/>
  <c r="AA90" i="3" s="1"/>
  <c r="AA43" i="3"/>
  <c r="W190" i="3"/>
  <c r="W198" i="3" s="1"/>
  <c r="V244" i="3"/>
  <c r="V252" i="3" s="1"/>
  <c r="V260" i="3" s="1"/>
  <c r="W16" i="2"/>
  <c r="W8" i="2"/>
  <c r="U18" i="3"/>
  <c r="T36" i="3"/>
  <c r="W15" i="2"/>
  <c r="U11" i="3"/>
  <c r="X27" i="2"/>
  <c r="W11" i="2"/>
  <c r="U20" i="3"/>
  <c r="U19" i="3"/>
  <c r="T28" i="3"/>
  <c r="W14" i="2"/>
  <c r="T29" i="3"/>
  <c r="AB288" i="3"/>
  <c r="AB297" i="3" s="1"/>
  <c r="AB230" i="3"/>
  <c r="AB231" i="3" s="1"/>
  <c r="U14" i="3"/>
  <c r="W17" i="2"/>
  <c r="U12" i="3"/>
  <c r="T284" i="3"/>
  <c r="T293" i="3" s="1"/>
  <c r="T242" i="3"/>
  <c r="T250" i="3" s="1"/>
  <c r="T258" i="3" s="1"/>
  <c r="T31" i="3"/>
  <c r="T33" i="3"/>
  <c r="W18" i="2"/>
  <c r="U281" i="3"/>
  <c r="U290" i="3" s="1"/>
  <c r="T32" i="3"/>
  <c r="W20" i="2"/>
  <c r="W189" i="3"/>
  <c r="W197" i="3" s="1"/>
  <c r="V285" i="3"/>
  <c r="V294" i="3" s="1"/>
  <c r="V243" i="3"/>
  <c r="V251" i="3" s="1"/>
  <c r="V259" i="3" s="1"/>
  <c r="U13" i="3"/>
  <c r="T283" i="3"/>
  <c r="T292" i="3" s="1"/>
  <c r="T241" i="3"/>
  <c r="T249" i="3" s="1"/>
  <c r="T257" i="3" s="1"/>
  <c r="T37" i="3"/>
  <c r="W9" i="2"/>
  <c r="U15" i="3"/>
  <c r="U17" i="3"/>
  <c r="T26" i="3"/>
  <c r="AJ173" i="15"/>
  <c r="AJ163" i="15"/>
  <c r="AF161" i="12" s="1"/>
  <c r="AJ154" i="15"/>
  <c r="AJ135" i="15"/>
  <c r="AF134" i="12" s="1"/>
  <c r="AJ125" i="15"/>
  <c r="AF125" i="12" s="1"/>
  <c r="AJ115" i="15"/>
  <c r="AF116" i="12" s="1"/>
  <c r="Q308" i="3"/>
  <c r="R85" i="3"/>
  <c r="V218" i="2"/>
  <c r="AK116" i="15"/>
  <c r="AN103" i="15"/>
  <c r="W309" i="2"/>
  <c r="W139" i="11"/>
  <c r="W129" i="11"/>
  <c r="W111" i="11"/>
  <c r="W170" i="11"/>
  <c r="W159" i="11"/>
  <c r="W149" i="11"/>
  <c r="W70" i="11"/>
  <c r="AA98" i="11"/>
  <c r="AB96" i="11"/>
  <c r="AB163" i="11"/>
  <c r="AB153" i="11"/>
  <c r="AB142" i="11"/>
  <c r="AB132" i="11"/>
  <c r="AB122" i="11"/>
  <c r="AB112" i="11"/>
  <c r="AC79" i="11"/>
  <c r="AB173" i="11"/>
  <c r="AB162" i="11"/>
  <c r="AB152" i="11"/>
  <c r="AB131" i="11"/>
  <c r="AB120" i="11"/>
  <c r="AB110" i="11"/>
  <c r="AC74" i="11"/>
  <c r="AB172" i="11"/>
  <c r="AB161" i="11"/>
  <c r="AB151" i="11"/>
  <c r="AB141" i="11"/>
  <c r="AB119" i="11"/>
  <c r="AB109" i="11"/>
  <c r="AC72" i="11"/>
  <c r="AB169" i="11"/>
  <c r="AB148" i="11"/>
  <c r="AB138" i="11"/>
  <c r="AB128" i="11"/>
  <c r="AB117" i="11"/>
  <c r="AB107" i="11"/>
  <c r="AC65" i="11"/>
  <c r="AB89" i="11"/>
  <c r="AC89" i="11" s="1"/>
  <c r="AA90" i="11"/>
  <c r="AB88" i="11"/>
  <c r="X158" i="11"/>
  <c r="X147" i="11"/>
  <c r="X116" i="11"/>
  <c r="X123" i="11" s="1"/>
  <c r="X106" i="11"/>
  <c r="Y64" i="11"/>
  <c r="J257" i="2"/>
  <c r="J273" i="2" s="1"/>
  <c r="I227" i="2"/>
  <c r="I256" i="2"/>
  <c r="I272" i="2" s="1"/>
  <c r="H226" i="2"/>
  <c r="V38" i="2"/>
  <c r="X67" i="11" s="1"/>
  <c r="R102" i="4"/>
  <c r="V72" i="2"/>
  <c r="BS380" i="2"/>
  <c r="BS381" i="2"/>
  <c r="U113" i="3"/>
  <c r="R37" i="4"/>
  <c r="S53" i="4"/>
  <c r="S69" i="4"/>
  <c r="S118" i="4"/>
  <c r="S134" i="4"/>
  <c r="R173" i="4"/>
  <c r="R174" i="4"/>
  <c r="R175" i="4"/>
  <c r="R176" i="4"/>
  <c r="R177" i="4"/>
  <c r="R178" i="4"/>
  <c r="R179" i="4"/>
  <c r="R180" i="4"/>
  <c r="R181" i="4"/>
  <c r="R182" i="4"/>
  <c r="R183" i="4"/>
  <c r="R184" i="4"/>
  <c r="S185" i="4"/>
  <c r="R223" i="4"/>
  <c r="R172" i="4"/>
  <c r="R256" i="4"/>
  <c r="R303" i="4"/>
  <c r="R311" i="4"/>
  <c r="AX309" i="4"/>
  <c r="AX310" i="4"/>
  <c r="S320" i="4"/>
  <c r="S346" i="4"/>
  <c r="S363" i="4"/>
  <c r="V90" i="2" l="1"/>
  <c r="V211" i="2"/>
  <c r="V86" i="2"/>
  <c r="V217" i="2"/>
  <c r="V91" i="2"/>
  <c r="V219" i="2"/>
  <c r="V93" i="2"/>
  <c r="V213" i="2"/>
  <c r="V88" i="2"/>
  <c r="Z301" i="2"/>
  <c r="Y299" i="2"/>
  <c r="V214" i="2"/>
  <c r="V81" i="11"/>
  <c r="AY67" i="15"/>
  <c r="AZ65" i="15"/>
  <c r="AZ64" i="15"/>
  <c r="AZ68" i="15" s="1"/>
  <c r="V143" i="11"/>
  <c r="W97" i="2"/>
  <c r="W82" i="2" s="1"/>
  <c r="V209" i="2"/>
  <c r="V210" i="2"/>
  <c r="V208" i="2"/>
  <c r="W102" i="2"/>
  <c r="W87" i="2" s="1"/>
  <c r="W107" i="2"/>
  <c r="W91" i="2" s="1"/>
  <c r="W100" i="2"/>
  <c r="W85" i="2" s="1"/>
  <c r="V212" i="2"/>
  <c r="W105" i="2"/>
  <c r="W215" i="2" s="1"/>
  <c r="W104" i="2"/>
  <c r="W89" i="2" s="1"/>
  <c r="X110" i="2"/>
  <c r="X94" i="2" s="1"/>
  <c r="W106" i="2"/>
  <c r="W109" i="2"/>
  <c r="W220" i="2"/>
  <c r="W99" i="2"/>
  <c r="W103" i="2"/>
  <c r="V111" i="2"/>
  <c r="W101" i="2"/>
  <c r="W108" i="2"/>
  <c r="W92" i="2" s="1"/>
  <c r="W98" i="2"/>
  <c r="W83" i="2" s="1"/>
  <c r="V130" i="11"/>
  <c r="V133" i="11" s="1"/>
  <c r="W160" i="11"/>
  <c r="W164" i="11" s="1"/>
  <c r="V83" i="11"/>
  <c r="V150" i="11"/>
  <c r="V154" i="11" s="1"/>
  <c r="V160" i="11"/>
  <c r="V164" i="11" s="1"/>
  <c r="V171" i="11"/>
  <c r="V174" i="11" s="1"/>
  <c r="V113" i="11"/>
  <c r="BG364" i="2"/>
  <c r="X372" i="2"/>
  <c r="W385" i="2"/>
  <c r="X381" i="2"/>
  <c r="W386" i="2"/>
  <c r="BB317" i="2"/>
  <c r="BB357" i="2" s="1"/>
  <c r="BA345" i="2"/>
  <c r="BA362" i="2" s="1"/>
  <c r="T200" i="3"/>
  <c r="BB336" i="2"/>
  <c r="AY211" i="3"/>
  <c r="AY219" i="3" s="1"/>
  <c r="X320" i="2"/>
  <c r="U207" i="3"/>
  <c r="U215" i="3" s="1"/>
  <c r="U187" i="3"/>
  <c r="U195" i="3" s="1"/>
  <c r="BB335" i="2"/>
  <c r="AY210" i="3"/>
  <c r="AY218" i="3" s="1"/>
  <c r="BB334" i="2"/>
  <c r="AY209" i="3"/>
  <c r="AY217" i="3" s="1"/>
  <c r="T201" i="3"/>
  <c r="T222" i="3"/>
  <c r="X321" i="2"/>
  <c r="U208" i="3"/>
  <c r="U216" i="3" s="1"/>
  <c r="U188" i="3"/>
  <c r="U196" i="3" s="1"/>
  <c r="T220" i="3"/>
  <c r="X319" i="2"/>
  <c r="U206" i="3"/>
  <c r="U214" i="3" s="1"/>
  <c r="U186" i="3"/>
  <c r="U194" i="3" s="1"/>
  <c r="BB318" i="2"/>
  <c r="BB358" i="2" s="1"/>
  <c r="AY205" i="3"/>
  <c r="AY213" i="3" s="1"/>
  <c r="AY185" i="3"/>
  <c r="AY193" i="3" s="1"/>
  <c r="V86" i="15"/>
  <c r="V171" i="15"/>
  <c r="V161" i="15"/>
  <c r="V152" i="15"/>
  <c r="V143" i="15"/>
  <c r="V134" i="15"/>
  <c r="V113" i="15"/>
  <c r="V118" i="15" s="1"/>
  <c r="R124" i="12"/>
  <c r="R128" i="12" s="1"/>
  <c r="V128" i="15"/>
  <c r="W172" i="15"/>
  <c r="S170" i="12" s="1"/>
  <c r="W162" i="15"/>
  <c r="S160" i="12" s="1"/>
  <c r="W153" i="15"/>
  <c r="S152" i="12" s="1"/>
  <c r="W144" i="15"/>
  <c r="S143" i="12" s="1"/>
  <c r="W124" i="15"/>
  <c r="W114" i="15"/>
  <c r="S115" i="12" s="1"/>
  <c r="S119" i="12" s="1"/>
  <c r="W75" i="15"/>
  <c r="Q133" i="12"/>
  <c r="Q136" i="12" s="1"/>
  <c r="U137" i="15"/>
  <c r="Q142" i="12"/>
  <c r="Q145" i="12" s="1"/>
  <c r="U146" i="15"/>
  <c r="Q151" i="12"/>
  <c r="Q155" i="12" s="1"/>
  <c r="U156" i="15"/>
  <c r="Q169" i="12"/>
  <c r="Q172" i="12" s="1"/>
  <c r="U174" i="15"/>
  <c r="Q159" i="12"/>
  <c r="Q163" i="12" s="1"/>
  <c r="U165" i="15"/>
  <c r="AU72" i="15"/>
  <c r="AT170" i="15"/>
  <c r="AP168" i="12" s="1"/>
  <c r="AT160" i="15"/>
  <c r="AP158" i="12" s="1"/>
  <c r="AT151" i="15"/>
  <c r="AP150" i="12" s="1"/>
  <c r="AT142" i="15"/>
  <c r="AP141" i="12" s="1"/>
  <c r="AT133" i="15"/>
  <c r="AP132" i="12" s="1"/>
  <c r="AT123" i="15"/>
  <c r="S76" i="3"/>
  <c r="R77" i="3"/>
  <c r="S74" i="3"/>
  <c r="BJ349" i="2"/>
  <c r="S53" i="3"/>
  <c r="S71" i="3"/>
  <c r="AK55" i="2"/>
  <c r="X47" i="2"/>
  <c r="X54" i="2"/>
  <c r="X50" i="2"/>
  <c r="X48" i="2"/>
  <c r="X49" i="2"/>
  <c r="X52" i="2"/>
  <c r="X53" i="2"/>
  <c r="X61" i="2"/>
  <c r="W45" i="2"/>
  <c r="X58" i="2"/>
  <c r="W42" i="2"/>
  <c r="X51" i="2"/>
  <c r="X44" i="2"/>
  <c r="X46" i="2"/>
  <c r="X43" i="2"/>
  <c r="S65" i="3"/>
  <c r="S75" i="3"/>
  <c r="T62" i="3"/>
  <c r="T74" i="3" s="1"/>
  <c r="T56" i="3"/>
  <c r="U27" i="3"/>
  <c r="T68" i="3"/>
  <c r="T70" i="3"/>
  <c r="T64" i="3"/>
  <c r="T76" i="3" s="1"/>
  <c r="T58" i="3"/>
  <c r="T47" i="3"/>
  <c r="T51" i="3"/>
  <c r="T53" i="3" s="1"/>
  <c r="T69" i="3"/>
  <c r="T63" i="3"/>
  <c r="Q283" i="17"/>
  <c r="Q315" i="17"/>
  <c r="Q347" i="17"/>
  <c r="Q303" i="17"/>
  <c r="Q335" i="17"/>
  <c r="Q302" i="17"/>
  <c r="Q334" i="17"/>
  <c r="Q310" i="17"/>
  <c r="Q342" i="17"/>
  <c r="Q312" i="17"/>
  <c r="Q344" i="17"/>
  <c r="Q336" i="17"/>
  <c r="Q304" i="17"/>
  <c r="U44" i="3"/>
  <c r="U50" i="3" s="1"/>
  <c r="Q337" i="17"/>
  <c r="Q305" i="17"/>
  <c r="U46" i="3"/>
  <c r="U52" i="3" s="1"/>
  <c r="Q311" i="17"/>
  <c r="Q343" i="17"/>
  <c r="Q309" i="17"/>
  <c r="Q341" i="17"/>
  <c r="U45" i="3"/>
  <c r="U51" i="3" s="1"/>
  <c r="Q338" i="17"/>
  <c r="Q306" i="17"/>
  <c r="Q314" i="17"/>
  <c r="Q346" i="17"/>
  <c r="Q340" i="17"/>
  <c r="Q308" i="17"/>
  <c r="X301" i="17"/>
  <c r="X333" i="17"/>
  <c r="Q345" i="17"/>
  <c r="Q313" i="17"/>
  <c r="Q307" i="17"/>
  <c r="Q339" i="17"/>
  <c r="AQ85" i="17"/>
  <c r="AO87" i="17"/>
  <c r="AO97" i="17"/>
  <c r="AO92" i="17"/>
  <c r="AO91" i="17"/>
  <c r="AO83" i="17"/>
  <c r="AO93" i="17"/>
  <c r="AO89" i="17"/>
  <c r="AO84" i="17"/>
  <c r="AO88" i="17"/>
  <c r="AO86" i="17"/>
  <c r="AO90" i="17"/>
  <c r="AO96" i="17"/>
  <c r="AO95" i="17"/>
  <c r="AO94" i="17"/>
  <c r="R462" i="17"/>
  <c r="R461" i="17"/>
  <c r="R463" i="17"/>
  <c r="X339" i="2"/>
  <c r="X340" i="2"/>
  <c r="X341" i="2"/>
  <c r="U38" i="3"/>
  <c r="V8" i="3"/>
  <c r="V24" i="3" s="1"/>
  <c r="AH66" i="15"/>
  <c r="AG168" i="15"/>
  <c r="AC166" i="12" s="1"/>
  <c r="AG149" i="15"/>
  <c r="AG140" i="15"/>
  <c r="AG131" i="15"/>
  <c r="AG121" i="15"/>
  <c r="AC121" i="12" s="1"/>
  <c r="AG111" i="15"/>
  <c r="AC112" i="12" s="1"/>
  <c r="AG67" i="15"/>
  <c r="AC178" i="12" s="1"/>
  <c r="AC139" i="12"/>
  <c r="AC148" i="12"/>
  <c r="AC130" i="12"/>
  <c r="AH164" i="15"/>
  <c r="AD162" i="12" s="1"/>
  <c r="AH155" i="15"/>
  <c r="AH145" i="15"/>
  <c r="AH136" i="15"/>
  <c r="AD135" i="12" s="1"/>
  <c r="AH127" i="15"/>
  <c r="AD127" i="12" s="1"/>
  <c r="AH117" i="15"/>
  <c r="AD118" i="12" s="1"/>
  <c r="AI84" i="15"/>
  <c r="AG159" i="15"/>
  <c r="AG169" i="15"/>
  <c r="AC167" i="12" s="1"/>
  <c r="AG150" i="15"/>
  <c r="AC149" i="12" s="1"/>
  <c r="AG141" i="15"/>
  <c r="AC140" i="12" s="1"/>
  <c r="AG132" i="15"/>
  <c r="AC131" i="12" s="1"/>
  <c r="AG122" i="15"/>
  <c r="AC122" i="12" s="1"/>
  <c r="AG112" i="15"/>
  <c r="AC113" i="12" s="1"/>
  <c r="AG94" i="15"/>
  <c r="AH94" i="15" s="1"/>
  <c r="AF95" i="15"/>
  <c r="AG93" i="15"/>
  <c r="T39" i="3"/>
  <c r="U35" i="3"/>
  <c r="T262" i="3"/>
  <c r="U37" i="3"/>
  <c r="U31" i="3"/>
  <c r="U34" i="3"/>
  <c r="U29" i="3"/>
  <c r="U283" i="3"/>
  <c r="U292" i="3" s="1"/>
  <c r="U241" i="3"/>
  <c r="U249" i="3" s="1"/>
  <c r="U257" i="3" s="1"/>
  <c r="V20" i="3"/>
  <c r="AB89" i="3"/>
  <c r="AB90" i="3" s="1"/>
  <c r="AB43" i="3"/>
  <c r="X191" i="3"/>
  <c r="X199" i="3" s="1"/>
  <c r="W287" i="3"/>
  <c r="W296" i="3" s="1"/>
  <c r="W245" i="3"/>
  <c r="W253" i="3" s="1"/>
  <c r="W261" i="3" s="1"/>
  <c r="V10" i="3"/>
  <c r="V13" i="3"/>
  <c r="U28" i="3"/>
  <c r="AC288" i="3"/>
  <c r="AC297" i="3" s="1"/>
  <c r="AC230" i="3"/>
  <c r="AC231" i="3" s="1"/>
  <c r="Y27" i="2"/>
  <c r="X11" i="2"/>
  <c r="X16" i="2"/>
  <c r="X13" i="2"/>
  <c r="X19" i="2"/>
  <c r="V21" i="3"/>
  <c r="X9" i="2"/>
  <c r="V12" i="3"/>
  <c r="Y24" i="2"/>
  <c r="X8" i="2"/>
  <c r="V15" i="3"/>
  <c r="V22" i="3"/>
  <c r="X18" i="2"/>
  <c r="V11" i="3"/>
  <c r="U25" i="3"/>
  <c r="X21" i="2"/>
  <c r="V18" i="3"/>
  <c r="X189" i="3"/>
  <c r="X197" i="3" s="1"/>
  <c r="W285" i="3"/>
  <c r="W294" i="3" s="1"/>
  <c r="W243" i="3"/>
  <c r="W251" i="3" s="1"/>
  <c r="W259" i="3" s="1"/>
  <c r="X17" i="2"/>
  <c r="X190" i="3"/>
  <c r="X198" i="3" s="1"/>
  <c r="W244" i="3"/>
  <c r="W252" i="3" s="1"/>
  <c r="W260" i="3" s="1"/>
  <c r="X10" i="2"/>
  <c r="V239" i="3"/>
  <c r="V247" i="3" s="1"/>
  <c r="V255" i="3" s="1"/>
  <c r="V9" i="3"/>
  <c r="U32" i="3"/>
  <c r="U33" i="3"/>
  <c r="U30" i="3"/>
  <c r="V19" i="3"/>
  <c r="X15" i="2"/>
  <c r="AA49" i="3"/>
  <c r="AA67" i="3"/>
  <c r="AA55" i="3"/>
  <c r="AA61" i="3"/>
  <c r="Z73" i="3"/>
  <c r="V16" i="3"/>
  <c r="U284" i="3"/>
  <c r="U293" i="3" s="1"/>
  <c r="U242" i="3"/>
  <c r="U250" i="3" s="1"/>
  <c r="U258" i="3" s="1"/>
  <c r="V281" i="3"/>
  <c r="V290" i="3" s="1"/>
  <c r="V17" i="3"/>
  <c r="T298" i="3"/>
  <c r="X20" i="2"/>
  <c r="V14" i="3"/>
  <c r="X14" i="2"/>
  <c r="U36" i="3"/>
  <c r="X12" i="2"/>
  <c r="U240" i="3"/>
  <c r="U248" i="3" s="1"/>
  <c r="U256" i="3" s="1"/>
  <c r="U26" i="3"/>
  <c r="AK173" i="15"/>
  <c r="AK163" i="15"/>
  <c r="AG161" i="12" s="1"/>
  <c r="AK154" i="15"/>
  <c r="AK135" i="15"/>
  <c r="AG134" i="12" s="1"/>
  <c r="AK125" i="15"/>
  <c r="AG125" i="12" s="1"/>
  <c r="AK115" i="15"/>
  <c r="AG116" i="12" s="1"/>
  <c r="S85" i="3"/>
  <c r="R308" i="3"/>
  <c r="AL116" i="15"/>
  <c r="AO103" i="15"/>
  <c r="X220" i="2"/>
  <c r="X309" i="2"/>
  <c r="W171" i="11"/>
  <c r="W174" i="11" s="1"/>
  <c r="W81" i="11"/>
  <c r="W83" i="11"/>
  <c r="W130" i="11"/>
  <c r="W133" i="11" s="1"/>
  <c r="W140" i="11"/>
  <c r="W143" i="11" s="1"/>
  <c r="W150" i="11"/>
  <c r="W154" i="11" s="1"/>
  <c r="X159" i="11"/>
  <c r="X149" i="11"/>
  <c r="X139" i="11"/>
  <c r="X129" i="11"/>
  <c r="X111" i="11"/>
  <c r="X170" i="11"/>
  <c r="X70" i="11"/>
  <c r="X160" i="11" s="1"/>
  <c r="W108" i="11"/>
  <c r="W113" i="11" s="1"/>
  <c r="Y158" i="11"/>
  <c r="Y147" i="11"/>
  <c r="Y116" i="11"/>
  <c r="Y123" i="11" s="1"/>
  <c r="Y106" i="11"/>
  <c r="Z64" i="11"/>
  <c r="AB90" i="11"/>
  <c r="AC88" i="11"/>
  <c r="AC169" i="11"/>
  <c r="AC148" i="11"/>
  <c r="AC138" i="11"/>
  <c r="AC128" i="11"/>
  <c r="AC117" i="11"/>
  <c r="AC107" i="11"/>
  <c r="AD65" i="11"/>
  <c r="AC172" i="11"/>
  <c r="AC161" i="11"/>
  <c r="AC151" i="11"/>
  <c r="AC141" i="11"/>
  <c r="AC119" i="11"/>
  <c r="AC109" i="11"/>
  <c r="AD72" i="11"/>
  <c r="AC173" i="11"/>
  <c r="AC162" i="11"/>
  <c r="AC152" i="11"/>
  <c r="AC131" i="11"/>
  <c r="AC120" i="11"/>
  <c r="AC110" i="11"/>
  <c r="AD74" i="11"/>
  <c r="AC163" i="11"/>
  <c r="AC153" i="11"/>
  <c r="AC142" i="11"/>
  <c r="AC132" i="11"/>
  <c r="AC122" i="11"/>
  <c r="AC112" i="11"/>
  <c r="AD79" i="11"/>
  <c r="AB98" i="11"/>
  <c r="AC96" i="11"/>
  <c r="I257" i="2"/>
  <c r="I273" i="2" s="1"/>
  <c r="H227" i="2"/>
  <c r="H256" i="2"/>
  <c r="H272" i="2" s="1"/>
  <c r="G226" i="2"/>
  <c r="G256" i="2" s="1"/>
  <c r="G272" i="2" s="1"/>
  <c r="T363" i="4"/>
  <c r="T346" i="4"/>
  <c r="T320" i="4"/>
  <c r="AY310" i="4"/>
  <c r="S311" i="4"/>
  <c r="AY309" i="4"/>
  <c r="S303" i="4"/>
  <c r="S256" i="4"/>
  <c r="S223" i="4"/>
  <c r="S172" i="4"/>
  <c r="T185" i="4"/>
  <c r="S184" i="4"/>
  <c r="S183" i="4"/>
  <c r="S182" i="4"/>
  <c r="S181" i="4"/>
  <c r="S180" i="4"/>
  <c r="S179" i="4"/>
  <c r="S178" i="4"/>
  <c r="S177" i="4"/>
  <c r="S176" i="4"/>
  <c r="S175" i="4"/>
  <c r="S174" i="4"/>
  <c r="S173" i="4"/>
  <c r="T134" i="4"/>
  <c r="T118" i="4"/>
  <c r="T69" i="4"/>
  <c r="T53" i="4"/>
  <c r="S37" i="4"/>
  <c r="V113" i="3"/>
  <c r="BT381" i="2"/>
  <c r="BT380" i="2"/>
  <c r="W72" i="2"/>
  <c r="S102" i="4"/>
  <c r="W38" i="2"/>
  <c r="Y67" i="11" s="1"/>
  <c r="W211" i="2" l="1"/>
  <c r="W86" i="2"/>
  <c r="W213" i="2"/>
  <c r="W88" i="2"/>
  <c r="W209" i="2"/>
  <c r="W84" i="2"/>
  <c r="W219" i="2"/>
  <c r="W93" i="2"/>
  <c r="W90" i="2"/>
  <c r="AA301" i="2"/>
  <c r="Z299" i="2"/>
  <c r="BA65" i="15"/>
  <c r="BA64" i="15"/>
  <c r="BA68" i="15" s="1"/>
  <c r="X97" i="2"/>
  <c r="X82" i="2" s="1"/>
  <c r="W208" i="2"/>
  <c r="W212" i="2"/>
  <c r="W111" i="2"/>
  <c r="W214" i="2"/>
  <c r="W217" i="2"/>
  <c r="W218" i="2"/>
  <c r="X102" i="2"/>
  <c r="X87" i="2" s="1"/>
  <c r="X100" i="2"/>
  <c r="X85" i="2" s="1"/>
  <c r="Y110" i="2"/>
  <c r="Y94" i="2" s="1"/>
  <c r="X109" i="2"/>
  <c r="W210" i="2"/>
  <c r="X99" i="2"/>
  <c r="X84" i="2" s="1"/>
  <c r="X101" i="2"/>
  <c r="X105" i="2"/>
  <c r="X215" i="2" s="1"/>
  <c r="X106" i="2"/>
  <c r="X103" i="2"/>
  <c r="X108" i="2"/>
  <c r="X104" i="2"/>
  <c r="X89" i="2" s="1"/>
  <c r="X107" i="2"/>
  <c r="X91" i="2" s="1"/>
  <c r="X98" i="2"/>
  <c r="X83" i="2" s="1"/>
  <c r="BH364" i="2"/>
  <c r="Y372" i="2"/>
  <c r="X385" i="2"/>
  <c r="Y381" i="2"/>
  <c r="X386" i="2"/>
  <c r="U200" i="3"/>
  <c r="BC317" i="2"/>
  <c r="BC357" i="2" s="1"/>
  <c r="BB345" i="2"/>
  <c r="BB362" i="2" s="1"/>
  <c r="Y319" i="2"/>
  <c r="V206" i="3"/>
  <c r="V214" i="3" s="1"/>
  <c r="V186" i="3"/>
  <c r="V194" i="3" s="1"/>
  <c r="BC334" i="2"/>
  <c r="AZ209" i="3"/>
  <c r="AZ217" i="3" s="1"/>
  <c r="BC335" i="2"/>
  <c r="AZ210" i="3"/>
  <c r="AZ218" i="3" s="1"/>
  <c r="Y321" i="2"/>
  <c r="V208" i="3"/>
  <c r="V216" i="3" s="1"/>
  <c r="V188" i="3"/>
  <c r="V196" i="3" s="1"/>
  <c r="BC318" i="2"/>
  <c r="BC358" i="2" s="1"/>
  <c r="AZ205" i="3"/>
  <c r="AZ213" i="3" s="1"/>
  <c r="AZ185" i="3"/>
  <c r="AZ193" i="3" s="1"/>
  <c r="Y320" i="2"/>
  <c r="V207" i="3"/>
  <c r="V215" i="3" s="1"/>
  <c r="V187" i="3"/>
  <c r="V195" i="3" s="1"/>
  <c r="U201" i="3"/>
  <c r="U222" i="3"/>
  <c r="U220" i="3"/>
  <c r="BC336" i="2"/>
  <c r="AZ211" i="3"/>
  <c r="AZ219" i="3" s="1"/>
  <c r="Q184" i="12"/>
  <c r="Q179" i="12" s="1"/>
  <c r="W86" i="15"/>
  <c r="W171" i="15"/>
  <c r="W161" i="15"/>
  <c r="W152" i="15"/>
  <c r="W143" i="15"/>
  <c r="W134" i="15"/>
  <c r="W113" i="15"/>
  <c r="W118" i="15" s="1"/>
  <c r="S124" i="12"/>
  <c r="S128" i="12" s="1"/>
  <c r="W128" i="15"/>
  <c r="X172" i="15"/>
  <c r="T170" i="12" s="1"/>
  <c r="X162" i="15"/>
  <c r="T160" i="12" s="1"/>
  <c r="X153" i="15"/>
  <c r="T152" i="12" s="1"/>
  <c r="X144" i="15"/>
  <c r="T143" i="12" s="1"/>
  <c r="X124" i="15"/>
  <c r="X114" i="15"/>
  <c r="T115" i="12" s="1"/>
  <c r="T119" i="12" s="1"/>
  <c r="X75" i="15"/>
  <c r="R133" i="12"/>
  <c r="R136" i="12" s="1"/>
  <c r="V137" i="15"/>
  <c r="R142" i="12"/>
  <c r="R145" i="12" s="1"/>
  <c r="V146" i="15"/>
  <c r="R151" i="12"/>
  <c r="R155" i="12" s="1"/>
  <c r="V156" i="15"/>
  <c r="R159" i="12"/>
  <c r="R163" i="12" s="1"/>
  <c r="V165" i="15"/>
  <c r="R169" i="12"/>
  <c r="R172" i="12" s="1"/>
  <c r="V174" i="15"/>
  <c r="AV72" i="15"/>
  <c r="AU170" i="15"/>
  <c r="AQ168" i="12" s="1"/>
  <c r="AU160" i="15"/>
  <c r="AQ158" i="12" s="1"/>
  <c r="AU151" i="15"/>
  <c r="AQ150" i="12" s="1"/>
  <c r="AU142" i="15"/>
  <c r="AQ141" i="12" s="1"/>
  <c r="AU133" i="15"/>
  <c r="AQ132" i="12" s="1"/>
  <c r="AU123" i="15"/>
  <c r="S77" i="3"/>
  <c r="BK349" i="2"/>
  <c r="T71" i="3"/>
  <c r="U68" i="3"/>
  <c r="AL55" i="2"/>
  <c r="Y48" i="2"/>
  <c r="Y44" i="2"/>
  <c r="Y53" i="2"/>
  <c r="Y50" i="2"/>
  <c r="Y46" i="2"/>
  <c r="Y61" i="2"/>
  <c r="X45" i="2"/>
  <c r="Y51" i="2"/>
  <c r="Y52" i="2"/>
  <c r="Y54" i="2"/>
  <c r="Y43" i="2"/>
  <c r="Y58" i="2"/>
  <c r="X42" i="2"/>
  <c r="Y49" i="2"/>
  <c r="Y47" i="2"/>
  <c r="U64" i="3"/>
  <c r="U76" i="3" s="1"/>
  <c r="T59" i="3"/>
  <c r="V33" i="3"/>
  <c r="T65" i="3"/>
  <c r="T75" i="3"/>
  <c r="T77" i="3" s="1"/>
  <c r="U58" i="3"/>
  <c r="U47" i="3"/>
  <c r="U69" i="3"/>
  <c r="U56" i="3"/>
  <c r="U63" i="3"/>
  <c r="U62" i="3"/>
  <c r="U74" i="3" s="1"/>
  <c r="U57" i="3"/>
  <c r="U70" i="3"/>
  <c r="R302" i="17"/>
  <c r="R334" i="17"/>
  <c r="R345" i="17"/>
  <c r="R313" i="17"/>
  <c r="R308" i="17"/>
  <c r="R340" i="17"/>
  <c r="R312" i="17"/>
  <c r="R344" i="17"/>
  <c r="V46" i="3"/>
  <c r="V70" i="3" s="1"/>
  <c r="R311" i="17"/>
  <c r="R343" i="17"/>
  <c r="R336" i="17"/>
  <c r="R304" i="17"/>
  <c r="R307" i="17"/>
  <c r="R339" i="17"/>
  <c r="R309" i="17"/>
  <c r="R341" i="17"/>
  <c r="V45" i="3"/>
  <c r="V57" i="3" s="1"/>
  <c r="R306" i="17"/>
  <c r="R338" i="17"/>
  <c r="R303" i="17"/>
  <c r="R335" i="17"/>
  <c r="R342" i="17"/>
  <c r="R310" i="17"/>
  <c r="R314" i="17"/>
  <c r="R346" i="17"/>
  <c r="Y333" i="17"/>
  <c r="Y301" i="17"/>
  <c r="R283" i="17"/>
  <c r="R315" i="17"/>
  <c r="R347" i="17"/>
  <c r="V44" i="3"/>
  <c r="V56" i="3" s="1"/>
  <c r="R305" i="17"/>
  <c r="R337" i="17"/>
  <c r="AP94" i="17"/>
  <c r="AP93" i="17"/>
  <c r="AP95" i="17"/>
  <c r="AP83" i="17"/>
  <c r="AP96" i="17"/>
  <c r="AP91" i="17"/>
  <c r="AP90" i="17"/>
  <c r="AP92" i="17"/>
  <c r="AP86" i="17"/>
  <c r="AP97" i="17"/>
  <c r="AP88" i="17"/>
  <c r="AP87" i="17"/>
  <c r="AP84" i="17"/>
  <c r="AR85" i="17"/>
  <c r="AP89" i="17"/>
  <c r="S463" i="17"/>
  <c r="S462" i="17"/>
  <c r="S461" i="17"/>
  <c r="Y339" i="2"/>
  <c r="Y340" i="2"/>
  <c r="Y341" i="2"/>
  <c r="V30" i="3"/>
  <c r="W8" i="3"/>
  <c r="W24" i="3" s="1"/>
  <c r="AI66" i="15"/>
  <c r="AH168" i="15"/>
  <c r="AH149" i="15"/>
  <c r="AH140" i="15"/>
  <c r="AD139" i="12" s="1"/>
  <c r="AH131" i="15"/>
  <c r="AD130" i="12" s="1"/>
  <c r="AH121" i="15"/>
  <c r="AH111" i="15"/>
  <c r="AD112" i="12" s="1"/>
  <c r="AH67" i="15"/>
  <c r="AD178" i="12" s="1"/>
  <c r="AD166" i="12"/>
  <c r="AD148" i="12"/>
  <c r="AD121" i="12"/>
  <c r="AG95" i="15"/>
  <c r="AH93" i="15"/>
  <c r="AH159" i="15"/>
  <c r="AH169" i="15"/>
  <c r="AD167" i="12" s="1"/>
  <c r="AH150" i="15"/>
  <c r="AD149" i="12" s="1"/>
  <c r="AH141" i="15"/>
  <c r="AD140" i="12" s="1"/>
  <c r="AH132" i="15"/>
  <c r="AD131" i="12" s="1"/>
  <c r="AH122" i="15"/>
  <c r="AD122" i="12" s="1"/>
  <c r="AH112" i="15"/>
  <c r="AD113" i="12" s="1"/>
  <c r="AI164" i="15"/>
  <c r="AE162" i="12" s="1"/>
  <c r="AI155" i="15"/>
  <c r="AI145" i="15"/>
  <c r="AI136" i="15"/>
  <c r="AE135" i="12" s="1"/>
  <c r="AI127" i="15"/>
  <c r="AE127" i="12" s="1"/>
  <c r="AI117" i="15"/>
  <c r="AE118" i="12" s="1"/>
  <c r="AJ84" i="15"/>
  <c r="U298" i="3"/>
  <c r="U262" i="3"/>
  <c r="V25" i="3"/>
  <c r="W281" i="3"/>
  <c r="W290" i="3" s="1"/>
  <c r="W16" i="3"/>
  <c r="V31" i="3"/>
  <c r="V29" i="3"/>
  <c r="W17" i="3"/>
  <c r="W9" i="3"/>
  <c r="Y21" i="2"/>
  <c r="W15" i="3"/>
  <c r="Y9" i="2"/>
  <c r="Y16" i="2"/>
  <c r="W13" i="3"/>
  <c r="AC89" i="3"/>
  <c r="AC90" i="3" s="1"/>
  <c r="AC43" i="3"/>
  <c r="Y14" i="2"/>
  <c r="AA73" i="3"/>
  <c r="Y17" i="2"/>
  <c r="V37" i="3"/>
  <c r="V26" i="3"/>
  <c r="V36" i="3"/>
  <c r="V240" i="3"/>
  <c r="V248" i="3" s="1"/>
  <c r="V256" i="3" s="1"/>
  <c r="W239" i="3"/>
  <c r="W247" i="3" s="1"/>
  <c r="W255" i="3" s="1"/>
  <c r="U39" i="3"/>
  <c r="W21" i="3"/>
  <c r="Z27" i="2"/>
  <c r="Y11" i="2"/>
  <c r="W10" i="3"/>
  <c r="W20" i="3"/>
  <c r="W14" i="3"/>
  <c r="V27" i="3"/>
  <c r="Y12" i="2"/>
  <c r="Y15" i="2"/>
  <c r="Y10" i="2"/>
  <c r="Y189" i="3"/>
  <c r="Y197" i="3" s="1"/>
  <c r="X285" i="3"/>
  <c r="X294" i="3" s="1"/>
  <c r="X243" i="3"/>
  <c r="X251" i="3" s="1"/>
  <c r="X259" i="3" s="1"/>
  <c r="W11" i="3"/>
  <c r="Y18" i="2"/>
  <c r="Z24" i="2"/>
  <c r="Y8" i="2"/>
  <c r="Y19" i="2"/>
  <c r="Y20" i="2"/>
  <c r="V284" i="3"/>
  <c r="V293" i="3" s="1"/>
  <c r="V242" i="3"/>
  <c r="V250" i="3" s="1"/>
  <c r="V258" i="3" s="1"/>
  <c r="U53" i="3"/>
  <c r="V35" i="3"/>
  <c r="V34" i="3"/>
  <c r="V38" i="3"/>
  <c r="V28" i="3"/>
  <c r="AD288" i="3"/>
  <c r="AD297" i="3" s="1"/>
  <c r="AD230" i="3"/>
  <c r="AD231" i="3" s="1"/>
  <c r="Y191" i="3"/>
  <c r="Y199" i="3" s="1"/>
  <c r="X287" i="3"/>
  <c r="X296" i="3" s="1"/>
  <c r="X245" i="3"/>
  <c r="X253" i="3" s="1"/>
  <c r="X261" i="3" s="1"/>
  <c r="V283" i="3"/>
  <c r="V292" i="3" s="1"/>
  <c r="V241" i="3"/>
  <c r="V249" i="3" s="1"/>
  <c r="V257" i="3" s="1"/>
  <c r="V32" i="3"/>
  <c r="W19" i="3"/>
  <c r="Y190" i="3"/>
  <c r="Y198" i="3" s="1"/>
  <c r="X244" i="3"/>
  <c r="X252" i="3" s="1"/>
  <c r="X260" i="3" s="1"/>
  <c r="W18" i="3"/>
  <c r="W22" i="3"/>
  <c r="W12" i="3"/>
  <c r="Y13" i="2"/>
  <c r="AB49" i="3"/>
  <c r="AB67" i="3"/>
  <c r="AB55" i="3"/>
  <c r="AB61" i="3"/>
  <c r="AL173" i="15"/>
  <c r="AL163" i="15"/>
  <c r="AH161" i="12" s="1"/>
  <c r="AL154" i="15"/>
  <c r="AL135" i="15"/>
  <c r="AH134" i="12" s="1"/>
  <c r="AL125" i="15"/>
  <c r="AH125" i="12" s="1"/>
  <c r="AL115" i="15"/>
  <c r="AH116" i="12" s="1"/>
  <c r="S308" i="3"/>
  <c r="T85" i="3"/>
  <c r="AM116" i="15"/>
  <c r="AP103" i="15"/>
  <c r="Y309" i="2"/>
  <c r="X164" i="11"/>
  <c r="X171" i="11"/>
  <c r="X174" i="11" s="1"/>
  <c r="X81" i="11"/>
  <c r="X83" i="11"/>
  <c r="X130" i="11"/>
  <c r="X133" i="11" s="1"/>
  <c r="X108" i="11"/>
  <c r="X113" i="11" s="1"/>
  <c r="X140" i="11"/>
  <c r="X143" i="11" s="1"/>
  <c r="X150" i="11"/>
  <c r="X154" i="11" s="1"/>
  <c r="Y170" i="11"/>
  <c r="Y139" i="11"/>
  <c r="Y129" i="11"/>
  <c r="Y159" i="11"/>
  <c r="Y111" i="11"/>
  <c r="Y149" i="11"/>
  <c r="Y70" i="11"/>
  <c r="Y160" i="11" s="1"/>
  <c r="AC98" i="11"/>
  <c r="AD96" i="11"/>
  <c r="AD163" i="11"/>
  <c r="AD153" i="11"/>
  <c r="AD142" i="11"/>
  <c r="AD132" i="11"/>
  <c r="AD122" i="11"/>
  <c r="AD112" i="11"/>
  <c r="AE79" i="11"/>
  <c r="AD173" i="11"/>
  <c r="AD162" i="11"/>
  <c r="AD152" i="11"/>
  <c r="AD131" i="11"/>
  <c r="AD120" i="11"/>
  <c r="AD110" i="11"/>
  <c r="AE74" i="11"/>
  <c r="AD172" i="11"/>
  <c r="AD161" i="11"/>
  <c r="AD151" i="11"/>
  <c r="AD141" i="11"/>
  <c r="AD119" i="11"/>
  <c r="AD109" i="11"/>
  <c r="AE72" i="11"/>
  <c r="AD169" i="11"/>
  <c r="AD148" i="11"/>
  <c r="AD138" i="11"/>
  <c r="AD128" i="11"/>
  <c r="AD117" i="11"/>
  <c r="AD107" i="11"/>
  <c r="AE65" i="11"/>
  <c r="AD89" i="11"/>
  <c r="AE89" i="11" s="1"/>
  <c r="AC90" i="11"/>
  <c r="AD88" i="11"/>
  <c r="Z158" i="11"/>
  <c r="Z147" i="11"/>
  <c r="Z116" i="11"/>
  <c r="Z123" i="11" s="1"/>
  <c r="Z106" i="11"/>
  <c r="AA64" i="11"/>
  <c r="H257" i="2"/>
  <c r="H273" i="2" s="1"/>
  <c r="G227" i="2"/>
  <c r="G257" i="2" s="1"/>
  <c r="G273" i="2" s="1"/>
  <c r="X38" i="2"/>
  <c r="Z67" i="11" s="1"/>
  <c r="T102" i="4"/>
  <c r="X72" i="2"/>
  <c r="BU380" i="2"/>
  <c r="BU381" i="2"/>
  <c r="W113" i="3"/>
  <c r="T37" i="4"/>
  <c r="U53" i="4"/>
  <c r="U69" i="4"/>
  <c r="U118" i="4"/>
  <c r="U134" i="4"/>
  <c r="T173" i="4"/>
  <c r="T174" i="4"/>
  <c r="T175" i="4"/>
  <c r="T176" i="4"/>
  <c r="T177" i="4"/>
  <c r="T178" i="4"/>
  <c r="T179" i="4"/>
  <c r="T180" i="4"/>
  <c r="T181" i="4"/>
  <c r="T182" i="4"/>
  <c r="T183" i="4"/>
  <c r="T184" i="4"/>
  <c r="U185" i="4"/>
  <c r="T223" i="4"/>
  <c r="T172" i="4"/>
  <c r="T256" i="4"/>
  <c r="T303" i="4"/>
  <c r="T311" i="4"/>
  <c r="AZ309" i="4"/>
  <c r="AZ310" i="4"/>
  <c r="U320" i="4"/>
  <c r="U346" i="4"/>
  <c r="U363" i="4"/>
  <c r="X218" i="2" l="1"/>
  <c r="X92" i="2"/>
  <c r="X213" i="2"/>
  <c r="X88" i="2"/>
  <c r="X90" i="2"/>
  <c r="X211" i="2"/>
  <c r="X86" i="2"/>
  <c r="X219" i="2"/>
  <c r="X93" i="2"/>
  <c r="AB301" i="2"/>
  <c r="AA299" i="2"/>
  <c r="X212" i="2"/>
  <c r="BB65" i="15"/>
  <c r="BB64" i="15"/>
  <c r="BB68" i="15" s="1"/>
  <c r="Y97" i="2"/>
  <c r="Y82" i="2" s="1"/>
  <c r="X214" i="2"/>
  <c r="X217" i="2"/>
  <c r="X208" i="2"/>
  <c r="X111" i="2"/>
  <c r="Y108" i="2"/>
  <c r="Z110" i="2"/>
  <c r="Z94" i="2" s="1"/>
  <c r="X209" i="2"/>
  <c r="Y107" i="2"/>
  <c r="Y106" i="2"/>
  <c r="Y100" i="2"/>
  <c r="Y85" i="2" s="1"/>
  <c r="Y101" i="2"/>
  <c r="Y103" i="2"/>
  <c r="Y88" i="2" s="1"/>
  <c r="X210" i="2"/>
  <c r="Y102" i="2"/>
  <c r="Y87" i="2" s="1"/>
  <c r="Y99" i="2"/>
  <c r="Y220" i="2"/>
  <c r="Y104" i="2"/>
  <c r="Y89" i="2" s="1"/>
  <c r="Y105" i="2"/>
  <c r="Y215" i="2" s="1"/>
  <c r="Y109" i="2"/>
  <c r="Y98" i="2"/>
  <c r="Y83" i="2" s="1"/>
  <c r="BI364" i="2"/>
  <c r="Z372" i="2"/>
  <c r="Y385" i="2"/>
  <c r="Z381" i="2"/>
  <c r="Y386" i="2"/>
  <c r="V200" i="3"/>
  <c r="BD317" i="2"/>
  <c r="BD357" i="2" s="1"/>
  <c r="BC345" i="2"/>
  <c r="BC362" i="2" s="1"/>
  <c r="Z320" i="2"/>
  <c r="W207" i="3"/>
  <c r="W215" i="3" s="1"/>
  <c r="W187" i="3"/>
  <c r="W195" i="3" s="1"/>
  <c r="BD335" i="2"/>
  <c r="BA210" i="3"/>
  <c r="BA218" i="3" s="1"/>
  <c r="Z321" i="2"/>
  <c r="W208" i="3"/>
  <c r="W216" i="3" s="1"/>
  <c r="W188" i="3"/>
  <c r="W196" i="3" s="1"/>
  <c r="BD336" i="2"/>
  <c r="BA211" i="3"/>
  <c r="BA219" i="3" s="1"/>
  <c r="BD334" i="2"/>
  <c r="BA209" i="3"/>
  <c r="BA217" i="3" s="1"/>
  <c r="BD318" i="2"/>
  <c r="BD358" i="2" s="1"/>
  <c r="BA205" i="3"/>
  <c r="BA213" i="3" s="1"/>
  <c r="BA185" i="3"/>
  <c r="BA193" i="3" s="1"/>
  <c r="V201" i="3"/>
  <c r="V222" i="3"/>
  <c r="V220" i="3"/>
  <c r="Z319" i="2"/>
  <c r="W206" i="3"/>
  <c r="W214" i="3" s="1"/>
  <c r="W186" i="3"/>
  <c r="W194" i="3" s="1"/>
  <c r="R184" i="12"/>
  <c r="R179" i="12" s="1"/>
  <c r="X86" i="15"/>
  <c r="X171" i="15"/>
  <c r="X161" i="15"/>
  <c r="X152" i="15"/>
  <c r="X143" i="15"/>
  <c r="X134" i="15"/>
  <c r="X113" i="15"/>
  <c r="X118" i="15" s="1"/>
  <c r="T124" i="12"/>
  <c r="T128" i="12" s="1"/>
  <c r="X128" i="15"/>
  <c r="Y172" i="15"/>
  <c r="U170" i="12" s="1"/>
  <c r="Y162" i="15"/>
  <c r="U160" i="12" s="1"/>
  <c r="Y153" i="15"/>
  <c r="U152" i="12" s="1"/>
  <c r="Y144" i="15"/>
  <c r="U143" i="12" s="1"/>
  <c r="Y124" i="15"/>
  <c r="Y114" i="15"/>
  <c r="U115" i="12" s="1"/>
  <c r="U119" i="12" s="1"/>
  <c r="Y75" i="15"/>
  <c r="W137" i="15"/>
  <c r="S133" i="12"/>
  <c r="S136" i="12" s="1"/>
  <c r="W146" i="15"/>
  <c r="S142" i="12"/>
  <c r="S145" i="12" s="1"/>
  <c r="S151" i="12"/>
  <c r="S155" i="12" s="1"/>
  <c r="W156" i="15"/>
  <c r="W165" i="15"/>
  <c r="S159" i="12"/>
  <c r="S163" i="12" s="1"/>
  <c r="W174" i="15"/>
  <c r="S169" i="12"/>
  <c r="S172" i="12" s="1"/>
  <c r="AW72" i="15"/>
  <c r="AV170" i="15"/>
  <c r="AR168" i="12" s="1"/>
  <c r="AV160" i="15"/>
  <c r="AR158" i="12" s="1"/>
  <c r="AV151" i="15"/>
  <c r="AR150" i="12" s="1"/>
  <c r="AV142" i="15"/>
  <c r="AR141" i="12" s="1"/>
  <c r="AV133" i="15"/>
  <c r="AR132" i="12" s="1"/>
  <c r="AV123" i="15"/>
  <c r="V58" i="3"/>
  <c r="V59" i="3" s="1"/>
  <c r="BL349" i="2"/>
  <c r="U59" i="3"/>
  <c r="V64" i="3"/>
  <c r="AM55" i="2"/>
  <c r="Z52" i="2"/>
  <c r="Z58" i="2"/>
  <c r="Y42" i="2"/>
  <c r="Z51" i="2"/>
  <c r="Z53" i="2"/>
  <c r="Z49" i="2"/>
  <c r="Z43" i="2"/>
  <c r="Z61" i="2"/>
  <c r="Y45" i="2"/>
  <c r="Z44" i="2"/>
  <c r="Z50" i="2"/>
  <c r="Z47" i="2"/>
  <c r="Z54" i="2"/>
  <c r="Z46" i="2"/>
  <c r="Z48" i="2"/>
  <c r="V63" i="3"/>
  <c r="V52" i="3"/>
  <c r="U65" i="3"/>
  <c r="V69" i="3"/>
  <c r="V51" i="3"/>
  <c r="U71" i="3"/>
  <c r="U75" i="3"/>
  <c r="U77" i="3" s="1"/>
  <c r="V47" i="3"/>
  <c r="S342" i="17"/>
  <c r="S310" i="17"/>
  <c r="S302" i="17"/>
  <c r="S334" i="17"/>
  <c r="V68" i="3"/>
  <c r="S340" i="17"/>
  <c r="S308" i="17"/>
  <c r="S304" i="17"/>
  <c r="S336" i="17"/>
  <c r="V62" i="3"/>
  <c r="S303" i="17"/>
  <c r="S335" i="17"/>
  <c r="S344" i="17"/>
  <c r="S312" i="17"/>
  <c r="V50" i="3"/>
  <c r="S309" i="17"/>
  <c r="S341" i="17"/>
  <c r="S345" i="17"/>
  <c r="S313" i="17"/>
  <c r="S314" i="17"/>
  <c r="S346" i="17"/>
  <c r="W44" i="3"/>
  <c r="W56" i="3" s="1"/>
  <c r="S305" i="17"/>
  <c r="S337" i="17"/>
  <c r="Z301" i="17"/>
  <c r="Z333" i="17"/>
  <c r="S307" i="17"/>
  <c r="S339" i="17"/>
  <c r="W45" i="3"/>
  <c r="W51" i="3" s="1"/>
  <c r="S306" i="17"/>
  <c r="S338" i="17"/>
  <c r="W46" i="3"/>
  <c r="W52" i="3" s="1"/>
  <c r="S343" i="17"/>
  <c r="S311" i="17"/>
  <c r="S283" i="17"/>
  <c r="S315" i="17"/>
  <c r="S347" i="17"/>
  <c r="AQ87" i="17"/>
  <c r="AQ92" i="17"/>
  <c r="AQ83" i="17"/>
  <c r="AQ89" i="17"/>
  <c r="AQ88" i="17"/>
  <c r="AQ90" i="17"/>
  <c r="AQ95" i="17"/>
  <c r="AQ97" i="17"/>
  <c r="AQ91" i="17"/>
  <c r="AQ93" i="17"/>
  <c r="AS85" i="17"/>
  <c r="AQ84" i="17"/>
  <c r="AQ86" i="17"/>
  <c r="AQ96" i="17"/>
  <c r="AQ94" i="17"/>
  <c r="W34" i="3"/>
  <c r="T463" i="17"/>
  <c r="T462" i="17"/>
  <c r="T461" i="17"/>
  <c r="W38" i="3"/>
  <c r="Z339" i="2"/>
  <c r="Z340" i="2"/>
  <c r="Z341" i="2"/>
  <c r="X8" i="3"/>
  <c r="X24" i="3" s="1"/>
  <c r="AJ66" i="15"/>
  <c r="AI168" i="15"/>
  <c r="AI149" i="15"/>
  <c r="AI140" i="15"/>
  <c r="AE139" i="12" s="1"/>
  <c r="AI131" i="15"/>
  <c r="AE130" i="12" s="1"/>
  <c r="AI121" i="15"/>
  <c r="AI111" i="15"/>
  <c r="AE112" i="12" s="1"/>
  <c r="AI67" i="15"/>
  <c r="AE178" i="12" s="1"/>
  <c r="AE166" i="12"/>
  <c r="AE148" i="12"/>
  <c r="AE121" i="12"/>
  <c r="AJ164" i="15"/>
  <c r="AF162" i="12" s="1"/>
  <c r="AJ155" i="15"/>
  <c r="AJ145" i="15"/>
  <c r="AJ136" i="15"/>
  <c r="AF135" i="12" s="1"/>
  <c r="AJ127" i="15"/>
  <c r="AF127" i="12" s="1"/>
  <c r="AJ117" i="15"/>
  <c r="AF118" i="12" s="1"/>
  <c r="AK84" i="15"/>
  <c r="AI159" i="15"/>
  <c r="AI169" i="15"/>
  <c r="AE167" i="12" s="1"/>
  <c r="AI150" i="15"/>
  <c r="AE149" i="12" s="1"/>
  <c r="AI141" i="15"/>
  <c r="AE140" i="12" s="1"/>
  <c r="AI132" i="15"/>
  <c r="AE131" i="12" s="1"/>
  <c r="AI122" i="15"/>
  <c r="AE122" i="12" s="1"/>
  <c r="AI112" i="15"/>
  <c r="AE113" i="12" s="1"/>
  <c r="AI94" i="15"/>
  <c r="AJ94" i="15" s="1"/>
  <c r="AI93" i="15"/>
  <c r="AH95" i="15"/>
  <c r="V298" i="3"/>
  <c r="W26" i="3"/>
  <c r="W36" i="3"/>
  <c r="X281" i="3"/>
  <c r="X290" i="3" s="1"/>
  <c r="Z189" i="3"/>
  <c r="Z197" i="3" s="1"/>
  <c r="Y243" i="3"/>
  <c r="Y251" i="3" s="1"/>
  <c r="Y259" i="3" s="1"/>
  <c r="Y285" i="3"/>
  <c r="Y294" i="3" s="1"/>
  <c r="X22" i="3"/>
  <c r="AA24" i="2"/>
  <c r="Z8" i="2"/>
  <c r="W30" i="3"/>
  <c r="X20" i="3"/>
  <c r="Z16" i="2"/>
  <c r="AE230" i="3"/>
  <c r="AE231" i="3" s="1"/>
  <c r="AE288" i="3"/>
  <c r="AE297" i="3" s="1"/>
  <c r="Z10" i="2"/>
  <c r="X14" i="3"/>
  <c r="X239" i="3"/>
  <c r="X247" i="3" s="1"/>
  <c r="X255" i="3" s="1"/>
  <c r="Z14" i="2"/>
  <c r="AB73" i="3"/>
  <c r="X18" i="3"/>
  <c r="W284" i="3"/>
  <c r="W293" i="3" s="1"/>
  <c r="W242" i="3"/>
  <c r="W250" i="3" s="1"/>
  <c r="W258" i="3" s="1"/>
  <c r="Z18" i="2"/>
  <c r="X10" i="3"/>
  <c r="AC55" i="3"/>
  <c r="AC49" i="3"/>
  <c r="AC67" i="3"/>
  <c r="AC61" i="3"/>
  <c r="Z9" i="2"/>
  <c r="W32" i="3"/>
  <c r="W283" i="3"/>
  <c r="W292" i="3" s="1"/>
  <c r="W241" i="3"/>
  <c r="W249" i="3" s="1"/>
  <c r="W257" i="3" s="1"/>
  <c r="W27" i="3"/>
  <c r="Z15" i="2"/>
  <c r="V262" i="3"/>
  <c r="W31" i="3"/>
  <c r="W25" i="3"/>
  <c r="X16" i="3"/>
  <c r="Z13" i="2"/>
  <c r="Z190" i="3"/>
  <c r="Z198" i="3" s="1"/>
  <c r="Y244" i="3"/>
  <c r="Y252" i="3" s="1"/>
  <c r="Y260" i="3" s="1"/>
  <c r="Z20" i="2"/>
  <c r="X11" i="3"/>
  <c r="AA27" i="2"/>
  <c r="Z11" i="2"/>
  <c r="W240" i="3"/>
  <c r="W248" i="3" s="1"/>
  <c r="W256" i="3" s="1"/>
  <c r="AD89" i="3"/>
  <c r="AD90" i="3" s="1"/>
  <c r="AD43" i="3"/>
  <c r="X15" i="3"/>
  <c r="X9" i="3"/>
  <c r="W28" i="3"/>
  <c r="W35" i="3"/>
  <c r="Z12" i="2"/>
  <c r="W37" i="3"/>
  <c r="Z17" i="2"/>
  <c r="W29" i="3"/>
  <c r="W33" i="3"/>
  <c r="X12" i="3"/>
  <c r="X19" i="3"/>
  <c r="Z191" i="3"/>
  <c r="Z199" i="3" s="1"/>
  <c r="Y287" i="3"/>
  <c r="Y296" i="3" s="1"/>
  <c r="Y245" i="3"/>
  <c r="Y253" i="3" s="1"/>
  <c r="Y261" i="3" s="1"/>
  <c r="Z19" i="2"/>
  <c r="X21" i="3"/>
  <c r="V39" i="3"/>
  <c r="X13" i="3"/>
  <c r="Z21" i="2"/>
  <c r="X17" i="3"/>
  <c r="AM173" i="15"/>
  <c r="AM163" i="15"/>
  <c r="AI161" i="12" s="1"/>
  <c r="AM154" i="15"/>
  <c r="AM135" i="15"/>
  <c r="AI134" i="12" s="1"/>
  <c r="AM125" i="15"/>
  <c r="AI125" i="12" s="1"/>
  <c r="AM115" i="15"/>
  <c r="AI116" i="12" s="1"/>
  <c r="U85" i="3"/>
  <c r="T308" i="3"/>
  <c r="AQ103" i="15"/>
  <c r="AN116" i="15"/>
  <c r="Z309" i="2"/>
  <c r="Y150" i="11"/>
  <c r="Y154" i="11" s="1"/>
  <c r="Y108" i="11"/>
  <c r="Y113" i="11" s="1"/>
  <c r="Y81" i="11"/>
  <c r="Y83" i="11"/>
  <c r="Y130" i="11"/>
  <c r="Y133" i="11" s="1"/>
  <c r="Y171" i="11"/>
  <c r="Y174" i="11" s="1"/>
  <c r="Y140" i="11"/>
  <c r="Y143" i="11" s="1"/>
  <c r="Y164" i="11"/>
  <c r="Z139" i="11"/>
  <c r="Z129" i="11"/>
  <c r="Z170" i="11"/>
  <c r="Z111" i="11"/>
  <c r="Z159" i="11"/>
  <c r="Z149" i="11"/>
  <c r="Z70" i="11"/>
  <c r="Z150" i="11" s="1"/>
  <c r="AA158" i="11"/>
  <c r="AA147" i="11"/>
  <c r="AA116" i="11"/>
  <c r="AA123" i="11" s="1"/>
  <c r="AA106" i="11"/>
  <c r="AB64" i="11"/>
  <c r="AD90" i="11"/>
  <c r="AE88" i="11"/>
  <c r="AE169" i="11"/>
  <c r="AE148" i="11"/>
  <c r="AE138" i="11"/>
  <c r="AE128" i="11"/>
  <c r="AE117" i="11"/>
  <c r="AE107" i="11"/>
  <c r="AF65" i="11"/>
  <c r="AE172" i="11"/>
  <c r="AE161" i="11"/>
  <c r="AE151" i="11"/>
  <c r="AE141" i="11"/>
  <c r="AE119" i="11"/>
  <c r="AE109" i="11"/>
  <c r="AF72" i="11"/>
  <c r="AE173" i="11"/>
  <c r="AE162" i="11"/>
  <c r="AE152" i="11"/>
  <c r="AE131" i="11"/>
  <c r="AE120" i="11"/>
  <c r="AE110" i="11"/>
  <c r="AF74" i="11"/>
  <c r="AE163" i="11"/>
  <c r="AE153" i="11"/>
  <c r="AE142" i="11"/>
  <c r="AE132" i="11"/>
  <c r="AE122" i="11"/>
  <c r="AE112" i="11"/>
  <c r="AF79" i="11"/>
  <c r="AD98" i="11"/>
  <c r="AE96" i="11"/>
  <c r="V363" i="4"/>
  <c r="V346" i="4"/>
  <c r="V320" i="4"/>
  <c r="BA310" i="4"/>
  <c r="U311" i="4"/>
  <c r="BA309" i="4"/>
  <c r="U303" i="4"/>
  <c r="U256" i="4"/>
  <c r="U223" i="4"/>
  <c r="U172" i="4"/>
  <c r="V185" i="4"/>
  <c r="U184" i="4"/>
  <c r="U183" i="4"/>
  <c r="U182" i="4"/>
  <c r="U181" i="4"/>
  <c r="U180" i="4"/>
  <c r="U179" i="4"/>
  <c r="U178" i="4"/>
  <c r="U177" i="4"/>
  <c r="U176" i="4"/>
  <c r="U175" i="4"/>
  <c r="U174" i="4"/>
  <c r="U173" i="4"/>
  <c r="V134" i="4"/>
  <c r="V118" i="4"/>
  <c r="V69" i="4"/>
  <c r="V53" i="4"/>
  <c r="U37" i="4"/>
  <c r="X113" i="3"/>
  <c r="BV381" i="2"/>
  <c r="Y72" i="2"/>
  <c r="U102" i="4"/>
  <c r="Y38" i="2"/>
  <c r="AA67" i="11" s="1"/>
  <c r="Z220" i="2" l="1"/>
  <c r="Y219" i="2"/>
  <c r="Y93" i="2"/>
  <c r="Y209" i="2"/>
  <c r="Y84" i="2"/>
  <c r="Y211" i="2"/>
  <c r="Y86" i="2"/>
  <c r="Y90" i="2"/>
  <c r="Y217" i="2"/>
  <c r="Y91" i="2"/>
  <c r="Y218" i="2"/>
  <c r="Y92" i="2"/>
  <c r="AC301" i="2"/>
  <c r="AB299" i="2"/>
  <c r="BC65" i="15"/>
  <c r="BC64" i="15"/>
  <c r="BC68" i="15" s="1"/>
  <c r="Z97" i="2"/>
  <c r="Z82" i="2" s="1"/>
  <c r="Y212" i="2"/>
  <c r="Y214" i="2"/>
  <c r="Y111" i="2"/>
  <c r="Y208" i="2"/>
  <c r="Z103" i="2"/>
  <c r="Z99" i="2"/>
  <c r="Z84" i="2" s="1"/>
  <c r="Z109" i="2"/>
  <c r="Z101" i="2"/>
  <c r="Z86" i="2" s="1"/>
  <c r="Z102" i="2"/>
  <c r="Z87" i="2" s="1"/>
  <c r="Y210" i="2"/>
  <c r="Z107" i="2"/>
  <c r="Y213" i="2"/>
  <c r="Z105" i="2"/>
  <c r="Z215" i="2" s="1"/>
  <c r="Z100" i="2"/>
  <c r="Z85" i="2" s="1"/>
  <c r="AA110" i="2"/>
  <c r="AA94" i="2" s="1"/>
  <c r="Z104" i="2"/>
  <c r="Z106" i="2"/>
  <c r="Z108" i="2"/>
  <c r="Z98" i="2"/>
  <c r="BJ364" i="2"/>
  <c r="AA372" i="2"/>
  <c r="Z385" i="2"/>
  <c r="AA381" i="2"/>
  <c r="Z386" i="2"/>
  <c r="W200" i="3"/>
  <c r="BE317" i="2"/>
  <c r="BE357" i="2" s="1"/>
  <c r="BD345" i="2"/>
  <c r="BD362" i="2" s="1"/>
  <c r="AA321" i="2"/>
  <c r="X188" i="3"/>
  <c r="X196" i="3" s="1"/>
  <c r="X208" i="3"/>
  <c r="X216" i="3" s="1"/>
  <c r="W201" i="3"/>
  <c r="W222" i="3"/>
  <c r="BE318" i="2"/>
  <c r="BE358" i="2" s="1"/>
  <c r="BB205" i="3"/>
  <c r="BB213" i="3" s="1"/>
  <c r="BB185" i="3"/>
  <c r="BB193" i="3" s="1"/>
  <c r="W220" i="3"/>
  <c r="BE335" i="2"/>
  <c r="BB210" i="3"/>
  <c r="BB218" i="3" s="1"/>
  <c r="AA319" i="2"/>
  <c r="X206" i="3"/>
  <c r="X214" i="3" s="1"/>
  <c r="X186" i="3"/>
  <c r="X194" i="3" s="1"/>
  <c r="BE334" i="2"/>
  <c r="BB209" i="3"/>
  <c r="BB217" i="3" s="1"/>
  <c r="BE336" i="2"/>
  <c r="BB211" i="3"/>
  <c r="BB219" i="3" s="1"/>
  <c r="AA320" i="2"/>
  <c r="X207" i="3"/>
  <c r="X215" i="3" s="1"/>
  <c r="X187" i="3"/>
  <c r="X195" i="3" s="1"/>
  <c r="S184" i="12"/>
  <c r="S179" i="12" s="1"/>
  <c r="Y86" i="15"/>
  <c r="Y171" i="15"/>
  <c r="Y161" i="15"/>
  <c r="Y152" i="15"/>
  <c r="Y143" i="15"/>
  <c r="Y134" i="15"/>
  <c r="Y113" i="15"/>
  <c r="Y118" i="15" s="1"/>
  <c r="U124" i="12"/>
  <c r="U128" i="12" s="1"/>
  <c r="Y128" i="15"/>
  <c r="Z172" i="15"/>
  <c r="V170" i="12" s="1"/>
  <c r="Z162" i="15"/>
  <c r="V160" i="12" s="1"/>
  <c r="Z153" i="15"/>
  <c r="V152" i="12" s="1"/>
  <c r="Z144" i="15"/>
  <c r="V143" i="12" s="1"/>
  <c r="Z124" i="15"/>
  <c r="Z114" i="15"/>
  <c r="V115" i="12" s="1"/>
  <c r="V119" i="12" s="1"/>
  <c r="Z75" i="15"/>
  <c r="X137" i="15"/>
  <c r="T133" i="12"/>
  <c r="T136" i="12" s="1"/>
  <c r="X146" i="15"/>
  <c r="T142" i="12"/>
  <c r="T145" i="12" s="1"/>
  <c r="T151" i="12"/>
  <c r="T155" i="12" s="1"/>
  <c r="X156" i="15"/>
  <c r="X165" i="15"/>
  <c r="T159" i="12"/>
  <c r="T163" i="12" s="1"/>
  <c r="X174" i="15"/>
  <c r="T169" i="12"/>
  <c r="T172" i="12" s="1"/>
  <c r="AX72" i="15"/>
  <c r="AW170" i="15"/>
  <c r="AS168" i="12" s="1"/>
  <c r="AW160" i="15"/>
  <c r="AS158" i="12" s="1"/>
  <c r="AW151" i="15"/>
  <c r="AS150" i="12" s="1"/>
  <c r="AW142" i="15"/>
  <c r="AS141" i="12" s="1"/>
  <c r="AW133" i="15"/>
  <c r="AS132" i="12" s="1"/>
  <c r="AW123" i="15"/>
  <c r="BM349" i="2"/>
  <c r="V71" i="3"/>
  <c r="V75" i="3"/>
  <c r="V76" i="3"/>
  <c r="V65" i="3"/>
  <c r="V53" i="3"/>
  <c r="AN55" i="2"/>
  <c r="AA44" i="2"/>
  <c r="AA53" i="2"/>
  <c r="AA46" i="2"/>
  <c r="AA54" i="2"/>
  <c r="AA51" i="2"/>
  <c r="AA47" i="2"/>
  <c r="AA43" i="2"/>
  <c r="AA58" i="2"/>
  <c r="Z42" i="2"/>
  <c r="AA61" i="2"/>
  <c r="Z45" i="2"/>
  <c r="AA48" i="2"/>
  <c r="AA50" i="2"/>
  <c r="AA49" i="2"/>
  <c r="AA52" i="2"/>
  <c r="W70" i="3"/>
  <c r="W64" i="3"/>
  <c r="W76" i="3" s="1"/>
  <c r="X28" i="3"/>
  <c r="W58" i="3"/>
  <c r="W63" i="3"/>
  <c r="W75" i="3" s="1"/>
  <c r="W57" i="3"/>
  <c r="W69" i="3"/>
  <c r="W68" i="3"/>
  <c r="W62" i="3"/>
  <c r="W47" i="3"/>
  <c r="W50" i="3"/>
  <c r="W53" i="3" s="1"/>
  <c r="V74" i="3"/>
  <c r="T310" i="17"/>
  <c r="T342" i="17"/>
  <c r="X45" i="3"/>
  <c r="X51" i="3" s="1"/>
  <c r="T306" i="17"/>
  <c r="T338" i="17"/>
  <c r="T303" i="17"/>
  <c r="T335" i="17"/>
  <c r="T312" i="17"/>
  <c r="T344" i="17"/>
  <c r="T340" i="17"/>
  <c r="T308" i="17"/>
  <c r="T304" i="17"/>
  <c r="T336" i="17"/>
  <c r="X46" i="3"/>
  <c r="X70" i="3" s="1"/>
  <c r="T311" i="17"/>
  <c r="T343" i="17"/>
  <c r="X33" i="3"/>
  <c r="X44" i="3"/>
  <c r="X56" i="3" s="1"/>
  <c r="T305" i="17"/>
  <c r="T337" i="17"/>
  <c r="T314" i="17"/>
  <c r="T346" i="17"/>
  <c r="T309" i="17"/>
  <c r="T341" i="17"/>
  <c r="T339" i="17"/>
  <c r="T307" i="17"/>
  <c r="T345" i="17"/>
  <c r="T313" i="17"/>
  <c r="AA333" i="17"/>
  <c r="AA301" i="17"/>
  <c r="T302" i="17"/>
  <c r="T334" i="17"/>
  <c r="T283" i="17"/>
  <c r="T315" i="17"/>
  <c r="T347" i="17"/>
  <c r="AR84" i="17"/>
  <c r="AR97" i="17"/>
  <c r="AR89" i="17"/>
  <c r="AR94" i="17"/>
  <c r="AT85" i="17"/>
  <c r="AR95" i="17"/>
  <c r="AR83" i="17"/>
  <c r="AR93" i="17"/>
  <c r="AR90" i="17"/>
  <c r="AR92" i="17"/>
  <c r="AR96" i="17"/>
  <c r="AR86" i="17"/>
  <c r="AR91" i="17"/>
  <c r="AR88" i="17"/>
  <c r="AR87" i="17"/>
  <c r="U463" i="17"/>
  <c r="U462" i="17"/>
  <c r="U461" i="17"/>
  <c r="AA339" i="2"/>
  <c r="AA340" i="2"/>
  <c r="AA341" i="2"/>
  <c r="Y8" i="3"/>
  <c r="Y24" i="3" s="1"/>
  <c r="AK66" i="15"/>
  <c r="AJ168" i="15"/>
  <c r="AF166" i="12" s="1"/>
  <c r="AJ149" i="15"/>
  <c r="AJ140" i="15"/>
  <c r="AJ131" i="15"/>
  <c r="AJ121" i="15"/>
  <c r="AJ111" i="15"/>
  <c r="AF112" i="12" s="1"/>
  <c r="AJ67" i="15"/>
  <c r="AF178" i="12" s="1"/>
  <c r="AF139" i="12"/>
  <c r="AF148" i="12"/>
  <c r="AF130" i="12"/>
  <c r="AF121" i="12"/>
  <c r="AJ93" i="15"/>
  <c r="AI95" i="15"/>
  <c r="AJ159" i="15"/>
  <c r="AJ169" i="15"/>
  <c r="AF167" i="12" s="1"/>
  <c r="AJ150" i="15"/>
  <c r="AF149" i="12" s="1"/>
  <c r="AJ141" i="15"/>
  <c r="AF140" i="12" s="1"/>
  <c r="AJ132" i="15"/>
  <c r="AF131" i="12" s="1"/>
  <c r="AJ122" i="15"/>
  <c r="AF122" i="12" s="1"/>
  <c r="AJ112" i="15"/>
  <c r="AF113" i="12" s="1"/>
  <c r="AK164" i="15"/>
  <c r="AG162" i="12" s="1"/>
  <c r="AK155" i="15"/>
  <c r="AK145" i="15"/>
  <c r="AK136" i="15"/>
  <c r="AG135" i="12" s="1"/>
  <c r="AK127" i="15"/>
  <c r="AG127" i="12" s="1"/>
  <c r="AK117" i="15"/>
  <c r="AG118" i="12" s="1"/>
  <c r="AL84" i="15"/>
  <c r="X25" i="3"/>
  <c r="X37" i="3"/>
  <c r="Y19" i="3"/>
  <c r="AD49" i="3"/>
  <c r="AD61" i="3"/>
  <c r="AD55" i="3"/>
  <c r="AD67" i="3"/>
  <c r="X240" i="3"/>
  <c r="X248" i="3" s="1"/>
  <c r="X256" i="3" s="1"/>
  <c r="Y11" i="3"/>
  <c r="Y16" i="3"/>
  <c r="Y14" i="3"/>
  <c r="X36" i="3"/>
  <c r="Y21" i="3"/>
  <c r="AA12" i="2"/>
  <c r="W39" i="3"/>
  <c r="AA9" i="2"/>
  <c r="AA18" i="2"/>
  <c r="Y20" i="3"/>
  <c r="Y17" i="3"/>
  <c r="Y12" i="3"/>
  <c r="AE89" i="3"/>
  <c r="AE90" i="3" s="1"/>
  <c r="AE43" i="3"/>
  <c r="AB27" i="2"/>
  <c r="AA11" i="2"/>
  <c r="AA20" i="2"/>
  <c r="AA15" i="2"/>
  <c r="AA14" i="2"/>
  <c r="AA10" i="2"/>
  <c r="Y281" i="3"/>
  <c r="Y290" i="3" s="1"/>
  <c r="AA19" i="2"/>
  <c r="AA21" i="2"/>
  <c r="AA190" i="3"/>
  <c r="AA198" i="3" s="1"/>
  <c r="Z244" i="3"/>
  <c r="Z252" i="3" s="1"/>
  <c r="Z260" i="3" s="1"/>
  <c r="AC73" i="3"/>
  <c r="X284" i="3"/>
  <c r="X293" i="3" s="1"/>
  <c r="X242" i="3"/>
  <c r="X250" i="3" s="1"/>
  <c r="X258" i="3" s="1"/>
  <c r="AB24" i="2"/>
  <c r="AA8" i="2"/>
  <c r="AA189" i="3"/>
  <c r="AA197" i="3" s="1"/>
  <c r="Z285" i="3"/>
  <c r="Z294" i="3" s="1"/>
  <c r="Z243" i="3"/>
  <c r="Z251" i="3" s="1"/>
  <c r="Z259" i="3" s="1"/>
  <c r="X29" i="3"/>
  <c r="Y9" i="3"/>
  <c r="W298" i="3"/>
  <c r="X34" i="3"/>
  <c r="AF288" i="3"/>
  <c r="AF297" i="3" s="1"/>
  <c r="AF230" i="3"/>
  <c r="AF231" i="3" s="1"/>
  <c r="X38" i="3"/>
  <c r="Y13" i="3"/>
  <c r="AA191" i="3"/>
  <c r="AA199" i="3" s="1"/>
  <c r="Z287" i="3"/>
  <c r="Z296" i="3" s="1"/>
  <c r="Z245" i="3"/>
  <c r="Z253" i="3" s="1"/>
  <c r="Z261" i="3" s="1"/>
  <c r="AA17" i="2"/>
  <c r="X31" i="3"/>
  <c r="AA13" i="2"/>
  <c r="X283" i="3"/>
  <c r="X292" i="3" s="1"/>
  <c r="X241" i="3"/>
  <c r="X249" i="3" s="1"/>
  <c r="X257" i="3" s="1"/>
  <c r="X26" i="3"/>
  <c r="Y18" i="3"/>
  <c r="Y239" i="3"/>
  <c r="Y247" i="3" s="1"/>
  <c r="Y255" i="3" s="1"/>
  <c r="Y22" i="3"/>
  <c r="X35" i="3"/>
  <c r="Y15" i="3"/>
  <c r="W262" i="3"/>
  <c r="X27" i="3"/>
  <c r="X32" i="3"/>
  <c r="Y10" i="3"/>
  <c r="X30" i="3"/>
  <c r="AA16" i="2"/>
  <c r="AN173" i="15"/>
  <c r="AN163" i="15"/>
  <c r="AJ161" i="12" s="1"/>
  <c r="AN154" i="15"/>
  <c r="AN135" i="15"/>
  <c r="AJ134" i="12" s="1"/>
  <c r="AN125" i="15"/>
  <c r="AJ125" i="12" s="1"/>
  <c r="AN115" i="15"/>
  <c r="AJ116" i="12" s="1"/>
  <c r="U308" i="3"/>
  <c r="V85" i="3"/>
  <c r="AO116" i="15"/>
  <c r="AR103" i="15"/>
  <c r="AA309" i="2"/>
  <c r="Z81" i="11"/>
  <c r="Z160" i="11"/>
  <c r="Z164" i="11" s="1"/>
  <c r="Z171" i="11"/>
  <c r="Z174" i="11" s="1"/>
  <c r="Z154" i="11"/>
  <c r="Z83" i="11"/>
  <c r="Z130" i="11"/>
  <c r="Z133" i="11" s="1"/>
  <c r="Z140" i="11"/>
  <c r="Z143" i="11" s="1"/>
  <c r="AA170" i="11"/>
  <c r="AA159" i="11"/>
  <c r="AA149" i="11"/>
  <c r="AA139" i="11"/>
  <c r="AA111" i="11"/>
  <c r="AA129" i="11"/>
  <c r="AA70" i="11"/>
  <c r="AA130" i="11" s="1"/>
  <c r="Z108" i="11"/>
  <c r="Z113" i="11" s="1"/>
  <c r="AE98" i="11"/>
  <c r="AF96" i="11"/>
  <c r="AF163" i="11"/>
  <c r="AF153" i="11"/>
  <c r="AF142" i="11"/>
  <c r="AF132" i="11"/>
  <c r="AF122" i="11"/>
  <c r="AF112" i="11"/>
  <c r="AG79" i="11"/>
  <c r="AF173" i="11"/>
  <c r="AF162" i="11"/>
  <c r="AF152" i="11"/>
  <c r="AF131" i="11"/>
  <c r="AF120" i="11"/>
  <c r="AF110" i="11"/>
  <c r="AG74" i="11"/>
  <c r="AF172" i="11"/>
  <c r="AF161" i="11"/>
  <c r="AF151" i="11"/>
  <c r="AF141" i="11"/>
  <c r="AF119" i="11"/>
  <c r="AF109" i="11"/>
  <c r="AG72" i="11"/>
  <c r="AF169" i="11"/>
  <c r="AF148" i="11"/>
  <c r="AF138" i="11"/>
  <c r="AF128" i="11"/>
  <c r="AF117" i="11"/>
  <c r="AF107" i="11"/>
  <c r="AG65" i="11"/>
  <c r="AF89" i="11"/>
  <c r="AE90" i="11"/>
  <c r="AF88" i="11"/>
  <c r="AB158" i="11"/>
  <c r="AB147" i="11"/>
  <c r="AB116" i="11"/>
  <c r="AB123" i="11" s="1"/>
  <c r="AB106" i="11"/>
  <c r="AC64" i="11"/>
  <c r="Z38" i="2"/>
  <c r="AB67" i="11" s="1"/>
  <c r="V102" i="4"/>
  <c r="Z72" i="2"/>
  <c r="BW381" i="2"/>
  <c r="Y113" i="3"/>
  <c r="V37" i="4"/>
  <c r="W53" i="4"/>
  <c r="W69" i="4"/>
  <c r="W118" i="4"/>
  <c r="W134" i="4"/>
  <c r="V173" i="4"/>
  <c r="V174" i="4"/>
  <c r="V175" i="4"/>
  <c r="V176" i="4"/>
  <c r="V177" i="4"/>
  <c r="V178" i="4"/>
  <c r="V179" i="4"/>
  <c r="V180" i="4"/>
  <c r="V181" i="4"/>
  <c r="V182" i="4"/>
  <c r="V183" i="4"/>
  <c r="V184" i="4"/>
  <c r="W185" i="4"/>
  <c r="V223" i="4"/>
  <c r="V172" i="4"/>
  <c r="V256" i="4"/>
  <c r="V303" i="4"/>
  <c r="V311" i="4"/>
  <c r="BB309" i="4"/>
  <c r="BB310" i="4"/>
  <c r="W320" i="4"/>
  <c r="W346" i="4"/>
  <c r="W363" i="4"/>
  <c r="AG89" i="11" l="1"/>
  <c r="Z208" i="2"/>
  <c r="Z83" i="2"/>
  <c r="Z218" i="2"/>
  <c r="Z92" i="2"/>
  <c r="Z90" i="2"/>
  <c r="Z214" i="2"/>
  <c r="Z89" i="2"/>
  <c r="Z217" i="2"/>
  <c r="Z91" i="2"/>
  <c r="Z219" i="2"/>
  <c r="Z93" i="2"/>
  <c r="Z213" i="2"/>
  <c r="Z88" i="2"/>
  <c r="AD301" i="2"/>
  <c r="AC299" i="2"/>
  <c r="BD65" i="15"/>
  <c r="BD64" i="15"/>
  <c r="BD68" i="15" s="1"/>
  <c r="AA97" i="2"/>
  <c r="AA82" i="2" s="1"/>
  <c r="Z209" i="2"/>
  <c r="Z211" i="2"/>
  <c r="Z212" i="2"/>
  <c r="AB110" i="2"/>
  <c r="AB94" i="2" s="1"/>
  <c r="AA109" i="2"/>
  <c r="AA108" i="2"/>
  <c r="Z210" i="2"/>
  <c r="AA104" i="2"/>
  <c r="AA89" i="2" s="1"/>
  <c r="AA101" i="2"/>
  <c r="AA86" i="2" s="1"/>
  <c r="AA107" i="2"/>
  <c r="AA100" i="2"/>
  <c r="AA85" i="2" s="1"/>
  <c r="AA99" i="2"/>
  <c r="AA84" i="2" s="1"/>
  <c r="Z111" i="2"/>
  <c r="AA106" i="2"/>
  <c r="AA102" i="2"/>
  <c r="AA87" i="2" s="1"/>
  <c r="AA105" i="2"/>
  <c r="AA103" i="2"/>
  <c r="AA88" i="2" s="1"/>
  <c r="AA98" i="2"/>
  <c r="AA83" i="2" s="1"/>
  <c r="BK364" i="2"/>
  <c r="AB372" i="2"/>
  <c r="AA385" i="2"/>
  <c r="AB381" i="2"/>
  <c r="AA386" i="2"/>
  <c r="BF317" i="2"/>
  <c r="BF357" i="2" s="1"/>
  <c r="BE345" i="2"/>
  <c r="BE362" i="2" s="1"/>
  <c r="X220" i="3"/>
  <c r="X200" i="3"/>
  <c r="BF334" i="2"/>
  <c r="BC209" i="3"/>
  <c r="BC217" i="3" s="1"/>
  <c r="X201" i="3"/>
  <c r="X222" i="3"/>
  <c r="BF318" i="2"/>
  <c r="BF358" i="2" s="1"/>
  <c r="BC205" i="3"/>
  <c r="BC213" i="3" s="1"/>
  <c r="BC185" i="3"/>
  <c r="BC193" i="3" s="1"/>
  <c r="AB319" i="2"/>
  <c r="Y206" i="3"/>
  <c r="Y214" i="3" s="1"/>
  <c r="Y186" i="3"/>
  <c r="Y194" i="3" s="1"/>
  <c r="AB320" i="2"/>
  <c r="Y207" i="3"/>
  <c r="Y215" i="3" s="1"/>
  <c r="Y187" i="3"/>
  <c r="Y195" i="3" s="1"/>
  <c r="BF335" i="2"/>
  <c r="BC210" i="3"/>
  <c r="BC218" i="3" s="1"/>
  <c r="BF336" i="2"/>
  <c r="BC211" i="3"/>
  <c r="BC219" i="3" s="1"/>
  <c r="AB321" i="2"/>
  <c r="Y208" i="3"/>
  <c r="Y216" i="3" s="1"/>
  <c r="Y188" i="3"/>
  <c r="Y196" i="3" s="1"/>
  <c r="T184" i="12"/>
  <c r="T179" i="12" s="1"/>
  <c r="Z86" i="15"/>
  <c r="Z171" i="15"/>
  <c r="Z161" i="15"/>
  <c r="Z152" i="15"/>
  <c r="Z143" i="15"/>
  <c r="Z134" i="15"/>
  <c r="Z113" i="15"/>
  <c r="Z118" i="15" s="1"/>
  <c r="V124" i="12"/>
  <c r="V128" i="12" s="1"/>
  <c r="Z128" i="15"/>
  <c r="AA172" i="15"/>
  <c r="W170" i="12" s="1"/>
  <c r="AA162" i="15"/>
  <c r="W160" i="12" s="1"/>
  <c r="AA153" i="15"/>
  <c r="W152" i="12" s="1"/>
  <c r="AA144" i="15"/>
  <c r="W143" i="12" s="1"/>
  <c r="AA124" i="15"/>
  <c r="AA114" i="15"/>
  <c r="W115" i="12" s="1"/>
  <c r="W119" i="12" s="1"/>
  <c r="AA75" i="15"/>
  <c r="Y137" i="15"/>
  <c r="U133" i="12"/>
  <c r="U136" i="12" s="1"/>
  <c r="Y146" i="15"/>
  <c r="U142" i="12"/>
  <c r="U145" i="12" s="1"/>
  <c r="U151" i="12"/>
  <c r="U155" i="12" s="1"/>
  <c r="Y156" i="15"/>
  <c r="Y165" i="15"/>
  <c r="U159" i="12"/>
  <c r="U163" i="12" s="1"/>
  <c r="Y174" i="15"/>
  <c r="U169" i="12"/>
  <c r="U172" i="12" s="1"/>
  <c r="AY72" i="15"/>
  <c r="AX170" i="15"/>
  <c r="AT168" i="12" s="1"/>
  <c r="AX160" i="15"/>
  <c r="AT158" i="12" s="1"/>
  <c r="AX151" i="15"/>
  <c r="AT150" i="12" s="1"/>
  <c r="AX142" i="15"/>
  <c r="AT141" i="12" s="1"/>
  <c r="AX133" i="15"/>
  <c r="AT132" i="12" s="1"/>
  <c r="AX123" i="15"/>
  <c r="BN349" i="2"/>
  <c r="V77" i="3"/>
  <c r="W59" i="3"/>
  <c r="X52" i="3"/>
  <c r="AO55" i="2"/>
  <c r="AB49" i="2"/>
  <c r="AB58" i="2"/>
  <c r="AA42" i="2"/>
  <c r="AB54" i="2"/>
  <c r="AB50" i="2"/>
  <c r="AB43" i="2"/>
  <c r="AB48" i="2"/>
  <c r="AB47" i="2"/>
  <c r="AB53" i="2"/>
  <c r="AB46" i="2"/>
  <c r="AB52" i="2"/>
  <c r="AB61" i="2"/>
  <c r="AA45" i="2"/>
  <c r="AB51" i="2"/>
  <c r="AB44" i="2"/>
  <c r="W71" i="3"/>
  <c r="X63" i="3"/>
  <c r="X75" i="3" s="1"/>
  <c r="W65" i="3"/>
  <c r="X57" i="3"/>
  <c r="X58" i="3"/>
  <c r="X64" i="3"/>
  <c r="X69" i="3"/>
  <c r="W74" i="3"/>
  <c r="W77" i="3" s="1"/>
  <c r="X50" i="3"/>
  <c r="X68" i="3"/>
  <c r="X62" i="3"/>
  <c r="X47" i="3"/>
  <c r="Y38" i="3"/>
  <c r="X298" i="3"/>
  <c r="Y46" i="3"/>
  <c r="Y70" i="3" s="1"/>
  <c r="U311" i="17"/>
  <c r="U343" i="17"/>
  <c r="U302" i="17"/>
  <c r="U334" i="17"/>
  <c r="U283" i="17"/>
  <c r="U347" i="17"/>
  <c r="U315" i="17"/>
  <c r="U340" i="17"/>
  <c r="U308" i="17"/>
  <c r="U344" i="17"/>
  <c r="U312" i="17"/>
  <c r="U345" i="17"/>
  <c r="U313" i="17"/>
  <c r="U309" i="17"/>
  <c r="U341" i="17"/>
  <c r="U339" i="17"/>
  <c r="U307" i="17"/>
  <c r="U303" i="17"/>
  <c r="U335" i="17"/>
  <c r="Y45" i="3"/>
  <c r="Y51" i="3" s="1"/>
  <c r="U338" i="17"/>
  <c r="U306" i="17"/>
  <c r="AB333" i="17"/>
  <c r="AB301" i="17"/>
  <c r="Y29" i="3"/>
  <c r="U314" i="17"/>
  <c r="U346" i="17"/>
  <c r="U310" i="17"/>
  <c r="U342" i="17"/>
  <c r="Y26" i="3"/>
  <c r="U304" i="17"/>
  <c r="U336" i="17"/>
  <c r="Y44" i="3"/>
  <c r="Y68" i="3" s="1"/>
  <c r="U337" i="17"/>
  <c r="U305" i="17"/>
  <c r="AS86" i="17"/>
  <c r="AS93" i="17"/>
  <c r="AS94" i="17"/>
  <c r="AS89" i="17"/>
  <c r="AS87" i="17"/>
  <c r="AS96" i="17"/>
  <c r="AS83" i="17"/>
  <c r="AS97" i="17"/>
  <c r="AS88" i="17"/>
  <c r="AS92" i="17"/>
  <c r="AS95" i="17"/>
  <c r="AS90" i="17"/>
  <c r="AS91" i="17"/>
  <c r="AU85" i="17"/>
  <c r="AS84" i="17"/>
  <c r="V463" i="17"/>
  <c r="V462" i="17"/>
  <c r="V461" i="17"/>
  <c r="AB339" i="2"/>
  <c r="AB340" i="2"/>
  <c r="AB341" i="2"/>
  <c r="Y31" i="3"/>
  <c r="Z8" i="3"/>
  <c r="Z24" i="3" s="1"/>
  <c r="AL66" i="15"/>
  <c r="AK168" i="15"/>
  <c r="AK149" i="15"/>
  <c r="AK140" i="15"/>
  <c r="AG139" i="12" s="1"/>
  <c r="AK131" i="15"/>
  <c r="AK121" i="15"/>
  <c r="AG121" i="12" s="1"/>
  <c r="AK111" i="15"/>
  <c r="AG112" i="12" s="1"/>
  <c r="AK67" i="15"/>
  <c r="AG178" i="12" s="1"/>
  <c r="AG166" i="12"/>
  <c r="AG148" i="12"/>
  <c r="AG130" i="12"/>
  <c r="AL164" i="15"/>
  <c r="AH162" i="12" s="1"/>
  <c r="AL155" i="15"/>
  <c r="AL145" i="15"/>
  <c r="AL136" i="15"/>
  <c r="AH135" i="12" s="1"/>
  <c r="AL127" i="15"/>
  <c r="AH127" i="12" s="1"/>
  <c r="AL117" i="15"/>
  <c r="AH118" i="12" s="1"/>
  <c r="AM84" i="15"/>
  <c r="AK159" i="15"/>
  <c r="AK169" i="15"/>
  <c r="AG167" i="12" s="1"/>
  <c r="AK150" i="15"/>
  <c r="AG149" i="12" s="1"/>
  <c r="AK141" i="15"/>
  <c r="AG140" i="12" s="1"/>
  <c r="AK132" i="15"/>
  <c r="AG131" i="12" s="1"/>
  <c r="AK122" i="15"/>
  <c r="AG122" i="12" s="1"/>
  <c r="AK112" i="15"/>
  <c r="AG113" i="12" s="1"/>
  <c r="AK94" i="15"/>
  <c r="AL94" i="15" s="1"/>
  <c r="AK93" i="15"/>
  <c r="AJ95" i="15"/>
  <c r="Y25" i="3"/>
  <c r="Y33" i="3"/>
  <c r="Y36" i="3"/>
  <c r="Y28" i="3"/>
  <c r="AB16" i="2"/>
  <c r="Z18" i="3"/>
  <c r="AB13" i="2"/>
  <c r="Y284" i="3"/>
  <c r="Y293" i="3" s="1"/>
  <c r="Y242" i="3"/>
  <c r="Y250" i="3" s="1"/>
  <c r="Y258" i="3" s="1"/>
  <c r="AB19" i="2"/>
  <c r="AF89" i="3"/>
  <c r="AF90" i="3" s="1"/>
  <c r="AF43" i="3"/>
  <c r="AB18" i="2"/>
  <c r="Y32" i="3"/>
  <c r="Z15" i="3"/>
  <c r="X39" i="3"/>
  <c r="Z13" i="3"/>
  <c r="AB15" i="2"/>
  <c r="Z16" i="3"/>
  <c r="AD73" i="3"/>
  <c r="Z12" i="3"/>
  <c r="AB9" i="2"/>
  <c r="AB12" i="2"/>
  <c r="Y27" i="3"/>
  <c r="Z10" i="3"/>
  <c r="Z9" i="3"/>
  <c r="AB189" i="3"/>
  <c r="AB197" i="3" s="1"/>
  <c r="AA285" i="3"/>
  <c r="AA294" i="3" s="1"/>
  <c r="AA243" i="3"/>
  <c r="AA251" i="3" s="1"/>
  <c r="AA259" i="3" s="1"/>
  <c r="AB20" i="2"/>
  <c r="Y37" i="3"/>
  <c r="Z11" i="3"/>
  <c r="Z22" i="3"/>
  <c r="Y283" i="3"/>
  <c r="Y292" i="3" s="1"/>
  <c r="Y241" i="3"/>
  <c r="Y249" i="3" s="1"/>
  <c r="Y257" i="3" s="1"/>
  <c r="AB17" i="2"/>
  <c r="AB190" i="3"/>
  <c r="AB198" i="3" s="1"/>
  <c r="AA244" i="3"/>
  <c r="AA252" i="3" s="1"/>
  <c r="AA260" i="3" s="1"/>
  <c r="AB10" i="2"/>
  <c r="Z17" i="3"/>
  <c r="Z21" i="3"/>
  <c r="X262" i="3"/>
  <c r="AG288" i="3"/>
  <c r="AG297" i="3" s="1"/>
  <c r="AG230" i="3"/>
  <c r="AG231" i="3" s="1"/>
  <c r="AC24" i="2"/>
  <c r="AB8" i="2"/>
  <c r="AC27" i="2"/>
  <c r="AB11" i="2"/>
  <c r="Y240" i="3"/>
  <c r="Y248" i="3" s="1"/>
  <c r="Y256" i="3" s="1"/>
  <c r="Z281" i="3"/>
  <c r="Z290" i="3" s="1"/>
  <c r="Z239" i="3"/>
  <c r="Z247" i="3" s="1"/>
  <c r="Z255" i="3" s="1"/>
  <c r="AB21" i="2"/>
  <c r="AB14" i="2"/>
  <c r="AE55" i="3"/>
  <c r="AE49" i="3"/>
  <c r="AE61" i="3"/>
  <c r="AE67" i="3"/>
  <c r="Z20" i="3"/>
  <c r="Y30" i="3"/>
  <c r="Y35" i="3"/>
  <c r="Y34" i="3"/>
  <c r="AB191" i="3"/>
  <c r="AB199" i="3" s="1"/>
  <c r="AA287" i="3"/>
  <c r="AA296" i="3" s="1"/>
  <c r="AA245" i="3"/>
  <c r="AA253" i="3" s="1"/>
  <c r="AA261" i="3" s="1"/>
  <c r="Z14" i="3"/>
  <c r="Z19" i="3"/>
  <c r="AO173" i="15"/>
  <c r="AO163" i="15"/>
  <c r="AK161" i="12" s="1"/>
  <c r="AO154" i="15"/>
  <c r="AO135" i="15"/>
  <c r="AK134" i="12" s="1"/>
  <c r="AO125" i="15"/>
  <c r="AK125" i="12" s="1"/>
  <c r="AO115" i="15"/>
  <c r="AK116" i="12" s="1"/>
  <c r="W85" i="3"/>
  <c r="V308" i="3"/>
  <c r="AA220" i="2"/>
  <c r="AP116" i="15"/>
  <c r="AS103" i="15"/>
  <c r="AB309" i="2"/>
  <c r="AA108" i="11"/>
  <c r="AA113" i="11" s="1"/>
  <c r="AA81" i="11"/>
  <c r="AA140" i="11"/>
  <c r="AA143" i="11" s="1"/>
  <c r="AA150" i="11"/>
  <c r="AA154" i="11" s="1"/>
  <c r="AA160" i="11"/>
  <c r="AA164" i="11" s="1"/>
  <c r="AA171" i="11"/>
  <c r="AA174" i="11" s="1"/>
  <c r="AA83" i="11"/>
  <c r="AB170" i="11"/>
  <c r="AB159" i="11"/>
  <c r="AB149" i="11"/>
  <c r="AB111" i="11"/>
  <c r="AB139" i="11"/>
  <c r="AB129" i="11"/>
  <c r="AB70" i="11"/>
  <c r="AB160" i="11" s="1"/>
  <c r="AA133" i="11"/>
  <c r="AC158" i="11"/>
  <c r="AC147" i="11"/>
  <c r="AC116" i="11"/>
  <c r="AC123" i="11" s="1"/>
  <c r="AC106" i="11"/>
  <c r="AD64" i="11"/>
  <c r="AF90" i="11"/>
  <c r="AG88" i="11"/>
  <c r="AG169" i="11"/>
  <c r="AG148" i="11"/>
  <c r="AG138" i="11"/>
  <c r="AG128" i="11"/>
  <c r="AG117" i="11"/>
  <c r="AG107" i="11"/>
  <c r="AH65" i="11"/>
  <c r="AG172" i="11"/>
  <c r="AG161" i="11"/>
  <c r="AG151" i="11"/>
  <c r="AG141" i="11"/>
  <c r="AG119" i="11"/>
  <c r="AG109" i="11"/>
  <c r="AH72" i="11"/>
  <c r="AG173" i="11"/>
  <c r="AG162" i="11"/>
  <c r="AG152" i="11"/>
  <c r="AG131" i="11"/>
  <c r="AG120" i="11"/>
  <c r="AG110" i="11"/>
  <c r="AH74" i="11"/>
  <c r="AG163" i="11"/>
  <c r="AG153" i="11"/>
  <c r="AG142" i="11"/>
  <c r="AG132" i="11"/>
  <c r="AG122" i="11"/>
  <c r="AG112" i="11"/>
  <c r="AH79" i="11"/>
  <c r="AF98" i="11"/>
  <c r="AG96" i="11"/>
  <c r="X363" i="4"/>
  <c r="X346" i="4"/>
  <c r="X320" i="4"/>
  <c r="BC310" i="4"/>
  <c r="W311" i="4"/>
  <c r="BC309" i="4"/>
  <c r="W303" i="4"/>
  <c r="W256" i="4"/>
  <c r="W223" i="4"/>
  <c r="W172" i="4"/>
  <c r="X185" i="4"/>
  <c r="W184" i="4"/>
  <c r="W183" i="4"/>
  <c r="W182" i="4"/>
  <c r="W181" i="4"/>
  <c r="W180" i="4"/>
  <c r="W179" i="4"/>
  <c r="W178" i="4"/>
  <c r="W177" i="4"/>
  <c r="W176" i="4"/>
  <c r="W175" i="4"/>
  <c r="W174" i="4"/>
  <c r="W173" i="4"/>
  <c r="X134" i="4"/>
  <c r="X118" i="4"/>
  <c r="X69" i="4"/>
  <c r="X53" i="4"/>
  <c r="W37" i="4"/>
  <c r="Z113" i="3"/>
  <c r="BX381" i="2"/>
  <c r="AA72" i="2"/>
  <c r="W102" i="4"/>
  <c r="AA38" i="2"/>
  <c r="AC67" i="11" s="1"/>
  <c r="AA90" i="2" l="1"/>
  <c r="AA217" i="2"/>
  <c r="AA91" i="2"/>
  <c r="AA218" i="2"/>
  <c r="AA92" i="2"/>
  <c r="AA219" i="2"/>
  <c r="AA93" i="2"/>
  <c r="AE301" i="2"/>
  <c r="AD299" i="2"/>
  <c r="AA215" i="2"/>
  <c r="BE65" i="15"/>
  <c r="BE64" i="15"/>
  <c r="BE68" i="15" s="1"/>
  <c r="AB97" i="2"/>
  <c r="AB82" i="2" s="1"/>
  <c r="AA209" i="2"/>
  <c r="AA211" i="2"/>
  <c r="AA208" i="2"/>
  <c r="AA210" i="2"/>
  <c r="AA213" i="2"/>
  <c r="AB100" i="2"/>
  <c r="AB85" i="2" s="1"/>
  <c r="AB107" i="2"/>
  <c r="AB108" i="2"/>
  <c r="AB102" i="2"/>
  <c r="AB87" i="2" s="1"/>
  <c r="AB103" i="2"/>
  <c r="AB88" i="2" s="1"/>
  <c r="AA111" i="2"/>
  <c r="AB101" i="2"/>
  <c r="AB86" i="2" s="1"/>
  <c r="AB109" i="2"/>
  <c r="AB105" i="2"/>
  <c r="AB215" i="2" s="1"/>
  <c r="AB99" i="2"/>
  <c r="AA214" i="2"/>
  <c r="AB106" i="2"/>
  <c r="AB90" i="2" s="1"/>
  <c r="AA212" i="2"/>
  <c r="AB104" i="2"/>
  <c r="AB89" i="2" s="1"/>
  <c r="AC110" i="2"/>
  <c r="AC94" i="2" s="1"/>
  <c r="AB98" i="2"/>
  <c r="BL364" i="2"/>
  <c r="AC372" i="2"/>
  <c r="AB385" i="2"/>
  <c r="AC381" i="2"/>
  <c r="AB386" i="2"/>
  <c r="BG317" i="2"/>
  <c r="BG357" i="2" s="1"/>
  <c r="BF345" i="2"/>
  <c r="BF362" i="2" s="1"/>
  <c r="Y200" i="3"/>
  <c r="BG336" i="2"/>
  <c r="BD211" i="3"/>
  <c r="BD219" i="3" s="1"/>
  <c r="AC319" i="2"/>
  <c r="Z206" i="3"/>
  <c r="Z214" i="3" s="1"/>
  <c r="Z186" i="3"/>
  <c r="Z194" i="3" s="1"/>
  <c r="BG335" i="2"/>
  <c r="BD210" i="3"/>
  <c r="BD218" i="3" s="1"/>
  <c r="BG318" i="2"/>
  <c r="BG358" i="2" s="1"/>
  <c r="BD205" i="3"/>
  <c r="BD213" i="3" s="1"/>
  <c r="BD185" i="3"/>
  <c r="BD193" i="3" s="1"/>
  <c r="AC320" i="2"/>
  <c r="Z207" i="3"/>
  <c r="Z215" i="3" s="1"/>
  <c r="Z187" i="3"/>
  <c r="Z195" i="3" s="1"/>
  <c r="AC321" i="2"/>
  <c r="Z208" i="3"/>
  <c r="Z216" i="3" s="1"/>
  <c r="Z188" i="3"/>
  <c r="Z196" i="3" s="1"/>
  <c r="Y201" i="3"/>
  <c r="Y222" i="3"/>
  <c r="Y220" i="3"/>
  <c r="BG334" i="2"/>
  <c r="BD209" i="3"/>
  <c r="BD217" i="3" s="1"/>
  <c r="U184" i="12"/>
  <c r="U179" i="12" s="1"/>
  <c r="AA86" i="15"/>
  <c r="AA171" i="15"/>
  <c r="AA161" i="15"/>
  <c r="AA152" i="15"/>
  <c r="AA143" i="15"/>
  <c r="AA134" i="15"/>
  <c r="AA113" i="15"/>
  <c r="AA118" i="15" s="1"/>
  <c r="W124" i="12"/>
  <c r="W128" i="12" s="1"/>
  <c r="AA128" i="15"/>
  <c r="AB172" i="15"/>
  <c r="X170" i="12" s="1"/>
  <c r="AB162" i="15"/>
  <c r="X160" i="12" s="1"/>
  <c r="AB153" i="15"/>
  <c r="X152" i="12" s="1"/>
  <c r="AB144" i="15"/>
  <c r="X143" i="12" s="1"/>
  <c r="AB124" i="15"/>
  <c r="AB114" i="15"/>
  <c r="X115" i="12" s="1"/>
  <c r="X119" i="12" s="1"/>
  <c r="AB75" i="15"/>
  <c r="Z137" i="15"/>
  <c r="V133" i="12"/>
  <c r="V136" i="12" s="1"/>
  <c r="Z146" i="15"/>
  <c r="V142" i="12"/>
  <c r="V145" i="12" s="1"/>
  <c r="V151" i="12"/>
  <c r="V155" i="12" s="1"/>
  <c r="Z156" i="15"/>
  <c r="Z165" i="15"/>
  <c r="V159" i="12"/>
  <c r="V163" i="12" s="1"/>
  <c r="Z174" i="15"/>
  <c r="V169" i="12"/>
  <c r="V172" i="12" s="1"/>
  <c r="AZ72" i="15"/>
  <c r="AY170" i="15"/>
  <c r="AU168" i="12" s="1"/>
  <c r="AY160" i="15"/>
  <c r="AU158" i="12" s="1"/>
  <c r="AY151" i="15"/>
  <c r="AU150" i="12" s="1"/>
  <c r="AY142" i="15"/>
  <c r="AU141" i="12" s="1"/>
  <c r="AY133" i="15"/>
  <c r="AU132" i="12" s="1"/>
  <c r="AY123" i="15"/>
  <c r="X59" i="3"/>
  <c r="X76" i="3"/>
  <c r="BO349" i="2"/>
  <c r="X53" i="3"/>
  <c r="X74" i="3"/>
  <c r="AP55" i="2"/>
  <c r="AC53" i="2"/>
  <c r="AC50" i="2"/>
  <c r="AC61" i="2"/>
  <c r="AB45" i="2"/>
  <c r="AC54" i="2"/>
  <c r="AC52" i="2"/>
  <c r="AC47" i="2"/>
  <c r="AC48" i="2"/>
  <c r="AC58" i="2"/>
  <c r="AB42" i="2"/>
  <c r="AC51" i="2"/>
  <c r="AC44" i="2"/>
  <c r="AC46" i="2"/>
  <c r="AC43" i="2"/>
  <c r="AC49" i="2"/>
  <c r="Y52" i="3"/>
  <c r="X71" i="3"/>
  <c r="X65" i="3"/>
  <c r="Y63" i="3"/>
  <c r="Y75" i="3" s="1"/>
  <c r="Z37" i="3"/>
  <c r="Y57" i="3"/>
  <c r="Y69" i="3"/>
  <c r="Y71" i="3" s="1"/>
  <c r="Y47" i="3"/>
  <c r="Y62" i="3"/>
  <c r="Y56" i="3"/>
  <c r="Y64" i="3"/>
  <c r="Y50" i="3"/>
  <c r="Y58" i="3"/>
  <c r="AC333" i="17"/>
  <c r="AC301" i="17"/>
  <c r="V283" i="17"/>
  <c r="V347" i="17"/>
  <c r="V315" i="17"/>
  <c r="Z45" i="3"/>
  <c r="Z57" i="3" s="1"/>
  <c r="V306" i="17"/>
  <c r="V338" i="17"/>
  <c r="Z44" i="3"/>
  <c r="Z68" i="3" s="1"/>
  <c r="V305" i="17"/>
  <c r="V337" i="17"/>
  <c r="V314" i="17"/>
  <c r="V346" i="17"/>
  <c r="V303" i="17"/>
  <c r="V335" i="17"/>
  <c r="V345" i="17"/>
  <c r="V313" i="17"/>
  <c r="V334" i="17"/>
  <c r="V302" i="17"/>
  <c r="Z33" i="3"/>
  <c r="V336" i="17"/>
  <c r="V304" i="17"/>
  <c r="V309" i="17"/>
  <c r="V341" i="17"/>
  <c r="V312" i="17"/>
  <c r="V344" i="17"/>
  <c r="V342" i="17"/>
  <c r="V310" i="17"/>
  <c r="V340" i="17"/>
  <c r="V308" i="17"/>
  <c r="Z46" i="3"/>
  <c r="Z58" i="3" s="1"/>
  <c r="V311" i="17"/>
  <c r="V343" i="17"/>
  <c r="V307" i="17"/>
  <c r="V339" i="17"/>
  <c r="AT90" i="17"/>
  <c r="AT97" i="17"/>
  <c r="AT89" i="17"/>
  <c r="AT84" i="17"/>
  <c r="AT95" i="17"/>
  <c r="AT83" i="17"/>
  <c r="AT94" i="17"/>
  <c r="AV85" i="17"/>
  <c r="AT92" i="17"/>
  <c r="AT96" i="17"/>
  <c r="AT93" i="17"/>
  <c r="AT91" i="17"/>
  <c r="AT88" i="17"/>
  <c r="AT87" i="17"/>
  <c r="AT86" i="17"/>
  <c r="W461" i="17"/>
  <c r="W463" i="17"/>
  <c r="W462" i="17"/>
  <c r="Z32" i="3"/>
  <c r="Z35" i="3"/>
  <c r="Y298" i="3"/>
  <c r="AC339" i="2"/>
  <c r="AC340" i="2"/>
  <c r="AC341" i="2"/>
  <c r="Z30" i="3"/>
  <c r="AA8" i="3"/>
  <c r="AA24" i="3" s="1"/>
  <c r="AM66" i="15"/>
  <c r="AL168" i="15"/>
  <c r="AH166" i="12" s="1"/>
  <c r="AL149" i="15"/>
  <c r="AL140" i="15"/>
  <c r="AH139" i="12" s="1"/>
  <c r="AL131" i="15"/>
  <c r="AL121" i="15"/>
  <c r="AH121" i="12" s="1"/>
  <c r="AL111" i="15"/>
  <c r="AH112" i="12" s="1"/>
  <c r="AL67" i="15"/>
  <c r="AH178" i="12" s="1"/>
  <c r="AH148" i="12"/>
  <c r="AH130" i="12"/>
  <c r="AK95" i="15"/>
  <c r="AL93" i="15"/>
  <c r="AL159" i="15"/>
  <c r="AL169" i="15"/>
  <c r="AH167" i="12" s="1"/>
  <c r="AL150" i="15"/>
  <c r="AH149" i="12" s="1"/>
  <c r="AL141" i="15"/>
  <c r="AH140" i="12" s="1"/>
  <c r="AL132" i="15"/>
  <c r="AH131" i="12" s="1"/>
  <c r="AL122" i="15"/>
  <c r="AH122" i="12" s="1"/>
  <c r="AL112" i="15"/>
  <c r="AH113" i="12" s="1"/>
  <c r="AM164" i="15"/>
  <c r="AI162" i="12" s="1"/>
  <c r="AM155" i="15"/>
  <c r="AM145" i="15"/>
  <c r="AM136" i="15"/>
  <c r="AI135" i="12" s="1"/>
  <c r="AM127" i="15"/>
  <c r="AI127" i="12" s="1"/>
  <c r="AM117" i="15"/>
  <c r="AI118" i="12" s="1"/>
  <c r="AN84" i="15"/>
  <c r="Y262" i="3"/>
  <c r="Z36" i="3"/>
  <c r="Z27" i="3"/>
  <c r="Z25" i="3"/>
  <c r="Y39" i="3"/>
  <c r="AC190" i="3"/>
  <c r="AC198" i="3" s="1"/>
  <c r="AB244" i="3"/>
  <c r="AB252" i="3" s="1"/>
  <c r="AB260" i="3" s="1"/>
  <c r="AC189" i="3"/>
  <c r="AC197" i="3" s="1"/>
  <c r="AB285" i="3"/>
  <c r="AB294" i="3" s="1"/>
  <c r="AB243" i="3"/>
  <c r="AB251" i="3" s="1"/>
  <c r="AB259" i="3" s="1"/>
  <c r="AA10" i="3"/>
  <c r="AC14" i="2"/>
  <c r="AC18" i="2"/>
  <c r="Z240" i="3"/>
  <c r="Z248" i="3" s="1"/>
  <c r="Z256" i="3" s="1"/>
  <c r="AH288" i="3"/>
  <c r="AH297" i="3" s="1"/>
  <c r="AH230" i="3"/>
  <c r="AH231" i="3" s="1"/>
  <c r="AC17" i="2"/>
  <c r="AA11" i="3"/>
  <c r="AA9" i="3"/>
  <c r="Z29" i="3"/>
  <c r="AF55" i="3"/>
  <c r="AF61" i="3"/>
  <c r="AF49" i="3"/>
  <c r="AF67" i="3"/>
  <c r="AC15" i="2"/>
  <c r="AA281" i="3"/>
  <c r="AA290" i="3" s="1"/>
  <c r="AC191" i="3"/>
  <c r="AC199" i="3" s="1"/>
  <c r="AB287" i="3"/>
  <c r="AB296" i="3" s="1"/>
  <c r="AB245" i="3"/>
  <c r="AB253" i="3" s="1"/>
  <c r="AB261" i="3" s="1"/>
  <c r="AA20" i="3"/>
  <c r="AC21" i="2"/>
  <c r="AC12" i="2"/>
  <c r="AA16" i="3"/>
  <c r="AA13" i="3"/>
  <c r="AC13" i="2"/>
  <c r="Z242" i="3"/>
  <c r="Z250" i="3" s="1"/>
  <c r="Z258" i="3" s="1"/>
  <c r="Z284" i="3"/>
  <c r="Z293" i="3" s="1"/>
  <c r="AA19" i="3"/>
  <c r="AG89" i="3"/>
  <c r="AG90" i="3" s="1"/>
  <c r="AG43" i="3"/>
  <c r="Z34" i="3"/>
  <c r="AA239" i="3"/>
  <c r="AA247" i="3" s="1"/>
  <c r="AA255" i="3" s="1"/>
  <c r="AD27" i="2"/>
  <c r="AC11" i="2"/>
  <c r="AA21" i="3"/>
  <c r="Z283" i="3"/>
  <c r="Z292" i="3" s="1"/>
  <c r="Z241" i="3"/>
  <c r="Z249" i="3" s="1"/>
  <c r="Z257" i="3" s="1"/>
  <c r="AC20" i="2"/>
  <c r="AC9" i="2"/>
  <c r="Z31" i="3"/>
  <c r="AA18" i="3"/>
  <c r="AA14" i="3"/>
  <c r="AE73" i="3"/>
  <c r="AC10" i="2"/>
  <c r="Z38" i="3"/>
  <c r="Z28" i="3"/>
  <c r="AA15" i="3"/>
  <c r="AC19" i="2"/>
  <c r="AD24" i="2"/>
  <c r="AC8" i="2"/>
  <c r="AA17" i="3"/>
  <c r="AA22" i="3"/>
  <c r="Z26" i="3"/>
  <c r="AA12" i="3"/>
  <c r="AC16" i="2"/>
  <c r="AB220" i="2"/>
  <c r="AP173" i="15"/>
  <c r="AP163" i="15"/>
  <c r="AL161" i="12" s="1"/>
  <c r="AP154" i="15"/>
  <c r="AP135" i="15"/>
  <c r="AL134" i="12" s="1"/>
  <c r="AP125" i="15"/>
  <c r="AL125" i="12" s="1"/>
  <c r="AP115" i="15"/>
  <c r="AL116" i="12" s="1"/>
  <c r="W308" i="3"/>
  <c r="X85" i="3"/>
  <c r="AT103" i="15"/>
  <c r="AQ116" i="15"/>
  <c r="AB108" i="11"/>
  <c r="AB113" i="11" s="1"/>
  <c r="AB164" i="11"/>
  <c r="AC309" i="2"/>
  <c r="AB171" i="11"/>
  <c r="AB174" i="11" s="1"/>
  <c r="AB81" i="11"/>
  <c r="AB83" i="11"/>
  <c r="AB130" i="11"/>
  <c r="AB133" i="11" s="1"/>
  <c r="AB140" i="11"/>
  <c r="AB143" i="11" s="1"/>
  <c r="AB150" i="11"/>
  <c r="AB154" i="11" s="1"/>
  <c r="AC129" i="11"/>
  <c r="AC149" i="11"/>
  <c r="AC111" i="11"/>
  <c r="AC159" i="11"/>
  <c r="AC170" i="11"/>
  <c r="AC139" i="11"/>
  <c r="AC70" i="11"/>
  <c r="AC160" i="11" s="1"/>
  <c r="AG98" i="11"/>
  <c r="AH96" i="11"/>
  <c r="AH163" i="11"/>
  <c r="AH153" i="11"/>
  <c r="AH142" i="11"/>
  <c r="AH132" i="11"/>
  <c r="AH122" i="11"/>
  <c r="AH112" i="11"/>
  <c r="AI79" i="11"/>
  <c r="AH173" i="11"/>
  <c r="AH162" i="11"/>
  <c r="AH152" i="11"/>
  <c r="AH131" i="11"/>
  <c r="AH120" i="11"/>
  <c r="AH110" i="11"/>
  <c r="AI74" i="11"/>
  <c r="AH172" i="11"/>
  <c r="AH161" i="11"/>
  <c r="AH151" i="11"/>
  <c r="AH141" i="11"/>
  <c r="AH119" i="11"/>
  <c r="AH109" i="11"/>
  <c r="AI72" i="11"/>
  <c r="AH169" i="11"/>
  <c r="AH148" i="11"/>
  <c r="AH138" i="11"/>
  <c r="AH128" i="11"/>
  <c r="AH117" i="11"/>
  <c r="AH107" i="11"/>
  <c r="AI65" i="11"/>
  <c r="AH89" i="11"/>
  <c r="AI89" i="11" s="1"/>
  <c r="AG90" i="11"/>
  <c r="AH88" i="11"/>
  <c r="AD158" i="11"/>
  <c r="AD147" i="11"/>
  <c r="AD116" i="11"/>
  <c r="AD123" i="11" s="1"/>
  <c r="AD106" i="11"/>
  <c r="AE64" i="11"/>
  <c r="AB38" i="2"/>
  <c r="AD67" i="11" s="1"/>
  <c r="X102" i="4"/>
  <c r="AB72" i="2"/>
  <c r="BY381" i="2"/>
  <c r="AA113" i="3"/>
  <c r="X37" i="4"/>
  <c r="Y53" i="4"/>
  <c r="Y69" i="4"/>
  <c r="Y118" i="4"/>
  <c r="Y134" i="4"/>
  <c r="X173" i="4"/>
  <c r="X174" i="4"/>
  <c r="X175" i="4"/>
  <c r="X176" i="4"/>
  <c r="X177" i="4"/>
  <c r="X178" i="4"/>
  <c r="X179" i="4"/>
  <c r="X180" i="4"/>
  <c r="X181" i="4"/>
  <c r="X182" i="4"/>
  <c r="X183" i="4"/>
  <c r="X184" i="4"/>
  <c r="Y185" i="4"/>
  <c r="X223" i="4"/>
  <c r="X172" i="4"/>
  <c r="X256" i="4"/>
  <c r="X303" i="4"/>
  <c r="X311" i="4"/>
  <c r="BD309" i="4"/>
  <c r="BD310" i="4"/>
  <c r="Y320" i="4"/>
  <c r="Y346" i="4"/>
  <c r="Y363" i="4"/>
  <c r="AB208" i="2" l="1"/>
  <c r="AB83" i="2"/>
  <c r="AB209" i="2"/>
  <c r="AB84" i="2"/>
  <c r="AB219" i="2"/>
  <c r="AB93" i="2"/>
  <c r="AB218" i="2"/>
  <c r="AB92" i="2"/>
  <c r="AB217" i="2"/>
  <c r="AB91" i="2"/>
  <c r="AF301" i="2"/>
  <c r="AE299" i="2"/>
  <c r="AC220" i="2"/>
  <c r="BF65" i="15"/>
  <c r="BF64" i="15"/>
  <c r="BF68" i="15" s="1"/>
  <c r="AC97" i="2"/>
  <c r="AC82" i="2" s="1"/>
  <c r="AB211" i="2"/>
  <c r="AB213" i="2"/>
  <c r="AB212" i="2"/>
  <c r="AD110" i="2"/>
  <c r="AD94" i="2" s="1"/>
  <c r="AC101" i="2"/>
  <c r="AC108" i="2"/>
  <c r="AC218" i="2" s="1"/>
  <c r="AC102" i="2"/>
  <c r="AC104" i="2"/>
  <c r="AC99" i="2"/>
  <c r="AC209" i="2" s="1"/>
  <c r="AC107" i="2"/>
  <c r="AC217" i="2" s="1"/>
  <c r="AC106" i="2"/>
  <c r="AC103" i="2"/>
  <c r="AC88" i="2" s="1"/>
  <c r="AB210" i="2"/>
  <c r="AC109" i="2"/>
  <c r="AB214" i="2"/>
  <c r="AC105" i="2"/>
  <c r="AC100" i="2"/>
  <c r="AC98" i="2"/>
  <c r="AC83" i="2" s="1"/>
  <c r="AB111" i="2"/>
  <c r="BM364" i="2"/>
  <c r="AD372" i="2"/>
  <c r="AC385" i="2"/>
  <c r="AD381" i="2"/>
  <c r="AC386" i="2"/>
  <c r="Z200" i="3"/>
  <c r="BH317" i="2"/>
  <c r="BH357" i="2" s="1"/>
  <c r="BG345" i="2"/>
  <c r="BG362" i="2" s="1"/>
  <c r="AD321" i="2"/>
  <c r="AA208" i="3"/>
  <c r="AA216" i="3" s="1"/>
  <c r="AA188" i="3"/>
  <c r="AA196" i="3" s="1"/>
  <c r="BH335" i="2"/>
  <c r="BE210" i="3"/>
  <c r="BE218" i="3" s="1"/>
  <c r="Z201" i="3"/>
  <c r="Z222" i="3"/>
  <c r="BH334" i="2"/>
  <c r="BE209" i="3"/>
  <c r="BE217" i="3" s="1"/>
  <c r="Z220" i="3"/>
  <c r="BH318" i="2"/>
  <c r="BH358" i="2" s="1"/>
  <c r="BE205" i="3"/>
  <c r="BE213" i="3" s="1"/>
  <c r="BE185" i="3"/>
  <c r="BE193" i="3" s="1"/>
  <c r="AD320" i="2"/>
  <c r="AA207" i="3"/>
  <c r="AA215" i="3" s="1"/>
  <c r="AA187" i="3"/>
  <c r="AA195" i="3" s="1"/>
  <c r="AD319" i="2"/>
  <c r="AA206" i="3"/>
  <c r="AA214" i="3" s="1"/>
  <c r="AA186" i="3"/>
  <c r="AA194" i="3" s="1"/>
  <c r="BH336" i="2"/>
  <c r="BE211" i="3"/>
  <c r="BE219" i="3" s="1"/>
  <c r="V184" i="12"/>
  <c r="V179" i="12" s="1"/>
  <c r="AB86" i="15"/>
  <c r="AB171" i="15"/>
  <c r="AB161" i="15"/>
  <c r="AB152" i="15"/>
  <c r="AB143" i="15"/>
  <c r="AB134" i="15"/>
  <c r="AB113" i="15"/>
  <c r="AB118" i="15" s="1"/>
  <c r="X124" i="12"/>
  <c r="X128" i="12" s="1"/>
  <c r="AB128" i="15"/>
  <c r="AC172" i="15"/>
  <c r="Y170" i="12" s="1"/>
  <c r="AC162" i="15"/>
  <c r="Y160" i="12" s="1"/>
  <c r="AC153" i="15"/>
  <c r="Y152" i="12" s="1"/>
  <c r="AC144" i="15"/>
  <c r="Y143" i="12" s="1"/>
  <c r="AC124" i="15"/>
  <c r="AC114" i="15"/>
  <c r="Y115" i="12" s="1"/>
  <c r="Y119" i="12" s="1"/>
  <c r="AC75" i="15"/>
  <c r="AA137" i="15"/>
  <c r="W133" i="12"/>
  <c r="W136" i="12" s="1"/>
  <c r="AA146" i="15"/>
  <c r="W142" i="12"/>
  <c r="W145" i="12" s="1"/>
  <c r="W151" i="12"/>
  <c r="W155" i="12" s="1"/>
  <c r="AA156" i="15"/>
  <c r="AA165" i="15"/>
  <c r="W159" i="12"/>
  <c r="W163" i="12" s="1"/>
  <c r="AA174" i="15"/>
  <c r="W169" i="12"/>
  <c r="W172" i="12" s="1"/>
  <c r="BA72" i="15"/>
  <c r="AZ170" i="15"/>
  <c r="AV168" i="12" s="1"/>
  <c r="AZ160" i="15"/>
  <c r="AV158" i="12" s="1"/>
  <c r="AZ151" i="15"/>
  <c r="AV150" i="12" s="1"/>
  <c r="AZ142" i="15"/>
  <c r="AV141" i="12" s="1"/>
  <c r="AZ133" i="15"/>
  <c r="AV132" i="12" s="1"/>
  <c r="AZ123" i="15"/>
  <c r="X77" i="3"/>
  <c r="Y76" i="3"/>
  <c r="AQ55" i="2"/>
  <c r="AD54" i="2"/>
  <c r="AD46" i="2"/>
  <c r="AD48" i="2"/>
  <c r="AD61" i="2"/>
  <c r="AC45" i="2"/>
  <c r="AD43" i="2"/>
  <c r="AD44" i="2"/>
  <c r="AD47" i="2"/>
  <c r="AD50" i="2"/>
  <c r="AD58" i="2"/>
  <c r="AC42" i="2"/>
  <c r="AD49" i="2"/>
  <c r="AD51" i="2"/>
  <c r="AD52" i="2"/>
  <c r="AD53" i="2"/>
  <c r="Y65" i="3"/>
  <c r="Y74" i="3"/>
  <c r="Y59" i="3"/>
  <c r="Z52" i="3"/>
  <c r="Y53" i="3"/>
  <c r="Z62" i="3"/>
  <c r="Z56" i="3"/>
  <c r="Z59" i="3" s="1"/>
  <c r="Z50" i="3"/>
  <c r="Z69" i="3"/>
  <c r="Z63" i="3"/>
  <c r="Z51" i="3"/>
  <c r="AA31" i="3"/>
  <c r="Z47" i="3"/>
  <c r="W340" i="17"/>
  <c r="W308" i="17"/>
  <c r="W307" i="17"/>
  <c r="W339" i="17"/>
  <c r="W283" i="17"/>
  <c r="W315" i="17"/>
  <c r="W347" i="17"/>
  <c r="W309" i="17"/>
  <c r="W341" i="17"/>
  <c r="W302" i="17"/>
  <c r="W334" i="17"/>
  <c r="W342" i="17"/>
  <c r="W310" i="17"/>
  <c r="W336" i="17"/>
  <c r="W304" i="17"/>
  <c r="W303" i="17"/>
  <c r="W335" i="17"/>
  <c r="AD333" i="17"/>
  <c r="AD301" i="17"/>
  <c r="Z70" i="3"/>
  <c r="AA45" i="3"/>
  <c r="AA51" i="3" s="1"/>
  <c r="W338" i="17"/>
  <c r="W306" i="17"/>
  <c r="W345" i="17"/>
  <c r="W313" i="17"/>
  <c r="AA44" i="3"/>
  <c r="AA50" i="3" s="1"/>
  <c r="W337" i="17"/>
  <c r="W305" i="17"/>
  <c r="Z64" i="3"/>
  <c r="W312" i="17"/>
  <c r="W344" i="17"/>
  <c r="W314" i="17"/>
  <c r="W346" i="17"/>
  <c r="AA46" i="3"/>
  <c r="AA52" i="3" s="1"/>
  <c r="W311" i="17"/>
  <c r="W343" i="17"/>
  <c r="AU91" i="17"/>
  <c r="AW85" i="17"/>
  <c r="AU84" i="17"/>
  <c r="AU86" i="17"/>
  <c r="AU93" i="17"/>
  <c r="AU94" i="17"/>
  <c r="AU89" i="17"/>
  <c r="AU87" i="17"/>
  <c r="AU96" i="17"/>
  <c r="AU83" i="17"/>
  <c r="AU97" i="17"/>
  <c r="AU88" i="17"/>
  <c r="AU92" i="17"/>
  <c r="AU95" i="17"/>
  <c r="AU90" i="17"/>
  <c r="X461" i="17"/>
  <c r="X463" i="17"/>
  <c r="X462" i="17"/>
  <c r="AD339" i="2"/>
  <c r="AD340" i="2"/>
  <c r="AD341" i="2"/>
  <c r="AA34" i="3"/>
  <c r="Z298" i="3"/>
  <c r="AB8" i="3"/>
  <c r="AB24" i="3" s="1"/>
  <c r="AN66" i="15"/>
  <c r="AM168" i="15"/>
  <c r="AI166" i="12" s="1"/>
  <c r="AM149" i="15"/>
  <c r="AM140" i="15"/>
  <c r="AM131" i="15"/>
  <c r="AM121" i="15"/>
  <c r="AI121" i="12" s="1"/>
  <c r="AM111" i="15"/>
  <c r="AI112" i="12" s="1"/>
  <c r="AM67" i="15"/>
  <c r="AI178" i="12" s="1"/>
  <c r="AI139" i="12"/>
  <c r="AI148" i="12"/>
  <c r="AI130" i="12"/>
  <c r="AN164" i="15"/>
  <c r="AJ162" i="12" s="1"/>
  <c r="AN155" i="15"/>
  <c r="AN145" i="15"/>
  <c r="AN136" i="15"/>
  <c r="AJ135" i="12" s="1"/>
  <c r="AN127" i="15"/>
  <c r="AJ127" i="12" s="1"/>
  <c r="AN117" i="15"/>
  <c r="AJ118" i="12" s="1"/>
  <c r="AO84" i="15"/>
  <c r="AM159" i="15"/>
  <c r="AM169" i="15"/>
  <c r="AI167" i="12" s="1"/>
  <c r="AM150" i="15"/>
  <c r="AI149" i="12" s="1"/>
  <c r="AM141" i="15"/>
  <c r="AI140" i="12" s="1"/>
  <c r="AM132" i="15"/>
  <c r="AI131" i="12" s="1"/>
  <c r="AM122" i="15"/>
  <c r="AI122" i="12" s="1"/>
  <c r="AM112" i="15"/>
  <c r="AI113" i="12" s="1"/>
  <c r="AM94" i="15"/>
  <c r="AN94" i="15" s="1"/>
  <c r="AM93" i="15"/>
  <c r="AL95" i="15"/>
  <c r="AA29" i="3"/>
  <c r="AA33" i="3"/>
  <c r="AA35" i="3"/>
  <c r="Z39" i="3"/>
  <c r="AA38" i="3"/>
  <c r="AA30" i="3"/>
  <c r="AD10" i="2"/>
  <c r="AB21" i="3"/>
  <c r="AD13" i="2"/>
  <c r="AD21" i="2"/>
  <c r="AF73" i="3"/>
  <c r="AA26" i="3"/>
  <c r="AD19" i="2"/>
  <c r="AD9" i="2"/>
  <c r="AH89" i="3"/>
  <c r="AH90" i="3" s="1"/>
  <c r="AH43" i="3"/>
  <c r="AA36" i="3"/>
  <c r="AD15" i="2"/>
  <c r="AA25" i="3"/>
  <c r="AI288" i="3"/>
  <c r="AI297" i="3" s="1"/>
  <c r="AI230" i="3"/>
  <c r="AI231" i="3" s="1"/>
  <c r="AB10" i="3"/>
  <c r="AB22" i="3"/>
  <c r="AE27" i="2"/>
  <c r="AD11" i="2"/>
  <c r="AB13" i="3"/>
  <c r="AB20" i="3"/>
  <c r="AB9" i="3"/>
  <c r="Z262" i="3"/>
  <c r="AB15" i="3"/>
  <c r="AD20" i="2"/>
  <c r="AB19" i="3"/>
  <c r="AA32" i="3"/>
  <c r="AA27" i="3"/>
  <c r="AA240" i="3"/>
  <c r="AA248" i="3" s="1"/>
  <c r="AA256" i="3" s="1"/>
  <c r="AB17" i="3"/>
  <c r="AB14" i="3"/>
  <c r="AB239" i="3"/>
  <c r="AB247" i="3" s="1"/>
  <c r="AB255" i="3" s="1"/>
  <c r="AB16" i="3"/>
  <c r="AB11" i="3"/>
  <c r="AD189" i="3"/>
  <c r="AD197" i="3" s="1"/>
  <c r="AC285" i="3"/>
  <c r="AC294" i="3" s="1"/>
  <c r="AC243" i="3"/>
  <c r="AC251" i="3" s="1"/>
  <c r="AC259" i="3" s="1"/>
  <c r="AD16" i="2"/>
  <c r="AD191" i="3"/>
  <c r="AD199" i="3" s="1"/>
  <c r="AC287" i="3"/>
  <c r="AC296" i="3" s="1"/>
  <c r="AC245" i="3"/>
  <c r="AC253" i="3" s="1"/>
  <c r="AC261" i="3" s="1"/>
  <c r="AD18" i="2"/>
  <c r="AA28" i="3"/>
  <c r="AE24" i="2"/>
  <c r="AD8" i="2"/>
  <c r="AB18" i="3"/>
  <c r="AA283" i="3"/>
  <c r="AA292" i="3" s="1"/>
  <c r="AA241" i="3"/>
  <c r="AA249" i="3" s="1"/>
  <c r="AA257" i="3" s="1"/>
  <c r="AA284" i="3"/>
  <c r="AA293" i="3" s="1"/>
  <c r="AA242" i="3"/>
  <c r="AA250" i="3" s="1"/>
  <c r="AA258" i="3" s="1"/>
  <c r="AD12" i="2"/>
  <c r="AD17" i="2"/>
  <c r="AD190" i="3"/>
  <c r="AD198" i="3" s="1"/>
  <c r="AC244" i="3"/>
  <c r="AC252" i="3" s="1"/>
  <c r="AC260" i="3" s="1"/>
  <c r="AB281" i="3"/>
  <c r="AB290" i="3" s="1"/>
  <c r="AB12" i="3"/>
  <c r="AA37" i="3"/>
  <c r="AG55" i="3"/>
  <c r="AG67" i="3"/>
  <c r="AG61" i="3"/>
  <c r="AG49" i="3"/>
  <c r="AD14" i="2"/>
  <c r="AQ173" i="15"/>
  <c r="AQ163" i="15"/>
  <c r="AM161" i="12" s="1"/>
  <c r="AQ154" i="15"/>
  <c r="AQ135" i="15"/>
  <c r="AM134" i="12" s="1"/>
  <c r="AQ125" i="15"/>
  <c r="AM125" i="12" s="1"/>
  <c r="AQ115" i="15"/>
  <c r="AM116" i="12" s="1"/>
  <c r="Y85" i="3"/>
  <c r="X308" i="3"/>
  <c r="AU103" i="15"/>
  <c r="AR116" i="15"/>
  <c r="AC108" i="11"/>
  <c r="AC113" i="11" s="1"/>
  <c r="AC81" i="11"/>
  <c r="AC150" i="11"/>
  <c r="AC154" i="11" s="1"/>
  <c r="AC171" i="11"/>
  <c r="AC174" i="11" s="1"/>
  <c r="AD309" i="2"/>
  <c r="AC164" i="11"/>
  <c r="AC83" i="11"/>
  <c r="AC130" i="11"/>
  <c r="AC133" i="11" s="1"/>
  <c r="AC140" i="11"/>
  <c r="AC143" i="11" s="1"/>
  <c r="AD170" i="11"/>
  <c r="AD111" i="11"/>
  <c r="AD159" i="11"/>
  <c r="AD149" i="11"/>
  <c r="AD129" i="11"/>
  <c r="AD139" i="11"/>
  <c r="AD70" i="11"/>
  <c r="AD171" i="11" s="1"/>
  <c r="AE158" i="11"/>
  <c r="AE147" i="11"/>
  <c r="AE116" i="11"/>
  <c r="AE123" i="11" s="1"/>
  <c r="AE106" i="11"/>
  <c r="AF64" i="11"/>
  <c r="AH90" i="11"/>
  <c r="AI88" i="11"/>
  <c r="AI169" i="11"/>
  <c r="AI148" i="11"/>
  <c r="AI138" i="11"/>
  <c r="AI128" i="11"/>
  <c r="AI117" i="11"/>
  <c r="AI107" i="11"/>
  <c r="AJ65" i="11"/>
  <c r="AI172" i="11"/>
  <c r="AI161" i="11"/>
  <c r="AI151" i="11"/>
  <c r="AI141" i="11"/>
  <c r="AI119" i="11"/>
  <c r="AI109" i="11"/>
  <c r="AJ72" i="11"/>
  <c r="AI173" i="11"/>
  <c r="AI162" i="11"/>
  <c r="AI152" i="11"/>
  <c r="AI131" i="11"/>
  <c r="AI120" i="11"/>
  <c r="AI110" i="11"/>
  <c r="AJ74" i="11"/>
  <c r="AI163" i="11"/>
  <c r="AI153" i="11"/>
  <c r="AI142" i="11"/>
  <c r="AI132" i="11"/>
  <c r="AI122" i="11"/>
  <c r="AI112" i="11"/>
  <c r="AJ79" i="11"/>
  <c r="AH98" i="11"/>
  <c r="AI96" i="11"/>
  <c r="Z363" i="4"/>
  <c r="Z346" i="4"/>
  <c r="Z320" i="4"/>
  <c r="BE310" i="4"/>
  <c r="Y311" i="4"/>
  <c r="BE309" i="4"/>
  <c r="Y303" i="4"/>
  <c r="Y256" i="4"/>
  <c r="Y223" i="4"/>
  <c r="Y172" i="4"/>
  <c r="Z185" i="4"/>
  <c r="Y184" i="4"/>
  <c r="Y183" i="4"/>
  <c r="Y182" i="4"/>
  <c r="Y181" i="4"/>
  <c r="Y180" i="4"/>
  <c r="Y179" i="4"/>
  <c r="Y178" i="4"/>
  <c r="Y177" i="4"/>
  <c r="Y176" i="4"/>
  <c r="Y175" i="4"/>
  <c r="Y174" i="4"/>
  <c r="Y173" i="4"/>
  <c r="Z134" i="4"/>
  <c r="Z118" i="4"/>
  <c r="Z69" i="4"/>
  <c r="Z53" i="4"/>
  <c r="Y37" i="4"/>
  <c r="AB113" i="3"/>
  <c r="BZ381" i="2"/>
  <c r="AC72" i="2"/>
  <c r="Y102" i="4"/>
  <c r="AC38" i="2"/>
  <c r="AE67" i="11" s="1"/>
  <c r="AG301" i="2" l="1"/>
  <c r="AF299" i="2"/>
  <c r="AC215" i="2"/>
  <c r="BG65" i="15"/>
  <c r="BG64" i="15"/>
  <c r="BG68" i="15" s="1"/>
  <c r="AD97" i="2"/>
  <c r="AD82" i="2" s="1"/>
  <c r="AC92" i="2"/>
  <c r="AC208" i="2"/>
  <c r="AC91" i="2"/>
  <c r="AD101" i="2"/>
  <c r="AD106" i="2"/>
  <c r="AD90" i="2" s="1"/>
  <c r="AC87" i="2"/>
  <c r="AC212" i="2"/>
  <c r="AD108" i="2"/>
  <c r="AD92" i="2" s="1"/>
  <c r="AC211" i="2"/>
  <c r="AC86" i="2"/>
  <c r="AD105" i="2"/>
  <c r="AD215" i="2" s="1"/>
  <c r="AE110" i="2"/>
  <c r="AE94" i="2" s="1"/>
  <c r="AC111" i="2"/>
  <c r="AC84" i="2"/>
  <c r="AD220" i="2"/>
  <c r="AC219" i="2"/>
  <c r="AC93" i="2"/>
  <c r="AD102" i="2"/>
  <c r="AC85" i="2"/>
  <c r="AC210" i="2"/>
  <c r="AD99" i="2"/>
  <c r="AD84" i="2" s="1"/>
  <c r="AD100" i="2"/>
  <c r="AC214" i="2"/>
  <c r="AC89" i="2"/>
  <c r="AD103" i="2"/>
  <c r="AD88" i="2" s="1"/>
  <c r="AD104" i="2"/>
  <c r="AC90" i="2"/>
  <c r="AC213" i="2"/>
  <c r="AD109" i="2"/>
  <c r="AD107" i="2"/>
  <c r="AD217" i="2" s="1"/>
  <c r="AD98" i="2"/>
  <c r="AD83" i="2" s="1"/>
  <c r="BN364" i="2"/>
  <c r="AE372" i="2"/>
  <c r="AD385" i="2"/>
  <c r="Y77" i="3"/>
  <c r="AE381" i="2"/>
  <c r="AD386" i="2"/>
  <c r="BI317" i="2"/>
  <c r="BI357" i="2" s="1"/>
  <c r="BH345" i="2"/>
  <c r="BH362" i="2" s="1"/>
  <c r="AA200" i="3"/>
  <c r="AE320" i="2"/>
  <c r="AB207" i="3"/>
  <c r="AB215" i="3" s="1"/>
  <c r="AB187" i="3"/>
  <c r="AB195" i="3" s="1"/>
  <c r="BI336" i="2"/>
  <c r="BF211" i="3"/>
  <c r="BF219" i="3" s="1"/>
  <c r="BI335" i="2"/>
  <c r="BF210" i="3"/>
  <c r="BF218" i="3" s="1"/>
  <c r="AA201" i="3"/>
  <c r="AA222" i="3"/>
  <c r="BI318" i="2"/>
  <c r="BI358" i="2" s="1"/>
  <c r="BF205" i="3"/>
  <c r="BF213" i="3" s="1"/>
  <c r="BF185" i="3"/>
  <c r="BF193" i="3" s="1"/>
  <c r="AA220" i="3"/>
  <c r="BI334" i="2"/>
  <c r="BF209" i="3"/>
  <c r="BF217" i="3" s="1"/>
  <c r="AE319" i="2"/>
  <c r="AB206" i="3"/>
  <c r="AB214" i="3" s="1"/>
  <c r="AB186" i="3"/>
  <c r="AB194" i="3" s="1"/>
  <c r="AE321" i="2"/>
  <c r="AB208" i="3"/>
  <c r="AB216" i="3" s="1"/>
  <c r="AB188" i="3"/>
  <c r="AB196" i="3" s="1"/>
  <c r="W184" i="12"/>
  <c r="W179" i="12" s="1"/>
  <c r="AC86" i="15"/>
  <c r="AC171" i="15"/>
  <c r="AC161" i="15"/>
  <c r="AC152" i="15"/>
  <c r="AC143" i="15"/>
  <c r="AC134" i="15"/>
  <c r="AC113" i="15"/>
  <c r="AC118" i="15" s="1"/>
  <c r="Y124" i="12"/>
  <c r="Y128" i="12" s="1"/>
  <c r="AC128" i="15"/>
  <c r="AD172" i="15"/>
  <c r="Z170" i="12" s="1"/>
  <c r="AD162" i="15"/>
  <c r="Z160" i="12" s="1"/>
  <c r="AD153" i="15"/>
  <c r="Z152" i="12" s="1"/>
  <c r="AD144" i="15"/>
  <c r="Z143" i="12" s="1"/>
  <c r="AD124" i="15"/>
  <c r="AD114" i="15"/>
  <c r="Z115" i="12" s="1"/>
  <c r="Z119" i="12" s="1"/>
  <c r="AD75" i="15"/>
  <c r="AB137" i="15"/>
  <c r="X133" i="12"/>
  <c r="X136" i="12" s="1"/>
  <c r="AB146" i="15"/>
  <c r="X142" i="12"/>
  <c r="X145" i="12" s="1"/>
  <c r="X151" i="12"/>
  <c r="X155" i="12" s="1"/>
  <c r="AB156" i="15"/>
  <c r="AB165" i="15"/>
  <c r="X159" i="12"/>
  <c r="X163" i="12" s="1"/>
  <c r="AB174" i="15"/>
  <c r="X169" i="12"/>
  <c r="X172" i="12" s="1"/>
  <c r="BB72" i="15"/>
  <c r="BA170" i="15"/>
  <c r="AW168" i="12" s="1"/>
  <c r="BA160" i="15"/>
  <c r="AW158" i="12" s="1"/>
  <c r="BA151" i="15"/>
  <c r="AW150" i="12" s="1"/>
  <c r="BA142" i="15"/>
  <c r="AW141" i="12" s="1"/>
  <c r="BA133" i="15"/>
  <c r="AW132" i="12" s="1"/>
  <c r="BA123" i="15"/>
  <c r="Z71" i="3"/>
  <c r="AR55" i="2"/>
  <c r="AE50" i="2"/>
  <c r="AE51" i="2"/>
  <c r="AE47" i="2"/>
  <c r="AE48" i="2"/>
  <c r="AE61" i="2"/>
  <c r="AD45" i="2"/>
  <c r="AE49" i="2"/>
  <c r="AE44" i="2"/>
  <c r="AE46" i="2"/>
  <c r="AE52" i="2"/>
  <c r="AE53" i="2"/>
  <c r="AE58" i="2"/>
  <c r="AD42" i="2"/>
  <c r="AE43" i="2"/>
  <c r="AE54" i="2"/>
  <c r="AA58" i="3"/>
  <c r="Z74" i="3"/>
  <c r="AB27" i="3"/>
  <c r="AB26" i="3"/>
  <c r="AA62" i="3"/>
  <c r="AA74" i="3" s="1"/>
  <c r="AA56" i="3"/>
  <c r="AA68" i="3"/>
  <c r="Z53" i="3"/>
  <c r="AA70" i="3"/>
  <c r="Z76" i="3"/>
  <c r="Z65" i="3"/>
  <c r="AA64" i="3"/>
  <c r="AA76" i="3" s="1"/>
  <c r="AA57" i="3"/>
  <c r="AA63" i="3"/>
  <c r="AA75" i="3" s="1"/>
  <c r="AA69" i="3"/>
  <c r="Z75" i="3"/>
  <c r="AA47" i="3"/>
  <c r="X314" i="17"/>
  <c r="X346" i="17"/>
  <c r="X302" i="17"/>
  <c r="X334" i="17"/>
  <c r="X345" i="17"/>
  <c r="X313" i="17"/>
  <c r="AE333" i="17"/>
  <c r="AE301" i="17"/>
  <c r="X344" i="17"/>
  <c r="X312" i="17"/>
  <c r="X342" i="17"/>
  <c r="X310" i="17"/>
  <c r="AB44" i="3"/>
  <c r="AB68" i="3" s="1"/>
  <c r="X305" i="17"/>
  <c r="X337" i="17"/>
  <c r="X336" i="17"/>
  <c r="X304" i="17"/>
  <c r="AB46" i="3"/>
  <c r="AB58" i="3" s="1"/>
  <c r="X311" i="17"/>
  <c r="X343" i="17"/>
  <c r="X309" i="17"/>
  <c r="X341" i="17"/>
  <c r="X283" i="17"/>
  <c r="X315" i="17"/>
  <c r="X347" i="17"/>
  <c r="X308" i="17"/>
  <c r="X340" i="17"/>
  <c r="AB28" i="3"/>
  <c r="AB45" i="3"/>
  <c r="AB57" i="3" s="1"/>
  <c r="X338" i="17"/>
  <c r="X306" i="17"/>
  <c r="X303" i="17"/>
  <c r="X335" i="17"/>
  <c r="X307" i="17"/>
  <c r="X339" i="17"/>
  <c r="AV88" i="17"/>
  <c r="AV87" i="17"/>
  <c r="AV86" i="17"/>
  <c r="AV90" i="17"/>
  <c r="AV97" i="17"/>
  <c r="AV89" i="17"/>
  <c r="AV84" i="17"/>
  <c r="AV95" i="17"/>
  <c r="AV83" i="17"/>
  <c r="AV94" i="17"/>
  <c r="AX85" i="17"/>
  <c r="AV92" i="17"/>
  <c r="AV96" i="17"/>
  <c r="AV93" i="17"/>
  <c r="AV91" i="17"/>
  <c r="Y462" i="17"/>
  <c r="Y461" i="17"/>
  <c r="Y463" i="17"/>
  <c r="AE339" i="2"/>
  <c r="AE340" i="2"/>
  <c r="AE341" i="2"/>
  <c r="AB32" i="3"/>
  <c r="AC8" i="3"/>
  <c r="AC24" i="3" s="1"/>
  <c r="AO66" i="15"/>
  <c r="AN168" i="15"/>
  <c r="AJ166" i="12" s="1"/>
  <c r="AN149" i="15"/>
  <c r="AJ148" i="12" s="1"/>
  <c r="AN140" i="15"/>
  <c r="AN131" i="15"/>
  <c r="AJ130" i="12" s="1"/>
  <c r="AN121" i="15"/>
  <c r="AJ121" i="12" s="1"/>
  <c r="AN111" i="15"/>
  <c r="AJ112" i="12" s="1"/>
  <c r="AN67" i="15"/>
  <c r="AJ178" i="12" s="1"/>
  <c r="AJ139" i="12"/>
  <c r="AN93" i="15"/>
  <c r="AM95" i="15"/>
  <c r="AN159" i="15"/>
  <c r="AN169" i="15"/>
  <c r="AJ167" i="12" s="1"/>
  <c r="AN150" i="15"/>
  <c r="AJ149" i="12" s="1"/>
  <c r="AN141" i="15"/>
  <c r="AJ140" i="12" s="1"/>
  <c r="AN132" i="15"/>
  <c r="AJ131" i="12" s="1"/>
  <c r="AN122" i="15"/>
  <c r="AJ122" i="12" s="1"/>
  <c r="AN112" i="15"/>
  <c r="AJ113" i="12" s="1"/>
  <c r="AO164" i="15"/>
  <c r="AK162" i="12" s="1"/>
  <c r="AO155" i="15"/>
  <c r="AO145" i="15"/>
  <c r="AO136" i="15"/>
  <c r="AK135" i="12" s="1"/>
  <c r="AO127" i="15"/>
  <c r="AK127" i="12" s="1"/>
  <c r="AO117" i="15"/>
  <c r="AK118" i="12" s="1"/>
  <c r="AP84" i="15"/>
  <c r="AB34" i="3"/>
  <c r="AB36" i="3"/>
  <c r="AB33" i="3"/>
  <c r="AE189" i="3"/>
  <c r="AE197" i="3" s="1"/>
  <c r="AD285" i="3"/>
  <c r="AD294" i="3" s="1"/>
  <c r="AD243" i="3"/>
  <c r="AD251" i="3" s="1"/>
  <c r="AD259" i="3" s="1"/>
  <c r="AC14" i="3"/>
  <c r="AC19" i="3"/>
  <c r="AE15" i="2"/>
  <c r="AA53" i="3"/>
  <c r="AC12" i="3"/>
  <c r="AE12" i="2"/>
  <c r="AC18" i="3"/>
  <c r="AC20" i="3"/>
  <c r="AC10" i="3"/>
  <c r="AE21" i="2"/>
  <c r="AC11" i="3"/>
  <c r="AC17" i="3"/>
  <c r="AE20" i="2"/>
  <c r="AB29" i="3"/>
  <c r="AH49" i="3"/>
  <c r="AH55" i="3"/>
  <c r="AH67" i="3"/>
  <c r="AH61" i="3"/>
  <c r="AE9" i="2"/>
  <c r="AG73" i="3"/>
  <c r="AF24" i="2"/>
  <c r="AE8" i="2"/>
  <c r="AA262" i="3"/>
  <c r="AB31" i="3"/>
  <c r="AC13" i="3"/>
  <c r="AE13" i="2"/>
  <c r="AC281" i="3"/>
  <c r="AC290" i="3" s="1"/>
  <c r="AB284" i="3"/>
  <c r="AB293" i="3" s="1"/>
  <c r="AB242" i="3"/>
  <c r="AB250" i="3" s="1"/>
  <c r="AB258" i="3" s="1"/>
  <c r="AC16" i="3"/>
  <c r="AB240" i="3"/>
  <c r="AB248" i="3" s="1"/>
  <c r="AB256" i="3" s="1"/>
  <c r="AC15" i="3"/>
  <c r="AJ288" i="3"/>
  <c r="AJ297" i="3" s="1"/>
  <c r="AJ230" i="3"/>
  <c r="AJ231" i="3" s="1"/>
  <c r="AI89" i="3"/>
  <c r="AI90" i="3" s="1"/>
  <c r="AI43" i="3"/>
  <c r="AE19" i="2"/>
  <c r="AB37" i="3"/>
  <c r="AE190" i="3"/>
  <c r="AE198" i="3" s="1"/>
  <c r="AD244" i="3"/>
  <c r="AD252" i="3" s="1"/>
  <c r="AD260" i="3" s="1"/>
  <c r="AE16" i="2"/>
  <c r="AF27" i="2"/>
  <c r="AE11" i="2"/>
  <c r="AA39" i="3"/>
  <c r="AC21" i="3"/>
  <c r="AE14" i="2"/>
  <c r="AA298" i="3"/>
  <c r="AE18" i="2"/>
  <c r="AE191" i="3"/>
  <c r="AE199" i="3" s="1"/>
  <c r="AD287" i="3"/>
  <c r="AD296" i="3" s="1"/>
  <c r="AD245" i="3"/>
  <c r="AD253" i="3" s="1"/>
  <c r="AD261" i="3" s="1"/>
  <c r="AC239" i="3"/>
  <c r="AC247" i="3" s="1"/>
  <c r="AC255" i="3" s="1"/>
  <c r="AB25" i="3"/>
  <c r="AB38" i="3"/>
  <c r="AE17" i="2"/>
  <c r="AB283" i="3"/>
  <c r="AB292" i="3" s="1"/>
  <c r="AB241" i="3"/>
  <c r="AB249" i="3" s="1"/>
  <c r="AB257" i="3" s="1"/>
  <c r="AB30" i="3"/>
  <c r="AB35" i="3"/>
  <c r="AC9" i="3"/>
  <c r="AC22" i="3"/>
  <c r="AE10" i="2"/>
  <c r="AR173" i="15"/>
  <c r="AR163" i="15"/>
  <c r="AN161" i="12" s="1"/>
  <c r="AR154" i="15"/>
  <c r="AR135" i="15"/>
  <c r="AN134" i="12" s="1"/>
  <c r="AR125" i="15"/>
  <c r="AN125" i="12" s="1"/>
  <c r="AR115" i="15"/>
  <c r="AN116" i="12" s="1"/>
  <c r="Y308" i="3"/>
  <c r="Z85" i="3"/>
  <c r="AS116" i="15"/>
  <c r="AW103" i="15"/>
  <c r="AV103" i="15"/>
  <c r="AE220" i="2"/>
  <c r="AE309" i="2"/>
  <c r="AD83" i="11"/>
  <c r="AD150" i="11"/>
  <c r="AD154" i="11" s="1"/>
  <c r="AD130" i="11"/>
  <c r="AD133" i="11" s="1"/>
  <c r="AD140" i="11"/>
  <c r="AD143" i="11" s="1"/>
  <c r="AD160" i="11"/>
  <c r="AD164" i="11" s="1"/>
  <c r="AD108" i="11"/>
  <c r="AD113" i="11" s="1"/>
  <c r="AD81" i="11"/>
  <c r="AE170" i="11"/>
  <c r="AE159" i="11"/>
  <c r="AE111" i="11"/>
  <c r="AE149" i="11"/>
  <c r="AE139" i="11"/>
  <c r="AE129" i="11"/>
  <c r="AE70" i="11"/>
  <c r="AE81" i="11" s="1"/>
  <c r="AD174" i="11"/>
  <c r="AI98" i="11"/>
  <c r="AJ96" i="11"/>
  <c r="AJ163" i="11"/>
  <c r="AJ153" i="11"/>
  <c r="AJ142" i="11"/>
  <c r="AJ132" i="11"/>
  <c r="AJ122" i="11"/>
  <c r="AJ112" i="11"/>
  <c r="AK79" i="11"/>
  <c r="AJ173" i="11"/>
  <c r="AJ162" i="11"/>
  <c r="AJ152" i="11"/>
  <c r="AJ131" i="11"/>
  <c r="AJ120" i="11"/>
  <c r="AJ110" i="11"/>
  <c r="AK74" i="11"/>
  <c r="AJ172" i="11"/>
  <c r="AJ161" i="11"/>
  <c r="AJ151" i="11"/>
  <c r="AJ141" i="11"/>
  <c r="AJ119" i="11"/>
  <c r="AJ109" i="11"/>
  <c r="AK72" i="11"/>
  <c r="AJ169" i="11"/>
  <c r="AJ148" i="11"/>
  <c r="AJ138" i="11"/>
  <c r="AJ128" i="11"/>
  <c r="AJ117" i="11"/>
  <c r="AJ107" i="11"/>
  <c r="AK65" i="11"/>
  <c r="AJ89" i="11"/>
  <c r="AI90" i="11"/>
  <c r="AJ88" i="11"/>
  <c r="AF158" i="11"/>
  <c r="AF147" i="11"/>
  <c r="AF116" i="11"/>
  <c r="AF123" i="11" s="1"/>
  <c r="AF106" i="11"/>
  <c r="AG64" i="11"/>
  <c r="AD38" i="2"/>
  <c r="AF67" i="11" s="1"/>
  <c r="Z102" i="4"/>
  <c r="AD72" i="2"/>
  <c r="CA381" i="2"/>
  <c r="AC113" i="3"/>
  <c r="Z37" i="4"/>
  <c r="AA53" i="4"/>
  <c r="AA69" i="4"/>
  <c r="AA118" i="4"/>
  <c r="AA134" i="4"/>
  <c r="Z173" i="4"/>
  <c r="Z174" i="4"/>
  <c r="Z175" i="4"/>
  <c r="Z176" i="4"/>
  <c r="Z177" i="4"/>
  <c r="Z178" i="4"/>
  <c r="Z179" i="4"/>
  <c r="Z180" i="4"/>
  <c r="Z181" i="4"/>
  <c r="Z182" i="4"/>
  <c r="Z183" i="4"/>
  <c r="Z184" i="4"/>
  <c r="AA185" i="4"/>
  <c r="Z223" i="4"/>
  <c r="Z172" i="4"/>
  <c r="Z256" i="4"/>
  <c r="Z303" i="4"/>
  <c r="Z311" i="4"/>
  <c r="BF309" i="4"/>
  <c r="BF310" i="4"/>
  <c r="AA320" i="4"/>
  <c r="AA346" i="4"/>
  <c r="AA363" i="4"/>
  <c r="AK89" i="11" l="1"/>
  <c r="AH301" i="2"/>
  <c r="AG299" i="2"/>
  <c r="BH65" i="15"/>
  <c r="BH64" i="15"/>
  <c r="BH68" i="15" s="1"/>
  <c r="AE97" i="2"/>
  <c r="AE82" i="2" s="1"/>
  <c r="AD111" i="2"/>
  <c r="AD209" i="2"/>
  <c r="AD208" i="2"/>
  <c r="AD213" i="2"/>
  <c r="AE99" i="2"/>
  <c r="AE84" i="2" s="1"/>
  <c r="AE107" i="2"/>
  <c r="AE91" i="2" s="1"/>
  <c r="AD93" i="2"/>
  <c r="AD219" i="2"/>
  <c r="AE103" i="2"/>
  <c r="AD91" i="2"/>
  <c r="AE109" i="2"/>
  <c r="AF110" i="2"/>
  <c r="AF94" i="2" s="1"/>
  <c r="AD218" i="2"/>
  <c r="AD85" i="2"/>
  <c r="AD210" i="2"/>
  <c r="AE105" i="2"/>
  <c r="AE215" i="2" s="1"/>
  <c r="AE106" i="2"/>
  <c r="AE108" i="2"/>
  <c r="AD87" i="2"/>
  <c r="AD212" i="2"/>
  <c r="AE102" i="2"/>
  <c r="AE100" i="2"/>
  <c r="AD86" i="2"/>
  <c r="AD211" i="2"/>
  <c r="AE104" i="2"/>
  <c r="AD89" i="2"/>
  <c r="AD214" i="2"/>
  <c r="AE101" i="2"/>
  <c r="AE98" i="2"/>
  <c r="AE208" i="2" s="1"/>
  <c r="BO364" i="2"/>
  <c r="AF372" i="2"/>
  <c r="AE385" i="2"/>
  <c r="AF381" i="2"/>
  <c r="AE386" i="2"/>
  <c r="BJ317" i="2"/>
  <c r="BJ357" i="2" s="1"/>
  <c r="BI345" i="2"/>
  <c r="BI362" i="2" s="1"/>
  <c r="AB200" i="3"/>
  <c r="BJ334" i="2"/>
  <c r="BG209" i="3"/>
  <c r="BG217" i="3" s="1"/>
  <c r="BJ335" i="2"/>
  <c r="BG210" i="3"/>
  <c r="BG218" i="3" s="1"/>
  <c r="BJ336" i="2"/>
  <c r="BG211" i="3"/>
  <c r="BG219" i="3" s="1"/>
  <c r="AF321" i="2"/>
  <c r="AC208" i="3"/>
  <c r="AC216" i="3" s="1"/>
  <c r="AC188" i="3"/>
  <c r="AC196" i="3" s="1"/>
  <c r="AF319" i="2"/>
  <c r="AC206" i="3"/>
  <c r="AC214" i="3" s="1"/>
  <c r="AC186" i="3"/>
  <c r="AC194" i="3" s="1"/>
  <c r="AB222" i="3"/>
  <c r="AB201" i="3"/>
  <c r="BJ318" i="2"/>
  <c r="BJ358" i="2" s="1"/>
  <c r="BG185" i="3"/>
  <c r="BG193" i="3" s="1"/>
  <c r="BG205" i="3"/>
  <c r="BG213" i="3" s="1"/>
  <c r="AB220" i="3"/>
  <c r="AF320" i="2"/>
  <c r="AC207" i="3"/>
  <c r="AC215" i="3" s="1"/>
  <c r="AC187" i="3"/>
  <c r="AC195" i="3" s="1"/>
  <c r="X184" i="12"/>
  <c r="X179" i="12" s="1"/>
  <c r="AD86" i="15"/>
  <c r="AD171" i="15"/>
  <c r="AD161" i="15"/>
  <c r="AD152" i="15"/>
  <c r="AD143" i="15"/>
  <c r="AD134" i="15"/>
  <c r="AD113" i="15"/>
  <c r="AD118" i="15" s="1"/>
  <c r="Z124" i="12"/>
  <c r="Z128" i="12" s="1"/>
  <c r="AD128" i="15"/>
  <c r="AE172" i="15"/>
  <c r="AA170" i="12" s="1"/>
  <c r="AE162" i="15"/>
  <c r="AA160" i="12" s="1"/>
  <c r="AE153" i="15"/>
  <c r="AA152" i="12" s="1"/>
  <c r="AE144" i="15"/>
  <c r="AA143" i="12" s="1"/>
  <c r="AE124" i="15"/>
  <c r="AE114" i="15"/>
  <c r="AA115" i="12" s="1"/>
  <c r="AA119" i="12" s="1"/>
  <c r="AE75" i="15"/>
  <c r="AC137" i="15"/>
  <c r="Y133" i="12"/>
  <c r="Y136" i="12" s="1"/>
  <c r="AC146" i="15"/>
  <c r="Y142" i="12"/>
  <c r="Y145" i="12" s="1"/>
  <c r="Y151" i="12"/>
  <c r="Y155" i="12" s="1"/>
  <c r="AC156" i="15"/>
  <c r="AC165" i="15"/>
  <c r="Y159" i="12"/>
  <c r="Y163" i="12" s="1"/>
  <c r="AC174" i="15"/>
  <c r="Y169" i="12"/>
  <c r="Y172" i="12" s="1"/>
  <c r="BC72" i="15"/>
  <c r="BB170" i="15"/>
  <c r="AX168" i="12" s="1"/>
  <c r="BB160" i="15"/>
  <c r="AX158" i="12" s="1"/>
  <c r="BB151" i="15"/>
  <c r="AX150" i="12" s="1"/>
  <c r="BB142" i="15"/>
  <c r="AX141" i="12" s="1"/>
  <c r="BB133" i="15"/>
  <c r="AX132" i="12" s="1"/>
  <c r="BB123" i="15"/>
  <c r="AB52" i="3"/>
  <c r="AA65" i="3"/>
  <c r="Z77" i="3"/>
  <c r="AA59" i="3"/>
  <c r="AS55" i="2"/>
  <c r="AF43" i="2"/>
  <c r="AF58" i="2"/>
  <c r="AE42" i="2"/>
  <c r="AF44" i="2"/>
  <c r="AF47" i="2"/>
  <c r="AF46" i="2"/>
  <c r="AF49" i="2"/>
  <c r="AF51" i="2"/>
  <c r="AF48" i="2"/>
  <c r="AF53" i="2"/>
  <c r="AF54" i="2"/>
  <c r="AF52" i="2"/>
  <c r="AF61" i="2"/>
  <c r="AE45" i="2"/>
  <c r="AF50" i="2"/>
  <c r="AA71" i="3"/>
  <c r="AB70" i="3"/>
  <c r="AB47" i="3"/>
  <c r="AB64" i="3"/>
  <c r="AB51" i="3"/>
  <c r="AB62" i="3"/>
  <c r="AB50" i="3"/>
  <c r="AB56" i="3"/>
  <c r="AB59" i="3" s="1"/>
  <c r="AB69" i="3"/>
  <c r="AC37" i="3"/>
  <c r="Y336" i="17"/>
  <c r="Y304" i="17"/>
  <c r="Y302" i="17"/>
  <c r="Y334" i="17"/>
  <c r="Y283" i="17"/>
  <c r="Y315" i="17"/>
  <c r="Y347" i="17"/>
  <c r="AC45" i="3"/>
  <c r="AC51" i="3" s="1"/>
  <c r="Y338" i="17"/>
  <c r="Y306" i="17"/>
  <c r="AB63" i="3"/>
  <c r="Y313" i="17"/>
  <c r="Y345" i="17"/>
  <c r="Y307" i="17"/>
  <c r="Y339" i="17"/>
  <c r="Y314" i="17"/>
  <c r="Y346" i="17"/>
  <c r="AC44" i="3"/>
  <c r="AC62" i="3" s="1"/>
  <c r="Y337" i="17"/>
  <c r="Y305" i="17"/>
  <c r="Y303" i="17"/>
  <c r="Y335" i="17"/>
  <c r="AC46" i="3"/>
  <c r="AC52" i="3" s="1"/>
  <c r="Y311" i="17"/>
  <c r="Y343" i="17"/>
  <c r="Y308" i="17"/>
  <c r="Y340" i="17"/>
  <c r="Y342" i="17"/>
  <c r="Y310" i="17"/>
  <c r="Y312" i="17"/>
  <c r="Y344" i="17"/>
  <c r="AF301" i="17"/>
  <c r="AF333" i="17"/>
  <c r="Y309" i="17"/>
  <c r="Y341" i="17"/>
  <c r="AW92" i="17"/>
  <c r="AW95" i="17"/>
  <c r="AW90" i="17"/>
  <c r="AW91" i="17"/>
  <c r="AY85" i="17"/>
  <c r="AW84" i="17"/>
  <c r="AW86" i="17"/>
  <c r="AW93" i="17"/>
  <c r="AW94" i="17"/>
  <c r="AW89" i="17"/>
  <c r="AW87" i="17"/>
  <c r="AW96" i="17"/>
  <c r="AW83" i="17"/>
  <c r="AW97" i="17"/>
  <c r="AW88" i="17"/>
  <c r="Z462" i="17"/>
  <c r="Z461" i="17"/>
  <c r="Z463" i="17"/>
  <c r="AF339" i="2"/>
  <c r="AF340" i="2"/>
  <c r="AF341" i="2"/>
  <c r="AC38" i="3"/>
  <c r="AC25" i="3"/>
  <c r="AD8" i="3"/>
  <c r="AD24" i="3" s="1"/>
  <c r="AP66" i="15"/>
  <c r="AO168" i="15"/>
  <c r="AO149" i="15"/>
  <c r="AO140" i="15"/>
  <c r="AK139" i="12" s="1"/>
  <c r="AO131" i="15"/>
  <c r="AK130" i="12" s="1"/>
  <c r="AO121" i="15"/>
  <c r="AO111" i="15"/>
  <c r="AK112" i="12" s="1"/>
  <c r="AO67" i="15"/>
  <c r="AK178" i="12" s="1"/>
  <c r="AK166" i="12"/>
  <c r="AK148" i="12"/>
  <c r="AK121" i="12"/>
  <c r="AP164" i="15"/>
  <c r="AL162" i="12" s="1"/>
  <c r="AP155" i="15"/>
  <c r="AP145" i="15"/>
  <c r="AP136" i="15"/>
  <c r="AL135" i="12" s="1"/>
  <c r="AP127" i="15"/>
  <c r="AL127" i="12" s="1"/>
  <c r="AP117" i="15"/>
  <c r="AL118" i="12" s="1"/>
  <c r="AQ84" i="15"/>
  <c r="AO159" i="15"/>
  <c r="AO169" i="15"/>
  <c r="AK167" i="12" s="1"/>
  <c r="AO150" i="15"/>
  <c r="AK149" i="12" s="1"/>
  <c r="AO141" i="15"/>
  <c r="AK140" i="12" s="1"/>
  <c r="AO132" i="15"/>
  <c r="AK131" i="12" s="1"/>
  <c r="AO122" i="15"/>
  <c r="AK122" i="12" s="1"/>
  <c r="AO112" i="15"/>
  <c r="AK113" i="12" s="1"/>
  <c r="AO94" i="15"/>
  <c r="AP94" i="15" s="1"/>
  <c r="AN95" i="15"/>
  <c r="AO93" i="15"/>
  <c r="AC31" i="3"/>
  <c r="AC33" i="3"/>
  <c r="AC36" i="3"/>
  <c r="AB298" i="3"/>
  <c r="AF14" i="2"/>
  <c r="AF16" i="2"/>
  <c r="AD13" i="3"/>
  <c r="AF9" i="2"/>
  <c r="AF18" i="2"/>
  <c r="AJ89" i="3"/>
  <c r="AJ90" i="3" s="1"/>
  <c r="AJ43" i="3"/>
  <c r="AD17" i="3"/>
  <c r="AD20" i="3"/>
  <c r="AD281" i="3"/>
  <c r="AD290" i="3" s="1"/>
  <c r="AB39" i="3"/>
  <c r="AD21" i="3"/>
  <c r="AF190" i="3"/>
  <c r="AF198" i="3" s="1"/>
  <c r="AE244" i="3"/>
  <c r="AE252" i="3" s="1"/>
  <c r="AE260" i="3" s="1"/>
  <c r="AC284" i="3"/>
  <c r="AC293" i="3" s="1"/>
  <c r="AC242" i="3"/>
  <c r="AC250" i="3" s="1"/>
  <c r="AC258" i="3" s="1"/>
  <c r="AC27" i="3"/>
  <c r="AC34" i="3"/>
  <c r="AF189" i="3"/>
  <c r="AF197" i="3" s="1"/>
  <c r="AE285" i="3"/>
  <c r="AE294" i="3" s="1"/>
  <c r="AE243" i="3"/>
  <c r="AE251" i="3" s="1"/>
  <c r="AE259" i="3" s="1"/>
  <c r="AF10" i="2"/>
  <c r="AD15" i="3"/>
  <c r="AD11" i="3"/>
  <c r="AD18" i="3"/>
  <c r="AF15" i="2"/>
  <c r="AD239" i="3"/>
  <c r="AD247" i="3" s="1"/>
  <c r="AD255" i="3" s="1"/>
  <c r="AK288" i="3"/>
  <c r="AK297" i="3" s="1"/>
  <c r="AK230" i="3"/>
  <c r="AK231" i="3" s="1"/>
  <c r="AB262" i="3"/>
  <c r="AG24" i="2"/>
  <c r="AF8" i="2"/>
  <c r="AH73" i="3"/>
  <c r="AC35" i="3"/>
  <c r="AD22" i="3"/>
  <c r="AC283" i="3"/>
  <c r="AC292" i="3" s="1"/>
  <c r="AC241" i="3"/>
  <c r="AC249" i="3" s="1"/>
  <c r="AC257" i="3" s="1"/>
  <c r="AC240" i="3"/>
  <c r="AC248" i="3" s="1"/>
  <c r="AC256" i="3" s="1"/>
  <c r="AF21" i="2"/>
  <c r="AF12" i="2"/>
  <c r="AD19" i="3"/>
  <c r="AG27" i="2"/>
  <c r="AF11" i="2"/>
  <c r="AF19" i="2"/>
  <c r="AC32" i="3"/>
  <c r="AF13" i="2"/>
  <c r="AC26" i="3"/>
  <c r="AC28" i="3"/>
  <c r="AC30" i="3"/>
  <c r="AD9" i="3"/>
  <c r="AF17" i="2"/>
  <c r="AF191" i="3"/>
  <c r="AF199" i="3" s="1"/>
  <c r="AE287" i="3"/>
  <c r="AE296" i="3" s="1"/>
  <c r="AE245" i="3"/>
  <c r="AE253" i="3" s="1"/>
  <c r="AE261" i="3" s="1"/>
  <c r="AI67" i="3"/>
  <c r="AI49" i="3"/>
  <c r="AI61" i="3"/>
  <c r="AI55" i="3"/>
  <c r="AD16" i="3"/>
  <c r="AC29" i="3"/>
  <c r="AF20" i="2"/>
  <c r="AD10" i="3"/>
  <c r="AD12" i="3"/>
  <c r="AD14" i="3"/>
  <c r="AS173" i="15"/>
  <c r="AS163" i="15"/>
  <c r="AO161" i="12" s="1"/>
  <c r="AS154" i="15"/>
  <c r="AS135" i="15"/>
  <c r="AO134" i="12" s="1"/>
  <c r="AS125" i="15"/>
  <c r="AO125" i="12" s="1"/>
  <c r="AS115" i="15"/>
  <c r="AO116" i="12" s="1"/>
  <c r="AA85" i="3"/>
  <c r="Z308" i="3"/>
  <c r="AA77" i="3"/>
  <c r="AG192" i="2"/>
  <c r="AT116" i="15"/>
  <c r="AF309" i="2"/>
  <c r="AE108" i="11"/>
  <c r="AE113" i="11" s="1"/>
  <c r="AE83" i="11"/>
  <c r="AE140" i="11"/>
  <c r="AE143" i="11" s="1"/>
  <c r="AE150" i="11"/>
  <c r="AE154" i="11" s="1"/>
  <c r="AE160" i="11"/>
  <c r="AE164" i="11" s="1"/>
  <c r="AE171" i="11"/>
  <c r="AE174" i="11" s="1"/>
  <c r="AE130" i="11"/>
  <c r="AE133" i="11" s="1"/>
  <c r="AF129" i="11"/>
  <c r="AF149" i="11"/>
  <c r="AF139" i="11"/>
  <c r="AF111" i="11"/>
  <c r="AF159" i="11"/>
  <c r="AF170" i="11"/>
  <c r="AF70" i="11"/>
  <c r="AF150" i="11" s="1"/>
  <c r="AG158" i="11"/>
  <c r="AG147" i="11"/>
  <c r="AG116" i="11"/>
  <c r="AG123" i="11" s="1"/>
  <c r="AG106" i="11"/>
  <c r="AH64" i="11"/>
  <c r="AJ90" i="11"/>
  <c r="AK88" i="11"/>
  <c r="AK169" i="11"/>
  <c r="AK148" i="11"/>
  <c r="AK138" i="11"/>
  <c r="AK128" i="11"/>
  <c r="AK117" i="11"/>
  <c r="AK107" i="11"/>
  <c r="AL65" i="11"/>
  <c r="AK172" i="11"/>
  <c r="AK161" i="11"/>
  <c r="AK151" i="11"/>
  <c r="AK141" i="11"/>
  <c r="AK119" i="11"/>
  <c r="AK109" i="11"/>
  <c r="AL72" i="11"/>
  <c r="AK173" i="11"/>
  <c r="AK162" i="11"/>
  <c r="AK152" i="11"/>
  <c r="AK131" i="11"/>
  <c r="AK120" i="11"/>
  <c r="AK110" i="11"/>
  <c r="AL74" i="11"/>
  <c r="AK163" i="11"/>
  <c r="AK153" i="11"/>
  <c r="AK142" i="11"/>
  <c r="AK132" i="11"/>
  <c r="AK122" i="11"/>
  <c r="AK112" i="11"/>
  <c r="AL79" i="11"/>
  <c r="AJ98" i="11"/>
  <c r="AK96" i="11"/>
  <c r="AB363" i="4"/>
  <c r="AB346" i="4"/>
  <c r="AB320" i="4"/>
  <c r="BG310" i="4"/>
  <c r="AA311" i="4"/>
  <c r="BG309" i="4"/>
  <c r="AA303" i="4"/>
  <c r="AA256" i="4"/>
  <c r="AA223" i="4"/>
  <c r="AA172" i="4"/>
  <c r="AB185" i="4"/>
  <c r="AA184" i="4"/>
  <c r="AA183" i="4"/>
  <c r="AA182" i="4"/>
  <c r="AA181" i="4"/>
  <c r="AA180" i="4"/>
  <c r="AA179" i="4"/>
  <c r="AA178" i="4"/>
  <c r="AA177" i="4"/>
  <c r="AA176" i="4"/>
  <c r="AA175" i="4"/>
  <c r="AA174" i="4"/>
  <c r="AA173" i="4"/>
  <c r="AB134" i="4"/>
  <c r="AB118" i="4"/>
  <c r="AB69" i="4"/>
  <c r="AB53" i="4"/>
  <c r="AA37" i="4"/>
  <c r="AD113" i="3"/>
  <c r="CB381" i="2"/>
  <c r="AE72" i="2"/>
  <c r="AA102" i="4"/>
  <c r="AE38" i="2"/>
  <c r="AG67" i="11" s="1"/>
  <c r="AI301" i="2" l="1"/>
  <c r="AH299" i="2"/>
  <c r="AB75" i="3"/>
  <c r="BI65" i="15"/>
  <c r="BI64" i="15"/>
  <c r="BI68" i="15" s="1"/>
  <c r="AF97" i="2"/>
  <c r="AF82" i="2" s="1"/>
  <c r="AE209" i="2"/>
  <c r="AE217" i="2"/>
  <c r="AE111" i="2"/>
  <c r="AE83" i="2"/>
  <c r="AE89" i="2"/>
  <c r="AE214" i="2"/>
  <c r="AF104" i="2"/>
  <c r="AF108" i="2"/>
  <c r="AE86" i="2"/>
  <c r="AE211" i="2"/>
  <c r="AE85" i="2"/>
  <c r="AE210" i="2"/>
  <c r="AE90" i="2"/>
  <c r="AG110" i="2"/>
  <c r="AG94" i="2" s="1"/>
  <c r="AE88" i="2"/>
  <c r="AE213" i="2"/>
  <c r="AF101" i="2"/>
  <c r="AF100" i="2"/>
  <c r="AF106" i="2"/>
  <c r="AE93" i="2"/>
  <c r="AE219" i="2"/>
  <c r="AF107" i="2"/>
  <c r="AF91" i="2" s="1"/>
  <c r="AE87" i="2"/>
  <c r="AE212" i="2"/>
  <c r="AF109" i="2"/>
  <c r="AF103" i="2"/>
  <c r="AE218" i="2"/>
  <c r="AE92" i="2"/>
  <c r="AF220" i="2"/>
  <c r="AF102" i="2"/>
  <c r="AF105" i="2"/>
  <c r="AF215" i="2" s="1"/>
  <c r="AF99" i="2"/>
  <c r="AF98" i="2"/>
  <c r="AF83" i="2" s="1"/>
  <c r="AG372" i="2"/>
  <c r="AF385" i="2"/>
  <c r="AG381" i="2"/>
  <c r="AF386" i="2"/>
  <c r="BK317" i="2"/>
  <c r="BK357" i="2" s="1"/>
  <c r="BJ345" i="2"/>
  <c r="BJ362" i="2" s="1"/>
  <c r="AC200" i="3"/>
  <c r="BK318" i="2"/>
  <c r="BK358" i="2" s="1"/>
  <c r="BH205" i="3"/>
  <c r="BH213" i="3" s="1"/>
  <c r="BH185" i="3"/>
  <c r="BH193" i="3" s="1"/>
  <c r="AG321" i="2"/>
  <c r="AD208" i="3"/>
  <c r="AD216" i="3" s="1"/>
  <c r="AD188" i="3"/>
  <c r="AD196" i="3" s="1"/>
  <c r="BK336" i="2"/>
  <c r="BH211" i="3"/>
  <c r="BH219" i="3" s="1"/>
  <c r="AC201" i="3"/>
  <c r="AC222" i="3"/>
  <c r="AG320" i="2"/>
  <c r="AD207" i="3"/>
  <c r="AD215" i="3" s="1"/>
  <c r="AD187" i="3"/>
  <c r="AD195" i="3" s="1"/>
  <c r="AC220" i="3"/>
  <c r="BK335" i="2"/>
  <c r="BH210" i="3"/>
  <c r="BH218" i="3" s="1"/>
  <c r="AG319" i="2"/>
  <c r="AD206" i="3"/>
  <c r="AD214" i="3" s="1"/>
  <c r="AD186" i="3"/>
  <c r="AD194" i="3" s="1"/>
  <c r="BK334" i="2"/>
  <c r="BH209" i="3"/>
  <c r="BH217" i="3" s="1"/>
  <c r="Y184" i="12"/>
  <c r="Y179" i="12" s="1"/>
  <c r="AE86" i="15"/>
  <c r="AE171" i="15"/>
  <c r="AE161" i="15"/>
  <c r="AE152" i="15"/>
  <c r="AE143" i="15"/>
  <c r="AE134" i="15"/>
  <c r="AE113" i="15"/>
  <c r="AE118" i="15" s="1"/>
  <c r="AA124" i="12"/>
  <c r="AA128" i="12" s="1"/>
  <c r="AE128" i="15"/>
  <c r="AF172" i="15"/>
  <c r="AB170" i="12" s="1"/>
  <c r="AF162" i="15"/>
  <c r="AB160" i="12" s="1"/>
  <c r="AF153" i="15"/>
  <c r="AB152" i="12" s="1"/>
  <c r="AF144" i="15"/>
  <c r="AB143" i="12" s="1"/>
  <c r="AF124" i="15"/>
  <c r="AF114" i="15"/>
  <c r="AB115" i="12" s="1"/>
  <c r="AB119" i="12" s="1"/>
  <c r="AF75" i="15"/>
  <c r="AD137" i="15"/>
  <c r="Z133" i="12"/>
  <c r="Z136" i="12" s="1"/>
  <c r="AD146" i="15"/>
  <c r="Z142" i="12"/>
  <c r="Z145" i="12" s="1"/>
  <c r="Z151" i="12"/>
  <c r="Z155" i="12" s="1"/>
  <c r="AD156" i="15"/>
  <c r="AD165" i="15"/>
  <c r="Z159" i="12"/>
  <c r="Z163" i="12" s="1"/>
  <c r="AD174" i="15"/>
  <c r="Z169" i="12"/>
  <c r="Z172" i="12" s="1"/>
  <c r="BD72" i="15"/>
  <c r="BC170" i="15"/>
  <c r="AY168" i="12" s="1"/>
  <c r="BC160" i="15"/>
  <c r="AY158" i="12" s="1"/>
  <c r="BC151" i="15"/>
  <c r="AY150" i="12" s="1"/>
  <c r="BC142" i="15"/>
  <c r="AY141" i="12" s="1"/>
  <c r="BC133" i="15"/>
  <c r="AY132" i="12" s="1"/>
  <c r="BC123" i="15"/>
  <c r="AB74" i="3"/>
  <c r="AB76" i="3"/>
  <c r="AB71" i="3"/>
  <c r="AC56" i="3"/>
  <c r="AC50" i="3"/>
  <c r="AC74" i="3" s="1"/>
  <c r="AT55" i="2"/>
  <c r="AG48" i="2"/>
  <c r="AG52" i="2"/>
  <c r="AG51" i="2"/>
  <c r="AG44" i="2"/>
  <c r="AG47" i="2"/>
  <c r="AG54" i="2"/>
  <c r="AG49" i="2"/>
  <c r="AG58" i="2"/>
  <c r="AF42" i="2"/>
  <c r="AG61" i="2"/>
  <c r="AF45" i="2"/>
  <c r="AG50" i="2"/>
  <c r="AG53" i="2"/>
  <c r="AG46" i="2"/>
  <c r="AG43" i="2"/>
  <c r="AB65" i="3"/>
  <c r="AC68" i="3"/>
  <c r="AB53" i="3"/>
  <c r="AC70" i="3"/>
  <c r="AC58" i="3"/>
  <c r="AC47" i="3"/>
  <c r="AD35" i="3"/>
  <c r="AD44" i="3"/>
  <c r="AD56" i="3" s="1"/>
  <c r="Z305" i="17"/>
  <c r="Z337" i="17"/>
  <c r="Z309" i="17"/>
  <c r="Z341" i="17"/>
  <c r="Z336" i="17"/>
  <c r="Z304" i="17"/>
  <c r="Z312" i="17"/>
  <c r="Z344" i="17"/>
  <c r="Z310" i="17"/>
  <c r="Z342" i="17"/>
  <c r="Z302" i="17"/>
  <c r="Z334" i="17"/>
  <c r="AD46" i="3"/>
  <c r="AD58" i="3" s="1"/>
  <c r="Z311" i="17"/>
  <c r="Z343" i="17"/>
  <c r="AC63" i="3"/>
  <c r="AC75" i="3" s="1"/>
  <c r="Z307" i="17"/>
  <c r="Z339" i="17"/>
  <c r="AC69" i="3"/>
  <c r="Z308" i="17"/>
  <c r="Z340" i="17"/>
  <c r="AC64" i="3"/>
  <c r="AC76" i="3" s="1"/>
  <c r="Z283" i="17"/>
  <c r="Z347" i="17"/>
  <c r="Z315" i="17"/>
  <c r="AC57" i="3"/>
  <c r="AG333" i="17"/>
  <c r="AG301" i="17"/>
  <c r="AD45" i="3"/>
  <c r="AD69" i="3" s="1"/>
  <c r="Z338" i="17"/>
  <c r="Z306" i="17"/>
  <c r="Z303" i="17"/>
  <c r="Z335" i="17"/>
  <c r="Z314" i="17"/>
  <c r="Z346" i="17"/>
  <c r="Z345" i="17"/>
  <c r="Z313" i="17"/>
  <c r="AD31" i="3"/>
  <c r="AX96" i="17"/>
  <c r="AX93" i="17"/>
  <c r="AX91" i="17"/>
  <c r="AX88" i="17"/>
  <c r="AX87" i="17"/>
  <c r="AX86" i="17"/>
  <c r="AX90" i="17"/>
  <c r="AX97" i="17"/>
  <c r="AX89" i="17"/>
  <c r="AX84" i="17"/>
  <c r="AX95" i="17"/>
  <c r="AX83" i="17"/>
  <c r="AX94" i="17"/>
  <c r="AZ85" i="17"/>
  <c r="AX92" i="17"/>
  <c r="AA463" i="17"/>
  <c r="AA462" i="17"/>
  <c r="AA461" i="17"/>
  <c r="AG339" i="2"/>
  <c r="AG340" i="2"/>
  <c r="AG341" i="2"/>
  <c r="AD32" i="3"/>
  <c r="AD28" i="3"/>
  <c r="AD26" i="3"/>
  <c r="AE8" i="3"/>
  <c r="AE24" i="3" s="1"/>
  <c r="AQ66" i="15"/>
  <c r="AP168" i="15"/>
  <c r="AL166" i="12" s="1"/>
  <c r="AP149" i="15"/>
  <c r="AP140" i="15"/>
  <c r="AP131" i="15"/>
  <c r="AP121" i="15"/>
  <c r="AL121" i="12" s="1"/>
  <c r="AP111" i="15"/>
  <c r="AL112" i="12" s="1"/>
  <c r="AP67" i="15"/>
  <c r="AL178" i="12" s="1"/>
  <c r="AL139" i="12"/>
  <c r="AL148" i="12"/>
  <c r="AL130" i="12"/>
  <c r="AO95" i="15"/>
  <c r="AP93" i="15"/>
  <c r="AP159" i="15"/>
  <c r="AP169" i="15"/>
  <c r="AL167" i="12" s="1"/>
  <c r="AP150" i="15"/>
  <c r="AL149" i="12" s="1"/>
  <c r="AP141" i="15"/>
  <c r="AL140" i="12" s="1"/>
  <c r="AP132" i="15"/>
  <c r="AL131" i="12" s="1"/>
  <c r="AP122" i="15"/>
  <c r="AL122" i="12" s="1"/>
  <c r="AP112" i="15"/>
  <c r="AL113" i="12" s="1"/>
  <c r="AQ164" i="15"/>
  <c r="AM162" i="12" s="1"/>
  <c r="AQ155" i="15"/>
  <c r="AQ145" i="15"/>
  <c r="AQ136" i="15"/>
  <c r="AM135" i="12" s="1"/>
  <c r="AQ127" i="15"/>
  <c r="AM127" i="12" s="1"/>
  <c r="AQ117" i="15"/>
  <c r="AM118" i="12" s="1"/>
  <c r="AR84" i="15"/>
  <c r="AC39" i="3"/>
  <c r="AD25" i="3"/>
  <c r="AC298" i="3"/>
  <c r="AE14" i="3"/>
  <c r="AG191" i="3"/>
  <c r="AG199" i="3" s="1"/>
  <c r="AF287" i="3"/>
  <c r="AF296" i="3" s="1"/>
  <c r="AF245" i="3"/>
  <c r="AF253" i="3" s="1"/>
  <c r="AF261" i="3" s="1"/>
  <c r="AH27" i="2"/>
  <c r="AG11" i="2"/>
  <c r="AE19" i="3"/>
  <c r="AH24" i="2"/>
  <c r="AG8" i="2"/>
  <c r="AE15" i="3"/>
  <c r="AJ49" i="3"/>
  <c r="AJ67" i="3"/>
  <c r="AJ55" i="3"/>
  <c r="AJ61" i="3"/>
  <c r="AE13" i="3"/>
  <c r="AE16" i="3"/>
  <c r="AG15" i="2"/>
  <c r="AE12" i="3"/>
  <c r="AG17" i="2"/>
  <c r="AG13" i="2"/>
  <c r="AG12" i="2"/>
  <c r="AD34" i="3"/>
  <c r="AG10" i="2"/>
  <c r="AK89" i="3"/>
  <c r="AK90" i="3" s="1"/>
  <c r="AK43" i="3"/>
  <c r="AE281" i="3"/>
  <c r="AE290" i="3" s="1"/>
  <c r="AE18" i="3"/>
  <c r="AD284" i="3"/>
  <c r="AD293" i="3" s="1"/>
  <c r="AD242" i="3"/>
  <c r="AD250" i="3" s="1"/>
  <c r="AD258" i="3" s="1"/>
  <c r="AD36" i="3"/>
  <c r="AE10" i="3"/>
  <c r="AI73" i="3"/>
  <c r="AE9" i="3"/>
  <c r="AG21" i="2"/>
  <c r="AL288" i="3"/>
  <c r="AL297" i="3" s="1"/>
  <c r="AL230" i="3"/>
  <c r="AL231" i="3" s="1"/>
  <c r="AD27" i="3"/>
  <c r="AE20" i="3"/>
  <c r="AG18" i="2"/>
  <c r="AG16" i="2"/>
  <c r="AC262" i="3"/>
  <c r="AD283" i="3"/>
  <c r="AD292" i="3" s="1"/>
  <c r="AD241" i="3"/>
  <c r="AD249" i="3" s="1"/>
  <c r="AD257" i="3" s="1"/>
  <c r="AE11" i="3"/>
  <c r="AG189" i="3"/>
  <c r="AG197" i="3" s="1"/>
  <c r="AF285" i="3"/>
  <c r="AF294" i="3" s="1"/>
  <c r="AF243" i="3"/>
  <c r="AF251" i="3" s="1"/>
  <c r="AF259" i="3" s="1"/>
  <c r="AG190" i="3"/>
  <c r="AG198" i="3" s="1"/>
  <c r="AF244" i="3"/>
  <c r="AF252" i="3" s="1"/>
  <c r="AF260" i="3" s="1"/>
  <c r="AD33" i="3"/>
  <c r="AG20" i="2"/>
  <c r="AG19" i="2"/>
  <c r="AD240" i="3"/>
  <c r="AD248" i="3" s="1"/>
  <c r="AD256" i="3" s="1"/>
  <c r="AD38" i="3"/>
  <c r="AE239" i="3"/>
  <c r="AE247" i="3" s="1"/>
  <c r="AE255" i="3" s="1"/>
  <c r="AD37" i="3"/>
  <c r="AE17" i="3"/>
  <c r="AG9" i="2"/>
  <c r="AG14" i="2"/>
  <c r="AD30" i="3"/>
  <c r="AE22" i="3"/>
  <c r="AE21" i="3"/>
  <c r="AD29" i="3"/>
  <c r="AT173" i="15"/>
  <c r="AT163" i="15"/>
  <c r="AP161" i="12" s="1"/>
  <c r="AT154" i="15"/>
  <c r="AT135" i="15"/>
  <c r="AP134" i="12" s="1"/>
  <c r="AT125" i="15"/>
  <c r="AP125" i="12" s="1"/>
  <c r="AT115" i="15"/>
  <c r="AP116" i="12" s="1"/>
  <c r="AA308" i="3"/>
  <c r="AB85" i="3"/>
  <c r="AH192" i="2"/>
  <c r="AU116" i="15"/>
  <c r="AF108" i="11"/>
  <c r="AF113" i="11" s="1"/>
  <c r="AF154" i="11"/>
  <c r="AG309" i="2"/>
  <c r="AF160" i="11"/>
  <c r="AF164" i="11" s="1"/>
  <c r="AF81" i="11"/>
  <c r="AF171" i="11"/>
  <c r="AF174" i="11" s="1"/>
  <c r="AF83" i="11"/>
  <c r="AF130" i="11"/>
  <c r="AF133" i="11" s="1"/>
  <c r="AF140" i="11"/>
  <c r="AF143" i="11" s="1"/>
  <c r="AG111" i="11"/>
  <c r="AG149" i="11"/>
  <c r="AG139" i="11"/>
  <c r="AG170" i="11"/>
  <c r="AG159" i="11"/>
  <c r="AG129" i="11"/>
  <c r="AG70" i="11"/>
  <c r="AG83" i="11" s="1"/>
  <c r="AK98" i="11"/>
  <c r="AL96" i="11"/>
  <c r="AL163" i="11"/>
  <c r="AL153" i="11"/>
  <c r="AL142" i="11"/>
  <c r="AL132" i="11"/>
  <c r="AL122" i="11"/>
  <c r="AL112" i="11"/>
  <c r="AM79" i="11"/>
  <c r="AL173" i="11"/>
  <c r="AL162" i="11"/>
  <c r="AL152" i="11"/>
  <c r="AL131" i="11"/>
  <c r="AL120" i="11"/>
  <c r="AL110" i="11"/>
  <c r="AM74" i="11"/>
  <c r="AL172" i="11"/>
  <c r="AL161" i="11"/>
  <c r="AL151" i="11"/>
  <c r="AL141" i="11"/>
  <c r="AL119" i="11"/>
  <c r="AL109" i="11"/>
  <c r="AM72" i="11"/>
  <c r="AL169" i="11"/>
  <c r="AL148" i="11"/>
  <c r="AL138" i="11"/>
  <c r="AL128" i="11"/>
  <c r="AL117" i="11"/>
  <c r="AL107" i="11"/>
  <c r="AM65" i="11"/>
  <c r="AL89" i="11"/>
  <c r="AK90" i="11"/>
  <c r="AL88" i="11"/>
  <c r="AH158" i="11"/>
  <c r="AH147" i="11"/>
  <c r="AH116" i="11"/>
  <c r="AH123" i="11" s="1"/>
  <c r="AH106" i="11"/>
  <c r="AI64" i="11"/>
  <c r="AF38" i="2"/>
  <c r="AH67" i="11" s="1"/>
  <c r="AB102" i="4"/>
  <c r="AF72" i="2"/>
  <c r="CC381" i="2"/>
  <c r="AE113" i="3"/>
  <c r="AB37" i="4"/>
  <c r="AC53" i="4"/>
  <c r="AC69" i="4"/>
  <c r="AC118" i="4"/>
  <c r="AC134" i="4"/>
  <c r="AB173" i="4"/>
  <c r="AB174" i="4"/>
  <c r="AB175" i="4"/>
  <c r="AB176" i="4"/>
  <c r="AB177" i="4"/>
  <c r="AB178" i="4"/>
  <c r="AB179" i="4"/>
  <c r="AB180" i="4"/>
  <c r="AB181" i="4"/>
  <c r="AB182" i="4"/>
  <c r="AB183" i="4"/>
  <c r="AB184" i="4"/>
  <c r="AC185" i="4"/>
  <c r="AB223" i="4"/>
  <c r="AB172" i="4"/>
  <c r="AB256" i="4"/>
  <c r="AB303" i="4"/>
  <c r="AB311" i="4"/>
  <c r="BH309" i="4"/>
  <c r="BH310" i="4"/>
  <c r="AC320" i="4"/>
  <c r="AC346" i="4"/>
  <c r="AC363" i="4"/>
  <c r="AM89" i="11" l="1"/>
  <c r="AJ301" i="2"/>
  <c r="AI299" i="2"/>
  <c r="BJ65" i="15"/>
  <c r="BJ64" i="15"/>
  <c r="BJ68" i="15" s="1"/>
  <c r="AG97" i="2"/>
  <c r="AG82" i="2" s="1"/>
  <c r="AF111" i="2"/>
  <c r="AF217" i="2"/>
  <c r="AF208" i="2"/>
  <c r="AF88" i="2"/>
  <c r="AF213" i="2"/>
  <c r="AG103" i="2"/>
  <c r="AG105" i="2"/>
  <c r="AF90" i="2"/>
  <c r="AF92" i="2"/>
  <c r="AF218" i="2"/>
  <c r="AF87" i="2"/>
  <c r="AF212" i="2"/>
  <c r="AG106" i="2"/>
  <c r="AH110" i="2"/>
  <c r="AH94" i="2" s="1"/>
  <c r="AG104" i="2"/>
  <c r="AF86" i="2"/>
  <c r="AF211" i="2"/>
  <c r="AG99" i="2"/>
  <c r="AF93" i="2"/>
  <c r="AF219" i="2"/>
  <c r="AG109" i="2"/>
  <c r="AG108" i="2"/>
  <c r="AG102" i="2"/>
  <c r="AF85" i="2"/>
  <c r="AF210" i="2"/>
  <c r="AF89" i="2"/>
  <c r="AF214" i="2"/>
  <c r="AG220" i="2"/>
  <c r="AG100" i="2"/>
  <c r="AF84" i="2"/>
  <c r="AF209" i="2"/>
  <c r="AG107" i="2"/>
  <c r="AG217" i="2" s="1"/>
  <c r="AG101" i="2"/>
  <c r="AG98" i="2"/>
  <c r="AG208" i="2" s="1"/>
  <c r="AH372" i="2"/>
  <c r="AG385" i="2"/>
  <c r="AH381" i="2"/>
  <c r="AG386" i="2"/>
  <c r="BL317" i="2"/>
  <c r="BL357" i="2" s="1"/>
  <c r="BK345" i="2"/>
  <c r="BK362" i="2" s="1"/>
  <c r="AD200" i="3"/>
  <c r="BL335" i="2"/>
  <c r="BI210" i="3"/>
  <c r="BI218" i="3" s="1"/>
  <c r="BL334" i="2"/>
  <c r="BI209" i="3"/>
  <c r="BI217" i="3" s="1"/>
  <c r="AH321" i="2"/>
  <c r="AE208" i="3"/>
  <c r="AE216" i="3" s="1"/>
  <c r="AE188" i="3"/>
  <c r="AE196" i="3" s="1"/>
  <c r="AD201" i="3"/>
  <c r="AD222" i="3"/>
  <c r="AH320" i="2"/>
  <c r="AE207" i="3"/>
  <c r="AE215" i="3" s="1"/>
  <c r="AE187" i="3"/>
  <c r="AE195" i="3" s="1"/>
  <c r="AD220" i="3"/>
  <c r="BL336" i="2"/>
  <c r="BI211" i="3"/>
  <c r="BI219" i="3" s="1"/>
  <c r="AH319" i="2"/>
  <c r="AE206" i="3"/>
  <c r="AE214" i="3" s="1"/>
  <c r="AE186" i="3"/>
  <c r="AE194" i="3" s="1"/>
  <c r="BL318" i="2"/>
  <c r="BL358" i="2" s="1"/>
  <c r="BI205" i="3"/>
  <c r="BI213" i="3" s="1"/>
  <c r="BI185" i="3"/>
  <c r="BI193" i="3" s="1"/>
  <c r="Z184" i="12"/>
  <c r="Z179" i="12" s="1"/>
  <c r="AF86" i="15"/>
  <c r="AF171" i="15"/>
  <c r="AF161" i="15"/>
  <c r="AF152" i="15"/>
  <c r="AF143" i="15"/>
  <c r="AF134" i="15"/>
  <c r="AF113" i="15"/>
  <c r="AF118" i="15" s="1"/>
  <c r="AB124" i="12"/>
  <c r="AB128" i="12" s="1"/>
  <c r="AF128" i="15"/>
  <c r="AG172" i="15"/>
  <c r="AC170" i="12" s="1"/>
  <c r="AG162" i="15"/>
  <c r="AC160" i="12" s="1"/>
  <c r="AG153" i="15"/>
  <c r="AC152" i="12" s="1"/>
  <c r="AG144" i="15"/>
  <c r="AC143" i="12" s="1"/>
  <c r="AG124" i="15"/>
  <c r="AG114" i="15"/>
  <c r="AC115" i="12" s="1"/>
  <c r="AC119" i="12" s="1"/>
  <c r="AG75" i="15"/>
  <c r="AE137" i="15"/>
  <c r="AA133" i="12"/>
  <c r="AA136" i="12" s="1"/>
  <c r="AE146" i="15"/>
  <c r="AA142" i="12"/>
  <c r="AA145" i="12" s="1"/>
  <c r="AA151" i="12"/>
  <c r="AA155" i="12" s="1"/>
  <c r="AE156" i="15"/>
  <c r="AE165" i="15"/>
  <c r="AA159" i="12"/>
  <c r="AA163" i="12" s="1"/>
  <c r="AE174" i="15"/>
  <c r="AA169" i="12"/>
  <c r="AA172" i="12" s="1"/>
  <c r="BE72" i="15"/>
  <c r="BD170" i="15"/>
  <c r="AZ168" i="12" s="1"/>
  <c r="BD160" i="15"/>
  <c r="AZ158" i="12" s="1"/>
  <c r="BD151" i="15"/>
  <c r="AZ150" i="12" s="1"/>
  <c r="BD142" i="15"/>
  <c r="AZ141" i="12" s="1"/>
  <c r="BD133" i="15"/>
  <c r="AZ132" i="12" s="1"/>
  <c r="BD123" i="15"/>
  <c r="AC53" i="3"/>
  <c r="AB77" i="3"/>
  <c r="AD57" i="3"/>
  <c r="AD59" i="3" s="1"/>
  <c r="AD70" i="3"/>
  <c r="AD63" i="3"/>
  <c r="AD51" i="3"/>
  <c r="AU55" i="2"/>
  <c r="AH58" i="2"/>
  <c r="AG42" i="2"/>
  <c r="AH44" i="2"/>
  <c r="AH53" i="2"/>
  <c r="AH50" i="2"/>
  <c r="AH49" i="2"/>
  <c r="AH43" i="2"/>
  <c r="AH54" i="2"/>
  <c r="AH52" i="2"/>
  <c r="AH46" i="2"/>
  <c r="AH51" i="2"/>
  <c r="AH61" i="2"/>
  <c r="AG45" i="2"/>
  <c r="AH47" i="2"/>
  <c r="AH48" i="2"/>
  <c r="AC71" i="3"/>
  <c r="AE25" i="3"/>
  <c r="AD47" i="3"/>
  <c r="AD68" i="3"/>
  <c r="AD62" i="3"/>
  <c r="AD64" i="3"/>
  <c r="AD50" i="3"/>
  <c r="AD52" i="3"/>
  <c r="AC59" i="3"/>
  <c r="AE37" i="3"/>
  <c r="AC65" i="3"/>
  <c r="AA314" i="17"/>
  <c r="AA346" i="17"/>
  <c r="AE45" i="3"/>
  <c r="AE51" i="3" s="1"/>
  <c r="AA338" i="17"/>
  <c r="AA306" i="17"/>
  <c r="AA344" i="17"/>
  <c r="AA312" i="17"/>
  <c r="AA309" i="17"/>
  <c r="AA341" i="17"/>
  <c r="AE38" i="3"/>
  <c r="AA340" i="17"/>
  <c r="AA308" i="17"/>
  <c r="AA307" i="17"/>
  <c r="AA339" i="17"/>
  <c r="AE44" i="3"/>
  <c r="AE68" i="3" s="1"/>
  <c r="AA337" i="17"/>
  <c r="AA305" i="17"/>
  <c r="AA303" i="17"/>
  <c r="AA335" i="17"/>
  <c r="AH333" i="17"/>
  <c r="AH301" i="17"/>
  <c r="AE46" i="3"/>
  <c r="AE52" i="3" s="1"/>
  <c r="AA311" i="17"/>
  <c r="AA343" i="17"/>
  <c r="AA304" i="17"/>
  <c r="AA336" i="17"/>
  <c r="AA302" i="17"/>
  <c r="AA334" i="17"/>
  <c r="AA345" i="17"/>
  <c r="AA313" i="17"/>
  <c r="AA283" i="17"/>
  <c r="AA315" i="17"/>
  <c r="AA347" i="17"/>
  <c r="AA310" i="17"/>
  <c r="AA342" i="17"/>
  <c r="AY83" i="17"/>
  <c r="AY97" i="17"/>
  <c r="AY88" i="17"/>
  <c r="AY92" i="17"/>
  <c r="AY95" i="17"/>
  <c r="AY90" i="17"/>
  <c r="AY91" i="17"/>
  <c r="BA85" i="17"/>
  <c r="AY84" i="17"/>
  <c r="AY86" i="17"/>
  <c r="AY93" i="17"/>
  <c r="AY94" i="17"/>
  <c r="AY89" i="17"/>
  <c r="AY87" i="17"/>
  <c r="AY96" i="17"/>
  <c r="AB463" i="17"/>
  <c r="AB462" i="17"/>
  <c r="AB461" i="17"/>
  <c r="AH339" i="2"/>
  <c r="AH340" i="2"/>
  <c r="AH341" i="2"/>
  <c r="AF8" i="3"/>
  <c r="AF24" i="3" s="1"/>
  <c r="AR66" i="15"/>
  <c r="AQ168" i="15"/>
  <c r="AQ149" i="15"/>
  <c r="AQ140" i="15"/>
  <c r="AM139" i="12" s="1"/>
  <c r="AQ131" i="15"/>
  <c r="AQ121" i="15"/>
  <c r="AM121" i="12" s="1"/>
  <c r="AQ111" i="15"/>
  <c r="AM112" i="12" s="1"/>
  <c r="AQ67" i="15"/>
  <c r="AM178" i="12" s="1"/>
  <c r="AM166" i="12"/>
  <c r="AM148" i="12"/>
  <c r="AM130" i="12"/>
  <c r="AR164" i="15"/>
  <c r="AN162" i="12" s="1"/>
  <c r="AR155" i="15"/>
  <c r="AR145" i="15"/>
  <c r="AR136" i="15"/>
  <c r="AN135" i="12" s="1"/>
  <c r="AR127" i="15"/>
  <c r="AN127" i="12" s="1"/>
  <c r="AR117" i="15"/>
  <c r="AN118" i="12" s="1"/>
  <c r="AS84" i="15"/>
  <c r="AQ159" i="15"/>
  <c r="AQ169" i="15"/>
  <c r="AM167" i="12" s="1"/>
  <c r="AQ150" i="15"/>
  <c r="AM149" i="12" s="1"/>
  <c r="AQ141" i="15"/>
  <c r="AM140" i="12" s="1"/>
  <c r="AQ132" i="15"/>
  <c r="AM131" i="12" s="1"/>
  <c r="AQ122" i="15"/>
  <c r="AM122" i="12" s="1"/>
  <c r="AQ112" i="15"/>
  <c r="AM113" i="12" s="1"/>
  <c r="AQ94" i="15"/>
  <c r="AR94" i="15" s="1"/>
  <c r="AQ93" i="15"/>
  <c r="AP95" i="15"/>
  <c r="AD39" i="3"/>
  <c r="AE29" i="3"/>
  <c r="AE30" i="3"/>
  <c r="AE34" i="3"/>
  <c r="AE32" i="3"/>
  <c r="AE33" i="3"/>
  <c r="AF9" i="3"/>
  <c r="AE284" i="3"/>
  <c r="AE293" i="3" s="1"/>
  <c r="AE242" i="3"/>
  <c r="AE250" i="3" s="1"/>
  <c r="AE258" i="3" s="1"/>
  <c r="AL89" i="3"/>
  <c r="AL90" i="3" s="1"/>
  <c r="AL43" i="3"/>
  <c r="AF16" i="3"/>
  <c r="AE31" i="3"/>
  <c r="AI27" i="2"/>
  <c r="AH11" i="2"/>
  <c r="AF17" i="3"/>
  <c r="AH19" i="2"/>
  <c r="AH189" i="3"/>
  <c r="AH197" i="3" s="1"/>
  <c r="AG243" i="3"/>
  <c r="AG251" i="3" s="1"/>
  <c r="AG259" i="3" s="1"/>
  <c r="AG285" i="3"/>
  <c r="AG294" i="3" s="1"/>
  <c r="AH17" i="2"/>
  <c r="AF15" i="3"/>
  <c r="AE27" i="3"/>
  <c r="AH16" i="2"/>
  <c r="AM230" i="3"/>
  <c r="AM231" i="3" s="1"/>
  <c r="AM288" i="3"/>
  <c r="AM297" i="3" s="1"/>
  <c r="AF18" i="3"/>
  <c r="AH10" i="2"/>
  <c r="AE28" i="3"/>
  <c r="AF13" i="3"/>
  <c r="AH9" i="2"/>
  <c r="AF21" i="3"/>
  <c r="AH20" i="2"/>
  <c r="AF11" i="3"/>
  <c r="AE26" i="3"/>
  <c r="AF12" i="3"/>
  <c r="AI24" i="2"/>
  <c r="AH8" i="2"/>
  <c r="AH191" i="3"/>
  <c r="AH199" i="3" s="1"/>
  <c r="AG287" i="3"/>
  <c r="AG296" i="3" s="1"/>
  <c r="AG245" i="3"/>
  <c r="AG253" i="3" s="1"/>
  <c r="AG261" i="3" s="1"/>
  <c r="AH13" i="2"/>
  <c r="AF239" i="3"/>
  <c r="AF247" i="3" s="1"/>
  <c r="AF255" i="3" s="1"/>
  <c r="AH18" i="2"/>
  <c r="AF10" i="3"/>
  <c r="AE240" i="3"/>
  <c r="AE248" i="3" s="1"/>
  <c r="AE256" i="3" s="1"/>
  <c r="AF281" i="3"/>
  <c r="AF290" i="3" s="1"/>
  <c r="AF22" i="3"/>
  <c r="AH14" i="2"/>
  <c r="AD298" i="3"/>
  <c r="AE36" i="3"/>
  <c r="AH12" i="2"/>
  <c r="AH15" i="2"/>
  <c r="AE35" i="3"/>
  <c r="AF14" i="3"/>
  <c r="AJ73" i="3"/>
  <c r="AD262" i="3"/>
  <c r="AH190" i="3"/>
  <c r="AH198" i="3" s="1"/>
  <c r="AG244" i="3"/>
  <c r="AG252" i="3" s="1"/>
  <c r="AG260" i="3" s="1"/>
  <c r="AE283" i="3"/>
  <c r="AE292" i="3" s="1"/>
  <c r="AE241" i="3"/>
  <c r="AE249" i="3" s="1"/>
  <c r="AE257" i="3" s="1"/>
  <c r="AF20" i="3"/>
  <c r="AH21" i="2"/>
  <c r="AK55" i="3"/>
  <c r="AK49" i="3"/>
  <c r="AK67" i="3"/>
  <c r="AK61" i="3"/>
  <c r="AF19" i="3"/>
  <c r="AU173" i="15"/>
  <c r="AU163" i="15"/>
  <c r="AQ161" i="12" s="1"/>
  <c r="AU154" i="15"/>
  <c r="AU135" i="15"/>
  <c r="AQ134" i="12" s="1"/>
  <c r="AU125" i="15"/>
  <c r="AQ125" i="12" s="1"/>
  <c r="AU115" i="15"/>
  <c r="AQ116" i="12" s="1"/>
  <c r="AC85" i="3"/>
  <c r="AB308" i="3"/>
  <c r="AC77" i="3"/>
  <c r="AI192" i="2"/>
  <c r="AV116" i="15"/>
  <c r="AG160" i="11"/>
  <c r="AG164" i="11" s="1"/>
  <c r="AH309" i="2"/>
  <c r="AG171" i="11"/>
  <c r="AG174" i="11" s="1"/>
  <c r="AG130" i="11"/>
  <c r="AG133" i="11" s="1"/>
  <c r="AG140" i="11"/>
  <c r="AG143" i="11" s="1"/>
  <c r="AG150" i="11"/>
  <c r="AG154" i="11" s="1"/>
  <c r="AG108" i="11"/>
  <c r="AG113" i="11" s="1"/>
  <c r="AH129" i="11"/>
  <c r="AH139" i="11"/>
  <c r="AH111" i="11"/>
  <c r="AH170" i="11"/>
  <c r="AH159" i="11"/>
  <c r="AH149" i="11"/>
  <c r="AG81" i="11"/>
  <c r="AH70" i="11"/>
  <c r="AH83" i="11" s="1"/>
  <c r="AI158" i="11"/>
  <c r="AI147" i="11"/>
  <c r="AI116" i="11"/>
  <c r="AI123" i="11" s="1"/>
  <c r="AI106" i="11"/>
  <c r="AJ64" i="11"/>
  <c r="AL90" i="11"/>
  <c r="AM88" i="11"/>
  <c r="AM169" i="11"/>
  <c r="AM148" i="11"/>
  <c r="AM138" i="11"/>
  <c r="AM128" i="11"/>
  <c r="AM117" i="11"/>
  <c r="AM107" i="11"/>
  <c r="AN65" i="11"/>
  <c r="AM172" i="11"/>
  <c r="AM161" i="11"/>
  <c r="AM151" i="11"/>
  <c r="AM141" i="11"/>
  <c r="AM119" i="11"/>
  <c r="AM109" i="11"/>
  <c r="AN72" i="11"/>
  <c r="AM173" i="11"/>
  <c r="AM162" i="11"/>
  <c r="AM152" i="11"/>
  <c r="AM131" i="11"/>
  <c r="AM120" i="11"/>
  <c r="AM110" i="11"/>
  <c r="AN74" i="11"/>
  <c r="AM163" i="11"/>
  <c r="AM153" i="11"/>
  <c r="AM142" i="11"/>
  <c r="AM132" i="11"/>
  <c r="AM122" i="11"/>
  <c r="AM112" i="11"/>
  <c r="AN79" i="11"/>
  <c r="AL98" i="11"/>
  <c r="AM96" i="11"/>
  <c r="AD363" i="4"/>
  <c r="AD346" i="4"/>
  <c r="AD320" i="4"/>
  <c r="BI310" i="4"/>
  <c r="AC311" i="4"/>
  <c r="BI309" i="4"/>
  <c r="AC303" i="4"/>
  <c r="AC256" i="4"/>
  <c r="AC223" i="4"/>
  <c r="AC172" i="4"/>
  <c r="AD185" i="4"/>
  <c r="AC184" i="4"/>
  <c r="AC183" i="4"/>
  <c r="AC182" i="4"/>
  <c r="AC181" i="4"/>
  <c r="AC180" i="4"/>
  <c r="AC179" i="4"/>
  <c r="AC178" i="4"/>
  <c r="AC177" i="4"/>
  <c r="AC176" i="4"/>
  <c r="AC175" i="4"/>
  <c r="AC174" i="4"/>
  <c r="AC173" i="4"/>
  <c r="AD134" i="4"/>
  <c r="AD118" i="4"/>
  <c r="AD69" i="4"/>
  <c r="AD53" i="4"/>
  <c r="AC37" i="4"/>
  <c r="AF113" i="3"/>
  <c r="CD381" i="2"/>
  <c r="AG72" i="2"/>
  <c r="AC102" i="4"/>
  <c r="AG38" i="2"/>
  <c r="AI67" i="11" s="1"/>
  <c r="AK301" i="2" l="1"/>
  <c r="AJ299" i="2"/>
  <c r="BK65" i="15"/>
  <c r="BK64" i="15"/>
  <c r="BK68" i="15" s="1"/>
  <c r="AH97" i="2"/>
  <c r="AH82" i="2" s="1"/>
  <c r="AG111" i="2"/>
  <c r="AG91" i="2"/>
  <c r="AG83" i="2"/>
  <c r="AH220" i="2"/>
  <c r="AG85" i="2"/>
  <c r="AG210" i="2"/>
  <c r="AH102" i="2"/>
  <c r="AH99" i="2"/>
  <c r="AH106" i="2"/>
  <c r="AH105" i="2"/>
  <c r="AG84" i="2"/>
  <c r="AG209" i="2"/>
  <c r="AH100" i="2"/>
  <c r="AG88" i="2"/>
  <c r="AG213" i="2"/>
  <c r="AG215" i="2"/>
  <c r="AG86" i="2"/>
  <c r="AG211" i="2"/>
  <c r="AH108" i="2"/>
  <c r="AH103" i="2"/>
  <c r="AH107" i="2"/>
  <c r="AH217" i="2" s="1"/>
  <c r="AG90" i="2"/>
  <c r="AH101" i="2"/>
  <c r="AG93" i="2"/>
  <c r="AG219" i="2"/>
  <c r="AG89" i="2"/>
  <c r="AG214" i="2"/>
  <c r="AI110" i="2"/>
  <c r="AI94" i="2" s="1"/>
  <c r="AG87" i="2"/>
  <c r="AG212" i="2"/>
  <c r="AG92" i="2"/>
  <c r="AG218" i="2"/>
  <c r="AH109" i="2"/>
  <c r="AH104" i="2"/>
  <c r="AH98" i="2"/>
  <c r="AH208" i="2" s="1"/>
  <c r="AI372" i="2"/>
  <c r="AH385" i="2"/>
  <c r="AI381" i="2"/>
  <c r="AH386" i="2"/>
  <c r="BM317" i="2"/>
  <c r="BM357" i="2" s="1"/>
  <c r="BL345" i="2"/>
  <c r="BL362" i="2" s="1"/>
  <c r="AE200" i="3"/>
  <c r="AI319" i="2"/>
  <c r="AF206" i="3"/>
  <c r="AF214" i="3" s="1"/>
  <c r="AF186" i="3"/>
  <c r="AF194" i="3" s="1"/>
  <c r="BM336" i="2"/>
  <c r="BJ211" i="3"/>
  <c r="BJ219" i="3" s="1"/>
  <c r="AI321" i="2"/>
  <c r="AF208" i="3"/>
  <c r="AF216" i="3" s="1"/>
  <c r="AF188" i="3"/>
  <c r="AF196" i="3" s="1"/>
  <c r="BM318" i="2"/>
  <c r="BM358" i="2" s="1"/>
  <c r="BJ205" i="3"/>
  <c r="BJ213" i="3" s="1"/>
  <c r="BJ185" i="3"/>
  <c r="BJ193" i="3" s="1"/>
  <c r="BM334" i="2"/>
  <c r="BJ209" i="3"/>
  <c r="BJ217" i="3" s="1"/>
  <c r="AE201" i="3"/>
  <c r="AE222" i="3"/>
  <c r="AI320" i="2"/>
  <c r="AF207" i="3"/>
  <c r="AF215" i="3" s="1"/>
  <c r="AF187" i="3"/>
  <c r="AF195" i="3" s="1"/>
  <c r="AE220" i="3"/>
  <c r="BM335" i="2"/>
  <c r="BJ210" i="3"/>
  <c r="BJ218" i="3" s="1"/>
  <c r="AA184" i="12"/>
  <c r="AA179" i="12" s="1"/>
  <c r="AG86" i="15"/>
  <c r="AG171" i="15"/>
  <c r="AG161" i="15"/>
  <c r="AG152" i="15"/>
  <c r="AG143" i="15"/>
  <c r="AG134" i="15"/>
  <c r="AG113" i="15"/>
  <c r="AG118" i="15" s="1"/>
  <c r="AC124" i="12"/>
  <c r="AC128" i="12" s="1"/>
  <c r="AG128" i="15"/>
  <c r="AH172" i="15"/>
  <c r="AD170" i="12" s="1"/>
  <c r="AH162" i="15"/>
  <c r="AD160" i="12" s="1"/>
  <c r="AH153" i="15"/>
  <c r="AD152" i="12" s="1"/>
  <c r="AH144" i="15"/>
  <c r="AD143" i="12" s="1"/>
  <c r="AH124" i="15"/>
  <c r="AH114" i="15"/>
  <c r="AD115" i="12" s="1"/>
  <c r="AD119" i="12" s="1"/>
  <c r="AH75" i="15"/>
  <c r="AF137" i="15"/>
  <c r="AB133" i="12"/>
  <c r="AB136" i="12" s="1"/>
  <c r="AF146" i="15"/>
  <c r="AB142" i="12"/>
  <c r="AB145" i="12" s="1"/>
  <c r="AB151" i="12"/>
  <c r="AB155" i="12" s="1"/>
  <c r="AF156" i="15"/>
  <c r="AF165" i="15"/>
  <c r="AB159" i="12"/>
  <c r="AB163" i="12" s="1"/>
  <c r="AF174" i="15"/>
  <c r="AB169" i="12"/>
  <c r="AB172" i="12" s="1"/>
  <c r="BF72" i="15"/>
  <c r="BE170" i="15"/>
  <c r="BA168" i="12" s="1"/>
  <c r="BE160" i="15"/>
  <c r="BA158" i="12" s="1"/>
  <c r="BE151" i="15"/>
  <c r="BA150" i="12" s="1"/>
  <c r="BE142" i="15"/>
  <c r="BA141" i="12" s="1"/>
  <c r="BE133" i="15"/>
  <c r="BA132" i="12" s="1"/>
  <c r="BE123" i="15"/>
  <c r="AD75" i="3"/>
  <c r="AD71" i="3"/>
  <c r="AE56" i="3"/>
  <c r="AD53" i="3"/>
  <c r="AV55" i="2"/>
  <c r="AI52" i="2"/>
  <c r="AI61" i="2"/>
  <c r="AH45" i="2"/>
  <c r="AI54" i="2"/>
  <c r="AI53" i="2"/>
  <c r="AI47" i="2"/>
  <c r="AI51" i="2"/>
  <c r="AI43" i="2"/>
  <c r="AI44" i="2"/>
  <c r="AI50" i="2"/>
  <c r="AI48" i="2"/>
  <c r="AI46" i="2"/>
  <c r="AI49" i="2"/>
  <c r="AI58" i="2"/>
  <c r="AH42" i="2"/>
  <c r="AD76" i="3"/>
  <c r="AD65" i="3"/>
  <c r="AD74" i="3"/>
  <c r="AE63" i="3"/>
  <c r="AE75" i="3" s="1"/>
  <c r="AE62" i="3"/>
  <c r="AE57" i="3"/>
  <c r="AE69" i="3"/>
  <c r="AE64" i="3"/>
  <c r="AE76" i="3" s="1"/>
  <c r="AF35" i="3"/>
  <c r="AE47" i="3"/>
  <c r="AE70" i="3"/>
  <c r="AE58" i="3"/>
  <c r="AF36" i="3"/>
  <c r="AE50" i="3"/>
  <c r="AB309" i="17"/>
  <c r="AB341" i="17"/>
  <c r="AB339" i="17"/>
  <c r="AB307" i="17"/>
  <c r="AB303" i="17"/>
  <c r="AB335" i="17"/>
  <c r="AF46" i="3"/>
  <c r="AF70" i="3" s="1"/>
  <c r="AB311" i="17"/>
  <c r="AB343" i="17"/>
  <c r="AB283" i="17"/>
  <c r="AB315" i="17"/>
  <c r="AB347" i="17"/>
  <c r="AF45" i="3"/>
  <c r="AF51" i="3" s="1"/>
  <c r="AB338" i="17"/>
  <c r="AB306" i="17"/>
  <c r="AI333" i="17"/>
  <c r="AI301" i="17"/>
  <c r="AB344" i="17"/>
  <c r="AB312" i="17"/>
  <c r="AB314" i="17"/>
  <c r="AB346" i="17"/>
  <c r="AB310" i="17"/>
  <c r="AB342" i="17"/>
  <c r="AF44" i="3"/>
  <c r="AF56" i="3" s="1"/>
  <c r="AB305" i="17"/>
  <c r="AB337" i="17"/>
  <c r="AB334" i="17"/>
  <c r="AB302" i="17"/>
  <c r="AB336" i="17"/>
  <c r="AB304" i="17"/>
  <c r="AB308" i="17"/>
  <c r="AB340" i="17"/>
  <c r="AB313" i="17"/>
  <c r="AB345" i="17"/>
  <c r="AZ94" i="17"/>
  <c r="BB85" i="17"/>
  <c r="AZ92" i="17"/>
  <c r="AZ96" i="17"/>
  <c r="AZ93" i="17"/>
  <c r="AZ91" i="17"/>
  <c r="AZ88" i="17"/>
  <c r="AZ87" i="17"/>
  <c r="AZ86" i="17"/>
  <c r="AZ90" i="17"/>
  <c r="AZ97" i="17"/>
  <c r="AZ89" i="17"/>
  <c r="AZ84" i="17"/>
  <c r="AZ95" i="17"/>
  <c r="AZ83" i="17"/>
  <c r="AC463" i="17"/>
  <c r="AC462" i="17"/>
  <c r="AC461" i="17"/>
  <c r="AE298" i="3"/>
  <c r="AF34" i="3"/>
  <c r="AI339" i="2"/>
  <c r="AI340" i="2"/>
  <c r="AI341" i="2"/>
  <c r="AG8" i="3"/>
  <c r="AG24" i="3" s="1"/>
  <c r="AS66" i="15"/>
  <c r="AR168" i="15"/>
  <c r="AN166" i="12" s="1"/>
  <c r="AR149" i="15"/>
  <c r="AR140" i="15"/>
  <c r="AN139" i="12" s="1"/>
  <c r="AR131" i="15"/>
  <c r="AR121" i="15"/>
  <c r="AR111" i="15"/>
  <c r="AN112" i="12" s="1"/>
  <c r="AR67" i="15"/>
  <c r="AN178" i="12" s="1"/>
  <c r="AN148" i="12"/>
  <c r="AN130" i="12"/>
  <c r="AN121" i="12"/>
  <c r="AR93" i="15"/>
  <c r="AQ95" i="15"/>
  <c r="AR159" i="15"/>
  <c r="AR169" i="15"/>
  <c r="AN167" i="12" s="1"/>
  <c r="AR150" i="15"/>
  <c r="AN149" i="12" s="1"/>
  <c r="AR141" i="15"/>
  <c r="AN140" i="12" s="1"/>
  <c r="AR132" i="15"/>
  <c r="AN131" i="12" s="1"/>
  <c r="AR122" i="15"/>
  <c r="AN122" i="12" s="1"/>
  <c r="AR112" i="15"/>
  <c r="AN113" i="12" s="1"/>
  <c r="AS164" i="15"/>
  <c r="AO162" i="12" s="1"/>
  <c r="AS155" i="15"/>
  <c r="AS145" i="15"/>
  <c r="AS136" i="15"/>
  <c r="AO135" i="12" s="1"/>
  <c r="AS127" i="15"/>
  <c r="AO127" i="12" s="1"/>
  <c r="AS117" i="15"/>
  <c r="AO118" i="12" s="1"/>
  <c r="AT84" i="15"/>
  <c r="AF28" i="3"/>
  <c r="AK73" i="3"/>
  <c r="AE39" i="3"/>
  <c r="AF26" i="3"/>
  <c r="AF30" i="3"/>
  <c r="AG14" i="3"/>
  <c r="AF240" i="3"/>
  <c r="AF248" i="3" s="1"/>
  <c r="AF256" i="3" s="1"/>
  <c r="AI191" i="3"/>
  <c r="AI199" i="3" s="1"/>
  <c r="AH287" i="3"/>
  <c r="AH296" i="3" s="1"/>
  <c r="AH245" i="3"/>
  <c r="AH253" i="3" s="1"/>
  <c r="AH261" i="3" s="1"/>
  <c r="AG9" i="3"/>
  <c r="AF283" i="3"/>
  <c r="AF292" i="3" s="1"/>
  <c r="AF241" i="3"/>
  <c r="AF249" i="3" s="1"/>
  <c r="AF257" i="3" s="1"/>
  <c r="AI18" i="2"/>
  <c r="AI20" i="2"/>
  <c r="AI16" i="2"/>
  <c r="AI189" i="3"/>
  <c r="AI197" i="3" s="1"/>
  <c r="AH285" i="3"/>
  <c r="AH294" i="3" s="1"/>
  <c r="AH243" i="3"/>
  <c r="AH251" i="3" s="1"/>
  <c r="AH259" i="3" s="1"/>
  <c r="AJ27" i="2"/>
  <c r="AI11" i="2"/>
  <c r="AL49" i="3"/>
  <c r="AL55" i="3"/>
  <c r="AL61" i="3"/>
  <c r="AL67" i="3"/>
  <c r="AI14" i="2"/>
  <c r="AJ24" i="2"/>
  <c r="AI8" i="2"/>
  <c r="AF37" i="3"/>
  <c r="AI10" i="2"/>
  <c r="AI190" i="3"/>
  <c r="AI198" i="3" s="1"/>
  <c r="AH244" i="3"/>
  <c r="AH252" i="3" s="1"/>
  <c r="AH260" i="3" s="1"/>
  <c r="AF38" i="3"/>
  <c r="AG239" i="3"/>
  <c r="AG247" i="3" s="1"/>
  <c r="AG255" i="3" s="1"/>
  <c r="AG21" i="3"/>
  <c r="AF31" i="3"/>
  <c r="AI19" i="2"/>
  <c r="AF32" i="3"/>
  <c r="AM89" i="3"/>
  <c r="AM90" i="3" s="1"/>
  <c r="AM43" i="3"/>
  <c r="AG281" i="3"/>
  <c r="AG290" i="3" s="1"/>
  <c r="AI21" i="2"/>
  <c r="AI15" i="2"/>
  <c r="AG22" i="3"/>
  <c r="AG12" i="3"/>
  <c r="AG18" i="3"/>
  <c r="AG15" i="3"/>
  <c r="AF33" i="3"/>
  <c r="AG16" i="3"/>
  <c r="AG19" i="3"/>
  <c r="AI13" i="2"/>
  <c r="AI9" i="2"/>
  <c r="AG17" i="3"/>
  <c r="AG20" i="3"/>
  <c r="AI12" i="2"/>
  <c r="AF27" i="3"/>
  <c r="AF29" i="3"/>
  <c r="AI17" i="2"/>
  <c r="AF284" i="3"/>
  <c r="AF293" i="3" s="1"/>
  <c r="AF242" i="3"/>
  <c r="AF250" i="3" s="1"/>
  <c r="AF258" i="3" s="1"/>
  <c r="AE262" i="3"/>
  <c r="AG10" i="3"/>
  <c r="AG11" i="3"/>
  <c r="AG13" i="3"/>
  <c r="AN288" i="3"/>
  <c r="AN297" i="3" s="1"/>
  <c r="AN230" i="3"/>
  <c r="AN231" i="3" s="1"/>
  <c r="AF25" i="3"/>
  <c r="AV173" i="15"/>
  <c r="AV163" i="15"/>
  <c r="AR161" i="12" s="1"/>
  <c r="AV154" i="15"/>
  <c r="AV135" i="15"/>
  <c r="AR134" i="12" s="1"/>
  <c r="AV125" i="15"/>
  <c r="AR125" i="12" s="1"/>
  <c r="AV115" i="15"/>
  <c r="AR116" i="12" s="1"/>
  <c r="AC308" i="3"/>
  <c r="AD85" i="3"/>
  <c r="AJ192" i="2"/>
  <c r="AW116" i="15"/>
  <c r="AI309" i="2"/>
  <c r="AH108" i="11"/>
  <c r="AH113" i="11" s="1"/>
  <c r="AH150" i="11"/>
  <c r="AH154" i="11" s="1"/>
  <c r="AH160" i="11"/>
  <c r="AH164" i="11" s="1"/>
  <c r="AH171" i="11"/>
  <c r="AH174" i="11" s="1"/>
  <c r="AH130" i="11"/>
  <c r="AH133" i="11" s="1"/>
  <c r="AH140" i="11"/>
  <c r="AH143" i="11" s="1"/>
  <c r="AI170" i="11"/>
  <c r="AI129" i="11"/>
  <c r="AI111" i="11"/>
  <c r="AI159" i="11"/>
  <c r="AI149" i="11"/>
  <c r="AI139" i="11"/>
  <c r="AH81" i="11"/>
  <c r="AI70" i="11"/>
  <c r="AI83" i="11" s="1"/>
  <c r="AM98" i="11"/>
  <c r="AN96" i="11"/>
  <c r="AN163" i="11"/>
  <c r="AN153" i="11"/>
  <c r="AN142" i="11"/>
  <c r="AN132" i="11"/>
  <c r="AN122" i="11"/>
  <c r="AN112" i="11"/>
  <c r="AO79" i="11"/>
  <c r="AN173" i="11"/>
  <c r="AN162" i="11"/>
  <c r="AN152" i="11"/>
  <c r="AN131" i="11"/>
  <c r="AN120" i="11"/>
  <c r="AN110" i="11"/>
  <c r="AO74" i="11"/>
  <c r="AN172" i="11"/>
  <c r="AN161" i="11"/>
  <c r="AN151" i="11"/>
  <c r="AN141" i="11"/>
  <c r="AN119" i="11"/>
  <c r="AN109" i="11"/>
  <c r="AO72" i="11"/>
  <c r="AN169" i="11"/>
  <c r="AN148" i="11"/>
  <c r="AN138" i="11"/>
  <c r="AN128" i="11"/>
  <c r="AN117" i="11"/>
  <c r="AN107" i="11"/>
  <c r="AO65" i="11"/>
  <c r="AN89" i="11"/>
  <c r="AO89" i="11" s="1"/>
  <c r="AM90" i="11"/>
  <c r="AN88" i="11"/>
  <c r="AJ158" i="11"/>
  <c r="AJ147" i="11"/>
  <c r="AJ116" i="11"/>
  <c r="AJ123" i="11" s="1"/>
  <c r="AJ106" i="11"/>
  <c r="AK64" i="11"/>
  <c r="AH38" i="2"/>
  <c r="AJ67" i="11" s="1"/>
  <c r="AD102" i="4"/>
  <c r="AH72" i="2"/>
  <c r="CE381" i="2"/>
  <c r="AG113" i="3"/>
  <c r="AD37" i="4"/>
  <c r="AE53" i="4"/>
  <c r="AE69" i="4"/>
  <c r="AE118" i="4"/>
  <c r="AE134" i="4"/>
  <c r="AD173" i="4"/>
  <c r="AD174" i="4"/>
  <c r="AD175" i="4"/>
  <c r="AD176" i="4"/>
  <c r="AD177" i="4"/>
  <c r="AD178" i="4"/>
  <c r="AD179" i="4"/>
  <c r="AD180" i="4"/>
  <c r="AD181" i="4"/>
  <c r="AD182" i="4"/>
  <c r="AD183" i="4"/>
  <c r="AD184" i="4"/>
  <c r="AE185" i="4"/>
  <c r="AD223" i="4"/>
  <c r="AD172" i="4"/>
  <c r="AD256" i="4"/>
  <c r="AD303" i="4"/>
  <c r="AD311" i="4"/>
  <c r="BJ309" i="4"/>
  <c r="BJ310" i="4"/>
  <c r="AE320" i="4"/>
  <c r="AE346" i="4"/>
  <c r="AE363" i="4"/>
  <c r="AL301" i="2" l="1"/>
  <c r="AK299" i="2"/>
  <c r="AI220" i="2"/>
  <c r="BL65" i="15"/>
  <c r="BL64" i="15"/>
  <c r="BL68" i="15" s="1"/>
  <c r="AI97" i="2"/>
  <c r="AI82" i="2" s="1"/>
  <c r="AH91" i="2"/>
  <c r="AH111" i="2"/>
  <c r="AH83" i="2"/>
  <c r="AH88" i="2"/>
  <c r="AH213" i="2"/>
  <c r="AH85" i="2"/>
  <c r="AH210" i="2"/>
  <c r="AH92" i="2"/>
  <c r="AH218" i="2"/>
  <c r="AI104" i="2"/>
  <c r="AJ110" i="2"/>
  <c r="AJ94" i="2" s="1"/>
  <c r="AH215" i="2"/>
  <c r="AI103" i="2"/>
  <c r="AI100" i="2"/>
  <c r="AI108" i="2"/>
  <c r="AI102" i="2"/>
  <c r="AH93" i="2"/>
  <c r="AH219" i="2"/>
  <c r="AI105" i="2"/>
  <c r="AI106" i="2"/>
  <c r="AH84" i="2"/>
  <c r="AH209" i="2"/>
  <c r="AH86" i="2"/>
  <c r="AH211" i="2"/>
  <c r="AI99" i="2"/>
  <c r="AI101" i="2"/>
  <c r="AH87" i="2"/>
  <c r="AH212" i="2"/>
  <c r="AH89" i="2"/>
  <c r="AH214" i="2"/>
  <c r="AI109" i="2"/>
  <c r="AI107" i="2"/>
  <c r="AI217" i="2" s="1"/>
  <c r="AH90" i="2"/>
  <c r="AI98" i="2"/>
  <c r="AI83" i="2" s="1"/>
  <c r="AJ372" i="2"/>
  <c r="AI385" i="2"/>
  <c r="AJ381" i="2"/>
  <c r="AI386" i="2"/>
  <c r="BN317" i="2"/>
  <c r="BN357" i="2" s="1"/>
  <c r="BM345" i="2"/>
  <c r="BM362" i="2" s="1"/>
  <c r="AF200" i="3"/>
  <c r="AJ321" i="2"/>
  <c r="AG208" i="3"/>
  <c r="AG216" i="3" s="1"/>
  <c r="AG188" i="3"/>
  <c r="AG196" i="3" s="1"/>
  <c r="BN335" i="2"/>
  <c r="BK210" i="3"/>
  <c r="BK218" i="3" s="1"/>
  <c r="BN334" i="2"/>
  <c r="BK209" i="3"/>
  <c r="BK217" i="3" s="1"/>
  <c r="BN336" i="2"/>
  <c r="BK211" i="3"/>
  <c r="BK219" i="3" s="1"/>
  <c r="AF201" i="3"/>
  <c r="AF222" i="3"/>
  <c r="AJ320" i="2"/>
  <c r="AG207" i="3"/>
  <c r="AG215" i="3" s="1"/>
  <c r="AG187" i="3"/>
  <c r="AG195" i="3" s="1"/>
  <c r="AF220" i="3"/>
  <c r="BN318" i="2"/>
  <c r="BN358" i="2" s="1"/>
  <c r="BK205" i="3"/>
  <c r="BK213" i="3" s="1"/>
  <c r="BK185" i="3"/>
  <c r="BK193" i="3" s="1"/>
  <c r="AJ319" i="2"/>
  <c r="AG206" i="3"/>
  <c r="AG214" i="3" s="1"/>
  <c r="AG186" i="3"/>
  <c r="AG194" i="3" s="1"/>
  <c r="AB184" i="12"/>
  <c r="AB179" i="12" s="1"/>
  <c r="AH86" i="15"/>
  <c r="AH171" i="15"/>
  <c r="AH161" i="15"/>
  <c r="AH152" i="15"/>
  <c r="AH143" i="15"/>
  <c r="AH134" i="15"/>
  <c r="AH113" i="15"/>
  <c r="AH118" i="15" s="1"/>
  <c r="AD124" i="12"/>
  <c r="AD128" i="12" s="1"/>
  <c r="AH128" i="15"/>
  <c r="AI172" i="15"/>
  <c r="AE170" i="12" s="1"/>
  <c r="AI162" i="15"/>
  <c r="AE160" i="12" s="1"/>
  <c r="AI153" i="15"/>
  <c r="AE152" i="12" s="1"/>
  <c r="AI144" i="15"/>
  <c r="AE143" i="12" s="1"/>
  <c r="AI124" i="15"/>
  <c r="AI114" i="15"/>
  <c r="AE115" i="12" s="1"/>
  <c r="AE119" i="12" s="1"/>
  <c r="AI75" i="15"/>
  <c r="AG137" i="15"/>
  <c r="AC133" i="12"/>
  <c r="AC136" i="12" s="1"/>
  <c r="AG146" i="15"/>
  <c r="AC142" i="12"/>
  <c r="AC145" i="12" s="1"/>
  <c r="AC151" i="12"/>
  <c r="AC155" i="12" s="1"/>
  <c r="AG156" i="15"/>
  <c r="AG165" i="15"/>
  <c r="AC159" i="12"/>
  <c r="AC163" i="12" s="1"/>
  <c r="AG174" i="15"/>
  <c r="AC169" i="12"/>
  <c r="AC172" i="12" s="1"/>
  <c r="BG72" i="15"/>
  <c r="BF170" i="15"/>
  <c r="BB168" i="12" s="1"/>
  <c r="BF160" i="15"/>
  <c r="BB158" i="12" s="1"/>
  <c r="BF151" i="15"/>
  <c r="BB150" i="12" s="1"/>
  <c r="BF142" i="15"/>
  <c r="BB141" i="12" s="1"/>
  <c r="BF133" i="15"/>
  <c r="BB132" i="12" s="1"/>
  <c r="BF123" i="15"/>
  <c r="AD77" i="3"/>
  <c r="AE74" i="3"/>
  <c r="AE77" i="3" s="1"/>
  <c r="AF58" i="3"/>
  <c r="AF52" i="3"/>
  <c r="AE71" i="3"/>
  <c r="AE59" i="3"/>
  <c r="AF64" i="3"/>
  <c r="AW55" i="2"/>
  <c r="AJ49" i="2"/>
  <c r="AJ46" i="2"/>
  <c r="AJ43" i="2"/>
  <c r="AJ54" i="2"/>
  <c r="AJ44" i="2"/>
  <c r="AJ53" i="2"/>
  <c r="AJ48" i="2"/>
  <c r="AJ51" i="2"/>
  <c r="AJ61" i="2"/>
  <c r="AI45" i="2"/>
  <c r="AJ58" i="2"/>
  <c r="AI42" i="2"/>
  <c r="AJ50" i="2"/>
  <c r="AJ47" i="2"/>
  <c r="AJ52" i="2"/>
  <c r="AG35" i="3"/>
  <c r="AE65" i="3"/>
  <c r="AF63" i="3"/>
  <c r="AF75" i="3" s="1"/>
  <c r="AF57" i="3"/>
  <c r="AF69" i="3"/>
  <c r="AE53" i="3"/>
  <c r="AC309" i="17"/>
  <c r="AC341" i="17"/>
  <c r="AC303" i="17"/>
  <c r="AC335" i="17"/>
  <c r="AC314" i="17"/>
  <c r="AC346" i="17"/>
  <c r="AG46" i="3"/>
  <c r="AG52" i="3" s="1"/>
  <c r="AC311" i="17"/>
  <c r="AC343" i="17"/>
  <c r="AC283" i="17"/>
  <c r="AC315" i="17"/>
  <c r="AC347" i="17"/>
  <c r="AJ333" i="17"/>
  <c r="AJ301" i="17"/>
  <c r="AC302" i="17"/>
  <c r="AC334" i="17"/>
  <c r="AG44" i="3"/>
  <c r="AG68" i="3" s="1"/>
  <c r="AC305" i="17"/>
  <c r="AC337" i="17"/>
  <c r="AF47" i="3"/>
  <c r="AC307" i="17"/>
  <c r="AC339" i="17"/>
  <c r="AC344" i="17"/>
  <c r="AC312" i="17"/>
  <c r="AF50" i="3"/>
  <c r="AC345" i="17"/>
  <c r="AC313" i="17"/>
  <c r="AC340" i="17"/>
  <c r="AC308" i="17"/>
  <c r="AF62" i="3"/>
  <c r="AF68" i="3"/>
  <c r="AF71" i="3" s="1"/>
  <c r="AG45" i="3"/>
  <c r="AG51" i="3" s="1"/>
  <c r="AC338" i="17"/>
  <c r="AC306" i="17"/>
  <c r="AC336" i="17"/>
  <c r="AC304" i="17"/>
  <c r="AC342" i="17"/>
  <c r="AC310" i="17"/>
  <c r="BA89" i="17"/>
  <c r="BA87" i="17"/>
  <c r="BA96" i="17"/>
  <c r="BA83" i="17"/>
  <c r="BA97" i="17"/>
  <c r="BA88" i="17"/>
  <c r="BA92" i="17"/>
  <c r="BA95" i="17"/>
  <c r="BA90" i="17"/>
  <c r="BA91" i="17"/>
  <c r="BC85" i="17"/>
  <c r="BA84" i="17"/>
  <c r="BA86" i="17"/>
  <c r="BA93" i="17"/>
  <c r="BA94" i="17"/>
  <c r="AD463" i="17"/>
  <c r="AD462" i="17"/>
  <c r="AD461" i="17"/>
  <c r="AJ339" i="2"/>
  <c r="AJ340" i="2"/>
  <c r="AJ341" i="2"/>
  <c r="AH8" i="3"/>
  <c r="AH24" i="3" s="1"/>
  <c r="AT66" i="15"/>
  <c r="AS168" i="15"/>
  <c r="AO166" i="12" s="1"/>
  <c r="AS149" i="15"/>
  <c r="AS140" i="15"/>
  <c r="AS131" i="15"/>
  <c r="AO130" i="12" s="1"/>
  <c r="AS121" i="15"/>
  <c r="AO121" i="12" s="1"/>
  <c r="AS111" i="15"/>
  <c r="AO112" i="12" s="1"/>
  <c r="AS67" i="15"/>
  <c r="AO178" i="12" s="1"/>
  <c r="AO139" i="12"/>
  <c r="AO148" i="12"/>
  <c r="AT164" i="15"/>
  <c r="AP162" i="12" s="1"/>
  <c r="AT155" i="15"/>
  <c r="AT145" i="15"/>
  <c r="AT136" i="15"/>
  <c r="AP135" i="12" s="1"/>
  <c r="AT127" i="15"/>
  <c r="AP127" i="12" s="1"/>
  <c r="AT117" i="15"/>
  <c r="AP118" i="12" s="1"/>
  <c r="AU84" i="15"/>
  <c r="AS159" i="15"/>
  <c r="AS169" i="15"/>
  <c r="AO167" i="12" s="1"/>
  <c r="AS150" i="15"/>
  <c r="AO149" i="12" s="1"/>
  <c r="AS141" i="15"/>
  <c r="AO140" i="12" s="1"/>
  <c r="AS132" i="15"/>
  <c r="AO131" i="12" s="1"/>
  <c r="AS122" i="15"/>
  <c r="AO122" i="12" s="1"/>
  <c r="AS112" i="15"/>
  <c r="AO113" i="12" s="1"/>
  <c r="AS94" i="15"/>
  <c r="AT94" i="15" s="1"/>
  <c r="AS93" i="15"/>
  <c r="AR95" i="15"/>
  <c r="AG29" i="3"/>
  <c r="AG27" i="3"/>
  <c r="AG33" i="3"/>
  <c r="AF39" i="3"/>
  <c r="AG28" i="3"/>
  <c r="AG37" i="3"/>
  <c r="AG36" i="3"/>
  <c r="AG31" i="3"/>
  <c r="AG25" i="3"/>
  <c r="AH281" i="3"/>
  <c r="AH290" i="3" s="1"/>
  <c r="AJ12" i="2"/>
  <c r="AH22" i="3"/>
  <c r="AJ189" i="3"/>
  <c r="AJ197" i="3" s="1"/>
  <c r="AI285" i="3"/>
  <c r="AI294" i="3" s="1"/>
  <c r="AI243" i="3"/>
  <c r="AI251" i="3" s="1"/>
  <c r="AI259" i="3" s="1"/>
  <c r="AF298" i="3"/>
  <c r="AH13" i="3"/>
  <c r="AM55" i="3"/>
  <c r="AM49" i="3"/>
  <c r="AM61" i="3"/>
  <c r="AM67" i="3"/>
  <c r="AH21" i="3"/>
  <c r="AJ10" i="2"/>
  <c r="AG283" i="3"/>
  <c r="AG292" i="3" s="1"/>
  <c r="AG241" i="3"/>
  <c r="AG249" i="3" s="1"/>
  <c r="AG257" i="3" s="1"/>
  <c r="AG284" i="3"/>
  <c r="AG293" i="3" s="1"/>
  <c r="AG242" i="3"/>
  <c r="AG250" i="3" s="1"/>
  <c r="AG258" i="3" s="1"/>
  <c r="AH20" i="3"/>
  <c r="AH15" i="3"/>
  <c r="AJ15" i="2"/>
  <c r="AJ16" i="2"/>
  <c r="AH11" i="3"/>
  <c r="AJ9" i="2"/>
  <c r="AG34" i="3"/>
  <c r="AN89" i="3"/>
  <c r="AN90" i="3" s="1"/>
  <c r="AN43" i="3"/>
  <c r="AH239" i="3"/>
  <c r="AH247" i="3" s="1"/>
  <c r="AH255" i="3" s="1"/>
  <c r="AL73" i="3"/>
  <c r="AH9" i="3"/>
  <c r="AJ191" i="3"/>
  <c r="AJ199" i="3" s="1"/>
  <c r="AI287" i="3"/>
  <c r="AI296" i="3" s="1"/>
  <c r="AI245" i="3"/>
  <c r="AI253" i="3" s="1"/>
  <c r="AI261" i="3" s="1"/>
  <c r="AG26" i="3"/>
  <c r="AJ17" i="2"/>
  <c r="AH19" i="3"/>
  <c r="AH18" i="3"/>
  <c r="AJ21" i="2"/>
  <c r="AK24" i="2"/>
  <c r="AJ8" i="2"/>
  <c r="AJ20" i="2"/>
  <c r="AF262" i="3"/>
  <c r="AH10" i="3"/>
  <c r="AH17" i="3"/>
  <c r="AJ13" i="2"/>
  <c r="AK27" i="2"/>
  <c r="AJ11" i="2"/>
  <c r="AG240" i="3"/>
  <c r="AG248" i="3" s="1"/>
  <c r="AG256" i="3" s="1"/>
  <c r="AG32" i="3"/>
  <c r="AH12" i="3"/>
  <c r="AJ19" i="2"/>
  <c r="AJ190" i="3"/>
  <c r="AJ198" i="3" s="1"/>
  <c r="AI244" i="3"/>
  <c r="AI252" i="3" s="1"/>
  <c r="AI260" i="3" s="1"/>
  <c r="AJ14" i="2"/>
  <c r="AJ18" i="2"/>
  <c r="AG30" i="3"/>
  <c r="AO288" i="3"/>
  <c r="AO297" i="3" s="1"/>
  <c r="AO230" i="3"/>
  <c r="AO231" i="3" s="1"/>
  <c r="AH16" i="3"/>
  <c r="AG38" i="3"/>
  <c r="AH14" i="3"/>
  <c r="AW173" i="15"/>
  <c r="AW163" i="15"/>
  <c r="AS161" i="12" s="1"/>
  <c r="AW154" i="15"/>
  <c r="AW135" i="15"/>
  <c r="AS134" i="12" s="1"/>
  <c r="AW125" i="15"/>
  <c r="AS125" i="12" s="1"/>
  <c r="AW115" i="15"/>
  <c r="AS116" i="12" s="1"/>
  <c r="AE85" i="3"/>
  <c r="AD308" i="3"/>
  <c r="AK192" i="2"/>
  <c r="AZ38" i="15"/>
  <c r="AJ309" i="2"/>
  <c r="AI140" i="11"/>
  <c r="AI143" i="11" s="1"/>
  <c r="AI160" i="11"/>
  <c r="AI164" i="11" s="1"/>
  <c r="AI81" i="11"/>
  <c r="AI150" i="11"/>
  <c r="AI154" i="11" s="1"/>
  <c r="AI130" i="11"/>
  <c r="AI133" i="11" s="1"/>
  <c r="AI108" i="11"/>
  <c r="AI113" i="11" s="1"/>
  <c r="AI171" i="11"/>
  <c r="AI174" i="11" s="1"/>
  <c r="AJ149" i="11"/>
  <c r="AJ139" i="11"/>
  <c r="AJ129" i="11"/>
  <c r="AJ159" i="11"/>
  <c r="AJ111" i="11"/>
  <c r="AJ170" i="11"/>
  <c r="AJ70" i="11"/>
  <c r="AJ83" i="11" s="1"/>
  <c r="AK158" i="11"/>
  <c r="AK147" i="11"/>
  <c r="AK116" i="11"/>
  <c r="AK123" i="11" s="1"/>
  <c r="AK106" i="11"/>
  <c r="AL64" i="11"/>
  <c r="AN90" i="11"/>
  <c r="AO88" i="11"/>
  <c r="AO169" i="11"/>
  <c r="AO148" i="11"/>
  <c r="AO138" i="11"/>
  <c r="AO128" i="11"/>
  <c r="AO117" i="11"/>
  <c r="AO107" i="11"/>
  <c r="AP65" i="11"/>
  <c r="AO172" i="11"/>
  <c r="AO161" i="11"/>
  <c r="AO151" i="11"/>
  <c r="AO141" i="11"/>
  <c r="AO119" i="11"/>
  <c r="AO109" i="11"/>
  <c r="AP72" i="11"/>
  <c r="AO173" i="11"/>
  <c r="AO162" i="11"/>
  <c r="AO152" i="11"/>
  <c r="AO131" i="11"/>
  <c r="AO120" i="11"/>
  <c r="AO110" i="11"/>
  <c r="AP74" i="11"/>
  <c r="AO163" i="11"/>
  <c r="AO153" i="11"/>
  <c r="AO142" i="11"/>
  <c r="AO132" i="11"/>
  <c r="AO122" i="11"/>
  <c r="AO112" i="11"/>
  <c r="AP79" i="11"/>
  <c r="AN98" i="11"/>
  <c r="AO96" i="11"/>
  <c r="AF363" i="4"/>
  <c r="AF346" i="4"/>
  <c r="AF320" i="4"/>
  <c r="BK310" i="4"/>
  <c r="AE311" i="4"/>
  <c r="BK309" i="4"/>
  <c r="AE303" i="4"/>
  <c r="AE256" i="4"/>
  <c r="AE223" i="4"/>
  <c r="AE172" i="4"/>
  <c r="AF185" i="4"/>
  <c r="AE184" i="4"/>
  <c r="AE183" i="4"/>
  <c r="AE182" i="4"/>
  <c r="AE181" i="4"/>
  <c r="AE180" i="4"/>
  <c r="AE179" i="4"/>
  <c r="AE178" i="4"/>
  <c r="AE177" i="4"/>
  <c r="AE176" i="4"/>
  <c r="AE175" i="4"/>
  <c r="AE174" i="4"/>
  <c r="AE173" i="4"/>
  <c r="AF134" i="4"/>
  <c r="AF118" i="4"/>
  <c r="AF69" i="4"/>
  <c r="AF53" i="4"/>
  <c r="AE37" i="4"/>
  <c r="AH113" i="3"/>
  <c r="CF381" i="2"/>
  <c r="AI72" i="2"/>
  <c r="AE102" i="4"/>
  <c r="AI38" i="2"/>
  <c r="AK67" i="11" s="1"/>
  <c r="AK70" i="11" s="1"/>
  <c r="AI91" i="2" l="1"/>
  <c r="AM301" i="2"/>
  <c r="AL299" i="2"/>
  <c r="AJ220" i="2"/>
  <c r="BM65" i="15"/>
  <c r="BM64" i="15"/>
  <c r="BM68" i="15" s="1"/>
  <c r="AJ97" i="2"/>
  <c r="AJ82" i="2" s="1"/>
  <c r="AI208" i="2"/>
  <c r="AI215" i="2"/>
  <c r="AJ105" i="2"/>
  <c r="AJ103" i="2"/>
  <c r="AI93" i="2"/>
  <c r="AI219" i="2"/>
  <c r="AI89" i="2"/>
  <c r="AI214" i="2"/>
  <c r="AJ109" i="2"/>
  <c r="AJ104" i="2"/>
  <c r="AI87" i="2"/>
  <c r="AI212" i="2"/>
  <c r="AI86" i="2"/>
  <c r="AI211" i="2"/>
  <c r="AI90" i="2"/>
  <c r="AI92" i="2"/>
  <c r="AI218" i="2"/>
  <c r="AI84" i="2"/>
  <c r="AI209" i="2"/>
  <c r="AI85" i="2"/>
  <c r="AI210" i="2"/>
  <c r="AI111" i="2"/>
  <c r="AJ99" i="2"/>
  <c r="AJ100" i="2"/>
  <c r="AI88" i="2"/>
  <c r="AI213" i="2"/>
  <c r="AJ102" i="2"/>
  <c r="AJ107" i="2"/>
  <c r="AJ91" i="2" s="1"/>
  <c r="AJ101" i="2"/>
  <c r="AJ106" i="2"/>
  <c r="AJ108" i="2"/>
  <c r="AK110" i="2"/>
  <c r="AK94" i="2" s="1"/>
  <c r="AJ98" i="2"/>
  <c r="AJ83" i="2" s="1"/>
  <c r="AK372" i="2"/>
  <c r="AJ385" i="2"/>
  <c r="AK381" i="2"/>
  <c r="AJ386" i="2"/>
  <c r="BO317" i="2"/>
  <c r="BO357" i="2" s="1"/>
  <c r="BN345" i="2"/>
  <c r="BN362" i="2" s="1"/>
  <c r="AG200" i="3"/>
  <c r="BO336" i="2"/>
  <c r="BM211" i="3" s="1"/>
  <c r="BM219" i="3" s="1"/>
  <c r="BL211" i="3"/>
  <c r="BL219" i="3" s="1"/>
  <c r="BO334" i="2"/>
  <c r="BM209" i="3" s="1"/>
  <c r="BM217" i="3" s="1"/>
  <c r="BL209" i="3"/>
  <c r="BL217" i="3" s="1"/>
  <c r="AG201" i="3"/>
  <c r="AG222" i="3"/>
  <c r="AG220" i="3"/>
  <c r="AK320" i="2"/>
  <c r="AH207" i="3"/>
  <c r="AH215" i="3" s="1"/>
  <c r="AH187" i="3"/>
  <c r="AH195" i="3" s="1"/>
  <c r="BO335" i="2"/>
  <c r="BM210" i="3" s="1"/>
  <c r="BM218" i="3" s="1"/>
  <c r="BL210" i="3"/>
  <c r="BL218" i="3" s="1"/>
  <c r="AK319" i="2"/>
  <c r="AH206" i="3"/>
  <c r="AH214" i="3" s="1"/>
  <c r="AH186" i="3"/>
  <c r="AH194" i="3" s="1"/>
  <c r="AF59" i="3"/>
  <c r="BO318" i="2"/>
  <c r="BO358" i="2" s="1"/>
  <c r="BL205" i="3"/>
  <c r="BL213" i="3" s="1"/>
  <c r="BL185" i="3"/>
  <c r="BL193" i="3" s="1"/>
  <c r="AK321" i="2"/>
  <c r="AH208" i="3"/>
  <c r="AH216" i="3" s="1"/>
  <c r="AH188" i="3"/>
  <c r="AH196" i="3" s="1"/>
  <c r="AC184" i="12"/>
  <c r="AC179" i="12" s="1"/>
  <c r="AI86" i="15"/>
  <c r="AI171" i="15"/>
  <c r="AI161" i="15"/>
  <c r="AI152" i="15"/>
  <c r="AI143" i="15"/>
  <c r="AI134" i="15"/>
  <c r="AI113" i="15"/>
  <c r="AI118" i="15" s="1"/>
  <c r="AE124" i="12"/>
  <c r="AE128" i="12" s="1"/>
  <c r="AI128" i="15"/>
  <c r="AJ172" i="15"/>
  <c r="AF170" i="12" s="1"/>
  <c r="AJ162" i="15"/>
  <c r="AF160" i="12" s="1"/>
  <c r="AJ153" i="15"/>
  <c r="AF152" i="12" s="1"/>
  <c r="AJ144" i="15"/>
  <c r="AF143" i="12" s="1"/>
  <c r="AJ124" i="15"/>
  <c r="AJ114" i="15"/>
  <c r="AF115" i="12" s="1"/>
  <c r="AF119" i="12" s="1"/>
  <c r="AJ75" i="15"/>
  <c r="AH137" i="15"/>
  <c r="AD133" i="12"/>
  <c r="AD136" i="12" s="1"/>
  <c r="AH146" i="15"/>
  <c r="AD142" i="12"/>
  <c r="AD145" i="12" s="1"/>
  <c r="AD151" i="12"/>
  <c r="AD155" i="12" s="1"/>
  <c r="AH156" i="15"/>
  <c r="AH165" i="15"/>
  <c r="AD159" i="12"/>
  <c r="AD163" i="12" s="1"/>
  <c r="AH174" i="15"/>
  <c r="AD169" i="12"/>
  <c r="AD172" i="12" s="1"/>
  <c r="BH72" i="15"/>
  <c r="BG170" i="15"/>
  <c r="BC168" i="12" s="1"/>
  <c r="BG160" i="15"/>
  <c r="BC158" i="12" s="1"/>
  <c r="BG151" i="15"/>
  <c r="BC150" i="12" s="1"/>
  <c r="BG142" i="15"/>
  <c r="BC141" i="12" s="1"/>
  <c r="BG133" i="15"/>
  <c r="BC132" i="12" s="1"/>
  <c r="BG123" i="15"/>
  <c r="AF76" i="3"/>
  <c r="AF65" i="3"/>
  <c r="AG58" i="3"/>
  <c r="AG62" i="3"/>
  <c r="AH27" i="3"/>
  <c r="AX55" i="2"/>
  <c r="AK50" i="2"/>
  <c r="AK48" i="2"/>
  <c r="AK43" i="2"/>
  <c r="AK47" i="2"/>
  <c r="AK51" i="2"/>
  <c r="AK46" i="2"/>
  <c r="AK54" i="2"/>
  <c r="AK53" i="2"/>
  <c r="AK58" i="2"/>
  <c r="AJ42" i="2"/>
  <c r="AK52" i="2"/>
  <c r="AK61" i="2"/>
  <c r="AJ45" i="2"/>
  <c r="AK44" i="2"/>
  <c r="AK49" i="2"/>
  <c r="AG64" i="3"/>
  <c r="AG76" i="3" s="1"/>
  <c r="AG57" i="3"/>
  <c r="AH30" i="3"/>
  <c r="AG70" i="3"/>
  <c r="AF74" i="3"/>
  <c r="AG47" i="3"/>
  <c r="AF53" i="3"/>
  <c r="AG56" i="3"/>
  <c r="AH45" i="3"/>
  <c r="AH69" i="3" s="1"/>
  <c r="AD338" i="17"/>
  <c r="AD306" i="17"/>
  <c r="AK333" i="17"/>
  <c r="AK301" i="17"/>
  <c r="AD345" i="17"/>
  <c r="AD313" i="17"/>
  <c r="AG50" i="3"/>
  <c r="AG53" i="3" s="1"/>
  <c r="AD335" i="17"/>
  <c r="AD303" i="17"/>
  <c r="AD310" i="17"/>
  <c r="AD342" i="17"/>
  <c r="AD304" i="17"/>
  <c r="AD336" i="17"/>
  <c r="AG63" i="3"/>
  <c r="AG75" i="3" s="1"/>
  <c r="AH44" i="3"/>
  <c r="AD305" i="17"/>
  <c r="AD337" i="17"/>
  <c r="AD302" i="17"/>
  <c r="AD334" i="17"/>
  <c r="AH46" i="3"/>
  <c r="AH52" i="3" s="1"/>
  <c r="AD343" i="17"/>
  <c r="AD311" i="17"/>
  <c r="AD312" i="17"/>
  <c r="AD344" i="17"/>
  <c r="AD314" i="17"/>
  <c r="AD346" i="17"/>
  <c r="AG69" i="3"/>
  <c r="AD307" i="17"/>
  <c r="AD339" i="17"/>
  <c r="AD283" i="17"/>
  <c r="AD315" i="17"/>
  <c r="AD347" i="17"/>
  <c r="AD309" i="17"/>
  <c r="AD341" i="17"/>
  <c r="AD308" i="17"/>
  <c r="AD340" i="17"/>
  <c r="BB84" i="17"/>
  <c r="BB95" i="17"/>
  <c r="BB83" i="17"/>
  <c r="BB94" i="17"/>
  <c r="BD85" i="17"/>
  <c r="BB92" i="17"/>
  <c r="BB96" i="17"/>
  <c r="BB93" i="17"/>
  <c r="BB91" i="17"/>
  <c r="BB88" i="17"/>
  <c r="BB87" i="17"/>
  <c r="BB86" i="17"/>
  <c r="BB90" i="17"/>
  <c r="BB97" i="17"/>
  <c r="BB89" i="17"/>
  <c r="AE461" i="17"/>
  <c r="AE463" i="17"/>
  <c r="AE462" i="17"/>
  <c r="AH26" i="3"/>
  <c r="AK339" i="2"/>
  <c r="AK340" i="2"/>
  <c r="AK341" i="2"/>
  <c r="AI8" i="3"/>
  <c r="AI24" i="3" s="1"/>
  <c r="AU66" i="15"/>
  <c r="AT168" i="15"/>
  <c r="AP166" i="12" s="1"/>
  <c r="AT149" i="15"/>
  <c r="AT140" i="15"/>
  <c r="AP139" i="12" s="1"/>
  <c r="AT131" i="15"/>
  <c r="AP130" i="12" s="1"/>
  <c r="AT121" i="15"/>
  <c r="AP121" i="12" s="1"/>
  <c r="AT111" i="15"/>
  <c r="AP112" i="12" s="1"/>
  <c r="AT67" i="15"/>
  <c r="AP178" i="12" s="1"/>
  <c r="AP148" i="12"/>
  <c r="AS95" i="15"/>
  <c r="AT93" i="15"/>
  <c r="AT159" i="15"/>
  <c r="AT169" i="15"/>
  <c r="AP167" i="12" s="1"/>
  <c r="AT150" i="15"/>
  <c r="AP149" i="12" s="1"/>
  <c r="AT141" i="15"/>
  <c r="AP140" i="12" s="1"/>
  <c r="AT132" i="15"/>
  <c r="AP131" i="12" s="1"/>
  <c r="AT122" i="15"/>
  <c r="AP122" i="12" s="1"/>
  <c r="AT112" i="15"/>
  <c r="AP113" i="12" s="1"/>
  <c r="AU164" i="15"/>
  <c r="AQ162" i="12" s="1"/>
  <c r="AU155" i="15"/>
  <c r="AU145" i="15"/>
  <c r="AU136" i="15"/>
  <c r="AQ135" i="12" s="1"/>
  <c r="AU127" i="15"/>
  <c r="AQ127" i="12" s="1"/>
  <c r="AU117" i="15"/>
  <c r="AQ118" i="12" s="1"/>
  <c r="AV84" i="15"/>
  <c r="AG262" i="3"/>
  <c r="AH29" i="3"/>
  <c r="AG298" i="3"/>
  <c r="AH31" i="3"/>
  <c r="AH32" i="3"/>
  <c r="AH35" i="3"/>
  <c r="AH25" i="3"/>
  <c r="AH240" i="3"/>
  <c r="AH248" i="3" s="1"/>
  <c r="AH256" i="3" s="1"/>
  <c r="AI17" i="3"/>
  <c r="AI18" i="3"/>
  <c r="AK191" i="3"/>
  <c r="AK199" i="3" s="1"/>
  <c r="AJ287" i="3"/>
  <c r="AJ296" i="3" s="1"/>
  <c r="AJ245" i="3"/>
  <c r="AJ253" i="3" s="1"/>
  <c r="AJ261" i="3" s="1"/>
  <c r="AM73" i="3"/>
  <c r="AP288" i="3"/>
  <c r="AP297" i="3" s="1"/>
  <c r="AP230" i="3"/>
  <c r="AP231" i="3" s="1"/>
  <c r="AK190" i="3"/>
  <c r="AK198" i="3" s="1"/>
  <c r="AJ244" i="3"/>
  <c r="AJ252" i="3" s="1"/>
  <c r="AJ260" i="3" s="1"/>
  <c r="AO89" i="3"/>
  <c r="AO90" i="3" s="1"/>
  <c r="AO43" i="3"/>
  <c r="AI15" i="3"/>
  <c r="AH283" i="3"/>
  <c r="AH292" i="3" s="1"/>
  <c r="AH241" i="3"/>
  <c r="AH249" i="3" s="1"/>
  <c r="AH257" i="3" s="1"/>
  <c r="AH38" i="3"/>
  <c r="AI16" i="3"/>
  <c r="AI10" i="3"/>
  <c r="AI19" i="3"/>
  <c r="AI9" i="3"/>
  <c r="AI11" i="3"/>
  <c r="AH36" i="3"/>
  <c r="AI22" i="3"/>
  <c r="AK19" i="2"/>
  <c r="AI20" i="3"/>
  <c r="AK10" i="2"/>
  <c r="AI13" i="3"/>
  <c r="AH28" i="3"/>
  <c r="AL27" i="2"/>
  <c r="AK11" i="2"/>
  <c r="AL24" i="2"/>
  <c r="AK8" i="2"/>
  <c r="AK17" i="2"/>
  <c r="AK9" i="2"/>
  <c r="AK16" i="2"/>
  <c r="AH37" i="3"/>
  <c r="AI281" i="3"/>
  <c r="AI290" i="3" s="1"/>
  <c r="AK18" i="2"/>
  <c r="AI12" i="3"/>
  <c r="AK20" i="2"/>
  <c r="AG39" i="3"/>
  <c r="AI21" i="3"/>
  <c r="AK12" i="2"/>
  <c r="AI14" i="3"/>
  <c r="AK13" i="2"/>
  <c r="AK21" i="2"/>
  <c r="AI239" i="3"/>
  <c r="AI247" i="3" s="1"/>
  <c r="AI255" i="3" s="1"/>
  <c r="AH284" i="3"/>
  <c r="AH293" i="3" s="1"/>
  <c r="AH242" i="3"/>
  <c r="AH250" i="3" s="1"/>
  <c r="AH258" i="3" s="1"/>
  <c r="AK14" i="2"/>
  <c r="AH33" i="3"/>
  <c r="AH34" i="3"/>
  <c r="AN55" i="3"/>
  <c r="AN61" i="3"/>
  <c r="AN67" i="3"/>
  <c r="AN49" i="3"/>
  <c r="AK15" i="2"/>
  <c r="AK189" i="3"/>
  <c r="AK197" i="3" s="1"/>
  <c r="AJ285" i="3"/>
  <c r="AJ294" i="3" s="1"/>
  <c r="AJ243" i="3"/>
  <c r="AJ251" i="3" s="1"/>
  <c r="AJ259" i="3" s="1"/>
  <c r="AX173" i="15"/>
  <c r="AX163" i="15"/>
  <c r="AT161" i="12" s="1"/>
  <c r="AX154" i="15"/>
  <c r="AX135" i="15"/>
  <c r="AT134" i="12" s="1"/>
  <c r="AX125" i="15"/>
  <c r="AT125" i="12" s="1"/>
  <c r="AX115" i="15"/>
  <c r="AT116" i="12" s="1"/>
  <c r="AE308" i="3"/>
  <c r="AF85" i="3"/>
  <c r="AL192" i="2"/>
  <c r="AK309" i="2"/>
  <c r="AJ130" i="11"/>
  <c r="AJ133" i="11" s="1"/>
  <c r="AJ140" i="11"/>
  <c r="AJ143" i="11" s="1"/>
  <c r="AJ150" i="11"/>
  <c r="AJ154" i="11" s="1"/>
  <c r="AJ160" i="11"/>
  <c r="AJ164" i="11" s="1"/>
  <c r="AJ108" i="11"/>
  <c r="AJ113" i="11" s="1"/>
  <c r="AJ171" i="11"/>
  <c r="AJ174" i="11" s="1"/>
  <c r="AJ81" i="11"/>
  <c r="AK111" i="11"/>
  <c r="AK139" i="11"/>
  <c r="AK129" i="11"/>
  <c r="AK159" i="11"/>
  <c r="AK149" i="11"/>
  <c r="AK170" i="11"/>
  <c r="AO98" i="11"/>
  <c r="AP96" i="11"/>
  <c r="AP163" i="11"/>
  <c r="AP153" i="11"/>
  <c r="AP142" i="11"/>
  <c r="AP132" i="11"/>
  <c r="AP122" i="11"/>
  <c r="AP112" i="11"/>
  <c r="AQ79" i="11"/>
  <c r="AP173" i="11"/>
  <c r="AP162" i="11"/>
  <c r="AP152" i="11"/>
  <c r="AP131" i="11"/>
  <c r="AP120" i="11"/>
  <c r="AP110" i="11"/>
  <c r="AQ74" i="11"/>
  <c r="AP172" i="11"/>
  <c r="AP161" i="11"/>
  <c r="AP151" i="11"/>
  <c r="AP141" i="11"/>
  <c r="AP119" i="11"/>
  <c r="AP109" i="11"/>
  <c r="AQ72" i="11"/>
  <c r="AP169" i="11"/>
  <c r="AP148" i="11"/>
  <c r="AP138" i="11"/>
  <c r="AP128" i="11"/>
  <c r="AP117" i="11"/>
  <c r="AP107" i="11"/>
  <c r="AQ65" i="11"/>
  <c r="AP89" i="11"/>
  <c r="AO90" i="11"/>
  <c r="AP88" i="11"/>
  <c r="AL158" i="11"/>
  <c r="AL147" i="11"/>
  <c r="AL116" i="11"/>
  <c r="AL123" i="11" s="1"/>
  <c r="AL106" i="11"/>
  <c r="AM64" i="11"/>
  <c r="AK171" i="11"/>
  <c r="AK160" i="11"/>
  <c r="AK150" i="11"/>
  <c r="AK140" i="11"/>
  <c r="AK130" i="11"/>
  <c r="AK83" i="11"/>
  <c r="AK81" i="11"/>
  <c r="AJ38" i="2"/>
  <c r="AL67" i="11" s="1"/>
  <c r="AL70" i="11" s="1"/>
  <c r="AF102" i="4"/>
  <c r="AJ72" i="2"/>
  <c r="CG381" i="2"/>
  <c r="AI113" i="3"/>
  <c r="AF37" i="4"/>
  <c r="AG53" i="4"/>
  <c r="AG69" i="4"/>
  <c r="AG118" i="4"/>
  <c r="AG134" i="4"/>
  <c r="AF173" i="4"/>
  <c r="AF174" i="4"/>
  <c r="AF175" i="4"/>
  <c r="AF176" i="4"/>
  <c r="AF177" i="4"/>
  <c r="AF178" i="4"/>
  <c r="AF179" i="4"/>
  <c r="AF180" i="4"/>
  <c r="AF181" i="4"/>
  <c r="AF182" i="4"/>
  <c r="AF183" i="4"/>
  <c r="AF184" i="4"/>
  <c r="AG185" i="4"/>
  <c r="AF223" i="4"/>
  <c r="AF172" i="4"/>
  <c r="AF256" i="4"/>
  <c r="AF303" i="4"/>
  <c r="AF311" i="4"/>
  <c r="BL309" i="4"/>
  <c r="BL310" i="4"/>
  <c r="AG320" i="4"/>
  <c r="AG346" i="4"/>
  <c r="AG363" i="4"/>
  <c r="AQ89" i="11" l="1"/>
  <c r="AN301" i="2"/>
  <c r="AM299" i="2"/>
  <c r="AK220" i="2"/>
  <c r="AF77" i="3"/>
  <c r="BN65" i="15"/>
  <c r="BN64" i="15"/>
  <c r="BN68" i="15" s="1"/>
  <c r="AK97" i="2"/>
  <c r="AK82" i="2" s="1"/>
  <c r="AJ217" i="2"/>
  <c r="AJ208" i="2"/>
  <c r="AJ111" i="2"/>
  <c r="AK106" i="2"/>
  <c r="AK101" i="2"/>
  <c r="AK100" i="2"/>
  <c r="AJ89" i="2"/>
  <c r="AJ214" i="2"/>
  <c r="AJ88" i="2"/>
  <c r="AJ213" i="2"/>
  <c r="AJ84" i="2"/>
  <c r="AJ209" i="2"/>
  <c r="AK104" i="2"/>
  <c r="AK103" i="2"/>
  <c r="AJ86" i="2"/>
  <c r="AJ211" i="2"/>
  <c r="AJ93" i="2"/>
  <c r="AJ219" i="2"/>
  <c r="AJ92" i="2"/>
  <c r="AJ218" i="2"/>
  <c r="AJ87" i="2"/>
  <c r="AJ212" i="2"/>
  <c r="AK109" i="2"/>
  <c r="AK105" i="2"/>
  <c r="AK108" i="2"/>
  <c r="AK102" i="2"/>
  <c r="AJ85" i="2"/>
  <c r="AJ210" i="2"/>
  <c r="AL110" i="2"/>
  <c r="AL94" i="2" s="1"/>
  <c r="AK107" i="2"/>
  <c r="AK99" i="2"/>
  <c r="AJ215" i="2"/>
  <c r="AJ90" i="2"/>
  <c r="AK98" i="2"/>
  <c r="AK208" i="2" s="1"/>
  <c r="AL372" i="2"/>
  <c r="AK385" i="2"/>
  <c r="AL381" i="2"/>
  <c r="AK386" i="2"/>
  <c r="BO345" i="2"/>
  <c r="BO362" i="2" s="1"/>
  <c r="AH200" i="3"/>
  <c r="AH220" i="3"/>
  <c r="AH222" i="3"/>
  <c r="AH201" i="3"/>
  <c r="AL319" i="2"/>
  <c r="AI206" i="3"/>
  <c r="AI214" i="3" s="1"/>
  <c r="AI186" i="3"/>
  <c r="AI194" i="3" s="1"/>
  <c r="AL321" i="2"/>
  <c r="AI208" i="3"/>
  <c r="AI216" i="3" s="1"/>
  <c r="AI188" i="3"/>
  <c r="AI196" i="3" s="1"/>
  <c r="AL320" i="2"/>
  <c r="AI207" i="3"/>
  <c r="AI215" i="3" s="1"/>
  <c r="AI187" i="3"/>
  <c r="AI195" i="3" s="1"/>
  <c r="BM205" i="3"/>
  <c r="BM213" i="3" s="1"/>
  <c r="BM185" i="3"/>
  <c r="BM193" i="3" s="1"/>
  <c r="AD184" i="12"/>
  <c r="AD179" i="12" s="1"/>
  <c r="AJ86" i="15"/>
  <c r="AJ171" i="15"/>
  <c r="AJ161" i="15"/>
  <c r="AJ152" i="15"/>
  <c r="AJ143" i="15"/>
  <c r="AJ134" i="15"/>
  <c r="AJ113" i="15"/>
  <c r="AJ118" i="15" s="1"/>
  <c r="AF124" i="12"/>
  <c r="AF128" i="12" s="1"/>
  <c r="AJ128" i="15"/>
  <c r="AK172" i="15"/>
  <c r="AG170" i="12" s="1"/>
  <c r="AK162" i="15"/>
  <c r="AG160" i="12" s="1"/>
  <c r="AK153" i="15"/>
  <c r="AG152" i="12" s="1"/>
  <c r="AK144" i="15"/>
  <c r="AG143" i="12" s="1"/>
  <c r="AK124" i="15"/>
  <c r="AK114" i="15"/>
  <c r="AG115" i="12" s="1"/>
  <c r="AG119" i="12" s="1"/>
  <c r="AK75" i="15"/>
  <c r="AI137" i="15"/>
  <c r="AE133" i="12"/>
  <c r="AE136" i="12" s="1"/>
  <c r="AI146" i="15"/>
  <c r="AE142" i="12"/>
  <c r="AE145" i="12" s="1"/>
  <c r="AE151" i="12"/>
  <c r="AE155" i="12" s="1"/>
  <c r="AI156" i="15"/>
  <c r="AI165" i="15"/>
  <c r="AE159" i="12"/>
  <c r="AE163" i="12" s="1"/>
  <c r="AI174" i="15"/>
  <c r="AE169" i="12"/>
  <c r="AE172" i="12" s="1"/>
  <c r="BI72" i="15"/>
  <c r="BH170" i="15"/>
  <c r="BD168" i="12" s="1"/>
  <c r="BH160" i="15"/>
  <c r="BD158" i="12" s="1"/>
  <c r="BH151" i="15"/>
  <c r="BD150" i="12" s="1"/>
  <c r="BH142" i="15"/>
  <c r="BD141" i="12" s="1"/>
  <c r="BH133" i="15"/>
  <c r="BD132" i="12" s="1"/>
  <c r="BH123" i="15"/>
  <c r="AH63" i="3"/>
  <c r="AG71" i="3"/>
  <c r="AH51" i="3"/>
  <c r="AH57" i="3"/>
  <c r="AH47" i="3"/>
  <c r="AG59" i="3"/>
  <c r="AY55" i="2"/>
  <c r="AL53" i="2"/>
  <c r="AL47" i="2"/>
  <c r="AL43" i="2"/>
  <c r="AL52" i="2"/>
  <c r="AL46" i="2"/>
  <c r="AL48" i="2"/>
  <c r="AL44" i="2"/>
  <c r="AL54" i="2"/>
  <c r="AL61" i="2"/>
  <c r="AK45" i="2"/>
  <c r="AL49" i="2"/>
  <c r="AL58" i="2"/>
  <c r="AK42" i="2"/>
  <c r="AL51" i="2"/>
  <c r="AL50" i="2"/>
  <c r="AG65" i="3"/>
  <c r="AH64" i="3"/>
  <c r="AH76" i="3" s="1"/>
  <c r="AH70" i="3"/>
  <c r="AH58" i="3"/>
  <c r="AG74" i="3"/>
  <c r="AG77" i="3" s="1"/>
  <c r="AH50" i="3"/>
  <c r="AH62" i="3"/>
  <c r="AH68" i="3"/>
  <c r="AH56" i="3"/>
  <c r="AE310" i="17"/>
  <c r="AE342" i="17"/>
  <c r="AE307" i="17"/>
  <c r="AE339" i="17"/>
  <c r="AE340" i="17"/>
  <c r="AE308" i="17"/>
  <c r="AE303" i="17"/>
  <c r="AE335" i="17"/>
  <c r="AE345" i="17"/>
  <c r="AE313" i="17"/>
  <c r="AE314" i="17"/>
  <c r="AE346" i="17"/>
  <c r="AL333" i="17"/>
  <c r="AL301" i="17"/>
  <c r="AI46" i="3"/>
  <c r="AI52" i="3" s="1"/>
  <c r="AE311" i="17"/>
  <c r="AE343" i="17"/>
  <c r="AI44" i="3"/>
  <c r="AI68" i="3" s="1"/>
  <c r="AE337" i="17"/>
  <c r="AE305" i="17"/>
  <c r="AE336" i="17"/>
  <c r="AE304" i="17"/>
  <c r="AI45" i="3"/>
  <c r="AI63" i="3" s="1"/>
  <c r="AE306" i="17"/>
  <c r="AE338" i="17"/>
  <c r="AE334" i="17"/>
  <c r="AE302" i="17"/>
  <c r="AE309" i="17"/>
  <c r="AE341" i="17"/>
  <c r="AE283" i="17"/>
  <c r="AE347" i="17"/>
  <c r="AE315" i="17"/>
  <c r="AE344" i="17"/>
  <c r="AE312" i="17"/>
  <c r="BC86" i="17"/>
  <c r="BC93" i="17"/>
  <c r="BC94" i="17"/>
  <c r="BC89" i="17"/>
  <c r="BC87" i="17"/>
  <c r="BC96" i="17"/>
  <c r="BC83" i="17"/>
  <c r="BC97" i="17"/>
  <c r="BC88" i="17"/>
  <c r="BC92" i="17"/>
  <c r="BC95" i="17"/>
  <c r="BC90" i="17"/>
  <c r="BC91" i="17"/>
  <c r="BE85" i="17"/>
  <c r="BC84" i="17"/>
  <c r="AF461" i="17"/>
  <c r="AF463" i="17"/>
  <c r="AF462" i="17"/>
  <c r="AL339" i="2"/>
  <c r="AL340" i="2"/>
  <c r="AL341" i="2"/>
  <c r="AJ8" i="3"/>
  <c r="AJ24" i="3" s="1"/>
  <c r="AV66" i="15"/>
  <c r="AU168" i="15"/>
  <c r="AU149" i="15"/>
  <c r="AU140" i="15"/>
  <c r="AU131" i="15"/>
  <c r="AQ130" i="12" s="1"/>
  <c r="AU121" i="15"/>
  <c r="AQ121" i="12" s="1"/>
  <c r="AU111" i="15"/>
  <c r="AQ112" i="12" s="1"/>
  <c r="AU67" i="15"/>
  <c r="AQ178" i="12" s="1"/>
  <c r="AQ166" i="12"/>
  <c r="AQ139" i="12"/>
  <c r="AQ148" i="12"/>
  <c r="AV164" i="15"/>
  <c r="AR162" i="12" s="1"/>
  <c r="AV155" i="15"/>
  <c r="AV145" i="15"/>
  <c r="AV136" i="15"/>
  <c r="AR135" i="12" s="1"/>
  <c r="AV127" i="15"/>
  <c r="AR127" i="12" s="1"/>
  <c r="AV117" i="15"/>
  <c r="AR118" i="12" s="1"/>
  <c r="AW84" i="15"/>
  <c r="AU159" i="15"/>
  <c r="AU169" i="15"/>
  <c r="AQ167" i="12" s="1"/>
  <c r="AU150" i="15"/>
  <c r="AQ149" i="12" s="1"/>
  <c r="AU141" i="15"/>
  <c r="AQ140" i="12" s="1"/>
  <c r="AU132" i="15"/>
  <c r="AQ131" i="12" s="1"/>
  <c r="AU122" i="15"/>
  <c r="AQ122" i="12" s="1"/>
  <c r="AU112" i="15"/>
  <c r="AQ113" i="12" s="1"/>
  <c r="AU94" i="15"/>
  <c r="AV94" i="15" s="1"/>
  <c r="AU93" i="15"/>
  <c r="AT95" i="15"/>
  <c r="AI36" i="3"/>
  <c r="AI34" i="3"/>
  <c r="AI27" i="3"/>
  <c r="AI26" i="3"/>
  <c r="AI37" i="3"/>
  <c r="AH39" i="3"/>
  <c r="AL15" i="2"/>
  <c r="AJ239" i="3"/>
  <c r="AJ247" i="3" s="1"/>
  <c r="AJ255" i="3" s="1"/>
  <c r="AJ12" i="3"/>
  <c r="AL10" i="2"/>
  <c r="AH298" i="3"/>
  <c r="AL190" i="3"/>
  <c r="AL198" i="3" s="1"/>
  <c r="AK244" i="3"/>
  <c r="AK252" i="3" s="1"/>
  <c r="AK260" i="3" s="1"/>
  <c r="AL191" i="3"/>
  <c r="AL199" i="3" s="1"/>
  <c r="AK287" i="3"/>
  <c r="AK296" i="3" s="1"/>
  <c r="AK245" i="3"/>
  <c r="AK253" i="3" s="1"/>
  <c r="AK261" i="3" s="1"/>
  <c r="AJ281" i="3"/>
  <c r="AJ290" i="3" s="1"/>
  <c r="AN73" i="3"/>
  <c r="AL12" i="2"/>
  <c r="AM24" i="2"/>
  <c r="AL8" i="2"/>
  <c r="AI283" i="3"/>
  <c r="AI292" i="3" s="1"/>
  <c r="AI241" i="3"/>
  <c r="AI249" i="3" s="1"/>
  <c r="AI257" i="3" s="1"/>
  <c r="AL14" i="2"/>
  <c r="AL21" i="2"/>
  <c r="AL18" i="2"/>
  <c r="AJ20" i="3"/>
  <c r="AJ11" i="3"/>
  <c r="AJ10" i="3"/>
  <c r="AI31" i="3"/>
  <c r="AJ18" i="3"/>
  <c r="AJ21" i="3"/>
  <c r="AL16" i="2"/>
  <c r="AM27" i="2"/>
  <c r="AL11" i="2"/>
  <c r="AI25" i="3"/>
  <c r="AI32" i="3"/>
  <c r="AJ15" i="3"/>
  <c r="AQ288" i="3"/>
  <c r="AQ297" i="3" s="1"/>
  <c r="AQ230" i="3"/>
  <c r="AQ231" i="3" s="1"/>
  <c r="AI33" i="3"/>
  <c r="AL13" i="2"/>
  <c r="AJ9" i="3"/>
  <c r="AJ16" i="3"/>
  <c r="AO55" i="3"/>
  <c r="AO67" i="3"/>
  <c r="AO61" i="3"/>
  <c r="AO49" i="3"/>
  <c r="AJ17" i="3"/>
  <c r="AL189" i="3"/>
  <c r="AL197" i="3" s="1"/>
  <c r="AK285" i="3"/>
  <c r="AK294" i="3" s="1"/>
  <c r="AK243" i="3"/>
  <c r="AK251" i="3" s="1"/>
  <c r="AK259" i="3" s="1"/>
  <c r="AL9" i="2"/>
  <c r="AI29" i="3"/>
  <c r="AL19" i="2"/>
  <c r="AI35" i="3"/>
  <c r="AH262" i="3"/>
  <c r="AI284" i="3"/>
  <c r="AI293" i="3" s="1"/>
  <c r="AI242" i="3"/>
  <c r="AI250" i="3" s="1"/>
  <c r="AI258" i="3" s="1"/>
  <c r="AI30" i="3"/>
  <c r="AL20" i="2"/>
  <c r="AJ13" i="3"/>
  <c r="AI38" i="3"/>
  <c r="AJ19" i="3"/>
  <c r="AP89" i="3"/>
  <c r="AP90" i="3" s="1"/>
  <c r="AP43" i="3"/>
  <c r="AI240" i="3"/>
  <c r="AI248" i="3" s="1"/>
  <c r="AI256" i="3" s="1"/>
  <c r="AJ14" i="3"/>
  <c r="AI28" i="3"/>
  <c r="AL17" i="2"/>
  <c r="AJ22" i="3"/>
  <c r="AY173" i="15"/>
  <c r="AY163" i="15"/>
  <c r="AU161" i="12" s="1"/>
  <c r="AY154" i="15"/>
  <c r="AY135" i="15"/>
  <c r="AU134" i="12" s="1"/>
  <c r="AY125" i="15"/>
  <c r="AU125" i="12" s="1"/>
  <c r="AY115" i="15"/>
  <c r="AU116" i="12" s="1"/>
  <c r="AG85" i="3"/>
  <c r="AF308" i="3"/>
  <c r="AM192" i="2"/>
  <c r="AK154" i="11"/>
  <c r="AL309" i="2"/>
  <c r="AK143" i="11"/>
  <c r="AK133" i="11"/>
  <c r="AK108" i="11"/>
  <c r="AK113" i="11" s="1"/>
  <c r="AL111" i="11"/>
  <c r="AL149" i="11"/>
  <c r="AL129" i="11"/>
  <c r="AL170" i="11"/>
  <c r="AL159" i="11"/>
  <c r="AL139" i="11"/>
  <c r="AK164" i="11"/>
  <c r="AK174" i="11"/>
  <c r="AM158" i="11"/>
  <c r="AM147" i="11"/>
  <c r="AM116" i="11"/>
  <c r="AM123" i="11" s="1"/>
  <c r="AM106" i="11"/>
  <c r="AN64" i="11"/>
  <c r="AL171" i="11"/>
  <c r="AL160" i="11"/>
  <c r="AL150" i="11"/>
  <c r="AL140" i="11"/>
  <c r="AL130" i="11"/>
  <c r="AL83" i="11"/>
  <c r="AL81" i="11"/>
  <c r="AP90" i="11"/>
  <c r="AQ88" i="11"/>
  <c r="AQ169" i="11"/>
  <c r="AQ148" i="11"/>
  <c r="AQ138" i="11"/>
  <c r="AQ128" i="11"/>
  <c r="AQ117" i="11"/>
  <c r="AQ107" i="11"/>
  <c r="AR65" i="11"/>
  <c r="AQ172" i="11"/>
  <c r="AQ161" i="11"/>
  <c r="AQ151" i="11"/>
  <c r="AQ141" i="11"/>
  <c r="AQ119" i="11"/>
  <c r="AQ109" i="11"/>
  <c r="AR72" i="11"/>
  <c r="AQ173" i="11"/>
  <c r="AQ162" i="11"/>
  <c r="AQ152" i="11"/>
  <c r="AQ131" i="11"/>
  <c r="AQ120" i="11"/>
  <c r="AQ110" i="11"/>
  <c r="AR74" i="11"/>
  <c r="AQ163" i="11"/>
  <c r="AQ153" i="11"/>
  <c r="AQ142" i="11"/>
  <c r="AQ132" i="11"/>
  <c r="AQ122" i="11"/>
  <c r="AQ112" i="11"/>
  <c r="AR79" i="11"/>
  <c r="AP98" i="11"/>
  <c r="AQ96" i="11"/>
  <c r="AH363" i="4"/>
  <c r="AH346" i="4"/>
  <c r="AH320" i="4"/>
  <c r="BM310" i="4"/>
  <c r="AG311" i="4"/>
  <c r="BM309" i="4"/>
  <c r="AG303" i="4"/>
  <c r="AG256" i="4"/>
  <c r="AG223" i="4"/>
  <c r="AG172" i="4"/>
  <c r="AH185" i="4"/>
  <c r="AG184" i="4"/>
  <c r="AG183" i="4"/>
  <c r="AG182" i="4"/>
  <c r="AG181" i="4"/>
  <c r="AG180" i="4"/>
  <c r="AG179" i="4"/>
  <c r="AG178" i="4"/>
  <c r="AG177" i="4"/>
  <c r="AG176" i="4"/>
  <c r="AG175" i="4"/>
  <c r="AG174" i="4"/>
  <c r="AG173" i="4"/>
  <c r="AH134" i="4"/>
  <c r="AH118" i="4"/>
  <c r="AH69" i="4"/>
  <c r="AH53" i="4"/>
  <c r="AG37" i="4"/>
  <c r="AJ113" i="3"/>
  <c r="CH381" i="2"/>
  <c r="AK72" i="2"/>
  <c r="AG102" i="4"/>
  <c r="AK38" i="2"/>
  <c r="AM67" i="11" s="1"/>
  <c r="AO301" i="2" l="1"/>
  <c r="AN299" i="2"/>
  <c r="AL220" i="2"/>
  <c r="BO65" i="15"/>
  <c r="BO64" i="15"/>
  <c r="AL97" i="2"/>
  <c r="AL82" i="2" s="1"/>
  <c r="AK83" i="2"/>
  <c r="AK111" i="2"/>
  <c r="AL99" i="2"/>
  <c r="AL102" i="2"/>
  <c r="AK217" i="2"/>
  <c r="AK91" i="2"/>
  <c r="AK92" i="2"/>
  <c r="AK218" i="2"/>
  <c r="AK89" i="2"/>
  <c r="AK214" i="2"/>
  <c r="AK85" i="2"/>
  <c r="AK210" i="2"/>
  <c r="AL107" i="2"/>
  <c r="AL108" i="2"/>
  <c r="AL100" i="2"/>
  <c r="AK215" i="2"/>
  <c r="AK86" i="2"/>
  <c r="AK211" i="2"/>
  <c r="AM110" i="2"/>
  <c r="AM94" i="2" s="1"/>
  <c r="AL105" i="2"/>
  <c r="AL101" i="2"/>
  <c r="AK93" i="2"/>
  <c r="AK219" i="2"/>
  <c r="AK90" i="2"/>
  <c r="AK84" i="2"/>
  <c r="AK209" i="2"/>
  <c r="AK87" i="2"/>
  <c r="AK212" i="2"/>
  <c r="AK88" i="2"/>
  <c r="AK213" i="2"/>
  <c r="AL103" i="2"/>
  <c r="AL104" i="2"/>
  <c r="AL109" i="2"/>
  <c r="AL106" i="2"/>
  <c r="AL98" i="2"/>
  <c r="AL208" i="2" s="1"/>
  <c r="AM372" i="2"/>
  <c r="AL385" i="2"/>
  <c r="AM381" i="2"/>
  <c r="AL386" i="2"/>
  <c r="AH75" i="3"/>
  <c r="AI200" i="3"/>
  <c r="AM321" i="2"/>
  <c r="AJ208" i="3"/>
  <c r="AJ216" i="3" s="1"/>
  <c r="AJ188" i="3"/>
  <c r="AJ196" i="3" s="1"/>
  <c r="AI222" i="3"/>
  <c r="AI201" i="3"/>
  <c r="AI220" i="3"/>
  <c r="AM319" i="2"/>
  <c r="AJ206" i="3"/>
  <c r="AJ214" i="3" s="1"/>
  <c r="AJ186" i="3"/>
  <c r="AJ194" i="3" s="1"/>
  <c r="AM320" i="2"/>
  <c r="AJ207" i="3"/>
  <c r="AJ215" i="3" s="1"/>
  <c r="AJ187" i="3"/>
  <c r="AJ195" i="3" s="1"/>
  <c r="AE184" i="12"/>
  <c r="AE179" i="12" s="1"/>
  <c r="AK86" i="15"/>
  <c r="AK171" i="15"/>
  <c r="AK161" i="15"/>
  <c r="AK152" i="15"/>
  <c r="AK143" i="15"/>
  <c r="AK134" i="15"/>
  <c r="AK113" i="15"/>
  <c r="AK118" i="15" s="1"/>
  <c r="AG124" i="12"/>
  <c r="AG128" i="12" s="1"/>
  <c r="AK128" i="15"/>
  <c r="AL172" i="15"/>
  <c r="AH170" i="12" s="1"/>
  <c r="AL162" i="15"/>
  <c r="AH160" i="12" s="1"/>
  <c r="AL153" i="15"/>
  <c r="AH152" i="12" s="1"/>
  <c r="AL144" i="15"/>
  <c r="AH143" i="12" s="1"/>
  <c r="AL124" i="15"/>
  <c r="AL114" i="15"/>
  <c r="AH115" i="12" s="1"/>
  <c r="AH119" i="12" s="1"/>
  <c r="AL75" i="15"/>
  <c r="AJ137" i="15"/>
  <c r="AF133" i="12"/>
  <c r="AF136" i="12" s="1"/>
  <c r="AJ146" i="15"/>
  <c r="AF142" i="12"/>
  <c r="AF145" i="12" s="1"/>
  <c r="AF151" i="12"/>
  <c r="AF155" i="12" s="1"/>
  <c r="AJ156" i="15"/>
  <c r="AJ165" i="15"/>
  <c r="AF159" i="12"/>
  <c r="AF163" i="12" s="1"/>
  <c r="AJ174" i="15"/>
  <c r="AF169" i="12"/>
  <c r="AF172" i="12" s="1"/>
  <c r="BJ72" i="15"/>
  <c r="BI170" i="15"/>
  <c r="BE168" i="12" s="1"/>
  <c r="BI160" i="15"/>
  <c r="BE158" i="12" s="1"/>
  <c r="BI151" i="15"/>
  <c r="BE150" i="12" s="1"/>
  <c r="BI142" i="15"/>
  <c r="BE141" i="12" s="1"/>
  <c r="BI133" i="15"/>
  <c r="BE132" i="12" s="1"/>
  <c r="BI123" i="15"/>
  <c r="AH53" i="3"/>
  <c r="AI50" i="3"/>
  <c r="AH71" i="3"/>
  <c r="AH65" i="3"/>
  <c r="AZ55" i="2"/>
  <c r="AM51" i="2"/>
  <c r="AM54" i="2"/>
  <c r="AM58" i="2"/>
  <c r="AL42" i="2"/>
  <c r="AM44" i="2"/>
  <c r="AM43" i="2"/>
  <c r="AM49" i="2"/>
  <c r="AM48" i="2"/>
  <c r="AM47" i="2"/>
  <c r="AM52" i="2"/>
  <c r="AM50" i="2"/>
  <c r="AM61" i="2"/>
  <c r="AL45" i="2"/>
  <c r="AM46" i="2"/>
  <c r="AM53" i="2"/>
  <c r="AH74" i="3"/>
  <c r="AH59" i="3"/>
  <c r="AJ38" i="3"/>
  <c r="AI64" i="3"/>
  <c r="AI76" i="3" s="1"/>
  <c r="AJ27" i="3"/>
  <c r="AI56" i="3"/>
  <c r="AI62" i="3"/>
  <c r="AI57" i="3"/>
  <c r="AI70" i="3"/>
  <c r="AI69" i="3"/>
  <c r="AI58" i="3"/>
  <c r="AI51" i="3"/>
  <c r="AI75" i="3" s="1"/>
  <c r="AF310" i="17"/>
  <c r="AF342" i="17"/>
  <c r="AF346" i="17"/>
  <c r="AF314" i="17"/>
  <c r="AF313" i="17"/>
  <c r="AF345" i="17"/>
  <c r="AJ25" i="3"/>
  <c r="AF344" i="17"/>
  <c r="AF312" i="17"/>
  <c r="AF336" i="17"/>
  <c r="AF304" i="17"/>
  <c r="AI47" i="3"/>
  <c r="AF302" i="17"/>
  <c r="AF334" i="17"/>
  <c r="AF307" i="17"/>
  <c r="AF339" i="17"/>
  <c r="AF283" i="17"/>
  <c r="AF347" i="17"/>
  <c r="AF315" i="17"/>
  <c r="AF303" i="17"/>
  <c r="AF335" i="17"/>
  <c r="AJ45" i="3"/>
  <c r="AJ69" i="3" s="1"/>
  <c r="AF338" i="17"/>
  <c r="AF306" i="17"/>
  <c r="AF309" i="17"/>
  <c r="AF341" i="17"/>
  <c r="AJ46" i="3"/>
  <c r="AJ52" i="3" s="1"/>
  <c r="AF311" i="17"/>
  <c r="AF343" i="17"/>
  <c r="AF340" i="17"/>
  <c r="AF308" i="17"/>
  <c r="AM333" i="17"/>
  <c r="AM301" i="17"/>
  <c r="AJ44" i="3"/>
  <c r="AJ62" i="3" s="1"/>
  <c r="AF337" i="17"/>
  <c r="AF305" i="17"/>
  <c r="BD90" i="17"/>
  <c r="BD97" i="17"/>
  <c r="BD89" i="17"/>
  <c r="BD84" i="17"/>
  <c r="BD95" i="17"/>
  <c r="BD83" i="17"/>
  <c r="BD94" i="17"/>
  <c r="BF85" i="17"/>
  <c r="BD92" i="17"/>
  <c r="BD96" i="17"/>
  <c r="BD93" i="17"/>
  <c r="BD91" i="17"/>
  <c r="BD88" i="17"/>
  <c r="BD87" i="17"/>
  <c r="BD86" i="17"/>
  <c r="AG462" i="17"/>
  <c r="AG461" i="17"/>
  <c r="AG463" i="17"/>
  <c r="AM339" i="2"/>
  <c r="AM340" i="2"/>
  <c r="AM341" i="2"/>
  <c r="AJ33" i="3"/>
  <c r="AK8" i="3"/>
  <c r="AK24" i="3" s="1"/>
  <c r="AW66" i="15"/>
  <c r="AV168" i="15"/>
  <c r="AV149" i="15"/>
  <c r="AV140" i="15"/>
  <c r="AR139" i="12" s="1"/>
  <c r="AV131" i="15"/>
  <c r="AR130" i="12" s="1"/>
  <c r="AV121" i="15"/>
  <c r="AR121" i="12" s="1"/>
  <c r="AV111" i="15"/>
  <c r="AR112" i="12" s="1"/>
  <c r="AV67" i="15"/>
  <c r="AR178" i="12" s="1"/>
  <c r="AR166" i="12"/>
  <c r="AR148" i="12"/>
  <c r="AV93" i="15"/>
  <c r="AU95" i="15"/>
  <c r="AV159" i="15"/>
  <c r="AV169" i="15"/>
  <c r="AR167" i="12" s="1"/>
  <c r="AV150" i="15"/>
  <c r="AR149" i="12" s="1"/>
  <c r="AV141" i="15"/>
  <c r="AR140" i="12" s="1"/>
  <c r="AV132" i="15"/>
  <c r="AR131" i="12" s="1"/>
  <c r="AV122" i="15"/>
  <c r="AR122" i="12" s="1"/>
  <c r="AV112" i="15"/>
  <c r="AR113" i="12" s="1"/>
  <c r="AX84" i="15"/>
  <c r="AW164" i="15"/>
  <c r="AS162" i="12" s="1"/>
  <c r="AW155" i="15"/>
  <c r="AW145" i="15"/>
  <c r="AW136" i="15"/>
  <c r="AS135" i="12" s="1"/>
  <c r="AW127" i="15"/>
  <c r="AS127" i="12" s="1"/>
  <c r="AW117" i="15"/>
  <c r="AS118" i="12" s="1"/>
  <c r="AJ32" i="3"/>
  <c r="AI262" i="3"/>
  <c r="AJ29" i="3"/>
  <c r="AI298" i="3"/>
  <c r="AJ31" i="3"/>
  <c r="AJ37" i="3"/>
  <c r="AJ36" i="3"/>
  <c r="AM16" i="2"/>
  <c r="AK9" i="3"/>
  <c r="AK22" i="3"/>
  <c r="AP49" i="3"/>
  <c r="AP55" i="3"/>
  <c r="AP67" i="3"/>
  <c r="AP61" i="3"/>
  <c r="AK13" i="3"/>
  <c r="AO73" i="3"/>
  <c r="AK21" i="3"/>
  <c r="AK11" i="3"/>
  <c r="AM18" i="2"/>
  <c r="AJ283" i="3"/>
  <c r="AJ292" i="3" s="1"/>
  <c r="AJ241" i="3"/>
  <c r="AJ249" i="3" s="1"/>
  <c r="AJ257" i="3" s="1"/>
  <c r="AM19" i="2"/>
  <c r="AK281" i="3"/>
  <c r="AK290" i="3" s="1"/>
  <c r="AM9" i="2"/>
  <c r="AM13" i="2"/>
  <c r="AI39" i="3"/>
  <c r="AK10" i="3"/>
  <c r="AM17" i="2"/>
  <c r="AQ89" i="3"/>
  <c r="AQ90" i="3" s="1"/>
  <c r="AQ43" i="3"/>
  <c r="AJ284" i="3"/>
  <c r="AJ293" i="3" s="1"/>
  <c r="AJ242" i="3"/>
  <c r="AJ250" i="3" s="1"/>
  <c r="AJ258" i="3" s="1"/>
  <c r="AJ34" i="3"/>
  <c r="AK20" i="3"/>
  <c r="AM21" i="2"/>
  <c r="AN24" i="2"/>
  <c r="AM8" i="2"/>
  <c r="AM10" i="2"/>
  <c r="AK17" i="3"/>
  <c r="AK15" i="3"/>
  <c r="AJ35" i="3"/>
  <c r="AK18" i="3"/>
  <c r="AM191" i="3"/>
  <c r="AM199" i="3" s="1"/>
  <c r="AL287" i="3"/>
  <c r="AL296" i="3" s="1"/>
  <c r="AL245" i="3"/>
  <c r="AL253" i="3" s="1"/>
  <c r="AL261" i="3" s="1"/>
  <c r="AJ28" i="3"/>
  <c r="AK239" i="3"/>
  <c r="AK247" i="3" s="1"/>
  <c r="AK255" i="3" s="1"/>
  <c r="AJ30" i="3"/>
  <c r="AK19" i="3"/>
  <c r="AM189" i="3"/>
  <c r="AM197" i="3" s="1"/>
  <c r="AL285" i="3"/>
  <c r="AL294" i="3" s="1"/>
  <c r="AL243" i="3"/>
  <c r="AL251" i="3" s="1"/>
  <c r="AL259" i="3" s="1"/>
  <c r="AN27" i="2"/>
  <c r="AM11" i="2"/>
  <c r="AM14" i="2"/>
  <c r="AM12" i="2"/>
  <c r="AK12" i="3"/>
  <c r="AM20" i="2"/>
  <c r="AJ240" i="3"/>
  <c r="AJ248" i="3" s="1"/>
  <c r="AJ256" i="3" s="1"/>
  <c r="AK14" i="3"/>
  <c r="AK16" i="3"/>
  <c r="AR288" i="3"/>
  <c r="AR297" i="3" s="1"/>
  <c r="AR230" i="3"/>
  <c r="AR231" i="3" s="1"/>
  <c r="AJ26" i="3"/>
  <c r="AM190" i="3"/>
  <c r="AM198" i="3" s="1"/>
  <c r="AL244" i="3"/>
  <c r="AL252" i="3" s="1"/>
  <c r="AL260" i="3" s="1"/>
  <c r="AM15" i="2"/>
  <c r="AZ173" i="15"/>
  <c r="AZ163" i="15"/>
  <c r="AV161" i="12" s="1"/>
  <c r="AZ154" i="15"/>
  <c r="AZ135" i="15"/>
  <c r="AV134" i="12" s="1"/>
  <c r="AZ125" i="15"/>
  <c r="AV125" i="12" s="1"/>
  <c r="AZ115" i="15"/>
  <c r="AV116" i="12" s="1"/>
  <c r="AG308" i="3"/>
  <c r="AH85" i="3"/>
  <c r="AN192" i="2"/>
  <c r="AM309" i="2"/>
  <c r="AL154" i="11"/>
  <c r="AL108" i="11"/>
  <c r="AL113" i="11" s="1"/>
  <c r="AL133" i="11"/>
  <c r="AL143" i="11"/>
  <c r="AM129" i="11"/>
  <c r="AM149" i="11"/>
  <c r="AM139" i="11"/>
  <c r="AM111" i="11"/>
  <c r="AM159" i="11"/>
  <c r="AM170" i="11"/>
  <c r="AM70" i="11"/>
  <c r="AM83" i="11" s="1"/>
  <c r="AL164" i="11"/>
  <c r="AL174" i="11"/>
  <c r="AQ98" i="11"/>
  <c r="AR96" i="11"/>
  <c r="AR163" i="11"/>
  <c r="AR153" i="11"/>
  <c r="AR142" i="11"/>
  <c r="AR132" i="11"/>
  <c r="AR122" i="11"/>
  <c r="AR112" i="11"/>
  <c r="AS79" i="11"/>
  <c r="AR173" i="11"/>
  <c r="AR162" i="11"/>
  <c r="AR152" i="11"/>
  <c r="AR131" i="11"/>
  <c r="AR120" i="11"/>
  <c r="AR110" i="11"/>
  <c r="AS74" i="11"/>
  <c r="AR172" i="11"/>
  <c r="AR161" i="11"/>
  <c r="AR151" i="11"/>
  <c r="AR141" i="11"/>
  <c r="AR119" i="11"/>
  <c r="AR109" i="11"/>
  <c r="AS72" i="11"/>
  <c r="AR169" i="11"/>
  <c r="AR148" i="11"/>
  <c r="AR138" i="11"/>
  <c r="AR128" i="11"/>
  <c r="AR117" i="11"/>
  <c r="AR107" i="11"/>
  <c r="AS65" i="11"/>
  <c r="AR89" i="11"/>
  <c r="AS89" i="11" s="1"/>
  <c r="AQ90" i="11"/>
  <c r="AR88" i="11"/>
  <c r="AN158" i="11"/>
  <c r="AN147" i="11"/>
  <c r="AN116" i="11"/>
  <c r="AN123" i="11" s="1"/>
  <c r="AN106" i="11"/>
  <c r="AO64" i="11"/>
  <c r="AL38" i="2"/>
  <c r="AN67" i="11" s="1"/>
  <c r="AH102" i="4"/>
  <c r="AL72" i="2"/>
  <c r="CI381" i="2"/>
  <c r="AK113" i="3"/>
  <c r="AH37" i="4"/>
  <c r="AI53" i="4"/>
  <c r="AI69" i="4"/>
  <c r="AI118" i="4"/>
  <c r="AI134" i="4"/>
  <c r="AH173" i="4"/>
  <c r="AH174" i="4"/>
  <c r="AH175" i="4"/>
  <c r="AH176" i="4"/>
  <c r="AH177" i="4"/>
  <c r="AH178" i="4"/>
  <c r="AH179" i="4"/>
  <c r="AH180" i="4"/>
  <c r="AH181" i="4"/>
  <c r="AH182" i="4"/>
  <c r="AH183" i="4"/>
  <c r="AH184" i="4"/>
  <c r="AI185" i="4"/>
  <c r="AH223" i="4"/>
  <c r="AH172" i="4"/>
  <c r="AH256" i="4"/>
  <c r="AH303" i="4"/>
  <c r="AH311" i="4"/>
  <c r="BN309" i="4"/>
  <c r="BN310" i="4"/>
  <c r="AI320" i="4"/>
  <c r="AI346" i="4"/>
  <c r="AI363" i="4"/>
  <c r="BO68" i="15" l="1"/>
  <c r="BP65" i="15"/>
  <c r="BP64" i="15"/>
  <c r="AP301" i="2"/>
  <c r="AO299" i="2"/>
  <c r="BP68" i="15"/>
  <c r="AM97" i="2"/>
  <c r="AM82" i="2" s="1"/>
  <c r="AL83" i="2"/>
  <c r="AL88" i="2"/>
  <c r="AL213" i="2"/>
  <c r="AL92" i="2"/>
  <c r="AL218" i="2"/>
  <c r="AM108" i="2"/>
  <c r="AM106" i="2"/>
  <c r="AM107" i="2"/>
  <c r="AL90" i="2"/>
  <c r="AL91" i="2"/>
  <c r="AL217" i="2"/>
  <c r="AM220" i="2"/>
  <c r="AL93" i="2"/>
  <c r="AL219" i="2"/>
  <c r="AL86" i="2"/>
  <c r="AL211" i="2"/>
  <c r="AL87" i="2"/>
  <c r="AL212" i="2"/>
  <c r="AN110" i="2"/>
  <c r="AN94" i="2" s="1"/>
  <c r="AM109" i="2"/>
  <c r="AM101" i="2"/>
  <c r="AM102" i="2"/>
  <c r="AM103" i="2"/>
  <c r="AL89" i="2"/>
  <c r="AL214" i="2"/>
  <c r="AL215" i="2"/>
  <c r="AL85" i="2"/>
  <c r="AL210" i="2"/>
  <c r="AL84" i="2"/>
  <c r="AL209" i="2"/>
  <c r="AL111" i="2"/>
  <c r="AM104" i="2"/>
  <c r="AM105" i="2"/>
  <c r="AM100" i="2"/>
  <c r="AM99" i="2"/>
  <c r="AM98" i="2"/>
  <c r="AM83" i="2" s="1"/>
  <c r="AN372" i="2"/>
  <c r="AM385" i="2"/>
  <c r="AH77" i="3"/>
  <c r="AN381" i="2"/>
  <c r="AM386" i="2"/>
  <c r="AJ200" i="3"/>
  <c r="AJ220" i="3"/>
  <c r="AN319" i="2"/>
  <c r="AK206" i="3"/>
  <c r="AK214" i="3" s="1"/>
  <c r="AK186" i="3"/>
  <c r="AK194" i="3" s="1"/>
  <c r="AN320" i="2"/>
  <c r="AK207" i="3"/>
  <c r="AK215" i="3" s="1"/>
  <c r="AK187" i="3"/>
  <c r="AK195" i="3" s="1"/>
  <c r="AJ201" i="3"/>
  <c r="AJ222" i="3"/>
  <c r="AN321" i="2"/>
  <c r="AK208" i="3"/>
  <c r="AK216" i="3" s="1"/>
  <c r="AK188" i="3"/>
  <c r="AK196" i="3" s="1"/>
  <c r="AF184" i="12"/>
  <c r="AF179" i="12" s="1"/>
  <c r="AL86" i="15"/>
  <c r="AL171" i="15"/>
  <c r="AL161" i="15"/>
  <c r="AL152" i="15"/>
  <c r="AL143" i="15"/>
  <c r="AL134" i="15"/>
  <c r="AL113" i="15"/>
  <c r="AL118" i="15" s="1"/>
  <c r="AH124" i="12"/>
  <c r="AH128" i="12" s="1"/>
  <c r="AL128" i="15"/>
  <c r="AM172" i="15"/>
  <c r="AI170" i="12" s="1"/>
  <c r="AM162" i="15"/>
  <c r="AI160" i="12" s="1"/>
  <c r="AM153" i="15"/>
  <c r="AI152" i="12" s="1"/>
  <c r="AM144" i="15"/>
  <c r="AI143" i="12" s="1"/>
  <c r="AM124" i="15"/>
  <c r="AM114" i="15"/>
  <c r="AI115" i="12" s="1"/>
  <c r="AI119" i="12" s="1"/>
  <c r="AM75" i="15"/>
  <c r="AK137" i="15"/>
  <c r="AG133" i="12"/>
  <c r="AG136" i="12" s="1"/>
  <c r="AK146" i="15"/>
  <c r="AG142" i="12"/>
  <c r="AG145" i="12" s="1"/>
  <c r="AG151" i="12"/>
  <c r="AG155" i="12" s="1"/>
  <c r="AK156" i="15"/>
  <c r="AK165" i="15"/>
  <c r="AG159" i="12"/>
  <c r="AG163" i="12" s="1"/>
  <c r="AK174" i="15"/>
  <c r="AG169" i="12"/>
  <c r="AG172" i="12" s="1"/>
  <c r="BK72" i="15"/>
  <c r="BJ170" i="15"/>
  <c r="BF168" i="12" s="1"/>
  <c r="BJ160" i="15"/>
  <c r="BF158" i="12" s="1"/>
  <c r="BJ151" i="15"/>
  <c r="BF150" i="12" s="1"/>
  <c r="BJ142" i="15"/>
  <c r="BF141" i="12" s="1"/>
  <c r="BJ133" i="15"/>
  <c r="BF132" i="12" s="1"/>
  <c r="BJ123" i="15"/>
  <c r="AI74" i="3"/>
  <c r="AI77" i="3" s="1"/>
  <c r="AI65" i="3"/>
  <c r="AJ63" i="3"/>
  <c r="AI59" i="3"/>
  <c r="BA55" i="2"/>
  <c r="AN44" i="2"/>
  <c r="AN61" i="2"/>
  <c r="AM45" i="2"/>
  <c r="AN48" i="2"/>
  <c r="AN58" i="2"/>
  <c r="AM42" i="2"/>
  <c r="AN46" i="2"/>
  <c r="AN47" i="2"/>
  <c r="AN50" i="2"/>
  <c r="AN49" i="2"/>
  <c r="AN54" i="2"/>
  <c r="AN53" i="2"/>
  <c r="AN52" i="2"/>
  <c r="AN43" i="2"/>
  <c r="AN51" i="2"/>
  <c r="AI71" i="3"/>
  <c r="AK36" i="3"/>
  <c r="AJ57" i="3"/>
  <c r="AJ51" i="3"/>
  <c r="AI53" i="3"/>
  <c r="AJ68" i="3"/>
  <c r="AJ50" i="3"/>
  <c r="AJ74" i="3" s="1"/>
  <c r="AJ70" i="3"/>
  <c r="AJ64" i="3"/>
  <c r="AJ76" i="3" s="1"/>
  <c r="AJ58" i="3"/>
  <c r="AK45" i="3"/>
  <c r="AK51" i="3" s="1"/>
  <c r="AG338" i="17"/>
  <c r="AG306" i="17"/>
  <c r="AJ56" i="3"/>
  <c r="AG334" i="17"/>
  <c r="AG302" i="17"/>
  <c r="AG340" i="17"/>
  <c r="AG308" i="17"/>
  <c r="AG283" i="17"/>
  <c r="AG315" i="17"/>
  <c r="AG347" i="17"/>
  <c r="AG307" i="17"/>
  <c r="AG339" i="17"/>
  <c r="AG312" i="17"/>
  <c r="AG344" i="17"/>
  <c r="AG342" i="17"/>
  <c r="AG310" i="17"/>
  <c r="AG314" i="17"/>
  <c r="AG346" i="17"/>
  <c r="AK44" i="3"/>
  <c r="AK50" i="3" s="1"/>
  <c r="AG337" i="17"/>
  <c r="AG305" i="17"/>
  <c r="AJ47" i="3"/>
  <c r="AN301" i="17"/>
  <c r="AN333" i="17"/>
  <c r="AG335" i="17"/>
  <c r="AG303" i="17"/>
  <c r="AG345" i="17"/>
  <c r="AG313" i="17"/>
  <c r="AG341" i="17"/>
  <c r="AG309" i="17"/>
  <c r="AK46" i="3"/>
  <c r="AK58" i="3" s="1"/>
  <c r="AG311" i="17"/>
  <c r="AG343" i="17"/>
  <c r="AG304" i="17"/>
  <c r="AG336" i="17"/>
  <c r="BE91" i="17"/>
  <c r="BG85" i="17"/>
  <c r="BH85" i="17" s="1"/>
  <c r="BI85" i="17" s="1"/>
  <c r="BE84" i="17"/>
  <c r="BE86" i="17"/>
  <c r="BE93" i="17"/>
  <c r="BE94" i="17"/>
  <c r="BE89" i="17"/>
  <c r="BE87" i="17"/>
  <c r="BE96" i="17"/>
  <c r="BE83" i="17"/>
  <c r="BE97" i="17"/>
  <c r="BE88" i="17"/>
  <c r="BE92" i="17"/>
  <c r="BE95" i="17"/>
  <c r="BE90" i="17"/>
  <c r="AH462" i="17"/>
  <c r="AH461" i="17"/>
  <c r="AH463" i="17"/>
  <c r="AN339" i="2"/>
  <c r="AN340" i="2"/>
  <c r="AN341" i="2"/>
  <c r="AJ262" i="3"/>
  <c r="AK34" i="3"/>
  <c r="AK33" i="3"/>
  <c r="AL8" i="3"/>
  <c r="AL24" i="3" s="1"/>
  <c r="AX66" i="15"/>
  <c r="AW168" i="15"/>
  <c r="AW149" i="15"/>
  <c r="AS148" i="12" s="1"/>
  <c r="AW140" i="15"/>
  <c r="AS139" i="12" s="1"/>
  <c r="AW131" i="15"/>
  <c r="AS130" i="12" s="1"/>
  <c r="AW121" i="15"/>
  <c r="AS121" i="12" s="1"/>
  <c r="AW111" i="15"/>
  <c r="AS112" i="12" s="1"/>
  <c r="AW67" i="15"/>
  <c r="AS178" i="12" s="1"/>
  <c r="AS166" i="12"/>
  <c r="AY84" i="15"/>
  <c r="AX164" i="15"/>
  <c r="AT162" i="12" s="1"/>
  <c r="AX155" i="15"/>
  <c r="AX145" i="15"/>
  <c r="AX136" i="15"/>
  <c r="AT135" i="12" s="1"/>
  <c r="AX127" i="15"/>
  <c r="AT127" i="12" s="1"/>
  <c r="AX117" i="15"/>
  <c r="AT118" i="12" s="1"/>
  <c r="AW159" i="15"/>
  <c r="AW169" i="15"/>
  <c r="AS167" i="12" s="1"/>
  <c r="AW150" i="15"/>
  <c r="AS149" i="12" s="1"/>
  <c r="AW141" i="15"/>
  <c r="AS140" i="12" s="1"/>
  <c r="AW132" i="15"/>
  <c r="AS131" i="12" s="1"/>
  <c r="AW122" i="15"/>
  <c r="AS122" i="12" s="1"/>
  <c r="AW112" i="15"/>
  <c r="AS113" i="12" s="1"/>
  <c r="AW94" i="15"/>
  <c r="AV95" i="15"/>
  <c r="AW93" i="15"/>
  <c r="AW95" i="15" s="1"/>
  <c r="AK30" i="3"/>
  <c r="AK27" i="3"/>
  <c r="AJ298" i="3"/>
  <c r="AL14" i="3"/>
  <c r="AN12" i="2"/>
  <c r="AO24" i="2"/>
  <c r="AN8" i="2"/>
  <c r="AL10" i="3"/>
  <c r="AP73" i="3"/>
  <c r="AJ39" i="3"/>
  <c r="AK35" i="3"/>
  <c r="AK31" i="3"/>
  <c r="AK284" i="3"/>
  <c r="AK293" i="3" s="1"/>
  <c r="AK242" i="3"/>
  <c r="AK250" i="3" s="1"/>
  <c r="AK258" i="3" s="1"/>
  <c r="AK283" i="3"/>
  <c r="AK292" i="3" s="1"/>
  <c r="AK241" i="3"/>
  <c r="AK249" i="3" s="1"/>
  <c r="AK257" i="3" s="1"/>
  <c r="AK38" i="3"/>
  <c r="AK240" i="3"/>
  <c r="AK248" i="3" s="1"/>
  <c r="AK256" i="3" s="1"/>
  <c r="AN14" i="2"/>
  <c r="AL19" i="3"/>
  <c r="AL18" i="3"/>
  <c r="AL15" i="3"/>
  <c r="AN21" i="2"/>
  <c r="AQ49" i="3"/>
  <c r="AQ55" i="3"/>
  <c r="AQ67" i="3"/>
  <c r="AQ61" i="3"/>
  <c r="AK29" i="3"/>
  <c r="AL22" i="3"/>
  <c r="AN191" i="3"/>
  <c r="AN199" i="3" s="1"/>
  <c r="AM287" i="3"/>
  <c r="AM296" i="3" s="1"/>
  <c r="AM245" i="3"/>
  <c r="AM253" i="3" s="1"/>
  <c r="AM261" i="3" s="1"/>
  <c r="AN13" i="2"/>
  <c r="AN18" i="2"/>
  <c r="AL13" i="3"/>
  <c r="AK25" i="3"/>
  <c r="AS288" i="3"/>
  <c r="AS297" i="3" s="1"/>
  <c r="AS230" i="3"/>
  <c r="AS231" i="3" s="1"/>
  <c r="AN20" i="2"/>
  <c r="AO27" i="2"/>
  <c r="AN11" i="2"/>
  <c r="AL17" i="3"/>
  <c r="AL20" i="3"/>
  <c r="AR89" i="3"/>
  <c r="AR90" i="3" s="1"/>
  <c r="AR43" i="3"/>
  <c r="AL9" i="3"/>
  <c r="AN15" i="2"/>
  <c r="AK32" i="3"/>
  <c r="AK28" i="3"/>
  <c r="AN9" i="2"/>
  <c r="AN19" i="2"/>
  <c r="AL11" i="3"/>
  <c r="AL281" i="3"/>
  <c r="AL290" i="3" s="1"/>
  <c r="AL16" i="3"/>
  <c r="AL12" i="3"/>
  <c r="AN10" i="2"/>
  <c r="AN17" i="2"/>
  <c r="AK37" i="3"/>
  <c r="AN16" i="2"/>
  <c r="AN190" i="3"/>
  <c r="AN198" i="3" s="1"/>
  <c r="AM244" i="3"/>
  <c r="AM252" i="3" s="1"/>
  <c r="AM260" i="3" s="1"/>
  <c r="AN189" i="3"/>
  <c r="AN197" i="3" s="1"/>
  <c r="AM285" i="3"/>
  <c r="AM294" i="3" s="1"/>
  <c r="AM243" i="3"/>
  <c r="AM251" i="3" s="1"/>
  <c r="AM259" i="3" s="1"/>
  <c r="AL239" i="3"/>
  <c r="AL247" i="3" s="1"/>
  <c r="AL255" i="3" s="1"/>
  <c r="AK26" i="3"/>
  <c r="AL21" i="3"/>
  <c r="BA173" i="15"/>
  <c r="BA163" i="15"/>
  <c r="AW161" i="12" s="1"/>
  <c r="BA154" i="15"/>
  <c r="BA135" i="15"/>
  <c r="AW134" i="12" s="1"/>
  <c r="BA125" i="15"/>
  <c r="AW125" i="12" s="1"/>
  <c r="BA115" i="15"/>
  <c r="AW116" i="12" s="1"/>
  <c r="AI85" i="3"/>
  <c r="AH308" i="3"/>
  <c r="AO192" i="2"/>
  <c r="AM150" i="11"/>
  <c r="AM154" i="11" s="1"/>
  <c r="AN309" i="2"/>
  <c r="AM160" i="11"/>
  <c r="AM164" i="11" s="1"/>
  <c r="AM171" i="11"/>
  <c r="AM174" i="11" s="1"/>
  <c r="AM108" i="11"/>
  <c r="AM113" i="11" s="1"/>
  <c r="AM130" i="11"/>
  <c r="AM133" i="11" s="1"/>
  <c r="AM140" i="11"/>
  <c r="AM143" i="11" s="1"/>
  <c r="AM81" i="11"/>
  <c r="AN111" i="11"/>
  <c r="AN139" i="11"/>
  <c r="AN149" i="11"/>
  <c r="AN159" i="11"/>
  <c r="AN129" i="11"/>
  <c r="AN170" i="11"/>
  <c r="AN70" i="11"/>
  <c r="AN160" i="11" s="1"/>
  <c r="AO158" i="11"/>
  <c r="AO147" i="11"/>
  <c r="AO116" i="11"/>
  <c r="AO123" i="11" s="1"/>
  <c r="AO106" i="11"/>
  <c r="AP64" i="11"/>
  <c r="AR90" i="11"/>
  <c r="AS88" i="11"/>
  <c r="AS169" i="11"/>
  <c r="AS148" i="11"/>
  <c r="AS138" i="11"/>
  <c r="AS128" i="11"/>
  <c r="AS117" i="11"/>
  <c r="AS107" i="11"/>
  <c r="AT65" i="11"/>
  <c r="AS172" i="11"/>
  <c r="AS161" i="11"/>
  <c r="AS151" i="11"/>
  <c r="AS141" i="11"/>
  <c r="AS119" i="11"/>
  <c r="AS109" i="11"/>
  <c r="AT72" i="11"/>
  <c r="AS173" i="11"/>
  <c r="AS162" i="11"/>
  <c r="AS152" i="11"/>
  <c r="AS131" i="11"/>
  <c r="AS120" i="11"/>
  <c r="AS110" i="11"/>
  <c r="AT74" i="11"/>
  <c r="AS163" i="11"/>
  <c r="AS153" i="11"/>
  <c r="AS142" i="11"/>
  <c r="AS132" i="11"/>
  <c r="AS122" i="11"/>
  <c r="AS112" i="11"/>
  <c r="AT79" i="11"/>
  <c r="AR98" i="11"/>
  <c r="AS96" i="11"/>
  <c r="AJ363" i="4"/>
  <c r="AJ346" i="4"/>
  <c r="AJ320" i="4"/>
  <c r="BO310" i="4"/>
  <c r="AI311" i="4"/>
  <c r="BO309" i="4"/>
  <c r="AI303" i="4"/>
  <c r="AI256" i="4"/>
  <c r="AI223" i="4"/>
  <c r="AI172" i="4"/>
  <c r="AJ185" i="4"/>
  <c r="AI184" i="4"/>
  <c r="AI183" i="4"/>
  <c r="AI182" i="4"/>
  <c r="AI181" i="4"/>
  <c r="AI180" i="4"/>
  <c r="AI179" i="4"/>
  <c r="AI178" i="4"/>
  <c r="AI177" i="4"/>
  <c r="AI176" i="4"/>
  <c r="AI175" i="4"/>
  <c r="AI174" i="4"/>
  <c r="AI173" i="4"/>
  <c r="AJ134" i="4"/>
  <c r="AJ118" i="4"/>
  <c r="AJ69" i="4"/>
  <c r="AJ53" i="4"/>
  <c r="AI37" i="4"/>
  <c r="AL113" i="3"/>
  <c r="CJ381" i="2"/>
  <c r="AM72" i="2"/>
  <c r="AI102" i="4"/>
  <c r="AM38" i="2"/>
  <c r="AO67" i="11" s="1"/>
  <c r="AQ301" i="2" l="1"/>
  <c r="AP299" i="2"/>
  <c r="BQ65" i="15"/>
  <c r="BQ64" i="15"/>
  <c r="AN97" i="2"/>
  <c r="AN82" i="2" s="1"/>
  <c r="AM208" i="2"/>
  <c r="AM84" i="2"/>
  <c r="AM209" i="2"/>
  <c r="AN109" i="2"/>
  <c r="AM90" i="2"/>
  <c r="AM88" i="2"/>
  <c r="AM213" i="2"/>
  <c r="AN103" i="2"/>
  <c r="AN100" i="2"/>
  <c r="AM87" i="2"/>
  <c r="AM212" i="2"/>
  <c r="AN108" i="2"/>
  <c r="AN106" i="2"/>
  <c r="AM85" i="2"/>
  <c r="AM210" i="2"/>
  <c r="AM92" i="2"/>
  <c r="AM218" i="2"/>
  <c r="AN220" i="2"/>
  <c r="AM111" i="2"/>
  <c r="AM215" i="2"/>
  <c r="AN102" i="2"/>
  <c r="AN99" i="2"/>
  <c r="AN105" i="2"/>
  <c r="AM86" i="2"/>
  <c r="AM211" i="2"/>
  <c r="AO110" i="2"/>
  <c r="AO94" i="2" s="1"/>
  <c r="AM89" i="2"/>
  <c r="AM214" i="2"/>
  <c r="AN101" i="2"/>
  <c r="AM91" i="2"/>
  <c r="AM217" i="2"/>
  <c r="AN104" i="2"/>
  <c r="AM93" i="2"/>
  <c r="AM219" i="2"/>
  <c r="AN107" i="2"/>
  <c r="AN98" i="2"/>
  <c r="AN83" i="2" s="1"/>
  <c r="AO372" i="2"/>
  <c r="AN385" i="2"/>
  <c r="AO381" i="2"/>
  <c r="AN386" i="2"/>
  <c r="AK200" i="3"/>
  <c r="AO320" i="2"/>
  <c r="AL207" i="3"/>
  <c r="AL215" i="3" s="1"/>
  <c r="AL187" i="3"/>
  <c r="AL195" i="3" s="1"/>
  <c r="AK201" i="3"/>
  <c r="AK222" i="3"/>
  <c r="AK220" i="3"/>
  <c r="AO321" i="2"/>
  <c r="AL208" i="3"/>
  <c r="AL216" i="3" s="1"/>
  <c r="AL188" i="3"/>
  <c r="AL196" i="3" s="1"/>
  <c r="AO319" i="2"/>
  <c r="AL206" i="3"/>
  <c r="AL214" i="3" s="1"/>
  <c r="AL186" i="3"/>
  <c r="AL194" i="3" s="1"/>
  <c r="AG184" i="12"/>
  <c r="AG179" i="12" s="1"/>
  <c r="AM86" i="15"/>
  <c r="AM171" i="15"/>
  <c r="AM161" i="15"/>
  <c r="AM152" i="15"/>
  <c r="AM143" i="15"/>
  <c r="AM134" i="15"/>
  <c r="AM113" i="15"/>
  <c r="AM118" i="15" s="1"/>
  <c r="AI124" i="12"/>
  <c r="AI128" i="12" s="1"/>
  <c r="AM128" i="15"/>
  <c r="AN172" i="15"/>
  <c r="AJ170" i="12" s="1"/>
  <c r="AN162" i="15"/>
  <c r="AJ160" i="12" s="1"/>
  <c r="AN153" i="15"/>
  <c r="AJ152" i="12" s="1"/>
  <c r="AN144" i="15"/>
  <c r="AJ143" i="12" s="1"/>
  <c r="AN124" i="15"/>
  <c r="AN114" i="15"/>
  <c r="AJ115" i="12" s="1"/>
  <c r="AJ119" i="12" s="1"/>
  <c r="AN75" i="15"/>
  <c r="AL137" i="15"/>
  <c r="AH133" i="12"/>
  <c r="AH136" i="12" s="1"/>
  <c r="AL146" i="15"/>
  <c r="AH142" i="12"/>
  <c r="AH145" i="12" s="1"/>
  <c r="AH151" i="12"/>
  <c r="AH155" i="12" s="1"/>
  <c r="AL156" i="15"/>
  <c r="AL165" i="15"/>
  <c r="AH159" i="12"/>
  <c r="AH163" i="12" s="1"/>
  <c r="AL174" i="15"/>
  <c r="AH169" i="12"/>
  <c r="AH172" i="12" s="1"/>
  <c r="BL72" i="15"/>
  <c r="BK170" i="15"/>
  <c r="BG168" i="12" s="1"/>
  <c r="BK160" i="15"/>
  <c r="BG158" i="12" s="1"/>
  <c r="BK151" i="15"/>
  <c r="BG150" i="12" s="1"/>
  <c r="BK142" i="15"/>
  <c r="BG141" i="12" s="1"/>
  <c r="BK133" i="15"/>
  <c r="BG132" i="12" s="1"/>
  <c r="BK123" i="15"/>
  <c r="AJ75" i="3"/>
  <c r="AJ77" i="3" s="1"/>
  <c r="AK57" i="3"/>
  <c r="AJ53" i="3"/>
  <c r="BB55" i="2"/>
  <c r="AO43" i="2"/>
  <c r="AO49" i="2"/>
  <c r="AO58" i="2"/>
  <c r="AN42" i="2"/>
  <c r="AO50" i="2"/>
  <c r="AO53" i="2"/>
  <c r="AO47" i="2"/>
  <c r="AO61" i="2"/>
  <c r="AN45" i="2"/>
  <c r="AO52" i="2"/>
  <c r="AO48" i="2"/>
  <c r="AO51" i="2"/>
  <c r="AO54" i="2"/>
  <c r="AO46" i="2"/>
  <c r="AO44" i="2"/>
  <c r="AJ59" i="3"/>
  <c r="AJ65" i="3"/>
  <c r="AJ71" i="3"/>
  <c r="AK69" i="3"/>
  <c r="AK63" i="3"/>
  <c r="AK75" i="3" s="1"/>
  <c r="AK70" i="3"/>
  <c r="AK52" i="3"/>
  <c r="AK53" i="3" s="1"/>
  <c r="AK64" i="3"/>
  <c r="AK68" i="3"/>
  <c r="AK47" i="3"/>
  <c r="AK56" i="3"/>
  <c r="AK62" i="3"/>
  <c r="AK74" i="3" s="1"/>
  <c r="AO333" i="17"/>
  <c r="AO301" i="17"/>
  <c r="AL46" i="3"/>
  <c r="AL58" i="3" s="1"/>
  <c r="AH311" i="17"/>
  <c r="AH343" i="17"/>
  <c r="AH303" i="17"/>
  <c r="AH335" i="17"/>
  <c r="AH307" i="17"/>
  <c r="AH339" i="17"/>
  <c r="AH283" i="17"/>
  <c r="AH315" i="17"/>
  <c r="AH347" i="17"/>
  <c r="AH340" i="17"/>
  <c r="AH308" i="17"/>
  <c r="AH309" i="17"/>
  <c r="AH341" i="17"/>
  <c r="AH334" i="17"/>
  <c r="AH302" i="17"/>
  <c r="AH336" i="17"/>
  <c r="AH304" i="17"/>
  <c r="AL45" i="3"/>
  <c r="AL51" i="3" s="1"/>
  <c r="AH338" i="17"/>
  <c r="AH306" i="17"/>
  <c r="AL44" i="3"/>
  <c r="AH305" i="17"/>
  <c r="AH337" i="17"/>
  <c r="AH310" i="17"/>
  <c r="AH342" i="17"/>
  <c r="AH345" i="17"/>
  <c r="AH313" i="17"/>
  <c r="AH314" i="17"/>
  <c r="AH346" i="17"/>
  <c r="AH312" i="17"/>
  <c r="AH344" i="17"/>
  <c r="BF88" i="17"/>
  <c r="BF87" i="17"/>
  <c r="BF86" i="17"/>
  <c r="BF90" i="17"/>
  <c r="BF97" i="17"/>
  <c r="BF89" i="17"/>
  <c r="BF84" i="17"/>
  <c r="BF95" i="17"/>
  <c r="BF83" i="17"/>
  <c r="BF94" i="17"/>
  <c r="BF92" i="17"/>
  <c r="BF96" i="17"/>
  <c r="BF93" i="17"/>
  <c r="BF91" i="17"/>
  <c r="AL29" i="3"/>
  <c r="AI463" i="17"/>
  <c r="AI462" i="17"/>
  <c r="AI461" i="17"/>
  <c r="AO339" i="2"/>
  <c r="AO340" i="2"/>
  <c r="AO341" i="2"/>
  <c r="AM8" i="3"/>
  <c r="AM24" i="3" s="1"/>
  <c r="AY66" i="15"/>
  <c r="AX168" i="15"/>
  <c r="AT166" i="12" s="1"/>
  <c r="AX149" i="15"/>
  <c r="AX140" i="15"/>
  <c r="AT139" i="12" s="1"/>
  <c r="AX131" i="15"/>
  <c r="AT130" i="12" s="1"/>
  <c r="AX121" i="15"/>
  <c r="AX111" i="15"/>
  <c r="AT112" i="12" s="1"/>
  <c r="AX67" i="15"/>
  <c r="AT178" i="12" s="1"/>
  <c r="AT148" i="12"/>
  <c r="AT121" i="12"/>
  <c r="AX159" i="15"/>
  <c r="AX169" i="15"/>
  <c r="AT167" i="12" s="1"/>
  <c r="AX150" i="15"/>
  <c r="AT149" i="12" s="1"/>
  <c r="AX141" i="15"/>
  <c r="AT140" i="12" s="1"/>
  <c r="AX132" i="15"/>
  <c r="AT131" i="12" s="1"/>
  <c r="AX122" i="15"/>
  <c r="AT122" i="12" s="1"/>
  <c r="AX112" i="15"/>
  <c r="AT113" i="12" s="1"/>
  <c r="AZ84" i="15"/>
  <c r="AY164" i="15"/>
  <c r="AU162" i="12" s="1"/>
  <c r="AY155" i="15"/>
  <c r="AY145" i="15"/>
  <c r="AY136" i="15"/>
  <c r="AU135" i="12" s="1"/>
  <c r="AY127" i="15"/>
  <c r="AU127" i="12" s="1"/>
  <c r="AY117" i="15"/>
  <c r="AU118" i="12" s="1"/>
  <c r="AL37" i="3"/>
  <c r="AL36" i="3"/>
  <c r="AL38" i="3"/>
  <c r="AL31" i="3"/>
  <c r="AL25" i="3"/>
  <c r="AL28" i="3"/>
  <c r="AL34" i="3"/>
  <c r="AM281" i="3"/>
  <c r="AM290" i="3" s="1"/>
  <c r="AO17" i="2"/>
  <c r="AM16" i="3"/>
  <c r="AL26" i="3"/>
  <c r="AM239" i="3"/>
  <c r="AM247" i="3" s="1"/>
  <c r="AM255" i="3" s="1"/>
  <c r="AO9" i="2"/>
  <c r="AM20" i="3"/>
  <c r="AO13" i="2"/>
  <c r="AO21" i="2"/>
  <c r="AO14" i="2"/>
  <c r="AM10" i="3"/>
  <c r="AO190" i="3"/>
  <c r="AO198" i="3" s="1"/>
  <c r="AN244" i="3"/>
  <c r="AN252" i="3" s="1"/>
  <c r="AN260" i="3" s="1"/>
  <c r="AO10" i="2"/>
  <c r="AO15" i="2"/>
  <c r="AL33" i="3"/>
  <c r="AT288" i="3"/>
  <c r="AT297" i="3" s="1"/>
  <c r="AT230" i="3"/>
  <c r="AT231" i="3" s="1"/>
  <c r="AM22" i="3"/>
  <c r="AK262" i="3"/>
  <c r="AL284" i="3"/>
  <c r="AL293" i="3" s="1"/>
  <c r="AL242" i="3"/>
  <c r="AL250" i="3" s="1"/>
  <c r="AL258" i="3" s="1"/>
  <c r="AM17" i="3"/>
  <c r="AK39" i="3"/>
  <c r="AM15" i="3"/>
  <c r="AL240" i="3"/>
  <c r="AL248" i="3" s="1"/>
  <c r="AL256" i="3" s="1"/>
  <c r="AP24" i="2"/>
  <c r="AO8" i="2"/>
  <c r="AO189" i="3"/>
  <c r="AO197" i="3" s="1"/>
  <c r="AN285" i="3"/>
  <c r="AN294" i="3" s="1"/>
  <c r="AN243" i="3"/>
  <c r="AN251" i="3" s="1"/>
  <c r="AN259" i="3" s="1"/>
  <c r="AO16" i="2"/>
  <c r="AL27" i="3"/>
  <c r="AM9" i="3"/>
  <c r="AO191" i="3"/>
  <c r="AO199" i="3" s="1"/>
  <c r="AN245" i="3"/>
  <c r="AN253" i="3" s="1"/>
  <c r="AN261" i="3" s="1"/>
  <c r="AN287" i="3"/>
  <c r="AN296" i="3" s="1"/>
  <c r="AM11" i="3"/>
  <c r="AR49" i="3"/>
  <c r="AR55" i="3"/>
  <c r="AR67" i="3"/>
  <c r="AR61" i="3"/>
  <c r="AP27" i="2"/>
  <c r="AO11" i="2"/>
  <c r="AM13" i="3"/>
  <c r="AM18" i="3"/>
  <c r="AO12" i="2"/>
  <c r="AM21" i="3"/>
  <c r="AM12" i="3"/>
  <c r="AL35" i="3"/>
  <c r="AK298" i="3"/>
  <c r="AL30" i="3"/>
  <c r="AL32" i="3"/>
  <c r="AO19" i="2"/>
  <c r="AS89" i="3"/>
  <c r="AS90" i="3" s="1"/>
  <c r="AS43" i="3"/>
  <c r="AO20" i="2"/>
  <c r="AO18" i="2"/>
  <c r="AQ73" i="3"/>
  <c r="AM19" i="3"/>
  <c r="AL283" i="3"/>
  <c r="AL292" i="3" s="1"/>
  <c r="AL241" i="3"/>
  <c r="AL249" i="3" s="1"/>
  <c r="AL257" i="3" s="1"/>
  <c r="AM14" i="3"/>
  <c r="BB173" i="15"/>
  <c r="BB163" i="15"/>
  <c r="AX161" i="12" s="1"/>
  <c r="BB154" i="15"/>
  <c r="BB135" i="15"/>
  <c r="AX134" i="12" s="1"/>
  <c r="BB125" i="15"/>
  <c r="AX125" i="12" s="1"/>
  <c r="BB115" i="15"/>
  <c r="AX116" i="12" s="1"/>
  <c r="AI308" i="3"/>
  <c r="AJ85" i="3"/>
  <c r="AP192" i="2"/>
  <c r="AN108" i="11"/>
  <c r="AN113" i="11" s="1"/>
  <c r="AO309" i="2"/>
  <c r="AN130" i="11"/>
  <c r="AN133" i="11" s="1"/>
  <c r="AN171" i="11"/>
  <c r="AN174" i="11" s="1"/>
  <c r="AN83" i="11"/>
  <c r="AN81" i="11"/>
  <c r="AN164" i="11"/>
  <c r="AN140" i="11"/>
  <c r="AN143" i="11" s="1"/>
  <c r="AO129" i="11"/>
  <c r="AO111" i="11"/>
  <c r="AO170" i="11"/>
  <c r="AO139" i="11"/>
  <c r="AO159" i="11"/>
  <c r="AO149" i="11"/>
  <c r="AO70" i="11"/>
  <c r="AO140" i="11" s="1"/>
  <c r="AN150" i="11"/>
  <c r="AN154" i="11" s="1"/>
  <c r="AS98" i="11"/>
  <c r="AT96" i="11"/>
  <c r="AT163" i="11"/>
  <c r="AT153" i="11"/>
  <c r="AT142" i="11"/>
  <c r="AT132" i="11"/>
  <c r="AT122" i="11"/>
  <c r="AT112" i="11"/>
  <c r="AU79" i="11"/>
  <c r="AT173" i="11"/>
  <c r="AT162" i="11"/>
  <c r="AT152" i="11"/>
  <c r="AT131" i="11"/>
  <c r="AT120" i="11"/>
  <c r="AT110" i="11"/>
  <c r="AU74" i="11"/>
  <c r="AT172" i="11"/>
  <c r="AT161" i="11"/>
  <c r="AT151" i="11"/>
  <c r="AT141" i="11"/>
  <c r="AT119" i="11"/>
  <c r="AT109" i="11"/>
  <c r="AU72" i="11"/>
  <c r="AT169" i="11"/>
  <c r="AT148" i="11"/>
  <c r="AT138" i="11"/>
  <c r="AT128" i="11"/>
  <c r="AT117" i="11"/>
  <c r="AT107" i="11"/>
  <c r="AU65" i="11"/>
  <c r="AT89" i="11"/>
  <c r="AU89" i="11" s="1"/>
  <c r="AS90" i="11"/>
  <c r="AT88" i="11"/>
  <c r="AP158" i="11"/>
  <c r="AP147" i="11"/>
  <c r="AP116" i="11"/>
  <c r="AP123" i="11" s="1"/>
  <c r="AP106" i="11"/>
  <c r="AQ64" i="11"/>
  <c r="AN38" i="2"/>
  <c r="AP67" i="11" s="1"/>
  <c r="AJ102" i="4"/>
  <c r="AN72" i="2"/>
  <c r="CK381" i="2"/>
  <c r="AM113" i="3"/>
  <c r="AJ37" i="4"/>
  <c r="AK53" i="4"/>
  <c r="AK69" i="4"/>
  <c r="AK118" i="4"/>
  <c r="AK134" i="4"/>
  <c r="AJ173" i="4"/>
  <c r="AJ174" i="4"/>
  <c r="AJ175" i="4"/>
  <c r="AJ176" i="4"/>
  <c r="AJ177" i="4"/>
  <c r="AJ178" i="4"/>
  <c r="AJ179" i="4"/>
  <c r="AJ180" i="4"/>
  <c r="AJ181" i="4"/>
  <c r="AJ182" i="4"/>
  <c r="AJ183" i="4"/>
  <c r="AJ184" i="4"/>
  <c r="AK185" i="4"/>
  <c r="AJ223" i="4"/>
  <c r="AJ172" i="4"/>
  <c r="AJ256" i="4"/>
  <c r="AJ303" i="4"/>
  <c r="AJ311" i="4"/>
  <c r="BP309" i="4"/>
  <c r="BP310" i="4"/>
  <c r="AK320" i="4"/>
  <c r="AK346" i="4"/>
  <c r="AK363" i="4"/>
  <c r="AO220" i="2" l="1"/>
  <c r="AR301" i="2"/>
  <c r="AQ299" i="2"/>
  <c r="BQ68" i="15"/>
  <c r="BQ67" i="15"/>
  <c r="AO97" i="2"/>
  <c r="AO82" i="2" s="1"/>
  <c r="AN208" i="2"/>
  <c r="AN215" i="2"/>
  <c r="AO105" i="2"/>
  <c r="AN84" i="2"/>
  <c r="AN209" i="2"/>
  <c r="AO99" i="2"/>
  <c r="AO107" i="2"/>
  <c r="AN89" i="2"/>
  <c r="AN214" i="2"/>
  <c r="AN87" i="2"/>
  <c r="AN212" i="2"/>
  <c r="AN85" i="2"/>
  <c r="AN210" i="2"/>
  <c r="AN93" i="2"/>
  <c r="AN219" i="2"/>
  <c r="AN86" i="2"/>
  <c r="AN211" i="2"/>
  <c r="AP110" i="2"/>
  <c r="AP94" i="2" s="1"/>
  <c r="AN91" i="2"/>
  <c r="AN217" i="2"/>
  <c r="AO101" i="2"/>
  <c r="AO104" i="2"/>
  <c r="AO102" i="2"/>
  <c r="AO100" i="2"/>
  <c r="AO109" i="2"/>
  <c r="AN90" i="2"/>
  <c r="AN88" i="2"/>
  <c r="AN213" i="2"/>
  <c r="AN92" i="2"/>
  <c r="AN218" i="2"/>
  <c r="AO108" i="2"/>
  <c r="AN111" i="2"/>
  <c r="AO106" i="2"/>
  <c r="AO103" i="2"/>
  <c r="AO98" i="2"/>
  <c r="AO83" i="2" s="1"/>
  <c r="AP372" i="2"/>
  <c r="AO385" i="2"/>
  <c r="AL200" i="3"/>
  <c r="AP381" i="2"/>
  <c r="AO386" i="2"/>
  <c r="AP321" i="2"/>
  <c r="AM208" i="3"/>
  <c r="AM216" i="3" s="1"/>
  <c r="AM188" i="3"/>
  <c r="AM196" i="3" s="1"/>
  <c r="AL201" i="3"/>
  <c r="AL222" i="3"/>
  <c r="AL220" i="3"/>
  <c r="AP319" i="2"/>
  <c r="AM206" i="3"/>
  <c r="AM214" i="3" s="1"/>
  <c r="AM186" i="3"/>
  <c r="AM194" i="3" s="1"/>
  <c r="AP320" i="2"/>
  <c r="AM207" i="3"/>
  <c r="AM215" i="3" s="1"/>
  <c r="AM187" i="3"/>
  <c r="AM195" i="3" s="1"/>
  <c r="AH184" i="12"/>
  <c r="AH179" i="12" s="1"/>
  <c r="AN86" i="15"/>
  <c r="AN171" i="15"/>
  <c r="AN161" i="15"/>
  <c r="AN152" i="15"/>
  <c r="AN143" i="15"/>
  <c r="AN134" i="15"/>
  <c r="AN113" i="15"/>
  <c r="AN118" i="15" s="1"/>
  <c r="AJ124" i="12"/>
  <c r="AJ128" i="12" s="1"/>
  <c r="AN128" i="15"/>
  <c r="AO172" i="15"/>
  <c r="AK170" i="12" s="1"/>
  <c r="AO162" i="15"/>
  <c r="AK160" i="12" s="1"/>
  <c r="AO153" i="15"/>
  <c r="AK152" i="12" s="1"/>
  <c r="AO144" i="15"/>
  <c r="AK143" i="12" s="1"/>
  <c r="AO124" i="15"/>
  <c r="AO114" i="15"/>
  <c r="AK115" i="12" s="1"/>
  <c r="AK119" i="12" s="1"/>
  <c r="AO75" i="15"/>
  <c r="AM137" i="15"/>
  <c r="AI133" i="12"/>
  <c r="AI136" i="12" s="1"/>
  <c r="AM146" i="15"/>
  <c r="AI142" i="12"/>
  <c r="AI145" i="12" s="1"/>
  <c r="AI151" i="12"/>
  <c r="AI155" i="12" s="1"/>
  <c r="AM156" i="15"/>
  <c r="AM165" i="15"/>
  <c r="AI159" i="12"/>
  <c r="AI163" i="12" s="1"/>
  <c r="AM174" i="15"/>
  <c r="AI169" i="12"/>
  <c r="AI172" i="12" s="1"/>
  <c r="BM72" i="15"/>
  <c r="BL170" i="15"/>
  <c r="BH168" i="12" s="1"/>
  <c r="BL160" i="15"/>
  <c r="BH158" i="12" s="1"/>
  <c r="BL151" i="15"/>
  <c r="BH150" i="12" s="1"/>
  <c r="BL142" i="15"/>
  <c r="BH141" i="12" s="1"/>
  <c r="BL133" i="15"/>
  <c r="BH132" i="12" s="1"/>
  <c r="BL123" i="15"/>
  <c r="AK59" i="3"/>
  <c r="AM25" i="3"/>
  <c r="BC55" i="2"/>
  <c r="AP54" i="2"/>
  <c r="AP61" i="2"/>
  <c r="AO45" i="2"/>
  <c r="AP46" i="2"/>
  <c r="AP58" i="2"/>
  <c r="AO42" i="2"/>
  <c r="AP50" i="2"/>
  <c r="AP51" i="2"/>
  <c r="AP47" i="2"/>
  <c r="AP52" i="2"/>
  <c r="AP49" i="2"/>
  <c r="AP44" i="2"/>
  <c r="AP48" i="2"/>
  <c r="AP53" i="2"/>
  <c r="AP43" i="2"/>
  <c r="AL70" i="3"/>
  <c r="AL52" i="3"/>
  <c r="AL64" i="3"/>
  <c r="AK76" i="3"/>
  <c r="AK77" i="3" s="1"/>
  <c r="AK71" i="3"/>
  <c r="AL69" i="3"/>
  <c r="AM30" i="3"/>
  <c r="AL47" i="3"/>
  <c r="AL63" i="3"/>
  <c r="AL62" i="3"/>
  <c r="AK65" i="3"/>
  <c r="AL57" i="3"/>
  <c r="AL50" i="3"/>
  <c r="AL56" i="3"/>
  <c r="AL68" i="3"/>
  <c r="AM38" i="3"/>
  <c r="AM46" i="3"/>
  <c r="AM52" i="3" s="1"/>
  <c r="AI311" i="17"/>
  <c r="AI343" i="17"/>
  <c r="AI314" i="17"/>
  <c r="AI346" i="17"/>
  <c r="AI310" i="17"/>
  <c r="AI342" i="17"/>
  <c r="AI309" i="17"/>
  <c r="AI341" i="17"/>
  <c r="AI340" i="17"/>
  <c r="AI308" i="17"/>
  <c r="AI303" i="17"/>
  <c r="AI335" i="17"/>
  <c r="AM44" i="3"/>
  <c r="AM62" i="3" s="1"/>
  <c r="AI337" i="17"/>
  <c r="AI305" i="17"/>
  <c r="AM45" i="3"/>
  <c r="AM51" i="3" s="1"/>
  <c r="AI338" i="17"/>
  <c r="AI306" i="17"/>
  <c r="AI304" i="17"/>
  <c r="AI336" i="17"/>
  <c r="AI283" i="17"/>
  <c r="AI347" i="17"/>
  <c r="AI315" i="17"/>
  <c r="AI313" i="17"/>
  <c r="AI345" i="17"/>
  <c r="AI344" i="17"/>
  <c r="AI312" i="17"/>
  <c r="AI307" i="17"/>
  <c r="AI339" i="17"/>
  <c r="AI302" i="17"/>
  <c r="AI334" i="17"/>
  <c r="BG96" i="17"/>
  <c r="BH96" i="17" s="1"/>
  <c r="BI96" i="17" s="1"/>
  <c r="BG95" i="17"/>
  <c r="BH95" i="17" s="1"/>
  <c r="BI95" i="17" s="1"/>
  <c r="BG90" i="17"/>
  <c r="BH90" i="17" s="1"/>
  <c r="BI90" i="17" s="1"/>
  <c r="BG92" i="17"/>
  <c r="BH92" i="17" s="1"/>
  <c r="BI92" i="17" s="1"/>
  <c r="BG84" i="17"/>
  <c r="BH84" i="17" s="1"/>
  <c r="BI84" i="17" s="1"/>
  <c r="BG86" i="17"/>
  <c r="BH86" i="17" s="1"/>
  <c r="BI86" i="17" s="1"/>
  <c r="BG91" i="17"/>
  <c r="BH91" i="17" s="1"/>
  <c r="BI91" i="17" s="1"/>
  <c r="BG94" i="17"/>
  <c r="BH94" i="17" s="1"/>
  <c r="BI94" i="17" s="1"/>
  <c r="BG89" i="17"/>
  <c r="BH89" i="17" s="1"/>
  <c r="BI89" i="17" s="1"/>
  <c r="BG87" i="17"/>
  <c r="BH87" i="17" s="1"/>
  <c r="BI87" i="17" s="1"/>
  <c r="BG93" i="17"/>
  <c r="BH93" i="17" s="1"/>
  <c r="BI93" i="17" s="1"/>
  <c r="BG83" i="17"/>
  <c r="BH83" i="17" s="1"/>
  <c r="BI83" i="17" s="1"/>
  <c r="BG97" i="17"/>
  <c r="BH97" i="17" s="1"/>
  <c r="BI97" i="17" s="1"/>
  <c r="BG88" i="17"/>
  <c r="BH88" i="17" s="1"/>
  <c r="BI88" i="17" s="1"/>
  <c r="AJ462" i="17"/>
  <c r="AJ463" i="17"/>
  <c r="AJ461" i="17"/>
  <c r="AP339" i="2"/>
  <c r="AP340" i="2"/>
  <c r="AP341" i="2"/>
  <c r="AM31" i="3"/>
  <c r="AM26" i="3"/>
  <c r="AN8" i="3"/>
  <c r="AN24" i="3" s="1"/>
  <c r="AZ66" i="15"/>
  <c r="AY168" i="15"/>
  <c r="AY149" i="15"/>
  <c r="AY140" i="15"/>
  <c r="AY131" i="15"/>
  <c r="AU130" i="12" s="1"/>
  <c r="AY121" i="15"/>
  <c r="AU121" i="12" s="1"/>
  <c r="AY111" i="15"/>
  <c r="AU112" i="12" s="1"/>
  <c r="AU178" i="12"/>
  <c r="AU166" i="12"/>
  <c r="AU139" i="12"/>
  <c r="AU148" i="12"/>
  <c r="BA84" i="15"/>
  <c r="AZ164" i="15"/>
  <c r="AV162" i="12" s="1"/>
  <c r="AZ155" i="15"/>
  <c r="AZ145" i="15"/>
  <c r="AZ136" i="15"/>
  <c r="AV135" i="12" s="1"/>
  <c r="AZ127" i="15"/>
  <c r="AV127" i="12" s="1"/>
  <c r="AZ117" i="15"/>
  <c r="AV118" i="12" s="1"/>
  <c r="AY159" i="15"/>
  <c r="AY169" i="15"/>
  <c r="AU167" i="12" s="1"/>
  <c r="AY150" i="15"/>
  <c r="AU149" i="12" s="1"/>
  <c r="AY141" i="15"/>
  <c r="AU140" i="12" s="1"/>
  <c r="AY132" i="15"/>
  <c r="AU131" i="12" s="1"/>
  <c r="AY122" i="15"/>
  <c r="AU122" i="12" s="1"/>
  <c r="AY112" i="15"/>
  <c r="AU113" i="12" s="1"/>
  <c r="AM27" i="3"/>
  <c r="AL262" i="3"/>
  <c r="AM37" i="3"/>
  <c r="AN19" i="3"/>
  <c r="AS55" i="3"/>
  <c r="AS49" i="3"/>
  <c r="AS67" i="3"/>
  <c r="AS61" i="3"/>
  <c r="AN13" i="3"/>
  <c r="AN9" i="3"/>
  <c r="AQ24" i="2"/>
  <c r="AP8" i="2"/>
  <c r="AU230" i="3"/>
  <c r="AU231" i="3" s="1"/>
  <c r="AU288" i="3"/>
  <c r="AU297" i="3" s="1"/>
  <c r="AM36" i="3"/>
  <c r="AN16" i="3"/>
  <c r="AN281" i="3"/>
  <c r="AN290" i="3" s="1"/>
  <c r="AT89" i="3"/>
  <c r="AT90" i="3" s="1"/>
  <c r="AT43" i="3"/>
  <c r="AQ27" i="2"/>
  <c r="AP11" i="2"/>
  <c r="AP191" i="3"/>
  <c r="AP199" i="3" s="1"/>
  <c r="AO287" i="3"/>
  <c r="AO296" i="3" s="1"/>
  <c r="AO245" i="3"/>
  <c r="AO253" i="3" s="1"/>
  <c r="AO261" i="3" s="1"/>
  <c r="AM240" i="3"/>
  <c r="AM248" i="3" s="1"/>
  <c r="AM256" i="3" s="1"/>
  <c r="AM284" i="3"/>
  <c r="AM293" i="3" s="1"/>
  <c r="AM242" i="3"/>
  <c r="AM250" i="3" s="1"/>
  <c r="AM258" i="3" s="1"/>
  <c r="AP17" i="2"/>
  <c r="AN20" i="3"/>
  <c r="AN14" i="3"/>
  <c r="AP12" i="2"/>
  <c r="AP16" i="2"/>
  <c r="AP15" i="2"/>
  <c r="AP14" i="2"/>
  <c r="AP9" i="2"/>
  <c r="AP19" i="2"/>
  <c r="AM34" i="3"/>
  <c r="AN15" i="3"/>
  <c r="AL298" i="3"/>
  <c r="AP18" i="2"/>
  <c r="AN18" i="3"/>
  <c r="AN22" i="3"/>
  <c r="AP10" i="2"/>
  <c r="AP21" i="2"/>
  <c r="AN239" i="3"/>
  <c r="AN247" i="3" s="1"/>
  <c r="AN255" i="3" s="1"/>
  <c r="AN21" i="3"/>
  <c r="AM283" i="3"/>
  <c r="AM292" i="3" s="1"/>
  <c r="AM241" i="3"/>
  <c r="AM249" i="3" s="1"/>
  <c r="AM257" i="3" s="1"/>
  <c r="AM28" i="3"/>
  <c r="AP189" i="3"/>
  <c r="AP197" i="3" s="1"/>
  <c r="AO243" i="3"/>
  <c r="AO251" i="3" s="1"/>
  <c r="AO259" i="3" s="1"/>
  <c r="AO285" i="3"/>
  <c r="AO294" i="3" s="1"/>
  <c r="AM33" i="3"/>
  <c r="AL39" i="3"/>
  <c r="AN11" i="3"/>
  <c r="AN10" i="3"/>
  <c r="AM35" i="3"/>
  <c r="AP20" i="2"/>
  <c r="AN12" i="3"/>
  <c r="AM29" i="3"/>
  <c r="AR73" i="3"/>
  <c r="AN17" i="3"/>
  <c r="AP190" i="3"/>
  <c r="AP198" i="3" s="1"/>
  <c r="AO244" i="3"/>
  <c r="AO252" i="3" s="1"/>
  <c r="AO260" i="3" s="1"/>
  <c r="AP13" i="2"/>
  <c r="AM32" i="3"/>
  <c r="BC173" i="15"/>
  <c r="BC163" i="15"/>
  <c r="AY161" i="12" s="1"/>
  <c r="BC154" i="15"/>
  <c r="BC135" i="15"/>
  <c r="AY134" i="12" s="1"/>
  <c r="BC125" i="15"/>
  <c r="AY125" i="12" s="1"/>
  <c r="BC115" i="15"/>
  <c r="AY116" i="12" s="1"/>
  <c r="AK85" i="3"/>
  <c r="AJ308" i="3"/>
  <c r="AQ192" i="2"/>
  <c r="AP309" i="2"/>
  <c r="AO143" i="11"/>
  <c r="AO108" i="11"/>
  <c r="AO113" i="11" s="1"/>
  <c r="AO81" i="11"/>
  <c r="AO130" i="11"/>
  <c r="AO133" i="11" s="1"/>
  <c r="AO150" i="11"/>
  <c r="AO154" i="11" s="1"/>
  <c r="AO160" i="11"/>
  <c r="AO164" i="11" s="1"/>
  <c r="AO171" i="11"/>
  <c r="AO174" i="11" s="1"/>
  <c r="AO83" i="11"/>
  <c r="AP170" i="11"/>
  <c r="AP159" i="11"/>
  <c r="AP149" i="11"/>
  <c r="AP139" i="11"/>
  <c r="AP129" i="11"/>
  <c r="AP111" i="11"/>
  <c r="AP70" i="11"/>
  <c r="AP130" i="11" s="1"/>
  <c r="AQ158" i="11"/>
  <c r="AQ147" i="11"/>
  <c r="AQ116" i="11"/>
  <c r="AQ123" i="11" s="1"/>
  <c r="AQ106" i="11"/>
  <c r="AR64" i="11"/>
  <c r="AT90" i="11"/>
  <c r="AU88" i="11"/>
  <c r="AU169" i="11"/>
  <c r="AU148" i="11"/>
  <c r="AU138" i="11"/>
  <c r="AU128" i="11"/>
  <c r="AU117" i="11"/>
  <c r="AU107" i="11"/>
  <c r="AV65" i="11"/>
  <c r="AU172" i="11"/>
  <c r="AU161" i="11"/>
  <c r="AU151" i="11"/>
  <c r="AU141" i="11"/>
  <c r="AU119" i="11"/>
  <c r="AU109" i="11"/>
  <c r="AV72" i="11"/>
  <c r="AU173" i="11"/>
  <c r="AU162" i="11"/>
  <c r="AU152" i="11"/>
  <c r="AU131" i="11"/>
  <c r="AU120" i="11"/>
  <c r="AU110" i="11"/>
  <c r="AV74" i="11"/>
  <c r="AU163" i="11"/>
  <c r="AU153" i="11"/>
  <c r="AU142" i="11"/>
  <c r="AU132" i="11"/>
  <c r="AU122" i="11"/>
  <c r="AU112" i="11"/>
  <c r="AV79" i="11"/>
  <c r="AT98" i="11"/>
  <c r="AU96" i="11"/>
  <c r="AL363" i="4"/>
  <c r="AL346" i="4"/>
  <c r="AL320" i="4"/>
  <c r="BQ310" i="4"/>
  <c r="AK311" i="4"/>
  <c r="BQ309" i="4"/>
  <c r="AK303" i="4"/>
  <c r="AK256" i="4"/>
  <c r="AK223" i="4"/>
  <c r="AK172" i="4"/>
  <c r="AL185" i="4"/>
  <c r="AK184" i="4"/>
  <c r="AK183" i="4"/>
  <c r="AK182" i="4"/>
  <c r="AK181" i="4"/>
  <c r="AK180" i="4"/>
  <c r="AK179" i="4"/>
  <c r="AK178" i="4"/>
  <c r="AK177" i="4"/>
  <c r="AK176" i="4"/>
  <c r="AK175" i="4"/>
  <c r="AK174" i="4"/>
  <c r="AK173" i="4"/>
  <c r="AL134" i="4"/>
  <c r="AL118" i="4"/>
  <c r="AL69" i="4"/>
  <c r="AL53" i="4"/>
  <c r="AK37" i="4"/>
  <c r="AN113" i="3"/>
  <c r="CL381" i="2"/>
  <c r="AO72" i="2"/>
  <c r="AK102" i="4"/>
  <c r="AO38" i="2"/>
  <c r="AQ67" i="11" s="1"/>
  <c r="AS301" i="2" l="1"/>
  <c r="AR299" i="2"/>
  <c r="AP97" i="2"/>
  <c r="AP82" i="2" s="1"/>
  <c r="AO208" i="2"/>
  <c r="AO88" i="2"/>
  <c r="AO213" i="2"/>
  <c r="AO85" i="2"/>
  <c r="AO210" i="2"/>
  <c r="AO84" i="2"/>
  <c r="AO209" i="2"/>
  <c r="AO87" i="2"/>
  <c r="AO212" i="2"/>
  <c r="AO90" i="2"/>
  <c r="AP102" i="2"/>
  <c r="AQ110" i="2"/>
  <c r="AQ94" i="2" s="1"/>
  <c r="AP220" i="2"/>
  <c r="AO111" i="2"/>
  <c r="AP106" i="2"/>
  <c r="AO89" i="2"/>
  <c r="AO214" i="2"/>
  <c r="AO215" i="2"/>
  <c r="AP100" i="2"/>
  <c r="AP104" i="2"/>
  <c r="AP105" i="2"/>
  <c r="AP103" i="2"/>
  <c r="AO92" i="2"/>
  <c r="AO218" i="2"/>
  <c r="AO93" i="2"/>
  <c r="AO219" i="2"/>
  <c r="AO86" i="2"/>
  <c r="AO211" i="2"/>
  <c r="AO91" i="2"/>
  <c r="AO217" i="2"/>
  <c r="AP99" i="2"/>
  <c r="AP108" i="2"/>
  <c r="AP109" i="2"/>
  <c r="AP101" i="2"/>
  <c r="AP107" i="2"/>
  <c r="AP98" i="2"/>
  <c r="AP208" i="2" s="1"/>
  <c r="AQ372" i="2"/>
  <c r="AP385" i="2"/>
  <c r="AM220" i="3"/>
  <c r="AQ381" i="2"/>
  <c r="AP386" i="2"/>
  <c r="AM200" i="3"/>
  <c r="AQ319" i="2"/>
  <c r="AN206" i="3"/>
  <c r="AN214" i="3" s="1"/>
  <c r="AN186" i="3"/>
  <c r="AN194" i="3" s="1"/>
  <c r="AQ320" i="2"/>
  <c r="AN207" i="3"/>
  <c r="AN215" i="3" s="1"/>
  <c r="AN187" i="3"/>
  <c r="AN195" i="3" s="1"/>
  <c r="AM222" i="3"/>
  <c r="AM201" i="3"/>
  <c r="AQ321" i="2"/>
  <c r="AN208" i="3"/>
  <c r="AN216" i="3" s="1"/>
  <c r="AN188" i="3"/>
  <c r="AN196" i="3" s="1"/>
  <c r="AI184" i="12"/>
  <c r="AI179" i="12" s="1"/>
  <c r="AO86" i="15"/>
  <c r="AO171" i="15"/>
  <c r="AO161" i="15"/>
  <c r="AO152" i="15"/>
  <c r="AO143" i="15"/>
  <c r="AO134" i="15"/>
  <c r="AO113" i="15"/>
  <c r="AO118" i="15" s="1"/>
  <c r="AK124" i="12"/>
  <c r="AK128" i="12" s="1"/>
  <c r="AO128" i="15"/>
  <c r="AP172" i="15"/>
  <c r="AL170" i="12" s="1"/>
  <c r="AP162" i="15"/>
  <c r="AL160" i="12" s="1"/>
  <c r="AP153" i="15"/>
  <c r="AL152" i="12" s="1"/>
  <c r="AP144" i="15"/>
  <c r="AL143" i="12" s="1"/>
  <c r="AP124" i="15"/>
  <c r="AP114" i="15"/>
  <c r="AL115" i="12" s="1"/>
  <c r="AL119" i="12" s="1"/>
  <c r="AP75" i="15"/>
  <c r="AN137" i="15"/>
  <c r="AJ133" i="12"/>
  <c r="AJ136" i="12" s="1"/>
  <c r="AN146" i="15"/>
  <c r="AJ142" i="12"/>
  <c r="AJ145" i="12" s="1"/>
  <c r="AJ151" i="12"/>
  <c r="AJ155" i="12" s="1"/>
  <c r="AN156" i="15"/>
  <c r="AN165" i="15"/>
  <c r="AJ159" i="12"/>
  <c r="AJ163" i="12" s="1"/>
  <c r="AN174" i="15"/>
  <c r="AJ169" i="12"/>
  <c r="AJ172" i="12" s="1"/>
  <c r="BN72" i="15"/>
  <c r="BM170" i="15"/>
  <c r="BI168" i="12" s="1"/>
  <c r="BM160" i="15"/>
  <c r="BI158" i="12" s="1"/>
  <c r="BM151" i="15"/>
  <c r="BI150" i="12" s="1"/>
  <c r="BM142" i="15"/>
  <c r="BI141" i="12" s="1"/>
  <c r="BM133" i="15"/>
  <c r="BI132" i="12" s="1"/>
  <c r="BM123" i="15"/>
  <c r="AL76" i="3"/>
  <c r="AL71" i="3"/>
  <c r="BD55" i="2"/>
  <c r="AQ53" i="2"/>
  <c r="AQ52" i="2"/>
  <c r="AQ58" i="2"/>
  <c r="AP42" i="2"/>
  <c r="AQ48" i="2"/>
  <c r="AQ47" i="2"/>
  <c r="AQ46" i="2"/>
  <c r="AQ44" i="2"/>
  <c r="AQ51" i="2"/>
  <c r="AQ61" i="2"/>
  <c r="AP45" i="2"/>
  <c r="AQ43" i="2"/>
  <c r="AQ49" i="2"/>
  <c r="AQ50" i="2"/>
  <c r="AQ54" i="2"/>
  <c r="AL65" i="3"/>
  <c r="AM63" i="3"/>
  <c r="AM75" i="3" s="1"/>
  <c r="AM70" i="3"/>
  <c r="AM57" i="3"/>
  <c r="AM58" i="3"/>
  <c r="AL75" i="3"/>
  <c r="AM69" i="3"/>
  <c r="AL74" i="3"/>
  <c r="AM64" i="3"/>
  <c r="AL59" i="3"/>
  <c r="AL53" i="3"/>
  <c r="AM47" i="3"/>
  <c r="AM68" i="3"/>
  <c r="AM56" i="3"/>
  <c r="AM50" i="3"/>
  <c r="AM74" i="3" s="1"/>
  <c r="AJ308" i="17"/>
  <c r="AJ340" i="17"/>
  <c r="AJ302" i="17"/>
  <c r="AJ334" i="17"/>
  <c r="AJ307" i="17"/>
  <c r="AJ339" i="17"/>
  <c r="AJ283" i="17"/>
  <c r="AJ347" i="17"/>
  <c r="AJ315" i="17"/>
  <c r="AJ309" i="17"/>
  <c r="AJ341" i="17"/>
  <c r="AJ336" i="17"/>
  <c r="AJ304" i="17"/>
  <c r="AJ345" i="17"/>
  <c r="AJ313" i="17"/>
  <c r="AJ342" i="17"/>
  <c r="AJ310" i="17"/>
  <c r="AN46" i="3"/>
  <c r="AN52" i="3" s="1"/>
  <c r="AJ311" i="17"/>
  <c r="AJ343" i="17"/>
  <c r="AJ314" i="17"/>
  <c r="AJ346" i="17"/>
  <c r="AJ344" i="17"/>
  <c r="AJ312" i="17"/>
  <c r="AJ303" i="17"/>
  <c r="AJ335" i="17"/>
  <c r="AN45" i="3"/>
  <c r="AN69" i="3" s="1"/>
  <c r="AJ306" i="17"/>
  <c r="AJ338" i="17"/>
  <c r="AN44" i="3"/>
  <c r="AN68" i="3" s="1"/>
  <c r="AJ305" i="17"/>
  <c r="AJ337" i="17"/>
  <c r="AK463" i="17"/>
  <c r="AK462" i="17"/>
  <c r="AK461" i="17"/>
  <c r="AQ339" i="2"/>
  <c r="AQ340" i="2"/>
  <c r="AQ341" i="2"/>
  <c r="AN33" i="3"/>
  <c r="AN27" i="3"/>
  <c r="AO8" i="3"/>
  <c r="AO24" i="3" s="1"/>
  <c r="BA66" i="15"/>
  <c r="AZ168" i="15"/>
  <c r="AV166" i="12" s="1"/>
  <c r="AZ149" i="15"/>
  <c r="AZ140" i="15"/>
  <c r="AZ131" i="15"/>
  <c r="AZ121" i="15"/>
  <c r="AZ111" i="15"/>
  <c r="AV112" i="12" s="1"/>
  <c r="AZ67" i="15"/>
  <c r="AV178" i="12" s="1"/>
  <c r="AV139" i="12"/>
  <c r="AV148" i="12"/>
  <c r="AV130" i="12"/>
  <c r="AV121" i="12"/>
  <c r="AZ159" i="15"/>
  <c r="AZ169" i="15"/>
  <c r="AV167" i="12" s="1"/>
  <c r="AZ150" i="15"/>
  <c r="AV149" i="12" s="1"/>
  <c r="AZ141" i="15"/>
  <c r="AV140" i="12" s="1"/>
  <c r="AZ132" i="15"/>
  <c r="AV131" i="12" s="1"/>
  <c r="AZ122" i="15"/>
  <c r="AV122" i="12" s="1"/>
  <c r="AZ112" i="15"/>
  <c r="AV113" i="12" s="1"/>
  <c r="BB84" i="15"/>
  <c r="BA164" i="15"/>
  <c r="AW162" i="12" s="1"/>
  <c r="BA155" i="15"/>
  <c r="BA145" i="15"/>
  <c r="BA136" i="15"/>
  <c r="AW135" i="12" s="1"/>
  <c r="BA127" i="15"/>
  <c r="AW127" i="12" s="1"/>
  <c r="BA117" i="15"/>
  <c r="AW118" i="12" s="1"/>
  <c r="AN26" i="3"/>
  <c r="AN28" i="3"/>
  <c r="AN36" i="3"/>
  <c r="AN31" i="3"/>
  <c r="AN37" i="3"/>
  <c r="AN38" i="3"/>
  <c r="AO17" i="3"/>
  <c r="AQ20" i="2"/>
  <c r="AN283" i="3"/>
  <c r="AN292" i="3" s="1"/>
  <c r="AN241" i="3"/>
  <c r="AN249" i="3" s="1"/>
  <c r="AN257" i="3" s="1"/>
  <c r="AQ10" i="2"/>
  <c r="AQ19" i="2"/>
  <c r="AQ16" i="2"/>
  <c r="AT49" i="3"/>
  <c r="AT61" i="3"/>
  <c r="AT55" i="3"/>
  <c r="AT67" i="3"/>
  <c r="AN29" i="3"/>
  <c r="AQ18" i="2"/>
  <c r="AQ17" i="2"/>
  <c r="AQ191" i="3"/>
  <c r="AQ199" i="3" s="1"/>
  <c r="AP287" i="3"/>
  <c r="AP296" i="3" s="1"/>
  <c r="AP245" i="3"/>
  <c r="AP253" i="3" s="1"/>
  <c r="AP261" i="3" s="1"/>
  <c r="AO13" i="3"/>
  <c r="AO281" i="3"/>
  <c r="AO290" i="3" s="1"/>
  <c r="AQ189" i="3"/>
  <c r="AQ197" i="3" s="1"/>
  <c r="AP285" i="3"/>
  <c r="AP294" i="3" s="1"/>
  <c r="AP243" i="3"/>
  <c r="AP251" i="3" s="1"/>
  <c r="AP259" i="3" s="1"/>
  <c r="AO21" i="3"/>
  <c r="AO22" i="3"/>
  <c r="AQ9" i="2"/>
  <c r="AU89" i="3"/>
  <c r="AU90" i="3" s="1"/>
  <c r="AU43" i="3"/>
  <c r="AO10" i="3"/>
  <c r="AQ12" i="2"/>
  <c r="AR27" i="2"/>
  <c r="AQ11" i="2"/>
  <c r="AV288" i="3"/>
  <c r="AV297" i="3" s="1"/>
  <c r="AV230" i="3"/>
  <c r="AV231" i="3" s="1"/>
  <c r="AQ13" i="2"/>
  <c r="AO239" i="3"/>
  <c r="AO247" i="3" s="1"/>
  <c r="AO255" i="3" s="1"/>
  <c r="AO15" i="3"/>
  <c r="AQ14" i="2"/>
  <c r="AN30" i="3"/>
  <c r="AN284" i="3"/>
  <c r="AN293" i="3" s="1"/>
  <c r="AN242" i="3"/>
  <c r="AN250" i="3" s="1"/>
  <c r="AN258" i="3" s="1"/>
  <c r="AS73" i="3"/>
  <c r="AO12" i="3"/>
  <c r="AO11" i="3"/>
  <c r="AM39" i="3"/>
  <c r="AO14" i="3"/>
  <c r="AM262" i="3"/>
  <c r="AR24" i="2"/>
  <c r="AQ8" i="2"/>
  <c r="AQ190" i="3"/>
  <c r="AQ198" i="3" s="1"/>
  <c r="AP244" i="3"/>
  <c r="AP252" i="3" s="1"/>
  <c r="AP260" i="3" s="1"/>
  <c r="AQ21" i="2"/>
  <c r="AN34" i="3"/>
  <c r="AQ15" i="2"/>
  <c r="AN240" i="3"/>
  <c r="AN248" i="3" s="1"/>
  <c r="AN256" i="3" s="1"/>
  <c r="AN32" i="3"/>
  <c r="AN25" i="3"/>
  <c r="AN35" i="3"/>
  <c r="AM298" i="3"/>
  <c r="AO18" i="3"/>
  <c r="AO20" i="3"/>
  <c r="AO16" i="3"/>
  <c r="AO9" i="3"/>
  <c r="AO19" i="3"/>
  <c r="BD173" i="15"/>
  <c r="BD163" i="15"/>
  <c r="AZ161" i="12" s="1"/>
  <c r="BD154" i="15"/>
  <c r="BD135" i="15"/>
  <c r="AZ134" i="12" s="1"/>
  <c r="BD125" i="15"/>
  <c r="AZ125" i="12" s="1"/>
  <c r="BD115" i="15"/>
  <c r="AZ116" i="12" s="1"/>
  <c r="AK308" i="3"/>
  <c r="AL85" i="3"/>
  <c r="AR192" i="2"/>
  <c r="AP133" i="11"/>
  <c r="AQ309" i="2"/>
  <c r="AP160" i="11"/>
  <c r="AP164" i="11" s="1"/>
  <c r="AP150" i="11"/>
  <c r="AP154" i="11" s="1"/>
  <c r="AP108" i="11"/>
  <c r="AP113" i="11" s="1"/>
  <c r="AP140" i="11"/>
  <c r="AP143" i="11" s="1"/>
  <c r="AP171" i="11"/>
  <c r="AP174" i="11" s="1"/>
  <c r="AP81" i="11"/>
  <c r="AP83" i="11"/>
  <c r="AQ159" i="11"/>
  <c r="AQ149" i="11"/>
  <c r="AQ129" i="11"/>
  <c r="AQ170" i="11"/>
  <c r="AQ111" i="11"/>
  <c r="AQ139" i="11"/>
  <c r="AQ70" i="11"/>
  <c r="AQ171" i="11" s="1"/>
  <c r="AU98" i="11"/>
  <c r="AV96" i="11"/>
  <c r="AV163" i="11"/>
  <c r="AV153" i="11"/>
  <c r="AV142" i="11"/>
  <c r="AV132" i="11"/>
  <c r="AV122" i="11"/>
  <c r="AV112" i="11"/>
  <c r="AW79" i="11"/>
  <c r="AV173" i="11"/>
  <c r="AV162" i="11"/>
  <c r="AV152" i="11"/>
  <c r="AV131" i="11"/>
  <c r="AV120" i="11"/>
  <c r="AV110" i="11"/>
  <c r="AW74" i="11"/>
  <c r="AV172" i="11"/>
  <c r="AV161" i="11"/>
  <c r="AV151" i="11"/>
  <c r="AV141" i="11"/>
  <c r="AV119" i="11"/>
  <c r="AV109" i="11"/>
  <c r="AW72" i="11"/>
  <c r="AV169" i="11"/>
  <c r="AV148" i="11"/>
  <c r="AV138" i="11"/>
  <c r="AV128" i="11"/>
  <c r="AV117" i="11"/>
  <c r="AV107" i="11"/>
  <c r="AW65" i="11"/>
  <c r="AV89" i="11"/>
  <c r="AW89" i="11" s="1"/>
  <c r="AU90" i="11"/>
  <c r="AV88" i="11"/>
  <c r="AR158" i="11"/>
  <c r="AR147" i="11"/>
  <c r="AR116" i="11"/>
  <c r="AR123" i="11" s="1"/>
  <c r="AR106" i="11"/>
  <c r="AS64" i="11"/>
  <c r="AP38" i="2"/>
  <c r="AR67" i="11" s="1"/>
  <c r="AL102" i="4"/>
  <c r="AP72" i="2"/>
  <c r="CM381" i="2"/>
  <c r="AO113" i="3"/>
  <c r="AL37" i="4"/>
  <c r="AM53" i="4"/>
  <c r="AM69" i="4"/>
  <c r="AM118" i="4"/>
  <c r="AM134" i="4"/>
  <c r="AL173" i="4"/>
  <c r="AL174" i="4"/>
  <c r="AL175" i="4"/>
  <c r="AL176" i="4"/>
  <c r="AL177" i="4"/>
  <c r="AL178" i="4"/>
  <c r="AL179" i="4"/>
  <c r="AL180" i="4"/>
  <c r="AL181" i="4"/>
  <c r="AL182" i="4"/>
  <c r="AL183" i="4"/>
  <c r="AL184" i="4"/>
  <c r="AM185" i="4"/>
  <c r="AL223" i="4"/>
  <c r="AL172" i="4"/>
  <c r="AL256" i="4"/>
  <c r="AL303" i="4"/>
  <c r="AL311" i="4"/>
  <c r="BR309" i="4"/>
  <c r="BR310" i="4"/>
  <c r="AM320" i="4"/>
  <c r="AM346" i="4"/>
  <c r="AM363" i="4"/>
  <c r="AT301" i="2" l="1"/>
  <c r="AS299" i="2"/>
  <c r="AQ97" i="2"/>
  <c r="AQ82" i="2" s="1"/>
  <c r="AP83" i="2"/>
  <c r="AP91" i="2"/>
  <c r="AP217" i="2"/>
  <c r="AP85" i="2"/>
  <c r="AP210" i="2"/>
  <c r="AQ99" i="2"/>
  <c r="AQ103" i="2"/>
  <c r="AR110" i="2"/>
  <c r="AR94" i="2" s="1"/>
  <c r="AP84" i="2"/>
  <c r="AP209" i="2"/>
  <c r="AQ100" i="2"/>
  <c r="AP88" i="2"/>
  <c r="AP213" i="2"/>
  <c r="AQ101" i="2"/>
  <c r="AP93" i="2"/>
  <c r="AP219" i="2"/>
  <c r="AP215" i="2"/>
  <c r="AP87" i="2"/>
  <c r="AP212" i="2"/>
  <c r="AQ107" i="2"/>
  <c r="AP86" i="2"/>
  <c r="AP211" i="2"/>
  <c r="AQ220" i="2"/>
  <c r="AP92" i="2"/>
  <c r="AP218" i="2"/>
  <c r="AP89" i="2"/>
  <c r="AP214" i="2"/>
  <c r="AP90" i="2"/>
  <c r="AP111" i="2"/>
  <c r="AQ109" i="2"/>
  <c r="AQ105" i="2"/>
  <c r="AQ102" i="2"/>
  <c r="AQ108" i="2"/>
  <c r="AQ104" i="2"/>
  <c r="AQ106" i="2"/>
  <c r="AQ98" i="2"/>
  <c r="AQ208" i="2" s="1"/>
  <c r="AR372" i="2"/>
  <c r="AQ385" i="2"/>
  <c r="AR381" i="2"/>
  <c r="AQ386" i="2"/>
  <c r="AN200" i="3"/>
  <c r="AR320" i="2"/>
  <c r="AO187" i="3"/>
  <c r="AO195" i="3" s="1"/>
  <c r="AO207" i="3"/>
  <c r="AO215" i="3" s="1"/>
  <c r="AN222" i="3"/>
  <c r="AN201" i="3"/>
  <c r="AN220" i="3"/>
  <c r="AR321" i="2"/>
  <c r="AO208" i="3"/>
  <c r="AO216" i="3" s="1"/>
  <c r="AO188" i="3"/>
  <c r="AO196" i="3" s="1"/>
  <c r="AR319" i="2"/>
  <c r="AO206" i="3"/>
  <c r="AO214" i="3" s="1"/>
  <c r="AO186" i="3"/>
  <c r="AO194" i="3" s="1"/>
  <c r="AJ184" i="12"/>
  <c r="AJ179" i="12" s="1"/>
  <c r="AP86" i="15"/>
  <c r="AP171" i="15"/>
  <c r="AP161" i="15"/>
  <c r="AP152" i="15"/>
  <c r="AP143" i="15"/>
  <c r="AP134" i="15"/>
  <c r="AP113" i="15"/>
  <c r="AP118" i="15" s="1"/>
  <c r="AL124" i="12"/>
  <c r="AL128" i="12" s="1"/>
  <c r="AP128" i="15"/>
  <c r="AQ172" i="15"/>
  <c r="AM170" i="12" s="1"/>
  <c r="AQ162" i="15"/>
  <c r="AM160" i="12" s="1"/>
  <c r="AQ153" i="15"/>
  <c r="AM152" i="12" s="1"/>
  <c r="AQ144" i="15"/>
  <c r="AM143" i="12" s="1"/>
  <c r="AQ124" i="15"/>
  <c r="AQ114" i="15"/>
  <c r="AM115" i="12" s="1"/>
  <c r="AM119" i="12" s="1"/>
  <c r="AQ75" i="15"/>
  <c r="AO137" i="15"/>
  <c r="AK133" i="12"/>
  <c r="AK136" i="12" s="1"/>
  <c r="AO146" i="15"/>
  <c r="AK142" i="12"/>
  <c r="AK145" i="12" s="1"/>
  <c r="AK151" i="12"/>
  <c r="AK155" i="12" s="1"/>
  <c r="AO156" i="15"/>
  <c r="AO165" i="15"/>
  <c r="AK159" i="12"/>
  <c r="AK163" i="12" s="1"/>
  <c r="AO174" i="15"/>
  <c r="AK169" i="12"/>
  <c r="AK172" i="12" s="1"/>
  <c r="BO72" i="15"/>
  <c r="BN170" i="15"/>
  <c r="BJ168" i="12" s="1"/>
  <c r="BN160" i="15"/>
  <c r="BJ158" i="12" s="1"/>
  <c r="BN151" i="15"/>
  <c r="BJ150" i="12" s="1"/>
  <c r="BN142" i="15"/>
  <c r="BJ141" i="12" s="1"/>
  <c r="BN133" i="15"/>
  <c r="BJ132" i="12" s="1"/>
  <c r="BN123" i="15"/>
  <c r="AM71" i="3"/>
  <c r="AM59" i="3"/>
  <c r="AL77" i="3"/>
  <c r="BE55" i="2"/>
  <c r="AR51" i="2"/>
  <c r="AR49" i="2"/>
  <c r="AR44" i="2"/>
  <c r="AR58" i="2"/>
  <c r="AQ42" i="2"/>
  <c r="AR48" i="2"/>
  <c r="AR46" i="2"/>
  <c r="AR50" i="2"/>
  <c r="AR43" i="2"/>
  <c r="AR52" i="2"/>
  <c r="AR54" i="2"/>
  <c r="AR61" i="2"/>
  <c r="AQ45" i="2"/>
  <c r="AR47" i="2"/>
  <c r="AR53" i="2"/>
  <c r="AM65" i="3"/>
  <c r="AM76" i="3"/>
  <c r="AM77" i="3" s="1"/>
  <c r="AN58" i="3"/>
  <c r="AN56" i="3"/>
  <c r="AN50" i="3"/>
  <c r="AM53" i="3"/>
  <c r="AN62" i="3"/>
  <c r="AO37" i="3"/>
  <c r="AN57" i="3"/>
  <c r="AN63" i="3"/>
  <c r="AN47" i="3"/>
  <c r="AN51" i="3"/>
  <c r="AN64" i="3"/>
  <c r="AN76" i="3" s="1"/>
  <c r="AN70" i="3"/>
  <c r="AN71" i="3" s="1"/>
  <c r="AO34" i="3"/>
  <c r="AK345" i="17"/>
  <c r="AK313" i="17"/>
  <c r="AO45" i="3"/>
  <c r="AO63" i="3" s="1"/>
  <c r="AK338" i="17"/>
  <c r="AK306" i="17"/>
  <c r="AK303" i="17"/>
  <c r="AK335" i="17"/>
  <c r="AO46" i="3"/>
  <c r="AO70" i="3" s="1"/>
  <c r="AK311" i="17"/>
  <c r="AK343" i="17"/>
  <c r="AK307" i="17"/>
  <c r="AK339" i="17"/>
  <c r="AK336" i="17"/>
  <c r="AK304" i="17"/>
  <c r="AK302" i="17"/>
  <c r="AK334" i="17"/>
  <c r="AK344" i="17"/>
  <c r="AK312" i="17"/>
  <c r="AK309" i="17"/>
  <c r="AK341" i="17"/>
  <c r="AK340" i="17"/>
  <c r="AK308" i="17"/>
  <c r="AK342" i="17"/>
  <c r="AK310" i="17"/>
  <c r="AK283" i="17"/>
  <c r="AK315" i="17"/>
  <c r="AK347" i="17"/>
  <c r="AO44" i="3"/>
  <c r="AO50" i="3" s="1"/>
  <c r="AK305" i="17"/>
  <c r="AK337" i="17"/>
  <c r="AK346" i="17"/>
  <c r="AK314" i="17"/>
  <c r="AO36" i="3"/>
  <c r="AL463" i="17"/>
  <c r="AL462" i="17"/>
  <c r="AL461" i="17"/>
  <c r="AR339" i="2"/>
  <c r="AR340" i="2"/>
  <c r="AR341" i="2"/>
  <c r="AO27" i="3"/>
  <c r="AP8" i="3"/>
  <c r="AP24" i="3" s="1"/>
  <c r="BB66" i="15"/>
  <c r="BA168" i="15"/>
  <c r="BA149" i="15"/>
  <c r="BA140" i="15"/>
  <c r="BA131" i="15"/>
  <c r="AW130" i="12" s="1"/>
  <c r="BA121" i="15"/>
  <c r="BA111" i="15"/>
  <c r="AW112" i="12" s="1"/>
  <c r="BA67" i="15"/>
  <c r="AW178" i="12" s="1"/>
  <c r="AW166" i="12"/>
  <c r="AW139" i="12"/>
  <c r="AW148" i="12"/>
  <c r="AW121" i="12"/>
  <c r="BC84" i="15"/>
  <c r="BB164" i="15"/>
  <c r="AX162" i="12" s="1"/>
  <c r="BB155" i="15"/>
  <c r="BB145" i="15"/>
  <c r="BB136" i="15"/>
  <c r="AX135" i="12" s="1"/>
  <c r="BB127" i="15"/>
  <c r="AX127" i="12" s="1"/>
  <c r="BB117" i="15"/>
  <c r="AX118" i="12" s="1"/>
  <c r="BA159" i="15"/>
  <c r="BA169" i="15"/>
  <c r="AW167" i="12" s="1"/>
  <c r="BA150" i="15"/>
  <c r="AW149" i="12" s="1"/>
  <c r="BA141" i="15"/>
  <c r="AW140" i="12" s="1"/>
  <c r="BA132" i="15"/>
  <c r="AW131" i="12" s="1"/>
  <c r="BA122" i="15"/>
  <c r="AW122" i="12" s="1"/>
  <c r="BA112" i="15"/>
  <c r="AW113" i="12" s="1"/>
  <c r="AN262" i="3"/>
  <c r="AO26" i="3"/>
  <c r="AO29" i="3"/>
  <c r="AO25" i="3"/>
  <c r="AO30" i="3"/>
  <c r="AO32" i="3"/>
  <c r="AR15" i="2"/>
  <c r="AS24" i="2"/>
  <c r="AR8" i="2"/>
  <c r="AP12" i="3"/>
  <c r="AP10" i="3"/>
  <c r="AO38" i="3"/>
  <c r="AR10" i="2"/>
  <c r="AP9" i="3"/>
  <c r="AR14" i="2"/>
  <c r="AP22" i="3"/>
  <c r="AR18" i="2"/>
  <c r="AN39" i="3"/>
  <c r="AO31" i="3"/>
  <c r="AW288" i="3"/>
  <c r="AW297" i="3" s="1"/>
  <c r="AW230" i="3"/>
  <c r="AW231" i="3" s="1"/>
  <c r="AU55" i="3"/>
  <c r="AU49" i="3"/>
  <c r="AU61" i="3"/>
  <c r="AU67" i="3"/>
  <c r="AP13" i="3"/>
  <c r="AN298" i="3"/>
  <c r="AP16" i="3"/>
  <c r="AR21" i="2"/>
  <c r="AP14" i="3"/>
  <c r="AP15" i="3"/>
  <c r="AP21" i="3"/>
  <c r="AO283" i="3"/>
  <c r="AO292" i="3" s="1"/>
  <c r="AO241" i="3"/>
  <c r="AO249" i="3" s="1"/>
  <c r="AO257" i="3" s="1"/>
  <c r="AP281" i="3"/>
  <c r="AP290" i="3" s="1"/>
  <c r="AS27" i="2"/>
  <c r="AR11" i="2"/>
  <c r="AV89" i="3"/>
  <c r="AV90" i="3" s="1"/>
  <c r="AV43" i="3"/>
  <c r="AR16" i="2"/>
  <c r="AP20" i="3"/>
  <c r="AR190" i="3"/>
  <c r="AR198" i="3" s="1"/>
  <c r="AQ244" i="3"/>
  <c r="AQ252" i="3" s="1"/>
  <c r="AQ260" i="3" s="1"/>
  <c r="AP239" i="3"/>
  <c r="AP247" i="3" s="1"/>
  <c r="AP255" i="3" s="1"/>
  <c r="AR191" i="3"/>
  <c r="AR199" i="3" s="1"/>
  <c r="AQ287" i="3"/>
  <c r="AQ296" i="3" s="1"/>
  <c r="AQ245" i="3"/>
  <c r="AQ253" i="3" s="1"/>
  <c r="AQ261" i="3" s="1"/>
  <c r="AR20" i="2"/>
  <c r="AO35" i="3"/>
  <c r="AO240" i="3"/>
  <c r="AO248" i="3" s="1"/>
  <c r="AO256" i="3" s="1"/>
  <c r="AP11" i="3"/>
  <c r="AO284" i="3"/>
  <c r="AO293" i="3" s="1"/>
  <c r="AO242" i="3"/>
  <c r="AO250" i="3" s="1"/>
  <c r="AO258" i="3" s="1"/>
  <c r="AR12" i="2"/>
  <c r="AR189" i="3"/>
  <c r="AR197" i="3" s="1"/>
  <c r="AQ285" i="3"/>
  <c r="AQ294" i="3" s="1"/>
  <c r="AQ243" i="3"/>
  <c r="AQ251" i="3" s="1"/>
  <c r="AQ259" i="3" s="1"/>
  <c r="AT73" i="3"/>
  <c r="AR19" i="2"/>
  <c r="AO33" i="3"/>
  <c r="AP19" i="3"/>
  <c r="AP18" i="3"/>
  <c r="AO28" i="3"/>
  <c r="AR13" i="2"/>
  <c r="AR9" i="2"/>
  <c r="AR17" i="2"/>
  <c r="AP17" i="3"/>
  <c r="BE173" i="15"/>
  <c r="BE163" i="15"/>
  <c r="BA161" i="12" s="1"/>
  <c r="BE154" i="15"/>
  <c r="BE135" i="15"/>
  <c r="BA134" i="12" s="1"/>
  <c r="BE125" i="15"/>
  <c r="BA125" i="12" s="1"/>
  <c r="BE115" i="15"/>
  <c r="BA116" i="12" s="1"/>
  <c r="AM85" i="3"/>
  <c r="AL308" i="3"/>
  <c r="AS192" i="2"/>
  <c r="AQ150" i="11"/>
  <c r="AQ154" i="11" s="1"/>
  <c r="AQ108" i="11"/>
  <c r="AQ113" i="11" s="1"/>
  <c r="AR309" i="2"/>
  <c r="AQ174" i="11"/>
  <c r="AQ160" i="11"/>
  <c r="AQ164" i="11" s="1"/>
  <c r="AQ81" i="11"/>
  <c r="AQ83" i="11"/>
  <c r="AQ130" i="11"/>
  <c r="AQ133" i="11" s="1"/>
  <c r="AQ140" i="11"/>
  <c r="AQ143" i="11" s="1"/>
  <c r="AR111" i="11"/>
  <c r="AR129" i="11"/>
  <c r="AR170" i="11"/>
  <c r="AR159" i="11"/>
  <c r="AR149" i="11"/>
  <c r="AR139" i="11"/>
  <c r="AR70" i="11"/>
  <c r="AR171" i="11" s="1"/>
  <c r="AS158" i="11"/>
  <c r="AS147" i="11"/>
  <c r="AS116" i="11"/>
  <c r="AS123" i="11" s="1"/>
  <c r="AS106" i="11"/>
  <c r="AT64" i="11"/>
  <c r="AV90" i="11"/>
  <c r="AW88" i="11"/>
  <c r="AW90" i="11" s="1"/>
  <c r="AW169" i="11"/>
  <c r="AW148" i="11"/>
  <c r="AW138" i="11"/>
  <c r="AW128" i="11"/>
  <c r="AW117" i="11"/>
  <c r="AW107" i="11"/>
  <c r="AW172" i="11"/>
  <c r="AW161" i="11"/>
  <c r="AW151" i="11"/>
  <c r="AW141" i="11"/>
  <c r="AW119" i="11"/>
  <c r="AW109" i="11"/>
  <c r="AW173" i="11"/>
  <c r="AW162" i="11"/>
  <c r="AW152" i="11"/>
  <c r="AW131" i="11"/>
  <c r="AW120" i="11"/>
  <c r="AW110" i="11"/>
  <c r="AW163" i="11"/>
  <c r="AW153" i="11"/>
  <c r="AW142" i="11"/>
  <c r="AW132" i="11"/>
  <c r="AW122" i="11"/>
  <c r="AW112" i="11"/>
  <c r="AV98" i="11"/>
  <c r="AW96" i="11"/>
  <c r="AW98" i="11" s="1"/>
  <c r="AN363" i="4"/>
  <c r="AN346" i="4"/>
  <c r="AN320" i="4"/>
  <c r="BS310" i="4"/>
  <c r="AM311" i="4"/>
  <c r="BS309" i="4"/>
  <c r="AM303" i="4"/>
  <c r="AM256" i="4"/>
  <c r="AM223" i="4"/>
  <c r="AM172" i="4"/>
  <c r="AN185" i="4"/>
  <c r="AM184" i="4"/>
  <c r="AM183" i="4"/>
  <c r="AM182" i="4"/>
  <c r="AM181" i="4"/>
  <c r="AM180" i="4"/>
  <c r="AM179" i="4"/>
  <c r="AM178" i="4"/>
  <c r="AM177" i="4"/>
  <c r="AM176" i="4"/>
  <c r="AM175" i="4"/>
  <c r="AM174" i="4"/>
  <c r="AM173" i="4"/>
  <c r="AN134" i="4"/>
  <c r="AN118" i="4"/>
  <c r="AN69" i="4"/>
  <c r="AN53" i="4"/>
  <c r="AM37" i="4"/>
  <c r="AP113" i="3"/>
  <c r="CN381" i="2"/>
  <c r="AQ72" i="2"/>
  <c r="AM102" i="4"/>
  <c r="AQ38" i="2"/>
  <c r="AS67" i="11" s="1"/>
  <c r="AU301" i="2" l="1"/>
  <c r="AT299" i="2"/>
  <c r="AR220" i="2"/>
  <c r="AR97" i="2"/>
  <c r="AR82" i="2" s="1"/>
  <c r="AQ83" i="2"/>
  <c r="AQ90" i="2"/>
  <c r="AQ215" i="2"/>
  <c r="AQ88" i="2"/>
  <c r="AQ213" i="2"/>
  <c r="AR105" i="2"/>
  <c r="AR103" i="2"/>
  <c r="AQ84" i="2"/>
  <c r="AQ209" i="2"/>
  <c r="AR104" i="2"/>
  <c r="AR109" i="2"/>
  <c r="AR100" i="2"/>
  <c r="AR99" i="2"/>
  <c r="AR106" i="2"/>
  <c r="AQ89" i="2"/>
  <c r="AQ214" i="2"/>
  <c r="AQ93" i="2"/>
  <c r="AQ219" i="2"/>
  <c r="AQ85" i="2"/>
  <c r="AQ210" i="2"/>
  <c r="AQ92" i="2"/>
  <c r="AQ218" i="2"/>
  <c r="AQ87" i="2"/>
  <c r="AQ212" i="2"/>
  <c r="AQ91" i="2"/>
  <c r="AQ217" i="2"/>
  <c r="AQ86" i="2"/>
  <c r="AQ211" i="2"/>
  <c r="AR108" i="2"/>
  <c r="AQ111" i="2"/>
  <c r="AR102" i="2"/>
  <c r="AR107" i="2"/>
  <c r="AR101" i="2"/>
  <c r="AS110" i="2"/>
  <c r="AS94" i="2" s="1"/>
  <c r="AR98" i="2"/>
  <c r="AR208" i="2" s="1"/>
  <c r="AS372" i="2"/>
  <c r="AR385" i="2"/>
  <c r="AO200" i="3"/>
  <c r="AS381" i="2"/>
  <c r="AR386" i="2"/>
  <c r="AS321" i="2"/>
  <c r="AP208" i="3"/>
  <c r="AP216" i="3" s="1"/>
  <c r="AP188" i="3"/>
  <c r="AP196" i="3" s="1"/>
  <c r="AO57" i="3"/>
  <c r="AO201" i="3"/>
  <c r="AO222" i="3"/>
  <c r="AO51" i="3"/>
  <c r="AO75" i="3" s="1"/>
  <c r="AO220" i="3"/>
  <c r="AO69" i="3"/>
  <c r="AS319" i="2"/>
  <c r="AP206" i="3"/>
  <c r="AP214" i="3" s="1"/>
  <c r="AP186" i="3"/>
  <c r="AP194" i="3" s="1"/>
  <c r="AS320" i="2"/>
  <c r="AP207" i="3"/>
  <c r="AP215" i="3" s="1"/>
  <c r="AP187" i="3"/>
  <c r="AP195" i="3" s="1"/>
  <c r="AK184" i="12"/>
  <c r="AK179" i="12" s="1"/>
  <c r="AQ86" i="15"/>
  <c r="AQ171" i="15"/>
  <c r="AQ161" i="15"/>
  <c r="AQ152" i="15"/>
  <c r="AQ143" i="15"/>
  <c r="AQ134" i="15"/>
  <c r="AQ113" i="15"/>
  <c r="AQ118" i="15" s="1"/>
  <c r="AM124" i="12"/>
  <c r="AM128" i="12" s="1"/>
  <c r="AQ128" i="15"/>
  <c r="AR172" i="15"/>
  <c r="AN170" i="12" s="1"/>
  <c r="AR162" i="15"/>
  <c r="AN160" i="12" s="1"/>
  <c r="AR153" i="15"/>
  <c r="AN152" i="12" s="1"/>
  <c r="AR144" i="15"/>
  <c r="AN143" i="12" s="1"/>
  <c r="AR124" i="15"/>
  <c r="AR114" i="15"/>
  <c r="AN115" i="12" s="1"/>
  <c r="AN119" i="12" s="1"/>
  <c r="AR75" i="15"/>
  <c r="AP137" i="15"/>
  <c r="AL133" i="12"/>
  <c r="AL136" i="12" s="1"/>
  <c r="AP146" i="15"/>
  <c r="AL142" i="12"/>
  <c r="AL145" i="12" s="1"/>
  <c r="AL151" i="12"/>
  <c r="AL155" i="12" s="1"/>
  <c r="AP156" i="15"/>
  <c r="AP165" i="15"/>
  <c r="AL159" i="12"/>
  <c r="AL163" i="12" s="1"/>
  <c r="AP174" i="15"/>
  <c r="AL169" i="12"/>
  <c r="AL172" i="12" s="1"/>
  <c r="BP72" i="15"/>
  <c r="BO170" i="15"/>
  <c r="BK168" i="12" s="1"/>
  <c r="BO160" i="15"/>
  <c r="BK158" i="12" s="1"/>
  <c r="BO151" i="15"/>
  <c r="BK150" i="12" s="1"/>
  <c r="BO142" i="15"/>
  <c r="BK141" i="12" s="1"/>
  <c r="BO133" i="15"/>
  <c r="BK132" i="12" s="1"/>
  <c r="BO123" i="15"/>
  <c r="AN74" i="3"/>
  <c r="AN75" i="3"/>
  <c r="AN65" i="3"/>
  <c r="BF55" i="2"/>
  <c r="AS58" i="2"/>
  <c r="AR42" i="2"/>
  <c r="AS61" i="2"/>
  <c r="AR45" i="2"/>
  <c r="AS47" i="2"/>
  <c r="AS44" i="2"/>
  <c r="AS54" i="2"/>
  <c r="AS46" i="2"/>
  <c r="AS49" i="2"/>
  <c r="AS43" i="2"/>
  <c r="AS50" i="2"/>
  <c r="AS53" i="2"/>
  <c r="AS52" i="2"/>
  <c r="AS48" i="2"/>
  <c r="AS51" i="2"/>
  <c r="AP31" i="3"/>
  <c r="AN59" i="3"/>
  <c r="AO68" i="3"/>
  <c r="AO62" i="3"/>
  <c r="AO74" i="3" s="1"/>
  <c r="AO56" i="3"/>
  <c r="AO52" i="3"/>
  <c r="AN53" i="3"/>
  <c r="AP27" i="3"/>
  <c r="AL307" i="17"/>
  <c r="AL339" i="17"/>
  <c r="AL345" i="17"/>
  <c r="AL313" i="17"/>
  <c r="AP44" i="3"/>
  <c r="AP56" i="3" s="1"/>
  <c r="AL337" i="17"/>
  <c r="AL305" i="17"/>
  <c r="AP45" i="3"/>
  <c r="AP51" i="3" s="1"/>
  <c r="AL338" i="17"/>
  <c r="AL306" i="17"/>
  <c r="AO47" i="3"/>
  <c r="AP46" i="3"/>
  <c r="AP70" i="3" s="1"/>
  <c r="AL343" i="17"/>
  <c r="AL311" i="17"/>
  <c r="AO58" i="3"/>
  <c r="AL283" i="17"/>
  <c r="AL315" i="17"/>
  <c r="AL347" i="17"/>
  <c r="AL312" i="17"/>
  <c r="AL344" i="17"/>
  <c r="AL304" i="17"/>
  <c r="AL336" i="17"/>
  <c r="AO64" i="3"/>
  <c r="AL314" i="17"/>
  <c r="AL346" i="17"/>
  <c r="AL342" i="17"/>
  <c r="AL310" i="17"/>
  <c r="AL302" i="17"/>
  <c r="AL334" i="17"/>
  <c r="AL340" i="17"/>
  <c r="AL308" i="17"/>
  <c r="AL303" i="17"/>
  <c r="AL335" i="17"/>
  <c r="AL309" i="17"/>
  <c r="AL341" i="17"/>
  <c r="AM461" i="17"/>
  <c r="AM463" i="17"/>
  <c r="AM462" i="17"/>
  <c r="AS339" i="2"/>
  <c r="AS340" i="2"/>
  <c r="AS341" i="2"/>
  <c r="AP35" i="3"/>
  <c r="AP32" i="3"/>
  <c r="AQ8" i="3"/>
  <c r="AQ24" i="3" s="1"/>
  <c r="BC66" i="15"/>
  <c r="BB168" i="15"/>
  <c r="AX166" i="12" s="1"/>
  <c r="BB149" i="15"/>
  <c r="BB140" i="15"/>
  <c r="BB131" i="15"/>
  <c r="BB121" i="15"/>
  <c r="BB111" i="15"/>
  <c r="AX112" i="12" s="1"/>
  <c r="BB67" i="15"/>
  <c r="AX178" i="12" s="1"/>
  <c r="AX139" i="12"/>
  <c r="AX148" i="12"/>
  <c r="AX130" i="12"/>
  <c r="AX121" i="12"/>
  <c r="BB159" i="15"/>
  <c r="BB169" i="15"/>
  <c r="AX167" i="12" s="1"/>
  <c r="BB150" i="15"/>
  <c r="AX149" i="12" s="1"/>
  <c r="BB141" i="15"/>
  <c r="AX140" i="12" s="1"/>
  <c r="BB132" i="15"/>
  <c r="AX131" i="12" s="1"/>
  <c r="BB122" i="15"/>
  <c r="AX122" i="12" s="1"/>
  <c r="BB112" i="15"/>
  <c r="AX113" i="12" s="1"/>
  <c r="BD84" i="15"/>
  <c r="BC164" i="15"/>
  <c r="AY162" i="12" s="1"/>
  <c r="BC155" i="15"/>
  <c r="BC145" i="15"/>
  <c r="BC136" i="15"/>
  <c r="AY135" i="12" s="1"/>
  <c r="BC127" i="15"/>
  <c r="AY127" i="12" s="1"/>
  <c r="BC117" i="15"/>
  <c r="AY118" i="12" s="1"/>
  <c r="AP25" i="3"/>
  <c r="AP36" i="3"/>
  <c r="AP34" i="3"/>
  <c r="AP240" i="3"/>
  <c r="AP248" i="3" s="1"/>
  <c r="AP256" i="3" s="1"/>
  <c r="AP37" i="3"/>
  <c r="AQ15" i="3"/>
  <c r="AP29" i="3"/>
  <c r="AX288" i="3"/>
  <c r="AX297" i="3" s="1"/>
  <c r="AX230" i="3"/>
  <c r="AX231" i="3" s="1"/>
  <c r="AS14" i="2"/>
  <c r="AP26" i="3"/>
  <c r="AS17" i="2"/>
  <c r="AQ18" i="3"/>
  <c r="AS12" i="2"/>
  <c r="AQ20" i="3"/>
  <c r="AT27" i="2"/>
  <c r="AS11" i="2"/>
  <c r="AQ21" i="3"/>
  <c r="AP30" i="3"/>
  <c r="AQ13" i="3"/>
  <c r="AQ10" i="3"/>
  <c r="AQ14" i="3"/>
  <c r="AQ9" i="3"/>
  <c r="AP28" i="3"/>
  <c r="AS9" i="2"/>
  <c r="AQ19" i="3"/>
  <c r="AS20" i="2"/>
  <c r="AS16" i="2"/>
  <c r="AQ12" i="3"/>
  <c r="AP284" i="3"/>
  <c r="AP293" i="3" s="1"/>
  <c r="AP242" i="3"/>
  <c r="AP250" i="3" s="1"/>
  <c r="AP258" i="3" s="1"/>
  <c r="AS21" i="2"/>
  <c r="AU73" i="3"/>
  <c r="AS18" i="2"/>
  <c r="AS10" i="2"/>
  <c r="AQ281" i="3"/>
  <c r="AQ290" i="3" s="1"/>
  <c r="AQ239" i="3"/>
  <c r="AQ247" i="3" s="1"/>
  <c r="AQ255" i="3" s="1"/>
  <c r="AV55" i="3"/>
  <c r="AV49" i="3"/>
  <c r="AV61" i="3"/>
  <c r="AV67" i="3"/>
  <c r="AO298" i="3"/>
  <c r="AP38" i="3"/>
  <c r="AT24" i="2"/>
  <c r="AS8" i="2"/>
  <c r="AP33" i="3"/>
  <c r="AS13" i="2"/>
  <c r="AS19" i="2"/>
  <c r="AQ11" i="3"/>
  <c r="AS191" i="3"/>
  <c r="AS199" i="3" s="1"/>
  <c r="AR287" i="3"/>
  <c r="AR296" i="3" s="1"/>
  <c r="AR245" i="3"/>
  <c r="AR253" i="3" s="1"/>
  <c r="AR261" i="3" s="1"/>
  <c r="AP283" i="3"/>
  <c r="AP292" i="3" s="1"/>
  <c r="AP241" i="3"/>
  <c r="AP249" i="3" s="1"/>
  <c r="AP257" i="3" s="1"/>
  <c r="AQ16" i="3"/>
  <c r="AQ22" i="3"/>
  <c r="AQ17" i="3"/>
  <c r="AO39" i="3"/>
  <c r="AS189" i="3"/>
  <c r="AS197" i="3" s="1"/>
  <c r="AR285" i="3"/>
  <c r="AR294" i="3" s="1"/>
  <c r="AR243" i="3"/>
  <c r="AR251" i="3" s="1"/>
  <c r="AR259" i="3" s="1"/>
  <c r="AO262" i="3"/>
  <c r="AS190" i="3"/>
  <c r="AS198" i="3" s="1"/>
  <c r="AR244" i="3"/>
  <c r="AR252" i="3" s="1"/>
  <c r="AR260" i="3" s="1"/>
  <c r="AW89" i="3"/>
  <c r="AW90" i="3" s="1"/>
  <c r="AW43" i="3"/>
  <c r="AS15" i="2"/>
  <c r="BF173" i="15"/>
  <c r="BF163" i="15"/>
  <c r="BB161" i="12" s="1"/>
  <c r="BF154" i="15"/>
  <c r="BF135" i="15"/>
  <c r="BB134" i="12" s="1"/>
  <c r="BF125" i="15"/>
  <c r="BB125" i="12" s="1"/>
  <c r="BF115" i="15"/>
  <c r="BB116" i="12" s="1"/>
  <c r="AM308" i="3"/>
  <c r="AN85" i="3"/>
  <c r="AT192" i="2"/>
  <c r="AR108" i="11"/>
  <c r="AR113" i="11" s="1"/>
  <c r="AS309" i="2"/>
  <c r="AR81" i="11"/>
  <c r="AR83" i="11"/>
  <c r="AR130" i="11"/>
  <c r="AR133" i="11" s="1"/>
  <c r="AR140" i="11"/>
  <c r="AR143" i="11" s="1"/>
  <c r="AR150" i="11"/>
  <c r="AR154" i="11" s="1"/>
  <c r="AR160" i="11"/>
  <c r="AR164" i="11" s="1"/>
  <c r="AS170" i="11"/>
  <c r="AS111" i="11"/>
  <c r="AS159" i="11"/>
  <c r="AS149" i="11"/>
  <c r="AS139" i="11"/>
  <c r="AS129" i="11"/>
  <c r="AS70" i="11"/>
  <c r="AS83" i="11" s="1"/>
  <c r="AR174" i="11"/>
  <c r="AT158" i="11"/>
  <c r="AT147" i="11"/>
  <c r="AT116" i="11"/>
  <c r="AT123" i="11" s="1"/>
  <c r="AT106" i="11"/>
  <c r="AU64" i="11"/>
  <c r="AR38" i="2"/>
  <c r="AT67" i="11" s="1"/>
  <c r="AN102" i="4"/>
  <c r="AR72" i="2"/>
  <c r="CO381" i="2"/>
  <c r="AQ113" i="3"/>
  <c r="AN37" i="4"/>
  <c r="AO53" i="4"/>
  <c r="AO69" i="4"/>
  <c r="AO118" i="4"/>
  <c r="AO134" i="4"/>
  <c r="AN173" i="4"/>
  <c r="AN174" i="4"/>
  <c r="AN175" i="4"/>
  <c r="AN176" i="4"/>
  <c r="AN177" i="4"/>
  <c r="AN178" i="4"/>
  <c r="AN179" i="4"/>
  <c r="AN180" i="4"/>
  <c r="AN181" i="4"/>
  <c r="AN182" i="4"/>
  <c r="AN183" i="4"/>
  <c r="AN184" i="4"/>
  <c r="AO185" i="4"/>
  <c r="AN223" i="4"/>
  <c r="AN172" i="4"/>
  <c r="AN256" i="4"/>
  <c r="AN303" i="4"/>
  <c r="AN311" i="4"/>
  <c r="BT309" i="4"/>
  <c r="BT310" i="4"/>
  <c r="AO320" i="4"/>
  <c r="AO346" i="4"/>
  <c r="AO363" i="4"/>
  <c r="AS220" i="2" l="1"/>
  <c r="AV301" i="2"/>
  <c r="AU299" i="2"/>
  <c r="AS97" i="2"/>
  <c r="AS82" i="2" s="1"/>
  <c r="AR111" i="2"/>
  <c r="AR83" i="2"/>
  <c r="AS102" i="2"/>
  <c r="AR93" i="2"/>
  <c r="AR219" i="2"/>
  <c r="AR215" i="2"/>
  <c r="AS109" i="2"/>
  <c r="AT110" i="2"/>
  <c r="AT94" i="2" s="1"/>
  <c r="AR86" i="2"/>
  <c r="AR211" i="2"/>
  <c r="AS108" i="2"/>
  <c r="AS106" i="2"/>
  <c r="AS104" i="2"/>
  <c r="AR89" i="2"/>
  <c r="AR214" i="2"/>
  <c r="AS101" i="2"/>
  <c r="AR84" i="2"/>
  <c r="AR209" i="2"/>
  <c r="AS105" i="2"/>
  <c r="AR92" i="2"/>
  <c r="AR218" i="2"/>
  <c r="AR90" i="2"/>
  <c r="AR91" i="2"/>
  <c r="AR217" i="2"/>
  <c r="AS99" i="2"/>
  <c r="AS107" i="2"/>
  <c r="AR85" i="2"/>
  <c r="AR210" i="2"/>
  <c r="AR88" i="2"/>
  <c r="AR213" i="2"/>
  <c r="AR87" i="2"/>
  <c r="AR212" i="2"/>
  <c r="AS100" i="2"/>
  <c r="AS103" i="2"/>
  <c r="AS98" i="2"/>
  <c r="AS208" i="2" s="1"/>
  <c r="AT372" i="2"/>
  <c r="AS385" i="2"/>
  <c r="AN77" i="3"/>
  <c r="AT381" i="2"/>
  <c r="AS386" i="2"/>
  <c r="AO71" i="3"/>
  <c r="AP200" i="3"/>
  <c r="AT320" i="2"/>
  <c r="AQ207" i="3"/>
  <c r="AQ215" i="3" s="1"/>
  <c r="AQ187" i="3"/>
  <c r="AQ195" i="3" s="1"/>
  <c r="AP222" i="3"/>
  <c r="AP201" i="3"/>
  <c r="AP220" i="3"/>
  <c r="AT319" i="2"/>
  <c r="AQ206" i="3"/>
  <c r="AQ214" i="3" s="1"/>
  <c r="AQ186" i="3"/>
  <c r="AQ194" i="3" s="1"/>
  <c r="AO53" i="3"/>
  <c r="AT321" i="2"/>
  <c r="AQ208" i="3"/>
  <c r="AQ216" i="3" s="1"/>
  <c r="AQ188" i="3"/>
  <c r="AQ196" i="3" s="1"/>
  <c r="AL184" i="12"/>
  <c r="AL179" i="12" s="1"/>
  <c r="AR86" i="15"/>
  <c r="AR171" i="15"/>
  <c r="AR161" i="15"/>
  <c r="AR152" i="15"/>
  <c r="AR143" i="15"/>
  <c r="AR134" i="15"/>
  <c r="AR113" i="15"/>
  <c r="AR118" i="15" s="1"/>
  <c r="AN124" i="12"/>
  <c r="AN128" i="12" s="1"/>
  <c r="AR128" i="15"/>
  <c r="AS172" i="15"/>
  <c r="AO170" i="12" s="1"/>
  <c r="AS162" i="15"/>
  <c r="AO160" i="12" s="1"/>
  <c r="AS153" i="15"/>
  <c r="AO152" i="12" s="1"/>
  <c r="AS144" i="15"/>
  <c r="AO143" i="12" s="1"/>
  <c r="AS124" i="15"/>
  <c r="AS114" i="15"/>
  <c r="AO115" i="12" s="1"/>
  <c r="AO119" i="12" s="1"/>
  <c r="AS75" i="15"/>
  <c r="AQ137" i="15"/>
  <c r="AM133" i="12"/>
  <c r="AM136" i="12" s="1"/>
  <c r="AQ146" i="15"/>
  <c r="AM142" i="12"/>
  <c r="AM145" i="12" s="1"/>
  <c r="AM151" i="12"/>
  <c r="AM155" i="12" s="1"/>
  <c r="AQ156" i="15"/>
  <c r="AQ165" i="15"/>
  <c r="AM159" i="12"/>
  <c r="AM163" i="12" s="1"/>
  <c r="AQ174" i="15"/>
  <c r="AM169" i="12"/>
  <c r="AM172" i="12" s="1"/>
  <c r="BQ72" i="15"/>
  <c r="BP170" i="15"/>
  <c r="BL168" i="12" s="1"/>
  <c r="BP160" i="15"/>
  <c r="BL158" i="12" s="1"/>
  <c r="BP151" i="15"/>
  <c r="BL150" i="12" s="1"/>
  <c r="BP142" i="15"/>
  <c r="BL141" i="12" s="1"/>
  <c r="BP133" i="15"/>
  <c r="BL132" i="12" s="1"/>
  <c r="BP123" i="15"/>
  <c r="AP52" i="3"/>
  <c r="AO65" i="3"/>
  <c r="AO59" i="3"/>
  <c r="BG55" i="2"/>
  <c r="AT52" i="2"/>
  <c r="AT43" i="2"/>
  <c r="AT49" i="2"/>
  <c r="AT47" i="2"/>
  <c r="AT53" i="2"/>
  <c r="AT46" i="2"/>
  <c r="AT51" i="2"/>
  <c r="AT61" i="2"/>
  <c r="AS45" i="2"/>
  <c r="AT44" i="2"/>
  <c r="AT50" i="2"/>
  <c r="AT54" i="2"/>
  <c r="AT48" i="2"/>
  <c r="AT58" i="2"/>
  <c r="AS42" i="2"/>
  <c r="AP57" i="3"/>
  <c r="AP63" i="3"/>
  <c r="AP75" i="3" s="1"/>
  <c r="AQ33" i="3"/>
  <c r="AO76" i="3"/>
  <c r="AO77" i="3" s="1"/>
  <c r="AP69" i="3"/>
  <c r="AP58" i="3"/>
  <c r="AP64" i="3"/>
  <c r="AP62" i="3"/>
  <c r="AM302" i="17"/>
  <c r="AM334" i="17"/>
  <c r="AP68" i="3"/>
  <c r="AM309" i="17"/>
  <c r="AM341" i="17"/>
  <c r="AM344" i="17"/>
  <c r="AM312" i="17"/>
  <c r="AQ44" i="3"/>
  <c r="AQ62" i="3" s="1"/>
  <c r="AM337" i="17"/>
  <c r="AM305" i="17"/>
  <c r="AQ46" i="3"/>
  <c r="AQ58" i="3" s="1"/>
  <c r="AM311" i="17"/>
  <c r="AM343" i="17"/>
  <c r="AP50" i="3"/>
  <c r="AM283" i="17"/>
  <c r="AM347" i="17"/>
  <c r="AM315" i="17"/>
  <c r="AM303" i="17"/>
  <c r="AM335" i="17"/>
  <c r="AM345" i="17"/>
  <c r="AM313" i="17"/>
  <c r="AM342" i="17"/>
  <c r="AM310" i="17"/>
  <c r="AM340" i="17"/>
  <c r="AM308" i="17"/>
  <c r="AM307" i="17"/>
  <c r="AM339" i="17"/>
  <c r="AM336" i="17"/>
  <c r="AM304" i="17"/>
  <c r="AQ45" i="3"/>
  <c r="AQ63" i="3" s="1"/>
  <c r="AM338" i="17"/>
  <c r="AM306" i="17"/>
  <c r="AP47" i="3"/>
  <c r="AM314" i="17"/>
  <c r="AM346" i="17"/>
  <c r="AQ27" i="3"/>
  <c r="AN461" i="17"/>
  <c r="AN463" i="17"/>
  <c r="AN462" i="17"/>
  <c r="AT339" i="2"/>
  <c r="AT340" i="2"/>
  <c r="AT341" i="2"/>
  <c r="AR8" i="3"/>
  <c r="AR24" i="3" s="1"/>
  <c r="BD66" i="15"/>
  <c r="BC168" i="15"/>
  <c r="AY166" i="12" s="1"/>
  <c r="BC149" i="15"/>
  <c r="BC140" i="15"/>
  <c r="BC131" i="15"/>
  <c r="BC121" i="15"/>
  <c r="BC111" i="15"/>
  <c r="AY112" i="12" s="1"/>
  <c r="BC67" i="15"/>
  <c r="AY178" i="12" s="1"/>
  <c r="AY139" i="12"/>
  <c r="AY148" i="12"/>
  <c r="AY130" i="12"/>
  <c r="AY121" i="12"/>
  <c r="BE84" i="15"/>
  <c r="BD164" i="15"/>
  <c r="AZ162" i="12" s="1"/>
  <c r="BD155" i="15"/>
  <c r="BD145" i="15"/>
  <c r="BD136" i="15"/>
  <c r="AZ135" i="12" s="1"/>
  <c r="BD127" i="15"/>
  <c r="AZ127" i="12" s="1"/>
  <c r="BD117" i="15"/>
  <c r="AZ118" i="12" s="1"/>
  <c r="BC159" i="15"/>
  <c r="BC169" i="15"/>
  <c r="AY167" i="12" s="1"/>
  <c r="BC150" i="15"/>
  <c r="AY149" i="12" s="1"/>
  <c r="BC141" i="15"/>
  <c r="AY140" i="12" s="1"/>
  <c r="BC132" i="15"/>
  <c r="AY131" i="12" s="1"/>
  <c r="BC122" i="15"/>
  <c r="AY122" i="12" s="1"/>
  <c r="BC112" i="15"/>
  <c r="AY113" i="12" s="1"/>
  <c r="AQ28" i="3"/>
  <c r="AQ34" i="3"/>
  <c r="AQ30" i="3"/>
  <c r="AQ31" i="3"/>
  <c r="AP298" i="3"/>
  <c r="AQ38" i="3"/>
  <c r="AW55" i="3"/>
  <c r="AW67" i="3"/>
  <c r="AW49" i="3"/>
  <c r="AW61" i="3"/>
  <c r="AT189" i="3"/>
  <c r="AT197" i="3" s="1"/>
  <c r="AS285" i="3"/>
  <c r="AS294" i="3" s="1"/>
  <c r="AS243" i="3"/>
  <c r="AS251" i="3" s="1"/>
  <c r="AS259" i="3" s="1"/>
  <c r="AU24" i="2"/>
  <c r="AT8" i="2"/>
  <c r="AR9" i="3"/>
  <c r="AR13" i="3"/>
  <c r="AT14" i="2"/>
  <c r="AR11" i="3"/>
  <c r="AT18" i="2"/>
  <c r="AQ284" i="3"/>
  <c r="AQ293" i="3" s="1"/>
  <c r="AQ242" i="3"/>
  <c r="AQ250" i="3" s="1"/>
  <c r="AQ258" i="3" s="1"/>
  <c r="AT20" i="2"/>
  <c r="AT12" i="2"/>
  <c r="AX89" i="3"/>
  <c r="AX90" i="3" s="1"/>
  <c r="AX43" i="3"/>
  <c r="AQ35" i="3"/>
  <c r="AQ37" i="3"/>
  <c r="AR17" i="3"/>
  <c r="AT19" i="2"/>
  <c r="AR239" i="3"/>
  <c r="AR247" i="3" s="1"/>
  <c r="AR255" i="3" s="1"/>
  <c r="AR19" i="3"/>
  <c r="AR14" i="3"/>
  <c r="AR21" i="3"/>
  <c r="AR18" i="3"/>
  <c r="AY288" i="3"/>
  <c r="AY297" i="3" s="1"/>
  <c r="AY230" i="3"/>
  <c r="AY231" i="3" s="1"/>
  <c r="AT190" i="3"/>
  <c r="AT198" i="3" s="1"/>
  <c r="AS244" i="3"/>
  <c r="AS252" i="3" s="1"/>
  <c r="AS260" i="3" s="1"/>
  <c r="AQ283" i="3"/>
  <c r="AQ292" i="3" s="1"/>
  <c r="AQ241" i="3"/>
  <c r="AQ249" i="3" s="1"/>
  <c r="AQ257" i="3" s="1"/>
  <c r="AR12" i="3"/>
  <c r="AR22" i="3"/>
  <c r="AT13" i="2"/>
  <c r="AT21" i="2"/>
  <c r="AT9" i="2"/>
  <c r="AQ26" i="3"/>
  <c r="AU27" i="2"/>
  <c r="AT11" i="2"/>
  <c r="AT17" i="2"/>
  <c r="AP262" i="3"/>
  <c r="AR281" i="3"/>
  <c r="AR290" i="3" s="1"/>
  <c r="AQ32" i="3"/>
  <c r="AR10" i="3"/>
  <c r="AQ36" i="3"/>
  <c r="AP39" i="3"/>
  <c r="AR15" i="3"/>
  <c r="AQ240" i="3"/>
  <c r="AQ248" i="3" s="1"/>
  <c r="AQ256" i="3" s="1"/>
  <c r="AT15" i="2"/>
  <c r="AR16" i="3"/>
  <c r="AT191" i="3"/>
  <c r="AT199" i="3" s="1"/>
  <c r="AS287" i="3"/>
  <c r="AS296" i="3" s="1"/>
  <c r="AS245" i="3"/>
  <c r="AS253" i="3" s="1"/>
  <c r="AS261" i="3" s="1"/>
  <c r="AV73" i="3"/>
  <c r="AT10" i="2"/>
  <c r="AT16" i="2"/>
  <c r="AQ25" i="3"/>
  <c r="AQ29" i="3"/>
  <c r="AR20" i="3"/>
  <c r="BG173" i="15"/>
  <c r="BG163" i="15"/>
  <c r="BC161" i="12" s="1"/>
  <c r="BG154" i="15"/>
  <c r="BG135" i="15"/>
  <c r="BC134" i="12" s="1"/>
  <c r="BG125" i="15"/>
  <c r="BC125" i="12" s="1"/>
  <c r="BG115" i="15"/>
  <c r="BC116" i="12" s="1"/>
  <c r="AO85" i="3"/>
  <c r="AN308" i="3"/>
  <c r="AU192" i="2"/>
  <c r="AV192" i="2" s="1"/>
  <c r="AW192" i="2" s="1"/>
  <c r="AX192" i="2" s="1"/>
  <c r="AY192" i="2" s="1"/>
  <c r="AZ192" i="2" s="1"/>
  <c r="BA192" i="2" s="1"/>
  <c r="BB192" i="2" s="1"/>
  <c r="BC192" i="2" s="1"/>
  <c r="BD192" i="2" s="1"/>
  <c r="BE192" i="2" s="1"/>
  <c r="BF192" i="2" s="1"/>
  <c r="BG192" i="2" s="1"/>
  <c r="BH192" i="2" s="1"/>
  <c r="BI192" i="2" s="1"/>
  <c r="BJ192" i="2" s="1"/>
  <c r="BK192" i="2" s="1"/>
  <c r="BL192" i="2" s="1"/>
  <c r="BM192" i="2" s="1"/>
  <c r="BN192" i="2" s="1"/>
  <c r="BO192" i="2" s="1"/>
  <c r="AT309" i="2"/>
  <c r="AS130" i="11"/>
  <c r="AS133" i="11" s="1"/>
  <c r="AS140" i="11"/>
  <c r="AS143" i="11" s="1"/>
  <c r="AS150" i="11"/>
  <c r="AS154" i="11" s="1"/>
  <c r="AS160" i="11"/>
  <c r="AS164" i="11" s="1"/>
  <c r="AS171" i="11"/>
  <c r="AS174" i="11" s="1"/>
  <c r="AS108" i="11"/>
  <c r="AS113" i="11" s="1"/>
  <c r="AS81" i="11"/>
  <c r="AT139" i="11"/>
  <c r="AT159" i="11"/>
  <c r="AT129" i="11"/>
  <c r="AT111" i="11"/>
  <c r="AT170" i="11"/>
  <c r="AT149" i="11"/>
  <c r="AT70" i="11"/>
  <c r="AT81" i="11" s="1"/>
  <c r="AU158" i="11"/>
  <c r="AU147" i="11"/>
  <c r="AU116" i="11"/>
  <c r="AU123" i="11" s="1"/>
  <c r="AU106" i="11"/>
  <c r="AV64" i="11"/>
  <c r="AP363" i="4"/>
  <c r="AQ363" i="4"/>
  <c r="AP346" i="4"/>
  <c r="AQ346" i="4"/>
  <c r="AP320" i="4"/>
  <c r="AQ320" i="4"/>
  <c r="BU310" i="4"/>
  <c r="AO311" i="4"/>
  <c r="BU309" i="4"/>
  <c r="AO303" i="4"/>
  <c r="AO256" i="4"/>
  <c r="AO223" i="4"/>
  <c r="AO172" i="4"/>
  <c r="AP185" i="4"/>
  <c r="AQ185" i="4"/>
  <c r="AO184" i="4"/>
  <c r="AO183" i="4"/>
  <c r="AO182" i="4"/>
  <c r="AO181" i="4"/>
  <c r="AO180" i="4"/>
  <c r="AO179" i="4"/>
  <c r="AO178" i="4"/>
  <c r="AO177" i="4"/>
  <c r="AO176" i="4"/>
  <c r="AO175" i="4"/>
  <c r="AO174" i="4"/>
  <c r="AO173" i="4"/>
  <c r="AP134" i="4"/>
  <c r="AQ134" i="4"/>
  <c r="AP118" i="4"/>
  <c r="AQ118" i="4"/>
  <c r="AP69" i="4"/>
  <c r="AQ69" i="4"/>
  <c r="AP53" i="4"/>
  <c r="AQ53" i="4"/>
  <c r="AO37" i="4"/>
  <c r="AR113" i="3"/>
  <c r="CP381" i="2"/>
  <c r="AS72" i="2"/>
  <c r="AO102" i="4"/>
  <c r="AS38" i="2"/>
  <c r="AU67" i="11" s="1"/>
  <c r="AT220" i="2" l="1"/>
  <c r="AW301" i="2"/>
  <c r="AV299" i="2"/>
  <c r="AT97" i="2"/>
  <c r="AT82" i="2" s="1"/>
  <c r="AS83" i="2"/>
  <c r="AS111" i="2"/>
  <c r="AS90" i="2"/>
  <c r="AS93" i="2"/>
  <c r="AS219" i="2"/>
  <c r="AS88" i="2"/>
  <c r="AS213" i="2"/>
  <c r="AT103" i="2"/>
  <c r="AT101" i="2"/>
  <c r="AT108" i="2"/>
  <c r="AS85" i="2"/>
  <c r="AS210" i="2"/>
  <c r="AS91" i="2"/>
  <c r="AS217" i="2"/>
  <c r="AT106" i="2"/>
  <c r="AS92" i="2"/>
  <c r="AS218" i="2"/>
  <c r="AT100" i="2"/>
  <c r="AT107" i="2"/>
  <c r="AT109" i="2"/>
  <c r="AS84" i="2"/>
  <c r="AS209" i="2"/>
  <c r="AS215" i="2"/>
  <c r="AS89" i="2"/>
  <c r="AS214" i="2"/>
  <c r="AS87" i="2"/>
  <c r="AS212" i="2"/>
  <c r="AS86" i="2"/>
  <c r="AS211" i="2"/>
  <c r="AT99" i="2"/>
  <c r="AT105" i="2"/>
  <c r="AT104" i="2"/>
  <c r="AU110" i="2"/>
  <c r="AU94" i="2" s="1"/>
  <c r="AT102" i="2"/>
  <c r="AT98" i="2"/>
  <c r="AT208" i="2" s="1"/>
  <c r="AU372" i="2"/>
  <c r="AT385" i="2"/>
  <c r="AU381" i="2"/>
  <c r="AT386" i="2"/>
  <c r="AP76" i="3"/>
  <c r="AQ200" i="3"/>
  <c r="AQ220" i="3"/>
  <c r="AU319" i="2"/>
  <c r="AR206" i="3"/>
  <c r="AR214" i="3" s="1"/>
  <c r="AR186" i="3"/>
  <c r="AR194" i="3" s="1"/>
  <c r="AU321" i="2"/>
  <c r="AR208" i="3"/>
  <c r="AR216" i="3" s="1"/>
  <c r="AR188" i="3"/>
  <c r="AR196" i="3" s="1"/>
  <c r="AQ201" i="3"/>
  <c r="AQ222" i="3"/>
  <c r="AU320" i="2"/>
  <c r="AR207" i="3"/>
  <c r="AR215" i="3" s="1"/>
  <c r="AR187" i="3"/>
  <c r="AR195" i="3" s="1"/>
  <c r="AM184" i="12"/>
  <c r="AM179" i="12" s="1"/>
  <c r="AS86" i="15"/>
  <c r="AS171" i="15"/>
  <c r="AS161" i="15"/>
  <c r="AS152" i="15"/>
  <c r="AS143" i="15"/>
  <c r="AS134" i="15"/>
  <c r="AS113" i="15"/>
  <c r="AS118" i="15" s="1"/>
  <c r="AO124" i="12"/>
  <c r="AO128" i="12" s="1"/>
  <c r="AS128" i="15"/>
  <c r="AT172" i="15"/>
  <c r="AP170" i="12" s="1"/>
  <c r="AT162" i="15"/>
  <c r="AP160" i="12" s="1"/>
  <c r="AT153" i="15"/>
  <c r="AP152" i="12" s="1"/>
  <c r="AT144" i="15"/>
  <c r="AP143" i="12" s="1"/>
  <c r="AT124" i="15"/>
  <c r="AT114" i="15"/>
  <c r="AP115" i="12" s="1"/>
  <c r="AP119" i="12" s="1"/>
  <c r="AT75" i="15"/>
  <c r="AR137" i="15"/>
  <c r="AN133" i="12"/>
  <c r="AN136" i="12" s="1"/>
  <c r="AR146" i="15"/>
  <c r="AN142" i="12"/>
  <c r="AN145" i="12" s="1"/>
  <c r="AN151" i="12"/>
  <c r="AN155" i="12" s="1"/>
  <c r="AR156" i="15"/>
  <c r="AR165" i="15"/>
  <c r="AN159" i="12"/>
  <c r="AN163" i="12" s="1"/>
  <c r="AR174" i="15"/>
  <c r="AN169" i="12"/>
  <c r="AN172" i="12" s="1"/>
  <c r="BQ170" i="15"/>
  <c r="BM168" i="12" s="1"/>
  <c r="BQ160" i="15"/>
  <c r="BM158" i="12" s="1"/>
  <c r="BQ151" i="15"/>
  <c r="BM150" i="12" s="1"/>
  <c r="BQ142" i="15"/>
  <c r="BM141" i="12" s="1"/>
  <c r="BQ133" i="15"/>
  <c r="BM132" i="12" s="1"/>
  <c r="BQ123" i="15"/>
  <c r="AQ70" i="3"/>
  <c r="AQ68" i="3"/>
  <c r="AP71" i="3"/>
  <c r="AQ298" i="3"/>
  <c r="AP59" i="3"/>
  <c r="BH55" i="2"/>
  <c r="AU48" i="2"/>
  <c r="AU61" i="2"/>
  <c r="AT45" i="2"/>
  <c r="AU47" i="2"/>
  <c r="AU51" i="2"/>
  <c r="AU49" i="2"/>
  <c r="AU50" i="2"/>
  <c r="AU46" i="2"/>
  <c r="AU43" i="2"/>
  <c r="AU54" i="2"/>
  <c r="AU58" i="2"/>
  <c r="AT42" i="2"/>
  <c r="AU44" i="2"/>
  <c r="AU53" i="2"/>
  <c r="AU52" i="2"/>
  <c r="AQ51" i="3"/>
  <c r="AQ75" i="3" s="1"/>
  <c r="AP65" i="3"/>
  <c r="AQ56" i="3"/>
  <c r="AQ52" i="3"/>
  <c r="AQ64" i="3"/>
  <c r="AQ65" i="3" s="1"/>
  <c r="AP74" i="3"/>
  <c r="AP53" i="3"/>
  <c r="AQ57" i="3"/>
  <c r="AR36" i="3"/>
  <c r="AQ69" i="3"/>
  <c r="AR45" i="3"/>
  <c r="AR51" i="3" s="1"/>
  <c r="AN306" i="17"/>
  <c r="AN338" i="17"/>
  <c r="AN303" i="17"/>
  <c r="AN335" i="17"/>
  <c r="AQ50" i="3"/>
  <c r="AQ74" i="3" s="1"/>
  <c r="AQ47" i="3"/>
  <c r="AN283" i="17"/>
  <c r="AN315" i="17"/>
  <c r="AN347" i="17"/>
  <c r="AN314" i="17"/>
  <c r="AN346" i="17"/>
  <c r="AR46" i="3"/>
  <c r="AR58" i="3" s="1"/>
  <c r="AN311" i="17"/>
  <c r="AN343" i="17"/>
  <c r="AN340" i="17"/>
  <c r="AN308" i="17"/>
  <c r="AN307" i="17"/>
  <c r="AN339" i="17"/>
  <c r="AN345" i="17"/>
  <c r="AN313" i="17"/>
  <c r="AN336" i="17"/>
  <c r="AN304" i="17"/>
  <c r="AN309" i="17"/>
  <c r="AN341" i="17"/>
  <c r="AR44" i="3"/>
  <c r="AR56" i="3" s="1"/>
  <c r="AN305" i="17"/>
  <c r="AN337" i="17"/>
  <c r="AN312" i="17"/>
  <c r="AN344" i="17"/>
  <c r="AN310" i="17"/>
  <c r="AN342" i="17"/>
  <c r="AN302" i="17"/>
  <c r="AN334" i="17"/>
  <c r="AO462" i="17"/>
  <c r="AO461" i="17"/>
  <c r="AO463" i="17"/>
  <c r="AR32" i="3"/>
  <c r="AU339" i="2"/>
  <c r="AU340" i="2"/>
  <c r="AU341" i="2"/>
  <c r="AR35" i="3"/>
  <c r="AS281" i="3"/>
  <c r="AS290" i="3" s="1"/>
  <c r="AR25" i="3"/>
  <c r="AS8" i="3"/>
  <c r="AS24" i="3" s="1"/>
  <c r="BE66" i="15"/>
  <c r="BD168" i="15"/>
  <c r="BD149" i="15"/>
  <c r="BD140" i="15"/>
  <c r="BD131" i="15"/>
  <c r="BD121" i="15"/>
  <c r="AZ121" i="12" s="1"/>
  <c r="BD111" i="15"/>
  <c r="AZ112" i="12" s="1"/>
  <c r="BD67" i="15"/>
  <c r="AZ178" i="12" s="1"/>
  <c r="AZ166" i="12"/>
  <c r="AZ139" i="12"/>
  <c r="AZ148" i="12"/>
  <c r="AZ130" i="12"/>
  <c r="BD159" i="15"/>
  <c r="BD169" i="15"/>
  <c r="AZ167" i="12" s="1"/>
  <c r="BD150" i="15"/>
  <c r="AZ149" i="12" s="1"/>
  <c r="BD141" i="15"/>
  <c r="AZ140" i="12" s="1"/>
  <c r="BD132" i="15"/>
  <c r="AZ131" i="12" s="1"/>
  <c r="BD122" i="15"/>
  <c r="AZ122" i="12" s="1"/>
  <c r="BD112" i="15"/>
  <c r="AZ113" i="12" s="1"/>
  <c r="BF84" i="15"/>
  <c r="BE164" i="15"/>
  <c r="BA162" i="12" s="1"/>
  <c r="BE155" i="15"/>
  <c r="BE145" i="15"/>
  <c r="BE136" i="15"/>
  <c r="BA135" i="12" s="1"/>
  <c r="BE127" i="15"/>
  <c r="BA127" i="12" s="1"/>
  <c r="BE117" i="15"/>
  <c r="BA118" i="12" s="1"/>
  <c r="AR28" i="3"/>
  <c r="AR30" i="3"/>
  <c r="AR33" i="3"/>
  <c r="AR27" i="3"/>
  <c r="AR29" i="3"/>
  <c r="AQ262" i="3"/>
  <c r="AU191" i="3"/>
  <c r="AU199" i="3" s="1"/>
  <c r="AT287" i="3"/>
  <c r="AT296" i="3" s="1"/>
  <c r="AT245" i="3"/>
  <c r="AT253" i="3" s="1"/>
  <c r="AT261" i="3" s="1"/>
  <c r="AS15" i="3"/>
  <c r="AU190" i="3"/>
  <c r="AU198" i="3" s="1"/>
  <c r="AT244" i="3"/>
  <c r="AT252" i="3" s="1"/>
  <c r="AT260" i="3" s="1"/>
  <c r="AS21" i="3"/>
  <c r="AU19" i="2"/>
  <c r="AU18" i="2"/>
  <c r="AS16" i="3"/>
  <c r="AU21" i="2"/>
  <c r="AS14" i="3"/>
  <c r="AS17" i="3"/>
  <c r="AS11" i="3"/>
  <c r="AU189" i="3"/>
  <c r="AU197" i="3" s="1"/>
  <c r="AT285" i="3"/>
  <c r="AT294" i="3" s="1"/>
  <c r="AT243" i="3"/>
  <c r="AT251" i="3" s="1"/>
  <c r="AT259" i="3" s="1"/>
  <c r="AU10" i="2"/>
  <c r="AR26" i="3"/>
  <c r="AU17" i="2"/>
  <c r="AS12" i="3"/>
  <c r="AU20" i="2"/>
  <c r="AS13" i="3"/>
  <c r="AU15" i="2"/>
  <c r="AS10" i="3"/>
  <c r="AZ288" i="3"/>
  <c r="AZ297" i="3" s="1"/>
  <c r="AZ230" i="3"/>
  <c r="AZ231" i="3" s="1"/>
  <c r="AS19" i="3"/>
  <c r="AU14" i="2"/>
  <c r="AU16" i="2"/>
  <c r="AU12" i="2"/>
  <c r="AS20" i="3"/>
  <c r="AV27" i="2"/>
  <c r="AU11" i="2"/>
  <c r="AU13" i="2"/>
  <c r="AR34" i="3"/>
  <c r="AX49" i="3"/>
  <c r="AX55" i="3"/>
  <c r="AX67" i="3"/>
  <c r="AX61" i="3"/>
  <c r="AS9" i="3"/>
  <c r="AW73" i="3"/>
  <c r="AR240" i="3"/>
  <c r="AR248" i="3" s="1"/>
  <c r="AR256" i="3" s="1"/>
  <c r="AR38" i="3"/>
  <c r="AR283" i="3"/>
  <c r="AR292" i="3" s="1"/>
  <c r="AR241" i="3"/>
  <c r="AR249" i="3" s="1"/>
  <c r="AR257" i="3" s="1"/>
  <c r="AS18" i="3"/>
  <c r="AS239" i="3"/>
  <c r="AS247" i="3" s="1"/>
  <c r="AS255" i="3" s="1"/>
  <c r="AR284" i="3"/>
  <c r="AR293" i="3" s="1"/>
  <c r="AR242" i="3"/>
  <c r="AR250" i="3" s="1"/>
  <c r="AR258" i="3" s="1"/>
  <c r="AQ39" i="3"/>
  <c r="AR31" i="3"/>
  <c r="AU9" i="2"/>
  <c r="AS22" i="3"/>
  <c r="AR37" i="3"/>
  <c r="AY89" i="3"/>
  <c r="AY90" i="3" s="1"/>
  <c r="AY43" i="3"/>
  <c r="AV24" i="2"/>
  <c r="AU8" i="2"/>
  <c r="BH173" i="15"/>
  <c r="BH163" i="15"/>
  <c r="BD161" i="12" s="1"/>
  <c r="BH154" i="15"/>
  <c r="BH135" i="15"/>
  <c r="BD134" i="12" s="1"/>
  <c r="BH125" i="15"/>
  <c r="BD125" i="12" s="1"/>
  <c r="BH115" i="15"/>
  <c r="BD116" i="12" s="1"/>
  <c r="AO308" i="3"/>
  <c r="AP85" i="3"/>
  <c r="AS113" i="3"/>
  <c r="AT8" i="3"/>
  <c r="AT24" i="3" s="1"/>
  <c r="AU309" i="2"/>
  <c r="AT83" i="11"/>
  <c r="AT140" i="11"/>
  <c r="AT143" i="11" s="1"/>
  <c r="AT150" i="11"/>
  <c r="AT154" i="11" s="1"/>
  <c r="AT130" i="11"/>
  <c r="AT133" i="11" s="1"/>
  <c r="AT160" i="11"/>
  <c r="AT164" i="11" s="1"/>
  <c r="AT171" i="11"/>
  <c r="AT174" i="11" s="1"/>
  <c r="AU170" i="11"/>
  <c r="AU111" i="11"/>
  <c r="AU159" i="11"/>
  <c r="AU149" i="11"/>
  <c r="AU129" i="11"/>
  <c r="AU139" i="11"/>
  <c r="AT108" i="11"/>
  <c r="AT113" i="11" s="1"/>
  <c r="AU70" i="11"/>
  <c r="AU171" i="11" s="1"/>
  <c r="AV158" i="11"/>
  <c r="AV147" i="11"/>
  <c r="AV116" i="11"/>
  <c r="AV123" i="11" s="1"/>
  <c r="AV106" i="11"/>
  <c r="AW64" i="11"/>
  <c r="AT38" i="2"/>
  <c r="AV67" i="11" s="1"/>
  <c r="AU38" i="2"/>
  <c r="AP102" i="4"/>
  <c r="AQ102" i="4"/>
  <c r="AT72" i="2"/>
  <c r="CQ381" i="2"/>
  <c r="AP37" i="4"/>
  <c r="AQ37" i="4"/>
  <c r="AP173" i="4"/>
  <c r="AQ173" i="4"/>
  <c r="AP174" i="4"/>
  <c r="AQ174" i="4"/>
  <c r="AP175" i="4"/>
  <c r="AQ175" i="4"/>
  <c r="AP176" i="4"/>
  <c r="AQ176" i="4"/>
  <c r="AP177" i="4"/>
  <c r="AQ177" i="4"/>
  <c r="AP178" i="4"/>
  <c r="AQ178" i="4"/>
  <c r="AP179" i="4"/>
  <c r="AQ179" i="4"/>
  <c r="AP180" i="4"/>
  <c r="AQ180" i="4"/>
  <c r="AP181" i="4"/>
  <c r="AQ181" i="4"/>
  <c r="AP182" i="4"/>
  <c r="AQ182" i="4"/>
  <c r="AP183" i="4"/>
  <c r="AQ183" i="4"/>
  <c r="AP184" i="4"/>
  <c r="AQ184" i="4"/>
  <c r="AP223" i="4"/>
  <c r="AP172" i="4"/>
  <c r="AP256" i="4"/>
  <c r="AQ256" i="4"/>
  <c r="AP303" i="4"/>
  <c r="AQ303" i="4"/>
  <c r="AP311" i="4"/>
  <c r="BV309" i="4"/>
  <c r="BV310" i="4"/>
  <c r="BW310" i="4"/>
  <c r="AX301" i="2" l="1"/>
  <c r="AW299" i="2"/>
  <c r="AU97" i="2"/>
  <c r="AU82" i="2" s="1"/>
  <c r="AT83" i="2"/>
  <c r="AT111" i="2"/>
  <c r="AU105" i="2"/>
  <c r="AT85" i="2"/>
  <c r="AT210" i="2"/>
  <c r="AU102" i="2"/>
  <c r="AU99" i="2"/>
  <c r="AU100" i="2"/>
  <c r="AT91" i="2"/>
  <c r="AT217" i="2"/>
  <c r="AT87" i="2"/>
  <c r="AT212" i="2"/>
  <c r="AT92" i="2"/>
  <c r="AT218" i="2"/>
  <c r="AT215" i="2"/>
  <c r="AT88" i="2"/>
  <c r="AT213" i="2"/>
  <c r="AU103" i="2"/>
  <c r="AT84" i="2"/>
  <c r="AT209" i="2"/>
  <c r="AV110" i="2"/>
  <c r="AV94" i="2" s="1"/>
  <c r="AU108" i="2"/>
  <c r="AU107" i="2"/>
  <c r="AT89" i="2"/>
  <c r="AT214" i="2"/>
  <c r="AT93" i="2"/>
  <c r="AT219" i="2"/>
  <c r="AT90" i="2"/>
  <c r="AT86" i="2"/>
  <c r="AT211" i="2"/>
  <c r="AU104" i="2"/>
  <c r="AU89" i="2" s="1"/>
  <c r="AU109" i="2"/>
  <c r="AU106" i="2"/>
  <c r="AU101" i="2"/>
  <c r="AU98" i="2"/>
  <c r="AU83" i="2" s="1"/>
  <c r="AP77" i="3"/>
  <c r="AV372" i="2"/>
  <c r="AU385" i="2"/>
  <c r="AV381" i="2"/>
  <c r="AU386" i="2"/>
  <c r="AR50" i="3"/>
  <c r="AR200" i="3"/>
  <c r="AR68" i="3"/>
  <c r="AR62" i="3"/>
  <c r="AV321" i="2"/>
  <c r="AS208" i="3"/>
  <c r="AS216" i="3" s="1"/>
  <c r="AS188" i="3"/>
  <c r="AS196" i="3" s="1"/>
  <c r="AR201" i="3"/>
  <c r="AR222" i="3"/>
  <c r="AR220" i="3"/>
  <c r="AV320" i="2"/>
  <c r="AS207" i="3"/>
  <c r="AS215" i="3" s="1"/>
  <c r="AS187" i="3"/>
  <c r="AS195" i="3" s="1"/>
  <c r="AV319" i="2"/>
  <c r="AS206" i="3"/>
  <c r="AS214" i="3" s="1"/>
  <c r="AS186" i="3"/>
  <c r="AS194" i="3" s="1"/>
  <c r="AN184" i="12"/>
  <c r="AN179" i="12" s="1"/>
  <c r="AT86" i="15"/>
  <c r="AT171" i="15"/>
  <c r="AT161" i="15"/>
  <c r="AT152" i="15"/>
  <c r="AT143" i="15"/>
  <c r="AT134" i="15"/>
  <c r="AT113" i="15"/>
  <c r="AT118" i="15" s="1"/>
  <c r="AP124" i="12"/>
  <c r="AP128" i="12" s="1"/>
  <c r="AT128" i="15"/>
  <c r="AU172" i="15"/>
  <c r="AQ170" i="12" s="1"/>
  <c r="AU162" i="15"/>
  <c r="AQ160" i="12" s="1"/>
  <c r="AU153" i="15"/>
  <c r="AQ152" i="12" s="1"/>
  <c r="AU144" i="15"/>
  <c r="AQ143" i="12" s="1"/>
  <c r="AU124" i="15"/>
  <c r="AU114" i="15"/>
  <c r="AQ115" i="12" s="1"/>
  <c r="AQ119" i="12" s="1"/>
  <c r="AU75" i="15"/>
  <c r="AS137" i="15"/>
  <c r="AO133" i="12"/>
  <c r="AO136" i="12" s="1"/>
  <c r="AS146" i="15"/>
  <c r="AO142" i="12"/>
  <c r="AO145" i="12" s="1"/>
  <c r="AO151" i="12"/>
  <c r="AO155" i="12" s="1"/>
  <c r="AS156" i="15"/>
  <c r="AS165" i="15"/>
  <c r="AO159" i="12"/>
  <c r="AO163" i="12" s="1"/>
  <c r="AS174" i="15"/>
  <c r="AO169" i="12"/>
  <c r="AO172" i="12" s="1"/>
  <c r="AQ71" i="3"/>
  <c r="AQ76" i="3"/>
  <c r="AQ77" i="3" s="1"/>
  <c r="AQ59" i="3"/>
  <c r="BI55" i="2"/>
  <c r="AV53" i="2"/>
  <c r="AV43" i="2"/>
  <c r="AV51" i="2"/>
  <c r="AV44" i="2"/>
  <c r="AV47" i="2"/>
  <c r="AV58" i="2"/>
  <c r="AU42" i="2"/>
  <c r="AV46" i="2"/>
  <c r="AV50" i="2"/>
  <c r="AV61" i="2"/>
  <c r="AU45" i="2"/>
  <c r="AV52" i="2"/>
  <c r="AV54" i="2"/>
  <c r="AV49" i="2"/>
  <c r="AV48" i="2"/>
  <c r="AS38" i="3"/>
  <c r="AR69" i="3"/>
  <c r="AR63" i="3"/>
  <c r="AR75" i="3" s="1"/>
  <c r="AR57" i="3"/>
  <c r="AR59" i="3" s="1"/>
  <c r="AR52" i="3"/>
  <c r="AQ53" i="3"/>
  <c r="AR70" i="3"/>
  <c r="AR47" i="3"/>
  <c r="AR64" i="3"/>
  <c r="AS36" i="3"/>
  <c r="AO302" i="17"/>
  <c r="AO334" i="17"/>
  <c r="AO336" i="17"/>
  <c r="AO304" i="17"/>
  <c r="AO303" i="17"/>
  <c r="AO335" i="17"/>
  <c r="AS45" i="3"/>
  <c r="AS51" i="3" s="1"/>
  <c r="AO306" i="17"/>
  <c r="AO338" i="17"/>
  <c r="AO314" i="17"/>
  <c r="AO346" i="17"/>
  <c r="AO345" i="17"/>
  <c r="AO313" i="17"/>
  <c r="AO340" i="17"/>
  <c r="AO308" i="17"/>
  <c r="AO307" i="17"/>
  <c r="AO339" i="17"/>
  <c r="AO283" i="17"/>
  <c r="AO347" i="17"/>
  <c r="AO315" i="17"/>
  <c r="AO312" i="17"/>
  <c r="AO344" i="17"/>
  <c r="AS44" i="3"/>
  <c r="AS50" i="3" s="1"/>
  <c r="AO337" i="17"/>
  <c r="AO305" i="17"/>
  <c r="AO310" i="17"/>
  <c r="AO342" i="17"/>
  <c r="AO309" i="17"/>
  <c r="AO341" i="17"/>
  <c r="AS46" i="3"/>
  <c r="AS52" i="3" s="1"/>
  <c r="AO311" i="17"/>
  <c r="AO343" i="17"/>
  <c r="AV339" i="2"/>
  <c r="AV340" i="2"/>
  <c r="AV341" i="2"/>
  <c r="BF66" i="15"/>
  <c r="BE168" i="15"/>
  <c r="BA166" i="12" s="1"/>
  <c r="BE149" i="15"/>
  <c r="BE140" i="15"/>
  <c r="BE131" i="15"/>
  <c r="BA130" i="12" s="1"/>
  <c r="BE121" i="15"/>
  <c r="BE111" i="15"/>
  <c r="BA112" i="12" s="1"/>
  <c r="BE67" i="15"/>
  <c r="BA178" i="12" s="1"/>
  <c r="BA139" i="12"/>
  <c r="BA148" i="12"/>
  <c r="BA121" i="12"/>
  <c r="BG84" i="15"/>
  <c r="BF164" i="15"/>
  <c r="BB162" i="12" s="1"/>
  <c r="BF155" i="15"/>
  <c r="BF145" i="15"/>
  <c r="BF136" i="15"/>
  <c r="BB135" i="12" s="1"/>
  <c r="BF127" i="15"/>
  <c r="BB127" i="12" s="1"/>
  <c r="BF117" i="15"/>
  <c r="BB118" i="12" s="1"/>
  <c r="BE159" i="15"/>
  <c r="BE169" i="15"/>
  <c r="BA167" i="12" s="1"/>
  <c r="BE150" i="15"/>
  <c r="BA149" i="12" s="1"/>
  <c r="BE141" i="15"/>
  <c r="BA140" i="12" s="1"/>
  <c r="BE132" i="15"/>
  <c r="BA131" i="12" s="1"/>
  <c r="BE122" i="15"/>
  <c r="BA122" i="12" s="1"/>
  <c r="BE112" i="15"/>
  <c r="BA113" i="12" s="1"/>
  <c r="AS29" i="3"/>
  <c r="AS35" i="3"/>
  <c r="AS27" i="3"/>
  <c r="AT281" i="3"/>
  <c r="AT290" i="3" s="1"/>
  <c r="AR298" i="3"/>
  <c r="AT9" i="3"/>
  <c r="AV13" i="2"/>
  <c r="AT10" i="3"/>
  <c r="AT12" i="3"/>
  <c r="AV189" i="3"/>
  <c r="AV197" i="3" s="1"/>
  <c r="AU285" i="3"/>
  <c r="AU294" i="3" s="1"/>
  <c r="AU243" i="3"/>
  <c r="AU251" i="3" s="1"/>
  <c r="AU259" i="3" s="1"/>
  <c r="AV21" i="2"/>
  <c r="AV18" i="2"/>
  <c r="AT21" i="3"/>
  <c r="AS283" i="3"/>
  <c r="AS292" i="3" s="1"/>
  <c r="AS241" i="3"/>
  <c r="AS249" i="3" s="1"/>
  <c r="AS257" i="3" s="1"/>
  <c r="BA288" i="3"/>
  <c r="BA297" i="3" s="1"/>
  <c r="BA230" i="3"/>
  <c r="BA231" i="3" s="1"/>
  <c r="AT22" i="3"/>
  <c r="AS284" i="3"/>
  <c r="AS293" i="3" s="1"/>
  <c r="AS242" i="3"/>
  <c r="AS250" i="3" s="1"/>
  <c r="AS258" i="3" s="1"/>
  <c r="AW27" i="2"/>
  <c r="AV11" i="2"/>
  <c r="AT44" i="3" s="1"/>
  <c r="AV16" i="2"/>
  <c r="AV15" i="2"/>
  <c r="AV17" i="2"/>
  <c r="AT46" i="3" s="1"/>
  <c r="AT11" i="3"/>
  <c r="AV190" i="3"/>
  <c r="AV198" i="3" s="1"/>
  <c r="AU244" i="3"/>
  <c r="AU252" i="3" s="1"/>
  <c r="AU260" i="3" s="1"/>
  <c r="AV8" i="2"/>
  <c r="AW24" i="2"/>
  <c r="AV38" i="2"/>
  <c r="AR39" i="3"/>
  <c r="AS33" i="3"/>
  <c r="AS31" i="3"/>
  <c r="AY67" i="3"/>
  <c r="AY49" i="3"/>
  <c r="AY55" i="3"/>
  <c r="AY61" i="3"/>
  <c r="AV9" i="2"/>
  <c r="AT239" i="3"/>
  <c r="AT247" i="3" s="1"/>
  <c r="AT255" i="3" s="1"/>
  <c r="AR262" i="3"/>
  <c r="AT20" i="3"/>
  <c r="AV14" i="2"/>
  <c r="AT13" i="3"/>
  <c r="AT17" i="3"/>
  <c r="AT15" i="3"/>
  <c r="AS34" i="3"/>
  <c r="AS240" i="3"/>
  <c r="AS248" i="3" s="1"/>
  <c r="AS256" i="3" s="1"/>
  <c r="AX73" i="3"/>
  <c r="AV10" i="2"/>
  <c r="AS30" i="3"/>
  <c r="AS32" i="3"/>
  <c r="AZ89" i="3"/>
  <c r="AZ90" i="3" s="1"/>
  <c r="AZ43" i="3"/>
  <c r="AT18" i="3"/>
  <c r="AV12" i="2"/>
  <c r="AT45" i="3" s="1"/>
  <c r="AT19" i="3"/>
  <c r="AV20" i="2"/>
  <c r="AT14" i="3"/>
  <c r="AT16" i="3"/>
  <c r="AV19" i="2"/>
  <c r="AS25" i="3"/>
  <c r="AS26" i="3"/>
  <c r="AS28" i="3"/>
  <c r="AS37" i="3"/>
  <c r="AV191" i="3"/>
  <c r="AV199" i="3" s="1"/>
  <c r="AU287" i="3"/>
  <c r="AU296" i="3" s="1"/>
  <c r="AU245" i="3"/>
  <c r="AU253" i="3" s="1"/>
  <c r="AU261" i="3" s="1"/>
  <c r="BI173" i="15"/>
  <c r="BI163" i="15"/>
  <c r="BE161" i="12" s="1"/>
  <c r="BI154" i="15"/>
  <c r="BI135" i="15"/>
  <c r="BE134" i="12" s="1"/>
  <c r="BI125" i="15"/>
  <c r="BE125" i="12" s="1"/>
  <c r="BI115" i="15"/>
  <c r="BE116" i="12" s="1"/>
  <c r="AQ85" i="3"/>
  <c r="AP308" i="3"/>
  <c r="AT113" i="3"/>
  <c r="AU8" i="3"/>
  <c r="AU24" i="3" s="1"/>
  <c r="AV309" i="2"/>
  <c r="AU220" i="2"/>
  <c r="AU174" i="11"/>
  <c r="AU83" i="11"/>
  <c r="AU81" i="11"/>
  <c r="CR381" i="2"/>
  <c r="AU130" i="11"/>
  <c r="AU133" i="11" s="1"/>
  <c r="AU108" i="11"/>
  <c r="AU113" i="11" s="1"/>
  <c r="AU72" i="2"/>
  <c r="AU140" i="11"/>
  <c r="AU143" i="11" s="1"/>
  <c r="AU150" i="11"/>
  <c r="AU154" i="11" s="1"/>
  <c r="AU160" i="11"/>
  <c r="AU164" i="11" s="1"/>
  <c r="AW67" i="11"/>
  <c r="AW70" i="11" s="1"/>
  <c r="AV170" i="11"/>
  <c r="AV111" i="11"/>
  <c r="AV159" i="11"/>
  <c r="AV149" i="11"/>
  <c r="AV139" i="11"/>
  <c r="AV129" i="11"/>
  <c r="AV70" i="11"/>
  <c r="AV83" i="11" s="1"/>
  <c r="AW158" i="11"/>
  <c r="AW147" i="11"/>
  <c r="AW116" i="11"/>
  <c r="AW123" i="11" s="1"/>
  <c r="AW106" i="11"/>
  <c r="AQ311" i="4"/>
  <c r="BW309" i="4"/>
  <c r="AQ223" i="4"/>
  <c r="AQ172" i="4"/>
  <c r="AY301" i="2" l="1"/>
  <c r="AX299" i="2"/>
  <c r="AV97" i="2"/>
  <c r="AV82" i="2" s="1"/>
  <c r="AU208" i="2"/>
  <c r="AU84" i="2"/>
  <c r="AU209" i="2"/>
  <c r="AV104" i="2"/>
  <c r="AU88" i="2"/>
  <c r="AU213" i="2"/>
  <c r="AU214" i="2"/>
  <c r="AV101" i="2"/>
  <c r="AV107" i="2"/>
  <c r="AV103" i="2"/>
  <c r="AV102" i="2"/>
  <c r="AU91" i="2"/>
  <c r="AU217" i="2"/>
  <c r="AU111" i="2"/>
  <c r="AU90" i="2"/>
  <c r="AU92" i="2"/>
  <c r="AU218" i="2"/>
  <c r="AV106" i="2"/>
  <c r="AV108" i="2"/>
  <c r="AV99" i="2"/>
  <c r="AU86" i="2"/>
  <c r="AU211" i="2"/>
  <c r="AU93" i="2"/>
  <c r="AU219" i="2"/>
  <c r="AU85" i="2"/>
  <c r="AU210" i="2"/>
  <c r="AU215" i="2"/>
  <c r="AU87" i="2"/>
  <c r="AU212" i="2"/>
  <c r="AV109" i="2"/>
  <c r="AW110" i="2"/>
  <c r="AW94" i="2" s="1"/>
  <c r="AV100" i="2"/>
  <c r="AV105" i="2"/>
  <c r="AV98" i="2"/>
  <c r="AV83" i="2" s="1"/>
  <c r="AW372" i="2"/>
  <c r="AV385" i="2"/>
  <c r="AR74" i="3"/>
  <c r="AR53" i="3"/>
  <c r="AS200" i="3"/>
  <c r="AW381" i="2"/>
  <c r="AV386" i="2"/>
  <c r="AS220" i="3"/>
  <c r="AS222" i="3"/>
  <c r="AS201" i="3"/>
  <c r="AW320" i="2"/>
  <c r="AT207" i="3"/>
  <c r="AT215" i="3" s="1"/>
  <c r="AT187" i="3"/>
  <c r="AT195" i="3" s="1"/>
  <c r="AW319" i="2"/>
  <c r="AT206" i="3"/>
  <c r="AT214" i="3" s="1"/>
  <c r="AT186" i="3"/>
  <c r="AT194" i="3" s="1"/>
  <c r="AW321" i="2"/>
  <c r="AT208" i="3"/>
  <c r="AT216" i="3" s="1"/>
  <c r="AT188" i="3"/>
  <c r="AT196" i="3" s="1"/>
  <c r="AO184" i="12"/>
  <c r="AO179" i="12" s="1"/>
  <c r="AU86" i="15"/>
  <c r="AU171" i="15"/>
  <c r="AU161" i="15"/>
  <c r="AU152" i="15"/>
  <c r="AU143" i="15"/>
  <c r="AU134" i="15"/>
  <c r="AU113" i="15"/>
  <c r="AU118" i="15" s="1"/>
  <c r="AQ124" i="12"/>
  <c r="AQ128" i="12" s="1"/>
  <c r="AU128" i="15"/>
  <c r="AV172" i="15"/>
  <c r="AR170" i="12" s="1"/>
  <c r="AV162" i="15"/>
  <c r="AR160" i="12" s="1"/>
  <c r="AV153" i="15"/>
  <c r="AR152" i="12" s="1"/>
  <c r="AV144" i="15"/>
  <c r="AR143" i="12" s="1"/>
  <c r="AV124" i="15"/>
  <c r="AV114" i="15"/>
  <c r="AR115" i="12" s="1"/>
  <c r="AR119" i="12" s="1"/>
  <c r="AV75" i="15"/>
  <c r="AT137" i="15"/>
  <c r="AP133" i="12"/>
  <c r="AP136" i="12" s="1"/>
  <c r="AT146" i="15"/>
  <c r="AP142" i="12"/>
  <c r="AP145" i="12" s="1"/>
  <c r="AP151" i="12"/>
  <c r="AP155" i="12" s="1"/>
  <c r="AT156" i="15"/>
  <c r="AT165" i="15"/>
  <c r="AP159" i="12"/>
  <c r="AP163" i="12" s="1"/>
  <c r="AT174" i="15"/>
  <c r="AP169" i="12"/>
  <c r="AP172" i="12" s="1"/>
  <c r="AR71" i="3"/>
  <c r="BJ55" i="2"/>
  <c r="AW49" i="2"/>
  <c r="AW50" i="2"/>
  <c r="AW44" i="2"/>
  <c r="AW51" i="2"/>
  <c r="AW54" i="2"/>
  <c r="AW46" i="2"/>
  <c r="AW52" i="2"/>
  <c r="AW58" i="2"/>
  <c r="AV42" i="2"/>
  <c r="AV72" i="2"/>
  <c r="AW43" i="2"/>
  <c r="AW48" i="2"/>
  <c r="AW61" i="2"/>
  <c r="AV45" i="2"/>
  <c r="AW47" i="2"/>
  <c r="AW53" i="2"/>
  <c r="AR76" i="3"/>
  <c r="AS47" i="3"/>
  <c r="AS69" i="3"/>
  <c r="AR65" i="3"/>
  <c r="AS63" i="3"/>
  <c r="AS75" i="3" s="1"/>
  <c r="AT31" i="3"/>
  <c r="AS57" i="3"/>
  <c r="AS58" i="3"/>
  <c r="AS64" i="3"/>
  <c r="AS76" i="3" s="1"/>
  <c r="AS68" i="3"/>
  <c r="AS70" i="3"/>
  <c r="AS56" i="3"/>
  <c r="AS62" i="3"/>
  <c r="AW339" i="2"/>
  <c r="AW340" i="2"/>
  <c r="AW341" i="2"/>
  <c r="AS262" i="3"/>
  <c r="BG66" i="15"/>
  <c r="BF168" i="15"/>
  <c r="BB166" i="12" s="1"/>
  <c r="BF149" i="15"/>
  <c r="BF140" i="15"/>
  <c r="BF131" i="15"/>
  <c r="BB130" i="12" s="1"/>
  <c r="BF121" i="15"/>
  <c r="BB121" i="12" s="1"/>
  <c r="BF111" i="15"/>
  <c r="BB112" i="12" s="1"/>
  <c r="BF67" i="15"/>
  <c r="BB178" i="12" s="1"/>
  <c r="BB139" i="12"/>
  <c r="BB148" i="12"/>
  <c r="BF159" i="15"/>
  <c r="BF169" i="15"/>
  <c r="BB167" i="12" s="1"/>
  <c r="BF150" i="15"/>
  <c r="BB149" i="12" s="1"/>
  <c r="BF141" i="15"/>
  <c r="BB140" i="12" s="1"/>
  <c r="BF132" i="15"/>
  <c r="BB131" i="12" s="1"/>
  <c r="BF122" i="15"/>
  <c r="BB122" i="12" s="1"/>
  <c r="BF112" i="15"/>
  <c r="BB113" i="12" s="1"/>
  <c r="BH84" i="15"/>
  <c r="BG164" i="15"/>
  <c r="BC162" i="12" s="1"/>
  <c r="BG155" i="15"/>
  <c r="BG145" i="15"/>
  <c r="BG136" i="15"/>
  <c r="BC135" i="12" s="1"/>
  <c r="BG127" i="15"/>
  <c r="BC127" i="12" s="1"/>
  <c r="BG117" i="15"/>
  <c r="BC118" i="12" s="1"/>
  <c r="AT35" i="3"/>
  <c r="AT38" i="3"/>
  <c r="AT29" i="3"/>
  <c r="AT27" i="3"/>
  <c r="AS39" i="3"/>
  <c r="AU14" i="3"/>
  <c r="AU18" i="3"/>
  <c r="AU17" i="3"/>
  <c r="AW8" i="2"/>
  <c r="AX24" i="2"/>
  <c r="AW38" i="2"/>
  <c r="AU10" i="3"/>
  <c r="AZ49" i="3"/>
  <c r="AZ67" i="3"/>
  <c r="AZ55" i="3"/>
  <c r="AZ61" i="3"/>
  <c r="AT240" i="3"/>
  <c r="AT248" i="3" s="1"/>
  <c r="AT256" i="3" s="1"/>
  <c r="AU281" i="3"/>
  <c r="AU290" i="3" s="1"/>
  <c r="AW15" i="2"/>
  <c r="AT284" i="3"/>
  <c r="AT293" i="3" s="1"/>
  <c r="AT242" i="3"/>
  <c r="AT250" i="3" s="1"/>
  <c r="AT258" i="3" s="1"/>
  <c r="AW21" i="2"/>
  <c r="AW20" i="2"/>
  <c r="AU13" i="3"/>
  <c r="AU239" i="3"/>
  <c r="AU247" i="3" s="1"/>
  <c r="AU255" i="3" s="1"/>
  <c r="AS298" i="3"/>
  <c r="AW13" i="2"/>
  <c r="BA89" i="3"/>
  <c r="BA90" i="3" s="1"/>
  <c r="BA43" i="3"/>
  <c r="AW190" i="3"/>
  <c r="AW198" i="3" s="1"/>
  <c r="AV244" i="3"/>
  <c r="AV252" i="3" s="1"/>
  <c r="AV260" i="3" s="1"/>
  <c r="AW16" i="2"/>
  <c r="AU22" i="3"/>
  <c r="AT283" i="3"/>
  <c r="AT292" i="3" s="1"/>
  <c r="AT241" i="3"/>
  <c r="AT249" i="3" s="1"/>
  <c r="AT257" i="3" s="1"/>
  <c r="AT25" i="3"/>
  <c r="AW19" i="2"/>
  <c r="AU19" i="3"/>
  <c r="AU15" i="3"/>
  <c r="AW14" i="2"/>
  <c r="AW9" i="2"/>
  <c r="AT50" i="3"/>
  <c r="AT56" i="3"/>
  <c r="AT62" i="3"/>
  <c r="AT68" i="3"/>
  <c r="BB288" i="3"/>
  <c r="BB297" i="3" s="1"/>
  <c r="BB230" i="3"/>
  <c r="BB231" i="3" s="1"/>
  <c r="AT37" i="3"/>
  <c r="AW189" i="3"/>
  <c r="AW197" i="3" s="1"/>
  <c r="AV285" i="3"/>
  <c r="AV294" i="3" s="1"/>
  <c r="AV243" i="3"/>
  <c r="AV251" i="3" s="1"/>
  <c r="AV259" i="3" s="1"/>
  <c r="AU9" i="3"/>
  <c r="AT32" i="3"/>
  <c r="AT47" i="3"/>
  <c r="AT57" i="3"/>
  <c r="AT63" i="3"/>
  <c r="AT51" i="3"/>
  <c r="AT69" i="3"/>
  <c r="AS53" i="3"/>
  <c r="AT36" i="3"/>
  <c r="AU11" i="3"/>
  <c r="AX27" i="2"/>
  <c r="AW11" i="2"/>
  <c r="AU44" i="3" s="1"/>
  <c r="AU21" i="3"/>
  <c r="AT28" i="3"/>
  <c r="AW191" i="3"/>
  <c r="AW199" i="3" s="1"/>
  <c r="AV245" i="3"/>
  <c r="AV253" i="3" s="1"/>
  <c r="AV261" i="3" s="1"/>
  <c r="AV287" i="3"/>
  <c r="AV296" i="3" s="1"/>
  <c r="AU16" i="3"/>
  <c r="AW12" i="2"/>
  <c r="AU45" i="3" s="1"/>
  <c r="AU20" i="3"/>
  <c r="AT52" i="3"/>
  <c r="AT58" i="3"/>
  <c r="AT64" i="3"/>
  <c r="AT70" i="3"/>
  <c r="AU12" i="3"/>
  <c r="AT30" i="3"/>
  <c r="AT34" i="3"/>
  <c r="AW10" i="2"/>
  <c r="AT33" i="3"/>
  <c r="AY73" i="3"/>
  <c r="AW17" i="2"/>
  <c r="AU46" i="3" s="1"/>
  <c r="AW18" i="2"/>
  <c r="AT26" i="3"/>
  <c r="BJ173" i="15"/>
  <c r="BJ163" i="15"/>
  <c r="BF161" i="12" s="1"/>
  <c r="BJ154" i="15"/>
  <c r="BJ135" i="15"/>
  <c r="BF134" i="12" s="1"/>
  <c r="BJ125" i="15"/>
  <c r="BF125" i="12" s="1"/>
  <c r="BJ115" i="15"/>
  <c r="BF116" i="12" s="1"/>
  <c r="AQ308" i="3"/>
  <c r="AR85" i="3"/>
  <c r="AU113" i="3"/>
  <c r="AV8" i="3"/>
  <c r="AV24" i="3" s="1"/>
  <c r="AW309" i="2"/>
  <c r="AV220" i="2"/>
  <c r="AV160" i="11"/>
  <c r="AV164" i="11" s="1"/>
  <c r="AV171" i="11"/>
  <c r="AV174" i="11" s="1"/>
  <c r="AV130" i="11"/>
  <c r="AV133" i="11" s="1"/>
  <c r="AV140" i="11"/>
  <c r="AV143" i="11" s="1"/>
  <c r="AV150" i="11"/>
  <c r="AV154" i="11" s="1"/>
  <c r="AV81" i="11"/>
  <c r="AV108" i="11"/>
  <c r="AV113" i="11" s="1"/>
  <c r="AW111" i="11"/>
  <c r="AW139" i="11"/>
  <c r="AW170" i="11"/>
  <c r="AW159" i="11"/>
  <c r="AW149" i="11"/>
  <c r="AW129" i="11"/>
  <c r="AW171" i="11"/>
  <c r="AW160" i="11"/>
  <c r="AW150" i="11"/>
  <c r="AW140" i="11"/>
  <c r="AW130" i="11"/>
  <c r="AW83" i="11"/>
  <c r="AW81" i="11"/>
  <c r="AZ301" i="2" l="1"/>
  <c r="AY299" i="2"/>
  <c r="AR77" i="3"/>
  <c r="AW97" i="2"/>
  <c r="AW82" i="2" s="1"/>
  <c r="AV208" i="2"/>
  <c r="AW109" i="2"/>
  <c r="AV87" i="2"/>
  <c r="AV212" i="2"/>
  <c r="AV111" i="2"/>
  <c r="AV85" i="2"/>
  <c r="AV210" i="2"/>
  <c r="AV84" i="2"/>
  <c r="AV209" i="2"/>
  <c r="AW103" i="2"/>
  <c r="AV89" i="2"/>
  <c r="AV214" i="2"/>
  <c r="AW101" i="2"/>
  <c r="AW100" i="2"/>
  <c r="AW99" i="2"/>
  <c r="AV91" i="2"/>
  <c r="AV217" i="2"/>
  <c r="AW104" i="2"/>
  <c r="AV93" i="2"/>
  <c r="AV219" i="2"/>
  <c r="AW106" i="2"/>
  <c r="AV92" i="2"/>
  <c r="AV218" i="2"/>
  <c r="AW107" i="2"/>
  <c r="AV90" i="2"/>
  <c r="AV215" i="2"/>
  <c r="AW102" i="2"/>
  <c r="AW105" i="2"/>
  <c r="AV88" i="2"/>
  <c r="AV213" i="2"/>
  <c r="AX110" i="2"/>
  <c r="AX94" i="2" s="1"/>
  <c r="AW108" i="2"/>
  <c r="AV86" i="2"/>
  <c r="AV211" i="2"/>
  <c r="AW98" i="2"/>
  <c r="AW83" i="2" s="1"/>
  <c r="AX372" i="2"/>
  <c r="AW385" i="2"/>
  <c r="AT220" i="3"/>
  <c r="AX381" i="2"/>
  <c r="AW386" i="2"/>
  <c r="AT200" i="3"/>
  <c r="AT201" i="3"/>
  <c r="AT222" i="3"/>
  <c r="AX319" i="2"/>
  <c r="AU206" i="3"/>
  <c r="AU214" i="3" s="1"/>
  <c r="AU186" i="3"/>
  <c r="AU194" i="3" s="1"/>
  <c r="AX320" i="2"/>
  <c r="AU207" i="3"/>
  <c r="AU215" i="3" s="1"/>
  <c r="AU187" i="3"/>
  <c r="AU195" i="3" s="1"/>
  <c r="AX321" i="2"/>
  <c r="AU208" i="3"/>
  <c r="AU216" i="3" s="1"/>
  <c r="AU188" i="3"/>
  <c r="AU196" i="3" s="1"/>
  <c r="AP184" i="12"/>
  <c r="AP179" i="12" s="1"/>
  <c r="AV86" i="15"/>
  <c r="AV171" i="15"/>
  <c r="AV161" i="15"/>
  <c r="AV152" i="15"/>
  <c r="AV143" i="15"/>
  <c r="AV134" i="15"/>
  <c r="AV113" i="15"/>
  <c r="AV118" i="15" s="1"/>
  <c r="AR124" i="12"/>
  <c r="AR128" i="12" s="1"/>
  <c r="AV128" i="15"/>
  <c r="AW172" i="15"/>
  <c r="AS170" i="12" s="1"/>
  <c r="AW162" i="15"/>
  <c r="AS160" i="12" s="1"/>
  <c r="AW153" i="15"/>
  <c r="AS152" i="12" s="1"/>
  <c r="AW144" i="15"/>
  <c r="AS143" i="12" s="1"/>
  <c r="AW124" i="15"/>
  <c r="AW114" i="15"/>
  <c r="AS115" i="12" s="1"/>
  <c r="AS119" i="12" s="1"/>
  <c r="AW75" i="15"/>
  <c r="AU137" i="15"/>
  <c r="AQ133" i="12"/>
  <c r="AQ136" i="12" s="1"/>
  <c r="AU146" i="15"/>
  <c r="AQ142" i="12"/>
  <c r="AQ145" i="12" s="1"/>
  <c r="AQ151" i="12"/>
  <c r="AQ155" i="12" s="1"/>
  <c r="AU156" i="15"/>
  <c r="AU165" i="15"/>
  <c r="AQ159" i="12"/>
  <c r="AQ163" i="12" s="1"/>
  <c r="AU174" i="15"/>
  <c r="AQ169" i="12"/>
  <c r="AQ172" i="12" s="1"/>
  <c r="AS59" i="3"/>
  <c r="BK55" i="2"/>
  <c r="AX49" i="2"/>
  <c r="AW42" i="2"/>
  <c r="AX58" i="2"/>
  <c r="AW72" i="2"/>
  <c r="AX61" i="2"/>
  <c r="AW45" i="2"/>
  <c r="AX43" i="2"/>
  <c r="AX51" i="2"/>
  <c r="AX52" i="2"/>
  <c r="AX44" i="2"/>
  <c r="AX53" i="2"/>
  <c r="AX47" i="2"/>
  <c r="AX48" i="2"/>
  <c r="AX54" i="2"/>
  <c r="AX46" i="2"/>
  <c r="AX50" i="2"/>
  <c r="AS65" i="3"/>
  <c r="AS71" i="3"/>
  <c r="AU25" i="3"/>
  <c r="AS74" i="3"/>
  <c r="AS77" i="3" s="1"/>
  <c r="AV281" i="3"/>
  <c r="AV290" i="3" s="1"/>
  <c r="AY339" i="2"/>
  <c r="AY340" i="2"/>
  <c r="AY341" i="2"/>
  <c r="AX339" i="2"/>
  <c r="AX340" i="2"/>
  <c r="AX341" i="2"/>
  <c r="BH66" i="15"/>
  <c r="BG168" i="15"/>
  <c r="BC166" i="12" s="1"/>
  <c r="BG149" i="15"/>
  <c r="BG140" i="15"/>
  <c r="BG131" i="15"/>
  <c r="BC130" i="12" s="1"/>
  <c r="BG121" i="15"/>
  <c r="BC121" i="12" s="1"/>
  <c r="BG111" i="15"/>
  <c r="BC112" i="12" s="1"/>
  <c r="BG67" i="15"/>
  <c r="BC178" i="12" s="1"/>
  <c r="BC139" i="12"/>
  <c r="BC148" i="12"/>
  <c r="BI84" i="15"/>
  <c r="BH164" i="15"/>
  <c r="BD162" i="12" s="1"/>
  <c r="BH155" i="15"/>
  <c r="BH145" i="15"/>
  <c r="BH136" i="15"/>
  <c r="BD135" i="12" s="1"/>
  <c r="BH127" i="15"/>
  <c r="BD127" i="12" s="1"/>
  <c r="BH117" i="15"/>
  <c r="BD118" i="12" s="1"/>
  <c r="BG159" i="15"/>
  <c r="BG169" i="15"/>
  <c r="BC167" i="12" s="1"/>
  <c r="BG150" i="15"/>
  <c r="BC149" i="12" s="1"/>
  <c r="BG141" i="15"/>
  <c r="BC140" i="12" s="1"/>
  <c r="BG132" i="15"/>
  <c r="BC131" i="12" s="1"/>
  <c r="BG122" i="15"/>
  <c r="BC122" i="12" s="1"/>
  <c r="BG112" i="15"/>
  <c r="BC113" i="12" s="1"/>
  <c r="AT298" i="3"/>
  <c r="AU38" i="3"/>
  <c r="AU36" i="3"/>
  <c r="AT71" i="3"/>
  <c r="AU31" i="3"/>
  <c r="AT76" i="3"/>
  <c r="AU32" i="3"/>
  <c r="AT75" i="3"/>
  <c r="AU29" i="3"/>
  <c r="AU33" i="3"/>
  <c r="AV16" i="3"/>
  <c r="AU47" i="3"/>
  <c r="AU56" i="3"/>
  <c r="AU62" i="3"/>
  <c r="AU50" i="3"/>
  <c r="AU68" i="3"/>
  <c r="BC230" i="3"/>
  <c r="BC231" i="3" s="1"/>
  <c r="BC288" i="3"/>
  <c r="BC297" i="3" s="1"/>
  <c r="AX14" i="2"/>
  <c r="AX190" i="3"/>
  <c r="AX198" i="3" s="1"/>
  <c r="AW244" i="3"/>
  <c r="AW252" i="3" s="1"/>
  <c r="AW260" i="3" s="1"/>
  <c r="AV239" i="3"/>
  <c r="AV247" i="3" s="1"/>
  <c r="AV255" i="3" s="1"/>
  <c r="AX8" i="2"/>
  <c r="AY24" i="2"/>
  <c r="AX38" i="2"/>
  <c r="AX18" i="2"/>
  <c r="AX10" i="2"/>
  <c r="AY27" i="2"/>
  <c r="AX11" i="2"/>
  <c r="AV44" i="3" s="1"/>
  <c r="AV9" i="3"/>
  <c r="BA55" i="3"/>
  <c r="BA49" i="3"/>
  <c r="BA67" i="3"/>
  <c r="BA61" i="3"/>
  <c r="AU284" i="3"/>
  <c r="AU293" i="3" s="1"/>
  <c r="AU242" i="3"/>
  <c r="AU250" i="3" s="1"/>
  <c r="AU258" i="3" s="1"/>
  <c r="AU27" i="3"/>
  <c r="AT65" i="3"/>
  <c r="AV15" i="3"/>
  <c r="AU283" i="3"/>
  <c r="AU292" i="3" s="1"/>
  <c r="AU241" i="3"/>
  <c r="AU249" i="3" s="1"/>
  <c r="AU257" i="3" s="1"/>
  <c r="AV13" i="3"/>
  <c r="AW281" i="3"/>
  <c r="AW290" i="3" s="1"/>
  <c r="AU52" i="3"/>
  <c r="AU58" i="3"/>
  <c r="AU64" i="3"/>
  <c r="AU70" i="3"/>
  <c r="AX191" i="3"/>
  <c r="AX199" i="3" s="1"/>
  <c r="AW287" i="3"/>
  <c r="AW296" i="3" s="1"/>
  <c r="AW245" i="3"/>
  <c r="AW253" i="3" s="1"/>
  <c r="AW261" i="3" s="1"/>
  <c r="AV11" i="3"/>
  <c r="AT59" i="3"/>
  <c r="AU35" i="3"/>
  <c r="BB89" i="3"/>
  <c r="BB90" i="3" s="1"/>
  <c r="BB43" i="3"/>
  <c r="AX15" i="2"/>
  <c r="AV17" i="3"/>
  <c r="AX17" i="2"/>
  <c r="AV46" i="3" s="1"/>
  <c r="AU28" i="3"/>
  <c r="AV20" i="3"/>
  <c r="AX189" i="3"/>
  <c r="AX197" i="3" s="1"/>
  <c r="AW285" i="3"/>
  <c r="AW294" i="3" s="1"/>
  <c r="AW243" i="3"/>
  <c r="AW251" i="3" s="1"/>
  <c r="AW259" i="3" s="1"/>
  <c r="AT74" i="3"/>
  <c r="AT53" i="3"/>
  <c r="AV19" i="3"/>
  <c r="AV22" i="3"/>
  <c r="AX20" i="2"/>
  <c r="AZ73" i="3"/>
  <c r="AU34" i="3"/>
  <c r="AV12" i="3"/>
  <c r="AU69" i="3"/>
  <c r="AU57" i="3"/>
  <c r="AU63" i="3"/>
  <c r="AU51" i="3"/>
  <c r="AU37" i="3"/>
  <c r="AX13" i="2"/>
  <c r="AU26" i="3"/>
  <c r="AV18" i="3"/>
  <c r="AX12" i="2"/>
  <c r="AV45" i="3" s="1"/>
  <c r="AV21" i="3"/>
  <c r="AX9" i="2"/>
  <c r="AX19" i="2"/>
  <c r="AX16" i="2"/>
  <c r="AX21" i="2"/>
  <c r="AT262" i="3"/>
  <c r="AV10" i="3"/>
  <c r="AU30" i="3"/>
  <c r="AT39" i="3"/>
  <c r="AU240" i="3"/>
  <c r="AU248" i="3" s="1"/>
  <c r="AU256" i="3" s="1"/>
  <c r="AV14" i="3"/>
  <c r="BK173" i="15"/>
  <c r="BK163" i="15"/>
  <c r="BG161" i="12" s="1"/>
  <c r="BK154" i="15"/>
  <c r="BK135" i="15"/>
  <c r="BG134" i="12" s="1"/>
  <c r="BK125" i="15"/>
  <c r="BG125" i="12" s="1"/>
  <c r="BK115" i="15"/>
  <c r="BG116" i="12" s="1"/>
  <c r="AS85" i="3"/>
  <c r="AR308" i="3"/>
  <c r="AV113" i="3"/>
  <c r="AW8" i="3"/>
  <c r="AW24" i="3" s="1"/>
  <c r="AX309" i="2"/>
  <c r="AW220" i="2"/>
  <c r="AW108" i="11"/>
  <c r="AW113" i="11" s="1"/>
  <c r="AW143" i="11"/>
  <c r="AW154" i="11"/>
  <c r="AW133" i="11"/>
  <c r="AW164" i="11"/>
  <c r="AW174" i="11"/>
  <c r="BA301" i="2" l="1"/>
  <c r="AZ299" i="2"/>
  <c r="AX97" i="2"/>
  <c r="AX82" i="2" s="1"/>
  <c r="AW208" i="2"/>
  <c r="AX100" i="2"/>
  <c r="AW89" i="2"/>
  <c r="AW214" i="2"/>
  <c r="AX107" i="2"/>
  <c r="AW92" i="2"/>
  <c r="AW218" i="2"/>
  <c r="AW87" i="2"/>
  <c r="AW212" i="2"/>
  <c r="AW215" i="2"/>
  <c r="AW91" i="2"/>
  <c r="AW217" i="2"/>
  <c r="AW86" i="2"/>
  <c r="AW211" i="2"/>
  <c r="AX105" i="2"/>
  <c r="AX104" i="2"/>
  <c r="AX108" i="2"/>
  <c r="AW84" i="2"/>
  <c r="AW209" i="2"/>
  <c r="AW88" i="2"/>
  <c r="AW213" i="2"/>
  <c r="AX101" i="2"/>
  <c r="AX102" i="2"/>
  <c r="AY110" i="2"/>
  <c r="AY94" i="2" s="1"/>
  <c r="AX106" i="2"/>
  <c r="AX99" i="2"/>
  <c r="AX103" i="2"/>
  <c r="AW93" i="2"/>
  <c r="AW219" i="2"/>
  <c r="AW90" i="2"/>
  <c r="AW85" i="2"/>
  <c r="AW210" i="2"/>
  <c r="AX109" i="2"/>
  <c r="AW111" i="2"/>
  <c r="AX98" i="2"/>
  <c r="AX83" i="2" s="1"/>
  <c r="AY372" i="2"/>
  <c r="AX385" i="2"/>
  <c r="AY381" i="2"/>
  <c r="AX386" i="2"/>
  <c r="AU200" i="3"/>
  <c r="AU201" i="3"/>
  <c r="AU222" i="3"/>
  <c r="AY320" i="2"/>
  <c r="AV207" i="3"/>
  <c r="AV215" i="3" s="1"/>
  <c r="AV187" i="3"/>
  <c r="AV195" i="3" s="1"/>
  <c r="AU220" i="3"/>
  <c r="AY319" i="2"/>
  <c r="AV206" i="3"/>
  <c r="AV214" i="3" s="1"/>
  <c r="AV186" i="3"/>
  <c r="AV194" i="3" s="1"/>
  <c r="AY321" i="2"/>
  <c r="AV208" i="3"/>
  <c r="AV216" i="3" s="1"/>
  <c r="AV188" i="3"/>
  <c r="AV196" i="3" s="1"/>
  <c r="AQ184" i="12"/>
  <c r="AQ179" i="12" s="1"/>
  <c r="AW86" i="15"/>
  <c r="AW171" i="15"/>
  <c r="AW161" i="15"/>
  <c r="AW152" i="15"/>
  <c r="AW143" i="15"/>
  <c r="AW134" i="15"/>
  <c r="AW113" i="15"/>
  <c r="AW118" i="15" s="1"/>
  <c r="AS124" i="12"/>
  <c r="AS128" i="12" s="1"/>
  <c r="AW128" i="15"/>
  <c r="AX172" i="15"/>
  <c r="AT170" i="12" s="1"/>
  <c r="AX162" i="15"/>
  <c r="AT160" i="12" s="1"/>
  <c r="AX153" i="15"/>
  <c r="AT152" i="12" s="1"/>
  <c r="AX144" i="15"/>
  <c r="AT143" i="12" s="1"/>
  <c r="AX124" i="15"/>
  <c r="AX114" i="15"/>
  <c r="AT115" i="12" s="1"/>
  <c r="AT119" i="12" s="1"/>
  <c r="AX75" i="15"/>
  <c r="AV137" i="15"/>
  <c r="AR133" i="12"/>
  <c r="AR136" i="12" s="1"/>
  <c r="AV146" i="15"/>
  <c r="AR142" i="12"/>
  <c r="AR145" i="12" s="1"/>
  <c r="AR151" i="12"/>
  <c r="AR155" i="12" s="1"/>
  <c r="AV156" i="15"/>
  <c r="AV165" i="15"/>
  <c r="AR159" i="12"/>
  <c r="AR163" i="12" s="1"/>
  <c r="AV174" i="15"/>
  <c r="AR169" i="12"/>
  <c r="AR172" i="12" s="1"/>
  <c r="BL55" i="2"/>
  <c r="AY50" i="2"/>
  <c r="AY51" i="2"/>
  <c r="AY54" i="2"/>
  <c r="AY44" i="2"/>
  <c r="AY61" i="2"/>
  <c r="AX45" i="2"/>
  <c r="AY43" i="2"/>
  <c r="AY47" i="2"/>
  <c r="AY53" i="2"/>
  <c r="AY48" i="2"/>
  <c r="AY52" i="2"/>
  <c r="AX42" i="2"/>
  <c r="AY58" i="2"/>
  <c r="AX72" i="2"/>
  <c r="AY49" i="2"/>
  <c r="AY46" i="2"/>
  <c r="AV30" i="3"/>
  <c r="AU298" i="3"/>
  <c r="AV28" i="3"/>
  <c r="AV25" i="3"/>
  <c r="AZ339" i="2"/>
  <c r="AZ340" i="2"/>
  <c r="AZ341" i="2"/>
  <c r="BI66" i="15"/>
  <c r="BH168" i="15"/>
  <c r="BH149" i="15"/>
  <c r="BD148" i="12" s="1"/>
  <c r="BH140" i="15"/>
  <c r="BD139" i="12" s="1"/>
  <c r="BH131" i="15"/>
  <c r="BH121" i="15"/>
  <c r="BH111" i="15"/>
  <c r="BD112" i="12" s="1"/>
  <c r="BH67" i="15"/>
  <c r="BD178" i="12" s="1"/>
  <c r="BD166" i="12"/>
  <c r="BD130" i="12"/>
  <c r="BD121" i="12"/>
  <c r="BH159" i="15"/>
  <c r="BH169" i="15"/>
  <c r="BD167" i="12" s="1"/>
  <c r="BH150" i="15"/>
  <c r="BD149" i="12" s="1"/>
  <c r="BH141" i="15"/>
  <c r="BD140" i="12" s="1"/>
  <c r="BH132" i="15"/>
  <c r="BD131" i="12" s="1"/>
  <c r="BH122" i="15"/>
  <c r="BD122" i="12" s="1"/>
  <c r="BH112" i="15"/>
  <c r="BD113" i="12" s="1"/>
  <c r="BJ84" i="15"/>
  <c r="BI164" i="15"/>
  <c r="BE162" i="12" s="1"/>
  <c r="BI155" i="15"/>
  <c r="BI145" i="15"/>
  <c r="BI136" i="15"/>
  <c r="BE135" i="12" s="1"/>
  <c r="BI127" i="15"/>
  <c r="BE127" i="12" s="1"/>
  <c r="BI117" i="15"/>
  <c r="BE118" i="12" s="1"/>
  <c r="AU75" i="3"/>
  <c r="AV27" i="3"/>
  <c r="AV35" i="3"/>
  <c r="AV37" i="3"/>
  <c r="AV36" i="3"/>
  <c r="AU39" i="3"/>
  <c r="AU262" i="3"/>
  <c r="AU76" i="3"/>
  <c r="AV31" i="3"/>
  <c r="AV38" i="3"/>
  <c r="AV26" i="3"/>
  <c r="AY19" i="2"/>
  <c r="AW18" i="3"/>
  <c r="AY189" i="3"/>
  <c r="AY197" i="3" s="1"/>
  <c r="AX285" i="3"/>
  <c r="AX294" i="3" s="1"/>
  <c r="AX243" i="3"/>
  <c r="AX251" i="3" s="1"/>
  <c r="AX259" i="3" s="1"/>
  <c r="AV283" i="3"/>
  <c r="AV292" i="3" s="1"/>
  <c r="AV241" i="3"/>
  <c r="AV249" i="3" s="1"/>
  <c r="AV257" i="3" s="1"/>
  <c r="AV284" i="3"/>
  <c r="AV293" i="3" s="1"/>
  <c r="AV242" i="3"/>
  <c r="AV250" i="3" s="1"/>
  <c r="AV258" i="3" s="1"/>
  <c r="AZ27" i="2"/>
  <c r="AY11" i="2"/>
  <c r="AW44" i="3" s="1"/>
  <c r="BD288" i="3"/>
  <c r="BD297" i="3" s="1"/>
  <c r="BD230" i="3"/>
  <c r="BD231" i="3" s="1"/>
  <c r="AW10" i="3"/>
  <c r="AW22" i="3"/>
  <c r="AW11" i="3"/>
  <c r="AW239" i="3"/>
  <c r="AW247" i="3" s="1"/>
  <c r="AW255" i="3" s="1"/>
  <c r="AU71" i="3"/>
  <c r="AY9" i="2"/>
  <c r="AW12" i="3"/>
  <c r="AW20" i="3"/>
  <c r="AY15" i="2"/>
  <c r="AW15" i="3"/>
  <c r="AY10" i="2"/>
  <c r="AU74" i="3"/>
  <c r="AU53" i="3"/>
  <c r="AW14" i="3"/>
  <c r="AY13" i="2"/>
  <c r="AW19" i="3"/>
  <c r="BB49" i="3"/>
  <c r="BB61" i="3"/>
  <c r="BB67" i="3"/>
  <c r="BB55" i="3"/>
  <c r="BA73" i="3"/>
  <c r="AY190" i="3"/>
  <c r="AY198" i="3" s="1"/>
  <c r="AX244" i="3"/>
  <c r="AX252" i="3" s="1"/>
  <c r="AX260" i="3" s="1"/>
  <c r="AX281" i="3"/>
  <c r="AX290" i="3" s="1"/>
  <c r="AY21" i="2"/>
  <c r="AW21" i="3"/>
  <c r="AV52" i="3"/>
  <c r="AV58" i="3"/>
  <c r="AV64" i="3"/>
  <c r="AV70" i="3"/>
  <c r="AY191" i="3"/>
  <c r="AY199" i="3" s="1"/>
  <c r="AX287" i="3"/>
  <c r="AX296" i="3" s="1"/>
  <c r="AX245" i="3"/>
  <c r="AX253" i="3" s="1"/>
  <c r="AX261" i="3" s="1"/>
  <c r="AV29" i="3"/>
  <c r="AY18" i="2"/>
  <c r="AU59" i="3"/>
  <c r="AV240" i="3"/>
  <c r="AV248" i="3" s="1"/>
  <c r="AV256" i="3" s="1"/>
  <c r="AV51" i="3"/>
  <c r="AV69" i="3"/>
  <c r="AV57" i="3"/>
  <c r="AV63" i="3"/>
  <c r="AY17" i="2"/>
  <c r="AW46" i="3" s="1"/>
  <c r="BC89" i="3"/>
  <c r="BC90" i="3" s="1"/>
  <c r="BC43" i="3"/>
  <c r="AW13" i="3"/>
  <c r="AY14" i="2"/>
  <c r="AY16" i="2"/>
  <c r="AY12" i="2"/>
  <c r="AW45" i="3" s="1"/>
  <c r="AV33" i="3"/>
  <c r="AU65" i="3"/>
  <c r="AW9" i="3"/>
  <c r="AY8" i="2"/>
  <c r="AZ24" i="2"/>
  <c r="AY38" i="2"/>
  <c r="AV32" i="3"/>
  <c r="AV34" i="3"/>
  <c r="AY20" i="2"/>
  <c r="AW17" i="3"/>
  <c r="AV68" i="3"/>
  <c r="AV56" i="3"/>
  <c r="AV62" i="3"/>
  <c r="AV50" i="3"/>
  <c r="AV47" i="3"/>
  <c r="AW16" i="3"/>
  <c r="BL173" i="15"/>
  <c r="BL163" i="15"/>
  <c r="BH161" i="12" s="1"/>
  <c r="BL154" i="15"/>
  <c r="BL135" i="15"/>
  <c r="BH134" i="12" s="1"/>
  <c r="BL125" i="15"/>
  <c r="BH125" i="12" s="1"/>
  <c r="BL115" i="15"/>
  <c r="BH116" i="12" s="1"/>
  <c r="AT77" i="3"/>
  <c r="AS308" i="3"/>
  <c r="AT85" i="3"/>
  <c r="AW113" i="3"/>
  <c r="AX8" i="3"/>
  <c r="AX24" i="3" s="1"/>
  <c r="AY309" i="2"/>
  <c r="AX220" i="2"/>
  <c r="BB301" i="2" l="1"/>
  <c r="BA299" i="2"/>
  <c r="AY97" i="2"/>
  <c r="AY82" i="2" s="1"/>
  <c r="AX111" i="2"/>
  <c r="AX208" i="2"/>
  <c r="AY99" i="2"/>
  <c r="AY101" i="2"/>
  <c r="AY104" i="2"/>
  <c r="AX88" i="2"/>
  <c r="AX213" i="2"/>
  <c r="AX92" i="2"/>
  <c r="AX218" i="2"/>
  <c r="AX91" i="2"/>
  <c r="AX217" i="2"/>
  <c r="AY109" i="2"/>
  <c r="AY102" i="2"/>
  <c r="AY107" i="2"/>
  <c r="AX86" i="2"/>
  <c r="AX211" i="2"/>
  <c r="AX90" i="2"/>
  <c r="AX215" i="2"/>
  <c r="AX85" i="2"/>
  <c r="AX210" i="2"/>
  <c r="AZ110" i="2"/>
  <c r="AZ94" i="2" s="1"/>
  <c r="AX93" i="2"/>
  <c r="AX219" i="2"/>
  <c r="AX87" i="2"/>
  <c r="AX212" i="2"/>
  <c r="AY103" i="2"/>
  <c r="AY108" i="2"/>
  <c r="AX84" i="2"/>
  <c r="AX209" i="2"/>
  <c r="AX89" i="2"/>
  <c r="AX214" i="2"/>
  <c r="AY106" i="2"/>
  <c r="AY105" i="2"/>
  <c r="AY100" i="2"/>
  <c r="AY98" i="2"/>
  <c r="AY83" i="2" s="1"/>
  <c r="AZ372" i="2"/>
  <c r="AY385" i="2"/>
  <c r="AZ381" i="2"/>
  <c r="AY386" i="2"/>
  <c r="AV200" i="3"/>
  <c r="AV220" i="3"/>
  <c r="AZ319" i="2"/>
  <c r="AW206" i="3"/>
  <c r="AW214" i="3" s="1"/>
  <c r="AW186" i="3"/>
  <c r="AW194" i="3" s="1"/>
  <c r="AZ320" i="2"/>
  <c r="AW207" i="3"/>
  <c r="AW215" i="3" s="1"/>
  <c r="AW187" i="3"/>
  <c r="AW195" i="3" s="1"/>
  <c r="AZ321" i="2"/>
  <c r="AW208" i="3"/>
  <c r="AW216" i="3" s="1"/>
  <c r="AW188" i="3"/>
  <c r="AW196" i="3" s="1"/>
  <c r="AV201" i="3"/>
  <c r="AV222" i="3"/>
  <c r="AR184" i="12"/>
  <c r="AR179" i="12" s="1"/>
  <c r="AX86" i="15"/>
  <c r="AX171" i="15"/>
  <c r="AX161" i="15"/>
  <c r="AX152" i="15"/>
  <c r="AX143" i="15"/>
  <c r="AX134" i="15"/>
  <c r="AX113" i="15"/>
  <c r="AX118" i="15" s="1"/>
  <c r="AT124" i="12"/>
  <c r="AT128" i="12" s="1"/>
  <c r="AX128" i="15"/>
  <c r="AY172" i="15"/>
  <c r="AU170" i="12" s="1"/>
  <c r="AY162" i="15"/>
  <c r="AU160" i="12" s="1"/>
  <c r="AY153" i="15"/>
  <c r="AU152" i="12" s="1"/>
  <c r="AY144" i="15"/>
  <c r="AU143" i="12" s="1"/>
  <c r="AY124" i="15"/>
  <c r="AY114" i="15"/>
  <c r="AU115" i="12" s="1"/>
  <c r="AU119" i="12" s="1"/>
  <c r="AY75" i="15"/>
  <c r="AW137" i="15"/>
  <c r="AS133" i="12"/>
  <c r="AS136" i="12" s="1"/>
  <c r="AW146" i="15"/>
  <c r="AS142" i="12"/>
  <c r="AS145" i="12" s="1"/>
  <c r="AS151" i="12"/>
  <c r="AS155" i="12" s="1"/>
  <c r="AW156" i="15"/>
  <c r="AW165" i="15"/>
  <c r="AS159" i="12"/>
  <c r="AS163" i="12" s="1"/>
  <c r="AW174" i="15"/>
  <c r="AS169" i="12"/>
  <c r="AS172" i="12" s="1"/>
  <c r="BM55" i="2"/>
  <c r="AZ53" i="2"/>
  <c r="AZ44" i="2"/>
  <c r="AY42" i="2"/>
  <c r="AY72" i="2"/>
  <c r="AZ58" i="2"/>
  <c r="AZ49" i="2"/>
  <c r="AZ54" i="2"/>
  <c r="AZ52" i="2"/>
  <c r="AZ43" i="2"/>
  <c r="AZ51" i="2"/>
  <c r="AZ46" i="2"/>
  <c r="AZ47" i="2"/>
  <c r="AZ48" i="2"/>
  <c r="AZ61" i="2"/>
  <c r="AY45" i="2"/>
  <c r="AZ50" i="2"/>
  <c r="BA339" i="2"/>
  <c r="BA340" i="2"/>
  <c r="BA341" i="2"/>
  <c r="BI168" i="15"/>
  <c r="BI149" i="15"/>
  <c r="BE148" i="12" s="1"/>
  <c r="BI140" i="15"/>
  <c r="BI131" i="15"/>
  <c r="BI121" i="15"/>
  <c r="BI111" i="15"/>
  <c r="BE112" i="12" s="1"/>
  <c r="BJ66" i="15"/>
  <c r="BI67" i="15"/>
  <c r="BE178" i="12" s="1"/>
  <c r="BE166" i="12"/>
  <c r="BE139" i="12"/>
  <c r="BE130" i="12"/>
  <c r="BE121" i="12"/>
  <c r="BK84" i="15"/>
  <c r="BJ164" i="15"/>
  <c r="BF162" i="12" s="1"/>
  <c r="BJ155" i="15"/>
  <c r="BJ145" i="15"/>
  <c r="BJ136" i="15"/>
  <c r="BF135" i="12" s="1"/>
  <c r="BJ127" i="15"/>
  <c r="BF127" i="12" s="1"/>
  <c r="BJ117" i="15"/>
  <c r="BF118" i="12" s="1"/>
  <c r="BI159" i="15"/>
  <c r="BI169" i="15"/>
  <c r="BE167" i="12" s="1"/>
  <c r="BI150" i="15"/>
  <c r="BE149" i="12" s="1"/>
  <c r="BI141" i="15"/>
  <c r="BE140" i="12" s="1"/>
  <c r="BI132" i="15"/>
  <c r="BE131" i="12" s="1"/>
  <c r="BI122" i="15"/>
  <c r="BE122" i="12" s="1"/>
  <c r="BI112" i="15"/>
  <c r="BE113" i="12" s="1"/>
  <c r="AV71" i="3"/>
  <c r="AV65" i="3"/>
  <c r="AW32" i="3"/>
  <c r="AV75" i="3"/>
  <c r="AW36" i="3"/>
  <c r="AW38" i="3"/>
  <c r="AV76" i="3"/>
  <c r="AW31" i="3"/>
  <c r="AW29" i="3"/>
  <c r="AV59" i="3"/>
  <c r="AW37" i="3"/>
  <c r="AX16" i="3"/>
  <c r="AX9" i="3"/>
  <c r="AZ14" i="2"/>
  <c r="AZ18" i="2"/>
  <c r="AX19" i="3"/>
  <c r="AZ10" i="2"/>
  <c r="AX12" i="3"/>
  <c r="AX11" i="3"/>
  <c r="AW50" i="3"/>
  <c r="AW68" i="3"/>
  <c r="AW56" i="3"/>
  <c r="AW62" i="3"/>
  <c r="AW47" i="3"/>
  <c r="AV74" i="3"/>
  <c r="AV53" i="3"/>
  <c r="AX13" i="3"/>
  <c r="AZ13" i="2"/>
  <c r="AX15" i="3"/>
  <c r="AZ9" i="2"/>
  <c r="AX22" i="3"/>
  <c r="AZ189" i="3"/>
  <c r="AZ197" i="3" s="1"/>
  <c r="AY285" i="3"/>
  <c r="AY294" i="3" s="1"/>
  <c r="AY243" i="3"/>
  <c r="AY251" i="3" s="1"/>
  <c r="AY259" i="3" s="1"/>
  <c r="BA27" i="2"/>
  <c r="AZ11" i="2"/>
  <c r="AX44" i="3" s="1"/>
  <c r="AW69" i="3"/>
  <c r="AW57" i="3"/>
  <c r="AW63" i="3"/>
  <c r="AW51" i="3"/>
  <c r="BC55" i="3"/>
  <c r="BC49" i="3"/>
  <c r="BC61" i="3"/>
  <c r="BC67" i="3"/>
  <c r="AX21" i="3"/>
  <c r="AW30" i="3"/>
  <c r="AW26" i="3"/>
  <c r="AW34" i="3"/>
  <c r="AZ20" i="2"/>
  <c r="AY281" i="3"/>
  <c r="AY290" i="3" s="1"/>
  <c r="AZ12" i="2"/>
  <c r="AX45" i="3" s="1"/>
  <c r="AV262" i="3"/>
  <c r="AX14" i="3"/>
  <c r="AZ15" i="2"/>
  <c r="AX10" i="3"/>
  <c r="AW284" i="3"/>
  <c r="AW293" i="3" s="1"/>
  <c r="AW242" i="3"/>
  <c r="AW250" i="3" s="1"/>
  <c r="AW258" i="3" s="1"/>
  <c r="AX18" i="3"/>
  <c r="AZ190" i="3"/>
  <c r="AZ198" i="3" s="1"/>
  <c r="AY244" i="3"/>
  <c r="AY252" i="3" s="1"/>
  <c r="AY260" i="3" s="1"/>
  <c r="AZ8" i="2"/>
  <c r="BA24" i="2"/>
  <c r="AZ38" i="2"/>
  <c r="BD89" i="3"/>
  <c r="BD90" i="3" s="1"/>
  <c r="BD43" i="3"/>
  <c r="AW240" i="3"/>
  <c r="AW248" i="3" s="1"/>
  <c r="AW256" i="3" s="1"/>
  <c r="AZ191" i="3"/>
  <c r="AZ199" i="3" s="1"/>
  <c r="AY287" i="3"/>
  <c r="AY296" i="3" s="1"/>
  <c r="AY245" i="3"/>
  <c r="AY253" i="3" s="1"/>
  <c r="AY261" i="3" s="1"/>
  <c r="AZ21" i="2"/>
  <c r="AX239" i="3"/>
  <c r="AX247" i="3" s="1"/>
  <c r="AX255" i="3" s="1"/>
  <c r="AW33" i="3"/>
  <c r="AZ16" i="2"/>
  <c r="AW52" i="3"/>
  <c r="AW70" i="3"/>
  <c r="AW64" i="3"/>
  <c r="AW58" i="3"/>
  <c r="BB73" i="3"/>
  <c r="AX20" i="3"/>
  <c r="AV298" i="3"/>
  <c r="AZ19" i="2"/>
  <c r="AX17" i="3"/>
  <c r="AW25" i="3"/>
  <c r="AZ17" i="2"/>
  <c r="AX46" i="3" s="1"/>
  <c r="AW35" i="3"/>
  <c r="AW28" i="3"/>
  <c r="AW27" i="3"/>
  <c r="BE288" i="3"/>
  <c r="BE297" i="3" s="1"/>
  <c r="BE230" i="3"/>
  <c r="BE231" i="3" s="1"/>
  <c r="AW283" i="3"/>
  <c r="AW292" i="3" s="1"/>
  <c r="AW241" i="3"/>
  <c r="AW249" i="3" s="1"/>
  <c r="AW257" i="3" s="1"/>
  <c r="AV39" i="3"/>
  <c r="BM173" i="15"/>
  <c r="BM163" i="15"/>
  <c r="BI161" i="12" s="1"/>
  <c r="BM154" i="15"/>
  <c r="BM135" i="15"/>
  <c r="BI134" i="12" s="1"/>
  <c r="BM125" i="15"/>
  <c r="BI125" i="12" s="1"/>
  <c r="BM115" i="15"/>
  <c r="BI116" i="12" s="1"/>
  <c r="AU85" i="3"/>
  <c r="AT308" i="3"/>
  <c r="AU77" i="3"/>
  <c r="AY8" i="3"/>
  <c r="AY24" i="3" s="1"/>
  <c r="AX113" i="3"/>
  <c r="AZ309" i="2"/>
  <c r="AY220" i="2"/>
  <c r="BC301" i="2" l="1"/>
  <c r="BB299" i="2"/>
  <c r="AZ97" i="2"/>
  <c r="AZ82" i="2" s="1"/>
  <c r="AY208" i="2"/>
  <c r="AY87" i="2"/>
  <c r="AY212" i="2"/>
  <c r="AZ102" i="2"/>
  <c r="AY85" i="2"/>
  <c r="AY210" i="2"/>
  <c r="AY93" i="2"/>
  <c r="AY219" i="2"/>
  <c r="AY89" i="2"/>
  <c r="AY214" i="2"/>
  <c r="AZ100" i="2"/>
  <c r="AZ104" i="2"/>
  <c r="AY215" i="2"/>
  <c r="AY86" i="2"/>
  <c r="AY211" i="2"/>
  <c r="AZ105" i="2"/>
  <c r="AZ108" i="2"/>
  <c r="BA110" i="2"/>
  <c r="BA94" i="2" s="1"/>
  <c r="AZ101" i="2"/>
  <c r="AY90" i="2"/>
  <c r="AY88" i="2"/>
  <c r="AY213" i="2"/>
  <c r="AY91" i="2"/>
  <c r="AY217" i="2"/>
  <c r="AY84" i="2"/>
  <c r="AY209" i="2"/>
  <c r="AZ109" i="2"/>
  <c r="AY92" i="2"/>
  <c r="AY218" i="2"/>
  <c r="AY111" i="2"/>
  <c r="AZ106" i="2"/>
  <c r="AZ103" i="2"/>
  <c r="AZ107" i="2"/>
  <c r="AZ99" i="2"/>
  <c r="AZ98" i="2"/>
  <c r="AZ83" i="2" s="1"/>
  <c r="BA372" i="2"/>
  <c r="AZ385" i="2"/>
  <c r="BA381" i="2"/>
  <c r="AZ386" i="2"/>
  <c r="AW200" i="3"/>
  <c r="BA321" i="2"/>
  <c r="AX208" i="3"/>
  <c r="AX216" i="3" s="1"/>
  <c r="AX188" i="3"/>
  <c r="AX196" i="3" s="1"/>
  <c r="BA320" i="2"/>
  <c r="AX207" i="3"/>
  <c r="AX215" i="3" s="1"/>
  <c r="AX187" i="3"/>
  <c r="AX195" i="3" s="1"/>
  <c r="AW201" i="3"/>
  <c r="AW222" i="3"/>
  <c r="AW220" i="3"/>
  <c r="BA319" i="2"/>
  <c r="AX206" i="3"/>
  <c r="AX214" i="3" s="1"/>
  <c r="AX186" i="3"/>
  <c r="AX194" i="3" s="1"/>
  <c r="AS184" i="12"/>
  <c r="AS179" i="12" s="1"/>
  <c r="AY86" i="15"/>
  <c r="AY171" i="15"/>
  <c r="AY161" i="15"/>
  <c r="AY152" i="15"/>
  <c r="AY143" i="15"/>
  <c r="AY134" i="15"/>
  <c r="AY113" i="15"/>
  <c r="AY118" i="15" s="1"/>
  <c r="AU124" i="12"/>
  <c r="AU128" i="12" s="1"/>
  <c r="AY128" i="15"/>
  <c r="AZ172" i="15"/>
  <c r="AV170" i="12" s="1"/>
  <c r="AZ162" i="15"/>
  <c r="AV160" i="12" s="1"/>
  <c r="AZ153" i="15"/>
  <c r="AV152" i="12" s="1"/>
  <c r="AZ144" i="15"/>
  <c r="AV143" i="12" s="1"/>
  <c r="AZ124" i="15"/>
  <c r="AZ114" i="15"/>
  <c r="AV115" i="12" s="1"/>
  <c r="AV119" i="12" s="1"/>
  <c r="AZ75" i="15"/>
  <c r="AT133" i="12"/>
  <c r="AT136" i="12" s="1"/>
  <c r="AX137" i="15"/>
  <c r="AT142" i="12"/>
  <c r="AT145" i="12" s="1"/>
  <c r="AX146" i="15"/>
  <c r="AT151" i="12"/>
  <c r="AT155" i="12" s="1"/>
  <c r="AX156" i="15"/>
  <c r="AT159" i="12"/>
  <c r="AT163" i="12" s="1"/>
  <c r="AX165" i="15"/>
  <c r="AT169" i="12"/>
  <c r="AT172" i="12" s="1"/>
  <c r="AX174" i="15"/>
  <c r="BO55" i="2"/>
  <c r="BN55" i="2"/>
  <c r="BA51" i="2"/>
  <c r="AZ42" i="2"/>
  <c r="BA58" i="2"/>
  <c r="AZ72" i="2"/>
  <c r="BA61" i="2"/>
  <c r="AZ45" i="2"/>
  <c r="BA49" i="2"/>
  <c r="BA48" i="2"/>
  <c r="BA43" i="2"/>
  <c r="BA47" i="2"/>
  <c r="BA52" i="2"/>
  <c r="BA44" i="2"/>
  <c r="BA50" i="2"/>
  <c r="BA46" i="2"/>
  <c r="BA54" i="2"/>
  <c r="BA53" i="2"/>
  <c r="BB339" i="2"/>
  <c r="BB340" i="2"/>
  <c r="BB341" i="2"/>
  <c r="BJ168" i="15"/>
  <c r="BJ149" i="15"/>
  <c r="BF148" i="12" s="1"/>
  <c r="BJ140" i="15"/>
  <c r="BJ131" i="15"/>
  <c r="BJ121" i="15"/>
  <c r="BJ111" i="15"/>
  <c r="BF112" i="12" s="1"/>
  <c r="BK66" i="15"/>
  <c r="BJ67" i="15"/>
  <c r="BF178" i="12" s="1"/>
  <c r="BF166" i="12"/>
  <c r="BF139" i="12"/>
  <c r="BF130" i="12"/>
  <c r="BF121" i="12"/>
  <c r="BJ159" i="15"/>
  <c r="BJ169" i="15"/>
  <c r="BF167" i="12" s="1"/>
  <c r="BJ150" i="15"/>
  <c r="BF149" i="12" s="1"/>
  <c r="BJ141" i="15"/>
  <c r="BF140" i="12" s="1"/>
  <c r="BJ132" i="15"/>
  <c r="BF131" i="12" s="1"/>
  <c r="BJ122" i="15"/>
  <c r="BF122" i="12" s="1"/>
  <c r="BJ112" i="15"/>
  <c r="BF113" i="12" s="1"/>
  <c r="BL84" i="15"/>
  <c r="BK164" i="15"/>
  <c r="BG162" i="12" s="1"/>
  <c r="BK155" i="15"/>
  <c r="BK145" i="15"/>
  <c r="BK136" i="15"/>
  <c r="BG135" i="12" s="1"/>
  <c r="BK127" i="15"/>
  <c r="BG127" i="12" s="1"/>
  <c r="BK117" i="15"/>
  <c r="BG118" i="12" s="1"/>
  <c r="AX30" i="3"/>
  <c r="AW298" i="3"/>
  <c r="AX27" i="3"/>
  <c r="AW262" i="3"/>
  <c r="AX33" i="3"/>
  <c r="AX34" i="3"/>
  <c r="AX31" i="3"/>
  <c r="AW39" i="3"/>
  <c r="AY10" i="3"/>
  <c r="BA12" i="2"/>
  <c r="AY45" i="3" s="1"/>
  <c r="AX37" i="3"/>
  <c r="AY22" i="3"/>
  <c r="AY13" i="3"/>
  <c r="AX240" i="3"/>
  <c r="AX248" i="3" s="1"/>
  <c r="AX256" i="3" s="1"/>
  <c r="BA190" i="3"/>
  <c r="BA198" i="3" s="1"/>
  <c r="AZ244" i="3"/>
  <c r="AZ252" i="3" s="1"/>
  <c r="AZ260" i="3" s="1"/>
  <c r="AY21" i="3"/>
  <c r="AY11" i="3"/>
  <c r="BA18" i="2"/>
  <c r="BF288" i="3"/>
  <c r="BF297" i="3" s="1"/>
  <c r="BF230" i="3"/>
  <c r="BF231" i="3" s="1"/>
  <c r="AY17" i="3"/>
  <c r="AY239" i="3"/>
  <c r="AY247" i="3" s="1"/>
  <c r="AY255" i="3" s="1"/>
  <c r="BD55" i="3"/>
  <c r="BD61" i="3"/>
  <c r="BD49" i="3"/>
  <c r="BD67" i="3"/>
  <c r="BA15" i="2"/>
  <c r="AX68" i="3"/>
  <c r="AX50" i="3"/>
  <c r="AX56" i="3"/>
  <c r="AX62" i="3"/>
  <c r="AX47" i="3"/>
  <c r="BA9" i="2"/>
  <c r="AX28" i="3"/>
  <c r="AY18" i="3"/>
  <c r="BB27" i="2"/>
  <c r="BA11" i="2"/>
  <c r="AY44" i="3" s="1"/>
  <c r="AY12" i="3"/>
  <c r="BA14" i="2"/>
  <c r="BA19" i="2"/>
  <c r="BA21" i="2"/>
  <c r="BE89" i="3"/>
  <c r="BE90" i="3" s="1"/>
  <c r="BE43" i="3"/>
  <c r="AY14" i="3"/>
  <c r="BA20" i="2"/>
  <c r="BC73" i="3"/>
  <c r="AY15" i="3"/>
  <c r="AW65" i="3"/>
  <c r="AX25" i="3"/>
  <c r="AW76" i="3"/>
  <c r="AW59" i="3"/>
  <c r="BA10" i="2"/>
  <c r="AY9" i="3"/>
  <c r="AX52" i="3"/>
  <c r="AX58" i="3"/>
  <c r="AX70" i="3"/>
  <c r="AX64" i="3"/>
  <c r="AX36" i="3"/>
  <c r="BA8" i="2"/>
  <c r="BB24" i="2"/>
  <c r="BA38" i="2"/>
  <c r="AX284" i="3"/>
  <c r="AX293" i="3" s="1"/>
  <c r="AX242" i="3"/>
  <c r="AX250" i="3" s="1"/>
  <c r="AX258" i="3" s="1"/>
  <c r="AW53" i="3"/>
  <c r="AW75" i="3"/>
  <c r="BA189" i="3"/>
  <c r="BA197" i="3" s="1"/>
  <c r="AZ285" i="3"/>
  <c r="AZ294" i="3" s="1"/>
  <c r="AZ243" i="3"/>
  <c r="AZ251" i="3" s="1"/>
  <c r="AZ259" i="3" s="1"/>
  <c r="BA13" i="2"/>
  <c r="AW71" i="3"/>
  <c r="AX35" i="3"/>
  <c r="AX32" i="3"/>
  <c r="AZ281" i="3"/>
  <c r="AZ290" i="3" s="1"/>
  <c r="AX283" i="3"/>
  <c r="AX292" i="3" s="1"/>
  <c r="AX241" i="3"/>
  <c r="AX249" i="3" s="1"/>
  <c r="AX257" i="3" s="1"/>
  <c r="BA17" i="2"/>
  <c r="AY46" i="3" s="1"/>
  <c r="AY20" i="3"/>
  <c r="BA16" i="2"/>
  <c r="BA191" i="3"/>
  <c r="BA199" i="3" s="1"/>
  <c r="AZ287" i="3"/>
  <c r="AZ296" i="3" s="1"/>
  <c r="AZ245" i="3"/>
  <c r="AZ253" i="3" s="1"/>
  <c r="AZ261" i="3" s="1"/>
  <c r="AX26" i="3"/>
  <c r="AX51" i="3"/>
  <c r="AX57" i="3"/>
  <c r="AX63" i="3"/>
  <c r="AX69" i="3"/>
  <c r="AX38" i="3"/>
  <c r="AX29" i="3"/>
  <c r="AW74" i="3"/>
  <c r="AY19" i="3"/>
  <c r="AY16" i="3"/>
  <c r="BN173" i="15"/>
  <c r="BN163" i="15"/>
  <c r="BJ161" i="12" s="1"/>
  <c r="BN154" i="15"/>
  <c r="BN135" i="15"/>
  <c r="BJ134" i="12" s="1"/>
  <c r="BN125" i="15"/>
  <c r="BJ125" i="12" s="1"/>
  <c r="BN115" i="15"/>
  <c r="BJ116" i="12" s="1"/>
  <c r="AV77" i="3"/>
  <c r="AU308" i="3"/>
  <c r="AV85" i="3"/>
  <c r="AZ8" i="3"/>
  <c r="AZ24" i="3" s="1"/>
  <c r="AY113" i="3"/>
  <c r="BA309" i="2"/>
  <c r="AZ220" i="2"/>
  <c r="BD301" i="2" l="1"/>
  <c r="BC299" i="2"/>
  <c r="BA97" i="2"/>
  <c r="BA82" i="2" s="1"/>
  <c r="AZ208" i="2"/>
  <c r="BA101" i="2"/>
  <c r="AZ84" i="2"/>
  <c r="AZ209" i="2"/>
  <c r="BB110" i="2"/>
  <c r="BB94" i="2" s="1"/>
  <c r="BA99" i="2"/>
  <c r="AZ92" i="2"/>
  <c r="AZ218" i="2"/>
  <c r="AZ89" i="2"/>
  <c r="AZ214" i="2"/>
  <c r="BA106" i="2"/>
  <c r="BA108" i="2"/>
  <c r="AZ111" i="2"/>
  <c r="AZ93" i="2"/>
  <c r="AZ219" i="2"/>
  <c r="AZ215" i="2"/>
  <c r="AZ85" i="2"/>
  <c r="AZ210" i="2"/>
  <c r="AZ88" i="2"/>
  <c r="AZ213" i="2"/>
  <c r="BA109" i="2"/>
  <c r="BA105" i="2"/>
  <c r="BA100" i="2"/>
  <c r="BA102" i="2"/>
  <c r="AZ90" i="2"/>
  <c r="AZ91" i="2"/>
  <c r="AZ217" i="2"/>
  <c r="BA104" i="2"/>
  <c r="BA107" i="2"/>
  <c r="AZ87" i="2"/>
  <c r="AZ212" i="2"/>
  <c r="BA103" i="2"/>
  <c r="AZ86" i="2"/>
  <c r="AZ211" i="2"/>
  <c r="BA98" i="2"/>
  <c r="BA83" i="2" s="1"/>
  <c r="BB372" i="2"/>
  <c r="BA385" i="2"/>
  <c r="BB381" i="2"/>
  <c r="BA386" i="2"/>
  <c r="AX200" i="3"/>
  <c r="AX201" i="3"/>
  <c r="AX222" i="3"/>
  <c r="BB320" i="2"/>
  <c r="AY207" i="3"/>
  <c r="AY215" i="3" s="1"/>
  <c r="AY187" i="3"/>
  <c r="AY195" i="3" s="1"/>
  <c r="AX220" i="3"/>
  <c r="BB319" i="2"/>
  <c r="AY206" i="3"/>
  <c r="AY214" i="3" s="1"/>
  <c r="AY186" i="3"/>
  <c r="AY194" i="3" s="1"/>
  <c r="BB321" i="2"/>
  <c r="AY208" i="3"/>
  <c r="AY216" i="3" s="1"/>
  <c r="AY188" i="3"/>
  <c r="AY196" i="3" s="1"/>
  <c r="AT184" i="12"/>
  <c r="AT179" i="12" s="1"/>
  <c r="AZ86" i="15"/>
  <c r="AZ171" i="15"/>
  <c r="AZ161" i="15"/>
  <c r="AZ152" i="15"/>
  <c r="AZ143" i="15"/>
  <c r="AZ134" i="15"/>
  <c r="AZ113" i="15"/>
  <c r="AZ118" i="15" s="1"/>
  <c r="AV124" i="12"/>
  <c r="AV128" i="12" s="1"/>
  <c r="AZ128" i="15"/>
  <c r="BA172" i="15"/>
  <c r="AW170" i="12" s="1"/>
  <c r="BA162" i="15"/>
  <c r="AW160" i="12" s="1"/>
  <c r="BA153" i="15"/>
  <c r="AW152" i="12" s="1"/>
  <c r="BA144" i="15"/>
  <c r="AW143" i="12" s="1"/>
  <c r="BA124" i="15"/>
  <c r="BA114" i="15"/>
  <c r="AW115" i="12" s="1"/>
  <c r="AW119" i="12" s="1"/>
  <c r="BA75" i="15"/>
  <c r="AU133" i="12"/>
  <c r="AU136" i="12" s="1"/>
  <c r="AY137" i="15"/>
  <c r="AU142" i="12"/>
  <c r="AU145" i="12" s="1"/>
  <c r="AY146" i="15"/>
  <c r="AU151" i="12"/>
  <c r="AU155" i="12" s="1"/>
  <c r="AY156" i="15"/>
  <c r="AU159" i="12"/>
  <c r="AU163" i="12" s="1"/>
  <c r="AY165" i="15"/>
  <c r="AU169" i="12"/>
  <c r="AU172" i="12" s="1"/>
  <c r="AY174" i="15"/>
  <c r="BB52" i="2"/>
  <c r="BB54" i="2"/>
  <c r="BB49" i="2"/>
  <c r="BB46" i="2"/>
  <c r="BB47" i="2"/>
  <c r="BB61" i="2"/>
  <c r="BA45" i="2"/>
  <c r="BB50" i="2"/>
  <c r="BB43" i="2"/>
  <c r="BA42" i="2"/>
  <c r="BB58" i="2"/>
  <c r="BA72" i="2"/>
  <c r="BB53" i="2"/>
  <c r="BB44" i="2"/>
  <c r="BB48" i="2"/>
  <c r="BB51" i="2"/>
  <c r="AY35" i="3"/>
  <c r="BC339" i="2"/>
  <c r="BC340" i="2"/>
  <c r="BC341" i="2"/>
  <c r="BL66" i="15"/>
  <c r="BK168" i="15"/>
  <c r="BG166" i="12" s="1"/>
  <c r="BK149" i="15"/>
  <c r="BK140" i="15"/>
  <c r="BG139" i="12" s="1"/>
  <c r="BK131" i="15"/>
  <c r="BK121" i="15"/>
  <c r="BG121" i="12" s="1"/>
  <c r="BK111" i="15"/>
  <c r="BG112" i="12" s="1"/>
  <c r="BK67" i="15"/>
  <c r="BG178" i="12" s="1"/>
  <c r="BG148" i="12"/>
  <c r="BG130" i="12"/>
  <c r="BM84" i="15"/>
  <c r="BL164" i="15"/>
  <c r="BH162" i="12" s="1"/>
  <c r="BL155" i="15"/>
  <c r="BL145" i="15"/>
  <c r="BL136" i="15"/>
  <c r="BH135" i="12" s="1"/>
  <c r="BL127" i="15"/>
  <c r="BH127" i="12" s="1"/>
  <c r="BL117" i="15"/>
  <c r="BH118" i="12" s="1"/>
  <c r="BK159" i="15"/>
  <c r="BK169" i="15"/>
  <c r="BG167" i="12" s="1"/>
  <c r="BK150" i="15"/>
  <c r="BG149" i="12" s="1"/>
  <c r="BK141" i="15"/>
  <c r="BG140" i="12" s="1"/>
  <c r="BK132" i="15"/>
  <c r="BG131" i="12" s="1"/>
  <c r="BK122" i="15"/>
  <c r="BG122" i="12" s="1"/>
  <c r="BK112" i="15"/>
  <c r="BG113" i="12" s="1"/>
  <c r="AY32" i="3"/>
  <c r="AY25" i="3"/>
  <c r="AY30" i="3"/>
  <c r="AY34" i="3"/>
  <c r="AX298" i="3"/>
  <c r="AX76" i="3"/>
  <c r="AY31" i="3"/>
  <c r="AZ19" i="3"/>
  <c r="AY52" i="3"/>
  <c r="AY58" i="3"/>
  <c r="AY64" i="3"/>
  <c r="AY70" i="3"/>
  <c r="AY50" i="3"/>
  <c r="AY68" i="3"/>
  <c r="AY56" i="3"/>
  <c r="AY62" i="3"/>
  <c r="AZ17" i="3"/>
  <c r="AY37" i="3"/>
  <c r="AY38" i="3"/>
  <c r="BB17" i="2"/>
  <c r="AZ46" i="3" s="1"/>
  <c r="BB21" i="2"/>
  <c r="BC27" i="2"/>
  <c r="BB11" i="2"/>
  <c r="AZ44" i="3" s="1"/>
  <c r="AX65" i="3"/>
  <c r="BD73" i="3"/>
  <c r="AZ21" i="3"/>
  <c r="AZ22" i="3"/>
  <c r="BB20" i="2"/>
  <c r="AX59" i="3"/>
  <c r="BB13" i="2"/>
  <c r="AY284" i="3"/>
  <c r="AY293" i="3" s="1"/>
  <c r="AY242" i="3"/>
  <c r="AY250" i="3" s="1"/>
  <c r="AY258" i="3" s="1"/>
  <c r="AX39" i="3"/>
  <c r="BB19" i="2"/>
  <c r="AX74" i="3"/>
  <c r="AX53" i="3"/>
  <c r="BG288" i="3"/>
  <c r="BG297" i="3" s="1"/>
  <c r="BG230" i="3"/>
  <c r="BG231" i="3" s="1"/>
  <c r="BB190" i="3"/>
  <c r="BB198" i="3" s="1"/>
  <c r="BA244" i="3"/>
  <c r="BA252" i="3" s="1"/>
  <c r="BA260" i="3" s="1"/>
  <c r="AY47" i="3"/>
  <c r="AY51" i="3"/>
  <c r="AY57" i="3"/>
  <c r="AY69" i="3"/>
  <c r="AY63" i="3"/>
  <c r="BA281" i="3"/>
  <c r="BA290" i="3" s="1"/>
  <c r="AY241" i="3"/>
  <c r="AY249" i="3" s="1"/>
  <c r="AY257" i="3" s="1"/>
  <c r="AY283" i="3"/>
  <c r="AY292" i="3" s="1"/>
  <c r="AZ14" i="3"/>
  <c r="AZ18" i="3"/>
  <c r="AX71" i="3"/>
  <c r="AX262" i="3"/>
  <c r="BB12" i="2"/>
  <c r="AZ45" i="3" s="1"/>
  <c r="BB191" i="3"/>
  <c r="BB199" i="3" s="1"/>
  <c r="BA287" i="3"/>
  <c r="BA296" i="3" s="1"/>
  <c r="BA245" i="3"/>
  <c r="BA253" i="3" s="1"/>
  <c r="BA261" i="3" s="1"/>
  <c r="BB16" i="2"/>
  <c r="BB8" i="2"/>
  <c r="BB38" i="2"/>
  <c r="BC24" i="2"/>
  <c r="AZ9" i="3"/>
  <c r="BE55" i="3"/>
  <c r="BE67" i="3"/>
  <c r="BE61" i="3"/>
  <c r="BE49" i="3"/>
  <c r="BB14" i="2"/>
  <c r="BB18" i="2"/>
  <c r="AY240" i="3"/>
  <c r="AY248" i="3" s="1"/>
  <c r="AY256" i="3" s="1"/>
  <c r="AY26" i="3"/>
  <c r="AZ16" i="3"/>
  <c r="AY36" i="3"/>
  <c r="BB189" i="3"/>
  <c r="BB197" i="3" s="1"/>
  <c r="BA285" i="3"/>
  <c r="BA294" i="3" s="1"/>
  <c r="BA243" i="3"/>
  <c r="BA251" i="3" s="1"/>
  <c r="BA259" i="3" s="1"/>
  <c r="AZ15" i="3"/>
  <c r="AY28" i="3"/>
  <c r="AZ239" i="3"/>
  <c r="AZ247" i="3" s="1"/>
  <c r="AZ255" i="3" s="1"/>
  <c r="AY27" i="3"/>
  <c r="AY29" i="3"/>
  <c r="AZ10" i="3"/>
  <c r="AX75" i="3"/>
  <c r="AZ20" i="3"/>
  <c r="BB10" i="2"/>
  <c r="BF89" i="3"/>
  <c r="BF90" i="3" s="1"/>
  <c r="BF43" i="3"/>
  <c r="AZ12" i="3"/>
  <c r="BB9" i="2"/>
  <c r="BB15" i="2"/>
  <c r="AY33" i="3"/>
  <c r="AZ11" i="3"/>
  <c r="AZ13" i="3"/>
  <c r="BO173" i="15"/>
  <c r="BO163" i="15"/>
  <c r="BK161" i="12" s="1"/>
  <c r="BO154" i="15"/>
  <c r="BO135" i="15"/>
  <c r="BK134" i="12" s="1"/>
  <c r="BO125" i="15"/>
  <c r="BK125" i="12" s="1"/>
  <c r="BO115" i="15"/>
  <c r="BK116" i="12" s="1"/>
  <c r="AW85" i="3"/>
  <c r="AV308" i="3"/>
  <c r="AW77" i="3"/>
  <c r="BA8" i="3"/>
  <c r="BA24" i="3" s="1"/>
  <c r="AZ113" i="3"/>
  <c r="BB309" i="2"/>
  <c r="BA220" i="2"/>
  <c r="BE301" i="2" l="1"/>
  <c r="BD299" i="2"/>
  <c r="BB97" i="2"/>
  <c r="BB82" i="2" s="1"/>
  <c r="BA208" i="2"/>
  <c r="BA91" i="2"/>
  <c r="BA217" i="2"/>
  <c r="BB101" i="2"/>
  <c r="BA92" i="2"/>
  <c r="BA218" i="2"/>
  <c r="BA85" i="2"/>
  <c r="BA210" i="2"/>
  <c r="BB108" i="2"/>
  <c r="BB99" i="2"/>
  <c r="BB102" i="2"/>
  <c r="BA84" i="2"/>
  <c r="BA209" i="2"/>
  <c r="BA89" i="2"/>
  <c r="BA214" i="2"/>
  <c r="BB104" i="2"/>
  <c r="BB100" i="2"/>
  <c r="BA90" i="2"/>
  <c r="BA87" i="2"/>
  <c r="BA212" i="2"/>
  <c r="BA88" i="2"/>
  <c r="BA213" i="2"/>
  <c r="BA215" i="2"/>
  <c r="BB106" i="2"/>
  <c r="BB107" i="2"/>
  <c r="BC110" i="2"/>
  <c r="BC94" i="2" s="1"/>
  <c r="BB103" i="2"/>
  <c r="BB105" i="2"/>
  <c r="BA93" i="2"/>
  <c r="BA219" i="2"/>
  <c r="BB109" i="2"/>
  <c r="BA86" i="2"/>
  <c r="BA211" i="2"/>
  <c r="BB98" i="2"/>
  <c r="BB83" i="2" s="1"/>
  <c r="BA111" i="2"/>
  <c r="BC372" i="2"/>
  <c r="BB385" i="2"/>
  <c r="BC381" i="2"/>
  <c r="BB386" i="2"/>
  <c r="AY200" i="3"/>
  <c r="AY220" i="3"/>
  <c r="BC319" i="2"/>
  <c r="AZ206" i="3"/>
  <c r="AZ214" i="3" s="1"/>
  <c r="AZ186" i="3"/>
  <c r="AZ194" i="3" s="1"/>
  <c r="BC320" i="2"/>
  <c r="AZ207" i="3"/>
  <c r="AZ215" i="3" s="1"/>
  <c r="AZ187" i="3"/>
  <c r="AZ195" i="3" s="1"/>
  <c r="BC321" i="2"/>
  <c r="AZ208" i="3"/>
  <c r="AZ216" i="3" s="1"/>
  <c r="AZ188" i="3"/>
  <c r="AZ196" i="3" s="1"/>
  <c r="AY201" i="3"/>
  <c r="AY222" i="3"/>
  <c r="AU184" i="12"/>
  <c r="AU179" i="12" s="1"/>
  <c r="BA86" i="15"/>
  <c r="BA171" i="15"/>
  <c r="BA161" i="15"/>
  <c r="BA152" i="15"/>
  <c r="BA143" i="15"/>
  <c r="BA134" i="15"/>
  <c r="BA113" i="15"/>
  <c r="BA118" i="15" s="1"/>
  <c r="AW124" i="12"/>
  <c r="AW128" i="12" s="1"/>
  <c r="BA128" i="15"/>
  <c r="BB172" i="15"/>
  <c r="AX170" i="12" s="1"/>
  <c r="BB162" i="15"/>
  <c r="AX160" i="12" s="1"/>
  <c r="BB153" i="15"/>
  <c r="AX152" i="12" s="1"/>
  <c r="BB144" i="15"/>
  <c r="AX143" i="12" s="1"/>
  <c r="BB124" i="15"/>
  <c r="BB114" i="15"/>
  <c r="AX115" i="12" s="1"/>
  <c r="AX119" i="12" s="1"/>
  <c r="BB75" i="15"/>
  <c r="AV133" i="12"/>
  <c r="AV136" i="12" s="1"/>
  <c r="AZ137" i="15"/>
  <c r="AV142" i="12"/>
  <c r="AV145" i="12" s="1"/>
  <c r="AZ146" i="15"/>
  <c r="AV151" i="12"/>
  <c r="AV155" i="12" s="1"/>
  <c r="AZ156" i="15"/>
  <c r="AV159" i="12"/>
  <c r="AV163" i="12" s="1"/>
  <c r="AZ165" i="15"/>
  <c r="AV169" i="12"/>
  <c r="AV172" i="12" s="1"/>
  <c r="AZ174" i="15"/>
  <c r="BC48" i="2"/>
  <c r="BC46" i="2"/>
  <c r="BC44" i="2"/>
  <c r="BC51" i="2"/>
  <c r="BC53" i="2"/>
  <c r="BC43" i="2"/>
  <c r="BC61" i="2"/>
  <c r="BB45" i="2"/>
  <c r="BC54" i="2"/>
  <c r="BC50" i="2"/>
  <c r="BB42" i="2"/>
  <c r="BB72" i="2"/>
  <c r="BC58" i="2"/>
  <c r="BC49" i="2"/>
  <c r="BC47" i="2"/>
  <c r="BC52" i="2"/>
  <c r="AZ38" i="3"/>
  <c r="AZ28" i="3"/>
  <c r="BD339" i="2"/>
  <c r="BD340" i="2"/>
  <c r="BD341" i="2"/>
  <c r="AZ30" i="3"/>
  <c r="BM66" i="15"/>
  <c r="BL168" i="15"/>
  <c r="BH166" i="12" s="1"/>
  <c r="BL149" i="15"/>
  <c r="BL140" i="15"/>
  <c r="BL131" i="15"/>
  <c r="BH130" i="12" s="1"/>
  <c r="BL121" i="15"/>
  <c r="BH121" i="12" s="1"/>
  <c r="BL111" i="15"/>
  <c r="BH112" i="12" s="1"/>
  <c r="BL67" i="15"/>
  <c r="BH178" i="12" s="1"/>
  <c r="BH139" i="12"/>
  <c r="BH148" i="12"/>
  <c r="BL159" i="15"/>
  <c r="BL169" i="15"/>
  <c r="BH167" i="12" s="1"/>
  <c r="BL150" i="15"/>
  <c r="BH149" i="12" s="1"/>
  <c r="BL141" i="15"/>
  <c r="BH140" i="12" s="1"/>
  <c r="BL132" i="15"/>
  <c r="BH131" i="12" s="1"/>
  <c r="BL122" i="15"/>
  <c r="BH122" i="12" s="1"/>
  <c r="BL112" i="15"/>
  <c r="BH113" i="12" s="1"/>
  <c r="BN84" i="15"/>
  <c r="BM164" i="15"/>
  <c r="BI162" i="12" s="1"/>
  <c r="BM155" i="15"/>
  <c r="BM145" i="15"/>
  <c r="BM136" i="15"/>
  <c r="BI135" i="12" s="1"/>
  <c r="BM127" i="15"/>
  <c r="BI127" i="12" s="1"/>
  <c r="BM117" i="15"/>
  <c r="BI118" i="12" s="1"/>
  <c r="AZ29" i="3"/>
  <c r="AZ27" i="3"/>
  <c r="AZ31" i="3"/>
  <c r="AZ34" i="3"/>
  <c r="AY262" i="3"/>
  <c r="AZ26" i="3"/>
  <c r="BA13" i="3"/>
  <c r="BA20" i="3"/>
  <c r="BA16" i="3"/>
  <c r="BC12" i="2"/>
  <c r="BA45" i="3" s="1"/>
  <c r="BC17" i="2"/>
  <c r="BA46" i="3" s="1"/>
  <c r="BA12" i="3"/>
  <c r="AY39" i="3"/>
  <c r="BE73" i="3"/>
  <c r="AZ283" i="3"/>
  <c r="AZ292" i="3" s="1"/>
  <c r="AZ241" i="3"/>
  <c r="AZ249" i="3" s="1"/>
  <c r="AZ257" i="3" s="1"/>
  <c r="BC19" i="2"/>
  <c r="AY74" i="3"/>
  <c r="AY53" i="3"/>
  <c r="BA11" i="3"/>
  <c r="BF49" i="3"/>
  <c r="BF55" i="3"/>
  <c r="BF67" i="3"/>
  <c r="BF61" i="3"/>
  <c r="BA15" i="3"/>
  <c r="BC190" i="3"/>
  <c r="BC198" i="3" s="1"/>
  <c r="BB244" i="3"/>
  <c r="BB252" i="3" s="1"/>
  <c r="BB260" i="3" s="1"/>
  <c r="AY71" i="3"/>
  <c r="BA10" i="3"/>
  <c r="AZ240" i="3"/>
  <c r="AZ248" i="3" s="1"/>
  <c r="AZ256" i="3" s="1"/>
  <c r="BC16" i="2"/>
  <c r="BC20" i="2"/>
  <c r="AZ50" i="3"/>
  <c r="AZ68" i="3"/>
  <c r="AZ56" i="3"/>
  <c r="AZ62" i="3"/>
  <c r="AZ47" i="3"/>
  <c r="AZ33" i="3"/>
  <c r="BG89" i="3"/>
  <c r="BG90" i="3" s="1"/>
  <c r="BG43" i="3"/>
  <c r="BA18" i="3"/>
  <c r="BD27" i="2"/>
  <c r="BC11" i="2"/>
  <c r="BA44" i="3" s="1"/>
  <c r="BA17" i="3"/>
  <c r="BC15" i="2"/>
  <c r="BC189" i="3"/>
  <c r="BC197" i="3" s="1"/>
  <c r="BB285" i="3"/>
  <c r="BB294" i="3" s="1"/>
  <c r="BB243" i="3"/>
  <c r="BB251" i="3" s="1"/>
  <c r="BB259" i="3" s="1"/>
  <c r="BC18" i="2"/>
  <c r="AZ25" i="3"/>
  <c r="BH288" i="3"/>
  <c r="BH297" i="3" s="1"/>
  <c r="BH230" i="3"/>
  <c r="BH231" i="3" s="1"/>
  <c r="AZ284" i="3"/>
  <c r="AZ293" i="3" s="1"/>
  <c r="AZ242" i="3"/>
  <c r="AZ250" i="3" s="1"/>
  <c r="AZ258" i="3" s="1"/>
  <c r="BA22" i="3"/>
  <c r="AY76" i="3"/>
  <c r="BB281" i="3"/>
  <c r="BB290" i="3" s="1"/>
  <c r="BC10" i="2"/>
  <c r="BA9" i="3"/>
  <c r="BC191" i="3"/>
  <c r="BC199" i="3" s="1"/>
  <c r="BB287" i="3"/>
  <c r="BB296" i="3" s="1"/>
  <c r="BB245" i="3"/>
  <c r="BB253" i="3" s="1"/>
  <c r="BB261" i="3" s="1"/>
  <c r="BA14" i="3"/>
  <c r="AZ37" i="3"/>
  <c r="BC21" i="2"/>
  <c r="AY65" i="3"/>
  <c r="AZ35" i="3"/>
  <c r="BC9" i="2"/>
  <c r="AZ36" i="3"/>
  <c r="BA239" i="3"/>
  <c r="BA247" i="3" s="1"/>
  <c r="BA255" i="3" s="1"/>
  <c r="AZ32" i="3"/>
  <c r="BC14" i="2"/>
  <c r="BC8" i="2"/>
  <c r="BD24" i="2"/>
  <c r="BC38" i="2"/>
  <c r="AZ51" i="3"/>
  <c r="AZ57" i="3"/>
  <c r="AZ63" i="3"/>
  <c r="AZ69" i="3"/>
  <c r="AY298" i="3"/>
  <c r="AY75" i="3"/>
  <c r="BC13" i="2"/>
  <c r="BA21" i="3"/>
  <c r="AZ52" i="3"/>
  <c r="AZ58" i="3"/>
  <c r="AZ64" i="3"/>
  <c r="AZ70" i="3"/>
  <c r="AY59" i="3"/>
  <c r="BA19" i="3"/>
  <c r="BP173" i="15"/>
  <c r="BP163" i="15"/>
  <c r="BL161" i="12" s="1"/>
  <c r="BP154" i="15"/>
  <c r="BP135" i="15"/>
  <c r="BL134" i="12" s="1"/>
  <c r="BP125" i="15"/>
  <c r="BL125" i="12" s="1"/>
  <c r="BP115" i="15"/>
  <c r="BL116" i="12" s="1"/>
  <c r="AX77" i="3"/>
  <c r="AW308" i="3"/>
  <c r="AX85" i="3"/>
  <c r="BB8" i="3"/>
  <c r="BB24" i="3" s="1"/>
  <c r="BA113" i="3"/>
  <c r="BC309" i="2"/>
  <c r="BB220" i="2"/>
  <c r="BF301" i="2" l="1"/>
  <c r="BE299" i="2"/>
  <c r="BC97" i="2"/>
  <c r="BC82" i="2" s="1"/>
  <c r="BB208" i="2"/>
  <c r="BC107" i="2"/>
  <c r="BC105" i="2"/>
  <c r="BC106" i="2"/>
  <c r="BC108" i="2"/>
  <c r="BB215" i="2"/>
  <c r="BB88" i="2"/>
  <c r="BB213" i="2"/>
  <c r="BB85" i="2"/>
  <c r="BB210" i="2"/>
  <c r="BB87" i="2"/>
  <c r="BB212" i="2"/>
  <c r="BB90" i="2"/>
  <c r="BC103" i="2"/>
  <c r="BC100" i="2"/>
  <c r="BB89" i="2"/>
  <c r="BB214" i="2"/>
  <c r="BB86" i="2"/>
  <c r="BB211" i="2"/>
  <c r="BC109" i="2"/>
  <c r="BD110" i="2"/>
  <c r="BD94" i="2" s="1"/>
  <c r="BC104" i="2"/>
  <c r="BC99" i="2"/>
  <c r="BC101" i="2"/>
  <c r="BC102" i="2"/>
  <c r="BB93" i="2"/>
  <c r="BB219" i="2"/>
  <c r="BB84" i="2"/>
  <c r="BB209" i="2"/>
  <c r="BB91" i="2"/>
  <c r="BB217" i="2"/>
  <c r="BB92" i="2"/>
  <c r="BB218" i="2"/>
  <c r="BB111" i="2"/>
  <c r="BC98" i="2"/>
  <c r="BC83" i="2" s="1"/>
  <c r="BD372" i="2"/>
  <c r="BC385" i="2"/>
  <c r="BD381" i="2"/>
  <c r="BC386" i="2"/>
  <c r="AZ200" i="3"/>
  <c r="BD321" i="2"/>
  <c r="BA208" i="3"/>
  <c r="BA216" i="3" s="1"/>
  <c r="BA188" i="3"/>
  <c r="BA196" i="3" s="1"/>
  <c r="BD320" i="2"/>
  <c r="BA207" i="3"/>
  <c r="BA215" i="3" s="1"/>
  <c r="BA187" i="3"/>
  <c r="BA195" i="3" s="1"/>
  <c r="AZ201" i="3"/>
  <c r="AZ222" i="3"/>
  <c r="AZ220" i="3"/>
  <c r="BD319" i="2"/>
  <c r="BA206" i="3"/>
  <c r="BA214" i="3" s="1"/>
  <c r="BA186" i="3"/>
  <c r="BA194" i="3" s="1"/>
  <c r="AV184" i="12"/>
  <c r="AV179" i="12" s="1"/>
  <c r="BB86" i="15"/>
  <c r="BB171" i="15"/>
  <c r="BB161" i="15"/>
  <c r="BB152" i="15"/>
  <c r="BB143" i="15"/>
  <c r="BB134" i="15"/>
  <c r="BB113" i="15"/>
  <c r="BB118" i="15" s="1"/>
  <c r="AX124" i="12"/>
  <c r="AX128" i="12" s="1"/>
  <c r="BB128" i="15"/>
  <c r="BC172" i="15"/>
  <c r="AY170" i="12" s="1"/>
  <c r="BC162" i="15"/>
  <c r="AY160" i="12" s="1"/>
  <c r="BC153" i="15"/>
  <c r="AY152" i="12" s="1"/>
  <c r="BC144" i="15"/>
  <c r="AY143" i="12" s="1"/>
  <c r="BC124" i="15"/>
  <c r="BC114" i="15"/>
  <c r="AY115" i="12" s="1"/>
  <c r="AY119" i="12" s="1"/>
  <c r="BC75" i="15"/>
  <c r="AW133" i="12"/>
  <c r="AW136" i="12" s="1"/>
  <c r="BA137" i="15"/>
  <c r="AW142" i="12"/>
  <c r="AW145" i="12" s="1"/>
  <c r="BA146" i="15"/>
  <c r="AW151" i="12"/>
  <c r="AW155" i="12" s="1"/>
  <c r="BA156" i="15"/>
  <c r="AW159" i="12"/>
  <c r="AW163" i="12" s="1"/>
  <c r="BA165" i="15"/>
  <c r="AW169" i="12"/>
  <c r="AW172" i="12" s="1"/>
  <c r="BA174" i="15"/>
  <c r="BD54" i="2"/>
  <c r="BD51" i="2"/>
  <c r="BD49" i="2"/>
  <c r="BC42" i="2"/>
  <c r="BD58" i="2"/>
  <c r="BC72" i="2"/>
  <c r="BD61" i="2"/>
  <c r="BC45" i="2"/>
  <c r="BD44" i="2"/>
  <c r="BD43" i="2"/>
  <c r="BD46" i="2"/>
  <c r="BD52" i="2"/>
  <c r="BD47" i="2"/>
  <c r="BD50" i="2"/>
  <c r="BD53" i="2"/>
  <c r="BD48" i="2"/>
  <c r="BE339" i="2"/>
  <c r="BE340" i="2"/>
  <c r="BE341" i="2"/>
  <c r="BA34" i="3"/>
  <c r="BN66" i="15"/>
  <c r="BM168" i="15"/>
  <c r="BM149" i="15"/>
  <c r="BM140" i="15"/>
  <c r="BI139" i="12" s="1"/>
  <c r="BM131" i="15"/>
  <c r="BM121" i="15"/>
  <c r="BI121" i="12" s="1"/>
  <c r="BM111" i="15"/>
  <c r="BI112" i="12" s="1"/>
  <c r="BM67" i="15"/>
  <c r="BI178" i="12" s="1"/>
  <c r="BI166" i="12"/>
  <c r="BI148" i="12"/>
  <c r="BI130" i="12"/>
  <c r="BO84" i="15"/>
  <c r="BN164" i="15"/>
  <c r="BJ162" i="12" s="1"/>
  <c r="BN155" i="15"/>
  <c r="BN145" i="15"/>
  <c r="BN136" i="15"/>
  <c r="BJ135" i="12" s="1"/>
  <c r="BN127" i="15"/>
  <c r="BJ127" i="12" s="1"/>
  <c r="BN117" i="15"/>
  <c r="BJ118" i="12" s="1"/>
  <c r="BM159" i="15"/>
  <c r="BM169" i="15"/>
  <c r="BI167" i="12" s="1"/>
  <c r="BM150" i="15"/>
  <c r="BI149" i="12" s="1"/>
  <c r="BM141" i="15"/>
  <c r="BI140" i="12" s="1"/>
  <c r="BM132" i="15"/>
  <c r="BI131" i="12" s="1"/>
  <c r="BM122" i="15"/>
  <c r="BI122" i="12" s="1"/>
  <c r="BM112" i="15"/>
  <c r="BI113" i="12" s="1"/>
  <c r="BA37" i="3"/>
  <c r="AZ76" i="3"/>
  <c r="AZ75" i="3"/>
  <c r="BA35" i="3"/>
  <c r="BC281" i="3"/>
  <c r="BC290" i="3" s="1"/>
  <c r="BD21" i="2"/>
  <c r="BB9" i="3"/>
  <c r="BD18" i="2"/>
  <c r="BA50" i="3"/>
  <c r="BA56" i="3"/>
  <c r="BA62" i="3"/>
  <c r="BA68" i="3"/>
  <c r="BD16" i="2"/>
  <c r="BD190" i="3"/>
  <c r="BD198" i="3" s="1"/>
  <c r="BC244" i="3"/>
  <c r="BC252" i="3" s="1"/>
  <c r="BC260" i="3" s="1"/>
  <c r="BA27" i="3"/>
  <c r="BA283" i="3"/>
  <c r="BA292" i="3" s="1"/>
  <c r="BA241" i="3"/>
  <c r="BA249" i="3" s="1"/>
  <c r="BA257" i="3" s="1"/>
  <c r="BA51" i="3"/>
  <c r="BA57" i="3"/>
  <c r="BA63" i="3"/>
  <c r="BA69" i="3"/>
  <c r="BB21" i="3"/>
  <c r="BB239" i="3"/>
  <c r="BB247" i="3" s="1"/>
  <c r="BB255" i="3" s="1"/>
  <c r="BE27" i="2"/>
  <c r="BD11" i="2"/>
  <c r="BB44" i="3" s="1"/>
  <c r="AZ65" i="3"/>
  <c r="BA31" i="3"/>
  <c r="BB11" i="3"/>
  <c r="BD12" i="2"/>
  <c r="BB45" i="3" s="1"/>
  <c r="BB19" i="3"/>
  <c r="BA30" i="3"/>
  <c r="BD10" i="2"/>
  <c r="BA284" i="3"/>
  <c r="BA293" i="3" s="1"/>
  <c r="BA242" i="3"/>
  <c r="BA250" i="3" s="1"/>
  <c r="BA258" i="3" s="1"/>
  <c r="AZ59" i="3"/>
  <c r="AZ262" i="3"/>
  <c r="BB15" i="3"/>
  <c r="BA32" i="3"/>
  <c r="BD8" i="2"/>
  <c r="BE24" i="2"/>
  <c r="BD38" i="2"/>
  <c r="BB14" i="3"/>
  <c r="BD189" i="3"/>
  <c r="BD197" i="3" s="1"/>
  <c r="BC285" i="3"/>
  <c r="BC294" i="3" s="1"/>
  <c r="BC243" i="3"/>
  <c r="BC251" i="3" s="1"/>
  <c r="BC259" i="3" s="1"/>
  <c r="BB18" i="3"/>
  <c r="AZ71" i="3"/>
  <c r="BA240" i="3"/>
  <c r="BA248" i="3" s="1"/>
  <c r="BA256" i="3" s="1"/>
  <c r="BB16" i="3"/>
  <c r="BD9" i="2"/>
  <c r="BG67" i="3"/>
  <c r="BG61" i="3"/>
  <c r="BG55" i="3"/>
  <c r="BG49" i="3"/>
  <c r="AZ74" i="3"/>
  <c r="AZ53" i="3"/>
  <c r="BA26" i="3"/>
  <c r="BA28" i="3"/>
  <c r="BA36" i="3"/>
  <c r="BD13" i="2"/>
  <c r="BI288" i="3"/>
  <c r="BI297" i="3" s="1"/>
  <c r="BI230" i="3"/>
  <c r="BI231" i="3" s="1"/>
  <c r="BD15" i="2"/>
  <c r="BB10" i="3"/>
  <c r="BD19" i="2"/>
  <c r="BB12" i="3"/>
  <c r="BB20" i="3"/>
  <c r="BD14" i="2"/>
  <c r="BD191" i="3"/>
  <c r="BD199" i="3" s="1"/>
  <c r="BC287" i="3"/>
  <c r="BC296" i="3" s="1"/>
  <c r="BC245" i="3"/>
  <c r="BC253" i="3" s="1"/>
  <c r="BC261" i="3" s="1"/>
  <c r="BA38" i="3"/>
  <c r="AZ39" i="3"/>
  <c r="BA33" i="3"/>
  <c r="BH89" i="3"/>
  <c r="BH90" i="3" s="1"/>
  <c r="BH43" i="3"/>
  <c r="BD20" i="2"/>
  <c r="BA47" i="3"/>
  <c r="BA52" i="3"/>
  <c r="BA58" i="3"/>
  <c r="BA64" i="3"/>
  <c r="BA70" i="3"/>
  <c r="BA29" i="3"/>
  <c r="BA25" i="3"/>
  <c r="BB22" i="3"/>
  <c r="BB17" i="3"/>
  <c r="BF73" i="3"/>
  <c r="AZ298" i="3"/>
  <c r="BD17" i="2"/>
  <c r="BB46" i="3" s="1"/>
  <c r="BB13" i="3"/>
  <c r="BQ173" i="15"/>
  <c r="BQ163" i="15"/>
  <c r="BM161" i="12" s="1"/>
  <c r="BQ154" i="15"/>
  <c r="BQ135" i="15"/>
  <c r="BM134" i="12" s="1"/>
  <c r="BQ125" i="15"/>
  <c r="BM125" i="12" s="1"/>
  <c r="BQ115" i="15"/>
  <c r="BM116" i="12" s="1"/>
  <c r="AY85" i="3"/>
  <c r="AX308" i="3"/>
  <c r="AY77" i="3"/>
  <c r="BC8" i="3"/>
  <c r="BC24" i="3" s="1"/>
  <c r="BB113" i="3"/>
  <c r="BD309" i="2"/>
  <c r="BC220" i="2"/>
  <c r="BG301" i="2" l="1"/>
  <c r="BF299" i="2"/>
  <c r="BD97" i="2"/>
  <c r="BD82" i="2" s="1"/>
  <c r="BD108" i="2"/>
  <c r="BC87" i="2"/>
  <c r="BC212" i="2"/>
  <c r="BC85" i="2"/>
  <c r="BC210" i="2"/>
  <c r="BC90" i="2"/>
  <c r="BD104" i="2"/>
  <c r="BD102" i="2"/>
  <c r="BD100" i="2"/>
  <c r="BD106" i="2"/>
  <c r="BC93" i="2"/>
  <c r="BC219" i="2"/>
  <c r="BC215" i="2"/>
  <c r="BD101" i="2"/>
  <c r="BD109" i="2"/>
  <c r="BD103" i="2"/>
  <c r="BD105" i="2"/>
  <c r="BC89" i="2"/>
  <c r="BC214" i="2"/>
  <c r="BC111" i="2"/>
  <c r="BC86" i="2"/>
  <c r="BC211" i="2"/>
  <c r="BC88" i="2"/>
  <c r="BC213" i="2"/>
  <c r="BC84" i="2"/>
  <c r="BC209" i="2"/>
  <c r="BC91" i="2"/>
  <c r="BC217" i="2"/>
  <c r="BC92" i="2"/>
  <c r="BC218" i="2"/>
  <c r="BE110" i="2"/>
  <c r="BE94" i="2" s="1"/>
  <c r="BD99" i="2"/>
  <c r="BD107" i="2"/>
  <c r="BC208" i="2"/>
  <c r="BD98" i="2"/>
  <c r="BD83" i="2" s="1"/>
  <c r="BE372" i="2"/>
  <c r="BD385" i="2"/>
  <c r="BE381" i="2"/>
  <c r="BD386" i="2"/>
  <c r="BA200" i="3"/>
  <c r="BA201" i="3"/>
  <c r="BA222" i="3"/>
  <c r="BE320" i="2"/>
  <c r="BB207" i="3"/>
  <c r="BB215" i="3" s="1"/>
  <c r="BB187" i="3"/>
  <c r="BB195" i="3" s="1"/>
  <c r="BA220" i="3"/>
  <c r="BE319" i="2"/>
  <c r="BB206" i="3"/>
  <c r="BB214" i="3" s="1"/>
  <c r="BB186" i="3"/>
  <c r="BB194" i="3" s="1"/>
  <c r="BE321" i="2"/>
  <c r="BB208" i="3"/>
  <c r="BB216" i="3" s="1"/>
  <c r="BB188" i="3"/>
  <c r="BB196" i="3" s="1"/>
  <c r="AW184" i="12"/>
  <c r="AW179" i="12" s="1"/>
  <c r="BC86" i="15"/>
  <c r="BC171" i="15"/>
  <c r="BC161" i="15"/>
  <c r="BC152" i="15"/>
  <c r="BC143" i="15"/>
  <c r="BC134" i="15"/>
  <c r="BC113" i="15"/>
  <c r="BC118" i="15" s="1"/>
  <c r="AY124" i="12"/>
  <c r="AY128" i="12" s="1"/>
  <c r="BC128" i="15"/>
  <c r="BD172" i="15"/>
  <c r="AZ170" i="12" s="1"/>
  <c r="BD162" i="15"/>
  <c r="AZ160" i="12" s="1"/>
  <c r="BD153" i="15"/>
  <c r="AZ152" i="12" s="1"/>
  <c r="BD144" i="15"/>
  <c r="AZ143" i="12" s="1"/>
  <c r="BD124" i="15"/>
  <c r="BD114" i="15"/>
  <c r="AZ115" i="12" s="1"/>
  <c r="AZ119" i="12" s="1"/>
  <c r="BD75" i="15"/>
  <c r="AX133" i="12"/>
  <c r="AX136" i="12" s="1"/>
  <c r="BB137" i="15"/>
  <c r="AX142" i="12"/>
  <c r="AX145" i="12" s="1"/>
  <c r="BB146" i="15"/>
  <c r="AX151" i="12"/>
  <c r="AX155" i="12" s="1"/>
  <c r="BB156" i="15"/>
  <c r="AX159" i="12"/>
  <c r="AX163" i="12" s="1"/>
  <c r="BB165" i="15"/>
  <c r="AX169" i="12"/>
  <c r="AX172" i="12" s="1"/>
  <c r="BB174" i="15"/>
  <c r="BB28" i="3"/>
  <c r="BE46" i="2"/>
  <c r="BD42" i="2"/>
  <c r="BE58" i="2"/>
  <c r="BD72" i="2"/>
  <c r="BE50" i="2"/>
  <c r="BE43" i="2"/>
  <c r="BE47" i="2"/>
  <c r="BE44" i="2"/>
  <c r="BE53" i="2"/>
  <c r="BE49" i="2"/>
  <c r="BE51" i="2"/>
  <c r="BE48" i="2"/>
  <c r="BE52" i="2"/>
  <c r="BE61" i="2"/>
  <c r="BD45" i="2"/>
  <c r="BE54" i="2"/>
  <c r="BF339" i="2"/>
  <c r="BF340" i="2"/>
  <c r="BF341" i="2"/>
  <c r="BB26" i="3"/>
  <c r="BB38" i="3"/>
  <c r="BO66" i="15"/>
  <c r="BN168" i="15"/>
  <c r="BJ166" i="12" s="1"/>
  <c r="BN149" i="15"/>
  <c r="BN140" i="15"/>
  <c r="BN131" i="15"/>
  <c r="BJ130" i="12" s="1"/>
  <c r="BN121" i="15"/>
  <c r="BJ121" i="12" s="1"/>
  <c r="BN111" i="15"/>
  <c r="BJ112" i="12" s="1"/>
  <c r="BN67" i="15"/>
  <c r="BJ178" i="12" s="1"/>
  <c r="BJ139" i="12"/>
  <c r="BJ148" i="12"/>
  <c r="BN159" i="15"/>
  <c r="BN169" i="15"/>
  <c r="BJ167" i="12" s="1"/>
  <c r="BN150" i="15"/>
  <c r="BJ149" i="12" s="1"/>
  <c r="BN141" i="15"/>
  <c r="BJ140" i="12" s="1"/>
  <c r="BN132" i="15"/>
  <c r="BJ131" i="12" s="1"/>
  <c r="BN122" i="15"/>
  <c r="BJ122" i="12" s="1"/>
  <c r="BN112" i="15"/>
  <c r="BJ113" i="12" s="1"/>
  <c r="BP84" i="15"/>
  <c r="BO164" i="15"/>
  <c r="BK162" i="12" s="1"/>
  <c r="BO155" i="15"/>
  <c r="BO145" i="15"/>
  <c r="BO136" i="15"/>
  <c r="BK135" i="12" s="1"/>
  <c r="BO127" i="15"/>
  <c r="BK127" i="12" s="1"/>
  <c r="BO117" i="15"/>
  <c r="BK118" i="12" s="1"/>
  <c r="BA262" i="3"/>
  <c r="BB35" i="3"/>
  <c r="BB33" i="3"/>
  <c r="BB29" i="3"/>
  <c r="BB27" i="3"/>
  <c r="BB25" i="3"/>
  <c r="BB32" i="3"/>
  <c r="BB31" i="3"/>
  <c r="BE10" i="2"/>
  <c r="BE191" i="3"/>
  <c r="BE199" i="3" s="1"/>
  <c r="BD245" i="3"/>
  <c r="BD253" i="3" s="1"/>
  <c r="BD261" i="3" s="1"/>
  <c r="BD287" i="3"/>
  <c r="BD296" i="3" s="1"/>
  <c r="BE189" i="3"/>
  <c r="BE197" i="3" s="1"/>
  <c r="BD285" i="3"/>
  <c r="BD294" i="3" s="1"/>
  <c r="BD243" i="3"/>
  <c r="BD251" i="3" s="1"/>
  <c r="BD259" i="3" s="1"/>
  <c r="BG73" i="3"/>
  <c r="BB30" i="3"/>
  <c r="BB50" i="3"/>
  <c r="BB56" i="3"/>
  <c r="BB62" i="3"/>
  <c r="BB68" i="3"/>
  <c r="BE20" i="2"/>
  <c r="BJ288" i="3"/>
  <c r="BJ297" i="3" s="1"/>
  <c r="BJ230" i="3"/>
  <c r="BJ231" i="3" s="1"/>
  <c r="BI89" i="3"/>
  <c r="BI90" i="3" s="1"/>
  <c r="BI43" i="3"/>
  <c r="BE14" i="2"/>
  <c r="BE13" i="2"/>
  <c r="BB240" i="3"/>
  <c r="BB248" i="3" s="1"/>
  <c r="BB256" i="3" s="1"/>
  <c r="BC14" i="3"/>
  <c r="BC19" i="3"/>
  <c r="BF27" i="2"/>
  <c r="BE11" i="2"/>
  <c r="BC44" i="3" s="1"/>
  <c r="BA53" i="3"/>
  <c r="BA75" i="3"/>
  <c r="BE16" i="2"/>
  <c r="BC9" i="3"/>
  <c r="BE18" i="2"/>
  <c r="BD281" i="3"/>
  <c r="BD290" i="3" s="1"/>
  <c r="BC17" i="3"/>
  <c r="BA76" i="3"/>
  <c r="BB36" i="3"/>
  <c r="BC10" i="3"/>
  <c r="BB47" i="3"/>
  <c r="BB51" i="3"/>
  <c r="BB57" i="3"/>
  <c r="BB63" i="3"/>
  <c r="BB69" i="3"/>
  <c r="BA71" i="3"/>
  <c r="BH49" i="3"/>
  <c r="BH55" i="3"/>
  <c r="BH67" i="3"/>
  <c r="BH61" i="3"/>
  <c r="BC15" i="3"/>
  <c r="BC20" i="3"/>
  <c r="BB34" i="3"/>
  <c r="BE8" i="2"/>
  <c r="BF24" i="2"/>
  <c r="BE38" i="2"/>
  <c r="BE12" i="2"/>
  <c r="BC45" i="3" s="1"/>
  <c r="BC239" i="3"/>
  <c r="BC247" i="3" s="1"/>
  <c r="BC255" i="3" s="1"/>
  <c r="BA298" i="3"/>
  <c r="BA65" i="3"/>
  <c r="BE21" i="2"/>
  <c r="BC16" i="3"/>
  <c r="BE190" i="3"/>
  <c r="BE198" i="3" s="1"/>
  <c r="BD244" i="3"/>
  <c r="BD252" i="3" s="1"/>
  <c r="BD260" i="3" s="1"/>
  <c r="BB52" i="3"/>
  <c r="BB58" i="3"/>
  <c r="BB64" i="3"/>
  <c r="BB70" i="3"/>
  <c r="BC22" i="3"/>
  <c r="BE15" i="2"/>
  <c r="BC18" i="3"/>
  <c r="BB284" i="3"/>
  <c r="BB293" i="3" s="1"/>
  <c r="BB242" i="3"/>
  <c r="BB250" i="3" s="1"/>
  <c r="BB258" i="3" s="1"/>
  <c r="BB37" i="3"/>
  <c r="BB283" i="3"/>
  <c r="BB292" i="3" s="1"/>
  <c r="BB241" i="3"/>
  <c r="BB249" i="3" s="1"/>
  <c r="BB257" i="3" s="1"/>
  <c r="BA59" i="3"/>
  <c r="BE19" i="2"/>
  <c r="BC13" i="3"/>
  <c r="BE17" i="2"/>
  <c r="BC46" i="3" s="1"/>
  <c r="BA39" i="3"/>
  <c r="BC12" i="3"/>
  <c r="BE9" i="2"/>
  <c r="BC11" i="3"/>
  <c r="BC21" i="3"/>
  <c r="BA74" i="3"/>
  <c r="AZ77" i="3"/>
  <c r="AY308" i="3"/>
  <c r="AZ85" i="3"/>
  <c r="BC113" i="3"/>
  <c r="BD8" i="3"/>
  <c r="BD24" i="3" s="1"/>
  <c r="BE309" i="2"/>
  <c r="BD220" i="2"/>
  <c r="BH301" i="2" l="1"/>
  <c r="BG299" i="2"/>
  <c r="BE97" i="2"/>
  <c r="BE82" i="2" s="1"/>
  <c r="BD208" i="2"/>
  <c r="BE107" i="2"/>
  <c r="BD85" i="2"/>
  <c r="BD210" i="2"/>
  <c r="BE99" i="2"/>
  <c r="BD87" i="2"/>
  <c r="BD212" i="2"/>
  <c r="BE105" i="2"/>
  <c r="BE102" i="2"/>
  <c r="BD93" i="2"/>
  <c r="BD219" i="2"/>
  <c r="BE109" i="2"/>
  <c r="BD86" i="2"/>
  <c r="BD211" i="2"/>
  <c r="BE101" i="2"/>
  <c r="BF110" i="2"/>
  <c r="BF94" i="2" s="1"/>
  <c r="BD88" i="2"/>
  <c r="BD213" i="2"/>
  <c r="BD89" i="2"/>
  <c r="BD214" i="2"/>
  <c r="BD92" i="2"/>
  <c r="BD218" i="2"/>
  <c r="BD90" i="2"/>
  <c r="BD91" i="2"/>
  <c r="BD217" i="2"/>
  <c r="BE106" i="2"/>
  <c r="BD84" i="2"/>
  <c r="BD209" i="2"/>
  <c r="BE100" i="2"/>
  <c r="BD215" i="2"/>
  <c r="BD111" i="2"/>
  <c r="BE103" i="2"/>
  <c r="BE104" i="2"/>
  <c r="BE108" i="2"/>
  <c r="BE98" i="2"/>
  <c r="BE83" i="2" s="1"/>
  <c r="BF372" i="2"/>
  <c r="BE385" i="2"/>
  <c r="BF381" i="2"/>
  <c r="BE386" i="2"/>
  <c r="BB200" i="3"/>
  <c r="BB220" i="3"/>
  <c r="BF319" i="2"/>
  <c r="BC206" i="3"/>
  <c r="BC214" i="3" s="1"/>
  <c r="BC186" i="3"/>
  <c r="BC194" i="3" s="1"/>
  <c r="BF320" i="2"/>
  <c r="BC207" i="3"/>
  <c r="BC215" i="3" s="1"/>
  <c r="BC187" i="3"/>
  <c r="BC195" i="3" s="1"/>
  <c r="BF321" i="2"/>
  <c r="BC208" i="3"/>
  <c r="BC216" i="3" s="1"/>
  <c r="BC188" i="3"/>
  <c r="BC196" i="3" s="1"/>
  <c r="BB201" i="3"/>
  <c r="BB222" i="3"/>
  <c r="AX184" i="12"/>
  <c r="AX179" i="12" s="1"/>
  <c r="BD86" i="15"/>
  <c r="BD171" i="15"/>
  <c r="BD161" i="15"/>
  <c r="BD152" i="15"/>
  <c r="BD143" i="15"/>
  <c r="BD134" i="15"/>
  <c r="BD113" i="15"/>
  <c r="BD118" i="15" s="1"/>
  <c r="AZ124" i="12"/>
  <c r="AZ128" i="12" s="1"/>
  <c r="BD128" i="15"/>
  <c r="BE172" i="15"/>
  <c r="BA170" i="12" s="1"/>
  <c r="BE162" i="15"/>
  <c r="BA160" i="12" s="1"/>
  <c r="BE153" i="15"/>
  <c r="BA152" i="12" s="1"/>
  <c r="BE144" i="15"/>
  <c r="BA143" i="12" s="1"/>
  <c r="BE124" i="15"/>
  <c r="BE114" i="15"/>
  <c r="BA115" i="12" s="1"/>
  <c r="BA119" i="12" s="1"/>
  <c r="BE75" i="15"/>
  <c r="AY133" i="12"/>
  <c r="AY136" i="12" s="1"/>
  <c r="BC137" i="15"/>
  <c r="AY142" i="12"/>
  <c r="AY145" i="12" s="1"/>
  <c r="BC146" i="15"/>
  <c r="AY151" i="12"/>
  <c r="AY155" i="12" s="1"/>
  <c r="BC156" i="15"/>
  <c r="AY159" i="12"/>
  <c r="AY163" i="12" s="1"/>
  <c r="BC165" i="15"/>
  <c r="AY169" i="12"/>
  <c r="AY172" i="12" s="1"/>
  <c r="BC174" i="15"/>
  <c r="BC29" i="3"/>
  <c r="BC28" i="3"/>
  <c r="BF49" i="2"/>
  <c r="BF52" i="2"/>
  <c r="BF43" i="2"/>
  <c r="BF53" i="2"/>
  <c r="BF50" i="2"/>
  <c r="BF48" i="2"/>
  <c r="BF44" i="2"/>
  <c r="BE42" i="2"/>
  <c r="BF58" i="2"/>
  <c r="BE72" i="2"/>
  <c r="BF54" i="2"/>
  <c r="BF51" i="2"/>
  <c r="BF47" i="2"/>
  <c r="BF61" i="2"/>
  <c r="BE45" i="2"/>
  <c r="BF46" i="2"/>
  <c r="BC33" i="3"/>
  <c r="BG339" i="2"/>
  <c r="BG340" i="2"/>
  <c r="BG341" i="2"/>
  <c r="BC37" i="3"/>
  <c r="BP66" i="15"/>
  <c r="BO168" i="15"/>
  <c r="BO149" i="15"/>
  <c r="BO140" i="15"/>
  <c r="BK139" i="12" s="1"/>
  <c r="BO131" i="15"/>
  <c r="BK130" i="12" s="1"/>
  <c r="BO121" i="15"/>
  <c r="BO111" i="15"/>
  <c r="BK112" i="12" s="1"/>
  <c r="BO67" i="15"/>
  <c r="BK178" i="12" s="1"/>
  <c r="BK166" i="12"/>
  <c r="BK148" i="12"/>
  <c r="BK121" i="12"/>
  <c r="BQ84" i="15"/>
  <c r="BP164" i="15"/>
  <c r="BL162" i="12" s="1"/>
  <c r="BP155" i="15"/>
  <c r="BP145" i="15"/>
  <c r="BP136" i="15"/>
  <c r="BL135" i="12" s="1"/>
  <c r="BP127" i="15"/>
  <c r="BL127" i="12" s="1"/>
  <c r="BP117" i="15"/>
  <c r="BL118" i="12" s="1"/>
  <c r="BO159" i="15"/>
  <c r="BO169" i="15"/>
  <c r="BK167" i="12" s="1"/>
  <c r="BO150" i="15"/>
  <c r="BK149" i="12" s="1"/>
  <c r="BO141" i="15"/>
  <c r="BK140" i="12" s="1"/>
  <c r="BO132" i="15"/>
  <c r="BK131" i="12" s="1"/>
  <c r="BO122" i="15"/>
  <c r="BK122" i="12" s="1"/>
  <c r="BO112" i="15"/>
  <c r="BK113" i="12" s="1"/>
  <c r="BC27" i="3"/>
  <c r="BC31" i="3"/>
  <c r="BC34" i="3"/>
  <c r="BB75" i="3"/>
  <c r="BC26" i="3"/>
  <c r="BC30" i="3"/>
  <c r="BF9" i="2"/>
  <c r="BI55" i="3"/>
  <c r="BI49" i="3"/>
  <c r="BI67" i="3"/>
  <c r="BI61" i="3"/>
  <c r="BB71" i="3"/>
  <c r="BF19" i="2"/>
  <c r="BC284" i="3"/>
  <c r="BC293" i="3" s="1"/>
  <c r="BC242" i="3"/>
  <c r="BC250" i="3" s="1"/>
  <c r="BC258" i="3" s="1"/>
  <c r="BF21" i="2"/>
  <c r="BF8" i="2"/>
  <c r="BG24" i="2"/>
  <c r="BF38" i="2"/>
  <c r="BD17" i="3"/>
  <c r="BF16" i="2"/>
  <c r="BD14" i="3"/>
  <c r="BB65" i="3"/>
  <c r="BF189" i="3"/>
  <c r="BF197" i="3" s="1"/>
  <c r="BE285" i="3"/>
  <c r="BE294" i="3" s="1"/>
  <c r="BE243" i="3"/>
  <c r="BE251" i="3" s="1"/>
  <c r="BE259" i="3" s="1"/>
  <c r="BD12" i="3"/>
  <c r="BB262" i="3"/>
  <c r="BJ89" i="3"/>
  <c r="BJ90" i="3" s="1"/>
  <c r="BJ43" i="3"/>
  <c r="BB59" i="3"/>
  <c r="BD18" i="3"/>
  <c r="BB76" i="3"/>
  <c r="BC240" i="3"/>
  <c r="BC248" i="3" s="1"/>
  <c r="BC256" i="3" s="1"/>
  <c r="BB74" i="3"/>
  <c r="BB53" i="3"/>
  <c r="BD21" i="3"/>
  <c r="BC52" i="3"/>
  <c r="BC58" i="3"/>
  <c r="BC64" i="3"/>
  <c r="BC70" i="3"/>
  <c r="BB298" i="3"/>
  <c r="BC36" i="3"/>
  <c r="BH73" i="3"/>
  <c r="BC47" i="3"/>
  <c r="BC56" i="3"/>
  <c r="BC62" i="3"/>
  <c r="BC50" i="3"/>
  <c r="BC68" i="3"/>
  <c r="BB39" i="3"/>
  <c r="BF191" i="3"/>
  <c r="BF199" i="3" s="1"/>
  <c r="BE287" i="3"/>
  <c r="BE296" i="3" s="1"/>
  <c r="BE245" i="3"/>
  <c r="BE253" i="3" s="1"/>
  <c r="BE261" i="3" s="1"/>
  <c r="BF17" i="2"/>
  <c r="BD46" i="3" s="1"/>
  <c r="BC283" i="3"/>
  <c r="BC292" i="3" s="1"/>
  <c r="BC241" i="3"/>
  <c r="BC249" i="3" s="1"/>
  <c r="BC257" i="3" s="1"/>
  <c r="BF15" i="2"/>
  <c r="BF190" i="3"/>
  <c r="BF198" i="3" s="1"/>
  <c r="BE244" i="3"/>
  <c r="BE252" i="3" s="1"/>
  <c r="BE260" i="3" s="1"/>
  <c r="BD239" i="3"/>
  <c r="BD247" i="3" s="1"/>
  <c r="BD255" i="3" s="1"/>
  <c r="BD20" i="3"/>
  <c r="BD10" i="3"/>
  <c r="BF18" i="2"/>
  <c r="BG27" i="2"/>
  <c r="BF11" i="2"/>
  <c r="BD44" i="3" s="1"/>
  <c r="BF13" i="2"/>
  <c r="BK288" i="3"/>
  <c r="BK297" i="3" s="1"/>
  <c r="BK230" i="3"/>
  <c r="BK231" i="3" s="1"/>
  <c r="BE281" i="3"/>
  <c r="BE290" i="3" s="1"/>
  <c r="BD11" i="3"/>
  <c r="BC38" i="3"/>
  <c r="BC32" i="3"/>
  <c r="BC69" i="3"/>
  <c r="BC51" i="3"/>
  <c r="BC57" i="3"/>
  <c r="BC63" i="3"/>
  <c r="BC25" i="3"/>
  <c r="BC35" i="3"/>
  <c r="BF10" i="2"/>
  <c r="BD13" i="3"/>
  <c r="BD22" i="3"/>
  <c r="BD16" i="3"/>
  <c r="BF12" i="2"/>
  <c r="BD45" i="3" s="1"/>
  <c r="BD15" i="3"/>
  <c r="BD9" i="3"/>
  <c r="BD19" i="3"/>
  <c r="BF14" i="2"/>
  <c r="BF20" i="2"/>
  <c r="BA85" i="3"/>
  <c r="AZ308" i="3"/>
  <c r="BA77" i="3"/>
  <c r="BD113" i="3"/>
  <c r="BE8" i="3"/>
  <c r="BE24" i="3" s="1"/>
  <c r="BF309" i="2"/>
  <c r="BE220" i="2"/>
  <c r="BI301" i="2" l="1"/>
  <c r="BH299" i="2"/>
  <c r="BF97" i="2"/>
  <c r="BF82" i="2" s="1"/>
  <c r="BE208" i="2"/>
  <c r="BE92" i="2"/>
  <c r="BE218" i="2"/>
  <c r="BF109" i="2"/>
  <c r="BE89" i="2"/>
  <c r="BE214" i="2"/>
  <c r="BF104" i="2"/>
  <c r="BE87" i="2"/>
  <c r="BE212" i="2"/>
  <c r="BE93" i="2"/>
  <c r="BE219" i="2"/>
  <c r="BE88" i="2"/>
  <c r="BE213" i="2"/>
  <c r="BF101" i="2"/>
  <c r="BF102" i="2"/>
  <c r="BE85" i="2"/>
  <c r="BE210" i="2"/>
  <c r="BE84" i="2"/>
  <c r="BE209" i="2"/>
  <c r="BF99" i="2"/>
  <c r="BE111" i="2"/>
  <c r="BF103" i="2"/>
  <c r="BE90" i="2"/>
  <c r="BE215" i="2"/>
  <c r="BE91" i="2"/>
  <c r="BE217" i="2"/>
  <c r="BF108" i="2"/>
  <c r="BF100" i="2"/>
  <c r="BG110" i="2"/>
  <c r="BG94" i="2" s="1"/>
  <c r="BE86" i="2"/>
  <c r="BE211" i="2"/>
  <c r="BF106" i="2"/>
  <c r="BF105" i="2"/>
  <c r="BF107" i="2"/>
  <c r="BF98" i="2"/>
  <c r="BF83" i="2" s="1"/>
  <c r="BG372" i="2"/>
  <c r="BF385" i="2"/>
  <c r="BG381" i="2"/>
  <c r="BF386" i="2"/>
  <c r="BC200" i="3"/>
  <c r="BG321" i="2"/>
  <c r="BD188" i="3"/>
  <c r="BD196" i="3" s="1"/>
  <c r="BD208" i="3"/>
  <c r="BD216" i="3" s="1"/>
  <c r="BG320" i="2"/>
  <c r="BD207" i="3"/>
  <c r="BD215" i="3" s="1"/>
  <c r="BD187" i="3"/>
  <c r="BD195" i="3" s="1"/>
  <c r="BC201" i="3"/>
  <c r="BC222" i="3"/>
  <c r="BC220" i="3"/>
  <c r="BG319" i="2"/>
  <c r="BD206" i="3"/>
  <c r="BD214" i="3" s="1"/>
  <c r="BD186" i="3"/>
  <c r="BD194" i="3" s="1"/>
  <c r="AY184" i="12"/>
  <c r="AY179" i="12" s="1"/>
  <c r="BE86" i="15"/>
  <c r="BE171" i="15"/>
  <c r="BE161" i="15"/>
  <c r="BE152" i="15"/>
  <c r="BE143" i="15"/>
  <c r="BE134" i="15"/>
  <c r="BE113" i="15"/>
  <c r="BE118" i="15" s="1"/>
  <c r="BA124" i="12"/>
  <c r="BA128" i="12" s="1"/>
  <c r="BE128" i="15"/>
  <c r="BF172" i="15"/>
  <c r="BB170" i="12" s="1"/>
  <c r="BF162" i="15"/>
  <c r="BB160" i="12" s="1"/>
  <c r="BF153" i="15"/>
  <c r="BB152" i="12" s="1"/>
  <c r="BF144" i="15"/>
  <c r="BB143" i="12" s="1"/>
  <c r="BF124" i="15"/>
  <c r="BF114" i="15"/>
  <c r="BB115" i="12" s="1"/>
  <c r="BB119" i="12" s="1"/>
  <c r="BF75" i="15"/>
  <c r="AZ133" i="12"/>
  <c r="AZ136" i="12" s="1"/>
  <c r="BD137" i="15"/>
  <c r="AZ142" i="12"/>
  <c r="AZ145" i="12" s="1"/>
  <c r="BD146" i="15"/>
  <c r="AZ151" i="12"/>
  <c r="AZ155" i="12" s="1"/>
  <c r="BD156" i="15"/>
  <c r="AZ159" i="12"/>
  <c r="AZ163" i="12" s="1"/>
  <c r="BD165" i="15"/>
  <c r="AZ169" i="12"/>
  <c r="AZ172" i="12" s="1"/>
  <c r="BD174" i="15"/>
  <c r="BD26" i="3"/>
  <c r="BG53" i="2"/>
  <c r="BG47" i="2"/>
  <c r="BG44" i="2"/>
  <c r="BG43" i="2"/>
  <c r="BG61" i="2"/>
  <c r="BF45" i="2"/>
  <c r="BG51" i="2"/>
  <c r="BG48" i="2"/>
  <c r="BG52" i="2"/>
  <c r="BF42" i="2"/>
  <c r="BF72" i="2"/>
  <c r="BG58" i="2"/>
  <c r="BG46" i="2"/>
  <c r="BG54" i="2"/>
  <c r="BG50" i="2"/>
  <c r="BG49" i="2"/>
  <c r="BH339" i="2"/>
  <c r="BH340" i="2"/>
  <c r="BH341" i="2"/>
  <c r="BP67" i="15"/>
  <c r="BQ66" i="15"/>
  <c r="BP168" i="15"/>
  <c r="BP149" i="15"/>
  <c r="BP140" i="15"/>
  <c r="BP131" i="15"/>
  <c r="BP121" i="15"/>
  <c r="BL121" i="12" s="1"/>
  <c r="BP111" i="15"/>
  <c r="BL112" i="12" s="1"/>
  <c r="BL178" i="12"/>
  <c r="BL166" i="12"/>
  <c r="BL139" i="12"/>
  <c r="BL148" i="12"/>
  <c r="BL130" i="12"/>
  <c r="BP159" i="15"/>
  <c r="BP169" i="15"/>
  <c r="BL167" i="12" s="1"/>
  <c r="BP150" i="15"/>
  <c r="BL149" i="12" s="1"/>
  <c r="BP141" i="15"/>
  <c r="BL140" i="12" s="1"/>
  <c r="BP132" i="15"/>
  <c r="BL131" i="12" s="1"/>
  <c r="BP122" i="15"/>
  <c r="BL122" i="12" s="1"/>
  <c r="BP112" i="15"/>
  <c r="BL113" i="12" s="1"/>
  <c r="BQ164" i="15"/>
  <c r="BM162" i="12" s="1"/>
  <c r="BQ155" i="15"/>
  <c r="BQ145" i="15"/>
  <c r="BQ136" i="15"/>
  <c r="BM135" i="12" s="1"/>
  <c r="BQ127" i="15"/>
  <c r="BM127" i="12" s="1"/>
  <c r="BQ117" i="15"/>
  <c r="BM118" i="12" s="1"/>
  <c r="BD25" i="3"/>
  <c r="BD36" i="3"/>
  <c r="BD31" i="3"/>
  <c r="BD29" i="3"/>
  <c r="BC76" i="3"/>
  <c r="BD28" i="3"/>
  <c r="BD34" i="3"/>
  <c r="BC75" i="3"/>
  <c r="BC298" i="3"/>
  <c r="BC262" i="3"/>
  <c r="BE9" i="3"/>
  <c r="BE22" i="3"/>
  <c r="BG17" i="2"/>
  <c r="BE46" i="3" s="1"/>
  <c r="BC59" i="3"/>
  <c r="BE14" i="3"/>
  <c r="BG18" i="2"/>
  <c r="BG190" i="3"/>
  <c r="BG198" i="3" s="1"/>
  <c r="BF244" i="3"/>
  <c r="BF252" i="3" s="1"/>
  <c r="BF260" i="3" s="1"/>
  <c r="BG21" i="2"/>
  <c r="BG20" i="2"/>
  <c r="BE13" i="3"/>
  <c r="BD37" i="3"/>
  <c r="BE12" i="3"/>
  <c r="BG16" i="2"/>
  <c r="BI73" i="3"/>
  <c r="BD51" i="3"/>
  <c r="BD69" i="3"/>
  <c r="BD57" i="3"/>
  <c r="BD63" i="3"/>
  <c r="BL288" i="3"/>
  <c r="BL297" i="3" s="1"/>
  <c r="BL230" i="3"/>
  <c r="BL231" i="3" s="1"/>
  <c r="BE10" i="3"/>
  <c r="BG15" i="2"/>
  <c r="BG191" i="3"/>
  <c r="BG199" i="3" s="1"/>
  <c r="BF287" i="3"/>
  <c r="BF296" i="3" s="1"/>
  <c r="BF245" i="3"/>
  <c r="BF253" i="3" s="1"/>
  <c r="BF261" i="3" s="1"/>
  <c r="BE21" i="3"/>
  <c r="BE18" i="3"/>
  <c r="BD33" i="3"/>
  <c r="BE15" i="3"/>
  <c r="BG14" i="2"/>
  <c r="BG12" i="2"/>
  <c r="BE45" i="3" s="1"/>
  <c r="BG10" i="2"/>
  <c r="BE17" i="3"/>
  <c r="BD284" i="3"/>
  <c r="BD293" i="3" s="1"/>
  <c r="BD242" i="3"/>
  <c r="BD250" i="3" s="1"/>
  <c r="BD258" i="3" s="1"/>
  <c r="BD35" i="3"/>
  <c r="BD32" i="3"/>
  <c r="BD27" i="3"/>
  <c r="BG13" i="2"/>
  <c r="BE20" i="3"/>
  <c r="BC71" i="3"/>
  <c r="BJ49" i="3"/>
  <c r="BJ61" i="3"/>
  <c r="BJ55" i="3"/>
  <c r="BJ67" i="3"/>
  <c r="BG189" i="3"/>
  <c r="BG197" i="3" s="1"/>
  <c r="BF285" i="3"/>
  <c r="BF294" i="3" s="1"/>
  <c r="BF243" i="3"/>
  <c r="BF251" i="3" s="1"/>
  <c r="BF259" i="3" s="1"/>
  <c r="BF281" i="3"/>
  <c r="BF290" i="3" s="1"/>
  <c r="BE19" i="3"/>
  <c r="BE16" i="3"/>
  <c r="BC39" i="3"/>
  <c r="BE11" i="3"/>
  <c r="BD68" i="3"/>
  <c r="BD56" i="3"/>
  <c r="BD62" i="3"/>
  <c r="BD50" i="3"/>
  <c r="BD47" i="3"/>
  <c r="BD283" i="3"/>
  <c r="BD292" i="3" s="1"/>
  <c r="BD241" i="3"/>
  <c r="BD249" i="3" s="1"/>
  <c r="BD257" i="3" s="1"/>
  <c r="BC74" i="3"/>
  <c r="BC53" i="3"/>
  <c r="BG8" i="2"/>
  <c r="BH24" i="2"/>
  <c r="BG38" i="2"/>
  <c r="BG19" i="2"/>
  <c r="BG9" i="2"/>
  <c r="BD38" i="3"/>
  <c r="BH27" i="2"/>
  <c r="BG11" i="2"/>
  <c r="BE44" i="3" s="1"/>
  <c r="BE239" i="3"/>
  <c r="BE247" i="3" s="1"/>
  <c r="BE255" i="3" s="1"/>
  <c r="BD52" i="3"/>
  <c r="BD58" i="3"/>
  <c r="BD64" i="3"/>
  <c r="BD70" i="3"/>
  <c r="BC65" i="3"/>
  <c r="BD240" i="3"/>
  <c r="BD248" i="3" s="1"/>
  <c r="BD256" i="3" s="1"/>
  <c r="BK89" i="3"/>
  <c r="BK90" i="3" s="1"/>
  <c r="BK43" i="3"/>
  <c r="BD30" i="3"/>
  <c r="BB77" i="3"/>
  <c r="BA308" i="3"/>
  <c r="BB85" i="3"/>
  <c r="BF8" i="3"/>
  <c r="BF24" i="3" s="1"/>
  <c r="BE113" i="3"/>
  <c r="BG309" i="2"/>
  <c r="BF220" i="2"/>
  <c r="BJ301" i="2" l="1"/>
  <c r="BI299" i="2"/>
  <c r="BG97" i="2"/>
  <c r="BG82" i="2" s="1"/>
  <c r="BF208" i="2"/>
  <c r="BF89" i="2"/>
  <c r="BF214" i="2"/>
  <c r="BG100" i="2"/>
  <c r="BF93" i="2"/>
  <c r="BF219" i="2"/>
  <c r="BG99" i="2"/>
  <c r="BG107" i="2"/>
  <c r="BF85" i="2"/>
  <c r="BF210" i="2"/>
  <c r="BF90" i="2"/>
  <c r="BF92" i="2"/>
  <c r="BF218" i="2"/>
  <c r="BF88" i="2"/>
  <c r="BF213" i="2"/>
  <c r="BG109" i="2"/>
  <c r="BF86" i="2"/>
  <c r="BF211" i="2"/>
  <c r="BG104" i="2"/>
  <c r="BH110" i="2"/>
  <c r="BH94" i="2" s="1"/>
  <c r="BF215" i="2"/>
  <c r="BG106" i="2"/>
  <c r="BG108" i="2"/>
  <c r="BG103" i="2"/>
  <c r="BF87" i="2"/>
  <c r="BF212" i="2"/>
  <c r="BF84" i="2"/>
  <c r="BF209" i="2"/>
  <c r="BF91" i="2"/>
  <c r="BF217" i="2"/>
  <c r="BG101" i="2"/>
  <c r="BG105" i="2"/>
  <c r="BF111" i="2"/>
  <c r="BG102" i="2"/>
  <c r="BG98" i="2"/>
  <c r="BG83" i="2" s="1"/>
  <c r="BH372" i="2"/>
  <c r="BG385" i="2"/>
  <c r="BH381" i="2"/>
  <c r="BG386" i="2"/>
  <c r="BD200" i="3"/>
  <c r="BD201" i="3"/>
  <c r="BD222" i="3"/>
  <c r="BH320" i="2"/>
  <c r="BE207" i="3"/>
  <c r="BE215" i="3" s="1"/>
  <c r="BE187" i="3"/>
  <c r="BE195" i="3" s="1"/>
  <c r="BD220" i="3"/>
  <c r="BH319" i="2"/>
  <c r="BE206" i="3"/>
  <c r="BE214" i="3" s="1"/>
  <c r="BE186" i="3"/>
  <c r="BE194" i="3" s="1"/>
  <c r="BH321" i="2"/>
  <c r="BE208" i="3"/>
  <c r="BE216" i="3" s="1"/>
  <c r="BE188" i="3"/>
  <c r="BE196" i="3" s="1"/>
  <c r="AZ184" i="12"/>
  <c r="AZ179" i="12" s="1"/>
  <c r="BF86" i="15"/>
  <c r="BF171" i="15"/>
  <c r="BF161" i="15"/>
  <c r="BF152" i="15"/>
  <c r="BF143" i="15"/>
  <c r="BF134" i="15"/>
  <c r="BF113" i="15"/>
  <c r="BF118" i="15" s="1"/>
  <c r="BB124" i="12"/>
  <c r="BB128" i="12" s="1"/>
  <c r="BF128" i="15"/>
  <c r="BG172" i="15"/>
  <c r="BC170" i="12" s="1"/>
  <c r="BG162" i="15"/>
  <c r="BC160" i="12" s="1"/>
  <c r="BG153" i="15"/>
  <c r="BC152" i="12" s="1"/>
  <c r="BG144" i="15"/>
  <c r="BC143" i="12" s="1"/>
  <c r="BG124" i="15"/>
  <c r="BG114" i="15"/>
  <c r="BC115" i="12" s="1"/>
  <c r="BC119" i="12" s="1"/>
  <c r="BG75" i="15"/>
  <c r="BA133" i="12"/>
  <c r="BA136" i="12" s="1"/>
  <c r="BE137" i="15"/>
  <c r="BA142" i="12"/>
  <c r="BA145" i="12" s="1"/>
  <c r="BE146" i="15"/>
  <c r="BA151" i="12"/>
  <c r="BA155" i="12" s="1"/>
  <c r="BE156" i="15"/>
  <c r="BA159" i="12"/>
  <c r="BA163" i="12" s="1"/>
  <c r="BE165" i="15"/>
  <c r="BA169" i="12"/>
  <c r="BA172" i="12" s="1"/>
  <c r="BE174" i="15"/>
  <c r="BD298" i="3"/>
  <c r="BH52" i="2"/>
  <c r="BH43" i="2"/>
  <c r="BH46" i="2"/>
  <c r="BH48" i="2"/>
  <c r="BH44" i="2"/>
  <c r="BH49" i="2"/>
  <c r="BH54" i="2"/>
  <c r="BG42" i="2"/>
  <c r="BH58" i="2"/>
  <c r="BG72" i="2"/>
  <c r="BH51" i="2"/>
  <c r="BH47" i="2"/>
  <c r="BH50" i="2"/>
  <c r="BH61" i="2"/>
  <c r="BG45" i="2"/>
  <c r="BH53" i="2"/>
  <c r="BE37" i="3"/>
  <c r="BI339" i="2"/>
  <c r="BI340" i="2"/>
  <c r="BI341" i="2"/>
  <c r="BM178" i="12"/>
  <c r="BQ168" i="15"/>
  <c r="BQ149" i="15"/>
  <c r="BQ140" i="15"/>
  <c r="BQ131" i="15"/>
  <c r="BM130" i="12" s="1"/>
  <c r="BQ121" i="15"/>
  <c r="BM121" i="12" s="1"/>
  <c r="BQ111" i="15"/>
  <c r="BM112" i="12" s="1"/>
  <c r="BM166" i="12"/>
  <c r="BM139" i="12"/>
  <c r="BM148" i="12"/>
  <c r="BQ159" i="15"/>
  <c r="BQ169" i="15"/>
  <c r="BM167" i="12" s="1"/>
  <c r="BQ150" i="15"/>
  <c r="BM149" i="12" s="1"/>
  <c r="BQ141" i="15"/>
  <c r="BM140" i="12" s="1"/>
  <c r="BQ132" i="15"/>
  <c r="BM131" i="12" s="1"/>
  <c r="BQ122" i="15"/>
  <c r="BM122" i="12" s="1"/>
  <c r="BQ112" i="15"/>
  <c r="BM113" i="12" s="1"/>
  <c r="BE33" i="3"/>
  <c r="BE34" i="3"/>
  <c r="BE38" i="3"/>
  <c r="BD65" i="3"/>
  <c r="BE35" i="3"/>
  <c r="BD39" i="3"/>
  <c r="BE240" i="3"/>
  <c r="BE248" i="3" s="1"/>
  <c r="BE256" i="3" s="1"/>
  <c r="BE50" i="3"/>
  <c r="BE68" i="3"/>
  <c r="BE56" i="3"/>
  <c r="BE62" i="3"/>
  <c r="BE47" i="3"/>
  <c r="BH8" i="2"/>
  <c r="BI24" i="2"/>
  <c r="BH38" i="2"/>
  <c r="BD74" i="3"/>
  <c r="BD53" i="3"/>
  <c r="BF16" i="3"/>
  <c r="BH13" i="2"/>
  <c r="BF17" i="3"/>
  <c r="BF15" i="3"/>
  <c r="BM288" i="3"/>
  <c r="BM297" i="3" s="1"/>
  <c r="BM230" i="3"/>
  <c r="BM231" i="3" s="1"/>
  <c r="BE28" i="3"/>
  <c r="BH21" i="2"/>
  <c r="BI27" i="2"/>
  <c r="BH11" i="2"/>
  <c r="BF44" i="3" s="1"/>
  <c r="BH191" i="3"/>
  <c r="BH199" i="3" s="1"/>
  <c r="BG287" i="3"/>
  <c r="BG296" i="3" s="1"/>
  <c r="BG245" i="3"/>
  <c r="BG253" i="3" s="1"/>
  <c r="BG261" i="3" s="1"/>
  <c r="BF12" i="3"/>
  <c r="BE52" i="3"/>
  <c r="BE70" i="3"/>
  <c r="BE58" i="3"/>
  <c r="BE64" i="3"/>
  <c r="BG281" i="3"/>
  <c r="BG290" i="3" s="1"/>
  <c r="BF19" i="3"/>
  <c r="BH10" i="2"/>
  <c r="BD59" i="3"/>
  <c r="BH190" i="3"/>
  <c r="BH198" i="3" s="1"/>
  <c r="BG244" i="3"/>
  <c r="BG252" i="3" s="1"/>
  <c r="BG260" i="3" s="1"/>
  <c r="BH17" i="2"/>
  <c r="BF46" i="3" s="1"/>
  <c r="BD71" i="3"/>
  <c r="BJ73" i="3"/>
  <c r="BE51" i="3"/>
  <c r="BE69" i="3"/>
  <c r="BE57" i="3"/>
  <c r="BE63" i="3"/>
  <c r="BH15" i="2"/>
  <c r="BE29" i="3"/>
  <c r="BK55" i="3"/>
  <c r="BK49" i="3"/>
  <c r="BK61" i="3"/>
  <c r="BK67" i="3"/>
  <c r="BH9" i="2"/>
  <c r="BE27" i="3"/>
  <c r="BH12" i="2"/>
  <c r="BF45" i="3" s="1"/>
  <c r="BF18" i="3"/>
  <c r="BE26" i="3"/>
  <c r="BD75" i="3"/>
  <c r="BF13" i="3"/>
  <c r="BH18" i="2"/>
  <c r="BF22" i="3"/>
  <c r="BD76" i="3"/>
  <c r="BF11" i="3"/>
  <c r="BE36" i="3"/>
  <c r="BF10" i="3"/>
  <c r="BE25" i="3"/>
  <c r="BL89" i="3"/>
  <c r="BL90" i="3" s="1"/>
  <c r="BL43" i="3"/>
  <c r="BH19" i="2"/>
  <c r="BE283" i="3"/>
  <c r="BE292" i="3" s="1"/>
  <c r="BE241" i="3"/>
  <c r="BE249" i="3" s="1"/>
  <c r="BE257" i="3" s="1"/>
  <c r="BF20" i="3"/>
  <c r="BE284" i="3"/>
  <c r="BE293" i="3" s="1"/>
  <c r="BE242" i="3"/>
  <c r="BE250" i="3" s="1"/>
  <c r="BE258" i="3" s="1"/>
  <c r="BH14" i="2"/>
  <c r="BF21" i="3"/>
  <c r="BH20" i="2"/>
  <c r="BE30" i="3"/>
  <c r="BF9" i="3"/>
  <c r="BD262" i="3"/>
  <c r="BF239" i="3"/>
  <c r="BF247" i="3" s="1"/>
  <c r="BF255" i="3" s="1"/>
  <c r="BE32" i="3"/>
  <c r="BH189" i="3"/>
  <c r="BH197" i="3" s="1"/>
  <c r="BG285" i="3"/>
  <c r="BG294" i="3" s="1"/>
  <c r="BG243" i="3"/>
  <c r="BG251" i="3" s="1"/>
  <c r="BG259" i="3" s="1"/>
  <c r="BE31" i="3"/>
  <c r="BH16" i="2"/>
  <c r="BF14" i="3"/>
  <c r="BC85" i="3"/>
  <c r="BB308" i="3"/>
  <c r="BC77" i="3"/>
  <c r="BG8" i="3"/>
  <c r="BG24" i="3" s="1"/>
  <c r="BF113" i="3"/>
  <c r="BH309" i="2"/>
  <c r="BG220" i="2"/>
  <c r="BK301" i="2" l="1"/>
  <c r="BJ299" i="2"/>
  <c r="BH97" i="2"/>
  <c r="BH82" i="2" s="1"/>
  <c r="BG208" i="2"/>
  <c r="BG84" i="2"/>
  <c r="BG209" i="2"/>
  <c r="BH104" i="2"/>
  <c r="BH102" i="2"/>
  <c r="BG90" i="2"/>
  <c r="BG87" i="2"/>
  <c r="BG212" i="2"/>
  <c r="BH108" i="2"/>
  <c r="BH99" i="2"/>
  <c r="BG111" i="2"/>
  <c r="BH106" i="2"/>
  <c r="BG215" i="2"/>
  <c r="BH105" i="2"/>
  <c r="BH109" i="2"/>
  <c r="BH100" i="2"/>
  <c r="BG92" i="2"/>
  <c r="BG218" i="2"/>
  <c r="BG93" i="2"/>
  <c r="BG219" i="2"/>
  <c r="BG85" i="2"/>
  <c r="BG210" i="2"/>
  <c r="BG86" i="2"/>
  <c r="BG211" i="2"/>
  <c r="BG88" i="2"/>
  <c r="BG213" i="2"/>
  <c r="BG91" i="2"/>
  <c r="BG217" i="2"/>
  <c r="BG89" i="2"/>
  <c r="BG214" i="2"/>
  <c r="BH101" i="2"/>
  <c r="BH103" i="2"/>
  <c r="BI110" i="2"/>
  <c r="BI94" i="2" s="1"/>
  <c r="BH107" i="2"/>
  <c r="BH98" i="2"/>
  <c r="BH83" i="2" s="1"/>
  <c r="BI372" i="2"/>
  <c r="BH385" i="2"/>
  <c r="BI381" i="2"/>
  <c r="BH386" i="2"/>
  <c r="BE200" i="3"/>
  <c r="BE220" i="3"/>
  <c r="BI319" i="2"/>
  <c r="BF206" i="3"/>
  <c r="BF214" i="3" s="1"/>
  <c r="BF186" i="3"/>
  <c r="BF194" i="3" s="1"/>
  <c r="BI320" i="2"/>
  <c r="BF207" i="3"/>
  <c r="BF215" i="3" s="1"/>
  <c r="BF187" i="3"/>
  <c r="BF195" i="3" s="1"/>
  <c r="BI321" i="2"/>
  <c r="BF208" i="3"/>
  <c r="BF216" i="3" s="1"/>
  <c r="BF188" i="3"/>
  <c r="BF196" i="3" s="1"/>
  <c r="BE201" i="3"/>
  <c r="BE222" i="3"/>
  <c r="BA184" i="12"/>
  <c r="BA179" i="12" s="1"/>
  <c r="BG86" i="15"/>
  <c r="BG171" i="15"/>
  <c r="BG161" i="15"/>
  <c r="BG152" i="15"/>
  <c r="BG143" i="15"/>
  <c r="BG134" i="15"/>
  <c r="BG113" i="15"/>
  <c r="BG118" i="15" s="1"/>
  <c r="BC124" i="12"/>
  <c r="BC128" i="12" s="1"/>
  <c r="BG128" i="15"/>
  <c r="BH172" i="15"/>
  <c r="BD170" i="12" s="1"/>
  <c r="BH162" i="15"/>
  <c r="BD160" i="12" s="1"/>
  <c r="BH153" i="15"/>
  <c r="BD152" i="12" s="1"/>
  <c r="BH144" i="15"/>
  <c r="BD143" i="12" s="1"/>
  <c r="BH124" i="15"/>
  <c r="BH114" i="15"/>
  <c r="BD115" i="12" s="1"/>
  <c r="BD119" i="12" s="1"/>
  <c r="BH75" i="15"/>
  <c r="BB133" i="12"/>
  <c r="BB136" i="12" s="1"/>
  <c r="BF137" i="15"/>
  <c r="BB142" i="12"/>
  <c r="BB145" i="12" s="1"/>
  <c r="BF146" i="15"/>
  <c r="BB151" i="12"/>
  <c r="BB155" i="12" s="1"/>
  <c r="BF156" i="15"/>
  <c r="BB159" i="12"/>
  <c r="BB163" i="12" s="1"/>
  <c r="BF165" i="15"/>
  <c r="BB169" i="12"/>
  <c r="BB172" i="12" s="1"/>
  <c r="BF174" i="15"/>
  <c r="BF25" i="3"/>
  <c r="BI48" i="2"/>
  <c r="BI50" i="2"/>
  <c r="BI61" i="2"/>
  <c r="BH45" i="2"/>
  <c r="BI46" i="2"/>
  <c r="BI47" i="2"/>
  <c r="BI54" i="2"/>
  <c r="BI49" i="2"/>
  <c r="BI43" i="2"/>
  <c r="BH42" i="2"/>
  <c r="BH72" i="2"/>
  <c r="BI58" i="2"/>
  <c r="BI53" i="2"/>
  <c r="BI51" i="2"/>
  <c r="BI44" i="2"/>
  <c r="BI52" i="2"/>
  <c r="BJ339" i="2"/>
  <c r="BJ340" i="2"/>
  <c r="BJ341" i="2"/>
  <c r="BF30" i="3"/>
  <c r="BF36" i="3"/>
  <c r="BF38" i="3"/>
  <c r="BF34" i="3"/>
  <c r="BF27" i="3"/>
  <c r="BF32" i="3"/>
  <c r="BI19" i="2"/>
  <c r="BG13" i="3"/>
  <c r="BI15" i="2"/>
  <c r="BF52" i="3"/>
  <c r="BF58" i="3"/>
  <c r="BF64" i="3"/>
  <c r="BF70" i="3"/>
  <c r="BG19" i="3"/>
  <c r="BG12" i="3"/>
  <c r="BI13" i="2"/>
  <c r="BI189" i="3"/>
  <c r="BI197" i="3" s="1"/>
  <c r="BH285" i="3"/>
  <c r="BH294" i="3" s="1"/>
  <c r="BH243" i="3"/>
  <c r="BH251" i="3" s="1"/>
  <c r="BH259" i="3" s="1"/>
  <c r="BF284" i="3"/>
  <c r="BF293" i="3" s="1"/>
  <c r="BF242" i="3"/>
  <c r="BF250" i="3" s="1"/>
  <c r="BF258" i="3" s="1"/>
  <c r="BL55" i="3"/>
  <c r="BL61" i="3"/>
  <c r="BL49" i="3"/>
  <c r="BL67" i="3"/>
  <c r="BG11" i="3"/>
  <c r="BI9" i="2"/>
  <c r="BI17" i="2"/>
  <c r="BG46" i="3" s="1"/>
  <c r="BI20" i="2"/>
  <c r="BE65" i="3"/>
  <c r="BF37" i="3"/>
  <c r="BG20" i="3"/>
  <c r="BM89" i="3"/>
  <c r="BM90" i="3" s="1"/>
  <c r="BM43" i="3"/>
  <c r="BI190" i="3"/>
  <c r="BI198" i="3" s="1"/>
  <c r="BH244" i="3"/>
  <c r="BH252" i="3" s="1"/>
  <c r="BH260" i="3" s="1"/>
  <c r="BI191" i="3"/>
  <c r="BI199" i="3" s="1"/>
  <c r="BH287" i="3"/>
  <c r="BH296" i="3" s="1"/>
  <c r="BH245" i="3"/>
  <c r="BH253" i="3" s="1"/>
  <c r="BH261" i="3" s="1"/>
  <c r="BF31" i="3"/>
  <c r="BG16" i="3"/>
  <c r="BE59" i="3"/>
  <c r="BG239" i="3"/>
  <c r="BG247" i="3" s="1"/>
  <c r="BG255" i="3" s="1"/>
  <c r="BG21" i="3"/>
  <c r="BE39" i="3"/>
  <c r="BG22" i="3"/>
  <c r="BG18" i="3"/>
  <c r="BK73" i="3"/>
  <c r="BE75" i="3"/>
  <c r="BF50" i="3"/>
  <c r="BF68" i="3"/>
  <c r="BF56" i="3"/>
  <c r="BF62" i="3"/>
  <c r="BF47" i="3"/>
  <c r="BG15" i="3"/>
  <c r="BE71" i="3"/>
  <c r="BH281" i="3"/>
  <c r="BH290" i="3" s="1"/>
  <c r="BI16" i="2"/>
  <c r="BE298" i="3"/>
  <c r="BF26" i="3"/>
  <c r="BF51" i="3"/>
  <c r="BF57" i="3"/>
  <c r="BF63" i="3"/>
  <c r="BF69" i="3"/>
  <c r="BJ27" i="2"/>
  <c r="BI11" i="2"/>
  <c r="BG44" i="3" s="1"/>
  <c r="BF33" i="3"/>
  <c r="BE74" i="3"/>
  <c r="BE53" i="3"/>
  <c r="BI14" i="2"/>
  <c r="BF283" i="3"/>
  <c r="BF292" i="3" s="1"/>
  <c r="BF241" i="3"/>
  <c r="BF249" i="3" s="1"/>
  <c r="BF257" i="3" s="1"/>
  <c r="BG10" i="3"/>
  <c r="BI18" i="2"/>
  <c r="BI12" i="2"/>
  <c r="BG45" i="3" s="1"/>
  <c r="BI10" i="2"/>
  <c r="BE76" i="3"/>
  <c r="BG17" i="3"/>
  <c r="BE262" i="3"/>
  <c r="BG14" i="3"/>
  <c r="BG9" i="3"/>
  <c r="BF29" i="3"/>
  <c r="BF35" i="3"/>
  <c r="BF28" i="3"/>
  <c r="BI21" i="2"/>
  <c r="BI8" i="2"/>
  <c r="BJ24" i="2"/>
  <c r="BI38" i="2"/>
  <c r="BF240" i="3"/>
  <c r="BF248" i="3" s="1"/>
  <c r="BF256" i="3" s="1"/>
  <c r="BD77" i="3"/>
  <c r="BC308" i="3"/>
  <c r="BD85" i="3"/>
  <c r="BH8" i="3"/>
  <c r="BH24" i="3" s="1"/>
  <c r="BG113" i="3"/>
  <c r="BI309" i="2"/>
  <c r="BH220" i="2"/>
  <c r="BL301" i="2" l="1"/>
  <c r="BK299" i="2"/>
  <c r="BI97" i="2"/>
  <c r="BI82" i="2" s="1"/>
  <c r="BH208" i="2"/>
  <c r="BI101" i="2"/>
  <c r="BI100" i="2"/>
  <c r="BI109" i="2"/>
  <c r="BH215" i="2"/>
  <c r="BI99" i="2"/>
  <c r="BI102" i="2"/>
  <c r="BI107" i="2"/>
  <c r="BH87" i="2"/>
  <c r="BH212" i="2"/>
  <c r="BI104" i="2"/>
  <c r="BH84" i="2"/>
  <c r="BH209" i="2"/>
  <c r="BI105" i="2"/>
  <c r="BH92" i="2"/>
  <c r="BH218" i="2"/>
  <c r="BI108" i="2"/>
  <c r="BI103" i="2"/>
  <c r="BI106" i="2"/>
  <c r="BH91" i="2"/>
  <c r="BH217" i="2"/>
  <c r="BH93" i="2"/>
  <c r="BH219" i="2"/>
  <c r="BH111" i="2"/>
  <c r="BJ110" i="2"/>
  <c r="BJ94" i="2" s="1"/>
  <c r="BH89" i="2"/>
  <c r="BH214" i="2"/>
  <c r="BH88" i="2"/>
  <c r="BH213" i="2"/>
  <c r="BH86" i="2"/>
  <c r="BH211" i="2"/>
  <c r="BH85" i="2"/>
  <c r="BH210" i="2"/>
  <c r="BH90" i="2"/>
  <c r="BI98" i="2"/>
  <c r="BI83" i="2" s="1"/>
  <c r="BJ372" i="2"/>
  <c r="BI385" i="2"/>
  <c r="BJ381" i="2"/>
  <c r="BI386" i="2"/>
  <c r="BF200" i="3"/>
  <c r="BJ321" i="2"/>
  <c r="BG208" i="3"/>
  <c r="BG216" i="3" s="1"/>
  <c r="BG188" i="3"/>
  <c r="BG196" i="3" s="1"/>
  <c r="BJ320" i="2"/>
  <c r="BG207" i="3"/>
  <c r="BG215" i="3" s="1"/>
  <c r="BG187" i="3"/>
  <c r="BG195" i="3" s="1"/>
  <c r="BF201" i="3"/>
  <c r="BF222" i="3"/>
  <c r="BF220" i="3"/>
  <c r="BJ319" i="2"/>
  <c r="BG206" i="3"/>
  <c r="BG214" i="3" s="1"/>
  <c r="BG186" i="3"/>
  <c r="BG194" i="3" s="1"/>
  <c r="BB184" i="12"/>
  <c r="BB179" i="12" s="1"/>
  <c r="BH86" i="15"/>
  <c r="BH171" i="15"/>
  <c r="BH161" i="15"/>
  <c r="BH152" i="15"/>
  <c r="BH143" i="15"/>
  <c r="BH134" i="15"/>
  <c r="BH113" i="15"/>
  <c r="BH118" i="15" s="1"/>
  <c r="BD124" i="12"/>
  <c r="BD128" i="12" s="1"/>
  <c r="BH128" i="15"/>
  <c r="BI172" i="15"/>
  <c r="BE170" i="12" s="1"/>
  <c r="BI162" i="15"/>
  <c r="BE160" i="12" s="1"/>
  <c r="BI153" i="15"/>
  <c r="BE152" i="12" s="1"/>
  <c r="BI144" i="15"/>
  <c r="BE143" i="12" s="1"/>
  <c r="BI124" i="15"/>
  <c r="BI114" i="15"/>
  <c r="BE115" i="12" s="1"/>
  <c r="BE119" i="12" s="1"/>
  <c r="BI75" i="15"/>
  <c r="BC133" i="12"/>
  <c r="BC136" i="12" s="1"/>
  <c r="BG137" i="15"/>
  <c r="BC142" i="12"/>
  <c r="BC145" i="12" s="1"/>
  <c r="BG146" i="15"/>
  <c r="BC151" i="12"/>
  <c r="BC155" i="12" s="1"/>
  <c r="BG156" i="15"/>
  <c r="BC159" i="12"/>
  <c r="BC163" i="12" s="1"/>
  <c r="BG165" i="15"/>
  <c r="BC169" i="12"/>
  <c r="BC172" i="12" s="1"/>
  <c r="BG174" i="15"/>
  <c r="BJ43" i="2"/>
  <c r="BJ51" i="2"/>
  <c r="BJ46" i="2"/>
  <c r="BJ49" i="2"/>
  <c r="BJ53" i="2"/>
  <c r="BI42" i="2"/>
  <c r="BJ58" i="2"/>
  <c r="BI72" i="2"/>
  <c r="BJ54" i="2"/>
  <c r="BJ61" i="2"/>
  <c r="BI45" i="2"/>
  <c r="BJ50" i="2"/>
  <c r="BJ52" i="2"/>
  <c r="BJ44" i="2"/>
  <c r="BJ47" i="2"/>
  <c r="BJ48" i="2"/>
  <c r="BK339" i="2"/>
  <c r="BK340" i="2"/>
  <c r="BK341" i="2"/>
  <c r="BG30" i="3"/>
  <c r="BG36" i="3"/>
  <c r="BF262" i="3"/>
  <c r="BG34" i="3"/>
  <c r="BF75" i="3"/>
  <c r="BG31" i="3"/>
  <c r="BG26" i="3"/>
  <c r="BG25" i="3"/>
  <c r="BF65" i="3"/>
  <c r="BG32" i="3"/>
  <c r="BF298" i="3"/>
  <c r="BF59" i="3"/>
  <c r="BF76" i="3"/>
  <c r="BI281" i="3"/>
  <c r="BI290" i="3" s="1"/>
  <c r="BH17" i="3"/>
  <c r="BH21" i="3"/>
  <c r="BH20" i="3"/>
  <c r="BJ13" i="2"/>
  <c r="BG240" i="3"/>
  <c r="BG248" i="3" s="1"/>
  <c r="BG256" i="3" s="1"/>
  <c r="BH10" i="3"/>
  <c r="BF39" i="3"/>
  <c r="BH15" i="3"/>
  <c r="BJ191" i="3"/>
  <c r="BJ199" i="3" s="1"/>
  <c r="BI287" i="3"/>
  <c r="BI296" i="3" s="1"/>
  <c r="BI245" i="3"/>
  <c r="BI253" i="3" s="1"/>
  <c r="BI261" i="3" s="1"/>
  <c r="BJ9" i="2"/>
  <c r="BG28" i="3"/>
  <c r="BG50" i="3"/>
  <c r="BG68" i="3"/>
  <c r="BG56" i="3"/>
  <c r="BG62" i="3"/>
  <c r="BH239" i="3"/>
  <c r="BH247" i="3" s="1"/>
  <c r="BH255" i="3" s="1"/>
  <c r="BG27" i="3"/>
  <c r="BH12" i="3"/>
  <c r="BJ15" i="2"/>
  <c r="BJ8" i="2"/>
  <c r="BK24" i="2"/>
  <c r="BJ38" i="2"/>
  <c r="BH9" i="3"/>
  <c r="BJ10" i="2"/>
  <c r="BK27" i="2"/>
  <c r="BJ11" i="2"/>
  <c r="BH44" i="3" s="1"/>
  <c r="BH18" i="3"/>
  <c r="BJ190" i="3"/>
  <c r="BJ198" i="3" s="1"/>
  <c r="BI244" i="3"/>
  <c r="BI252" i="3" s="1"/>
  <c r="BI260" i="3" s="1"/>
  <c r="BH11" i="3"/>
  <c r="BG284" i="3"/>
  <c r="BG293" i="3" s="1"/>
  <c r="BG242" i="3"/>
  <c r="BG250" i="3" s="1"/>
  <c r="BG258" i="3" s="1"/>
  <c r="BG35" i="3"/>
  <c r="BG29" i="3"/>
  <c r="BG47" i="3"/>
  <c r="BG51" i="3"/>
  <c r="BG57" i="3"/>
  <c r="BG63" i="3"/>
  <c r="BG69" i="3"/>
  <c r="BG241" i="3"/>
  <c r="BG249" i="3" s="1"/>
  <c r="BG257" i="3" s="1"/>
  <c r="BG283" i="3"/>
  <c r="BG292" i="3" s="1"/>
  <c r="BJ16" i="2"/>
  <c r="BG38" i="3"/>
  <c r="BH19" i="3"/>
  <c r="BH13" i="3"/>
  <c r="BH14" i="3"/>
  <c r="BJ12" i="2"/>
  <c r="BH45" i="3" s="1"/>
  <c r="BF71" i="3"/>
  <c r="BH22" i="3"/>
  <c r="BH16" i="3"/>
  <c r="BM55" i="3"/>
  <c r="BM49" i="3"/>
  <c r="BM67" i="3"/>
  <c r="BM61" i="3"/>
  <c r="BJ20" i="2"/>
  <c r="BL73" i="3"/>
  <c r="BJ21" i="2"/>
  <c r="BJ14" i="2"/>
  <c r="BF74" i="3"/>
  <c r="BF53" i="3"/>
  <c r="BG52" i="3"/>
  <c r="BG58" i="3"/>
  <c r="BG64" i="3"/>
  <c r="BG70" i="3"/>
  <c r="BJ189" i="3"/>
  <c r="BJ197" i="3" s="1"/>
  <c r="BI285" i="3"/>
  <c r="BI294" i="3" s="1"/>
  <c r="BI243" i="3"/>
  <c r="BI251" i="3" s="1"/>
  <c r="BI259" i="3" s="1"/>
  <c r="BJ19" i="2"/>
  <c r="BG33" i="3"/>
  <c r="BJ18" i="2"/>
  <c r="BG37" i="3"/>
  <c r="BJ17" i="2"/>
  <c r="BH46" i="3" s="1"/>
  <c r="BE85" i="3"/>
  <c r="BD308" i="3"/>
  <c r="BE77" i="3"/>
  <c r="BI8" i="3"/>
  <c r="BI24" i="3" s="1"/>
  <c r="BH113" i="3"/>
  <c r="BJ309" i="2"/>
  <c r="BI220" i="2"/>
  <c r="BM301" i="2" l="1"/>
  <c r="BL299" i="2"/>
  <c r="BJ97" i="2"/>
  <c r="BJ82" i="2" s="1"/>
  <c r="BI208" i="2"/>
  <c r="BK110" i="2"/>
  <c r="BK94" i="2" s="1"/>
  <c r="BI88" i="2"/>
  <c r="BI213" i="2"/>
  <c r="BI87" i="2"/>
  <c r="BI212" i="2"/>
  <c r="BI85" i="2"/>
  <c r="BI210" i="2"/>
  <c r="BI90" i="2"/>
  <c r="BI91" i="2"/>
  <c r="BI217" i="2"/>
  <c r="BJ106" i="2"/>
  <c r="BJ109" i="2"/>
  <c r="BJ103" i="2"/>
  <c r="BJ102" i="2"/>
  <c r="BJ100" i="2"/>
  <c r="BI215" i="2"/>
  <c r="BI111" i="2"/>
  <c r="BJ105" i="2"/>
  <c r="BI92" i="2"/>
  <c r="BI218" i="2"/>
  <c r="BI89" i="2"/>
  <c r="BI214" i="2"/>
  <c r="BI84" i="2"/>
  <c r="BI209" i="2"/>
  <c r="BI86" i="2"/>
  <c r="BI211" i="2"/>
  <c r="BI93" i="2"/>
  <c r="BI219" i="2"/>
  <c r="BJ107" i="2"/>
  <c r="BJ108" i="2"/>
  <c r="BJ104" i="2"/>
  <c r="BJ99" i="2"/>
  <c r="BJ101" i="2"/>
  <c r="BJ98" i="2"/>
  <c r="BJ83" i="2" s="1"/>
  <c r="BK372" i="2"/>
  <c r="BJ385" i="2"/>
  <c r="BK381" i="2"/>
  <c r="BJ386" i="2"/>
  <c r="BG200" i="3"/>
  <c r="BG222" i="3"/>
  <c r="BG201" i="3"/>
  <c r="BK320" i="2"/>
  <c r="BH207" i="3"/>
  <c r="BH215" i="3" s="1"/>
  <c r="BH187" i="3"/>
  <c r="BH195" i="3" s="1"/>
  <c r="BG220" i="3"/>
  <c r="BK319" i="2"/>
  <c r="BH206" i="3"/>
  <c r="BH214" i="3" s="1"/>
  <c r="BH186" i="3"/>
  <c r="BH194" i="3" s="1"/>
  <c r="BK321" i="2"/>
  <c r="BH208" i="3"/>
  <c r="BH216" i="3" s="1"/>
  <c r="BH188" i="3"/>
  <c r="BH196" i="3" s="1"/>
  <c r="BC184" i="12"/>
  <c r="BC179" i="12" s="1"/>
  <c r="BI86" i="15"/>
  <c r="BI171" i="15"/>
  <c r="BI161" i="15"/>
  <c r="BI152" i="15"/>
  <c r="BI143" i="15"/>
  <c r="BI134" i="15"/>
  <c r="BI113" i="15"/>
  <c r="BI118" i="15" s="1"/>
  <c r="BE124" i="12"/>
  <c r="BE128" i="12" s="1"/>
  <c r="BI128" i="15"/>
  <c r="BJ172" i="15"/>
  <c r="BF170" i="12" s="1"/>
  <c r="BJ162" i="15"/>
  <c r="BF160" i="12" s="1"/>
  <c r="BJ153" i="15"/>
  <c r="BF152" i="12" s="1"/>
  <c r="BJ144" i="15"/>
  <c r="BF143" i="12" s="1"/>
  <c r="BJ124" i="15"/>
  <c r="BJ114" i="15"/>
  <c r="BF115" i="12" s="1"/>
  <c r="BF119" i="12" s="1"/>
  <c r="BJ75" i="15"/>
  <c r="BD133" i="12"/>
  <c r="BD136" i="12" s="1"/>
  <c r="BH137" i="15"/>
  <c r="BD142" i="12"/>
  <c r="BD145" i="12" s="1"/>
  <c r="BH146" i="15"/>
  <c r="BD151" i="12"/>
  <c r="BD155" i="12" s="1"/>
  <c r="BH156" i="15"/>
  <c r="BD159" i="12"/>
  <c r="BD163" i="12" s="1"/>
  <c r="BH165" i="15"/>
  <c r="BD169" i="12"/>
  <c r="BD172" i="12" s="1"/>
  <c r="BH174" i="15"/>
  <c r="BK49" i="2"/>
  <c r="BK44" i="2"/>
  <c r="BK54" i="2"/>
  <c r="BK47" i="2"/>
  <c r="BK46" i="2"/>
  <c r="BK61" i="2"/>
  <c r="BJ45" i="2"/>
  <c r="BK52" i="2"/>
  <c r="BJ42" i="2"/>
  <c r="BK58" i="2"/>
  <c r="BJ72" i="2"/>
  <c r="BK51" i="2"/>
  <c r="BK48" i="2"/>
  <c r="BK50" i="2"/>
  <c r="BK53" i="2"/>
  <c r="BK43" i="2"/>
  <c r="BL339" i="2"/>
  <c r="BL340" i="2"/>
  <c r="BL341" i="2"/>
  <c r="BH25" i="3"/>
  <c r="BH30" i="3"/>
  <c r="BH27" i="3"/>
  <c r="BH32" i="3"/>
  <c r="BG298" i="3"/>
  <c r="BH29" i="3"/>
  <c r="BG76" i="3"/>
  <c r="BG65" i="3"/>
  <c r="BG75" i="3"/>
  <c r="BI11" i="3"/>
  <c r="BK10" i="2"/>
  <c r="BH28" i="3"/>
  <c r="BG74" i="3"/>
  <c r="BG53" i="3"/>
  <c r="BI15" i="3"/>
  <c r="BH36" i="3"/>
  <c r="BH52" i="3"/>
  <c r="BH58" i="3"/>
  <c r="BH64" i="3"/>
  <c r="BH70" i="3"/>
  <c r="BI16" i="3"/>
  <c r="BK190" i="3"/>
  <c r="BK198" i="3" s="1"/>
  <c r="BJ244" i="3"/>
  <c r="BJ252" i="3" s="1"/>
  <c r="BJ260" i="3" s="1"/>
  <c r="BI9" i="3"/>
  <c r="BG39" i="3"/>
  <c r="BH26" i="3"/>
  <c r="BH37" i="3"/>
  <c r="BI12" i="3"/>
  <c r="BK17" i="2"/>
  <c r="BI46" i="3" s="1"/>
  <c r="BK20" i="2"/>
  <c r="BH38" i="3"/>
  <c r="BI13" i="3"/>
  <c r="BH34" i="3"/>
  <c r="BK9" i="2"/>
  <c r="BI10" i="3"/>
  <c r="BI21" i="3"/>
  <c r="BK19" i="2"/>
  <c r="BI20" i="3"/>
  <c r="BK189" i="3"/>
  <c r="BK197" i="3" s="1"/>
  <c r="BJ285" i="3"/>
  <c r="BJ294" i="3" s="1"/>
  <c r="BJ243" i="3"/>
  <c r="BJ251" i="3" s="1"/>
  <c r="BJ259" i="3" s="1"/>
  <c r="BI22" i="3"/>
  <c r="BH35" i="3"/>
  <c r="BH283" i="3"/>
  <c r="BH292" i="3" s="1"/>
  <c r="BH241" i="3"/>
  <c r="BH249" i="3" s="1"/>
  <c r="BH257" i="3" s="1"/>
  <c r="BI18" i="3"/>
  <c r="BK8" i="2"/>
  <c r="BK38" i="2"/>
  <c r="BL24" i="2"/>
  <c r="BI239" i="3"/>
  <c r="BI247" i="3" s="1"/>
  <c r="BI255" i="3" s="1"/>
  <c r="BG262" i="3"/>
  <c r="BH33" i="3"/>
  <c r="BK14" i="2"/>
  <c r="BI19" i="3"/>
  <c r="BH50" i="3"/>
  <c r="BH56" i="3"/>
  <c r="BH62" i="3"/>
  <c r="BH68" i="3"/>
  <c r="BH47" i="3"/>
  <c r="BH240" i="3"/>
  <c r="BH248" i="3" s="1"/>
  <c r="BH256" i="3" s="1"/>
  <c r="BI17" i="3"/>
  <c r="BI14" i="3"/>
  <c r="BJ281" i="3"/>
  <c r="BJ290" i="3" s="1"/>
  <c r="BK18" i="2"/>
  <c r="BG71" i="3"/>
  <c r="BH51" i="3"/>
  <c r="BH57" i="3"/>
  <c r="BH63" i="3"/>
  <c r="BH69" i="3"/>
  <c r="BH284" i="3"/>
  <c r="BH293" i="3" s="1"/>
  <c r="BH242" i="3"/>
  <c r="BH250" i="3" s="1"/>
  <c r="BH258" i="3" s="1"/>
  <c r="BL27" i="2"/>
  <c r="BK11" i="2"/>
  <c r="BI44" i="3" s="1"/>
  <c r="BG59" i="3"/>
  <c r="BK191" i="3"/>
  <c r="BK199" i="3" s="1"/>
  <c r="BJ287" i="3"/>
  <c r="BJ296" i="3" s="1"/>
  <c r="BJ245" i="3"/>
  <c r="BJ253" i="3" s="1"/>
  <c r="BJ261" i="3" s="1"/>
  <c r="BK16" i="2"/>
  <c r="BK21" i="2"/>
  <c r="BM73" i="3"/>
  <c r="BK12" i="2"/>
  <c r="BI45" i="3" s="1"/>
  <c r="BK15" i="2"/>
  <c r="BH31" i="3"/>
  <c r="BK13" i="2"/>
  <c r="BF77" i="3"/>
  <c r="BE308" i="3"/>
  <c r="BF85" i="3"/>
  <c r="BJ8" i="3"/>
  <c r="BJ24" i="3" s="1"/>
  <c r="BI113" i="3"/>
  <c r="BK309" i="2"/>
  <c r="BJ220" i="2"/>
  <c r="BN301" i="2" l="1"/>
  <c r="BM299" i="2"/>
  <c r="BK97" i="2"/>
  <c r="BK82" i="2" s="1"/>
  <c r="BJ91" i="2"/>
  <c r="BJ217" i="2"/>
  <c r="BK107" i="2"/>
  <c r="BJ87" i="2"/>
  <c r="BJ212" i="2"/>
  <c r="BK101" i="2"/>
  <c r="BJ85" i="2"/>
  <c r="BJ210" i="2"/>
  <c r="BJ89" i="2"/>
  <c r="BJ214" i="2"/>
  <c r="BJ215" i="2"/>
  <c r="BK102" i="2"/>
  <c r="BJ90" i="2"/>
  <c r="BJ84" i="2"/>
  <c r="BJ209" i="2"/>
  <c r="BK106" i="2"/>
  <c r="BK99" i="2"/>
  <c r="BK104" i="2"/>
  <c r="BK105" i="2"/>
  <c r="BJ88" i="2"/>
  <c r="BJ213" i="2"/>
  <c r="BK108" i="2"/>
  <c r="BJ93" i="2"/>
  <c r="BJ219" i="2"/>
  <c r="BJ86" i="2"/>
  <c r="BJ211" i="2"/>
  <c r="BK109" i="2"/>
  <c r="BK100" i="2"/>
  <c r="BJ92" i="2"/>
  <c r="BJ218" i="2"/>
  <c r="BK103" i="2"/>
  <c r="BL110" i="2"/>
  <c r="BL94" i="2" s="1"/>
  <c r="BJ111" i="2"/>
  <c r="BK98" i="2"/>
  <c r="BK83" i="2" s="1"/>
  <c r="BJ208" i="2"/>
  <c r="BL372" i="2"/>
  <c r="BK385" i="2"/>
  <c r="BL381" i="2"/>
  <c r="BK386" i="2"/>
  <c r="BH200" i="3"/>
  <c r="BH220" i="3"/>
  <c r="BL319" i="2"/>
  <c r="BI206" i="3"/>
  <c r="BI214" i="3" s="1"/>
  <c r="BI186" i="3"/>
  <c r="BI194" i="3" s="1"/>
  <c r="BL320" i="2"/>
  <c r="BI207" i="3"/>
  <c r="BI215" i="3" s="1"/>
  <c r="BI187" i="3"/>
  <c r="BI195" i="3" s="1"/>
  <c r="BL321" i="2"/>
  <c r="BI208" i="3"/>
  <c r="BI216" i="3" s="1"/>
  <c r="BI188" i="3"/>
  <c r="BI196" i="3" s="1"/>
  <c r="BH201" i="3"/>
  <c r="BH222" i="3"/>
  <c r="BD184" i="12"/>
  <c r="BD179" i="12" s="1"/>
  <c r="BJ86" i="15"/>
  <c r="BJ171" i="15"/>
  <c r="BJ161" i="15"/>
  <c r="BJ152" i="15"/>
  <c r="BJ143" i="15"/>
  <c r="BJ134" i="15"/>
  <c r="BJ113" i="15"/>
  <c r="BJ118" i="15" s="1"/>
  <c r="BF124" i="12"/>
  <c r="BF128" i="12" s="1"/>
  <c r="BJ128" i="15"/>
  <c r="BK172" i="15"/>
  <c r="BG170" i="12" s="1"/>
  <c r="BK162" i="15"/>
  <c r="BG160" i="12" s="1"/>
  <c r="BK153" i="15"/>
  <c r="BG152" i="12" s="1"/>
  <c r="BK144" i="15"/>
  <c r="BG143" i="12" s="1"/>
  <c r="BK124" i="15"/>
  <c r="BK114" i="15"/>
  <c r="BG115" i="12" s="1"/>
  <c r="BG119" i="12" s="1"/>
  <c r="BK75" i="15"/>
  <c r="BE133" i="12"/>
  <c r="BE136" i="12" s="1"/>
  <c r="BI137" i="15"/>
  <c r="BE142" i="12"/>
  <c r="BE145" i="12" s="1"/>
  <c r="BI146" i="15"/>
  <c r="BE151" i="12"/>
  <c r="BE155" i="12" s="1"/>
  <c r="BI156" i="15"/>
  <c r="BE159" i="12"/>
  <c r="BE163" i="12" s="1"/>
  <c r="BI165" i="15"/>
  <c r="BE169" i="12"/>
  <c r="BE172" i="12" s="1"/>
  <c r="BI174" i="15"/>
  <c r="BL47" i="2"/>
  <c r="BL50" i="2"/>
  <c r="BL53" i="2"/>
  <c r="BL52" i="2"/>
  <c r="BL48" i="2"/>
  <c r="BL54" i="2"/>
  <c r="BL61" i="2"/>
  <c r="BK45" i="2"/>
  <c r="BL44" i="2"/>
  <c r="BL43" i="2"/>
  <c r="BL51" i="2"/>
  <c r="BK42" i="2"/>
  <c r="BL58" i="2"/>
  <c r="BK72" i="2"/>
  <c r="BL46" i="2"/>
  <c r="BL49" i="2"/>
  <c r="BM339" i="2"/>
  <c r="BM340" i="2"/>
  <c r="BM341" i="2"/>
  <c r="BH71" i="3"/>
  <c r="BI36" i="3"/>
  <c r="BI26" i="3"/>
  <c r="BI33" i="3"/>
  <c r="BI27" i="3"/>
  <c r="BI37" i="3"/>
  <c r="BI34" i="3"/>
  <c r="BH39" i="3"/>
  <c r="BL12" i="2"/>
  <c r="BJ45" i="3" s="1"/>
  <c r="BI51" i="3"/>
  <c r="BI57" i="3"/>
  <c r="BI63" i="3"/>
  <c r="BI69" i="3"/>
  <c r="BI284" i="3"/>
  <c r="BI293" i="3" s="1"/>
  <c r="BI242" i="3"/>
  <c r="BI250" i="3" s="1"/>
  <c r="BI258" i="3" s="1"/>
  <c r="BL18" i="2"/>
  <c r="BI240" i="3"/>
  <c r="BI248" i="3" s="1"/>
  <c r="BI256" i="3" s="1"/>
  <c r="BJ22" i="3"/>
  <c r="BJ13" i="3"/>
  <c r="BJ16" i="3"/>
  <c r="BL191" i="3"/>
  <c r="BL199" i="3" s="1"/>
  <c r="BK287" i="3"/>
  <c r="BK296" i="3" s="1"/>
  <c r="BK245" i="3"/>
  <c r="BK253" i="3" s="1"/>
  <c r="BK261" i="3" s="1"/>
  <c r="BJ18" i="3"/>
  <c r="BI30" i="3"/>
  <c r="BH65" i="3"/>
  <c r="BL189" i="3"/>
  <c r="BL197" i="3" s="1"/>
  <c r="BK285" i="3"/>
  <c r="BK294" i="3" s="1"/>
  <c r="BK243" i="3"/>
  <c r="BK251" i="3" s="1"/>
  <c r="BK259" i="3" s="1"/>
  <c r="BJ10" i="3"/>
  <c r="BL20" i="2"/>
  <c r="BI25" i="3"/>
  <c r="BK281" i="3"/>
  <c r="BK290" i="3" s="1"/>
  <c r="BL13" i="2"/>
  <c r="BI50" i="3"/>
  <c r="BI56" i="3"/>
  <c r="BI62" i="3"/>
  <c r="BI68" i="3"/>
  <c r="BH75" i="3"/>
  <c r="BJ14" i="3"/>
  <c r="BH59" i="3"/>
  <c r="BH298" i="3"/>
  <c r="BI47" i="3"/>
  <c r="BI58" i="3"/>
  <c r="BI64" i="3"/>
  <c r="BI52" i="3"/>
  <c r="BI70" i="3"/>
  <c r="BJ9" i="3"/>
  <c r="BH76" i="3"/>
  <c r="BL10" i="2"/>
  <c r="BL14" i="2"/>
  <c r="BL21" i="2"/>
  <c r="BM27" i="2"/>
  <c r="BL11" i="2"/>
  <c r="BJ44" i="3" s="1"/>
  <c r="BH74" i="3"/>
  <c r="BH53" i="3"/>
  <c r="BJ239" i="3"/>
  <c r="BJ247" i="3" s="1"/>
  <c r="BJ255" i="3" s="1"/>
  <c r="BI283" i="3"/>
  <c r="BI292" i="3" s="1"/>
  <c r="BI241" i="3"/>
  <c r="BI249" i="3" s="1"/>
  <c r="BI257" i="3" s="1"/>
  <c r="BJ20" i="3"/>
  <c r="BL9" i="2"/>
  <c r="BL17" i="2"/>
  <c r="BJ46" i="3" s="1"/>
  <c r="BJ17" i="3"/>
  <c r="BI35" i="3"/>
  <c r="BL8" i="2"/>
  <c r="BM24" i="2"/>
  <c r="BL38" i="2"/>
  <c r="BI28" i="3"/>
  <c r="BL190" i="3"/>
  <c r="BL198" i="3" s="1"/>
  <c r="BK244" i="3"/>
  <c r="BK252" i="3" s="1"/>
  <c r="BK260" i="3" s="1"/>
  <c r="BI31" i="3"/>
  <c r="BJ11" i="3"/>
  <c r="BJ21" i="3"/>
  <c r="BL15" i="2"/>
  <c r="BL16" i="2"/>
  <c r="BH262" i="3"/>
  <c r="BJ19" i="3"/>
  <c r="BI38" i="3"/>
  <c r="BL19" i="2"/>
  <c r="BI29" i="3"/>
  <c r="BJ12" i="3"/>
  <c r="BI32" i="3"/>
  <c r="BJ15" i="3"/>
  <c r="BG85" i="3"/>
  <c r="BF308" i="3"/>
  <c r="BG77" i="3"/>
  <c r="BJ113" i="3"/>
  <c r="BK8" i="3"/>
  <c r="BK24" i="3" s="1"/>
  <c r="BL309" i="2"/>
  <c r="BK220" i="2"/>
  <c r="BO301" i="2" l="1"/>
  <c r="BO299" i="2" s="1"/>
  <c r="BN299" i="2"/>
  <c r="BL97" i="2"/>
  <c r="BL82" i="2" s="1"/>
  <c r="BK208" i="2"/>
  <c r="BK111" i="2"/>
  <c r="BK85" i="2"/>
  <c r="BK210" i="2"/>
  <c r="BK87" i="2"/>
  <c r="BK212" i="2"/>
  <c r="BL100" i="2"/>
  <c r="BL101" i="2"/>
  <c r="BK93" i="2"/>
  <c r="BK219" i="2"/>
  <c r="BM110" i="2"/>
  <c r="BM94" i="2" s="1"/>
  <c r="BL106" i="2"/>
  <c r="BK88" i="2"/>
  <c r="BK213" i="2"/>
  <c r="BK215" i="2"/>
  <c r="BK91" i="2"/>
  <c r="BK217" i="2"/>
  <c r="BK84" i="2"/>
  <c r="BK209" i="2"/>
  <c r="BL99" i="2"/>
  <c r="BL103" i="2"/>
  <c r="BL105" i="2"/>
  <c r="BL107" i="2"/>
  <c r="BK89" i="2"/>
  <c r="BK214" i="2"/>
  <c r="BK92" i="2"/>
  <c r="BK218" i="2"/>
  <c r="BK86" i="2"/>
  <c r="BK211" i="2"/>
  <c r="BL108" i="2"/>
  <c r="BL102" i="2"/>
  <c r="BK90" i="2"/>
  <c r="BL109" i="2"/>
  <c r="BL104" i="2"/>
  <c r="BL98" i="2"/>
  <c r="BL83" i="2" s="1"/>
  <c r="BM372" i="2"/>
  <c r="BL385" i="2"/>
  <c r="BM381" i="2"/>
  <c r="BL386" i="2"/>
  <c r="BI200" i="3"/>
  <c r="BM321" i="2"/>
  <c r="BJ208" i="3"/>
  <c r="BJ216" i="3" s="1"/>
  <c r="BJ188" i="3"/>
  <c r="BJ196" i="3" s="1"/>
  <c r="BM320" i="2"/>
  <c r="BJ207" i="3"/>
  <c r="BJ215" i="3" s="1"/>
  <c r="BJ187" i="3"/>
  <c r="BJ195" i="3" s="1"/>
  <c r="BI201" i="3"/>
  <c r="BI222" i="3"/>
  <c r="BI220" i="3"/>
  <c r="BM319" i="2"/>
  <c r="BJ206" i="3"/>
  <c r="BJ214" i="3" s="1"/>
  <c r="BJ186" i="3"/>
  <c r="BJ194" i="3" s="1"/>
  <c r="BE184" i="12"/>
  <c r="BE179" i="12" s="1"/>
  <c r="BK86" i="15"/>
  <c r="BK171" i="15"/>
  <c r="BK161" i="15"/>
  <c r="BK152" i="15"/>
  <c r="BK143" i="15"/>
  <c r="BK134" i="15"/>
  <c r="BK113" i="15"/>
  <c r="BK118" i="15" s="1"/>
  <c r="BG124" i="12"/>
  <c r="BG128" i="12" s="1"/>
  <c r="BK128" i="15"/>
  <c r="BL172" i="15"/>
  <c r="BH170" i="12" s="1"/>
  <c r="BL162" i="15"/>
  <c r="BH160" i="12" s="1"/>
  <c r="BL153" i="15"/>
  <c r="BH152" i="12" s="1"/>
  <c r="BL144" i="15"/>
  <c r="BH143" i="12" s="1"/>
  <c r="BL124" i="15"/>
  <c r="BL114" i="15"/>
  <c r="BH115" i="12" s="1"/>
  <c r="BH119" i="12" s="1"/>
  <c r="BL75" i="15"/>
  <c r="BF133" i="12"/>
  <c r="BF136" i="12" s="1"/>
  <c r="BJ137" i="15"/>
  <c r="BF142" i="12"/>
  <c r="BF145" i="12" s="1"/>
  <c r="BJ146" i="15"/>
  <c r="BF151" i="12"/>
  <c r="BF155" i="12" s="1"/>
  <c r="BJ156" i="15"/>
  <c r="BF159" i="12"/>
  <c r="BF163" i="12" s="1"/>
  <c r="BJ165" i="15"/>
  <c r="BF169" i="12"/>
  <c r="BF172" i="12" s="1"/>
  <c r="BJ174" i="15"/>
  <c r="BM44" i="2"/>
  <c r="BM52" i="2"/>
  <c r="BL42" i="2"/>
  <c r="BM58" i="2"/>
  <c r="BL72" i="2"/>
  <c r="BM49" i="2"/>
  <c r="BM51" i="2"/>
  <c r="BM54" i="2"/>
  <c r="BM50" i="2"/>
  <c r="BM53" i="2"/>
  <c r="BM61" i="2"/>
  <c r="BL45" i="2"/>
  <c r="BM46" i="2"/>
  <c r="BM43" i="2"/>
  <c r="BM48" i="2"/>
  <c r="BM47" i="2"/>
  <c r="BJ28" i="3"/>
  <c r="BN339" i="2"/>
  <c r="BN340" i="2"/>
  <c r="BN341" i="2"/>
  <c r="BJ29" i="3"/>
  <c r="BJ35" i="3"/>
  <c r="BJ30" i="3"/>
  <c r="BJ31" i="3"/>
  <c r="BJ36" i="3"/>
  <c r="BJ38" i="3"/>
  <c r="BJ37" i="3"/>
  <c r="BI74" i="3"/>
  <c r="BJ26" i="3"/>
  <c r="BJ27" i="3"/>
  <c r="BI59" i="3"/>
  <c r="BI298" i="3"/>
  <c r="BI76" i="3"/>
  <c r="BK19" i="3"/>
  <c r="BM10" i="2"/>
  <c r="BM20" i="2"/>
  <c r="BJ34" i="3"/>
  <c r="BK13" i="3"/>
  <c r="BK11" i="3"/>
  <c r="BK18" i="3"/>
  <c r="BK12" i="3"/>
  <c r="BJ33" i="3"/>
  <c r="BN27" i="2"/>
  <c r="BM11" i="2"/>
  <c r="BK44" i="3" s="1"/>
  <c r="BJ25" i="3"/>
  <c r="BK10" i="3"/>
  <c r="BK22" i="3"/>
  <c r="BK9" i="3"/>
  <c r="BM13" i="2"/>
  <c r="BI262" i="3"/>
  <c r="BK20" i="3"/>
  <c r="BL281" i="3"/>
  <c r="BL290" i="3" s="1"/>
  <c r="BL244" i="3"/>
  <c r="BL252" i="3" s="1"/>
  <c r="BL260" i="3" s="1"/>
  <c r="BJ58" i="3"/>
  <c r="BJ64" i="3"/>
  <c r="BJ52" i="3"/>
  <c r="BJ70" i="3"/>
  <c r="BJ283" i="3"/>
  <c r="BJ292" i="3" s="1"/>
  <c r="BJ241" i="3"/>
  <c r="BJ249" i="3" s="1"/>
  <c r="BJ257" i="3" s="1"/>
  <c r="BM21" i="2"/>
  <c r="BK14" i="3"/>
  <c r="BM191" i="3"/>
  <c r="BM199" i="3" s="1"/>
  <c r="BL287" i="3"/>
  <c r="BL296" i="3" s="1"/>
  <c r="BL245" i="3"/>
  <c r="BL253" i="3" s="1"/>
  <c r="BL261" i="3" s="1"/>
  <c r="BJ240" i="3"/>
  <c r="BJ248" i="3" s="1"/>
  <c r="BJ256" i="3" s="1"/>
  <c r="BJ50" i="3"/>
  <c r="BJ56" i="3"/>
  <c r="BJ62" i="3"/>
  <c r="BJ68" i="3"/>
  <c r="BM15" i="2"/>
  <c r="BM17" i="2"/>
  <c r="BK46" i="3" s="1"/>
  <c r="BM189" i="3"/>
  <c r="BM197" i="3" s="1"/>
  <c r="BL285" i="3"/>
  <c r="BL294" i="3" s="1"/>
  <c r="BL243" i="3"/>
  <c r="BL251" i="3" s="1"/>
  <c r="BL259" i="3" s="1"/>
  <c r="BJ32" i="3"/>
  <c r="BI53" i="3"/>
  <c r="BI75" i="3"/>
  <c r="BJ284" i="3"/>
  <c r="BJ293" i="3" s="1"/>
  <c r="BJ242" i="3"/>
  <c r="BJ250" i="3" s="1"/>
  <c r="BJ258" i="3" s="1"/>
  <c r="BK17" i="3"/>
  <c r="BM19" i="2"/>
  <c r="BK239" i="3"/>
  <c r="BK247" i="3" s="1"/>
  <c r="BK255" i="3" s="1"/>
  <c r="BM14" i="2"/>
  <c r="BI71" i="3"/>
  <c r="BI39" i="3"/>
  <c r="BK16" i="3"/>
  <c r="BM18" i="2"/>
  <c r="BJ47" i="3"/>
  <c r="BJ57" i="3"/>
  <c r="BJ63" i="3"/>
  <c r="BJ51" i="3"/>
  <c r="BJ69" i="3"/>
  <c r="BM16" i="2"/>
  <c r="BK15" i="3"/>
  <c r="BK21" i="3"/>
  <c r="BM8" i="2"/>
  <c r="BN24" i="2"/>
  <c r="BM38" i="2"/>
  <c r="BM9" i="2"/>
  <c r="BI65" i="3"/>
  <c r="BM12" i="2"/>
  <c r="BK45" i="3" s="1"/>
  <c r="BH77" i="3"/>
  <c r="BG308" i="3"/>
  <c r="BH85" i="3"/>
  <c r="BK113" i="3"/>
  <c r="BL8" i="3"/>
  <c r="BL24" i="3" s="1"/>
  <c r="BM309" i="2"/>
  <c r="BL220" i="2"/>
  <c r="BM97" i="2" l="1"/>
  <c r="BM82" i="2" s="1"/>
  <c r="BL111" i="2"/>
  <c r="BL208" i="2"/>
  <c r="BL87" i="2"/>
  <c r="BL212" i="2"/>
  <c r="BL86" i="2"/>
  <c r="BL211" i="2"/>
  <c r="BL92" i="2"/>
  <c r="BL218" i="2"/>
  <c r="BL85" i="2"/>
  <c r="BL210" i="2"/>
  <c r="BM107" i="2"/>
  <c r="BM99" i="2"/>
  <c r="BL89" i="2"/>
  <c r="BL214" i="2"/>
  <c r="BL90" i="2"/>
  <c r="BM104" i="2"/>
  <c r="BM100" i="2"/>
  <c r="BL93" i="2"/>
  <c r="BL219" i="2"/>
  <c r="BM109" i="2"/>
  <c r="BM105" i="2"/>
  <c r="BO110" i="2"/>
  <c r="BO94" i="2" s="1"/>
  <c r="BN110" i="2"/>
  <c r="BN94" i="2" s="1"/>
  <c r="BM102" i="2"/>
  <c r="BL91" i="2"/>
  <c r="BL217" i="2"/>
  <c r="BM106" i="2"/>
  <c r="BL88" i="2"/>
  <c r="BL213" i="2"/>
  <c r="BL84" i="2"/>
  <c r="BL209" i="2"/>
  <c r="BM101" i="2"/>
  <c r="BM108" i="2"/>
  <c r="BL215" i="2"/>
  <c r="BM103" i="2"/>
  <c r="BM98" i="2"/>
  <c r="BM83" i="2" s="1"/>
  <c r="BN372" i="2"/>
  <c r="BM385" i="2"/>
  <c r="BN381" i="2"/>
  <c r="BM386" i="2"/>
  <c r="BJ200" i="3"/>
  <c r="BJ222" i="3"/>
  <c r="BJ201" i="3"/>
  <c r="BN320" i="2"/>
  <c r="BK207" i="3"/>
  <c r="BK215" i="3" s="1"/>
  <c r="BK187" i="3"/>
  <c r="BK195" i="3" s="1"/>
  <c r="BJ220" i="3"/>
  <c r="BN319" i="2"/>
  <c r="BK206" i="3"/>
  <c r="BK214" i="3" s="1"/>
  <c r="BK186" i="3"/>
  <c r="BK194" i="3" s="1"/>
  <c r="BN321" i="2"/>
  <c r="BK208" i="3"/>
  <c r="BK216" i="3" s="1"/>
  <c r="BK188" i="3"/>
  <c r="BK196" i="3" s="1"/>
  <c r="BF184" i="12"/>
  <c r="BF179" i="12" s="1"/>
  <c r="BL86" i="15"/>
  <c r="BL171" i="15"/>
  <c r="BL161" i="15"/>
  <c r="BL152" i="15"/>
  <c r="BL143" i="15"/>
  <c r="BL134" i="15"/>
  <c r="BL113" i="15"/>
  <c r="BL118" i="15" s="1"/>
  <c r="BH124" i="12"/>
  <c r="BH128" i="12" s="1"/>
  <c r="BL128" i="15"/>
  <c r="BM172" i="15"/>
  <c r="BI170" i="12" s="1"/>
  <c r="BM162" i="15"/>
  <c r="BI160" i="12" s="1"/>
  <c r="BM153" i="15"/>
  <c r="BI152" i="12" s="1"/>
  <c r="BM144" i="15"/>
  <c r="BI143" i="12" s="1"/>
  <c r="BM124" i="15"/>
  <c r="BM114" i="15"/>
  <c r="BI115" i="12" s="1"/>
  <c r="BI119" i="12" s="1"/>
  <c r="BM75" i="15"/>
  <c r="BG133" i="12"/>
  <c r="BG136" i="12" s="1"/>
  <c r="BK137" i="15"/>
  <c r="BG142" i="12"/>
  <c r="BG145" i="12" s="1"/>
  <c r="BK146" i="15"/>
  <c r="BG151" i="12"/>
  <c r="BG155" i="12" s="1"/>
  <c r="BK156" i="15"/>
  <c r="BG159" i="12"/>
  <c r="BG163" i="12" s="1"/>
  <c r="BK165" i="15"/>
  <c r="BG169" i="12"/>
  <c r="BG172" i="12" s="1"/>
  <c r="BK174" i="15"/>
  <c r="BO49" i="2"/>
  <c r="BN49" i="2"/>
  <c r="BO43" i="2"/>
  <c r="BN43" i="2"/>
  <c r="BO50" i="2"/>
  <c r="BN50" i="2"/>
  <c r="BM42" i="2"/>
  <c r="BN58" i="2"/>
  <c r="BM72" i="2"/>
  <c r="BO46" i="2"/>
  <c r="BN46" i="2"/>
  <c r="BO54" i="2"/>
  <c r="BN54" i="2"/>
  <c r="BO52" i="2"/>
  <c r="BN52" i="2"/>
  <c r="BO48" i="2"/>
  <c r="BN48" i="2"/>
  <c r="BO47" i="2"/>
  <c r="BN47" i="2"/>
  <c r="BN61" i="2"/>
  <c r="BM45" i="2"/>
  <c r="BO51" i="2"/>
  <c r="BN51" i="2"/>
  <c r="BO53" i="2"/>
  <c r="BN53" i="2"/>
  <c r="BO44" i="2"/>
  <c r="BN44" i="2"/>
  <c r="BO339" i="2"/>
  <c r="BO340" i="2"/>
  <c r="BO341" i="2"/>
  <c r="BK37" i="3"/>
  <c r="BK27" i="3"/>
  <c r="BJ75" i="3"/>
  <c r="BK30" i="3"/>
  <c r="BJ76" i="3"/>
  <c r="BJ298" i="3"/>
  <c r="BM244" i="3"/>
  <c r="BM252" i="3" s="1"/>
  <c r="BM260" i="3" s="1"/>
  <c r="BM190" i="3"/>
  <c r="BK38" i="3"/>
  <c r="BK28" i="3"/>
  <c r="BK32" i="3"/>
  <c r="BO9" i="2"/>
  <c r="BN9" i="2"/>
  <c r="BO18" i="2"/>
  <c r="BN18" i="2"/>
  <c r="BL239" i="3"/>
  <c r="BL247" i="3" s="1"/>
  <c r="BL255" i="3" s="1"/>
  <c r="BM9" i="3"/>
  <c r="BL9" i="3"/>
  <c r="BM13" i="3"/>
  <c r="BL13" i="3"/>
  <c r="BO16" i="2"/>
  <c r="BN16" i="2"/>
  <c r="BO15" i="2"/>
  <c r="BN15" i="2"/>
  <c r="BK283" i="3"/>
  <c r="BK292" i="3" s="1"/>
  <c r="BK241" i="3"/>
  <c r="BK249" i="3" s="1"/>
  <c r="BK257" i="3" s="1"/>
  <c r="BN8" i="2"/>
  <c r="BO24" i="2"/>
  <c r="BN38" i="2"/>
  <c r="BM16" i="3"/>
  <c r="BL16" i="3"/>
  <c r="BO19" i="2"/>
  <c r="BN19" i="2"/>
  <c r="BJ71" i="3"/>
  <c r="BM287" i="3"/>
  <c r="BM296" i="3" s="1"/>
  <c r="BM245" i="3"/>
  <c r="BM253" i="3" s="1"/>
  <c r="BM261" i="3" s="1"/>
  <c r="BK36" i="3"/>
  <c r="BM22" i="3"/>
  <c r="BL22" i="3"/>
  <c r="BM12" i="3"/>
  <c r="BL12" i="3"/>
  <c r="BK33" i="3"/>
  <c r="BJ65" i="3"/>
  <c r="BM20" i="3"/>
  <c r="BL20" i="3"/>
  <c r="BK26" i="3"/>
  <c r="BK34" i="3"/>
  <c r="BO20" i="2"/>
  <c r="BN20" i="2"/>
  <c r="BK69" i="3"/>
  <c r="BK57" i="3"/>
  <c r="BK63" i="3"/>
  <c r="BK51" i="3"/>
  <c r="BM17" i="3"/>
  <c r="BL17" i="3"/>
  <c r="BJ59" i="3"/>
  <c r="BM14" i="3"/>
  <c r="BL14" i="3"/>
  <c r="BM10" i="3"/>
  <c r="BL10" i="3"/>
  <c r="BM18" i="3"/>
  <c r="BL18" i="3"/>
  <c r="BO12" i="2"/>
  <c r="BM45" i="3" s="1"/>
  <c r="BN12" i="2"/>
  <c r="BL45" i="3" s="1"/>
  <c r="BM21" i="3"/>
  <c r="BL21" i="3"/>
  <c r="BM285" i="3"/>
  <c r="BM294" i="3" s="1"/>
  <c r="BM243" i="3"/>
  <c r="BM251" i="3" s="1"/>
  <c r="BM259" i="3" s="1"/>
  <c r="BJ74" i="3"/>
  <c r="BJ53" i="3"/>
  <c r="BJ39" i="3"/>
  <c r="BO10" i="2"/>
  <c r="BN10" i="2"/>
  <c r="BK31" i="3"/>
  <c r="BO14" i="2"/>
  <c r="BN14" i="2"/>
  <c r="BK52" i="3"/>
  <c r="BK58" i="3"/>
  <c r="BK64" i="3"/>
  <c r="BK70" i="3"/>
  <c r="BJ262" i="3"/>
  <c r="BO21" i="2"/>
  <c r="BN21" i="2"/>
  <c r="BO13" i="2"/>
  <c r="BN13" i="2"/>
  <c r="BK47" i="3"/>
  <c r="BK50" i="3"/>
  <c r="BK56" i="3"/>
  <c r="BK62" i="3"/>
  <c r="BK68" i="3"/>
  <c r="BM11" i="3"/>
  <c r="BL11" i="3"/>
  <c r="BK35" i="3"/>
  <c r="BM281" i="3"/>
  <c r="BM290" i="3" s="1"/>
  <c r="BM15" i="3"/>
  <c r="BL15" i="3"/>
  <c r="BK284" i="3"/>
  <c r="BK293" i="3" s="1"/>
  <c r="BK242" i="3"/>
  <c r="BK250" i="3" s="1"/>
  <c r="BK258" i="3" s="1"/>
  <c r="BO17" i="2"/>
  <c r="BM46" i="3" s="1"/>
  <c r="BN17" i="2"/>
  <c r="BL46" i="3" s="1"/>
  <c r="BK240" i="3"/>
  <c r="BK248" i="3" s="1"/>
  <c r="BK256" i="3" s="1"/>
  <c r="BK25" i="3"/>
  <c r="BO27" i="2"/>
  <c r="BO11" i="2" s="1"/>
  <c r="BM44" i="3" s="1"/>
  <c r="BN11" i="2"/>
  <c r="BL44" i="3" s="1"/>
  <c r="BK29" i="3"/>
  <c r="BM19" i="3"/>
  <c r="BL19" i="3"/>
  <c r="BI85" i="3"/>
  <c r="BH308" i="3"/>
  <c r="BI77" i="3"/>
  <c r="BL113" i="3"/>
  <c r="BM8" i="3"/>
  <c r="BM24" i="3" s="1"/>
  <c r="BN309" i="2"/>
  <c r="BM220" i="2"/>
  <c r="BN97" i="2" l="1"/>
  <c r="BN82" i="2" s="1"/>
  <c r="BM208" i="2"/>
  <c r="BM111" i="2"/>
  <c r="BM88" i="2"/>
  <c r="BM213" i="2"/>
  <c r="BO102" i="2"/>
  <c r="BO87" i="2" s="1"/>
  <c r="BN102" i="2"/>
  <c r="BM85" i="2"/>
  <c r="BM210" i="2"/>
  <c r="BM84" i="2"/>
  <c r="BM209" i="2"/>
  <c r="BM87" i="2"/>
  <c r="BM212" i="2"/>
  <c r="BN100" i="2"/>
  <c r="BO99" i="2"/>
  <c r="BO84" i="2" s="1"/>
  <c r="BN99" i="2"/>
  <c r="BO101" i="2"/>
  <c r="BO86" i="2" s="1"/>
  <c r="BN101" i="2"/>
  <c r="BO103" i="2"/>
  <c r="BO88" i="2" s="1"/>
  <c r="BN103" i="2"/>
  <c r="BM92" i="2"/>
  <c r="BM218" i="2"/>
  <c r="BM90" i="2"/>
  <c r="BM215" i="2"/>
  <c r="BM89" i="2"/>
  <c r="BM214" i="2"/>
  <c r="BM91" i="2"/>
  <c r="BM217" i="2"/>
  <c r="BM86" i="2"/>
  <c r="BM211" i="2"/>
  <c r="BM93" i="2"/>
  <c r="BM219" i="2"/>
  <c r="BO109" i="2"/>
  <c r="BO93" i="2" s="1"/>
  <c r="BN109" i="2"/>
  <c r="BO108" i="2"/>
  <c r="BO92" i="2" s="1"/>
  <c r="BN108" i="2"/>
  <c r="BO106" i="2"/>
  <c r="BO90" i="2" s="1"/>
  <c r="BN106" i="2"/>
  <c r="BO105" i="2"/>
  <c r="BN105" i="2"/>
  <c r="BO104" i="2"/>
  <c r="BO89" i="2" s="1"/>
  <c r="BN104" i="2"/>
  <c r="BO107" i="2"/>
  <c r="BO91" i="2" s="1"/>
  <c r="BN107" i="2"/>
  <c r="BN98" i="2"/>
  <c r="BN83" i="2" s="1"/>
  <c r="BO372" i="2"/>
  <c r="BO385" i="2" s="1"/>
  <c r="BN385" i="2"/>
  <c r="BO381" i="2"/>
  <c r="BO386" i="2" s="1"/>
  <c r="BN386" i="2"/>
  <c r="BK200" i="3"/>
  <c r="BK220" i="3"/>
  <c r="BM198" i="3"/>
  <c r="BO319" i="2"/>
  <c r="BM240" i="3" s="1"/>
  <c r="BM248" i="3" s="1"/>
  <c r="BM256" i="3" s="1"/>
  <c r="BL206" i="3"/>
  <c r="BL214" i="3" s="1"/>
  <c r="BL186" i="3"/>
  <c r="BL194" i="3" s="1"/>
  <c r="BO320" i="2"/>
  <c r="BL207" i="3"/>
  <c r="BL215" i="3" s="1"/>
  <c r="BL187" i="3"/>
  <c r="BL195" i="3" s="1"/>
  <c r="BO321" i="2"/>
  <c r="BL208" i="3"/>
  <c r="BL216" i="3" s="1"/>
  <c r="BL188" i="3"/>
  <c r="BL196" i="3" s="1"/>
  <c r="BK222" i="3"/>
  <c r="BK201" i="3"/>
  <c r="BG184" i="12"/>
  <c r="BG179" i="12" s="1"/>
  <c r="BM86" i="15"/>
  <c r="BM171" i="15"/>
  <c r="BM161" i="15"/>
  <c r="BM152" i="15"/>
  <c r="BM143" i="15"/>
  <c r="BM134" i="15"/>
  <c r="BM113" i="15"/>
  <c r="BM118" i="15" s="1"/>
  <c r="BI124" i="12"/>
  <c r="BI128" i="12" s="1"/>
  <c r="BM128" i="15"/>
  <c r="BN172" i="15"/>
  <c r="BJ170" i="12" s="1"/>
  <c r="BN162" i="15"/>
  <c r="BJ160" i="12" s="1"/>
  <c r="BN153" i="15"/>
  <c r="BJ152" i="12" s="1"/>
  <c r="BN144" i="15"/>
  <c r="BJ143" i="12" s="1"/>
  <c r="BN124" i="15"/>
  <c r="BN114" i="15"/>
  <c r="BJ115" i="12" s="1"/>
  <c r="BJ119" i="12" s="1"/>
  <c r="BN75" i="15"/>
  <c r="BH133" i="12"/>
  <c r="BH136" i="12" s="1"/>
  <c r="BL137" i="15"/>
  <c r="BH142" i="12"/>
  <c r="BH145" i="12" s="1"/>
  <c r="BL146" i="15"/>
  <c r="BH151" i="12"/>
  <c r="BH155" i="12" s="1"/>
  <c r="BL156" i="15"/>
  <c r="BH159" i="12"/>
  <c r="BH163" i="12" s="1"/>
  <c r="BL165" i="15"/>
  <c r="BH169" i="12"/>
  <c r="BH172" i="12" s="1"/>
  <c r="BL174" i="15"/>
  <c r="BN42" i="2"/>
  <c r="BO58" i="2"/>
  <c r="BN72" i="2"/>
  <c r="BO61" i="2"/>
  <c r="BO45" i="2" s="1"/>
  <c r="BN45" i="2"/>
  <c r="BL32" i="3"/>
  <c r="BL33" i="3"/>
  <c r="BL35" i="3"/>
  <c r="BL26" i="3"/>
  <c r="BK262" i="3"/>
  <c r="BM31" i="3"/>
  <c r="BM33" i="3"/>
  <c r="BM35" i="3"/>
  <c r="BM239" i="3"/>
  <c r="BM247" i="3" s="1"/>
  <c r="BM255" i="3" s="1"/>
  <c r="BM26" i="3"/>
  <c r="BM28" i="3"/>
  <c r="BL38" i="3"/>
  <c r="BM38" i="3"/>
  <c r="BK59" i="3"/>
  <c r="BM32" i="3"/>
  <c r="BK39" i="3"/>
  <c r="BL31" i="3"/>
  <c r="BK65" i="3"/>
  <c r="BM37" i="3"/>
  <c r="BL28" i="3"/>
  <c r="BL25" i="3"/>
  <c r="BM30" i="3"/>
  <c r="BK298" i="3"/>
  <c r="BL51" i="3"/>
  <c r="BL69" i="3"/>
  <c r="BL57" i="3"/>
  <c r="BL63" i="3"/>
  <c r="BL283" i="3"/>
  <c r="BL292" i="3" s="1"/>
  <c r="BL241" i="3"/>
  <c r="BL249" i="3" s="1"/>
  <c r="BL257" i="3" s="1"/>
  <c r="BL240" i="3"/>
  <c r="BL248" i="3" s="1"/>
  <c r="BL256" i="3" s="1"/>
  <c r="BK74" i="3"/>
  <c r="BK53" i="3"/>
  <c r="BM69" i="3"/>
  <c r="BM51" i="3"/>
  <c r="BM57" i="3"/>
  <c r="BM63" i="3"/>
  <c r="BL58" i="3"/>
  <c r="BL64" i="3"/>
  <c r="BL52" i="3"/>
  <c r="BL70" i="3"/>
  <c r="BL34" i="3"/>
  <c r="BM52" i="3"/>
  <c r="BM58" i="3"/>
  <c r="BM70" i="3"/>
  <c r="BM64" i="3"/>
  <c r="BK76" i="3"/>
  <c r="BM34" i="3"/>
  <c r="BK75" i="3"/>
  <c r="BL36" i="3"/>
  <c r="BL27" i="3"/>
  <c r="BM36" i="3"/>
  <c r="BO38" i="2"/>
  <c r="BO8" i="2"/>
  <c r="BM25" i="3" s="1"/>
  <c r="BL68" i="3"/>
  <c r="BL50" i="3"/>
  <c r="BL56" i="3"/>
  <c r="BL62" i="3"/>
  <c r="BL47" i="3"/>
  <c r="BM27" i="3"/>
  <c r="BL29" i="3"/>
  <c r="BM50" i="3"/>
  <c r="BM68" i="3"/>
  <c r="BM56" i="3"/>
  <c r="BM62" i="3"/>
  <c r="BM47" i="3"/>
  <c r="BL284" i="3"/>
  <c r="BL293" i="3" s="1"/>
  <c r="BL242" i="3"/>
  <c r="BL250" i="3" s="1"/>
  <c r="BL258" i="3" s="1"/>
  <c r="BK71" i="3"/>
  <c r="BL37" i="3"/>
  <c r="BL30" i="3"/>
  <c r="BM29" i="3"/>
  <c r="BJ77" i="3"/>
  <c r="BI308" i="3"/>
  <c r="BJ85" i="3"/>
  <c r="BM113" i="3"/>
  <c r="BO309" i="2"/>
  <c r="BO220" i="2"/>
  <c r="BN220" i="2"/>
  <c r="BO100" i="2" l="1"/>
  <c r="BO85" i="2" s="1"/>
  <c r="BO97" i="2"/>
  <c r="BO82" i="2" s="1"/>
  <c r="BO213" i="2"/>
  <c r="BO219" i="2"/>
  <c r="BO218" i="2"/>
  <c r="BO212" i="2"/>
  <c r="BO217" i="2"/>
  <c r="BO209" i="2"/>
  <c r="BO214" i="2"/>
  <c r="BN208" i="2"/>
  <c r="BO98" i="2"/>
  <c r="BO83" i="2" s="1"/>
  <c r="BN111" i="2"/>
  <c r="BN86" i="2"/>
  <c r="BN211" i="2"/>
  <c r="BN91" i="2"/>
  <c r="BN217" i="2"/>
  <c r="BN92" i="2"/>
  <c r="BN218" i="2"/>
  <c r="BN85" i="2"/>
  <c r="BN210" i="2"/>
  <c r="BN87" i="2"/>
  <c r="BN212" i="2"/>
  <c r="BO211" i="2"/>
  <c r="BN90" i="2"/>
  <c r="BN84" i="2"/>
  <c r="BN209" i="2"/>
  <c r="BO215" i="2"/>
  <c r="BN89" i="2"/>
  <c r="BN214" i="2"/>
  <c r="BN93" i="2"/>
  <c r="BN219" i="2"/>
  <c r="BN88" i="2"/>
  <c r="BN213" i="2"/>
  <c r="BN215" i="2"/>
  <c r="BL200" i="3"/>
  <c r="BM207" i="3"/>
  <c r="BM215" i="3" s="1"/>
  <c r="BM187" i="3"/>
  <c r="BM195" i="3" s="1"/>
  <c r="BL222" i="3"/>
  <c r="BL201" i="3"/>
  <c r="BL220" i="3"/>
  <c r="BM206" i="3"/>
  <c r="BM214" i="3" s="1"/>
  <c r="BM186" i="3"/>
  <c r="BM194" i="3" s="1"/>
  <c r="BM208" i="3"/>
  <c r="BM216" i="3" s="1"/>
  <c r="BM188" i="3"/>
  <c r="BM196" i="3" s="1"/>
  <c r="BH184" i="12"/>
  <c r="BH179" i="12" s="1"/>
  <c r="BN86" i="15"/>
  <c r="BN171" i="15"/>
  <c r="BN161" i="15"/>
  <c r="BN152" i="15"/>
  <c r="BN143" i="15"/>
  <c r="BN134" i="15"/>
  <c r="BN113" i="15"/>
  <c r="BN118" i="15" s="1"/>
  <c r="BJ124" i="12"/>
  <c r="BJ128" i="12" s="1"/>
  <c r="BN128" i="15"/>
  <c r="BO172" i="15"/>
  <c r="BK170" i="12" s="1"/>
  <c r="BO162" i="15"/>
  <c r="BK160" i="12" s="1"/>
  <c r="BO153" i="15"/>
  <c r="BK152" i="12" s="1"/>
  <c r="BO144" i="15"/>
  <c r="BK143" i="12" s="1"/>
  <c r="BO124" i="15"/>
  <c r="BO114" i="15"/>
  <c r="BK115" i="12" s="1"/>
  <c r="BK119" i="12" s="1"/>
  <c r="BO75" i="15"/>
  <c r="BI133" i="12"/>
  <c r="BI136" i="12" s="1"/>
  <c r="BM137" i="15"/>
  <c r="BI142" i="12"/>
  <c r="BI145" i="12" s="1"/>
  <c r="BM146" i="15"/>
  <c r="BI151" i="12"/>
  <c r="BI155" i="12" s="1"/>
  <c r="BM156" i="15"/>
  <c r="BI159" i="12"/>
  <c r="BI163" i="12" s="1"/>
  <c r="BM165" i="15"/>
  <c r="BI169" i="12"/>
  <c r="BI172" i="12" s="1"/>
  <c r="BM174" i="15"/>
  <c r="BO42" i="2"/>
  <c r="BO72" i="2"/>
  <c r="BM65" i="3"/>
  <c r="BL65" i="3"/>
  <c r="BM59" i="3"/>
  <c r="BM71" i="3"/>
  <c r="BM39" i="3"/>
  <c r="BM283" i="3"/>
  <c r="BM292" i="3" s="1"/>
  <c r="BM241" i="3"/>
  <c r="BM249" i="3" s="1"/>
  <c r="BM257" i="3" s="1"/>
  <c r="BL74" i="3"/>
  <c r="BL53" i="3"/>
  <c r="BL76" i="3"/>
  <c r="BL59" i="3"/>
  <c r="BL71" i="3"/>
  <c r="BL262" i="3"/>
  <c r="BL75" i="3"/>
  <c r="BM74" i="3"/>
  <c r="BM53" i="3"/>
  <c r="BM284" i="3"/>
  <c r="BM293" i="3" s="1"/>
  <c r="BM242" i="3"/>
  <c r="BM250" i="3" s="1"/>
  <c r="BM258" i="3" s="1"/>
  <c r="BL39" i="3"/>
  <c r="BM76" i="3"/>
  <c r="BM75" i="3"/>
  <c r="BL298" i="3"/>
  <c r="BK85" i="3"/>
  <c r="BJ308" i="3"/>
  <c r="BK77" i="3"/>
  <c r="BO210" i="2" l="1"/>
  <c r="BO208" i="2"/>
  <c r="BO111" i="2"/>
  <c r="BM200" i="3"/>
  <c r="BM201" i="3"/>
  <c r="BM222" i="3"/>
  <c r="BM220" i="3"/>
  <c r="BI184" i="12"/>
  <c r="BI179" i="12" s="1"/>
  <c r="BO86" i="15"/>
  <c r="BO171" i="15"/>
  <c r="BO161" i="15"/>
  <c r="BO152" i="15"/>
  <c r="BO143" i="15"/>
  <c r="BO134" i="15"/>
  <c r="BO113" i="15"/>
  <c r="BO118" i="15" s="1"/>
  <c r="BK124" i="12"/>
  <c r="BK128" i="12" s="1"/>
  <c r="BO128" i="15"/>
  <c r="BP172" i="15"/>
  <c r="BL170" i="12" s="1"/>
  <c r="BP162" i="15"/>
  <c r="BL160" i="12" s="1"/>
  <c r="BP153" i="15"/>
  <c r="BL152" i="12" s="1"/>
  <c r="BP144" i="15"/>
  <c r="BL143" i="12" s="1"/>
  <c r="BP124" i="15"/>
  <c r="BP114" i="15"/>
  <c r="BL115" i="12" s="1"/>
  <c r="BL119" i="12" s="1"/>
  <c r="BP75" i="15"/>
  <c r="BJ133" i="12"/>
  <c r="BJ136" i="12" s="1"/>
  <c r="BN137" i="15"/>
  <c r="BJ142" i="12"/>
  <c r="BJ145" i="12" s="1"/>
  <c r="BN146" i="15"/>
  <c r="BJ151" i="12"/>
  <c r="BJ155" i="12" s="1"/>
  <c r="BN156" i="15"/>
  <c r="BJ159" i="12"/>
  <c r="BJ163" i="12" s="1"/>
  <c r="BN165" i="15"/>
  <c r="BJ169" i="12"/>
  <c r="BJ172" i="12" s="1"/>
  <c r="BN174" i="15"/>
  <c r="BM262" i="3"/>
  <c r="BM298" i="3"/>
  <c r="BM77" i="3"/>
  <c r="BL77" i="3"/>
  <c r="BK308" i="3"/>
  <c r="BM85" i="3"/>
  <c r="BL85" i="3"/>
  <c r="BJ184" i="12" l="1"/>
  <c r="BJ179" i="12" s="1"/>
  <c r="BP86" i="15"/>
  <c r="BP171" i="15"/>
  <c r="BP161" i="15"/>
  <c r="BP152" i="15"/>
  <c r="BP143" i="15"/>
  <c r="BP134" i="15"/>
  <c r="BP113" i="15"/>
  <c r="BP118" i="15" s="1"/>
  <c r="BL124" i="12"/>
  <c r="BL128" i="12" s="1"/>
  <c r="BP128" i="15"/>
  <c r="BQ172" i="15"/>
  <c r="BM170" i="12" s="1"/>
  <c r="BQ162" i="15"/>
  <c r="BM160" i="12" s="1"/>
  <c r="BQ153" i="15"/>
  <c r="BM152" i="12" s="1"/>
  <c r="BQ144" i="15"/>
  <c r="BM143" i="12" s="1"/>
  <c r="BQ124" i="15"/>
  <c r="BQ114" i="15"/>
  <c r="BM115" i="12" s="1"/>
  <c r="BM119" i="12" s="1"/>
  <c r="BQ75" i="15"/>
  <c r="BK133" i="12"/>
  <c r="BK136" i="12" s="1"/>
  <c r="BO137" i="15"/>
  <c r="BK142" i="12"/>
  <c r="BK145" i="12" s="1"/>
  <c r="BO146" i="15"/>
  <c r="BK151" i="12"/>
  <c r="BK155" i="12" s="1"/>
  <c r="BO156" i="15"/>
  <c r="BK159" i="12"/>
  <c r="BK163" i="12" s="1"/>
  <c r="BO165" i="15"/>
  <c r="BK169" i="12"/>
  <c r="BK172" i="12" s="1"/>
  <c r="BO174" i="15"/>
  <c r="BM308" i="3"/>
  <c r="BL308" i="3"/>
  <c r="BK184" i="12" l="1"/>
  <c r="BK179" i="12" s="1"/>
  <c r="BQ86" i="15"/>
  <c r="BQ171" i="15"/>
  <c r="BQ161" i="15"/>
  <c r="BQ152" i="15"/>
  <c r="BQ143" i="15"/>
  <c r="BQ134" i="15"/>
  <c r="BQ113" i="15"/>
  <c r="BQ118" i="15" s="1"/>
  <c r="BM124" i="12"/>
  <c r="BM128" i="12" s="1"/>
  <c r="BQ128" i="15"/>
  <c r="BL133" i="12"/>
  <c r="BL136" i="12" s="1"/>
  <c r="BP137" i="15"/>
  <c r="BL142" i="12"/>
  <c r="BL145" i="12" s="1"/>
  <c r="BP146" i="15"/>
  <c r="BL151" i="12"/>
  <c r="BL155" i="12" s="1"/>
  <c r="BP156" i="15"/>
  <c r="BL159" i="12"/>
  <c r="BL163" i="12" s="1"/>
  <c r="BP165" i="15"/>
  <c r="BL169" i="12"/>
  <c r="BL172" i="12" s="1"/>
  <c r="BP174" i="15"/>
  <c r="Q170" i="2"/>
  <c r="R170" i="2"/>
  <c r="BL184" i="12" l="1"/>
  <c r="BL179" i="12" s="1"/>
  <c r="BM133" i="12"/>
  <c r="BM136" i="12" s="1"/>
  <c r="BQ137" i="15"/>
  <c r="BM142" i="12"/>
  <c r="BM145" i="12" s="1"/>
  <c r="BQ146" i="15"/>
  <c r="BM151" i="12"/>
  <c r="BM155" i="12" s="1"/>
  <c r="BQ156" i="15"/>
  <c r="BM159" i="12"/>
  <c r="BM163" i="12" s="1"/>
  <c r="BQ165" i="15"/>
  <c r="BM169" i="12"/>
  <c r="BM172" i="12" s="1"/>
  <c r="BQ174" i="15"/>
  <c r="R207" i="2"/>
  <c r="BM184" i="12" l="1"/>
  <c r="BM179" i="12" s="1"/>
  <c r="S170" i="2"/>
  <c r="S207" i="2"/>
  <c r="T170" i="2" l="1"/>
  <c r="V170" i="2" l="1"/>
  <c r="W155" i="2"/>
  <c r="U170" i="2"/>
  <c r="X155" i="2" l="1"/>
  <c r="W170" i="2"/>
  <c r="Y155" i="2" l="1"/>
  <c r="X170" i="2"/>
  <c r="Z155" i="2" l="1"/>
  <c r="Y170" i="2"/>
  <c r="Z170" i="2" l="1"/>
  <c r="AA155" i="2"/>
  <c r="AB155" i="2" l="1"/>
  <c r="AA170" i="2"/>
  <c r="AB170" i="2" l="1"/>
  <c r="AC155" i="2"/>
  <c r="AC170" i="2" l="1"/>
  <c r="AD155" i="2"/>
  <c r="AD170" i="2" l="1"/>
  <c r="AE155" i="2"/>
  <c r="AE170" i="2" l="1"/>
  <c r="AF155" i="2"/>
  <c r="AG155" i="2" l="1"/>
  <c r="AF170" i="2"/>
  <c r="AG170" i="2" l="1"/>
  <c r="AH155" i="2"/>
  <c r="AH170" i="2" l="1"/>
  <c r="AI155" i="2"/>
  <c r="AI170" i="2" l="1"/>
  <c r="AJ155" i="2"/>
  <c r="AK155" i="2" l="1"/>
  <c r="AJ170" i="2"/>
  <c r="AK170" i="2" l="1"/>
  <c r="AL155" i="2"/>
  <c r="AL170" i="2" l="1"/>
  <c r="AM155" i="2"/>
  <c r="AM170" i="2" l="1"/>
  <c r="AN155" i="2"/>
  <c r="AN170" i="2" l="1"/>
  <c r="AO155" i="2"/>
  <c r="AO170" i="2" l="1"/>
  <c r="AP155" i="2"/>
  <c r="AP170" i="2" l="1"/>
  <c r="AQ155" i="2"/>
  <c r="AQ170" i="2" l="1"/>
  <c r="AR155" i="2"/>
  <c r="AR170" i="2" l="1"/>
  <c r="AS155" i="2"/>
  <c r="AT155" i="2" l="1"/>
  <c r="AS170" i="2"/>
  <c r="AT170" i="2" l="1"/>
  <c r="AU155" i="2"/>
  <c r="AV155" i="2" l="1"/>
  <c r="AU170" i="2"/>
  <c r="AV170" i="2" l="1"/>
  <c r="AW155" i="2"/>
  <c r="AW170" i="2" l="1"/>
  <c r="AX155" i="2"/>
  <c r="AY155" i="2" l="1"/>
  <c r="AX170" i="2"/>
  <c r="AY170" i="2" l="1"/>
  <c r="AZ155" i="2"/>
  <c r="BA155" i="2" l="1"/>
  <c r="AZ170" i="2"/>
  <c r="BA170" i="2" l="1"/>
  <c r="BB155" i="2"/>
  <c r="BB170" i="2" l="1"/>
  <c r="BC155" i="2"/>
  <c r="BD155" i="2" l="1"/>
  <c r="BC170" i="2"/>
  <c r="BE155" i="2" l="1"/>
  <c r="BD170" i="2"/>
  <c r="BE170" i="2" l="1"/>
  <c r="BF155" i="2"/>
  <c r="BF170" i="2" l="1"/>
  <c r="BG155" i="2"/>
  <c r="BG170" i="2" l="1"/>
  <c r="BH155" i="2"/>
  <c r="BH170" i="2" l="1"/>
  <c r="BI155" i="2"/>
  <c r="BI170" i="2" l="1"/>
  <c r="BJ155" i="2"/>
  <c r="BK155" i="2" l="1"/>
  <c r="BJ170" i="2"/>
  <c r="BL155" i="2" l="1"/>
  <c r="BK170" i="2"/>
  <c r="BL170" i="2" l="1"/>
  <c r="BM155" i="2"/>
  <c r="BM170" i="2" l="1"/>
  <c r="BN155" i="2"/>
  <c r="BN170" i="2" l="1"/>
  <c r="BO155" i="2"/>
  <c r="BO170" i="2" l="1"/>
  <c r="O276" i="17" l="1"/>
  <c r="N276" i="17"/>
  <c r="P276" i="17"/>
  <c r="AG276" i="17"/>
  <c r="AF276" i="17"/>
  <c r="AD276" i="17"/>
  <c r="W276" i="17"/>
  <c r="AA276" i="17"/>
  <c r="R276" i="17"/>
  <c r="M276" i="17"/>
  <c r="AI276" i="17"/>
  <c r="U276" i="17"/>
  <c r="X276" i="17"/>
  <c r="AM276" i="17"/>
  <c r="AN276" i="17"/>
  <c r="V276" i="17"/>
  <c r="T276" i="17"/>
  <c r="AM282" i="17"/>
  <c r="Q274" i="17"/>
  <c r="AJ274" i="17"/>
  <c r="Z274" i="17"/>
  <c r="AA274" i="17"/>
  <c r="AI274" i="17"/>
  <c r="T274" i="17"/>
  <c r="AN273" i="17"/>
  <c r="AF273" i="17"/>
  <c r="AH273" i="17"/>
  <c r="AC273" i="17"/>
  <c r="AA273" i="17"/>
  <c r="T273" i="17"/>
  <c r="O273" i="17"/>
  <c r="Z273" i="17"/>
  <c r="S273" i="17"/>
  <c r="AD273" i="17"/>
  <c r="R273" i="17"/>
  <c r="AI273" i="17"/>
  <c r="X272" i="17"/>
  <c r="AM272" i="17"/>
  <c r="AI272" i="17"/>
  <c r="AB272" i="17"/>
  <c r="AF272" i="17"/>
  <c r="AK279" i="17"/>
  <c r="O279" i="17"/>
  <c r="W279" i="17"/>
  <c r="AO279" i="17"/>
  <c r="P279" i="17"/>
  <c r="S279" i="17"/>
  <c r="Z279" i="17"/>
  <c r="AM279" i="17"/>
  <c r="R279" i="17"/>
  <c r="N279" i="17"/>
  <c r="X279" i="17"/>
  <c r="AJ279" i="17"/>
  <c r="V279" i="17"/>
  <c r="AA279" i="17"/>
  <c r="AB279" i="17"/>
  <c r="AH279" i="17"/>
  <c r="AG279" i="17"/>
  <c r="AI279" i="17"/>
  <c r="AN279" i="17"/>
  <c r="T279" i="17"/>
  <c r="M278" i="17"/>
  <c r="AE270" i="17"/>
  <c r="O270" i="17"/>
  <c r="T270" i="17"/>
  <c r="P270" i="17"/>
  <c r="AA270" i="17"/>
  <c r="AJ270" i="17"/>
  <c r="AN270" i="17"/>
  <c r="Q270" i="17"/>
  <c r="AB270" i="17"/>
  <c r="N277" i="17"/>
  <c r="AG277" i="17"/>
  <c r="AC277" i="17"/>
  <c r="AA277" i="17"/>
  <c r="W277" i="17"/>
  <c r="S277" i="17"/>
  <c r="AN277" i="17"/>
  <c r="AJ277" i="17"/>
  <c r="AL277" i="17"/>
  <c r="AH277" i="17"/>
  <c r="AF277" i="17"/>
  <c r="R277" i="17"/>
  <c r="AK277" i="17"/>
  <c r="P277" i="17"/>
  <c r="AK281" i="17" l="1"/>
  <c r="AM281" i="17"/>
  <c r="AD281" i="17"/>
  <c r="W281" i="17"/>
  <c r="M281" i="17"/>
  <c r="AO281" i="17"/>
  <c r="R281" i="17"/>
  <c r="Z281" i="17"/>
  <c r="Q281" i="17"/>
  <c r="S281" i="17"/>
  <c r="N281" i="17"/>
  <c r="AC281" i="17"/>
  <c r="U281" i="17"/>
  <c r="V281" i="17"/>
  <c r="AI281" i="17"/>
  <c r="AG281" i="17"/>
  <c r="AB281" i="17"/>
  <c r="X281" i="17"/>
  <c r="AA281" i="17"/>
  <c r="AH281" i="17"/>
  <c r="AN281" i="17"/>
  <c r="O281" i="17"/>
  <c r="P281" i="17"/>
  <c r="T281" i="17"/>
  <c r="AL281" i="17"/>
  <c r="AF281" i="17"/>
  <c r="Y281" i="17"/>
  <c r="AJ281" i="17"/>
  <c r="AE281" i="17"/>
  <c r="AA275" i="17"/>
  <c r="AD275" i="17"/>
  <c r="AO275" i="17"/>
  <c r="AG275" i="17"/>
  <c r="M275" i="17"/>
  <c r="S275" i="17"/>
  <c r="AF275" i="17"/>
  <c r="Z275" i="17"/>
  <c r="Y275" i="17"/>
  <c r="AB275" i="17"/>
  <c r="AC275" i="17"/>
  <c r="AI275" i="17"/>
  <c r="AL275" i="17"/>
  <c r="T275" i="17"/>
  <c r="AK275" i="17"/>
  <c r="W275" i="17"/>
  <c r="N275" i="17"/>
  <c r="Q275" i="17"/>
  <c r="AJ275" i="17"/>
  <c r="U275" i="17"/>
  <c r="V275" i="17"/>
  <c r="AM275" i="17"/>
  <c r="AN275" i="17"/>
  <c r="AH275" i="17"/>
  <c r="AE275" i="17"/>
  <c r="P275" i="17"/>
  <c r="R275" i="17"/>
  <c r="X275" i="17"/>
  <c r="O275" i="17"/>
  <c r="P271" i="17"/>
  <c r="Q271" i="17"/>
  <c r="AE271" i="17"/>
  <c r="AB271" i="17"/>
  <c r="AH271" i="17"/>
  <c r="T271" i="17"/>
  <c r="Y271" i="17"/>
  <c r="N271" i="17"/>
  <c r="AN271" i="17"/>
  <c r="AK271" i="17"/>
  <c r="AF271" i="17"/>
  <c r="M271" i="17"/>
  <c r="W271" i="17"/>
  <c r="AA271" i="17"/>
  <c r="AL271" i="17"/>
  <c r="R271" i="17"/>
  <c r="X271" i="17"/>
  <c r="AJ271" i="17"/>
  <c r="AD271" i="17"/>
  <c r="V271" i="17"/>
  <c r="AO271" i="17"/>
  <c r="AG271" i="17"/>
  <c r="U271" i="17"/>
  <c r="AM271" i="17"/>
  <c r="S271" i="17"/>
  <c r="AI271" i="17"/>
  <c r="Z271" i="17"/>
  <c r="O271" i="17"/>
  <c r="AC271" i="17"/>
  <c r="AA280" i="17"/>
  <c r="M280" i="17"/>
  <c r="AB280" i="17"/>
  <c r="Q280" i="17"/>
  <c r="O280" i="17"/>
  <c r="AK280" i="17"/>
  <c r="AG280" i="17"/>
  <c r="Z280" i="17"/>
  <c r="U280" i="17"/>
  <c r="X280" i="17"/>
  <c r="AN280" i="17"/>
  <c r="AL280" i="17"/>
  <c r="N280" i="17"/>
  <c r="AE280" i="17"/>
  <c r="T280" i="17"/>
  <c r="AH280" i="17"/>
  <c r="S280" i="17"/>
  <c r="AC280" i="17"/>
  <c r="AM280" i="17"/>
  <c r="AD280" i="17"/>
  <c r="R280" i="17"/>
  <c r="AI280" i="17"/>
  <c r="AO280" i="17"/>
  <c r="W280" i="17"/>
  <c r="Y280" i="17"/>
  <c r="P280" i="17"/>
  <c r="AJ280" i="17"/>
  <c r="V280" i="17"/>
  <c r="AF280" i="17"/>
  <c r="AC269" i="17"/>
  <c r="U269" i="17"/>
  <c r="AB269" i="17"/>
  <c r="AG269" i="17"/>
  <c r="P269" i="17"/>
  <c r="O269" i="17"/>
  <c r="R269" i="17"/>
  <c r="W269" i="17"/>
  <c r="T269" i="17"/>
  <c r="AM269" i="17"/>
  <c r="M269" i="17"/>
  <c r="AD269" i="17"/>
  <c r="S269" i="17"/>
  <c r="AL269" i="17"/>
  <c r="AA269" i="17"/>
  <c r="AO269" i="17"/>
  <c r="AK269" i="17"/>
  <c r="AI269" i="17"/>
  <c r="AH269" i="17"/>
  <c r="AE269" i="17"/>
  <c r="N269" i="17"/>
  <c r="AJ269" i="17"/>
  <c r="Y269" i="17"/>
  <c r="Q269" i="17"/>
  <c r="AF269" i="17"/>
  <c r="X269" i="17"/>
  <c r="V269" i="17"/>
  <c r="AN269" i="17"/>
  <c r="Z269" i="17"/>
  <c r="X278" i="17"/>
  <c r="AO282" i="17"/>
  <c r="AG278" i="17"/>
  <c r="AK278" i="17"/>
  <c r="AL272" i="17"/>
  <c r="AE274" i="17"/>
  <c r="AN282" i="17"/>
  <c r="AG282" i="17"/>
  <c r="AB277" i="17"/>
  <c r="AD277" i="17"/>
  <c r="T277" i="17"/>
  <c r="AE277" i="17"/>
  <c r="AH270" i="17"/>
  <c r="U270" i="17"/>
  <c r="AI270" i="17"/>
  <c r="N270" i="17"/>
  <c r="AB278" i="17"/>
  <c r="AF278" i="17"/>
  <c r="AE278" i="17"/>
  <c r="AD279" i="17"/>
  <c r="Q279" i="17"/>
  <c r="Y279" i="17"/>
  <c r="AC272" i="17"/>
  <c r="V272" i="17"/>
  <c r="AH272" i="17"/>
  <c r="Y273" i="17"/>
  <c r="AO273" i="17"/>
  <c r="U273" i="17"/>
  <c r="M273" i="17"/>
  <c r="AF274" i="17"/>
  <c r="AB274" i="17"/>
  <c r="AH274" i="17"/>
  <c r="S274" i="17"/>
  <c r="W282" i="17"/>
  <c r="AL282" i="17"/>
  <c r="V282" i="17"/>
  <c r="Z276" i="17"/>
  <c r="AE276" i="17"/>
  <c r="AJ276" i="17"/>
  <c r="Y282" i="17"/>
  <c r="O278" i="17"/>
  <c r="AO278" i="17"/>
  <c r="R272" i="17"/>
  <c r="AE272" i="17"/>
  <c r="AL274" i="17"/>
  <c r="O274" i="17"/>
  <c r="AE282" i="17"/>
  <c r="AC282" i="17"/>
  <c r="V277" i="17"/>
  <c r="AM277" i="17"/>
  <c r="Q277" i="17"/>
  <c r="AO277" i="17"/>
  <c r="AM270" i="17"/>
  <c r="AF270" i="17"/>
  <c r="AC270" i="17"/>
  <c r="T278" i="17"/>
  <c r="AL278" i="17"/>
  <c r="AI278" i="17"/>
  <c r="Q278" i="17"/>
  <c r="AF279" i="17"/>
  <c r="U279" i="17"/>
  <c r="AC279" i="17"/>
  <c r="AK272" i="17"/>
  <c r="T272" i="17"/>
  <c r="AN272" i="17"/>
  <c r="AG272" i="17"/>
  <c r="AJ273" i="17"/>
  <c r="AK273" i="17"/>
  <c r="AM273" i="17"/>
  <c r="Q273" i="17"/>
  <c r="V274" i="17"/>
  <c r="M274" i="17"/>
  <c r="U274" i="17"/>
  <c r="Q282" i="17"/>
  <c r="U282" i="17"/>
  <c r="AB282" i="17"/>
  <c r="AI282" i="17"/>
  <c r="AL276" i="17"/>
  <c r="AK276" i="17"/>
  <c r="Y276" i="17"/>
  <c r="V278" i="17"/>
  <c r="M270" i="17"/>
  <c r="W272" i="17"/>
  <c r="U277" i="17"/>
  <c r="O277" i="17"/>
  <c r="Z270" i="17"/>
  <c r="AG270" i="17"/>
  <c r="AK270" i="17"/>
  <c r="AD278" i="17"/>
  <c r="N278" i="17"/>
  <c r="W278" i="17"/>
  <c r="AM278" i="17"/>
  <c r="AE279" i="17"/>
  <c r="M279" i="17"/>
  <c r="AL279" i="17"/>
  <c r="Z272" i="17"/>
  <c r="U272" i="17"/>
  <c r="N272" i="17"/>
  <c r="P272" i="17"/>
  <c r="N273" i="17"/>
  <c r="P273" i="17"/>
  <c r="AB273" i="17"/>
  <c r="X273" i="17"/>
  <c r="P274" i="17"/>
  <c r="AK274" i="17"/>
  <c r="R274" i="17"/>
  <c r="P282" i="17"/>
  <c r="AJ282" i="17"/>
  <c r="AH282" i="17"/>
  <c r="N282" i="17"/>
  <c r="S276" i="17"/>
  <c r="AB276" i="17"/>
  <c r="Q276" i="17"/>
  <c r="AO276" i="17"/>
  <c r="AD270" i="17"/>
  <c r="U278" i="17"/>
  <c r="AD272" i="17"/>
  <c r="AO274" i="17"/>
  <c r="AG274" i="17"/>
  <c r="O282" i="17"/>
  <c r="S282" i="17"/>
  <c r="X277" i="17"/>
  <c r="M277" i="17"/>
  <c r="Y277" i="17"/>
  <c r="V270" i="17"/>
  <c r="S270" i="17"/>
  <c r="X270" i="17"/>
  <c r="W270" i="17"/>
  <c r="P278" i="17"/>
  <c r="AH278" i="17"/>
  <c r="AN278" i="17"/>
  <c r="Y278" i="17"/>
  <c r="AJ272" i="17"/>
  <c r="M272" i="17"/>
  <c r="AO272" i="17"/>
  <c r="AG273" i="17"/>
  <c r="AL273" i="17"/>
  <c r="AE273" i="17"/>
  <c r="AM274" i="17"/>
  <c r="AC274" i="17"/>
  <c r="AN274" i="17"/>
  <c r="X274" i="17"/>
  <c r="X282" i="17"/>
  <c r="R282" i="17"/>
  <c r="AD282" i="17"/>
  <c r="AA282" i="17"/>
  <c r="R278" i="17"/>
  <c r="Z282" i="17"/>
  <c r="Y270" i="17"/>
  <c r="AA278" i="17"/>
  <c r="Z278" i="17"/>
  <c r="S272" i="17"/>
  <c r="AA272" i="17"/>
  <c r="N274" i="17"/>
  <c r="M282" i="17"/>
  <c r="Z277" i="17"/>
  <c r="AI277" i="17"/>
  <c r="R270" i="17"/>
  <c r="AL270" i="17"/>
  <c r="AO270" i="17"/>
  <c r="S278" i="17"/>
  <c r="AJ278" i="17"/>
  <c r="AC278" i="17"/>
  <c r="O272" i="17"/>
  <c r="Q272" i="17"/>
  <c r="Y272" i="17"/>
  <c r="V273" i="17"/>
  <c r="W273" i="17"/>
  <c r="W274" i="17"/>
  <c r="Y274" i="17"/>
  <c r="AD274" i="17"/>
  <c r="AF282" i="17"/>
  <c r="AK282" i="17"/>
  <c r="T282" i="17"/>
  <c r="AH276" i="17"/>
  <c r="AC276" i="17"/>
  <c r="BO216" i="2" l="1"/>
  <c r="U216" i="2" l="1"/>
  <c r="T216" i="2"/>
  <c r="V216" i="2" l="1"/>
  <c r="W216" i="2" l="1"/>
  <c r="X216" i="2" l="1"/>
  <c r="Y216" i="2" l="1"/>
  <c r="Z216" i="2" l="1"/>
  <c r="AA216" i="2" l="1"/>
  <c r="AB216" i="2" l="1"/>
  <c r="AC216" i="2" l="1"/>
  <c r="AD216" i="2" l="1"/>
  <c r="AE216" i="2" l="1"/>
  <c r="AF216" i="2" l="1"/>
  <c r="AG216" i="2" l="1"/>
  <c r="AH216" i="2" l="1"/>
  <c r="AI216" i="2" l="1"/>
  <c r="AJ216" i="2" l="1"/>
  <c r="AK216" i="2" l="1"/>
  <c r="AL216" i="2" l="1"/>
  <c r="AM216" i="2" l="1"/>
  <c r="AN216" i="2" l="1"/>
  <c r="AO216" i="2" l="1"/>
  <c r="AP216" i="2" l="1"/>
  <c r="AQ216" i="2" l="1"/>
  <c r="AR216" i="2" l="1"/>
  <c r="AS216" i="2" l="1"/>
  <c r="AT216" i="2" l="1"/>
  <c r="AU216" i="2" l="1"/>
  <c r="AV216" i="2" l="1"/>
  <c r="AW216" i="2" l="1"/>
  <c r="AX216" i="2" l="1"/>
  <c r="AY216" i="2" l="1"/>
  <c r="AZ216" i="2" l="1"/>
  <c r="BA216" i="2" l="1"/>
  <c r="BB216" i="2" l="1"/>
  <c r="BC216" i="2" l="1"/>
  <c r="BD216" i="2" l="1"/>
  <c r="BE216" i="2" l="1"/>
  <c r="BF216" i="2" l="1"/>
  <c r="BG216" i="2" l="1"/>
  <c r="BH216" i="2" l="1"/>
  <c r="BI216" i="2" l="1"/>
  <c r="BJ216" i="2" l="1"/>
  <c r="BK216" i="2" l="1"/>
  <c r="BL216" i="2" l="1"/>
  <c r="BM216" i="2" l="1"/>
  <c r="BN216" i="2" l="1"/>
  <c r="AG189" i="2"/>
  <c r="AH189" i="2" s="1"/>
  <c r="AF203" i="2"/>
  <c r="T189" i="2"/>
  <c r="T203" i="2" s="1"/>
  <c r="AF207" i="2"/>
  <c r="AH203" i="2" l="1"/>
  <c r="AI189" i="2"/>
  <c r="AH207" i="2"/>
  <c r="AG207" i="2"/>
  <c r="AG203" i="2"/>
  <c r="T207" i="2"/>
  <c r="U203" i="2" l="1"/>
  <c r="U207" i="2"/>
  <c r="AI203" i="2"/>
  <c r="AI207" i="2"/>
  <c r="AJ189" i="2"/>
  <c r="AJ207" i="2" l="1"/>
  <c r="AJ203" i="2"/>
  <c r="AK189" i="2"/>
  <c r="V203" i="2"/>
  <c r="V207" i="2"/>
  <c r="W207" i="2" l="1"/>
  <c r="W203" i="2"/>
  <c r="AL189" i="2"/>
  <c r="AK203" i="2"/>
  <c r="AK207" i="2"/>
  <c r="AL203" i="2" l="1"/>
  <c r="AL207" i="2"/>
  <c r="AM189" i="2"/>
  <c r="X207" i="2"/>
  <c r="X203" i="2"/>
  <c r="AN189" i="2" l="1"/>
  <c r="AM203" i="2"/>
  <c r="AM207" i="2"/>
  <c r="Y203" i="2"/>
  <c r="Y207" i="2"/>
  <c r="Z203" i="2" l="1"/>
  <c r="Z207" i="2"/>
  <c r="AO189" i="2"/>
  <c r="AN203" i="2"/>
  <c r="AN207" i="2"/>
  <c r="AO207" i="2" l="1"/>
  <c r="AP189" i="2"/>
  <c r="AO203" i="2"/>
  <c r="AA203" i="2"/>
  <c r="AA207" i="2"/>
  <c r="AB203" i="2" l="1"/>
  <c r="AB207" i="2"/>
  <c r="AQ189" i="2"/>
  <c r="AP203" i="2"/>
  <c r="AP207" i="2"/>
  <c r="AQ203" i="2" l="1"/>
  <c r="AQ207" i="2"/>
  <c r="AR189" i="2"/>
  <c r="AC203" i="2"/>
  <c r="AC207" i="2"/>
  <c r="AD203" i="2" l="1"/>
  <c r="AD207" i="2"/>
  <c r="AR207" i="2"/>
  <c r="AS189" i="2"/>
  <c r="AR203" i="2"/>
  <c r="AT189" i="2" l="1"/>
  <c r="AS203" i="2"/>
  <c r="AS207" i="2"/>
  <c r="AE203" i="2"/>
  <c r="AE207" i="2"/>
  <c r="AT203" i="2" l="1"/>
  <c r="AT207" i="2"/>
  <c r="AU189" i="2"/>
  <c r="AV189" i="2" l="1"/>
  <c r="AU203" i="2"/>
  <c r="AU207" i="2"/>
  <c r="AW189" i="2" l="1"/>
  <c r="AV203" i="2"/>
  <c r="AV207" i="2"/>
  <c r="AW207" i="2" l="1"/>
  <c r="AX189" i="2"/>
  <c r="AW203" i="2"/>
  <c r="AY189" i="2" l="1"/>
  <c r="AX203" i="2"/>
  <c r="AX207" i="2"/>
  <c r="AY203" i="2" l="1"/>
  <c r="AY207" i="2"/>
  <c r="AZ189" i="2"/>
  <c r="AZ207" i="2" l="1"/>
  <c r="BA189" i="2"/>
  <c r="AZ203" i="2"/>
  <c r="BB189" i="2" l="1"/>
  <c r="BA203" i="2"/>
  <c r="BA207" i="2"/>
  <c r="BB203" i="2" l="1"/>
  <c r="BB207" i="2"/>
  <c r="BC189" i="2"/>
  <c r="BD189" i="2" l="1"/>
  <c r="BC203" i="2"/>
  <c r="BC207" i="2"/>
  <c r="BE189" i="2" l="1"/>
  <c r="BD203" i="2"/>
  <c r="BD207" i="2"/>
  <c r="BE207" i="2" l="1"/>
  <c r="BF189" i="2"/>
  <c r="BE203" i="2"/>
  <c r="BG189" i="2" l="1"/>
  <c r="BF203" i="2"/>
  <c r="BF207" i="2"/>
  <c r="BG203" i="2" l="1"/>
  <c r="BG207" i="2"/>
  <c r="BH189" i="2"/>
  <c r="BH207" i="2" l="1"/>
  <c r="BI189" i="2"/>
  <c r="BH203" i="2"/>
  <c r="BJ189" i="2" l="1"/>
  <c r="BI203" i="2"/>
  <c r="BI207" i="2"/>
  <c r="BJ203" i="2" l="1"/>
  <c r="BJ207" i="2"/>
  <c r="BK189" i="2"/>
  <c r="BL189" i="2" l="1"/>
  <c r="BK203" i="2"/>
  <c r="BK207" i="2"/>
  <c r="BM189" i="2" l="1"/>
  <c r="BL203" i="2"/>
  <c r="BL207" i="2"/>
  <c r="BM207" i="2" l="1"/>
  <c r="BN189" i="2"/>
  <c r="BM203" i="2"/>
  <c r="BO189" i="2" l="1"/>
  <c r="BN203" i="2"/>
  <c r="BN207" i="2"/>
  <c r="BO203" i="2" l="1"/>
  <c r="BO20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Arial"/>
            <family val="2"/>
            <scheme val="minor"/>
          </rPr>
          <t>======
ID#AAAAkkpSMnk
tc={872D0DEB-7458-4889-A784-A7D4A6132573}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List>
  <extLst>
    <ext xmlns:r="http://schemas.openxmlformats.org/officeDocument/2006/relationships" uri="GoogleSheetsCustomDataVersion1">
      <go:sheetsCustomData xmlns:go="http://customooxmlschemas.google.com/" r:id="rId1" roundtripDataSignature="AMtx7mj6uFkp0hNMM6+taRFX+X85MCj56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tc={E8C9FCAA-990D-4926-8D2E-61C16F45AC08}</author>
  </authors>
  <commentList>
    <comment ref="A64" authorId="0" shapeId="0" xr:uid="{E8C9FCAA-990D-4926-8D2E-61C16F45AC08}">
      <text>
        <t>[Threaded comment]
Your version of Excel allows you to read this threaded comment; however, any edits to it will get removed if the file is opened in a newer version of Excel. Learn more: https://go.microsoft.com/fwlink/?linkid=870924
Comment:
    Jam aqui se realizo el cambio del driver porque salieron las nuevas tasas de deforestacion para los periodos 2018-2020 y 2020-2022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tc={A914E550-F040-4F66-9840-B93B0EE36EBB}</author>
    <author>tc={278CCD5B-1C56-4228-BBB4-1512D17B52DF}</author>
  </authors>
  <commentList>
    <comment ref="C177" authorId="0" shapeId="0" xr:uid="{A914E550-F040-4F66-9840-B93B0EE36EBB}">
      <text>
        <t>[Threaded comment]
Your version of Excel allows you to read this threaded comment; however, any edits to it will get removed if the file is opened in a newer version of Excel. Learn more: https://go.microsoft.com/fwlink/?linkid=870924
Comment:
    Luego del taller y de conversaciones con FIAS y MAATE se decide considerar únicamente las absorciones de las áreas de  bosque bajo régimen de protección legal (se mantienen constantes las áreas reportadas en 2018) y las áreas regeneradas anulamente se les considera en cero</t>
      </text>
    </comment>
    <comment ref="M177" authorId="1" shapeId="0" xr:uid="{278CCD5B-1C56-4228-BBB4-1512D17B52DF}">
      <text>
        <t>[Threaded comment]
Your version of Excel allows you to read this threaded comment; however, any edits to it will get removed if the file is opened in a newer version of Excel. Learn more: https://go.microsoft.com/fwlink/?linkid=870924
Comment:
    Se considerara que las absorciones son cero por sugerencia del MAATE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tc={29CB6550-837A-4732-A323-F6BF3A2A1F17}</author>
    <author>tc={EB04FB12-2416-4A27-B35C-E7FCC5C5ED60}</author>
  </authors>
  <commentList>
    <comment ref="B59" authorId="0" shapeId="0" xr:uid="{29CB6550-837A-4732-A323-F6BF3A2A1F17}">
      <text>
        <t>[Threaded comment]
Your version of Excel allows you to read this threaded comment; however, any edits to it will get removed if the file is opened in a newer version of Excel. Learn more: https://go.microsoft.com/fwlink/?linkid=870924
Comment:
    Se considera los costos hasta el año 7 para que las areas plantadas puedan tener mantenimiento hasta que estén establecidas.</t>
      </text>
    </comment>
    <comment ref="E88" authorId="1" shapeId="0" xr:uid="{EB04FB12-2416-4A27-B35C-E7FCC5C5ED60}">
      <text>
        <t>[Threaded comment]
Your version of Excel allows you to read this threaded comment; however, any edits to it will get removed if the file is opened in a newer version of Excel. Learn more: https://go.microsoft.com/fwlink/?linkid=870924
Comment:
    Calculé la edad promedio de las plantaciones forestales previa a su cosecha y es de 11 años. Así que durante ese periodo de tiempo se realiza el mantenimiento.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tc={26CDEB13-1E98-411A-9E09-0FF079210503}</author>
    <author>tc={A82EA6C4-F30C-42AE-887E-0EBAEE0B4678}</author>
  </authors>
  <commentList>
    <comment ref="E35" authorId="0" shapeId="0" xr:uid="{26CDEB13-1E98-411A-9E09-0FF079210503}">
      <text>
        <t>[Threaded comment]
Your version of Excel allows you to read this threaded comment; however, any edits to it will get removed if the file is opened in a newer version of Excel. Learn more: https://go.microsoft.com/fwlink/?linkid=870924
Comment:
    no existe un rango de valores alto</t>
      </text>
    </comment>
    <comment ref="B43" authorId="1" shapeId="0" xr:uid="{A82EA6C4-F30C-42AE-887E-0EBAEE0B4678}">
      <text>
        <t>[Threaded comment]
Your version of Excel allows you to read this threaded comment; however, any edits to it will get removed if the file is opened in a newer version of Excel. Learn more: https://go.microsoft.com/fwlink/?linkid=870924
Comment:
    Esto lo recomienda Miguel en el word pero no me queda claro si es para USCUSS o para otro sector puesto que a continuación habla de transporte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33000000}">
      <text>
        <r>
          <rPr>
            <sz val="11"/>
            <color theme="1"/>
            <rFont val="Arial"/>
            <family val="2"/>
            <scheme val="minor"/>
          </rPr>
          <t>======
ID#AAAAkkpSM4w
tc={78D4C4A7-9512-426D-86C3-62415D93C176}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G1" authorId="0" shapeId="0" xr:uid="{00000000-0006-0000-0100-000013000000}">
      <text>
        <r>
          <rPr>
            <sz val="11"/>
            <color theme="1"/>
            <rFont val="Arial"/>
            <family val="2"/>
            <scheme val="minor"/>
          </rPr>
          <t>======
ID#AAAAkkpSM-U
tc={872D0DEB-7458-488B-A784-A7D4A6132573}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 ref="F8" authorId="0" shapeId="0" xr:uid="{00000000-0006-0000-0100-00007A000000}">
      <text>
        <r>
          <rPr>
            <sz val="11"/>
            <color theme="1"/>
            <rFont val="Arial"/>
            <family val="2"/>
            <scheme val="minor"/>
          </rPr>
          <t>======
ID#AAAAkkEn1OE
User    (2022-11-28 17:31:21)
Incluye banano de exportación en monocultivo</t>
        </r>
      </text>
    </comment>
    <comment ref="F11" authorId="0" shapeId="0" xr:uid="{00000000-0006-0000-0100-00004C000000}">
      <text>
        <r>
          <rPr>
            <sz val="11"/>
            <color theme="1"/>
            <rFont val="Arial"/>
            <family val="2"/>
            <scheme val="minor"/>
          </rPr>
          <t>======
ID#AAAAkkpSM0Q
User    (2022-11-28 17:31:22)
Incluye caña de azucar para azúcar y para otros usos</t>
        </r>
      </text>
    </comment>
    <comment ref="F12" authorId="0" shapeId="0" xr:uid="{00000000-0006-0000-0100-00002C000000}">
      <text>
        <r>
          <rPr>
            <sz val="11"/>
            <color theme="1"/>
            <rFont val="Arial"/>
            <family val="2"/>
            <scheme val="minor"/>
          </rPr>
          <t>======
ID#AAAAkkpSM58
User    (2022-11-28 17:31:22)
Incluye: Maíz duro en choclo y seco, maíz suave en choclo y seco</t>
        </r>
      </text>
    </comment>
    <comment ref="F16" authorId="0" shapeId="0" xr:uid="{00000000-0006-0000-0100-000075000000}">
      <text>
        <r>
          <rPr>
            <sz val="11"/>
            <color theme="1"/>
            <rFont val="Arial"/>
            <family val="2"/>
            <scheme val="minor"/>
          </rPr>
          <t>======
ID#AAAAkkEn1PA
User    (2022-11-28 17:31:21)
Incluye: arveja seca y tierna, fréjol seco y tierno, haba seca y tierna, maní</t>
        </r>
      </text>
    </comment>
    <comment ref="F17" authorId="0" shapeId="0" xr:uid="{00000000-0006-0000-0100-000034000000}">
      <text>
        <r>
          <rPr>
            <sz val="11"/>
            <color theme="1"/>
            <rFont val="Arial"/>
            <family val="2"/>
            <scheme val="minor"/>
          </rPr>
          <t>======
ID#AAAAkkpSM4c
User    (2022-11-28 17:31:22)
Incluye: cebada, trigo</t>
        </r>
      </text>
    </comment>
    <comment ref="F18" authorId="0" shapeId="0" xr:uid="{00000000-0006-0000-0100-00000D000000}">
      <text>
        <r>
          <rPr>
            <sz val="11"/>
            <color theme="1"/>
            <rFont val="Arial"/>
            <family val="2"/>
            <scheme val="minor"/>
          </rPr>
          <t>======
ID#AAAAkkpSM_Q
User    (2022-11-28 17:31:22)
Incluye: papa, yuca</t>
        </r>
      </text>
    </comment>
    <comment ref="F19" authorId="0" shapeId="0" xr:uid="{00000000-0006-0000-0100-00000C000000}">
      <text>
        <r>
          <rPr>
            <sz val="11"/>
            <color theme="1"/>
            <rFont val="Arial"/>
            <family val="2"/>
            <scheme val="minor"/>
          </rPr>
          <t>======
ID#AAAAkkpSM_Y
User    (2022-11-28 17:31:22)
Incluye: aguacate,maracuyá, naranja, plátano, tomate de árbol, tomate riñón, limón, mango, orito, piña</t>
        </r>
      </text>
    </comment>
    <comment ref="F20" authorId="0" shapeId="0" xr:uid="{00000000-0006-0000-0100-000070000000}">
      <text>
        <r>
          <rPr>
            <sz val="11"/>
            <color theme="1"/>
            <rFont val="Arial"/>
            <family val="2"/>
            <scheme val="minor"/>
          </rPr>
          <t>======
ID#AAAAkkEn1QE
User    (2022-11-28 17:31:21)
Incluye: brócoli, cebolla blanca, palmito</t>
        </r>
      </text>
    </comment>
    <comment ref="F21" authorId="0" shapeId="0" xr:uid="{00000000-0006-0000-0100-000063000000}">
      <text>
        <r>
          <rPr>
            <sz val="11"/>
            <color theme="1"/>
            <rFont val="Arial"/>
            <family val="2"/>
            <scheme val="minor"/>
          </rPr>
          <t>======
ID#AAAAkkpSMm4
User    (2022-11-28 17:31:22)
Incluye: brócoli, cebolla blanca, palmito</t>
        </r>
      </text>
    </comment>
    <comment ref="F27" authorId="0" shapeId="0" xr:uid="{00000000-0006-0000-0100-00001C000000}">
      <text>
        <r>
          <rPr>
            <sz val="11"/>
            <color theme="1"/>
            <rFont val="Arial"/>
            <family val="2"/>
            <scheme val="minor"/>
          </rPr>
          <t>======
ID#AAAAkkpSM8k
User    (2022-11-28 17:31:22)
Incluye caña de azucar para azúcar y para otros usos</t>
        </r>
      </text>
    </comment>
    <comment ref="F28" authorId="0" shapeId="0" xr:uid="{00000000-0006-0000-0100-000024000000}">
      <text>
        <r>
          <rPr>
            <sz val="11"/>
            <color theme="1"/>
            <rFont val="Arial"/>
            <family val="2"/>
            <scheme val="minor"/>
          </rPr>
          <t>======
ID#AAAAkkpSM7k
User    (2022-11-28 17:31:22)
Incluye: Maíz duro en choclo y seco, maíz suave en choclo y seco</t>
        </r>
      </text>
    </comment>
    <comment ref="F32" authorId="0" shapeId="0" xr:uid="{00000000-0006-0000-0100-00003F000000}">
      <text>
        <r>
          <rPr>
            <sz val="11"/>
            <color theme="1"/>
            <rFont val="Arial"/>
            <family val="2"/>
            <scheme val="minor"/>
          </rPr>
          <t>======
ID#AAAAkkpSM2E
User    (2022-11-28 17:31:22)
Incluye: arveja seca y tierna, fréjol seco y tierno, haba seca y tierna</t>
        </r>
      </text>
    </comment>
    <comment ref="F33" authorId="0" shapeId="0" xr:uid="{00000000-0006-0000-0100-000053000000}">
      <text>
        <r>
          <rPr>
            <sz val="11"/>
            <color theme="1"/>
            <rFont val="Arial"/>
            <family val="2"/>
            <scheme val="minor"/>
          </rPr>
          <t>======
ID#AAAAkkpSMy8
User    (2022-11-28 17:31:22)
Incluye: cebada, trigo</t>
        </r>
      </text>
    </comment>
    <comment ref="F34" authorId="0" shapeId="0" xr:uid="{00000000-0006-0000-0100-000025000000}">
      <text>
        <r>
          <rPr>
            <sz val="11"/>
            <color theme="1"/>
            <rFont val="Arial"/>
            <family val="2"/>
            <scheme val="minor"/>
          </rPr>
          <t>======
ID#AAAAkkpSM7M
User    (2022-11-28 17:31:22)
Incluye: papa, yuca</t>
        </r>
      </text>
    </comment>
    <comment ref="F35" authorId="0" shapeId="0" xr:uid="{00000000-0006-0000-0100-000017000000}">
      <text>
        <r>
          <rPr>
            <sz val="11"/>
            <color theme="1"/>
            <rFont val="Arial"/>
            <family val="2"/>
            <scheme val="minor"/>
          </rPr>
          <t>======
ID#AAAAkkpSM94
User    (2022-11-28 17:31:22)
Incluye: maracuyá, naranja, plátano, tomate de árbol, tomate riñón</t>
        </r>
      </text>
    </comment>
    <comment ref="F36" authorId="0" shapeId="0" xr:uid="{00000000-0006-0000-0100-00005E000000}">
      <text>
        <r>
          <rPr>
            <sz val="11"/>
            <color theme="1"/>
            <rFont val="Arial"/>
            <family val="2"/>
            <scheme val="minor"/>
          </rPr>
          <t>======
ID#AAAAkkpSMoI
User    (2022-11-28 17:31:22)
Incluye: brócoli, cebolla, tomate riñon</t>
        </r>
      </text>
    </comment>
    <comment ref="F37" authorId="0" shapeId="0" xr:uid="{00000000-0006-0000-0100-000067000000}">
      <text>
        <r>
          <rPr>
            <sz val="11"/>
            <color theme="1"/>
            <rFont val="Arial"/>
            <family val="2"/>
            <scheme val="minor"/>
          </rPr>
          <t>======
ID#AAAAkkpSMmc
User    (2022-11-28 17:31:22)
rosa, clavel, astromellas, campánula, gysophilia, crisantemos, trachelium, lilium, lirios, limonium, girasoles, hypericum, godethia, áster, orquídeas, cartucho, otras flores transitorias y permanentes</t>
        </r>
      </text>
    </comment>
    <comment ref="F42" authorId="0" shapeId="0" xr:uid="{00000000-0006-0000-0100-00004B000000}">
      <text>
        <r>
          <rPr>
            <sz val="11"/>
            <color theme="1"/>
            <rFont val="Arial"/>
            <family val="2"/>
            <scheme val="minor"/>
          </rPr>
          <t>======
ID#AAAAkkpSM0c
User    (2022-11-28 17:31:22)
Incluye banano de exportación en monocultivo</t>
        </r>
      </text>
    </comment>
    <comment ref="F45" authorId="0" shapeId="0" xr:uid="{00000000-0006-0000-0100-00006D000000}">
      <text>
        <r>
          <rPr>
            <sz val="11"/>
            <color theme="1"/>
            <rFont val="Arial"/>
            <family val="2"/>
            <scheme val="minor"/>
          </rPr>
          <t>======
ID#AAAAkkEn1QY
User    (2022-11-28 17:31:21)
Incluye caña de azucar para azúcar y para otros usos</t>
        </r>
      </text>
    </comment>
    <comment ref="F46" authorId="0" shapeId="0" xr:uid="{00000000-0006-0000-0100-000016000000}">
      <text>
        <r>
          <rPr>
            <sz val="11"/>
            <color theme="1"/>
            <rFont val="Arial"/>
            <family val="2"/>
            <scheme val="minor"/>
          </rPr>
          <t>======
ID#AAAAkkpSM98
User    (2022-11-28 17:31:22)
Incluye: Maíz duro en choclo y seco, maíz suave en choclo y seco</t>
        </r>
      </text>
    </comment>
    <comment ref="F51" authorId="0" shapeId="0" xr:uid="{00000000-0006-0000-0100-000061000000}">
      <text>
        <r>
          <rPr>
            <sz val="11"/>
            <color theme="1"/>
            <rFont val="Arial"/>
            <family val="2"/>
            <scheme val="minor"/>
          </rPr>
          <t>======
ID#AAAAkkpSMnQ
User    (2022-11-28 17:31:22)
Incluye: arveja seca y tierna, fréjol seco y tierno, haba seca y tierna, maní</t>
        </r>
      </text>
    </comment>
    <comment ref="F52" authorId="0" shapeId="0" xr:uid="{00000000-0006-0000-0100-00000F000000}">
      <text>
        <r>
          <rPr>
            <sz val="11"/>
            <color theme="1"/>
            <rFont val="Arial"/>
            <family val="2"/>
            <scheme val="minor"/>
          </rPr>
          <t>======
ID#AAAAkkpSM-w
User    (2022-11-28 17:31:22)
Incluye: cebada, trigo</t>
        </r>
      </text>
    </comment>
    <comment ref="F53" authorId="0" shapeId="0" xr:uid="{00000000-0006-0000-0100-00000B000000}">
      <text>
        <r>
          <rPr>
            <sz val="11"/>
            <color theme="1"/>
            <rFont val="Arial"/>
            <family val="2"/>
            <scheme val="minor"/>
          </rPr>
          <t>======
ID#AAAAkkpSM_o
User    (2022-11-28 17:31:22)
Incluye: papa, yuca</t>
        </r>
      </text>
    </comment>
    <comment ref="F54" authorId="0" shapeId="0" xr:uid="{00000000-0006-0000-0100-000001000000}">
      <text>
        <r>
          <rPr>
            <sz val="11"/>
            <color theme="1"/>
            <rFont val="Arial"/>
            <family val="2"/>
            <scheme val="minor"/>
          </rPr>
          <t>======
ID#AAAAkkpSNBI
User    (2022-11-28 17:31:22)
Incluye: aguacate,maracuyá, naranja, plátano, tomate de árbol, tomate riñón, limón, mango, orito, piña</t>
        </r>
      </text>
    </comment>
    <comment ref="F55" authorId="0" shapeId="0" xr:uid="{00000000-0006-0000-0100-000003000000}">
      <text>
        <r>
          <rPr>
            <sz val="11"/>
            <color theme="1"/>
            <rFont val="Arial"/>
            <family val="2"/>
            <scheme val="minor"/>
          </rPr>
          <t>======
ID#AAAAkkpSNAs
User    (2022-11-28 17:31:22)
Incluye: brócoli, cebolla blanca, palmito</t>
        </r>
      </text>
    </comment>
    <comment ref="F61" authorId="0" shapeId="0" xr:uid="{00000000-0006-0000-0100-000059000000}">
      <text>
        <r>
          <rPr>
            <sz val="11"/>
            <color theme="1"/>
            <rFont val="Arial"/>
            <family val="2"/>
            <scheme val="minor"/>
          </rPr>
          <t>======
ID#AAAAkkpSMyA
User    (2022-11-28 17:31:22)
Incluye caña de azucar para azúcar y para otros usos</t>
        </r>
      </text>
    </comment>
    <comment ref="F62" authorId="0" shapeId="0" xr:uid="{00000000-0006-0000-0100-000026000000}">
      <text>
        <r>
          <rPr>
            <sz val="11"/>
            <color theme="1"/>
            <rFont val="Arial"/>
            <family val="2"/>
            <scheme val="minor"/>
          </rPr>
          <t>======
ID#AAAAkkpSM68
User    (2022-11-28 17:31:22)
Incluye: Maíz duro en choclo y seco, maíz suave en choclo y seco</t>
        </r>
      </text>
    </comment>
    <comment ref="F66" authorId="0" shapeId="0" xr:uid="{00000000-0006-0000-0100-000071000000}">
      <text>
        <r>
          <rPr>
            <sz val="11"/>
            <color theme="1"/>
            <rFont val="Arial"/>
            <family val="2"/>
            <scheme val="minor"/>
          </rPr>
          <t>======
ID#AAAAkkEn1Ps
User    (2022-11-28 17:31:21)
Incluye: arveja seca y tierna, fréjol seco y tierno, haba seca y tierna</t>
        </r>
      </text>
    </comment>
    <comment ref="F67" authorId="0" shapeId="0" xr:uid="{00000000-0006-0000-0100-000050000000}">
      <text>
        <r>
          <rPr>
            <sz val="11"/>
            <color theme="1"/>
            <rFont val="Arial"/>
            <family val="2"/>
            <scheme val="minor"/>
          </rPr>
          <t>======
ID#AAAAkkpSMzY
User    (2022-11-28 17:31:22)
Incluye: cebada, trigo</t>
        </r>
      </text>
    </comment>
    <comment ref="F68" authorId="0" shapeId="0" xr:uid="{00000000-0006-0000-0100-000004000000}">
      <text>
        <r>
          <rPr>
            <sz val="11"/>
            <color theme="1"/>
            <rFont val="Arial"/>
            <family val="2"/>
            <scheme val="minor"/>
          </rPr>
          <t>======
ID#AAAAkkpSNAc
User    (2022-11-28 17:31:22)
Incluye: papa, yuca</t>
        </r>
      </text>
    </comment>
    <comment ref="F69" authorId="0" shapeId="0" xr:uid="{00000000-0006-0000-0100-000055000000}">
      <text>
        <r>
          <rPr>
            <sz val="11"/>
            <color theme="1"/>
            <rFont val="Arial"/>
            <family val="2"/>
            <scheme val="minor"/>
          </rPr>
          <t>======
ID#AAAAkkpSMyM
User    (2022-11-28 17:31:22)
Incluye: maracuyá, naranja, plátano, tomate de árbol, tomate riñón</t>
        </r>
      </text>
    </comment>
    <comment ref="F70" authorId="0" shapeId="0" xr:uid="{00000000-0006-0000-0100-00005D000000}">
      <text>
        <r>
          <rPr>
            <sz val="11"/>
            <color theme="1"/>
            <rFont val="Arial"/>
            <family val="2"/>
            <scheme val="minor"/>
          </rPr>
          <t>======
ID#AAAAkkpSMoU
User    (2022-11-28 17:31:22)
Incluye: brócoli, cebolla, tomate riñon</t>
        </r>
      </text>
    </comment>
    <comment ref="F71" authorId="0" shapeId="0" xr:uid="{00000000-0006-0000-0100-000049000000}">
      <text>
        <r>
          <rPr>
            <sz val="11"/>
            <color theme="1"/>
            <rFont val="Arial"/>
            <family val="2"/>
            <scheme val="minor"/>
          </rPr>
          <t>======
ID#AAAAkkpSM0w
User    (2022-11-28 17:31:22)
rosa, clavel, astromellas, campánula, gysophilia, crisantemos, trachelium, lilium, lirios, limonium, girasoles, hypericum, godethia, áster, orquídeas, cartucho, otras flores transitorias y permanentes</t>
        </r>
      </text>
    </comment>
    <comment ref="F85" authorId="0" shapeId="0" xr:uid="{00000000-0006-0000-0100-00002E000000}">
      <text>
        <r>
          <rPr>
            <sz val="11"/>
            <color theme="1"/>
            <rFont val="Arial"/>
            <family val="2"/>
            <scheme val="minor"/>
          </rPr>
          <t>======
ID#AAAAkkpSM5o
User    (2022-11-28 17:31:22)
Incluye caña de azucar para azúcar y para otros usos</t>
        </r>
      </text>
    </comment>
    <comment ref="F86" authorId="0" shapeId="0" xr:uid="{00000000-0006-0000-0100-000018000000}">
      <text>
        <r>
          <rPr>
            <sz val="11"/>
            <color theme="1"/>
            <rFont val="Arial"/>
            <family val="2"/>
            <scheme val="minor"/>
          </rPr>
          <t>======
ID#AAAAkkpSM90
User    (2022-11-28 17:31:22)
Incluye: Maíz duro en choclo y seco, maíz suave en choclo y seco</t>
        </r>
      </text>
    </comment>
    <comment ref="F90" authorId="0" shapeId="0" xr:uid="{00000000-0006-0000-0100-00007B000000}">
      <text>
        <r>
          <rPr>
            <sz val="11"/>
            <color theme="1"/>
            <rFont val="Arial"/>
            <family val="2"/>
            <scheme val="minor"/>
          </rPr>
          <t>======
ID#AAAAkkEn1N8
User    (2022-11-28 17:31:21)
Incluye: arveja seca y tierna, fréjol seco y tierno, haba seca y tierna, maní</t>
        </r>
      </text>
    </comment>
    <comment ref="F91" authorId="0" shapeId="0" xr:uid="{00000000-0006-0000-0100-00003E000000}">
      <text>
        <r>
          <rPr>
            <sz val="11"/>
            <color theme="1"/>
            <rFont val="Arial"/>
            <family val="2"/>
            <scheme val="minor"/>
          </rPr>
          <t>======
ID#AAAAkkpSM2I
User    (2022-11-28 17:31:22)
Incluye: cebada, trigo</t>
        </r>
      </text>
    </comment>
    <comment ref="F92" authorId="0" shapeId="0" xr:uid="{00000000-0006-0000-0100-000006000000}">
      <text>
        <r>
          <rPr>
            <sz val="11"/>
            <color theme="1"/>
            <rFont val="Arial"/>
            <family val="2"/>
            <scheme val="minor"/>
          </rPr>
          <t>======
ID#AAAAkkpSNAU
User    (2022-11-28 17:31:22)
Incluye: papa, yuca</t>
        </r>
      </text>
    </comment>
    <comment ref="F93" authorId="0" shapeId="0" xr:uid="{00000000-0006-0000-0100-000027000000}">
      <text>
        <r>
          <rPr>
            <sz val="11"/>
            <color theme="1"/>
            <rFont val="Arial"/>
            <family val="2"/>
            <scheme val="minor"/>
          </rPr>
          <t>======
ID#AAAAkkpSM7A
User    (2022-11-28 17:31:22)
Incluye: maracuyá, naranja, plátano, tomate de árbol, tomate riñón</t>
        </r>
      </text>
    </comment>
    <comment ref="F94" authorId="0" shapeId="0" xr:uid="{00000000-0006-0000-0100-000077000000}">
      <text>
        <r>
          <rPr>
            <sz val="11"/>
            <color theme="1"/>
            <rFont val="Arial"/>
            <family val="2"/>
            <scheme val="minor"/>
          </rPr>
          <t>======
ID#AAAAkkEn1OU
User    (2022-11-28 17:31:21)
Incluye: brócoli, cebolla blanca, palmito</t>
        </r>
      </text>
    </comment>
    <comment ref="F100" authorId="0" shapeId="0" xr:uid="{00000000-0006-0000-0100-000032000000}">
      <text>
        <r>
          <rPr>
            <sz val="11"/>
            <color theme="1"/>
            <rFont val="Arial"/>
            <family val="2"/>
            <scheme val="minor"/>
          </rPr>
          <t>======
ID#AAAAkkpSM44
User    (2022-11-28 17:31:22)
Incluye caña de azucar para azúcar y para otros usos</t>
        </r>
      </text>
    </comment>
    <comment ref="F101" authorId="0" shapeId="0" xr:uid="{00000000-0006-0000-0100-000010000000}">
      <text>
        <r>
          <rPr>
            <sz val="11"/>
            <color theme="1"/>
            <rFont val="Arial"/>
            <family val="2"/>
            <scheme val="minor"/>
          </rPr>
          <t>======
ID#AAAAkkpSM-s
User    (2022-11-28 17:31:22)
Incluye: Maíz duro en choclo y seco, maíz suave en choclo y seco</t>
        </r>
      </text>
    </comment>
    <comment ref="F105" authorId="0" shapeId="0" xr:uid="{00000000-0006-0000-0100-000042000000}">
      <text>
        <r>
          <rPr>
            <sz val="11"/>
            <color theme="1"/>
            <rFont val="Arial"/>
            <family val="2"/>
            <scheme val="minor"/>
          </rPr>
          <t>======
ID#AAAAkkpSM1o
User    (2022-11-28 17:31:22)
Incluye: arveja seca y tierna, fréjol seco y tierno, haba seca y tierna</t>
        </r>
      </text>
    </comment>
    <comment ref="F106" authorId="0" shapeId="0" xr:uid="{00000000-0006-0000-0100-00002B000000}">
      <text>
        <r>
          <rPr>
            <sz val="11"/>
            <color theme="1"/>
            <rFont val="Arial"/>
            <family val="2"/>
            <scheme val="minor"/>
          </rPr>
          <t>======
ID#AAAAkkpSM6I
User    (2022-11-28 17:31:22)
Incluye: cebada, trigo</t>
        </r>
      </text>
    </comment>
    <comment ref="F107" authorId="0" shapeId="0" xr:uid="{00000000-0006-0000-0100-000076000000}">
      <text>
        <r>
          <rPr>
            <sz val="11"/>
            <color theme="1"/>
            <rFont val="Arial"/>
            <family val="2"/>
            <scheme val="minor"/>
          </rPr>
          <t>======
ID#AAAAkkEn1O8
User    (2022-11-28 17:31:21)
Incluye: papa, yuca</t>
        </r>
      </text>
    </comment>
    <comment ref="F108" authorId="0" shapeId="0" xr:uid="{00000000-0006-0000-0100-000066000000}">
      <text>
        <r>
          <rPr>
            <sz val="11"/>
            <color theme="1"/>
            <rFont val="Arial"/>
            <family val="2"/>
            <scheme val="minor"/>
          </rPr>
          <t>======
ID#AAAAkkpSMmg
User    (2022-11-28 17:31:22)
Incluye: maracuyá, naranja, plátano, tomate de árbol, tomate riñón</t>
        </r>
      </text>
    </comment>
    <comment ref="F109" authorId="0" shapeId="0" xr:uid="{00000000-0006-0000-0100-00006C000000}">
      <text>
        <r>
          <rPr>
            <sz val="11"/>
            <color theme="1"/>
            <rFont val="Arial"/>
            <family val="2"/>
            <scheme val="minor"/>
          </rPr>
          <t>======
ID#AAAAkkEn1Qw
User    (2022-11-28 17:31:21)
Incluye: brócoli, cebolla blanca, palmito</t>
        </r>
      </text>
    </comment>
    <comment ref="F118" authorId="0" shapeId="0" xr:uid="{00000000-0006-0000-0100-00003B000000}">
      <text>
        <r>
          <rPr>
            <sz val="11"/>
            <color theme="1"/>
            <rFont val="Arial"/>
            <family val="2"/>
            <scheme val="minor"/>
          </rPr>
          <t>======
ID#AAAAkkpSM2U
User    (2022-11-28 17:31:22)
Incluye caña de azucar para azúcar y para otros usos</t>
        </r>
      </text>
    </comment>
    <comment ref="BQ118" authorId="0" shapeId="0" xr:uid="{D793B325-F8AC-4ABF-B235-EFDB84821668}">
      <text>
        <r>
          <rPr>
            <sz val="11"/>
            <color theme="1"/>
            <rFont val="Arial"/>
            <family val="2"/>
            <scheme val="minor"/>
          </rPr>
          <t>======
ID#AAAAkkpSM2U
User    (2022-11-28 17:31:22)
Incluye caña de azucar para azúcar y para otros usos</t>
        </r>
      </text>
    </comment>
    <comment ref="F119" authorId="0" shapeId="0" xr:uid="{00000000-0006-0000-0100-00003D000000}">
      <text>
        <r>
          <rPr>
            <sz val="11"/>
            <color theme="1"/>
            <rFont val="Arial"/>
            <family val="2"/>
            <scheme val="minor"/>
          </rPr>
          <t>======
ID#AAAAkkpSM2Y
User    (2022-11-28 17:31:22)
Incluye: Maíz duro en choclo y seco, maíz suave en choclo y seco</t>
        </r>
      </text>
    </comment>
    <comment ref="BQ119" authorId="0" shapeId="0" xr:uid="{A820BC9C-2A1A-4EF7-BA85-8C614268DF86}">
      <text>
        <r>
          <rPr>
            <sz val="11"/>
            <color theme="1"/>
            <rFont val="Arial"/>
            <family val="2"/>
            <scheme val="minor"/>
          </rPr>
          <t>======
ID#AAAAkkpSM2Y
User    (2022-11-28 17:31:22)
Incluye: Maíz duro en choclo y seco, maíz suave en choclo y seco</t>
        </r>
      </text>
    </comment>
    <comment ref="F123" authorId="0" shapeId="0" xr:uid="{00000000-0006-0000-0100-000019000000}">
      <text>
        <r>
          <rPr>
            <sz val="11"/>
            <color theme="1"/>
            <rFont val="Arial"/>
            <family val="2"/>
            <scheme val="minor"/>
          </rPr>
          <t>======
ID#AAAAkkpSM9s
User    (2022-11-28 17:31:22)
Incluye: arveja seca y tierna, fréjol seco y tierno, haba seca y tierna</t>
        </r>
      </text>
    </comment>
    <comment ref="BQ123" authorId="0" shapeId="0" xr:uid="{A692B171-2B0E-4A89-8FD6-D2DFB8130ABD}">
      <text>
        <r>
          <rPr>
            <sz val="11"/>
            <color theme="1"/>
            <rFont val="Arial"/>
            <family val="2"/>
            <scheme val="minor"/>
          </rPr>
          <t>======
ID#AAAAkkpSM9s
User    (2022-11-28 17:31:22)
Incluye: arveja seca y tierna, fréjol seco y tierno, haba seca y tierna</t>
        </r>
      </text>
    </comment>
    <comment ref="F124" authorId="0" shapeId="0" xr:uid="{00000000-0006-0000-0100-000031000000}">
      <text>
        <r>
          <rPr>
            <sz val="11"/>
            <color theme="1"/>
            <rFont val="Arial"/>
            <family val="2"/>
            <scheme val="minor"/>
          </rPr>
          <t>======
ID#AAAAkkpSM40
User    (2022-11-28 17:31:22)
Incluye: cebada, trigo</t>
        </r>
      </text>
    </comment>
    <comment ref="BQ124" authorId="0" shapeId="0" xr:uid="{C22B2BA3-F7BD-4489-9030-16146CCE3736}">
      <text>
        <r>
          <rPr>
            <sz val="11"/>
            <color theme="1"/>
            <rFont val="Arial"/>
            <family val="2"/>
            <scheme val="minor"/>
          </rPr>
          <t>======
ID#AAAAkkpSM40
User    (2022-11-28 17:31:22)
Incluye: cebada, trigo</t>
        </r>
      </text>
    </comment>
    <comment ref="F125" authorId="0" shapeId="0" xr:uid="{00000000-0006-0000-0100-000068000000}">
      <text>
        <r>
          <rPr>
            <sz val="11"/>
            <color theme="1"/>
            <rFont val="Arial"/>
            <family val="2"/>
            <scheme val="minor"/>
          </rPr>
          <t>======
ID#AAAAkkEn1Ro
User    (2022-11-28 17:31:21)
Incluye: papa, yuca</t>
        </r>
      </text>
    </comment>
    <comment ref="BQ125" authorId="0" shapeId="0" xr:uid="{B43E2CFE-1EA4-4182-9E2D-5211DD8F6127}">
      <text>
        <r>
          <rPr>
            <sz val="11"/>
            <color theme="1"/>
            <rFont val="Arial"/>
            <family val="2"/>
            <scheme val="minor"/>
          </rPr>
          <t>======
ID#AAAAkkEn1Ro
User    (2022-11-28 17:31:21)
Incluye: papa, yuca</t>
        </r>
      </text>
    </comment>
    <comment ref="F126" authorId="0" shapeId="0" xr:uid="{00000000-0006-0000-0100-00004E000000}">
      <text>
        <r>
          <rPr>
            <sz val="11"/>
            <color theme="1"/>
            <rFont val="Arial"/>
            <family val="2"/>
            <scheme val="minor"/>
          </rPr>
          <t>======
ID#AAAAkkpSM0A
User    (2022-11-28 17:31:22)
Incluye: maracuyá, naranja, plátano, tomate de árbol, tomate riñón</t>
        </r>
      </text>
    </comment>
    <comment ref="BQ126" authorId="0" shapeId="0" xr:uid="{7C921453-2FC7-450F-B864-942551E28C45}">
      <text>
        <r>
          <rPr>
            <sz val="11"/>
            <color theme="1"/>
            <rFont val="Arial"/>
            <family val="2"/>
            <scheme val="minor"/>
          </rPr>
          <t>======
ID#AAAAkkpSM0A
User    (2022-11-28 17:31:22)
Incluye: maracuyá, naranja, plátano, tomate de árbol, tomate riñón</t>
        </r>
      </text>
    </comment>
    <comment ref="F127" authorId="0" shapeId="0" xr:uid="{00000000-0006-0000-0100-000020000000}">
      <text>
        <r>
          <rPr>
            <sz val="11"/>
            <color theme="1"/>
            <rFont val="Arial"/>
            <family val="2"/>
            <scheme val="minor"/>
          </rPr>
          <t>======
ID#AAAAkkpSM8A
User    (2022-11-28 17:31:22)
Incluye: brócoli, cebolla blanca, palmito</t>
        </r>
      </text>
    </comment>
    <comment ref="BQ127" authorId="0" shapeId="0" xr:uid="{5DE05A93-2DBC-44A0-B794-ADA2CEFEAFE8}">
      <text>
        <r>
          <rPr>
            <sz val="11"/>
            <color theme="1"/>
            <rFont val="Arial"/>
            <family val="2"/>
            <scheme val="minor"/>
          </rPr>
          <t>======
ID#AAAAkkpSM8A
User    (2022-11-28 17:31:22)
Incluye: brócoli, cebolla blanca, palmito</t>
        </r>
      </text>
    </comment>
    <comment ref="F143" authorId="0" shapeId="0" xr:uid="{00000000-0006-0000-0100-000030000000}">
      <text>
        <r>
          <rPr>
            <sz val="11"/>
            <color theme="1"/>
            <rFont val="Arial"/>
            <family val="2"/>
            <scheme val="minor"/>
          </rPr>
          <t>======
ID#AAAAkkpSM5I
User    (2022-11-28 17:31:22)
Incluye caña de azucar para azúcar y para otros usos</t>
        </r>
      </text>
    </comment>
    <comment ref="F144" authorId="0" shapeId="0" xr:uid="{00000000-0006-0000-0100-000052000000}">
      <text>
        <r>
          <rPr>
            <sz val="11"/>
            <color theme="1"/>
            <rFont val="Arial"/>
            <family val="2"/>
            <scheme val="minor"/>
          </rPr>
          <t>======
ID#AAAAkkpSMzQ
User    (2022-11-28 17:31:22)
Incluye: Maíz duro en choclo y seco, maíz suave en choclo y seco</t>
        </r>
      </text>
    </comment>
    <comment ref="F148" authorId="0" shapeId="0" xr:uid="{00000000-0006-0000-0100-000009000000}">
      <text>
        <r>
          <rPr>
            <sz val="11"/>
            <color theme="1"/>
            <rFont val="Arial"/>
            <family val="2"/>
            <scheme val="minor"/>
          </rPr>
          <t>======
ID#AAAAkkpSNAA
User    (2022-11-28 17:31:22)
Incluye: arveja seca y tierna, fréjol seco y tierno, haba seca y tierna, maní</t>
        </r>
      </text>
    </comment>
    <comment ref="F149" authorId="0" shapeId="0" xr:uid="{00000000-0006-0000-0100-000048000000}">
      <text>
        <r>
          <rPr>
            <sz val="11"/>
            <color theme="1"/>
            <rFont val="Arial"/>
            <family val="2"/>
            <scheme val="minor"/>
          </rPr>
          <t>======
ID#AAAAkkpSM00
User    (2022-11-28 17:31:22)
Incluye: cebada, trigo</t>
        </r>
      </text>
    </comment>
    <comment ref="F150" authorId="0" shapeId="0" xr:uid="{00000000-0006-0000-0100-000051000000}">
      <text>
        <r>
          <rPr>
            <sz val="11"/>
            <color theme="1"/>
            <rFont val="Arial"/>
            <family val="2"/>
            <scheme val="minor"/>
          </rPr>
          <t>======
ID#AAAAkkpSMzc
User    (2022-11-28 17:31:22)
Incluye: papa, yuca</t>
        </r>
      </text>
    </comment>
    <comment ref="F151" authorId="0" shapeId="0" xr:uid="{00000000-0006-0000-0100-000056000000}">
      <text>
        <r>
          <rPr>
            <sz val="11"/>
            <color theme="1"/>
            <rFont val="Arial"/>
            <family val="2"/>
            <scheme val="minor"/>
          </rPr>
          <t>======
ID#AAAAkkpSMyI
User    (2022-11-28 17:31:22)
Incluye: maracuyá, naranja, plátano, tomate de árbol, tomate riñón</t>
        </r>
      </text>
    </comment>
    <comment ref="F152" authorId="0" shapeId="0" xr:uid="{00000000-0006-0000-0100-000014000000}">
      <text>
        <r>
          <rPr>
            <sz val="11"/>
            <color theme="1"/>
            <rFont val="Arial"/>
            <family val="2"/>
            <scheme val="minor"/>
          </rPr>
          <t>======
ID#AAAAkkpSM-I
User    (2022-11-28 17:31:22)
Incluye: brócoli, cebolla blanca, palmito</t>
        </r>
      </text>
    </comment>
    <comment ref="F158" authorId="0" shapeId="0" xr:uid="{00000000-0006-0000-0100-000005000000}">
      <text>
        <r>
          <rPr>
            <sz val="11"/>
            <color theme="1"/>
            <rFont val="Arial"/>
            <family val="2"/>
            <scheme val="minor"/>
          </rPr>
          <t>======
ID#AAAAkkpSNAM
User    (2022-11-28 17:31:22)
Incluye caña de azucar para azúcar y para otros usos</t>
        </r>
      </text>
    </comment>
    <comment ref="F159" authorId="0" shapeId="0" xr:uid="{00000000-0006-0000-0100-00002F000000}">
      <text>
        <r>
          <rPr>
            <sz val="11"/>
            <color theme="1"/>
            <rFont val="Arial"/>
            <family val="2"/>
            <scheme val="minor"/>
          </rPr>
          <t>======
ID#AAAAkkpSM5M
User    (2022-11-28 17:31:22)
Incluye: Maíz duro en choclo y seco, maíz suave en choclo y seco</t>
        </r>
      </text>
    </comment>
    <comment ref="F163" authorId="0" shapeId="0" xr:uid="{00000000-0006-0000-0100-000029000000}">
      <text>
        <r>
          <rPr>
            <sz val="11"/>
            <color theme="1"/>
            <rFont val="Arial"/>
            <family val="2"/>
            <scheme val="minor"/>
          </rPr>
          <t>======
ID#AAAAkkpSM6c
User    (2022-11-28 17:31:22)
Incluye: arveja seca y tierna, fréjol seco y tierno, haba seca y tierna</t>
        </r>
      </text>
    </comment>
    <comment ref="F164" authorId="0" shapeId="0" xr:uid="{00000000-0006-0000-0100-00004F000000}">
      <text>
        <r>
          <rPr>
            <sz val="11"/>
            <color theme="1"/>
            <rFont val="Arial"/>
            <family val="2"/>
            <scheme val="minor"/>
          </rPr>
          <t>======
ID#AAAAkkpSMzs
User    (2022-11-28 17:31:22)
Incluye: cebada, trigo</t>
        </r>
      </text>
    </comment>
    <comment ref="F165" authorId="0" shapeId="0" xr:uid="{00000000-0006-0000-0100-00006E000000}">
      <text>
        <r>
          <rPr>
            <sz val="11"/>
            <color theme="1"/>
            <rFont val="Arial"/>
            <family val="2"/>
            <scheme val="minor"/>
          </rPr>
          <t>======
ID#AAAAkkEn1QU
User    (2022-11-28 17:31:21)
Incluye: papa, yuca</t>
        </r>
      </text>
    </comment>
    <comment ref="F166" authorId="0" shapeId="0" xr:uid="{00000000-0006-0000-0100-000021000000}">
      <text>
        <r>
          <rPr>
            <sz val="11"/>
            <color theme="1"/>
            <rFont val="Arial"/>
            <family val="2"/>
            <scheme val="minor"/>
          </rPr>
          <t>======
ID#AAAAkkpSM78
User    (2022-11-28 17:31:22)
Incluye: maracuyá, naranja, plátano, tomate de árbol, tomate riñón</t>
        </r>
      </text>
    </comment>
    <comment ref="F167" authorId="0" shapeId="0" xr:uid="{00000000-0006-0000-0100-00005A000000}">
      <text>
        <r>
          <rPr>
            <sz val="11"/>
            <color theme="1"/>
            <rFont val="Arial"/>
            <family val="2"/>
            <scheme val="minor"/>
          </rPr>
          <t>======
ID#AAAAkkpSMo4
User    (2022-11-28 17:31:22)
Incluye: brócoli, cebolla blanca, palmito</t>
        </r>
      </text>
    </comment>
    <comment ref="F177" authorId="0" shapeId="0" xr:uid="{00000000-0006-0000-0100-000008000000}">
      <text>
        <r>
          <rPr>
            <sz val="11"/>
            <color theme="1"/>
            <rFont val="Arial"/>
            <family val="2"/>
            <scheme val="minor"/>
          </rPr>
          <t>======
ID#AAAAkkpSNAE
User    (2022-11-28 17:31:22)
Incluye caña de azucar para azúcar y para otros usos</t>
        </r>
      </text>
    </comment>
    <comment ref="F178" authorId="0" shapeId="0" xr:uid="{00000000-0006-0000-0100-000043000000}">
      <text>
        <r>
          <rPr>
            <sz val="11"/>
            <color theme="1"/>
            <rFont val="Arial"/>
            <family val="2"/>
            <scheme val="minor"/>
          </rPr>
          <t>======
ID#AAAAkkpSM1g
User    (2022-11-28 17:31:22)
Incluye: Maíz duro en choclo y seco, maíz suave en choclo y seco</t>
        </r>
      </text>
    </comment>
    <comment ref="F182" authorId="0" shapeId="0" xr:uid="{00000000-0006-0000-0100-000038000000}">
      <text>
        <r>
          <rPr>
            <sz val="11"/>
            <color theme="1"/>
            <rFont val="Arial"/>
            <family val="2"/>
            <scheme val="minor"/>
          </rPr>
          <t>======
ID#AAAAkkpSM3E
User    (2022-11-28 17:31:22)
Incluye: arveja seca y tierna, fréjol seco y tierno, haba seca y tierna, maní</t>
        </r>
      </text>
    </comment>
    <comment ref="F183" authorId="0" shapeId="0" xr:uid="{00000000-0006-0000-0100-00006F000000}">
      <text>
        <r>
          <rPr>
            <sz val="11"/>
            <color theme="1"/>
            <rFont val="Arial"/>
            <family val="2"/>
            <scheme val="minor"/>
          </rPr>
          <t>======
ID#AAAAkkEn1P8
User    (2022-11-28 17:31:21)
Incluye: cebada, trigo</t>
        </r>
      </text>
    </comment>
    <comment ref="F184" authorId="0" shapeId="0" xr:uid="{00000000-0006-0000-0100-00005B000000}">
      <text>
        <r>
          <rPr>
            <sz val="11"/>
            <color theme="1"/>
            <rFont val="Arial"/>
            <family val="2"/>
            <scheme val="minor"/>
          </rPr>
          <t>======
ID#AAAAkkpSMo0
User    (2022-11-28 17:31:22)
Incluye: papa, yuca</t>
        </r>
      </text>
    </comment>
    <comment ref="F185" authorId="0" shapeId="0" xr:uid="{00000000-0006-0000-0100-000023000000}">
      <text>
        <r>
          <rPr>
            <sz val="11"/>
            <color theme="1"/>
            <rFont val="Arial"/>
            <family val="2"/>
            <scheme val="minor"/>
          </rPr>
          <t>======
ID#AAAAkkpSM7o
User    (2022-11-28 17:31:22)
Incluye: maracuyá, naranja, plátano, tomate de árbol, tomate riñón</t>
        </r>
      </text>
    </comment>
    <comment ref="F186" authorId="0" shapeId="0" xr:uid="{00000000-0006-0000-0100-000002000000}">
      <text>
        <r>
          <rPr>
            <sz val="11"/>
            <color theme="1"/>
            <rFont val="Arial"/>
            <family val="2"/>
            <scheme val="minor"/>
          </rPr>
          <t>======
ID#AAAAkkpSNAw
User    (2022-11-28 17:31:22)
Incluye: brócoli, cebolla blanca, palmito</t>
        </r>
      </text>
    </comment>
    <comment ref="F192" authorId="0" shapeId="0" xr:uid="{00000000-0006-0000-0100-000011000000}">
      <text>
        <r>
          <rPr>
            <sz val="11"/>
            <color theme="1"/>
            <rFont val="Arial"/>
            <family val="2"/>
            <scheme val="minor"/>
          </rPr>
          <t>======
ID#AAAAkkpSM-Y
User    (2022-11-28 17:31:22)
Incluye caña de azucar para azúcar y para otros usos</t>
        </r>
      </text>
    </comment>
    <comment ref="F193" authorId="0" shapeId="0" xr:uid="{00000000-0006-0000-0100-000036000000}">
      <text>
        <r>
          <rPr>
            <sz val="11"/>
            <color theme="1"/>
            <rFont val="Arial"/>
            <family val="2"/>
            <scheme val="minor"/>
          </rPr>
          <t>======
ID#AAAAkkpSM34
User    (2022-11-28 17:31:22)
Incluye: Maíz duro en choclo y seco, maíz suave en choclo y seco</t>
        </r>
      </text>
    </comment>
    <comment ref="F197" authorId="0" shapeId="0" xr:uid="{00000000-0006-0000-0100-000074000000}">
      <text>
        <r>
          <rPr>
            <sz val="11"/>
            <color theme="1"/>
            <rFont val="Arial"/>
            <family val="2"/>
            <scheme val="minor"/>
          </rPr>
          <t>======
ID#AAAAkkEn1PQ
User    (2022-11-28 17:31:21)
Incluye: arveja seca y tierna, fréjol seco y tierno, haba seca y tierna</t>
        </r>
      </text>
    </comment>
    <comment ref="F198" authorId="0" shapeId="0" xr:uid="{00000000-0006-0000-0100-000035000000}">
      <text>
        <r>
          <rPr>
            <sz val="11"/>
            <color theme="1"/>
            <rFont val="Arial"/>
            <family val="2"/>
            <scheme val="minor"/>
          </rPr>
          <t>======
ID#AAAAkkpSM4Q
User    (2022-11-28 17:31:22)
Incluye: cebada, trigo</t>
        </r>
      </text>
    </comment>
    <comment ref="F199" authorId="0" shapeId="0" xr:uid="{00000000-0006-0000-0100-000028000000}">
      <text>
        <r>
          <rPr>
            <sz val="11"/>
            <color theme="1"/>
            <rFont val="Arial"/>
            <family val="2"/>
            <scheme val="minor"/>
          </rPr>
          <t>======
ID#AAAAkkpSM6w
User    (2022-11-28 17:31:22)
Incluye: papa, yuca</t>
        </r>
      </text>
    </comment>
    <comment ref="F200" authorId="0" shapeId="0" xr:uid="{00000000-0006-0000-0100-000007000000}">
      <text>
        <r>
          <rPr>
            <sz val="11"/>
            <color theme="1"/>
            <rFont val="Arial"/>
            <family val="2"/>
            <scheme val="minor"/>
          </rPr>
          <t>======
ID#AAAAkkpSNAQ
User    (2022-11-28 17:31:22)
Incluye: maracuyá, naranja, plátano, tomate de árbol, tomate riñón</t>
        </r>
      </text>
    </comment>
    <comment ref="F201" authorId="0" shapeId="0" xr:uid="{00000000-0006-0000-0100-000044000000}">
      <text>
        <r>
          <rPr>
            <sz val="11"/>
            <color theme="1"/>
            <rFont val="Arial"/>
            <family val="2"/>
            <scheme val="minor"/>
          </rPr>
          <t>======
ID#AAAAkkpSM1U
User    (2022-11-28 17:31:22)
Incluye: brócoli, cebolla blanca, palmito</t>
        </r>
      </text>
    </comment>
    <comment ref="F210" authorId="0" shapeId="0" xr:uid="{00000000-0006-0000-0100-000012000000}">
      <text>
        <r>
          <rPr>
            <sz val="11"/>
            <color theme="1"/>
            <rFont val="Arial"/>
            <family val="2"/>
            <scheme val="minor"/>
          </rPr>
          <t>======
ID#AAAAkkpSM-g
User    (2022-11-28 17:31:22)
Incluye caña de azucar para azúcar y para otros usos</t>
        </r>
      </text>
    </comment>
    <comment ref="F211" authorId="0" shapeId="0" xr:uid="{00000000-0006-0000-0100-000072000000}">
      <text>
        <r>
          <rPr>
            <sz val="11"/>
            <color theme="1"/>
            <rFont val="Arial"/>
            <family val="2"/>
            <scheme val="minor"/>
          </rPr>
          <t>======
ID#AAAAkkEn1Pg
User    (2022-11-28 17:31:21)
Incluye: Maíz duro en choclo y seco, maíz suave en choclo y seco</t>
        </r>
      </text>
    </comment>
    <comment ref="F215" authorId="0" shapeId="0" xr:uid="{00000000-0006-0000-0100-000041000000}">
      <text>
        <r>
          <rPr>
            <sz val="11"/>
            <color theme="1"/>
            <rFont val="Arial"/>
            <family val="2"/>
            <scheme val="minor"/>
          </rPr>
          <t>======
ID#AAAAkkpSM1k
User    (2022-11-28 17:31:22)
Incluye: arveja seca y tierna, fréjol seco y tierno, haba seca y tierna</t>
        </r>
      </text>
    </comment>
    <comment ref="F216" authorId="0" shapeId="0" xr:uid="{00000000-0006-0000-0100-000039000000}">
      <text>
        <r>
          <rPr>
            <sz val="11"/>
            <color theme="1"/>
            <rFont val="Arial"/>
            <family val="2"/>
            <scheme val="minor"/>
          </rPr>
          <t>======
ID#AAAAkkpSM24
User    (2022-11-28 17:31:22)
Incluye: cebada, trigo</t>
        </r>
      </text>
    </comment>
    <comment ref="F217" authorId="0" shapeId="0" xr:uid="{00000000-0006-0000-0100-00005F000000}">
      <text>
        <r>
          <rPr>
            <sz val="11"/>
            <color theme="1"/>
            <rFont val="Arial"/>
            <family val="2"/>
            <scheme val="minor"/>
          </rPr>
          <t>======
ID#AAAAkkpSMn4
User    (2022-11-28 17:31:22)
Incluye: papa, yuca</t>
        </r>
      </text>
    </comment>
    <comment ref="F218" authorId="0" shapeId="0" xr:uid="{00000000-0006-0000-0100-00004A000000}">
      <text>
        <r>
          <rPr>
            <sz val="11"/>
            <color theme="1"/>
            <rFont val="Arial"/>
            <family val="2"/>
            <scheme val="minor"/>
          </rPr>
          <t>======
ID#AAAAkkpSM0s
User    (2022-11-28 17:31:22)
Incluye: maracuyá, naranja, plátano, tomate de árbol, tomate riñón</t>
        </r>
      </text>
    </comment>
    <comment ref="F219" authorId="0" shapeId="0" xr:uid="{00000000-0006-0000-0100-00005C000000}">
      <text>
        <r>
          <rPr>
            <sz val="11"/>
            <color theme="1"/>
            <rFont val="Arial"/>
            <family val="2"/>
            <scheme val="minor"/>
          </rPr>
          <t>======
ID#AAAAkkpSMow
User    (2022-11-28 17:31:22)
Incluye: brócoli, cebolla blanca, palmito</t>
        </r>
      </text>
    </comment>
    <comment ref="F222" authorId="0" shapeId="0" xr:uid="{00000000-0006-0000-0100-00001A000000}">
      <text>
        <r>
          <rPr>
            <sz val="11"/>
            <color theme="1"/>
            <rFont val="Arial"/>
            <family val="2"/>
            <scheme val="minor"/>
          </rPr>
          <t>======
ID#AAAAkkpSM9I
tc={3A8936C3-52D3-462A-A48C-677B7B49DA95}    (2022-11-28 17:31:22)
[Threaded comment]
Your version of Excel allows you to read this threaded comment; however, any edits to it will get removed if the file is opened in a newer version of Excel. Learn more: https://go.microsoft.com/fwlink/?linkid=870924
Comment:
    Aclarar si corresponde a demanda total, demanda per cápita...</t>
        </r>
      </text>
    </comment>
    <comment ref="F228" authorId="0" shapeId="0" xr:uid="{00000000-0006-0000-0100-00002D000000}">
      <text>
        <r>
          <rPr>
            <sz val="11"/>
            <color theme="1"/>
            <rFont val="Arial"/>
            <family val="2"/>
            <scheme val="minor"/>
          </rPr>
          <t>======
ID#AAAAkkpSM5s
User    (2022-11-28 17:31:22)
Incluye caña de azucar para azúcar y para otros usos</t>
        </r>
      </text>
    </comment>
    <comment ref="F229" authorId="0" shapeId="0" xr:uid="{00000000-0006-0000-0100-000022000000}">
      <text>
        <r>
          <rPr>
            <sz val="11"/>
            <color theme="1"/>
            <rFont val="Arial"/>
            <family val="2"/>
            <scheme val="minor"/>
          </rPr>
          <t>======
ID#AAAAkkpSM7s
User    (2022-11-28 17:31:22)
Incluye: Maíz duro en choclo y seco, maíz suave en choclo y seco</t>
        </r>
      </text>
    </comment>
    <comment ref="F233" authorId="0" shapeId="0" xr:uid="{00000000-0006-0000-0100-000054000000}">
      <text>
        <r>
          <rPr>
            <sz val="11"/>
            <color theme="1"/>
            <rFont val="Arial"/>
            <family val="2"/>
            <scheme val="minor"/>
          </rPr>
          <t>======
ID#AAAAkkpSMyY
User    (2022-11-28 17:31:22)
Incluye: arveja seca y tierna, fréjol seco y tierno, haba seca y tierna</t>
        </r>
      </text>
    </comment>
    <comment ref="F234" authorId="0" shapeId="0" xr:uid="{00000000-0006-0000-0100-000058000000}">
      <text>
        <r>
          <rPr>
            <sz val="11"/>
            <color theme="1"/>
            <rFont val="Arial"/>
            <family val="2"/>
            <scheme val="minor"/>
          </rPr>
          <t>======
ID#AAAAkkpSMyE
User    (2022-11-28 17:31:22)
Incluye: cebada, trigo</t>
        </r>
      </text>
    </comment>
    <comment ref="F235" authorId="0" shapeId="0" xr:uid="{00000000-0006-0000-0100-00006B000000}">
      <text>
        <r>
          <rPr>
            <sz val="11"/>
            <color theme="1"/>
            <rFont val="Arial"/>
            <family val="2"/>
            <scheme val="minor"/>
          </rPr>
          <t>======
ID#AAAAkkEn1Q8
User    (2022-11-28 17:31:21)
Incluye: papa, yuca</t>
        </r>
      </text>
    </comment>
    <comment ref="F236" authorId="0" shapeId="0" xr:uid="{00000000-0006-0000-0100-00003C000000}">
      <text>
        <r>
          <rPr>
            <sz val="11"/>
            <color theme="1"/>
            <rFont val="Arial"/>
            <family val="2"/>
            <scheme val="minor"/>
          </rPr>
          <t>======
ID#AAAAkkpSM2Q
User    (2022-11-28 17:31:22)
Incluye: maracuyá, naranja, plátano, tomate de árbol, tomate riñón</t>
        </r>
      </text>
    </comment>
    <comment ref="F237" authorId="0" shapeId="0" xr:uid="{00000000-0006-0000-0100-000065000000}">
      <text>
        <r>
          <rPr>
            <sz val="11"/>
            <color theme="1"/>
            <rFont val="Arial"/>
            <family val="2"/>
            <scheme val="minor"/>
          </rPr>
          <t>======
ID#AAAAkkpSMmo
User    (2022-11-28 17:31:22)
Incluye: brócoli, cebolla blanca, palmito</t>
        </r>
      </text>
    </comment>
    <comment ref="F243" authorId="0" shapeId="0" xr:uid="{00000000-0006-0000-0100-000069000000}">
      <text>
        <r>
          <rPr>
            <sz val="11"/>
            <color theme="1"/>
            <rFont val="Arial"/>
            <family val="2"/>
            <scheme val="minor"/>
          </rPr>
          <t>======
ID#AAAAkkEn1RU
User    (2022-11-28 17:31:21)
Incluye caña de azucar para azúcar y para otros usos</t>
        </r>
      </text>
    </comment>
    <comment ref="F244" authorId="0" shapeId="0" xr:uid="{00000000-0006-0000-0100-000046000000}">
      <text>
        <r>
          <rPr>
            <sz val="11"/>
            <color theme="1"/>
            <rFont val="Arial"/>
            <family val="2"/>
            <scheme val="minor"/>
          </rPr>
          <t>======
ID#AAAAkkpSM1M
User    (2022-11-28 17:31:22)
Incluye: Maíz duro en choclo y seco, maíz suave en choclo y seco</t>
        </r>
      </text>
    </comment>
    <comment ref="F248" authorId="0" shapeId="0" xr:uid="{00000000-0006-0000-0100-000057000000}">
      <text>
        <r>
          <rPr>
            <sz val="11"/>
            <color theme="1"/>
            <rFont val="Arial"/>
            <family val="2"/>
            <scheme val="minor"/>
          </rPr>
          <t>======
ID#AAAAkkpSMx8
User    (2022-11-28 17:31:22)
Incluye: arveja seca y tierna, fréjol seco y tierno, haba seca y tierna</t>
        </r>
      </text>
    </comment>
    <comment ref="F249" authorId="0" shapeId="0" xr:uid="{00000000-0006-0000-0100-000015000000}">
      <text>
        <r>
          <rPr>
            <sz val="11"/>
            <color theme="1"/>
            <rFont val="Arial"/>
            <family val="2"/>
            <scheme val="minor"/>
          </rPr>
          <t>======
ID#AAAAkkpSM-E
User    (2022-11-28 17:31:22)
Incluye: cebada, trigo</t>
        </r>
      </text>
    </comment>
    <comment ref="F250" authorId="0" shapeId="0" xr:uid="{00000000-0006-0000-0100-00000E000000}">
      <text>
        <r>
          <rPr>
            <sz val="11"/>
            <color theme="1"/>
            <rFont val="Arial"/>
            <family val="2"/>
            <scheme val="minor"/>
          </rPr>
          <t>======
ID#AAAAkkpSM_I
User    (2022-11-28 17:31:22)
Incluye: papa, yuca</t>
        </r>
      </text>
    </comment>
    <comment ref="F251" authorId="0" shapeId="0" xr:uid="{00000000-0006-0000-0100-000079000000}">
      <text>
        <r>
          <rPr>
            <sz val="11"/>
            <color theme="1"/>
            <rFont val="Arial"/>
            <family val="2"/>
            <scheme val="minor"/>
          </rPr>
          <t>======
ID#AAAAkkEn1OI
User    (2022-11-28 17:31:21)
Incluye: maracuyá, naranja, plátano, tomate de árbol, tomate riñón</t>
        </r>
      </text>
    </comment>
    <comment ref="F252" authorId="0" shapeId="0" xr:uid="{00000000-0006-0000-0100-00002A000000}">
      <text>
        <r>
          <rPr>
            <sz val="11"/>
            <color theme="1"/>
            <rFont val="Arial"/>
            <family val="2"/>
            <scheme val="minor"/>
          </rPr>
          <t>======
ID#AAAAkkpSM6k
User    (2022-11-28 17:31:22)
Incluye: brócoli, cebolla blanca, palmito</t>
        </r>
      </text>
    </comment>
    <comment ref="F258" authorId="0" shapeId="0" xr:uid="{00000000-0006-0000-0100-000060000000}">
      <text>
        <r>
          <rPr>
            <sz val="11"/>
            <color theme="1"/>
            <rFont val="Arial"/>
            <family val="2"/>
            <scheme val="minor"/>
          </rPr>
          <t>======
ID#AAAAkkpSMnc
User    (2022-11-28 17:31:22)
Incluye caña de azucar para azúcar y para otros usos</t>
        </r>
      </text>
    </comment>
    <comment ref="F259" authorId="0" shapeId="0" xr:uid="{00000000-0006-0000-0100-00001D000000}">
      <text>
        <r>
          <rPr>
            <sz val="11"/>
            <color theme="1"/>
            <rFont val="Arial"/>
            <family val="2"/>
            <scheme val="minor"/>
          </rPr>
          <t>======
ID#AAAAkkpSM8Y
User    (2022-11-28 17:31:22)
Incluye: Maíz duro en choclo y seco, maíz suave en choclo y seco</t>
        </r>
      </text>
    </comment>
    <comment ref="F263" authorId="0" shapeId="0" xr:uid="{00000000-0006-0000-0100-000078000000}">
      <text>
        <r>
          <rPr>
            <sz val="11"/>
            <color theme="1"/>
            <rFont val="Arial"/>
            <family val="2"/>
            <scheme val="minor"/>
          </rPr>
          <t>======
ID#AAAAkkEn1OQ
User    (2022-11-28 17:31:21)
Incluye: arveja seca y tierna, fréjol seco y tierno, haba seca y tierna</t>
        </r>
      </text>
    </comment>
    <comment ref="F264" authorId="0" shapeId="0" xr:uid="{00000000-0006-0000-0100-000040000000}">
      <text>
        <r>
          <rPr>
            <sz val="11"/>
            <color theme="1"/>
            <rFont val="Arial"/>
            <family val="2"/>
            <scheme val="minor"/>
          </rPr>
          <t>======
ID#AAAAkkpSM1w
User    (2022-11-28 17:31:22)
Incluye: cebada, trigo</t>
        </r>
      </text>
    </comment>
    <comment ref="F265" authorId="0" shapeId="0" xr:uid="{00000000-0006-0000-0100-00001E000000}">
      <text>
        <r>
          <rPr>
            <sz val="11"/>
            <color theme="1"/>
            <rFont val="Arial"/>
            <family val="2"/>
            <scheme val="minor"/>
          </rPr>
          <t>======
ID#AAAAkkpSM8Q
User    (2022-11-28 17:31:22)
Incluye: papa, yuca</t>
        </r>
      </text>
    </comment>
    <comment ref="F266" authorId="0" shapeId="0" xr:uid="{00000000-0006-0000-0100-000045000000}">
      <text>
        <r>
          <rPr>
            <sz val="11"/>
            <color theme="1"/>
            <rFont val="Arial"/>
            <family val="2"/>
            <scheme val="minor"/>
          </rPr>
          <t>======
ID#AAAAkkpSM1Q
User    (2022-11-28 17:31:22)
Incluye: maracuyá, naranja, plátano, tomate de árbol, tomate riñón</t>
        </r>
      </text>
    </comment>
    <comment ref="F267" authorId="0" shapeId="0" xr:uid="{00000000-0006-0000-0100-00000A000000}">
      <text>
        <r>
          <rPr>
            <sz val="11"/>
            <color theme="1"/>
            <rFont val="Arial"/>
            <family val="2"/>
            <scheme val="minor"/>
          </rPr>
          <t>======
ID#AAAAkkpSM_0
User    (2022-11-28 17:31:22)
Incluye: brócoli, cebolla blanca, palmito</t>
        </r>
      </text>
    </comment>
    <comment ref="F274" authorId="0" shapeId="0" xr:uid="{00000000-0006-0000-0100-00004D000000}">
      <text>
        <r>
          <rPr>
            <sz val="11"/>
            <color theme="1"/>
            <rFont val="Arial"/>
            <family val="2"/>
            <scheme val="minor"/>
          </rPr>
          <t>======
ID#AAAAkkpSMz8
User    (2022-11-28 17:31:22)
Incluye caña de azucar para azúcar y para otros usos</t>
        </r>
      </text>
    </comment>
    <comment ref="F275" authorId="0" shapeId="0" xr:uid="{00000000-0006-0000-0100-00001F000000}">
      <text>
        <r>
          <rPr>
            <sz val="11"/>
            <color theme="1"/>
            <rFont val="Arial"/>
            <family val="2"/>
            <scheme val="minor"/>
          </rPr>
          <t>======
ID#AAAAkkpSM8M
User    (2022-11-28 17:31:22)
Incluye: Maíz duro en choclo y seco, maíz suave en choclo y seco</t>
        </r>
      </text>
    </comment>
    <comment ref="F279" authorId="0" shapeId="0" xr:uid="{00000000-0006-0000-0100-000064000000}">
      <text>
        <r>
          <rPr>
            <sz val="11"/>
            <color theme="1"/>
            <rFont val="Arial"/>
            <family val="2"/>
            <scheme val="minor"/>
          </rPr>
          <t>======
ID#AAAAkkpSMmw
User    (2022-11-28 17:31:22)
Incluye: arveja seca y tierna, fréjol seco y tierno, haba seca y tierna</t>
        </r>
      </text>
    </comment>
    <comment ref="F280" authorId="0" shapeId="0" xr:uid="{00000000-0006-0000-0100-000037000000}">
      <text>
        <r>
          <rPr>
            <sz val="11"/>
            <color theme="1"/>
            <rFont val="Arial"/>
            <family val="2"/>
            <scheme val="minor"/>
          </rPr>
          <t>======
ID#AAAAkkpSM3I
User    (2022-11-28 17:31:22)
Incluye: cebada, trigo</t>
        </r>
      </text>
    </comment>
    <comment ref="F281" authorId="0" shapeId="0" xr:uid="{00000000-0006-0000-0100-000047000000}">
      <text>
        <r>
          <rPr>
            <sz val="11"/>
            <color theme="1"/>
            <rFont val="Arial"/>
            <family val="2"/>
            <scheme val="minor"/>
          </rPr>
          <t>======
ID#AAAAkkpSM08
User    (2022-11-28 17:31:22)
Incluye: papa, yuca</t>
        </r>
      </text>
    </comment>
    <comment ref="F282" authorId="0" shapeId="0" xr:uid="{00000000-0006-0000-0100-00003A000000}">
      <text>
        <r>
          <rPr>
            <sz val="11"/>
            <color theme="1"/>
            <rFont val="Arial"/>
            <family val="2"/>
            <scheme val="minor"/>
          </rPr>
          <t>======
ID#AAAAkkpSM2k
User    (2022-11-28 17:31:22)
Incluye: maracuyá, naranja, plátano, tomate de árbol, tomate riñón</t>
        </r>
      </text>
    </comment>
    <comment ref="F283" authorId="0" shapeId="0" xr:uid="{00000000-0006-0000-0100-000073000000}">
      <text>
        <r>
          <rPr>
            <sz val="11"/>
            <color theme="1"/>
            <rFont val="Arial"/>
            <family val="2"/>
            <scheme val="minor"/>
          </rPr>
          <t>======
ID#AAAAkkEn1PU
User    (2022-11-28 17:31:21)
Incluye: brócoli, cebolla blanca, palmito</t>
        </r>
      </text>
    </comment>
    <comment ref="F349" authorId="0" shapeId="0" xr:uid="{00000000-0006-0000-0100-00006A000000}">
      <text>
        <r>
          <rPr>
            <sz val="11"/>
            <color theme="1"/>
            <rFont val="Arial"/>
            <family val="2"/>
            <scheme val="minor"/>
          </rPr>
          <t>======
ID#AAAAkkEn1RE
tc={13A785E9-29BF-4097-8D34-4A6C591DB30A}    (2022-11-28 17:31:21)
[Threaded comment]
Your version of Excel allows you to read this threaded comment; however, any edits to it will get removed if the file is opened in a newer version of Excel. Learn more: https://go.microsoft.com/fwlink/?linkid=870924
Comment:
    Si carne y leche está separado, dejar 'doble propósito' en blanco</t>
        </r>
      </text>
    </comment>
    <comment ref="F412" authorId="0" shapeId="0" xr:uid="{00000000-0006-0000-0100-00001B000000}">
      <text>
        <r>
          <rPr>
            <sz val="11"/>
            <color theme="1"/>
            <rFont val="Arial"/>
            <family val="2"/>
            <scheme val="minor"/>
          </rPr>
          <t>======
ID#AAAAkkpSM8w
User    (2022-11-28 17:31:22)
Incluye caña de azucar para azúcar y para otros usos</t>
        </r>
      </text>
    </comment>
    <comment ref="F413" authorId="0" shapeId="0" xr:uid="{00000000-0006-0000-0100-000062000000}">
      <text>
        <r>
          <rPr>
            <sz val="11"/>
            <color theme="1"/>
            <rFont val="Arial"/>
            <family val="2"/>
            <scheme val="minor"/>
          </rPr>
          <t>======
ID#AAAAkkpSMm0
User    (2022-11-28 17:31:22)
Incluye: Maíz duro en choclo y seco, maíz suave en choclo y seco</t>
        </r>
      </text>
    </comment>
  </commentList>
  <extLst>
    <ext xmlns:r="http://schemas.openxmlformats.org/officeDocument/2006/relationships" uri="GoogleSheetsCustomDataVersion1">
      <go:sheetsCustomData xmlns:go="http://customooxmlschemas.google.com/" r:id="rId1" roundtripDataSignature="AMtx7mid/t1cEQ7FhIg/AQEBv9El9NvzT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3F000000}">
      <text>
        <r>
          <rPr>
            <sz val="11"/>
            <color theme="1"/>
            <rFont val="Arial"/>
            <family val="2"/>
            <scheme val="minor"/>
          </rPr>
          <t>======
ID#AAAAkkEn1OY
tc={20563089-F793-41F2-937F-BA2E1E21EB3F}    (2022-11-28 17:31:21)
[Threaded comment]
Your version of Excel allows you to read this threaded comment; however, any edits to it will get removed if the file is opened in a newer version of Excel. Learn more: https://go.microsoft.com/fwlink/?linkid=870924
Comment:
    Acá será necesario incluir todas las emisiones del sector reportadas en la NDC. En esta hoja solo están algunos ejemplos</t>
        </r>
      </text>
    </comment>
    <comment ref="D9" authorId="0" shapeId="0" xr:uid="{00000000-0006-0000-0200-00002E000000}">
      <text>
        <r>
          <rPr>
            <sz val="11"/>
            <color theme="1"/>
            <rFont val="Arial"/>
            <family val="2"/>
            <scheme val="minor"/>
          </rPr>
          <t>======
ID#AAAAkkpSMoM
User    (2022-11-28 17:31:22)
Incluye banano de exportación en monocultivo</t>
        </r>
      </text>
    </comment>
    <comment ref="D12" authorId="0" shapeId="0" xr:uid="{00000000-0006-0000-0200-00003E000000}">
      <text>
        <r>
          <rPr>
            <sz val="11"/>
            <color theme="1"/>
            <rFont val="Arial"/>
            <family val="2"/>
            <scheme val="minor"/>
          </rPr>
          <t>======
ID#AAAAkkEn1Ok
User    (2022-11-28 17:31:21)
Incluye caña de azucar para azúcar y para otros usos</t>
        </r>
      </text>
    </comment>
    <comment ref="D13" authorId="0" shapeId="0" xr:uid="{00000000-0006-0000-0200-000039000000}">
      <text>
        <r>
          <rPr>
            <sz val="11"/>
            <color theme="1"/>
            <rFont val="Arial"/>
            <family val="2"/>
            <scheme val="minor"/>
          </rPr>
          <t>======
ID#AAAAkkEn1Q0
User    (2022-11-28 17:31:21)
Incluye: Maíz duro en choclo y seco, maíz suave en choclo y seco</t>
        </r>
      </text>
    </comment>
    <comment ref="D17" authorId="0" shapeId="0" xr:uid="{00000000-0006-0000-0200-00001E000000}">
      <text>
        <r>
          <rPr>
            <sz val="11"/>
            <color theme="1"/>
            <rFont val="Arial"/>
            <family val="2"/>
            <scheme val="minor"/>
          </rPr>
          <t>======
ID#AAAAkkpSM3U
User    (2022-11-28 17:31:22)
Incluye: arveja seca y tierna, fréjol seco y tierno, haba seca y tierna, maní</t>
        </r>
      </text>
    </comment>
    <comment ref="D18" authorId="0" shapeId="0" xr:uid="{00000000-0006-0000-0200-000007000000}">
      <text>
        <r>
          <rPr>
            <sz val="11"/>
            <color theme="1"/>
            <rFont val="Arial"/>
            <family val="2"/>
            <scheme val="minor"/>
          </rPr>
          <t>======
ID#AAAAkkpSM_4
User    (2022-11-28 17:31:22)
Incluye: cebada, trigo</t>
        </r>
      </text>
    </comment>
    <comment ref="D19" authorId="0" shapeId="0" xr:uid="{00000000-0006-0000-0200-000010000000}">
      <text>
        <r>
          <rPr>
            <sz val="11"/>
            <color theme="1"/>
            <rFont val="Arial"/>
            <family val="2"/>
            <scheme val="minor"/>
          </rPr>
          <t>======
ID#AAAAkkpSM8c
User    (2022-11-28 17:31:22)
Incluye: papa, yuca</t>
        </r>
      </text>
    </comment>
    <comment ref="D20" authorId="0" shapeId="0" xr:uid="{00000000-0006-0000-0200-000006000000}">
      <text>
        <r>
          <rPr>
            <sz val="11"/>
            <color theme="1"/>
            <rFont val="Arial"/>
            <family val="2"/>
            <scheme val="minor"/>
          </rPr>
          <t>======
ID#AAAAkkpSNAI
User    (2022-11-28 17:31:22)
Incluye: aguacate,maracuyá, naranja, plátano, tomate de árbol, tomate riñón, limón, mango, orito, piña</t>
        </r>
      </text>
    </comment>
    <comment ref="D21" authorId="0" shapeId="0" xr:uid="{00000000-0006-0000-0200-00000E000000}">
      <text>
        <r>
          <rPr>
            <sz val="11"/>
            <color theme="1"/>
            <rFont val="Arial"/>
            <family val="2"/>
            <scheme val="minor"/>
          </rPr>
          <t>======
ID#AAAAkkpSM88
User    (2022-11-28 17:31:22)
Incluye: brócoli, cebolla blanca, palmito</t>
        </r>
      </text>
    </comment>
    <comment ref="D25" authorId="0" shapeId="0" xr:uid="{00000000-0006-0000-0200-000012000000}">
      <text>
        <r>
          <rPr>
            <sz val="11"/>
            <color theme="1"/>
            <rFont val="Arial"/>
            <family val="2"/>
            <scheme val="minor"/>
          </rPr>
          <t>======
ID#AAAAkkpSM6Y
User    (2022-11-28 17:31:22)
Incluye banano de exportación en monocultivo</t>
        </r>
      </text>
    </comment>
    <comment ref="D28" authorId="0" shapeId="0" xr:uid="{00000000-0006-0000-0200-000037000000}">
      <text>
        <r>
          <rPr>
            <sz val="11"/>
            <color theme="1"/>
            <rFont val="Arial"/>
            <family val="2"/>
            <scheme val="minor"/>
          </rPr>
          <t>======
ID#AAAAkkEn1RQ
User    (2022-11-28 17:31:21)
Incluye caña de azucar para azúcar y para otros usos</t>
        </r>
      </text>
    </comment>
    <comment ref="D29" authorId="0" shapeId="0" xr:uid="{00000000-0006-0000-0200-00000B000000}">
      <text>
        <r>
          <rPr>
            <sz val="11"/>
            <color theme="1"/>
            <rFont val="Arial"/>
            <family val="2"/>
            <scheme val="minor"/>
          </rPr>
          <t>======
ID#AAAAkkpSM-0
User    (2022-11-28 17:31:22)
Incluye: Maíz duro en choclo y seco, maíz suave en choclo y seco</t>
        </r>
      </text>
    </comment>
    <comment ref="D33" authorId="0" shapeId="0" xr:uid="{00000000-0006-0000-0200-000014000000}">
      <text>
        <r>
          <rPr>
            <sz val="11"/>
            <color theme="1"/>
            <rFont val="Arial"/>
            <family val="2"/>
            <scheme val="minor"/>
          </rPr>
          <t>======
ID#AAAAkkpSM6A
User    (2022-11-28 17:31:22)
Incluye: arveja seca y tierna, fréjol seco y tierno, haba seca y tierna, maní</t>
        </r>
      </text>
    </comment>
    <comment ref="D34" authorId="0" shapeId="0" xr:uid="{00000000-0006-0000-0200-00003D000000}">
      <text>
        <r>
          <rPr>
            <sz val="11"/>
            <color theme="1"/>
            <rFont val="Arial"/>
            <family val="2"/>
            <scheme val="minor"/>
          </rPr>
          <t>======
ID#AAAAkkEn1PI
User    (2022-11-28 17:31:21)
Incluye: cebada, trigo</t>
        </r>
      </text>
    </comment>
    <comment ref="D35" authorId="0" shapeId="0" xr:uid="{00000000-0006-0000-0200-000022000000}">
      <text>
        <r>
          <rPr>
            <sz val="11"/>
            <color theme="1"/>
            <rFont val="Arial"/>
            <family val="2"/>
            <scheme val="minor"/>
          </rPr>
          <t>======
ID#AAAAkkpSM2w
User    (2022-11-28 17:31:22)
Incluye: papa, yuca</t>
        </r>
      </text>
    </comment>
    <comment ref="D36" authorId="0" shapeId="0" xr:uid="{00000000-0006-0000-0200-000038000000}">
      <text>
        <r>
          <rPr>
            <sz val="11"/>
            <color theme="1"/>
            <rFont val="Arial"/>
            <family val="2"/>
            <scheme val="minor"/>
          </rPr>
          <t>======
ID#AAAAkkEn1RA
User    (2022-11-28 17:31:21)
Incluye: aguacate,maracuyá, naranja, plátano, tomate de árbol, tomate riñón, limón, mango, orito, piña</t>
        </r>
      </text>
    </comment>
    <comment ref="D37" authorId="0" shapeId="0" xr:uid="{00000000-0006-0000-0200-00001C000000}">
      <text>
        <r>
          <rPr>
            <sz val="11"/>
            <color theme="1"/>
            <rFont val="Arial"/>
            <family val="2"/>
            <scheme val="minor"/>
          </rPr>
          <t>======
ID#AAAAkkpSM3o
User    (2022-11-28 17:31:22)
Incluye: brócoli, cebolla blanca, palmito</t>
        </r>
      </text>
    </comment>
    <comment ref="D44" authorId="0" shapeId="0" xr:uid="{00000000-0006-0000-0200-000032000000}">
      <text>
        <r>
          <rPr>
            <sz val="11"/>
            <color theme="1"/>
            <rFont val="Arial"/>
            <family val="2"/>
            <scheme val="minor"/>
          </rPr>
          <t>======
ID#AAAAkkpSMno
User    (2022-11-28 17:31:22)
Incluye caña de azucar para azúcar y para otros usos</t>
        </r>
      </text>
    </comment>
    <comment ref="D45" authorId="0" shapeId="0" xr:uid="{00000000-0006-0000-0200-00001D000000}">
      <text>
        <r>
          <rPr>
            <sz val="11"/>
            <color theme="1"/>
            <rFont val="Arial"/>
            <family val="2"/>
            <scheme val="minor"/>
          </rPr>
          <t>======
ID#AAAAkkpSM3g
User    (2022-11-28 17:31:22)
Incluye: Maíz duro en choclo y seco, maíz suave en choclo y seco</t>
        </r>
      </text>
    </comment>
    <comment ref="D46" authorId="0" shapeId="0" xr:uid="{00000000-0006-0000-0200-000018000000}">
      <text>
        <r>
          <rPr>
            <sz val="11"/>
            <color theme="1"/>
            <rFont val="Arial"/>
            <family val="2"/>
            <scheme val="minor"/>
          </rPr>
          <t>======
ID#AAAAkkpSM4g
User    (2022-11-28 17:31:22)
Incluye: cebada, trigo</t>
        </r>
      </text>
    </comment>
    <comment ref="D50" authorId="0" shapeId="0" xr:uid="{00000000-0006-0000-0200-00001B000000}">
      <text>
        <r>
          <rPr>
            <sz val="11"/>
            <color theme="1"/>
            <rFont val="Arial"/>
            <family val="2"/>
            <scheme val="minor"/>
          </rPr>
          <t>======
ID#AAAAkkpSM4A
User    (2022-11-28 17:31:22)
Incluye caña de azucar para azúcar y para otros usos</t>
        </r>
      </text>
    </comment>
    <comment ref="D51" authorId="0" shapeId="0" xr:uid="{00000000-0006-0000-0200-000016000000}">
      <text>
        <r>
          <rPr>
            <sz val="11"/>
            <color theme="1"/>
            <rFont val="Arial"/>
            <family val="2"/>
            <scheme val="minor"/>
          </rPr>
          <t>======
ID#AAAAkkpSM5Q
User    (2022-11-28 17:31:22)
Incluye: Maíz duro en choclo y seco, maíz suave en choclo y seco</t>
        </r>
      </text>
    </comment>
    <comment ref="D52" authorId="0" shapeId="0" xr:uid="{00000000-0006-0000-0200-00000C000000}">
      <text>
        <r>
          <rPr>
            <sz val="11"/>
            <color theme="1"/>
            <rFont val="Arial"/>
            <family val="2"/>
            <scheme val="minor"/>
          </rPr>
          <t>======
ID#AAAAkkpSM-M
User    (2022-11-28 17:31:22)
Incluye: cebada, trigo</t>
        </r>
      </text>
    </comment>
    <comment ref="D56" authorId="0" shapeId="0" xr:uid="{00000000-0006-0000-0200-000035000000}">
      <text>
        <r>
          <rPr>
            <sz val="11"/>
            <color theme="1"/>
            <rFont val="Arial"/>
            <family val="2"/>
            <scheme val="minor"/>
          </rPr>
          <t>======
ID#AAAAkkEn1R0
User    (2022-11-28 17:31:21)
Incluye caña de azucar para azúcar y para otros usos</t>
        </r>
      </text>
    </comment>
    <comment ref="D57" authorId="0" shapeId="0" xr:uid="{00000000-0006-0000-0200-000031000000}">
      <text>
        <r>
          <rPr>
            <sz val="11"/>
            <color theme="1"/>
            <rFont val="Arial"/>
            <family val="2"/>
            <scheme val="minor"/>
          </rPr>
          <t>======
ID#AAAAkkpSMns
User    (2022-11-28 17:31:22)
Incluye: Maíz duro en choclo y seco, maíz suave en choclo y seco</t>
        </r>
      </text>
    </comment>
    <comment ref="D58" authorId="0" shapeId="0" xr:uid="{00000000-0006-0000-0200-000029000000}">
      <text>
        <r>
          <rPr>
            <sz val="11"/>
            <color theme="1"/>
            <rFont val="Arial"/>
            <family val="2"/>
            <scheme val="minor"/>
          </rPr>
          <t>======
ID#AAAAkkpSMzM
User    (2022-11-28 17:31:22)
Incluye: cebada, trigo</t>
        </r>
      </text>
    </comment>
    <comment ref="D62" authorId="0" shapeId="0" xr:uid="{00000000-0006-0000-0200-000028000000}">
      <text>
        <r>
          <rPr>
            <sz val="11"/>
            <color theme="1"/>
            <rFont val="Arial"/>
            <family val="2"/>
            <scheme val="minor"/>
          </rPr>
          <t>======
ID#AAAAkkpSMzU
User    (2022-11-28 17:31:22)
Incluye caña de azucar para azúcar y para otros usos</t>
        </r>
      </text>
    </comment>
    <comment ref="D63" authorId="0" shapeId="0" xr:uid="{00000000-0006-0000-0200-00003A000000}">
      <text>
        <r>
          <rPr>
            <sz val="11"/>
            <color theme="1"/>
            <rFont val="Arial"/>
            <family val="2"/>
            <scheme val="minor"/>
          </rPr>
          <t>======
ID#AAAAkkEn1QM
User    (2022-11-28 17:31:21)
Incluye: Maíz duro en choclo y seco, maíz suave en choclo y seco</t>
        </r>
      </text>
    </comment>
    <comment ref="D64" authorId="0" shapeId="0" xr:uid="{00000000-0006-0000-0200-00001F000000}">
      <text>
        <r>
          <rPr>
            <sz val="11"/>
            <color theme="1"/>
            <rFont val="Arial"/>
            <family val="2"/>
            <scheme val="minor"/>
          </rPr>
          <t>======
ID#AAAAkkpSM3Y
User    (2022-11-28 17:31:22)
Incluye: cebada, trigo</t>
        </r>
      </text>
    </comment>
    <comment ref="D68" authorId="0" shapeId="0" xr:uid="{00000000-0006-0000-0200-000034000000}">
      <text>
        <r>
          <rPr>
            <sz val="11"/>
            <color theme="1"/>
            <rFont val="Arial"/>
            <family val="2"/>
            <scheme val="minor"/>
          </rPr>
          <t>======
ID#AAAAkkpSMnM
User    (2022-11-28 17:31:22)
Incluye caña de azucar para azúcar y para otros usos</t>
        </r>
      </text>
    </comment>
    <comment ref="D69" authorId="0" shapeId="0" xr:uid="{00000000-0006-0000-0200-000013000000}">
      <text>
        <r>
          <rPr>
            <sz val="11"/>
            <color theme="1"/>
            <rFont val="Arial"/>
            <family val="2"/>
            <scheme val="minor"/>
          </rPr>
          <t>======
ID#AAAAkkpSM6M
User    (2022-11-28 17:31:22)
Incluye: Maíz duro en choclo y seco, maíz suave en choclo y seco</t>
        </r>
      </text>
    </comment>
    <comment ref="D70" authorId="0" shapeId="0" xr:uid="{00000000-0006-0000-0200-00000F000000}">
      <text>
        <r>
          <rPr>
            <sz val="11"/>
            <color theme="1"/>
            <rFont val="Arial"/>
            <family val="2"/>
            <scheme val="minor"/>
          </rPr>
          <t>======
ID#AAAAkkpSM80
User    (2022-11-28 17:31:22)
Incluye: cebada, trigo</t>
        </r>
      </text>
    </comment>
    <comment ref="D74" authorId="0" shapeId="0" xr:uid="{00000000-0006-0000-0200-00002B000000}">
      <text>
        <r>
          <rPr>
            <sz val="11"/>
            <color theme="1"/>
            <rFont val="Arial"/>
            <family val="2"/>
            <scheme val="minor"/>
          </rPr>
          <t>======
ID#AAAAkkpSMyk
User    (2022-11-28 17:31:22)
Incluye caña de azucar para azúcar y para otros usos</t>
        </r>
      </text>
    </comment>
    <comment ref="D75" authorId="0" shapeId="0" xr:uid="{00000000-0006-0000-0200-000027000000}">
      <text>
        <r>
          <rPr>
            <sz val="11"/>
            <color theme="1"/>
            <rFont val="Arial"/>
            <family val="2"/>
            <scheme val="minor"/>
          </rPr>
          <t>======
ID#AAAAkkpSMzk
User    (2022-11-28 17:31:22)
Incluye: Maíz duro en choclo y seco, maíz suave en choclo y seco</t>
        </r>
      </text>
    </comment>
    <comment ref="D76" authorId="0" shapeId="0" xr:uid="{00000000-0006-0000-0200-000005000000}">
      <text>
        <r>
          <rPr>
            <sz val="11"/>
            <color theme="1"/>
            <rFont val="Arial"/>
            <family val="2"/>
            <scheme val="minor"/>
          </rPr>
          <t>======
ID#AAAAkkpSNAg
User    (2022-11-28 17:31:22)
Incluye: cebada, trigo</t>
        </r>
      </text>
    </comment>
    <comment ref="D80" authorId="0" shapeId="0" xr:uid="{00000000-0006-0000-0200-00000D000000}">
      <text>
        <r>
          <rPr>
            <sz val="11"/>
            <color theme="1"/>
            <rFont val="Arial"/>
            <family val="2"/>
            <scheme val="minor"/>
          </rPr>
          <t>======
ID#AAAAkkpSM9E
User    (2022-11-28 17:31:22)
Incluye caña de azucar para azúcar y para otros usos</t>
        </r>
      </text>
    </comment>
    <comment ref="D84" authorId="0" shapeId="0" xr:uid="{00000000-0006-0000-0200-000024000000}">
      <text>
        <r>
          <rPr>
            <sz val="11"/>
            <color theme="1"/>
            <rFont val="Arial"/>
            <family val="2"/>
            <scheme val="minor"/>
          </rPr>
          <t>======
ID#AAAAkkpSM1Y
User    (2022-11-28 17:31:22)
Incluye caña de azucar para azúcar y para otros usos</t>
        </r>
      </text>
    </comment>
    <comment ref="D99" authorId="0" shapeId="0" xr:uid="{00000000-0006-0000-0200-00002A000000}">
      <text>
        <r>
          <rPr>
            <sz val="11"/>
            <color theme="1"/>
            <rFont val="Arial"/>
            <family val="2"/>
            <scheme val="minor"/>
          </rPr>
          <t>======
ID#AAAAkkpSMys
User    (2022-11-28 17:31:22)
Incluye banano de exportación en monocultivo</t>
        </r>
      </text>
    </comment>
    <comment ref="D102" authorId="0" shapeId="0" xr:uid="{00000000-0006-0000-0200-000003000000}">
      <text>
        <r>
          <rPr>
            <sz val="11"/>
            <color theme="1"/>
            <rFont val="Arial"/>
            <family val="2"/>
            <scheme val="minor"/>
          </rPr>
          <t>======
ID#AAAAkkpSNA0
User    (2022-11-28 17:31:22)
Incluye caña de azucar para azúcar y para otros usos</t>
        </r>
      </text>
    </comment>
    <comment ref="D103" authorId="0" shapeId="0" xr:uid="{00000000-0006-0000-0200-000023000000}">
      <text>
        <r>
          <rPr>
            <sz val="11"/>
            <color theme="1"/>
            <rFont val="Arial"/>
            <family val="2"/>
            <scheme val="minor"/>
          </rPr>
          <t>======
ID#AAAAkkpSM2g
User    (2022-11-28 17:31:22)
Incluye: Maíz duro en choclo y seco, maíz suave en choclo y seco</t>
        </r>
      </text>
    </comment>
    <comment ref="D107" authorId="0" shapeId="0" xr:uid="{00000000-0006-0000-0200-00000A000000}">
      <text>
        <r>
          <rPr>
            <sz val="11"/>
            <color theme="1"/>
            <rFont val="Arial"/>
            <family val="2"/>
            <scheme val="minor"/>
          </rPr>
          <t>======
ID#AAAAkkpSM-4
User    (2022-11-28 17:31:22)
Incluye: arveja seca y tierna, fréjol seco y tierno, haba seca y tierna, maní</t>
        </r>
      </text>
    </comment>
    <comment ref="D108" authorId="0" shapeId="0" xr:uid="{00000000-0006-0000-0200-00003B000000}">
      <text>
        <r>
          <rPr>
            <sz val="11"/>
            <color theme="1"/>
            <rFont val="Arial"/>
            <family val="2"/>
            <scheme val="minor"/>
          </rPr>
          <t>======
ID#AAAAkkEn1QA
User    (2022-11-28 17:31:21)
Incluye: cebada, trigo</t>
        </r>
      </text>
    </comment>
    <comment ref="D109" authorId="0" shapeId="0" xr:uid="{00000000-0006-0000-0200-00001A000000}">
      <text>
        <r>
          <rPr>
            <sz val="11"/>
            <color theme="1"/>
            <rFont val="Arial"/>
            <family val="2"/>
            <scheme val="minor"/>
          </rPr>
          <t>======
ID#AAAAkkpSM4U
User    (2022-11-28 17:31:22)
Incluye: papa, yuca</t>
        </r>
      </text>
    </comment>
    <comment ref="D110" authorId="0" shapeId="0" xr:uid="{00000000-0006-0000-0200-00002D000000}">
      <text>
        <r>
          <rPr>
            <sz val="11"/>
            <color theme="1"/>
            <rFont val="Arial"/>
            <family val="2"/>
            <scheme val="minor"/>
          </rPr>
          <t>======
ID#AAAAkkpSMoo
User    (2022-11-28 17:31:22)
Incluye: aguacate,maracuyá, naranja, plátano, tomate de árbol, tomate riñón, limón, mango, orito, piña</t>
        </r>
      </text>
    </comment>
    <comment ref="D111" authorId="0" shapeId="0" xr:uid="{00000000-0006-0000-0200-000011000000}">
      <text>
        <r>
          <rPr>
            <sz val="11"/>
            <color theme="1"/>
            <rFont val="Arial"/>
            <family val="2"/>
            <scheme val="minor"/>
          </rPr>
          <t>======
ID#AAAAkkpSM6g
User    (2022-11-28 17:31:22)
Incluye: brócoli, cebolla blanca, palmito</t>
        </r>
      </text>
    </comment>
    <comment ref="D118" authorId="0" shapeId="0" xr:uid="{00000000-0006-0000-0200-000004000000}">
      <text>
        <r>
          <rPr>
            <sz val="11"/>
            <color theme="1"/>
            <rFont val="Arial"/>
            <family val="2"/>
            <scheme val="minor"/>
          </rPr>
          <t>======
ID#AAAAkkpSNAk
User    (2022-11-28 17:31:22)
Incluye banano de exportación en monocultivo</t>
        </r>
      </text>
    </comment>
    <comment ref="D121" authorId="0" shapeId="0" xr:uid="{00000000-0006-0000-0200-000036000000}">
      <text>
        <r>
          <rPr>
            <sz val="11"/>
            <color theme="1"/>
            <rFont val="Arial"/>
            <family val="2"/>
            <scheme val="minor"/>
          </rPr>
          <t>======
ID#AAAAkkEn1Rs
User    (2022-11-28 17:31:21)
Incluye caña de azucar para azúcar y para otros usos</t>
        </r>
      </text>
    </comment>
    <comment ref="D122" authorId="0" shapeId="0" xr:uid="{00000000-0006-0000-0200-000008000000}">
      <text>
        <r>
          <rPr>
            <sz val="11"/>
            <color theme="1"/>
            <rFont val="Arial"/>
            <family val="2"/>
            <scheme val="minor"/>
          </rPr>
          <t>======
ID#AAAAkkpSM_M
User    (2022-11-28 17:31:22)
Incluye: Maíz duro en choclo y seco, maíz suave en choclo y seco</t>
        </r>
      </text>
    </comment>
    <comment ref="D126" authorId="0" shapeId="0" xr:uid="{00000000-0006-0000-0200-000009000000}">
      <text>
        <r>
          <rPr>
            <sz val="11"/>
            <color theme="1"/>
            <rFont val="Arial"/>
            <family val="2"/>
            <scheme val="minor"/>
          </rPr>
          <t>======
ID#AAAAkkpSM_A
User    (2022-11-28 17:31:22)
Incluye: arveja seca y tierna, fréjol seco y tierno, haba seca y tierna, maní</t>
        </r>
      </text>
    </comment>
    <comment ref="D127" authorId="0" shapeId="0" xr:uid="{00000000-0006-0000-0200-000019000000}">
      <text>
        <r>
          <rPr>
            <sz val="11"/>
            <color theme="1"/>
            <rFont val="Arial"/>
            <family val="2"/>
            <scheme val="minor"/>
          </rPr>
          <t>======
ID#AAAAkkpSM4M
User    (2022-11-28 17:31:22)
Incluye: cebada, trigo</t>
        </r>
      </text>
    </comment>
    <comment ref="D128" authorId="0" shapeId="0" xr:uid="{00000000-0006-0000-0200-000017000000}">
      <text>
        <r>
          <rPr>
            <sz val="11"/>
            <color theme="1"/>
            <rFont val="Arial"/>
            <family val="2"/>
            <scheme val="minor"/>
          </rPr>
          <t>======
ID#AAAAkkpSM4k
User    (2022-11-28 17:31:22)
Incluye: papa, yuca</t>
        </r>
      </text>
    </comment>
    <comment ref="D129" authorId="0" shapeId="0" xr:uid="{00000000-0006-0000-0200-00002C000000}">
      <text>
        <r>
          <rPr>
            <sz val="11"/>
            <color theme="1"/>
            <rFont val="Arial"/>
            <family val="2"/>
            <scheme val="minor"/>
          </rPr>
          <t>======
ID#AAAAkkpSMpE
User    (2022-11-28 17:31:22)
Incluye: aguacate,maracuyá, naranja, plátano, tomate de árbol, tomate riñón, limón, mango, orito, piña</t>
        </r>
      </text>
    </comment>
    <comment ref="D130" authorId="0" shapeId="0" xr:uid="{00000000-0006-0000-0200-000025000000}">
      <text>
        <r>
          <rPr>
            <sz val="11"/>
            <color theme="1"/>
            <rFont val="Arial"/>
            <family val="2"/>
            <scheme val="minor"/>
          </rPr>
          <t>======
ID#AAAAkkpSM1E
User    (2022-11-28 17:31:22)
Incluye: brócoli, cebolla blanca, palmito</t>
        </r>
      </text>
    </comment>
    <comment ref="D240" authorId="0" shapeId="0" xr:uid="{00000000-0006-0000-0200-00002F000000}">
      <text>
        <r>
          <rPr>
            <sz val="11"/>
            <color theme="1"/>
            <rFont val="Arial"/>
            <family val="2"/>
            <scheme val="minor"/>
          </rPr>
          <t>======
ID#AAAAkkpSMn8
User    (2022-11-28 17:31:22)
Incluye banano de exportación en monocultivo</t>
        </r>
      </text>
    </comment>
    <comment ref="D244" authorId="0" shapeId="0" xr:uid="{7ED1F5FA-BEC3-4B8D-B462-D28BB3976819}">
      <text>
        <r>
          <rPr>
            <sz val="11"/>
            <color theme="1"/>
            <rFont val="Arial"/>
            <family val="2"/>
            <scheme val="minor"/>
          </rPr>
          <t>======
ID#AAAAkkpSMn8
User    (2022-11-28 17:31:22)
Incluye banano de exportación en monocultivo</t>
        </r>
      </text>
    </comment>
    <comment ref="D248" authorId="0" shapeId="0" xr:uid="{00000000-0006-0000-0200-000015000000}">
      <text>
        <r>
          <rPr>
            <sz val="11"/>
            <color theme="1"/>
            <rFont val="Arial"/>
            <family val="2"/>
            <scheme val="minor"/>
          </rPr>
          <t>======
ID#AAAAkkpSM5g
User    (2022-11-28 17:31:22)
Incluye banano de exportación en monocultivo</t>
        </r>
      </text>
    </comment>
    <comment ref="D252" authorId="0" shapeId="0" xr:uid="{A0191D84-AF37-433F-89FD-E8A6613A5E2F}">
      <text>
        <r>
          <rPr>
            <sz val="11"/>
            <color theme="1"/>
            <rFont val="Arial"/>
            <family val="2"/>
            <scheme val="minor"/>
          </rPr>
          <t>======
ID#AAAAkkpSMn8
User    (2022-11-28 17:31:22)
Incluye banano de exportación en monocultivo</t>
        </r>
      </text>
    </comment>
    <comment ref="D256" authorId="0" shapeId="0" xr:uid="{00000000-0006-0000-0200-000020000000}">
      <text>
        <r>
          <rPr>
            <sz val="11"/>
            <color theme="1"/>
            <rFont val="Arial"/>
            <family val="2"/>
            <scheme val="minor"/>
          </rPr>
          <t>======
ID#AAAAkkpSM3A
User    (2022-11-28 17:31:22)
Incluye banano de exportación en monocultivo</t>
        </r>
      </text>
    </comment>
    <comment ref="D260" authorId="0" shapeId="0" xr:uid="{344C1F52-874D-422F-A165-5BBD1EFB22A6}">
      <text>
        <r>
          <rPr>
            <sz val="11"/>
            <color theme="1"/>
            <rFont val="Arial"/>
            <family val="2"/>
            <scheme val="minor"/>
          </rPr>
          <t>======
ID#AAAAkkpSMn8
User    (2022-11-28 17:31:22)
Incluye banano de exportación en monocultivo</t>
        </r>
      </text>
    </comment>
    <comment ref="D266" authorId="0" shapeId="0" xr:uid="{7636198B-D7E6-4F0B-B1F1-9516AB34B418}">
      <text>
        <r>
          <rPr>
            <sz val="11"/>
            <color theme="1"/>
            <rFont val="Arial"/>
            <family val="2"/>
            <scheme val="minor"/>
          </rPr>
          <t>======
ID#AAAAkkpSMnU
User    (2022-11-28 17:31:22)
Incluye banano de exportación en monocultivo</t>
        </r>
      </text>
    </comment>
    <comment ref="D269" authorId="0" shapeId="0" xr:uid="{98D6C9EF-129A-42E5-96C4-90B1C19ED14D}">
      <text>
        <r>
          <rPr>
            <sz val="11"/>
            <color theme="1"/>
            <rFont val="Arial"/>
            <family val="2"/>
            <scheme val="minor"/>
          </rPr>
          <t>======
ID#AAAAkkpSNA4
User    (2022-11-28 17:31:22)
Incluye caña de azucar para azúcar y para otros usos</t>
        </r>
      </text>
    </comment>
    <comment ref="D270" authorId="0" shapeId="0" xr:uid="{0BCFE1B6-155D-400F-822A-62AD6A9B6023}">
      <text>
        <r>
          <rPr>
            <sz val="11"/>
            <color theme="1"/>
            <rFont val="Arial"/>
            <family val="2"/>
            <scheme val="minor"/>
          </rPr>
          <t>======
ID#AAAAkkpSNA8
User    (2022-11-28 17:31:22)
Incluye: Maíz duro en choclo y seco, maíz suave en choclo y seco</t>
        </r>
      </text>
    </comment>
    <comment ref="D274" authorId="0" shapeId="0" xr:uid="{2E5CAEA0-8332-4952-BDF4-2CFF393AF1D7}">
      <text>
        <r>
          <rPr>
            <sz val="11"/>
            <color theme="1"/>
            <rFont val="Arial"/>
            <family val="2"/>
            <scheme val="minor"/>
          </rPr>
          <t>======
ID#AAAAkkpSMzw
User    (2022-11-28 17:31:22)
Incluye: arveja seca y tierna, fréjol seco y tierno, haba seca y tierna, maní</t>
        </r>
      </text>
    </comment>
    <comment ref="D275" authorId="0" shapeId="0" xr:uid="{D58A6177-130F-4D56-9FDE-B442B0402BA0}">
      <text>
        <r>
          <rPr>
            <sz val="11"/>
            <color theme="1"/>
            <rFont val="Arial"/>
            <family val="2"/>
            <scheme val="minor"/>
          </rPr>
          <t>======
ID#AAAAkkpSMn0
User    (2022-11-28 17:31:22)
Incluye: cebada, trigo</t>
        </r>
      </text>
    </comment>
    <comment ref="D276" authorId="0" shapeId="0" xr:uid="{E4EC8F3F-5886-49EC-B32D-45C6B319F43D}">
      <text>
        <r>
          <rPr>
            <sz val="11"/>
            <color theme="1"/>
            <rFont val="Arial"/>
            <family val="2"/>
            <scheme val="minor"/>
          </rPr>
          <t>======
ID#AAAAkkEn1Pk
User    (2022-11-28 17:31:21)
Incluye: papa, yuca</t>
        </r>
      </text>
    </comment>
    <comment ref="D277" authorId="0" shapeId="0" xr:uid="{5D04E673-CEEF-4CBA-9F70-CB6965A53806}">
      <text>
        <r>
          <rPr>
            <sz val="11"/>
            <color theme="1"/>
            <rFont val="Arial"/>
            <family val="2"/>
            <scheme val="minor"/>
          </rPr>
          <t>======
ID#AAAAkkEn1OA
User    (2022-11-28 17:31:21)
Incluye: aguacate,maracuyá, naranja, plátano, tomate de árbol, tomate riñón, limón, mango, orito, piña</t>
        </r>
      </text>
    </comment>
    <comment ref="D278" authorId="0" shapeId="0" xr:uid="{C75969D4-3E26-4375-8921-33D910C8BF4B}">
      <text>
        <r>
          <rPr>
            <sz val="11"/>
            <color theme="1"/>
            <rFont val="Arial"/>
            <family val="2"/>
            <scheme val="minor"/>
          </rPr>
          <t>======
ID#AAAAkkpSM28
User    (2022-11-28 17:31:22)
Incluye: brócoli, cebolla blanca, palmito</t>
        </r>
      </text>
    </comment>
    <comment ref="D282" authorId="0" shapeId="0" xr:uid="{8B9BC223-F9EC-4738-82C5-8E33B7661596}">
      <text>
        <r>
          <rPr>
            <sz val="11"/>
            <color theme="1"/>
            <rFont val="Arial"/>
            <family val="2"/>
            <scheme val="minor"/>
          </rPr>
          <t>======
ID#AAAAkkpSM5g
User    (2022-11-28 17:31:22)
Incluye banano de exportación en monocultivo</t>
        </r>
      </text>
    </comment>
    <comment ref="D286" authorId="0" shapeId="0" xr:uid="{BB596A97-1164-4A9F-9BA3-5861C10D6408}">
      <text>
        <r>
          <rPr>
            <sz val="11"/>
            <color theme="1"/>
            <rFont val="Arial"/>
            <family val="2"/>
            <scheme val="minor"/>
          </rPr>
          <t>======
ID#AAAAkkpSMn8
User    (2022-11-28 17:31:22)
Incluye banano de exportación en monocultivo</t>
        </r>
      </text>
    </comment>
    <comment ref="D291" authorId="0" shapeId="0" xr:uid="{792F32E9-6A63-4313-AD89-5E63BACFA994}">
      <text>
        <r>
          <rPr>
            <sz val="11"/>
            <color theme="1"/>
            <rFont val="Arial"/>
            <family val="2"/>
            <scheme val="minor"/>
          </rPr>
          <t>======
ID#AAAAkkpSM3A
User    (2022-11-28 17:31:22)
Incluye banano de exportación en monocultivo</t>
        </r>
      </text>
    </comment>
    <comment ref="D295" authorId="0" shapeId="0" xr:uid="{CC9E8A54-7719-4AAF-A91C-E1A5839202C9}">
      <text>
        <r>
          <rPr>
            <sz val="11"/>
            <color theme="1"/>
            <rFont val="Arial"/>
            <family val="2"/>
            <scheme val="minor"/>
          </rPr>
          <t>======
ID#AAAAkkpSMn8
User    (2022-11-28 17:31:22)
Incluye banano de exportación en monocultivo</t>
        </r>
      </text>
    </comment>
  </commentList>
  <extLst>
    <ext xmlns:r="http://schemas.openxmlformats.org/officeDocument/2006/relationships" uri="GoogleSheetsCustomDataVersion1">
      <go:sheetsCustomData xmlns:go="http://customooxmlschemas.google.com/" r:id="rId1" roundtripDataSignature="AMtx7mi9LdC8le5YOcXiwWoArO7P7i4J5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5F000000}">
      <text>
        <r>
          <rPr>
            <sz val="11"/>
            <color theme="1"/>
            <rFont val="Arial"/>
            <family val="2"/>
            <scheme val="minor"/>
          </rPr>
          <t>======
ID#AAAAkkpSMpA
tc={78D4C4A7-9512-426F-86C3-62415D93C176}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C1" authorId="0" shapeId="0" xr:uid="{00000000-0006-0000-0300-000033000000}">
      <text>
        <r>
          <rPr>
            <sz val="11"/>
            <color theme="1"/>
            <rFont val="Arial"/>
            <family val="2"/>
            <scheme val="minor"/>
          </rPr>
          <t>======
ID#AAAAkkpSM4s
tc={872D0DEB-7458-488C-A784-A7D4A6132573}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 ref="B7" authorId="0" shapeId="0" xr:uid="{00000000-0006-0000-0300-000052000000}">
      <text>
        <r>
          <rPr>
            <sz val="11"/>
            <color theme="1"/>
            <rFont val="Arial"/>
            <family val="2"/>
            <scheme val="minor"/>
          </rPr>
          <t>======
ID#AAAAkkpSMzA
User    (2022-11-28 17:31:22)
Incluye banano de exportación en monocultivo</t>
        </r>
      </text>
    </comment>
    <comment ref="B10" authorId="0" shapeId="0" xr:uid="{00000000-0006-0000-0300-000057000000}">
      <text>
        <r>
          <rPr>
            <sz val="11"/>
            <color theme="1"/>
            <rFont val="Arial"/>
            <family val="2"/>
            <scheme val="minor"/>
          </rPr>
          <t>======
ID#AAAAkkpSMyw
User    (2022-11-28 17:31:22)
Incluye caña de azucar para azúcar y para otros usos</t>
        </r>
      </text>
    </comment>
    <comment ref="B11" authorId="0" shapeId="0" xr:uid="{00000000-0006-0000-0300-00004D000000}">
      <text>
        <r>
          <rPr>
            <sz val="11"/>
            <color theme="1"/>
            <rFont val="Arial"/>
            <family val="2"/>
            <scheme val="minor"/>
          </rPr>
          <t>======
ID#AAAAkkpSM0U
User    (2022-11-28 17:31:22)
Incluye: Maíz duro en choclo y seco, maíz suave en choclo y seco</t>
        </r>
      </text>
    </comment>
    <comment ref="B15" authorId="0" shapeId="0" xr:uid="{00000000-0006-0000-0300-000027000000}">
      <text>
        <r>
          <rPr>
            <sz val="11"/>
            <color theme="1"/>
            <rFont val="Arial"/>
            <family val="2"/>
            <scheme val="minor"/>
          </rPr>
          <t>======
ID#AAAAkkpSM6U
User    (2022-11-28 17:31:22)
Incluye: arveja seca y tierna, fréjol seco y tierno, haba seca y tierna, maní</t>
        </r>
      </text>
    </comment>
    <comment ref="B16" authorId="0" shapeId="0" xr:uid="{00000000-0006-0000-0300-000043000000}">
      <text>
        <r>
          <rPr>
            <sz val="11"/>
            <color theme="1"/>
            <rFont val="Arial"/>
            <family val="2"/>
            <scheme val="minor"/>
          </rPr>
          <t>======
ID#AAAAkkpSM2A
User    (2022-11-28 17:31:22)
Incluye: cebada, trigo</t>
        </r>
      </text>
    </comment>
    <comment ref="B17" authorId="0" shapeId="0" xr:uid="{00000000-0006-0000-0300-000001000000}">
      <text>
        <r>
          <rPr>
            <sz val="11"/>
            <color theme="1"/>
            <rFont val="Arial"/>
            <family val="2"/>
            <scheme val="minor"/>
          </rPr>
          <t>======
ID#AAAAkkpSNBE
User    (2022-11-28 17:31:22)
Incluye: papa, yuca</t>
        </r>
      </text>
    </comment>
    <comment ref="B18" authorId="0" shapeId="0" xr:uid="{00000000-0006-0000-0300-000008000000}">
      <text>
        <r>
          <rPr>
            <sz val="11"/>
            <color theme="1"/>
            <rFont val="Arial"/>
            <family val="2"/>
            <scheme val="minor"/>
          </rPr>
          <t>======
ID#AAAAkkpSM_g
User    (2022-11-28 17:31:22)
Incluye: aguacate,maracuyá, naranja, plátano, tomate de árbol, tomate riñón, limón, mango, orito, piña</t>
        </r>
      </text>
    </comment>
    <comment ref="B19" authorId="0" shapeId="0" xr:uid="{00000000-0006-0000-0300-00007B000000}">
      <text>
        <r>
          <rPr>
            <sz val="11"/>
            <color theme="1"/>
            <rFont val="Arial"/>
            <family val="2"/>
            <scheme val="minor"/>
          </rPr>
          <t>======
ID#AAAAkkEn1O4
User    (2022-11-28 17:31:21)
Incluye: brócoli, cebolla blanca, palmito</t>
        </r>
      </text>
    </comment>
    <comment ref="B20" authorId="0" shapeId="0" xr:uid="{00000000-0006-0000-0300-000073000000}">
      <text>
        <r>
          <rPr>
            <sz val="11"/>
            <color theme="1"/>
            <rFont val="Arial"/>
            <family val="2"/>
            <scheme val="minor"/>
          </rPr>
          <t>======
ID#AAAAkkEn1P4
User    (2022-11-28 17:31:21)
Incluye: brócoli, cebolla blanca, palmito</t>
        </r>
      </text>
    </comment>
    <comment ref="B26" authorId="0" shapeId="0" xr:uid="{00000000-0006-0000-0300-000083000000}">
      <text>
        <r>
          <rPr>
            <sz val="11"/>
            <color theme="1"/>
            <rFont val="Arial"/>
            <family val="2"/>
            <scheme val="minor"/>
          </rPr>
          <t>======
ID#AAAAkkEn1Nw
User    (2022-11-28 17:31:21)
Incluye caña de azucar para azúcar y para otros usos</t>
        </r>
      </text>
    </comment>
    <comment ref="B27" authorId="0" shapeId="0" xr:uid="{00000000-0006-0000-0300-00004F000000}">
      <text>
        <r>
          <rPr>
            <sz val="11"/>
            <color theme="1"/>
            <rFont val="Arial"/>
            <family val="2"/>
            <scheme val="minor"/>
          </rPr>
          <t>======
ID#AAAAkkpSMzo
User    (2022-11-28 17:31:22)
Incluye: Maíz duro en choclo y seco, maíz suave en choclo y seco</t>
        </r>
      </text>
    </comment>
    <comment ref="B31" authorId="0" shapeId="0" xr:uid="{00000000-0006-0000-0300-000003000000}">
      <text>
        <r>
          <rPr>
            <sz val="11"/>
            <color theme="1"/>
            <rFont val="Arial"/>
            <family val="2"/>
            <scheme val="minor"/>
          </rPr>
          <t>======
ID#AAAAkkpSNAo
User    (2022-11-28 17:31:22)
Incluye: arveja seca y tierna, fréjol seco y tierno, haba seca y tierna</t>
        </r>
      </text>
    </comment>
    <comment ref="B32" authorId="0" shapeId="0" xr:uid="{00000000-0006-0000-0300-00005E000000}">
      <text>
        <r>
          <rPr>
            <sz val="11"/>
            <color theme="1"/>
            <rFont val="Arial"/>
            <family val="2"/>
            <scheme val="minor"/>
          </rPr>
          <t>======
ID#AAAAkkpSMpI
User    (2022-11-28 17:31:22)
Incluye: cebada, trigo</t>
        </r>
      </text>
    </comment>
    <comment ref="B33" authorId="0" shapeId="0" xr:uid="{00000000-0006-0000-0300-000058000000}">
      <text>
        <r>
          <rPr>
            <sz val="11"/>
            <color theme="1"/>
            <rFont val="Arial"/>
            <family val="2"/>
            <scheme val="minor"/>
          </rPr>
          <t>======
ID#AAAAkkpSMyc
User    (2022-11-28 17:31:22)
Incluye: papa, yuca</t>
        </r>
      </text>
    </comment>
    <comment ref="B34" authorId="0" shapeId="0" xr:uid="{00000000-0006-0000-0300-000079000000}">
      <text>
        <r>
          <rPr>
            <sz val="11"/>
            <color theme="1"/>
            <rFont val="Arial"/>
            <family val="2"/>
            <scheme val="minor"/>
          </rPr>
          <t>======
ID#AAAAkkEn1PM
User    (2022-11-28 17:31:21)
Incluye: maracuyá, naranja, plátano, tomate de árbol, tomate riñón</t>
        </r>
      </text>
    </comment>
    <comment ref="B35" authorId="0" shapeId="0" xr:uid="{00000000-0006-0000-0300-00005D000000}">
      <text>
        <r>
          <rPr>
            <sz val="11"/>
            <color theme="1"/>
            <rFont val="Arial"/>
            <family val="2"/>
            <scheme val="minor"/>
          </rPr>
          <t>======
ID#AAAAkkpSMxw
User    (2022-11-28 17:31:22)
Incluye: brócoli, cebolla, tomate riñon</t>
        </r>
      </text>
    </comment>
    <comment ref="B36" authorId="0" shapeId="0" xr:uid="{00000000-0006-0000-0300-000049000000}">
      <text>
        <r>
          <rPr>
            <sz val="11"/>
            <color theme="1"/>
            <rFont val="Arial"/>
            <family val="2"/>
            <scheme val="minor"/>
          </rPr>
          <t>======
ID#AAAAkkpSM04
User    (2022-11-28 17:31:22)
rosa, clavel, astromellas, campánula, gysophilia, crisantemos, trachelium, lilium, lirios, limonium, girasoles, hypericum, godethia, áster, orquídeas, cartucho, otras flores transitorias y permanentes</t>
        </r>
      </text>
    </comment>
    <comment ref="B42" authorId="0" shapeId="0" xr:uid="{00000000-0006-0000-0300-00006D000000}">
      <text>
        <r>
          <rPr>
            <sz val="11"/>
            <color theme="1"/>
            <rFont val="Arial"/>
            <family val="2"/>
            <scheme val="minor"/>
          </rPr>
          <t>======
ID#AAAAkkEn1Q4
User    (2022-11-28 17:31:21)
Incluye caña de azucar para azúcar y para otros usos</t>
        </r>
      </text>
    </comment>
    <comment ref="B43" authorId="0" shapeId="0" xr:uid="{00000000-0006-0000-0300-000084000000}">
      <text>
        <r>
          <rPr>
            <sz val="11"/>
            <color theme="1"/>
            <rFont val="Arial"/>
            <family val="2"/>
            <scheme val="minor"/>
          </rPr>
          <t>======
ID#AAAAkkEn1Ns
User    (2022-11-28 17:31:21)
Incluye: Maíz duro en choclo y seco, maíz suave en choclo y seco</t>
        </r>
      </text>
    </comment>
    <comment ref="B47" authorId="0" shapeId="0" xr:uid="{00000000-0006-0000-0300-000037000000}">
      <text>
        <r>
          <rPr>
            <sz val="11"/>
            <color theme="1"/>
            <rFont val="Arial"/>
            <family val="2"/>
            <scheme val="minor"/>
          </rPr>
          <t>======
ID#AAAAkkpSM38
User    (2022-11-28 17:31:22)
Incluye: arveja seca y tierna, fréjol seco y tierno, haba seca y tierna</t>
        </r>
      </text>
    </comment>
    <comment ref="B48" authorId="0" shapeId="0" xr:uid="{00000000-0006-0000-0300-00003F000000}">
      <text>
        <r>
          <rPr>
            <sz val="11"/>
            <color theme="1"/>
            <rFont val="Arial"/>
            <family val="2"/>
            <scheme val="minor"/>
          </rPr>
          <t>======
ID#AAAAkkpSM2o
User    (2022-11-28 17:31:22)
Incluye: cebada, trigo</t>
        </r>
      </text>
    </comment>
    <comment ref="B49" authorId="0" shapeId="0" xr:uid="{00000000-0006-0000-0300-000062000000}">
      <text>
        <r>
          <rPr>
            <sz val="11"/>
            <color theme="1"/>
            <rFont val="Arial"/>
            <family val="2"/>
            <scheme val="minor"/>
          </rPr>
          <t>======
ID#AAAAkkpSMok
User    (2022-11-28 17:31:22)
Incluye: papa, yuca</t>
        </r>
      </text>
    </comment>
    <comment ref="B50" authorId="0" shapeId="0" xr:uid="{00000000-0006-0000-0300-00003A000000}">
      <text>
        <r>
          <rPr>
            <sz val="11"/>
            <color theme="1"/>
            <rFont val="Arial"/>
            <family val="2"/>
            <scheme val="minor"/>
          </rPr>
          <t>======
ID#AAAAkkpSM3s
User    (2022-11-28 17:31:22)
Incluye: maracuyá, naranja, plátano, tomate de árbol, tomate riñón</t>
        </r>
      </text>
    </comment>
    <comment ref="B51" authorId="0" shapeId="0" xr:uid="{00000000-0006-0000-0300-00002C000000}">
      <text>
        <r>
          <rPr>
            <sz val="11"/>
            <color theme="1"/>
            <rFont val="Arial"/>
            <family val="2"/>
            <scheme val="minor"/>
          </rPr>
          <t>======
ID#AAAAkkpSM5k
User    (2022-11-28 17:31:22)
Incluye: brócoli, cebolla, tomate riñon</t>
        </r>
      </text>
    </comment>
    <comment ref="B52" authorId="0" shapeId="0" xr:uid="{00000000-0006-0000-0300-00002D000000}">
      <text>
        <r>
          <rPr>
            <sz val="11"/>
            <color theme="1"/>
            <rFont val="Arial"/>
            <family val="2"/>
            <scheme val="minor"/>
          </rPr>
          <t>======
ID#AAAAkkpSM5c
User    (2022-11-28 17:31:22)
rosa, clavel, astromellas, campánula, gysophilia, crisantemos, trachelium, lilium, lirios, limonium, girasoles, hypericum, godethia, áster, orquídeas, cartucho, otras flores transitorias y permanentes</t>
        </r>
      </text>
    </comment>
    <comment ref="B58" authorId="0" shapeId="0" xr:uid="{00000000-0006-0000-0300-000068000000}">
      <text>
        <r>
          <rPr>
            <sz val="11"/>
            <color theme="1"/>
            <rFont val="Arial"/>
            <family val="2"/>
            <scheme val="minor"/>
          </rPr>
          <t>======
ID#AAAAkkEn1R4
User    (2022-11-28 17:31:21)
Incluye caña de azucar para azúcar y para otros usos</t>
        </r>
      </text>
    </comment>
    <comment ref="B59" authorId="0" shapeId="0" xr:uid="{00000000-0006-0000-0300-00000A000000}">
      <text>
        <r>
          <rPr>
            <sz val="11"/>
            <color theme="1"/>
            <rFont val="Arial"/>
            <family val="2"/>
            <scheme val="minor"/>
          </rPr>
          <t>======
ID#AAAAkkpSM_U
User    (2022-11-28 17:31:22)
Incluye: Maíz duro en choclo y seco, maíz suave en choclo y seco</t>
        </r>
      </text>
    </comment>
    <comment ref="B63" authorId="0" shapeId="0" xr:uid="{00000000-0006-0000-0300-000019000000}">
      <text>
        <r>
          <rPr>
            <sz val="11"/>
            <color theme="1"/>
            <rFont val="Arial"/>
            <family val="2"/>
            <scheme val="minor"/>
          </rPr>
          <t>======
ID#AAAAkkpSM9A
User    (2022-11-28 17:31:22)
Incluye: arveja seca y tierna, fréjol seco y tierno, haba seca y tierna</t>
        </r>
      </text>
    </comment>
    <comment ref="B64" authorId="0" shapeId="0" xr:uid="{00000000-0006-0000-0300-000076000000}">
      <text>
        <r>
          <rPr>
            <sz val="11"/>
            <color theme="1"/>
            <rFont val="Arial"/>
            <family val="2"/>
            <scheme val="minor"/>
          </rPr>
          <t>======
ID#AAAAkkEn1Po
User    (2022-11-28 17:31:21)
Incluye: cebada, trigo</t>
        </r>
      </text>
    </comment>
    <comment ref="B65" authorId="0" shapeId="0" xr:uid="{00000000-0006-0000-0300-000039000000}">
      <text>
        <r>
          <rPr>
            <sz val="11"/>
            <color theme="1"/>
            <rFont val="Arial"/>
            <family val="2"/>
            <scheme val="minor"/>
          </rPr>
          <t>======
ID#AAAAkkpSM3w
User    (2022-11-28 17:31:22)
Incluye: papa, yuca</t>
        </r>
      </text>
    </comment>
    <comment ref="B66" authorId="0" shapeId="0" xr:uid="{00000000-0006-0000-0300-00004E000000}">
      <text>
        <r>
          <rPr>
            <sz val="11"/>
            <color theme="1"/>
            <rFont val="Arial"/>
            <family val="2"/>
            <scheme val="minor"/>
          </rPr>
          <t>======
ID#AAAAkkpSM0Y
User    (2022-11-28 17:31:22)
Incluye: maracuyá, naranja, plátano, tomate de árbol, tomate riñón</t>
        </r>
      </text>
    </comment>
    <comment ref="B67" authorId="0" shapeId="0" xr:uid="{00000000-0006-0000-0300-000056000000}">
      <text>
        <r>
          <rPr>
            <sz val="11"/>
            <color theme="1"/>
            <rFont val="Arial"/>
            <family val="2"/>
            <scheme val="minor"/>
          </rPr>
          <t>======
ID#AAAAkkpSMyo
User    (2022-11-28 17:31:22)
Incluye: brócoli, cebolla, tomate riñon</t>
        </r>
      </text>
    </comment>
    <comment ref="B68" authorId="0" shapeId="0" xr:uid="{00000000-0006-0000-0300-00000D000000}">
      <text>
        <r>
          <rPr>
            <sz val="11"/>
            <color theme="1"/>
            <rFont val="Arial"/>
            <family val="2"/>
            <scheme val="minor"/>
          </rPr>
          <t>======
ID#AAAAkkpSM-k
User    (2022-11-28 17:31:22)
rosa, clavel, astromellas, campánula, gysophilia, crisantemos, trachelium, lilium, lirios, limonium, girasoles, hypericum, godethia, áster, orquídeas, cartucho, otras flores transitorias y permanentes</t>
        </r>
      </text>
    </comment>
    <comment ref="B72" authorId="0" shapeId="0" xr:uid="{00000000-0006-0000-0300-00002E000000}">
      <text>
        <r>
          <rPr>
            <sz val="11"/>
            <color theme="1"/>
            <rFont val="Arial"/>
            <family val="2"/>
            <scheme val="minor"/>
          </rPr>
          <t>======
ID#AAAAkkpSM5Y
User    (2022-11-28 17:31:22)
Incluye banano de exportación en monocultivo</t>
        </r>
      </text>
    </comment>
    <comment ref="B75" authorId="0" shapeId="0" xr:uid="{00000000-0006-0000-0300-000029000000}">
      <text>
        <r>
          <rPr>
            <sz val="11"/>
            <color theme="1"/>
            <rFont val="Arial"/>
            <family val="2"/>
            <scheme val="minor"/>
          </rPr>
          <t>======
ID#AAAAkkpSM6E
User    (2022-11-28 17:31:22)
Incluye caña de azucar para azúcar y para otros usos</t>
        </r>
      </text>
    </comment>
    <comment ref="B76" authorId="0" shapeId="0" xr:uid="{00000000-0006-0000-0300-000074000000}">
      <text>
        <r>
          <rPr>
            <sz val="11"/>
            <color theme="1"/>
            <rFont val="Arial"/>
            <family val="2"/>
            <scheme val="minor"/>
          </rPr>
          <t>======
ID#AAAAkkEn1Pw
User    (2022-11-28 17:31:21)
Incluye: Maíz duro en choclo y seco, maíz suave en choclo y seco</t>
        </r>
      </text>
    </comment>
    <comment ref="B81" authorId="0" shapeId="0" xr:uid="{00000000-0006-0000-0300-00006B000000}">
      <text>
        <r>
          <rPr>
            <sz val="11"/>
            <color theme="1"/>
            <rFont val="Arial"/>
            <family val="2"/>
            <scheme val="minor"/>
          </rPr>
          <t>======
ID#AAAAkkEn1Rc
User    (2022-11-28 17:31:21)
Incluye: arveja seca y tierna, fréjol seco y tierno, haba seca y tierna, maní</t>
        </r>
      </text>
    </comment>
    <comment ref="B82" authorId="0" shapeId="0" xr:uid="{00000000-0006-0000-0300-000021000000}">
      <text>
        <r>
          <rPr>
            <sz val="11"/>
            <color theme="1"/>
            <rFont val="Arial"/>
            <family val="2"/>
            <scheme val="minor"/>
          </rPr>
          <t>======
ID#AAAAkkpSM7U
User    (2022-11-28 17:31:22)
Incluye: cebada, trigo</t>
        </r>
      </text>
    </comment>
    <comment ref="B83" authorId="0" shapeId="0" xr:uid="{00000000-0006-0000-0300-000077000000}">
      <text>
        <r>
          <rPr>
            <sz val="11"/>
            <color theme="1"/>
            <rFont val="Arial"/>
            <family val="2"/>
            <scheme val="minor"/>
          </rPr>
          <t>======
ID#AAAAkkEn1PY
User    (2022-11-28 17:31:21)
Incluye: papa, yuca</t>
        </r>
      </text>
    </comment>
    <comment ref="B84" authorId="0" shapeId="0" xr:uid="{00000000-0006-0000-0300-00003C000000}">
      <text>
        <r>
          <rPr>
            <sz val="11"/>
            <color theme="1"/>
            <rFont val="Arial"/>
            <family val="2"/>
            <scheme val="minor"/>
          </rPr>
          <t>======
ID#AAAAkkpSM3Q
User    (2022-11-28 17:31:22)
Incluye: aguacate,maracuyá, naranja, plátano, tomate de árbol, tomate riñón, limón, mango, orito, piña</t>
        </r>
      </text>
    </comment>
    <comment ref="B85" authorId="0" shapeId="0" xr:uid="{00000000-0006-0000-0300-000013000000}">
      <text>
        <r>
          <rPr>
            <sz val="11"/>
            <color theme="1"/>
            <rFont val="Arial"/>
            <family val="2"/>
            <scheme val="minor"/>
          </rPr>
          <t>======
ID#AAAAkkpSM9c
User    (2022-11-28 17:31:22)
Incluye: brócoli, cebolla blanca, palmito</t>
        </r>
      </text>
    </comment>
    <comment ref="B91" authorId="0" shapeId="0" xr:uid="{00000000-0006-0000-0300-000014000000}">
      <text>
        <r>
          <rPr>
            <sz val="11"/>
            <color theme="1"/>
            <rFont val="Arial"/>
            <family val="2"/>
            <scheme val="minor"/>
          </rPr>
          <t>======
ID#AAAAkkpSM9g
User    (2022-11-28 17:31:22)
Incluye caña de azucar para azúcar y para otros usos</t>
        </r>
      </text>
    </comment>
    <comment ref="B92" authorId="0" shapeId="0" xr:uid="{00000000-0006-0000-0300-00006C000000}">
      <text>
        <r>
          <rPr>
            <sz val="11"/>
            <color theme="1"/>
            <rFont val="Arial"/>
            <family val="2"/>
            <scheme val="minor"/>
          </rPr>
          <t>======
ID#AAAAkkEn1RI
User    (2022-11-28 17:31:21)
Incluye: Maíz duro en choclo y seco, maíz suave en choclo y seco</t>
        </r>
      </text>
    </comment>
    <comment ref="B96" authorId="0" shapeId="0" xr:uid="{00000000-0006-0000-0300-000069000000}">
      <text>
        <r>
          <rPr>
            <sz val="11"/>
            <color theme="1"/>
            <rFont val="Arial"/>
            <family val="2"/>
            <scheme val="minor"/>
          </rPr>
          <t>======
ID#AAAAkkEn1Rw
User    (2022-11-28 17:31:21)
Incluye: arveja seca y tierna, fréjol seco y tierno, haba seca y tierna</t>
        </r>
      </text>
    </comment>
    <comment ref="B97" authorId="0" shapeId="0" xr:uid="{00000000-0006-0000-0300-000045000000}">
      <text>
        <r>
          <rPr>
            <sz val="11"/>
            <color theme="1"/>
            <rFont val="Arial"/>
            <family val="2"/>
            <scheme val="minor"/>
          </rPr>
          <t>======
ID#AAAAkkpSM10
User    (2022-11-28 17:31:22)
Incluye: cebada, trigo</t>
        </r>
      </text>
    </comment>
    <comment ref="B98" authorId="0" shapeId="0" xr:uid="{00000000-0006-0000-0300-00004B000000}">
      <text>
        <r>
          <rPr>
            <sz val="11"/>
            <color theme="1"/>
            <rFont val="Arial"/>
            <family val="2"/>
            <scheme val="minor"/>
          </rPr>
          <t>======
ID#AAAAkkpSM0k
User    (2022-11-28 17:31:22)
Incluye: papa, yuca</t>
        </r>
      </text>
    </comment>
    <comment ref="B99" authorId="0" shapeId="0" xr:uid="{00000000-0006-0000-0300-000072000000}">
      <text>
        <r>
          <rPr>
            <sz val="11"/>
            <color theme="1"/>
            <rFont val="Arial"/>
            <family val="2"/>
            <scheme val="minor"/>
          </rPr>
          <t>======
ID#AAAAkkEn1QQ
User    (2022-11-28 17:31:21)
Incluye: maracuyá, naranja, plátano, tomate de árbol, tomate riñón</t>
        </r>
      </text>
    </comment>
    <comment ref="B100" authorId="0" shapeId="0" xr:uid="{00000000-0006-0000-0300-000006000000}">
      <text>
        <r>
          <rPr>
            <sz val="11"/>
            <color theme="1"/>
            <rFont val="Arial"/>
            <family val="2"/>
            <scheme val="minor"/>
          </rPr>
          <t>======
ID#AAAAkkpSM_s
User    (2022-11-28 17:31:22)
Incluye: brócoli, cebolla, tomate riñon</t>
        </r>
      </text>
    </comment>
    <comment ref="B101" authorId="0" shapeId="0" xr:uid="{00000000-0006-0000-0300-000034000000}">
      <text>
        <r>
          <rPr>
            <sz val="11"/>
            <color theme="1"/>
            <rFont val="Arial"/>
            <family val="2"/>
            <scheme val="minor"/>
          </rPr>
          <t>======
ID#AAAAkkpSM4Y
User    (2022-11-28 17:31:22)
rosa, clavel, astromellas, campánula, gysophilia, crisantemos, trachelium, lilium, lirios, limonium, girasoles, hypericum, godethia, áster, orquídeas, cartucho, otras flores transitorias y permanentes</t>
        </r>
      </text>
    </comment>
    <comment ref="B107" authorId="0" shapeId="0" xr:uid="{00000000-0006-0000-0300-00000B000000}">
      <text>
        <r>
          <rPr>
            <sz val="11"/>
            <color theme="1"/>
            <rFont val="Arial"/>
            <family val="2"/>
            <scheme val="minor"/>
          </rPr>
          <t>======
ID#AAAAkkpSM_E
User    (2022-11-28 17:31:22)
Incluye caña de azucar para azúcar y para otros usos</t>
        </r>
      </text>
    </comment>
    <comment ref="B108" authorId="0" shapeId="0" xr:uid="{00000000-0006-0000-0300-000061000000}">
      <text>
        <r>
          <rPr>
            <sz val="11"/>
            <color theme="1"/>
            <rFont val="Arial"/>
            <family val="2"/>
            <scheme val="minor"/>
          </rPr>
          <t>======
ID#AAAAkkpSMos
User    (2022-11-28 17:31:22)
Incluye: Maíz duro en choclo y seco, maíz suave en choclo y seco</t>
        </r>
      </text>
    </comment>
    <comment ref="B112" authorId="0" shapeId="0" xr:uid="{00000000-0006-0000-0300-000066000000}">
      <text>
        <r>
          <rPr>
            <sz val="11"/>
            <color theme="1"/>
            <rFont val="Arial"/>
            <family val="2"/>
            <scheme val="minor"/>
          </rPr>
          <t>======
ID#AAAAkkpSMnw
User    (2022-11-28 17:31:22)
Incluye: arveja seca y tierna, fréjol seco y tierno, haba seca y tierna</t>
        </r>
      </text>
    </comment>
    <comment ref="B113" authorId="0" shapeId="0" xr:uid="{00000000-0006-0000-0300-000071000000}">
      <text>
        <r>
          <rPr>
            <sz val="11"/>
            <color theme="1"/>
            <rFont val="Arial"/>
            <family val="2"/>
            <scheme val="minor"/>
          </rPr>
          <t>======
ID#AAAAkkEn1QI
User    (2022-11-28 17:31:21)
Incluye: cebada, trigo</t>
        </r>
      </text>
    </comment>
    <comment ref="B114" authorId="0" shapeId="0" xr:uid="{00000000-0006-0000-0300-000009000000}">
      <text>
        <r>
          <rPr>
            <sz val="11"/>
            <color theme="1"/>
            <rFont val="Arial"/>
            <family val="2"/>
            <scheme val="minor"/>
          </rPr>
          <t>======
ID#AAAAkkpSM_c
User    (2022-11-28 17:31:22)
Incluye: papa, yuca</t>
        </r>
      </text>
    </comment>
    <comment ref="B115" authorId="0" shapeId="0" xr:uid="{00000000-0006-0000-0300-000036000000}">
      <text>
        <r>
          <rPr>
            <sz val="11"/>
            <color theme="1"/>
            <rFont val="Arial"/>
            <family val="2"/>
            <scheme val="minor"/>
          </rPr>
          <t>======
ID#AAAAkkpSM4E
User    (2022-11-28 17:31:22)
Incluye: maracuyá, naranja, plátano, tomate de árbol, tomate riñón</t>
        </r>
      </text>
    </comment>
    <comment ref="B116" authorId="0" shapeId="0" xr:uid="{00000000-0006-0000-0300-00007F000000}">
      <text>
        <r>
          <rPr>
            <sz val="11"/>
            <color theme="1"/>
            <rFont val="Arial"/>
            <family val="2"/>
            <scheme val="minor"/>
          </rPr>
          <t>======
ID#AAAAkkEn1Oc
User    (2022-11-28 17:31:21)
Incluye: brócoli, cebolla, tomate riñon</t>
        </r>
      </text>
    </comment>
    <comment ref="B117" authorId="0" shapeId="0" xr:uid="{00000000-0006-0000-0300-000042000000}">
      <text>
        <r>
          <rPr>
            <sz val="11"/>
            <color theme="1"/>
            <rFont val="Arial"/>
            <family val="2"/>
            <scheme val="minor"/>
          </rPr>
          <t>======
ID#AAAAkkpSM2M
User    (2022-11-28 17:31:22)
rosa, clavel, astromellas, campánula, gysophilia, crisantemos, trachelium, lilium, lirios, limonium, girasoles, hypericum, godethia, áster, orquídeas, cartucho, otras flores transitorias y permanentes</t>
        </r>
      </text>
    </comment>
    <comment ref="B123" authorId="0" shapeId="0" xr:uid="{00000000-0006-0000-0300-000015000000}">
      <text>
        <r>
          <rPr>
            <sz val="11"/>
            <color theme="1"/>
            <rFont val="Arial"/>
            <family val="2"/>
            <scheme val="minor"/>
          </rPr>
          <t>======
ID#AAAAkkpSM9U
User    (2022-11-28 17:31:22)
Incluye caña de azucar para azúcar y para otros usos</t>
        </r>
      </text>
    </comment>
    <comment ref="B124" authorId="0" shapeId="0" xr:uid="{00000000-0006-0000-0300-000081000000}">
      <text>
        <r>
          <rPr>
            <sz val="11"/>
            <color theme="1"/>
            <rFont val="Arial"/>
            <family val="2"/>
            <scheme val="minor"/>
          </rPr>
          <t>======
ID#AAAAkkEn1N4
User    (2022-11-28 17:31:21)
Incluye: Maíz duro en choclo y seco, maíz suave en choclo y seco</t>
        </r>
      </text>
    </comment>
    <comment ref="B128" authorId="0" shapeId="0" xr:uid="{00000000-0006-0000-0300-00004A000000}">
      <text>
        <r>
          <rPr>
            <sz val="11"/>
            <color theme="1"/>
            <rFont val="Arial"/>
            <family val="2"/>
            <scheme val="minor"/>
          </rPr>
          <t>======
ID#AAAAkkpSM0o
User    (2022-11-28 17:31:22)
Incluye: arveja seca y tierna, fréjol seco y tierno, haba seca y tierna</t>
        </r>
      </text>
    </comment>
    <comment ref="B129" authorId="0" shapeId="0" xr:uid="{00000000-0006-0000-0300-00002A000000}">
      <text>
        <r>
          <rPr>
            <sz val="11"/>
            <color theme="1"/>
            <rFont val="Arial"/>
            <family val="2"/>
            <scheme val="minor"/>
          </rPr>
          <t>======
ID#AAAAkkpSM54
User    (2022-11-28 17:31:22)
Incluye: cebada, trigo</t>
        </r>
      </text>
    </comment>
    <comment ref="B130" authorId="0" shapeId="0" xr:uid="{00000000-0006-0000-0300-000028000000}">
      <text>
        <r>
          <rPr>
            <sz val="11"/>
            <color theme="1"/>
            <rFont val="Arial"/>
            <family val="2"/>
            <scheme val="minor"/>
          </rPr>
          <t>======
ID#AAAAkkpSM6Q
User    (2022-11-28 17:31:22)
Incluye: papa, yuca</t>
        </r>
      </text>
    </comment>
    <comment ref="B131" authorId="0" shapeId="0" xr:uid="{00000000-0006-0000-0300-00007A000000}">
      <text>
        <r>
          <rPr>
            <sz val="11"/>
            <color theme="1"/>
            <rFont val="Arial"/>
            <family val="2"/>
            <scheme val="minor"/>
          </rPr>
          <t>======
ID#AAAAkkEn1PE
User    (2022-11-28 17:31:21)
Incluye: maracuyá, naranja, plátano, tomate de árbol, tomate riñón</t>
        </r>
      </text>
    </comment>
    <comment ref="B132" authorId="0" shapeId="0" xr:uid="{00000000-0006-0000-0300-000048000000}">
      <text>
        <r>
          <rPr>
            <sz val="11"/>
            <color theme="1"/>
            <rFont val="Arial"/>
            <family val="2"/>
            <scheme val="minor"/>
          </rPr>
          <t>======
ID#AAAAkkpSM1A
User    (2022-11-28 17:31:22)
Incluye: brócoli, cebolla, tomate riñon</t>
        </r>
      </text>
    </comment>
    <comment ref="B133" authorId="0" shapeId="0" xr:uid="{00000000-0006-0000-0300-00006F000000}">
      <text>
        <r>
          <rPr>
            <sz val="11"/>
            <color theme="1"/>
            <rFont val="Arial"/>
            <family val="2"/>
            <scheme val="minor"/>
          </rPr>
          <t>======
ID#AAAAkkEn1Qg
User    (2022-11-28 17:31:21)
rosa, clavel, astromellas, campánula, gysophilia, crisantemos, trachelium, lilium, lirios, limonium, girasoles, hypericum, godethia, áster, orquídeas, cartucho, otras flores transitorias y permanentes</t>
        </r>
      </text>
    </comment>
    <comment ref="B144" authorId="0" shapeId="0" xr:uid="{00000000-0006-0000-0300-000023000000}">
      <text>
        <r>
          <rPr>
            <sz val="11"/>
            <color theme="1"/>
            <rFont val="Arial"/>
            <family val="2"/>
            <scheme val="minor"/>
          </rPr>
          <t>======
ID#AAAAkkpSM7E
User    (2022-11-28 17:31:22)
Incluye caña de azucar para azúcar y para otros usos</t>
        </r>
      </text>
    </comment>
    <comment ref="B145" authorId="0" shapeId="0" xr:uid="{00000000-0006-0000-0300-000047000000}">
      <text>
        <r>
          <rPr>
            <sz val="11"/>
            <color theme="1"/>
            <rFont val="Arial"/>
            <family val="2"/>
            <scheme val="minor"/>
          </rPr>
          <t>======
ID#AAAAkkpSM1I
User    (2022-11-28 17:31:22)
Incluye: Maíz duro en choclo y seco, maíz suave en choclo y seco</t>
        </r>
      </text>
    </comment>
    <comment ref="B150" authorId="0" shapeId="0" xr:uid="{00000000-0006-0000-0300-000024000000}">
      <text>
        <r>
          <rPr>
            <sz val="11"/>
            <color theme="1"/>
            <rFont val="Arial"/>
            <family val="2"/>
            <scheme val="minor"/>
          </rPr>
          <t>======
ID#AAAAkkpSM64
User    (2022-11-28 17:31:22)
Incluye: arveja seca y tierna, fréjol seco y tierno, haba seca y tierna, maní</t>
        </r>
      </text>
    </comment>
    <comment ref="B151" authorId="0" shapeId="0" xr:uid="{00000000-0006-0000-0300-000030000000}">
      <text>
        <r>
          <rPr>
            <sz val="11"/>
            <color theme="1"/>
            <rFont val="Arial"/>
            <family val="2"/>
            <scheme val="minor"/>
          </rPr>
          <t>======
ID#AAAAkkpSM5A
User    (2022-11-28 17:31:22)
Incluye: cebada, trigo</t>
        </r>
      </text>
    </comment>
    <comment ref="B152" authorId="0" shapeId="0" xr:uid="{00000000-0006-0000-0300-00006A000000}">
      <text>
        <r>
          <rPr>
            <sz val="11"/>
            <color theme="1"/>
            <rFont val="Arial"/>
            <family val="2"/>
            <scheme val="minor"/>
          </rPr>
          <t>======
ID#AAAAkkEn1Rk
User    (2022-11-28 17:31:21)
Incluye: papa, yuca</t>
        </r>
      </text>
    </comment>
    <comment ref="B153" authorId="0" shapeId="0" xr:uid="{00000000-0006-0000-0300-000040000000}">
      <text>
        <r>
          <rPr>
            <sz val="11"/>
            <color theme="1"/>
            <rFont val="Arial"/>
            <family val="2"/>
            <scheme val="minor"/>
          </rPr>
          <t>======
ID#AAAAkkpSM2s
User    (2022-11-28 17:31:22)
Incluye: maracuyá, naranja, plátano, tomate de árbol, tomate riñón</t>
        </r>
      </text>
    </comment>
    <comment ref="B154" authorId="0" shapeId="0" xr:uid="{00000000-0006-0000-0300-000020000000}">
      <text>
        <r>
          <rPr>
            <sz val="11"/>
            <color theme="1"/>
            <rFont val="Arial"/>
            <family val="2"/>
            <scheme val="minor"/>
          </rPr>
          <t>======
ID#AAAAkkpSM7Y
User    (2022-11-28 17:31:22)
Incluye: brócoli, cebolla blanca, palmito</t>
        </r>
      </text>
    </comment>
    <comment ref="B160" authorId="0" shapeId="0" xr:uid="{00000000-0006-0000-0300-000082000000}">
      <text>
        <r>
          <rPr>
            <sz val="11"/>
            <color theme="1"/>
            <rFont val="Arial"/>
            <family val="2"/>
            <scheme val="minor"/>
          </rPr>
          <t>======
ID#AAAAkkEn1N0
User    (2022-11-28 17:31:21)
Incluye caña de azucar para azúcar y para otros usos</t>
        </r>
      </text>
    </comment>
    <comment ref="B161" authorId="0" shapeId="0" xr:uid="{00000000-0006-0000-0300-00001B000000}">
      <text>
        <r>
          <rPr>
            <sz val="11"/>
            <color theme="1"/>
            <rFont val="Arial"/>
            <family val="2"/>
            <scheme val="minor"/>
          </rPr>
          <t>======
ID#AAAAkkpSM8s
User    (2022-11-28 17:31:22)
Incluye: Maíz duro en choclo y seco, maíz suave en choclo y seco</t>
        </r>
      </text>
    </comment>
    <comment ref="B165" authorId="0" shapeId="0" xr:uid="{00000000-0006-0000-0300-000011000000}">
      <text>
        <r>
          <rPr>
            <sz val="11"/>
            <color theme="1"/>
            <rFont val="Arial"/>
            <family val="2"/>
            <scheme val="minor"/>
          </rPr>
          <t>======
ID#AAAAkkpSM9k
User    (2022-11-28 17:31:22)
Incluye: arveja seca y tierna, fréjol seco y tierno, haba seca y tierna</t>
        </r>
      </text>
    </comment>
    <comment ref="B166" authorId="0" shapeId="0" xr:uid="{00000000-0006-0000-0300-000051000000}">
      <text>
        <r>
          <rPr>
            <sz val="11"/>
            <color theme="1"/>
            <rFont val="Arial"/>
            <family val="2"/>
            <scheme val="minor"/>
          </rPr>
          <t>======
ID#AAAAkkpSMzE
User    (2022-11-28 17:31:22)
Incluye: cebada, trigo</t>
        </r>
      </text>
    </comment>
    <comment ref="B167" authorId="0" shapeId="0" xr:uid="{00000000-0006-0000-0300-00003B000000}">
      <text>
        <r>
          <rPr>
            <sz val="11"/>
            <color theme="1"/>
            <rFont val="Arial"/>
            <family val="2"/>
            <scheme val="minor"/>
          </rPr>
          <t>======
ID#AAAAkkpSM3c
User    (2022-11-28 17:31:22)
Incluye: papa, yuca</t>
        </r>
      </text>
    </comment>
    <comment ref="B168" authorId="0" shapeId="0" xr:uid="{00000000-0006-0000-0300-000070000000}">
      <text>
        <r>
          <rPr>
            <sz val="11"/>
            <color theme="1"/>
            <rFont val="Arial"/>
            <family val="2"/>
            <scheme val="minor"/>
          </rPr>
          <t>======
ID#AAAAkkEn1Qk
User    (2022-11-28 17:31:21)
Incluye: maracuyá, naranja, plátano, tomate de árbol, tomate riñón</t>
        </r>
      </text>
    </comment>
    <comment ref="B169" authorId="0" shapeId="0" xr:uid="{00000000-0006-0000-0300-00001A000000}">
      <text>
        <r>
          <rPr>
            <sz val="11"/>
            <color theme="1"/>
            <rFont val="Arial"/>
            <family val="2"/>
            <scheme val="minor"/>
          </rPr>
          <t>======
ID#AAAAkkpSM84
User    (2022-11-28 17:31:22)
Incluye: brócoli, cebolla blanca, palmito</t>
        </r>
      </text>
    </comment>
    <comment ref="B175" authorId="0" shapeId="0" xr:uid="{00000000-0006-0000-0300-00005C000000}">
      <text>
        <r>
          <rPr>
            <sz val="11"/>
            <color theme="1"/>
            <rFont val="Arial"/>
            <family val="2"/>
            <scheme val="minor"/>
          </rPr>
          <t>======
ID#AAAAkkpSMx0
User    (2022-11-28 17:31:22)
Incluye caña de azucar para azúcar y para otros usos</t>
        </r>
      </text>
    </comment>
    <comment ref="B176" authorId="0" shapeId="0" xr:uid="{00000000-0006-0000-0300-000067000000}">
      <text>
        <r>
          <rPr>
            <sz val="11"/>
            <color theme="1"/>
            <rFont val="Arial"/>
            <family val="2"/>
            <scheme val="minor"/>
          </rPr>
          <t>======
ID#AAAAkkpSMmk
User    (2022-11-28 17:31:22)
Incluye: Maíz duro en choclo y seco, maíz suave en choclo y seco</t>
        </r>
      </text>
    </comment>
    <comment ref="B180" authorId="0" shapeId="0" xr:uid="{00000000-0006-0000-0300-00003D000000}">
      <text>
        <r>
          <rPr>
            <sz val="11"/>
            <color theme="1"/>
            <rFont val="Arial"/>
            <family val="2"/>
            <scheme val="minor"/>
          </rPr>
          <t>======
ID#AAAAkkpSM3M
User    (2022-11-28 17:31:22)
Incluye: arveja seca y tierna, fréjol seco y tierno, haba seca y tierna</t>
        </r>
      </text>
    </comment>
    <comment ref="B181" authorId="0" shapeId="0" xr:uid="{00000000-0006-0000-0300-000063000000}">
      <text>
        <r>
          <rPr>
            <sz val="11"/>
            <color theme="1"/>
            <rFont val="Arial"/>
            <family val="2"/>
            <scheme val="minor"/>
          </rPr>
          <t>======
ID#AAAAkkpSMoc
User    (2022-11-28 17:31:22)
Incluye: cebada, trigo</t>
        </r>
      </text>
    </comment>
    <comment ref="B182" authorId="0" shapeId="0" xr:uid="{00000000-0006-0000-0300-000031000000}">
      <text>
        <r>
          <rPr>
            <sz val="11"/>
            <color theme="1"/>
            <rFont val="Arial"/>
            <family val="2"/>
            <scheme val="minor"/>
          </rPr>
          <t>======
ID#AAAAkkpSM5E
User    (2022-11-28 17:31:22)
Incluye: papa, yuca</t>
        </r>
      </text>
    </comment>
    <comment ref="B183" authorId="0" shapeId="0" xr:uid="{00000000-0006-0000-0300-00001D000000}">
      <text>
        <r>
          <rPr>
            <sz val="11"/>
            <color theme="1"/>
            <rFont val="Arial"/>
            <family val="2"/>
            <scheme val="minor"/>
          </rPr>
          <t>======
ID#AAAAkkpSM8E
User    (2022-11-28 17:31:22)
Incluye: maracuyá, naranja, plátano, tomate de árbol, tomate riñón</t>
        </r>
      </text>
    </comment>
    <comment ref="B184" authorId="0" shapeId="0" xr:uid="{00000000-0006-0000-0300-00007E000000}">
      <text>
        <r>
          <rPr>
            <sz val="11"/>
            <color theme="1"/>
            <rFont val="Arial"/>
            <family val="2"/>
            <scheme val="minor"/>
          </rPr>
          <t>======
ID#AAAAkkEn1Oo
User    (2022-11-28 17:31:21)
Incluye: brócoli, cebolla blanca, palmito</t>
        </r>
      </text>
    </comment>
    <comment ref="B195" authorId="0" shapeId="0" xr:uid="{00000000-0006-0000-0300-000060000000}">
      <text>
        <r>
          <rPr>
            <sz val="11"/>
            <color theme="1"/>
            <rFont val="Arial"/>
            <family val="2"/>
            <scheme val="minor"/>
          </rPr>
          <t>======
ID#AAAAkkpSMo8
User    (2022-11-28 17:31:22)
Incluye caña de azucar para azúcar y para otros usos</t>
        </r>
      </text>
    </comment>
    <comment ref="B196" authorId="0" shapeId="0" xr:uid="{00000000-0006-0000-0300-000025000000}">
      <text>
        <r>
          <rPr>
            <sz val="11"/>
            <color theme="1"/>
            <rFont val="Arial"/>
            <family val="2"/>
            <scheme val="minor"/>
          </rPr>
          <t>======
ID#AAAAkkpSM6s
User    (2022-11-28 17:31:22)
Incluye: Maíz duro en choclo y seco, maíz suave en choclo y seco</t>
        </r>
      </text>
    </comment>
    <comment ref="B201" authorId="0" shapeId="0" xr:uid="{00000000-0006-0000-0300-000080000000}">
      <text>
        <r>
          <rPr>
            <sz val="11"/>
            <color theme="1"/>
            <rFont val="Arial"/>
            <family val="2"/>
            <scheme val="minor"/>
          </rPr>
          <t>======
ID#AAAAkkEn1OM
User    (2022-11-28 17:31:21)
Incluye: arveja seca y tierna, fréjol seco y tierno, haba seca y tierna, maní</t>
        </r>
      </text>
    </comment>
    <comment ref="B202" authorId="0" shapeId="0" xr:uid="{00000000-0006-0000-0300-000005000000}">
      <text>
        <r>
          <rPr>
            <sz val="11"/>
            <color theme="1"/>
            <rFont val="Arial"/>
            <family val="2"/>
            <scheme val="minor"/>
          </rPr>
          <t>======
ID#AAAAkkpSM_w
User    (2022-11-28 17:31:22)
Incluye: cebada, trigo</t>
        </r>
      </text>
    </comment>
    <comment ref="B203" authorId="0" shapeId="0" xr:uid="{00000000-0006-0000-0300-000032000000}">
      <text>
        <r>
          <rPr>
            <sz val="11"/>
            <color theme="1"/>
            <rFont val="Arial"/>
            <family val="2"/>
            <scheme val="minor"/>
          </rPr>
          <t>======
ID#AAAAkkpSM48
User    (2022-11-28 17:31:22)
Incluye: papa, yuca</t>
        </r>
      </text>
    </comment>
    <comment ref="B204" authorId="0" shapeId="0" xr:uid="{00000000-0006-0000-0300-000065000000}">
      <text>
        <r>
          <rPr>
            <sz val="11"/>
            <color theme="1"/>
            <rFont val="Arial"/>
            <family val="2"/>
            <scheme val="minor"/>
          </rPr>
          <t>======
ID#AAAAkkpSMoA
User    (2022-11-28 17:31:22)
Incluye: maracuyá, naranja, plátano, tomate de árbol, tomate riñón</t>
        </r>
      </text>
    </comment>
    <comment ref="B205" authorId="0" shapeId="0" xr:uid="{00000000-0006-0000-0300-000035000000}">
      <text>
        <r>
          <rPr>
            <sz val="11"/>
            <color theme="1"/>
            <rFont val="Arial"/>
            <family val="2"/>
            <scheme val="minor"/>
          </rPr>
          <t>======
ID#AAAAkkpSM4I
User    (2022-11-28 17:31:22)
Incluye: brócoli, cebolla blanca, palmito</t>
        </r>
      </text>
    </comment>
    <comment ref="B211" authorId="0" shapeId="0" xr:uid="{00000000-0006-0000-0300-00005B000000}">
      <text>
        <r>
          <rPr>
            <sz val="11"/>
            <color theme="1"/>
            <rFont val="Arial"/>
            <family val="2"/>
            <scheme val="minor"/>
          </rPr>
          <t>======
ID#AAAAkkpSMx4
User    (2022-11-28 17:31:22)
Incluye caña de azucar para azúcar y para otros usos</t>
        </r>
      </text>
    </comment>
    <comment ref="B212" authorId="0" shapeId="0" xr:uid="{00000000-0006-0000-0300-00001F000000}">
      <text>
        <r>
          <rPr>
            <sz val="11"/>
            <color theme="1"/>
            <rFont val="Arial"/>
            <family val="2"/>
            <scheme val="minor"/>
          </rPr>
          <t>======
ID#AAAAkkpSM7g
User    (2022-11-28 17:31:22)
Incluye: Maíz duro en choclo y seco, maíz suave en choclo y seco</t>
        </r>
      </text>
    </comment>
    <comment ref="B216" authorId="0" shapeId="0" xr:uid="{00000000-0006-0000-0300-000018000000}">
      <text>
        <r>
          <rPr>
            <sz val="11"/>
            <color theme="1"/>
            <rFont val="Arial"/>
            <family val="2"/>
            <scheme val="minor"/>
          </rPr>
          <t>======
ID#AAAAkkpSM9M
User    (2022-11-28 17:31:22)
Incluye: arveja seca y tierna, fréjol seco y tierno, haba seca y tierna</t>
        </r>
      </text>
    </comment>
    <comment ref="B217" authorId="0" shapeId="0" xr:uid="{00000000-0006-0000-0300-00002F000000}">
      <text>
        <r>
          <rPr>
            <sz val="11"/>
            <color theme="1"/>
            <rFont val="Arial"/>
            <family val="2"/>
            <scheme val="minor"/>
          </rPr>
          <t>======
ID#AAAAkkpSM5U
User    (2022-11-28 17:31:22)
Incluye: cebada, trigo</t>
        </r>
      </text>
    </comment>
    <comment ref="B218" authorId="0" shapeId="0" xr:uid="{00000000-0006-0000-0300-00005A000000}">
      <text>
        <r>
          <rPr>
            <sz val="11"/>
            <color theme="1"/>
            <rFont val="Arial"/>
            <family val="2"/>
            <scheme val="minor"/>
          </rPr>
          <t>======
ID#AAAAkkpSMyU
User    (2022-11-28 17:31:22)
Incluye: papa, yuca</t>
        </r>
      </text>
    </comment>
    <comment ref="B219" authorId="0" shapeId="0" xr:uid="{00000000-0006-0000-0300-000078000000}">
      <text>
        <r>
          <rPr>
            <sz val="11"/>
            <color theme="1"/>
            <rFont val="Arial"/>
            <family val="2"/>
            <scheme val="minor"/>
          </rPr>
          <t>======
ID#AAAAkkEn1Pc
User    (2022-11-28 17:31:21)
Incluye: maracuyá, naranja, plátano, tomate de árbol, tomate riñón</t>
        </r>
      </text>
    </comment>
    <comment ref="B220" authorId="0" shapeId="0" xr:uid="{00000000-0006-0000-0300-000053000000}">
      <text>
        <r>
          <rPr>
            <sz val="11"/>
            <color theme="1"/>
            <rFont val="Arial"/>
            <family val="2"/>
            <scheme val="minor"/>
          </rPr>
          <t>======
ID#AAAAkkpSMzI
User    (2022-11-28 17:31:22)
Incluye: brócoli, cebolla blanca, palmito</t>
        </r>
      </text>
    </comment>
    <comment ref="B229" authorId="0" shapeId="0" xr:uid="{00000000-0006-0000-0300-000044000000}">
      <text>
        <r>
          <rPr>
            <sz val="11"/>
            <color theme="1"/>
            <rFont val="Arial"/>
            <family val="2"/>
            <scheme val="minor"/>
          </rPr>
          <t>======
ID#AAAAkkpSM18
User    (2022-11-28 17:31:22)
Incluye caña de azucar para azúcar y para otros usos</t>
        </r>
      </text>
    </comment>
    <comment ref="B230" authorId="0" shapeId="0" xr:uid="{00000000-0006-0000-0300-00001E000000}">
      <text>
        <r>
          <rPr>
            <sz val="11"/>
            <color theme="1"/>
            <rFont val="Arial"/>
            <family val="2"/>
            <scheme val="minor"/>
          </rPr>
          <t>======
ID#AAAAkkpSM7w
User    (2022-11-28 17:31:22)
Incluye: Maíz duro en choclo y seco, maíz suave en choclo y seco</t>
        </r>
      </text>
    </comment>
    <comment ref="B235" authorId="0" shapeId="0" xr:uid="{00000000-0006-0000-0300-000026000000}">
      <text>
        <r>
          <rPr>
            <sz val="11"/>
            <color theme="1"/>
            <rFont val="Arial"/>
            <family val="2"/>
            <scheme val="minor"/>
          </rPr>
          <t>======
ID#AAAAkkpSM6o
User    (2022-11-28 17:31:22)
Incluye: arveja seca y tierna, fréjol seco y tierno, haba seca y tierna, maní</t>
        </r>
      </text>
    </comment>
    <comment ref="B236" authorId="0" shapeId="0" xr:uid="{00000000-0006-0000-0300-000059000000}">
      <text>
        <r>
          <rPr>
            <sz val="11"/>
            <color theme="1"/>
            <rFont val="Arial"/>
            <family val="2"/>
            <scheme val="minor"/>
          </rPr>
          <t>======
ID#AAAAkkpSMyg
User    (2022-11-28 17:31:22)
Incluye: cebada, trigo</t>
        </r>
      </text>
    </comment>
    <comment ref="B237" authorId="0" shapeId="0" xr:uid="{00000000-0006-0000-0300-00007D000000}">
      <text>
        <r>
          <rPr>
            <sz val="11"/>
            <color theme="1"/>
            <rFont val="Arial"/>
            <family val="2"/>
            <scheme val="minor"/>
          </rPr>
          <t>======
ID#AAAAkkEn1Os
User    (2022-11-28 17:31:21)
Incluye: papa, yuca</t>
        </r>
      </text>
    </comment>
    <comment ref="B238" authorId="0" shapeId="0" xr:uid="{00000000-0006-0000-0300-000012000000}">
      <text>
        <r>
          <rPr>
            <sz val="11"/>
            <color theme="1"/>
            <rFont val="Arial"/>
            <family val="2"/>
            <scheme val="minor"/>
          </rPr>
          <t>======
ID#AAAAkkpSM9o
User    (2022-11-28 17:31:22)
Incluye: maracuyá, naranja, plátano, tomate de árbol, tomate riñón</t>
        </r>
      </text>
    </comment>
    <comment ref="B239" authorId="0" shapeId="0" xr:uid="{00000000-0006-0000-0300-000050000000}">
      <text>
        <r>
          <rPr>
            <sz val="11"/>
            <color theme="1"/>
            <rFont val="Arial"/>
            <family val="2"/>
            <scheme val="minor"/>
          </rPr>
          <t>======
ID#AAAAkkpSMzg
User    (2022-11-28 17:31:22)
Incluye: brócoli, cebolla blanca, palmito</t>
        </r>
      </text>
    </comment>
    <comment ref="B245" authorId="0" shapeId="0" xr:uid="{00000000-0006-0000-0300-00004C000000}">
      <text>
        <r>
          <rPr>
            <sz val="11"/>
            <color theme="1"/>
            <rFont val="Arial"/>
            <family val="2"/>
            <scheme val="minor"/>
          </rPr>
          <t>======
ID#AAAAkkpSM0g
User    (2022-11-28 17:31:22)
Incluye caña de azucar para azúcar y para otros usos</t>
        </r>
      </text>
    </comment>
    <comment ref="B246" authorId="0" shapeId="0" xr:uid="{00000000-0006-0000-0300-00000E000000}">
      <text>
        <r>
          <rPr>
            <sz val="11"/>
            <color theme="1"/>
            <rFont val="Arial"/>
            <family val="2"/>
            <scheme val="minor"/>
          </rPr>
          <t>======
ID#AAAAkkpSM-c
User    (2022-11-28 17:31:22)
Incluye: Maíz duro en choclo y seco, maíz suave en choclo y seco</t>
        </r>
      </text>
    </comment>
    <comment ref="B250" authorId="0" shapeId="0" xr:uid="{00000000-0006-0000-0300-000064000000}">
      <text>
        <r>
          <rPr>
            <sz val="11"/>
            <color theme="1"/>
            <rFont val="Arial"/>
            <family val="2"/>
            <scheme val="minor"/>
          </rPr>
          <t>======
ID#AAAAkkpSMog
User    (2022-11-28 17:31:22)
Incluye: arveja seca y tierna, fréjol seco y tierno, haba seca y tierna</t>
        </r>
      </text>
    </comment>
    <comment ref="B251" authorId="0" shapeId="0" xr:uid="{00000000-0006-0000-0300-000004000000}">
      <text>
        <r>
          <rPr>
            <sz val="11"/>
            <color theme="1"/>
            <rFont val="Arial"/>
            <family val="2"/>
            <scheme val="minor"/>
          </rPr>
          <t>======
ID#AAAAkkpSNAY
User    (2022-11-28 17:31:22)
Incluye: cebada, trigo</t>
        </r>
      </text>
    </comment>
    <comment ref="B252" authorId="0" shapeId="0" xr:uid="{00000000-0006-0000-0300-000075000000}">
      <text>
        <r>
          <rPr>
            <sz val="11"/>
            <color theme="1"/>
            <rFont val="Arial"/>
            <family val="2"/>
            <scheme val="minor"/>
          </rPr>
          <t>======
ID#AAAAkkEn1P0
User    (2022-11-28 17:31:21)
Incluye: papa, yuca</t>
        </r>
      </text>
    </comment>
    <comment ref="B253" authorId="0" shapeId="0" xr:uid="{00000000-0006-0000-0300-000055000000}">
      <text>
        <r>
          <rPr>
            <sz val="11"/>
            <color theme="1"/>
            <rFont val="Arial"/>
            <family val="2"/>
            <scheme val="minor"/>
          </rPr>
          <t>======
ID#AAAAkkpSMy0
User    (2022-11-28 17:31:22)
Incluye: maracuyá, naranja, plátano, tomate de árbol, tomate riñón</t>
        </r>
      </text>
    </comment>
    <comment ref="B254" authorId="0" shapeId="0" xr:uid="{00000000-0006-0000-0300-000022000000}">
      <text>
        <r>
          <rPr>
            <sz val="11"/>
            <color theme="1"/>
            <rFont val="Arial"/>
            <family val="2"/>
            <scheme val="minor"/>
          </rPr>
          <t>======
ID#AAAAkkpSM7I
User    (2022-11-28 17:31:22)
Incluye: brócoli, cebolla blanca, palmito</t>
        </r>
      </text>
    </comment>
    <comment ref="B332" authorId="0" shapeId="0" xr:uid="{00000000-0006-0000-0300-000002000000}">
      <text>
        <r>
          <rPr>
            <sz val="11"/>
            <color theme="1"/>
            <rFont val="Arial"/>
            <family val="2"/>
            <scheme val="minor"/>
          </rPr>
          <t>======
ID#AAAAkkpSNBA
User    (2022-11-28 17:31:22)
Incluye banano de exportación en monocultivo</t>
        </r>
      </text>
    </comment>
    <comment ref="B335" authorId="0" shapeId="0" xr:uid="{00000000-0006-0000-0300-000041000000}">
      <text>
        <r>
          <rPr>
            <sz val="11"/>
            <color theme="1"/>
            <rFont val="Arial"/>
            <family val="2"/>
            <scheme val="minor"/>
          </rPr>
          <t>======
ID#AAAAkkpSM2c
User    (2022-11-28 17:31:22)
Incluye caña de azucar para azúcar y para otros usos</t>
        </r>
      </text>
    </comment>
    <comment ref="B336" authorId="0" shapeId="0" xr:uid="{00000000-0006-0000-0300-000017000000}">
      <text>
        <r>
          <rPr>
            <sz val="11"/>
            <color theme="1"/>
            <rFont val="Arial"/>
            <family val="2"/>
            <scheme val="minor"/>
          </rPr>
          <t>======
ID#AAAAkkpSM9Y
User    (2022-11-28 17:31:22)
Incluye: Maíz duro en choclo y seco, maíz suave en choclo y seco</t>
        </r>
      </text>
    </comment>
    <comment ref="B340" authorId="0" shapeId="0" xr:uid="{00000000-0006-0000-0300-00000F000000}">
      <text>
        <r>
          <rPr>
            <sz val="11"/>
            <color theme="1"/>
            <rFont val="Arial"/>
            <family val="2"/>
            <scheme val="minor"/>
          </rPr>
          <t>======
ID#AAAAkkpSM-A
User    (2022-11-28 17:31:22)
Incluye: arveja seca y tierna, fréjol seco y tierno, haba seca y tierna, maní</t>
        </r>
      </text>
    </comment>
    <comment ref="B341" authorId="0" shapeId="0" xr:uid="{00000000-0006-0000-0300-000054000000}">
      <text>
        <r>
          <rPr>
            <sz val="11"/>
            <color theme="1"/>
            <rFont val="Arial"/>
            <family val="2"/>
            <scheme val="minor"/>
          </rPr>
          <t>======
ID#AAAAkkpSMy4
User    (2022-11-28 17:31:22)
Incluye: cebada, trigo</t>
        </r>
      </text>
    </comment>
    <comment ref="B342" authorId="0" shapeId="0" xr:uid="{00000000-0006-0000-0300-00006E000000}">
      <text>
        <r>
          <rPr>
            <sz val="11"/>
            <color theme="1"/>
            <rFont val="Arial"/>
            <family val="2"/>
            <scheme val="minor"/>
          </rPr>
          <t>======
ID#AAAAkkEn1Qs
User    (2022-11-28 17:31:21)
Incluye: papa, yuca</t>
        </r>
      </text>
    </comment>
    <comment ref="B343" authorId="0" shapeId="0" xr:uid="{00000000-0006-0000-0300-00000C000000}">
      <text>
        <r>
          <rPr>
            <sz val="11"/>
            <color theme="1"/>
            <rFont val="Arial"/>
            <family val="2"/>
            <scheme val="minor"/>
          </rPr>
          <t>======
ID#AAAAkkpSM-8
User    (2022-11-28 17:31:22)
Incluye: aguacate,maracuyá, naranja, plátano, tomate de árbol, tomate riñón, limón, mango, orito, piña</t>
        </r>
      </text>
    </comment>
    <comment ref="B344" authorId="0" shapeId="0" xr:uid="{00000000-0006-0000-0300-000016000000}">
      <text>
        <r>
          <rPr>
            <sz val="11"/>
            <color theme="1"/>
            <rFont val="Arial"/>
            <family val="2"/>
            <scheme val="minor"/>
          </rPr>
          <t>======
ID#AAAAkkpSM9Q
User    (2022-11-28 17:31:22)
Incluye: brócoli, cebolla blanca, palmito</t>
        </r>
      </text>
    </comment>
    <comment ref="B349" authorId="0" shapeId="0" xr:uid="{00000000-0006-0000-0300-000010000000}">
      <text>
        <r>
          <rPr>
            <sz val="11"/>
            <color theme="1"/>
            <rFont val="Arial"/>
            <family val="2"/>
            <scheme val="minor"/>
          </rPr>
          <t>======
ID#AAAAkkpSM9w
User    (2022-11-28 17:31:22)
Incluye banano de exportación en monocultivo</t>
        </r>
      </text>
    </comment>
    <comment ref="B352" authorId="0" shapeId="0" xr:uid="{00000000-0006-0000-0300-000046000000}">
      <text>
        <r>
          <rPr>
            <sz val="11"/>
            <color theme="1"/>
            <rFont val="Arial"/>
            <family val="2"/>
            <scheme val="minor"/>
          </rPr>
          <t>======
ID#AAAAkkpSM1c
User    (2022-11-28 17:31:22)
Incluye caña de azucar para azúcar y para otros usos</t>
        </r>
      </text>
    </comment>
    <comment ref="B353" authorId="0" shapeId="0" xr:uid="{00000000-0006-0000-0300-00002B000000}">
      <text>
        <r>
          <rPr>
            <sz val="11"/>
            <color theme="1"/>
            <rFont val="Arial"/>
            <family val="2"/>
            <scheme val="minor"/>
          </rPr>
          <t>======
ID#AAAAkkpSM5w
User    (2022-11-28 17:31:22)
Incluye: Maíz duro en choclo y seco, maíz suave en choclo y seco</t>
        </r>
      </text>
    </comment>
    <comment ref="B357" authorId="0" shapeId="0" xr:uid="{00000000-0006-0000-0300-00001C000000}">
      <text>
        <r>
          <rPr>
            <sz val="11"/>
            <color theme="1"/>
            <rFont val="Arial"/>
            <family val="2"/>
            <scheme val="minor"/>
          </rPr>
          <t>======
ID#AAAAkkpSM8I
User    (2022-11-28 17:31:22)
Incluye: arveja seca y tierna, fréjol seco y tierno, haba seca y tierna, maní</t>
        </r>
      </text>
    </comment>
    <comment ref="B358" authorId="0" shapeId="0" xr:uid="{00000000-0006-0000-0300-00003E000000}">
      <text>
        <r>
          <rPr>
            <sz val="11"/>
            <color theme="1"/>
            <rFont val="Arial"/>
            <family val="2"/>
            <scheme val="minor"/>
          </rPr>
          <t>======
ID#AAAAkkpSM20
User    (2022-11-28 17:31:22)
Incluye: cebada, trigo</t>
        </r>
      </text>
    </comment>
    <comment ref="B359" authorId="0" shapeId="0" xr:uid="{00000000-0006-0000-0300-000007000000}">
      <text>
        <r>
          <rPr>
            <sz val="11"/>
            <color theme="1"/>
            <rFont val="Arial"/>
            <family val="2"/>
            <scheme val="minor"/>
          </rPr>
          <t>======
ID#AAAAkkpSM_k
User    (2022-11-28 17:31:22)
Incluye: papa, yuca</t>
        </r>
      </text>
    </comment>
    <comment ref="B360" authorId="0" shapeId="0" xr:uid="{00000000-0006-0000-0300-000038000000}">
      <text>
        <r>
          <rPr>
            <sz val="11"/>
            <color theme="1"/>
            <rFont val="Arial"/>
            <family val="2"/>
            <scheme val="minor"/>
          </rPr>
          <t>======
ID#AAAAkkpSM30
User    (2022-11-28 17:31:22)
Incluye: aguacate,maracuyá, naranja, plátano, tomate de árbol, tomate riñón, limón, mango, orito, piña</t>
        </r>
      </text>
    </comment>
    <comment ref="B361" authorId="0" shapeId="0" xr:uid="{00000000-0006-0000-0300-00007C000000}">
      <text>
        <r>
          <rPr>
            <sz val="11"/>
            <color theme="1"/>
            <rFont val="Arial"/>
            <family val="2"/>
            <scheme val="minor"/>
          </rPr>
          <t>======
ID#AAAAkkEn1O0
User    (2022-11-28 17:31:21)
Incluye: brócoli, cebolla blanca, palmito</t>
        </r>
      </text>
    </comment>
  </commentList>
  <extLst>
    <ext xmlns:r="http://schemas.openxmlformats.org/officeDocument/2006/relationships" uri="GoogleSheetsCustomDataVersion1">
      <go:sheetsCustomData xmlns:go="http://customooxmlschemas.google.com/" r:id="rId1" roundtripDataSignature="AMtx7mho8LYwWkrPyzBhRGsA0cIRyj/rTA=="/>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400-000006000000}">
      <text>
        <r>
          <rPr>
            <sz val="11"/>
            <color theme="1"/>
            <rFont val="Arial"/>
            <family val="2"/>
            <scheme val="minor"/>
          </rPr>
          <t>======
ID#AAAAkkpSMm8
tc={20563089-F793-41F1-937F-BA2E1E21EB3F}    (2022-11-28 17:31:22)
[Threaded comment]
Your version of Excel allows you to read this threaded comment; however, any edits to it will get removed if the file is opened in a newer version of Excel. Learn more: https://go.microsoft.com/fwlink/?linkid=870924
Comment:
    Acá será necesario incluir todas las emisiones del sector reportadas en la NDC. En esta hoja solo están algunos ejemplos</t>
        </r>
      </text>
    </comment>
    <comment ref="C23" authorId="0" shapeId="0" xr:uid="{00000000-0006-0000-0400-000004000000}">
      <text>
        <r>
          <rPr>
            <sz val="11"/>
            <color theme="1"/>
            <rFont val="Arial"/>
            <family val="2"/>
            <scheme val="minor"/>
          </rPr>
          <t>======
ID#AAAAkkpSMoY
tc={E38561B7-0D5A-48FE-BCB2-27169C78467E}    (2022-11-28 17:31:22)
[Threaded comment]
Your version of Excel allows you to read this threaded comment; however, any edits to it will get removed if the file is opened in a newer version of Excel. Learn more: https://go.microsoft.com/fwlink/?linkid=870924
Comment:
    Los factores de emisión en esta tabla (ton CO2 equivalent- Ha) han sido estimados considerando las emisiones de CO2 reportadas en el INGEI 2018 y 2016 (ton CO2 eq) para los respectivos cambios de usos del suelo y la superficie (Ha) en cada actividad. Se ha aglomerado todos los tipos de bosque bajo la categoria bosque nativo, y se ha dejado fuera las plantaciones forestares para evitar repeticiones ya que esto sera considerado en agricultura.</t>
        </r>
      </text>
    </comment>
    <comment ref="K45" authorId="0" shapeId="0" xr:uid="{00000000-0006-0000-0400-000003000000}">
      <text>
        <r>
          <rPr>
            <sz val="11"/>
            <color theme="1"/>
            <rFont val="Arial"/>
            <family val="2"/>
            <scheme val="minor"/>
          </rPr>
          <t>======
ID#AAAAkkpSM3k
tc={AAA99030-F717-44EC-BA23-B8F79893C448}    (2022-11-28 17:31:22)
[Threaded comment]
Your version of Excel allows you to read this threaded comment; however, any edits to it will get removed if the file is opened in a newer version of Excel. Learn more: https://go.microsoft.com/fwlink/?linkid=870924
Comment:
    parece haber un error en el inventario de gases de efecto invernadero del 2016</t>
        </r>
      </text>
    </comment>
    <comment ref="C85" authorId="0" shapeId="0" xr:uid="{00000000-0006-0000-0400-000009000000}">
      <text>
        <r>
          <rPr>
            <sz val="11"/>
            <color theme="1"/>
            <rFont val="Arial"/>
            <family val="2"/>
            <scheme val="minor"/>
          </rPr>
          <t>======
ID#AAAAkkEn1Og
tc={7D13C0E6-5DE2-4273-9F79-81F55545568A}    (2022-11-28 17:31:21)
[Threaded comment]
Your version of Excel allows you to read this threaded comment; however, any edits to it will get removed if the file is opened in a newer version of Excel. Learn more: https://go.microsoft.com/fwlink/?linkid=870924
Comment:
    bosque nativo que sigue siendo bosque nativo</t>
        </r>
      </text>
    </comment>
    <comment ref="C86" authorId="0" shapeId="0" xr:uid="{00000000-0006-0000-0400-000008000000}">
      <text>
        <r>
          <rPr>
            <sz val="11"/>
            <color theme="1"/>
            <rFont val="Arial"/>
            <family val="2"/>
            <scheme val="minor"/>
          </rPr>
          <t>======
ID#AAAAkkEn1Qo
tc={5E1095CD-E2AC-4771-9F77-F309AD0AA670}    (2022-11-28 17:31:21)
[Threaded comment]
Your version of Excel allows you to read this threaded comment; however, any edits to it will get removed if the file is opened in a newer version of Excel. Learn more: https://go.microsoft.com/fwlink/?linkid=870924
Comment:
    plantaciones forestales que siguen siendo plantaciones forestales</t>
        </r>
      </text>
    </comment>
    <comment ref="C87" authorId="0" shapeId="0" xr:uid="{00000000-0006-0000-0400-000007000000}">
      <text>
        <r>
          <rPr>
            <sz val="11"/>
            <color theme="1"/>
            <rFont val="Arial"/>
            <family val="2"/>
            <scheme val="minor"/>
          </rPr>
          <t>======
ID#AAAAkkEn1Rg
tc={A709E926-374A-46B3-9942-A5C73B12758F}    (2022-11-28 17:31:21)
[Threaded comment]
Your version of Excel allows you to read this threaded comment; however, any edits to it will get removed if the file is opened in a newer version of Excel. Learn more: https://go.microsoft.com/fwlink/?linkid=870924
Comment:
    tierras de cultivo que se convierten en plantaciones forestales</t>
        </r>
      </text>
    </comment>
    <comment ref="C90" authorId="0" shapeId="0" xr:uid="{00000000-0006-0000-0400-000002000000}">
      <text>
        <r>
          <rPr>
            <sz val="11"/>
            <color theme="1"/>
            <rFont val="Arial"/>
            <family val="2"/>
            <scheme val="minor"/>
          </rPr>
          <t>======
ID#AAAAkkpSM8g
tc={DF7E0CCE-3CA8-4FC2-BF33-834F00F31F57}    (2022-11-28 17:31:22)
[Threaded comment]
Your version of Excel allows you to read this threaded comment; however, any edits to it will get removed if the file is opened in a newer version of Excel. Learn more: https://go.microsoft.com/fwlink/?linkid=870924
Comment:
    Humedales a plantaciones forestales</t>
        </r>
      </text>
    </comment>
    <comment ref="C91" authorId="0" shapeId="0" xr:uid="{00000000-0006-0000-0400-000005000000}">
      <text>
        <r>
          <rPr>
            <sz val="11"/>
            <color theme="1"/>
            <rFont val="Arial"/>
            <family val="2"/>
            <scheme val="minor"/>
          </rPr>
          <t>======
ID#AAAAkkpSMnA
tc={2126E657-044D-4854-840F-203AABD018DB}    (2022-11-28 17:31:22)
[Threaded comment]
Your version of Excel allows you to read this threaded comment; however, any edits to it will get removed if the file is opened in a newer version of Excel. Learn more: https://go.microsoft.com/fwlink/?linkid=870924
Comment:
    Asentamientos a plantaciones forestales</t>
        </r>
      </text>
    </comment>
    <comment ref="C92" authorId="0" shapeId="0" xr:uid="{00000000-0006-0000-0400-000001000000}">
      <text>
        <r>
          <rPr>
            <sz val="11"/>
            <color theme="1"/>
            <rFont val="Arial"/>
            <family val="2"/>
            <scheme val="minor"/>
          </rPr>
          <t>======
ID#AAAAkkpSM-o
tc={06AD5D47-59B1-4C40-B271-459640154A76}    (2022-11-28 17:31:22)
[Threaded comment]
Your version of Excel allows you to read this threaded comment; however, any edits to it will get removed if the file is opened in a newer version of Excel. Learn more: https://go.microsoft.com/fwlink/?linkid=870924
Comment:
    otras tierras a plantaciones forestales</t>
        </r>
      </text>
    </comment>
  </commentList>
  <extLst>
    <ext xmlns:r="http://schemas.openxmlformats.org/officeDocument/2006/relationships" uri="GoogleSheetsCustomDataVersion1">
      <go:sheetsCustomData xmlns:go="http://customooxmlschemas.google.com/" r:id="rId1" roundtripDataSignature="AMtx7mhGwGKa8N5KvkaFCI5pT2RVI6C21Q=="/>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700-00001A000000}">
      <text>
        <r>
          <rPr>
            <sz val="11"/>
            <color theme="1"/>
            <rFont val="Arial"/>
            <family val="2"/>
            <scheme val="minor"/>
          </rPr>
          <t>======
ID#AAAAkkpSMms
tc={78D4C4A7-9512-426E-86C3-62415D93C176}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D13" authorId="0" shapeId="0" xr:uid="{AC758C32-ECB0-4500-BC81-B58EF7FDB68F}">
      <text>
        <r>
          <rPr>
            <sz val="11"/>
            <color theme="1"/>
            <rFont val="Arial"/>
            <family val="2"/>
            <scheme val="minor"/>
          </rPr>
          <t>======
ID#AAAAkkpSM7c
User    (2022-11-28 17:31:22)
Incluye caña de azucar para azúcar y para otros usos</t>
        </r>
      </text>
    </comment>
    <comment ref="D14" authorId="0" shapeId="0" xr:uid="{7616AE0B-C522-4C0B-A42C-9F28449ABFEC}">
      <text>
        <r>
          <rPr>
            <sz val="11"/>
            <color theme="1"/>
            <rFont val="Arial"/>
            <family val="2"/>
            <scheme val="minor"/>
          </rPr>
          <t>======
ID#AAAAkkpSMyQ
User    (2022-11-28 17:31:22)
Incluye: Maíz duro en choclo y seco, maíz suave en choclo y seco</t>
        </r>
      </text>
    </comment>
    <comment ref="D18" authorId="0" shapeId="0" xr:uid="{7DA248E0-CDF1-4EB7-A7D5-C1E93E9CCFE9}">
      <text>
        <r>
          <rPr>
            <sz val="11"/>
            <color theme="1"/>
            <rFont val="Arial"/>
            <family val="2"/>
            <scheme val="minor"/>
          </rPr>
          <t>======
ID#AAAAkkpSMnI
User    (2022-11-28 17:31:22)
Incluye: arveja seca y tierna, fréjol seco y tierno, haba seca y tierna</t>
        </r>
      </text>
    </comment>
    <comment ref="D19" authorId="0" shapeId="0" xr:uid="{546CF0CC-78D7-4F3D-B7EF-E32C2533D7A7}">
      <text>
        <r>
          <rPr>
            <sz val="11"/>
            <color theme="1"/>
            <rFont val="Arial"/>
            <family val="2"/>
            <scheme val="minor"/>
          </rPr>
          <t>======
ID#AAAAkkEn1Qc
User    (2022-11-28 17:31:21)
Incluye: cebada, trigo</t>
        </r>
      </text>
    </comment>
    <comment ref="D20" authorId="0" shapeId="0" xr:uid="{6FDBCB4F-64B8-4D5F-9744-A2B9E4DD8B0A}">
      <text>
        <r>
          <rPr>
            <sz val="11"/>
            <color theme="1"/>
            <rFont val="Arial"/>
            <family val="2"/>
            <scheme val="minor"/>
          </rPr>
          <t>======
ID#AAAAkkpSMoQ
User    (2022-11-28 17:31:22)
Incluye: papa, yuca</t>
        </r>
      </text>
    </comment>
    <comment ref="D21" authorId="0" shapeId="0" xr:uid="{72A23101-95DE-475B-B99E-E817B497ADD7}">
      <text>
        <r>
          <rPr>
            <sz val="11"/>
            <color theme="1"/>
            <rFont val="Arial"/>
            <family val="2"/>
            <scheme val="minor"/>
          </rPr>
          <t>======
ID#AAAAkkpSM-Q
User    (2022-11-28 17:31:22)
Incluye: maracuyá, naranja, plátano, tomate de árbol, tomate riñón</t>
        </r>
      </text>
    </comment>
    <comment ref="D22" authorId="0" shapeId="0" xr:uid="{BFE02714-C7DC-489C-B6DB-4AAA66452CD3}">
      <text>
        <r>
          <rPr>
            <sz val="11"/>
            <color theme="1"/>
            <rFont val="Arial"/>
            <family val="2"/>
            <scheme val="minor"/>
          </rPr>
          <t>======
ID#AAAAkkpSM70
User    (2022-11-28 17:31:22)
Incluye: brócoli, cebolla blanca, palmito</t>
        </r>
      </text>
    </comment>
    <comment ref="D23" authorId="0" shapeId="0" xr:uid="{7B58EEE3-C3A0-48A8-AE79-5A8FD2955130}">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1" authorId="0" shapeId="0" xr:uid="{3501F540-269B-4A89-9D1B-DC4122270913}">
      <text>
        <r>
          <rPr>
            <sz val="11"/>
            <color theme="1"/>
            <rFont val="Arial"/>
            <family val="2"/>
            <scheme val="minor"/>
          </rPr>
          <t>======
ID#AAAAkkpSM7c
User    (2022-11-28 17:31:22)
Incluye caña de azucar para azúcar y para otros usos</t>
        </r>
      </text>
    </comment>
    <comment ref="D32" authorId="0" shapeId="0" xr:uid="{5D1B27AD-2995-4056-AFE4-F0DAA15D8FCD}">
      <text>
        <r>
          <rPr>
            <sz val="11"/>
            <color theme="1"/>
            <rFont val="Arial"/>
            <family val="2"/>
            <scheme val="minor"/>
          </rPr>
          <t>======
ID#AAAAkkpSMyQ
User    (2022-11-28 17:31:22)
Incluye: Maíz duro en choclo y seco, maíz suave en choclo y seco</t>
        </r>
      </text>
    </comment>
    <comment ref="D36" authorId="0" shapeId="0" xr:uid="{6713E8FD-1150-4CC6-9E8D-2516BFD5801D}">
      <text>
        <r>
          <rPr>
            <sz val="11"/>
            <color theme="1"/>
            <rFont val="Arial"/>
            <family val="2"/>
            <scheme val="minor"/>
          </rPr>
          <t>======
ID#AAAAkkpSMnI
User    (2022-11-28 17:31:22)
Incluye: arveja seca y tierna, fréjol seco y tierno, haba seca y tierna</t>
        </r>
      </text>
    </comment>
    <comment ref="D37" authorId="0" shapeId="0" xr:uid="{BE233EC6-96B1-43BC-BE04-6B0021BFB4E8}">
      <text>
        <r>
          <rPr>
            <sz val="11"/>
            <color theme="1"/>
            <rFont val="Arial"/>
            <family val="2"/>
            <scheme val="minor"/>
          </rPr>
          <t>======
ID#AAAAkkEn1Qc
User    (2022-11-28 17:31:21)
Incluye: cebada, trigo</t>
        </r>
      </text>
    </comment>
    <comment ref="D38" authorId="0" shapeId="0" xr:uid="{84DAF678-3A1E-4B7C-BF05-489304C15DAA}">
      <text>
        <r>
          <rPr>
            <sz val="11"/>
            <color theme="1"/>
            <rFont val="Arial"/>
            <family val="2"/>
            <scheme val="minor"/>
          </rPr>
          <t>======
ID#AAAAkkpSMoQ
User    (2022-11-28 17:31:22)
Incluye: papa, yuca</t>
        </r>
      </text>
    </comment>
    <comment ref="D39" authorId="0" shapeId="0" xr:uid="{1284BDC9-A57E-4FE0-AD06-7A7ABE10720D}">
      <text>
        <r>
          <rPr>
            <sz val="11"/>
            <color theme="1"/>
            <rFont val="Arial"/>
            <family val="2"/>
            <scheme val="minor"/>
          </rPr>
          <t>======
ID#AAAAkkpSM-Q
User    (2022-11-28 17:31:22)
Incluye: maracuyá, naranja, plátano, tomate de árbol, tomate riñón</t>
        </r>
      </text>
    </comment>
    <comment ref="D40" authorId="0" shapeId="0" xr:uid="{09EA2A54-F84D-4C88-95AF-7DCED5E4D8D3}">
      <text>
        <r>
          <rPr>
            <sz val="11"/>
            <color theme="1"/>
            <rFont val="Arial"/>
            <family val="2"/>
            <scheme val="minor"/>
          </rPr>
          <t>======
ID#AAAAkkpSM70
User    (2022-11-28 17:31:22)
Incluye: brócoli, cebolla blanca, palmito</t>
        </r>
      </text>
    </comment>
    <comment ref="D41" authorId="0" shapeId="0" xr:uid="{A39B6FFD-D281-4AD1-B6AC-3D7A50FFDD2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49" authorId="0" shapeId="0" xr:uid="{FCE1F2B0-651A-4746-A3FA-CAB26171D8FB}">
      <text>
        <r>
          <rPr>
            <sz val="11"/>
            <color theme="1"/>
            <rFont val="Arial"/>
            <family val="2"/>
            <scheme val="minor"/>
          </rPr>
          <t>======
ID#AAAAkkpSM7c
User    (2022-11-28 17:31:22)
Incluye caña de azucar para azúcar y para otros usos</t>
        </r>
      </text>
    </comment>
    <comment ref="D50" authorId="0" shapeId="0" xr:uid="{9B805CC3-4D7D-4733-BACB-4229BAEFC908}">
      <text>
        <r>
          <rPr>
            <sz val="11"/>
            <color theme="1"/>
            <rFont val="Arial"/>
            <family val="2"/>
            <scheme val="minor"/>
          </rPr>
          <t>======
ID#AAAAkkpSMyQ
User    (2022-11-28 17:31:22)
Incluye: Maíz duro en choclo y seco, maíz suave en choclo y seco</t>
        </r>
      </text>
    </comment>
    <comment ref="D54" authorId="0" shapeId="0" xr:uid="{C0FB8285-02BD-44E7-A09C-BD4C57E4F839}">
      <text>
        <r>
          <rPr>
            <sz val="11"/>
            <color theme="1"/>
            <rFont val="Arial"/>
            <family val="2"/>
            <scheme val="minor"/>
          </rPr>
          <t>======
ID#AAAAkkpSMnI
User    (2022-11-28 17:31:22)
Incluye: arveja seca y tierna, fréjol seco y tierno, haba seca y tierna</t>
        </r>
      </text>
    </comment>
    <comment ref="D55" authorId="0" shapeId="0" xr:uid="{31D6C263-D45E-480E-87B7-7FB59E3AF8D7}">
      <text>
        <r>
          <rPr>
            <sz val="11"/>
            <color theme="1"/>
            <rFont val="Arial"/>
            <family val="2"/>
            <scheme val="minor"/>
          </rPr>
          <t>======
ID#AAAAkkEn1Qc
User    (2022-11-28 17:31:21)
Incluye: cebada, trigo</t>
        </r>
      </text>
    </comment>
    <comment ref="D56" authorId="0" shapeId="0" xr:uid="{9B58B3AA-5532-4C55-8B70-0A5EEE0606CA}">
      <text>
        <r>
          <rPr>
            <sz val="11"/>
            <color theme="1"/>
            <rFont val="Arial"/>
            <family val="2"/>
            <scheme val="minor"/>
          </rPr>
          <t>======
ID#AAAAkkpSMoQ
User    (2022-11-28 17:31:22)
Incluye: papa, yuca</t>
        </r>
      </text>
    </comment>
    <comment ref="D57" authorId="0" shapeId="0" xr:uid="{1A511D90-637C-4589-B517-5AF38F1D68BF}">
      <text>
        <r>
          <rPr>
            <sz val="11"/>
            <color theme="1"/>
            <rFont val="Arial"/>
            <family val="2"/>
            <scheme val="minor"/>
          </rPr>
          <t>======
ID#AAAAkkpSM-Q
User    (2022-11-28 17:31:22)
Incluye: maracuyá, naranja, plátano, tomate de árbol, tomate riñón</t>
        </r>
      </text>
    </comment>
    <comment ref="D58" authorId="0" shapeId="0" xr:uid="{509FA2AD-7B29-4C49-A5C9-4788E8169F58}">
      <text>
        <r>
          <rPr>
            <sz val="11"/>
            <color theme="1"/>
            <rFont val="Arial"/>
            <family val="2"/>
            <scheme val="minor"/>
          </rPr>
          <t>======
ID#AAAAkkpSM70
User    (2022-11-28 17:31:22)
Incluye: brócoli, cebolla blanca, palmito</t>
        </r>
      </text>
    </comment>
    <comment ref="D59" authorId="0" shapeId="0" xr:uid="{A5790469-9B37-4E7D-A7CB-CCD191E762B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69" authorId="0" shapeId="0" xr:uid="{1DE0DB04-597E-4FAC-BDE9-B12DF16779DA}">
      <text>
        <r>
          <rPr>
            <sz val="11"/>
            <color theme="1"/>
            <rFont val="Arial"/>
            <family val="2"/>
            <scheme val="minor"/>
          </rPr>
          <t>======
ID#AAAAkkpSM7c
User    (2022-11-28 17:31:22)
Incluye caña de azucar para azúcar y para otros usos</t>
        </r>
      </text>
    </comment>
    <comment ref="D70" authorId="0" shapeId="0" xr:uid="{3AD821B8-B233-42C3-B066-ED69FC2520C5}">
      <text>
        <r>
          <rPr>
            <sz val="11"/>
            <color theme="1"/>
            <rFont val="Arial"/>
            <family val="2"/>
            <scheme val="minor"/>
          </rPr>
          <t>======
ID#AAAAkkpSMyQ
User    (2022-11-28 17:31:22)
Incluye: Maíz duro en choclo y seco, maíz suave en choclo y seco</t>
        </r>
      </text>
    </comment>
    <comment ref="D74" authorId="0" shapeId="0" xr:uid="{D70C0484-EB68-41D2-8F5E-46B1AA765448}">
      <text>
        <r>
          <rPr>
            <sz val="11"/>
            <color theme="1"/>
            <rFont val="Arial"/>
            <family val="2"/>
            <scheme val="minor"/>
          </rPr>
          <t>======
ID#AAAAkkpSMnI
User    (2022-11-28 17:31:22)
Incluye: arveja seca y tierna, fréjol seco y tierno, haba seca y tierna</t>
        </r>
      </text>
    </comment>
    <comment ref="D75" authorId="0" shapeId="0" xr:uid="{8124BBF4-566F-4D43-9A55-D79B74CEBB98}">
      <text>
        <r>
          <rPr>
            <sz val="11"/>
            <color theme="1"/>
            <rFont val="Arial"/>
            <family val="2"/>
            <scheme val="minor"/>
          </rPr>
          <t>======
ID#AAAAkkEn1Qc
User    (2022-11-28 17:31:21)
Incluye: cebada, trigo</t>
        </r>
      </text>
    </comment>
    <comment ref="D76" authorId="0" shapeId="0" xr:uid="{885AD320-57AD-420E-B2AB-B851F1A35B70}">
      <text>
        <r>
          <rPr>
            <sz val="11"/>
            <color theme="1"/>
            <rFont val="Arial"/>
            <family val="2"/>
            <scheme val="minor"/>
          </rPr>
          <t>======
ID#AAAAkkpSMoQ
User    (2022-11-28 17:31:22)
Incluye: papa, yuca</t>
        </r>
      </text>
    </comment>
    <comment ref="D77" authorId="0" shapeId="0" xr:uid="{D00A932B-97BD-443B-B33D-5E011ED360E7}">
      <text>
        <r>
          <rPr>
            <sz val="11"/>
            <color theme="1"/>
            <rFont val="Arial"/>
            <family val="2"/>
            <scheme val="minor"/>
          </rPr>
          <t>======
ID#AAAAkkpSM-Q
User    (2022-11-28 17:31:22)
Incluye: maracuyá, naranja, plátano, tomate de árbol, tomate riñón</t>
        </r>
      </text>
    </comment>
    <comment ref="D78" authorId="0" shapeId="0" xr:uid="{DCE98EA5-FD53-4905-82EE-5A4DE5824553}">
      <text>
        <r>
          <rPr>
            <sz val="11"/>
            <color theme="1"/>
            <rFont val="Arial"/>
            <family val="2"/>
            <scheme val="minor"/>
          </rPr>
          <t>======
ID#AAAAkkpSM70
User    (2022-11-28 17:31:22)
Incluye: brócoli, cebolla blanca, palmito</t>
        </r>
      </text>
    </comment>
    <comment ref="D79" authorId="0" shapeId="0" xr:uid="{F09613FB-B3BD-457B-AF57-3F8A2013004C}">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87" authorId="0" shapeId="0" xr:uid="{5997A217-41E0-4962-A436-C21CFD6119D3}">
      <text>
        <r>
          <rPr>
            <sz val="11"/>
            <color theme="1"/>
            <rFont val="Arial"/>
            <family val="2"/>
            <scheme val="minor"/>
          </rPr>
          <t>======
ID#AAAAkkpSM7c
User    (2022-11-28 17:31:22)
Incluye caña de azucar para azúcar y para otros usos</t>
        </r>
      </text>
    </comment>
    <comment ref="D88" authorId="0" shapeId="0" xr:uid="{F00BC42F-7ED0-4447-AA45-0AC8D60A9058}">
      <text>
        <r>
          <rPr>
            <sz val="11"/>
            <color theme="1"/>
            <rFont val="Arial"/>
            <family val="2"/>
            <scheme val="minor"/>
          </rPr>
          <t>======
ID#AAAAkkpSMyQ
User    (2022-11-28 17:31:22)
Incluye: Maíz duro en choclo y seco, maíz suave en choclo y seco</t>
        </r>
      </text>
    </comment>
    <comment ref="D92" authorId="0" shapeId="0" xr:uid="{B56C2AA1-D2DC-4EDA-839D-CCA90084BB22}">
      <text>
        <r>
          <rPr>
            <sz val="11"/>
            <color theme="1"/>
            <rFont val="Arial"/>
            <family val="2"/>
            <scheme val="minor"/>
          </rPr>
          <t>======
ID#AAAAkkpSMnI
User    (2022-11-28 17:31:22)
Incluye: arveja seca y tierna, fréjol seco y tierno, haba seca y tierna</t>
        </r>
      </text>
    </comment>
    <comment ref="D93" authorId="0" shapeId="0" xr:uid="{9783FE3C-04F0-4D19-A2FE-5C958E2959E9}">
      <text>
        <r>
          <rPr>
            <sz val="11"/>
            <color theme="1"/>
            <rFont val="Arial"/>
            <family val="2"/>
            <scheme val="minor"/>
          </rPr>
          <t>======
ID#AAAAkkEn1Qc
User    (2022-11-28 17:31:21)
Incluye: cebada, trigo</t>
        </r>
      </text>
    </comment>
    <comment ref="D94" authorId="0" shapeId="0" xr:uid="{1ADB724F-98AE-4B1D-81A2-C33DE884CF26}">
      <text>
        <r>
          <rPr>
            <sz val="11"/>
            <color theme="1"/>
            <rFont val="Arial"/>
            <family val="2"/>
            <scheme val="minor"/>
          </rPr>
          <t>======
ID#AAAAkkpSMoQ
User    (2022-11-28 17:31:22)
Incluye: papa, yuca</t>
        </r>
      </text>
    </comment>
    <comment ref="D95" authorId="0" shapeId="0" xr:uid="{ADCCD83C-EF88-45B7-BB7C-FC1D73C7EF35}">
      <text>
        <r>
          <rPr>
            <sz val="11"/>
            <color theme="1"/>
            <rFont val="Arial"/>
            <family val="2"/>
            <scheme val="minor"/>
          </rPr>
          <t>======
ID#AAAAkkpSM-Q
User    (2022-11-28 17:31:22)
Incluye: maracuyá, naranja, plátano, tomate de árbol, tomate riñón</t>
        </r>
      </text>
    </comment>
    <comment ref="D96" authorId="0" shapeId="0" xr:uid="{C09748D8-EB70-4A10-9FE9-361B81AB2473}">
      <text>
        <r>
          <rPr>
            <sz val="11"/>
            <color theme="1"/>
            <rFont val="Arial"/>
            <family val="2"/>
            <scheme val="minor"/>
          </rPr>
          <t>======
ID#AAAAkkpSM70
User    (2022-11-28 17:31:22)
Incluye: brócoli, cebolla blanca, palmito</t>
        </r>
      </text>
    </comment>
    <comment ref="D97" authorId="0" shapeId="0" xr:uid="{3A28A465-D056-4F5C-BFC1-CAA770F788E6}">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05" authorId="0" shapeId="0" xr:uid="{8669AE48-BDF3-48D2-A77F-4488D5D1555C}">
      <text>
        <r>
          <rPr>
            <sz val="11"/>
            <color theme="1"/>
            <rFont val="Arial"/>
            <family val="2"/>
            <scheme val="minor"/>
          </rPr>
          <t>======
ID#AAAAkkpSM7c
User    (2022-11-28 17:31:22)
Incluye caña de azucar para azúcar y para otros usos</t>
        </r>
      </text>
    </comment>
    <comment ref="D106" authorId="0" shapeId="0" xr:uid="{BFE9188D-C757-49D3-B6AE-BDE56D81D974}">
      <text>
        <r>
          <rPr>
            <sz val="11"/>
            <color theme="1"/>
            <rFont val="Arial"/>
            <family val="2"/>
            <scheme val="minor"/>
          </rPr>
          <t>======
ID#AAAAkkpSMyQ
User    (2022-11-28 17:31:22)
Incluye: Maíz duro en choclo y seco, maíz suave en choclo y seco</t>
        </r>
      </text>
    </comment>
    <comment ref="D110" authorId="0" shapeId="0" xr:uid="{F5C09C99-3E55-4E0B-BF71-8D128A64298F}">
      <text>
        <r>
          <rPr>
            <sz val="11"/>
            <color theme="1"/>
            <rFont val="Arial"/>
            <family val="2"/>
            <scheme val="minor"/>
          </rPr>
          <t>======
ID#AAAAkkpSMnI
User    (2022-11-28 17:31:22)
Incluye: arveja seca y tierna, fréjol seco y tierno, haba seca y tierna</t>
        </r>
      </text>
    </comment>
    <comment ref="D111" authorId="0" shapeId="0" xr:uid="{70D94EBB-73E4-4440-8358-04A98EDDFC31}">
      <text>
        <r>
          <rPr>
            <sz val="11"/>
            <color theme="1"/>
            <rFont val="Arial"/>
            <family val="2"/>
            <scheme val="minor"/>
          </rPr>
          <t>======
ID#AAAAkkEn1Qc
User    (2022-11-28 17:31:21)
Incluye: cebada, trigo</t>
        </r>
      </text>
    </comment>
    <comment ref="D112" authorId="0" shapeId="0" xr:uid="{7DE99D33-D7CE-4192-AE8E-3EF78CDCFD8F}">
      <text>
        <r>
          <rPr>
            <sz val="11"/>
            <color theme="1"/>
            <rFont val="Arial"/>
            <family val="2"/>
            <scheme val="minor"/>
          </rPr>
          <t>======
ID#AAAAkkpSMoQ
User    (2022-11-28 17:31:22)
Incluye: papa, yuca</t>
        </r>
      </text>
    </comment>
    <comment ref="D113" authorId="0" shapeId="0" xr:uid="{04702929-444B-472D-902D-7F2C697E478D}">
      <text>
        <r>
          <rPr>
            <sz val="11"/>
            <color theme="1"/>
            <rFont val="Arial"/>
            <family val="2"/>
            <scheme val="minor"/>
          </rPr>
          <t>======
ID#AAAAkkpSM-Q
User    (2022-11-28 17:31:22)
Incluye: maracuyá, naranja, plátano, tomate de árbol, tomate riñón</t>
        </r>
      </text>
    </comment>
    <comment ref="D114" authorId="0" shapeId="0" xr:uid="{095B67D0-DAFA-4C7F-B4B7-CBDA1E7555CF}">
      <text>
        <r>
          <rPr>
            <sz val="11"/>
            <color theme="1"/>
            <rFont val="Arial"/>
            <family val="2"/>
            <scheme val="minor"/>
          </rPr>
          <t>======
ID#AAAAkkpSM70
User    (2022-11-28 17:31:22)
Incluye: brócoli, cebolla blanca, palmito</t>
        </r>
      </text>
    </comment>
    <comment ref="D115" authorId="0" shapeId="0" xr:uid="{89C0F931-E755-492D-864D-CBC554F06FB4}">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23" authorId="0" shapeId="0" xr:uid="{E48015DF-7944-438F-8776-B3A4E3D544E3}">
      <text>
        <r>
          <rPr>
            <sz val="11"/>
            <color theme="1"/>
            <rFont val="Arial"/>
            <family val="2"/>
            <scheme val="minor"/>
          </rPr>
          <t>======
ID#AAAAkkpSM7c
User    (2022-11-28 17:31:22)
Incluye caña de azucar para azúcar y para otros usos</t>
        </r>
      </text>
    </comment>
    <comment ref="D124" authorId="0" shapeId="0" xr:uid="{387364C9-8428-4435-9CC3-8B957B31926E}">
      <text>
        <r>
          <rPr>
            <sz val="11"/>
            <color theme="1"/>
            <rFont val="Arial"/>
            <family val="2"/>
            <scheme val="minor"/>
          </rPr>
          <t>======
ID#AAAAkkpSMyQ
User    (2022-11-28 17:31:22)
Incluye: Maíz duro en choclo y seco, maíz suave en choclo y seco</t>
        </r>
      </text>
    </comment>
    <comment ref="D128" authorId="0" shapeId="0" xr:uid="{47939B7C-72E2-44D7-8942-4D28CA04F279}">
      <text>
        <r>
          <rPr>
            <sz val="11"/>
            <color theme="1"/>
            <rFont val="Arial"/>
            <family val="2"/>
            <scheme val="minor"/>
          </rPr>
          <t>======
ID#AAAAkkpSMnI
User    (2022-11-28 17:31:22)
Incluye: arveja seca y tierna, fréjol seco y tierno, haba seca y tierna</t>
        </r>
      </text>
    </comment>
    <comment ref="D129" authorId="0" shapeId="0" xr:uid="{B76D071C-EB2D-460E-838D-BE50EF4344A8}">
      <text>
        <r>
          <rPr>
            <sz val="11"/>
            <color theme="1"/>
            <rFont val="Arial"/>
            <family val="2"/>
            <scheme val="minor"/>
          </rPr>
          <t>======
ID#AAAAkkEn1Qc
User    (2022-11-28 17:31:21)
Incluye: cebada, trigo</t>
        </r>
      </text>
    </comment>
    <comment ref="D130" authorId="0" shapeId="0" xr:uid="{F0D82044-1A77-4D40-B2FE-F66D601ED0B5}">
      <text>
        <r>
          <rPr>
            <sz val="11"/>
            <color theme="1"/>
            <rFont val="Arial"/>
            <family val="2"/>
            <scheme val="minor"/>
          </rPr>
          <t>======
ID#AAAAkkpSMoQ
User    (2022-11-28 17:31:22)
Incluye: papa, yuca</t>
        </r>
      </text>
    </comment>
    <comment ref="D131" authorId="0" shapeId="0" xr:uid="{3D85E0F5-0E92-468E-8247-159321744D89}">
      <text>
        <r>
          <rPr>
            <sz val="11"/>
            <color theme="1"/>
            <rFont val="Arial"/>
            <family val="2"/>
            <scheme val="minor"/>
          </rPr>
          <t>======
ID#AAAAkkpSM-Q
User    (2022-11-28 17:31:22)
Incluye: maracuyá, naranja, plátano, tomate de árbol, tomate riñón</t>
        </r>
      </text>
    </comment>
    <comment ref="D132" authorId="0" shapeId="0" xr:uid="{7B509F99-20C0-4124-9721-3473C7838CE2}">
      <text>
        <r>
          <rPr>
            <sz val="11"/>
            <color theme="1"/>
            <rFont val="Arial"/>
            <family val="2"/>
            <scheme val="minor"/>
          </rPr>
          <t>======
ID#AAAAkkpSM70
User    (2022-11-28 17:31:22)
Incluye: brócoli, cebolla blanca, palmito</t>
        </r>
      </text>
    </comment>
    <comment ref="D133" authorId="0" shapeId="0" xr:uid="{E18AE629-9215-462E-9310-E00F97D73A65}">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41" authorId="0" shapeId="0" xr:uid="{1A173BC2-841C-4DCB-B861-AC7EC5E8153C}">
      <text>
        <r>
          <rPr>
            <sz val="11"/>
            <color theme="1"/>
            <rFont val="Arial"/>
            <family val="2"/>
            <scheme val="minor"/>
          </rPr>
          <t>======
ID#AAAAkkpSM7c
User    (2022-11-28 17:31:22)
Incluye caña de azucar para azúcar y para otros usos</t>
        </r>
      </text>
    </comment>
    <comment ref="D142" authorId="0" shapeId="0" xr:uid="{05604DC3-74BB-4A80-8264-1E435A6B1844}">
      <text>
        <r>
          <rPr>
            <sz val="11"/>
            <color theme="1"/>
            <rFont val="Arial"/>
            <family val="2"/>
            <scheme val="minor"/>
          </rPr>
          <t>======
ID#AAAAkkpSMyQ
User    (2022-11-28 17:31:22)
Incluye: Maíz duro en choclo y seco, maíz suave en choclo y seco</t>
        </r>
      </text>
    </comment>
    <comment ref="D146" authorId="0" shapeId="0" xr:uid="{5EB0AD82-476A-4FA9-9987-56BEF7CDEC97}">
      <text>
        <r>
          <rPr>
            <sz val="11"/>
            <color theme="1"/>
            <rFont val="Arial"/>
            <family val="2"/>
            <scheme val="minor"/>
          </rPr>
          <t>======
ID#AAAAkkpSMnI
User    (2022-11-28 17:31:22)
Incluye: arveja seca y tierna, fréjol seco y tierno, haba seca y tierna</t>
        </r>
      </text>
    </comment>
    <comment ref="D147" authorId="0" shapeId="0" xr:uid="{2B11A5C1-0D73-4477-9499-C3EAB44E55F5}">
      <text>
        <r>
          <rPr>
            <sz val="11"/>
            <color theme="1"/>
            <rFont val="Arial"/>
            <family val="2"/>
            <scheme val="minor"/>
          </rPr>
          <t>======
ID#AAAAkkEn1Qc
User    (2022-11-28 17:31:21)
Incluye: cebada, trigo</t>
        </r>
      </text>
    </comment>
    <comment ref="D148" authorId="0" shapeId="0" xr:uid="{AA4C4C57-6C1F-4302-B00F-87987E763780}">
      <text>
        <r>
          <rPr>
            <sz val="11"/>
            <color theme="1"/>
            <rFont val="Arial"/>
            <family val="2"/>
            <scheme val="minor"/>
          </rPr>
          <t>======
ID#AAAAkkpSMoQ
User    (2022-11-28 17:31:22)
Incluye: papa, yuca</t>
        </r>
      </text>
    </comment>
    <comment ref="D149" authorId="0" shapeId="0" xr:uid="{C2DD6790-483A-4BF6-BC3E-E880457BD443}">
      <text>
        <r>
          <rPr>
            <sz val="11"/>
            <color theme="1"/>
            <rFont val="Arial"/>
            <family val="2"/>
            <scheme val="minor"/>
          </rPr>
          <t>======
ID#AAAAkkpSM-Q
User    (2022-11-28 17:31:22)
Incluye: maracuyá, naranja, plátano, tomate de árbol, tomate riñón</t>
        </r>
      </text>
    </comment>
    <comment ref="D150" authorId="0" shapeId="0" xr:uid="{74B55BDE-E1F4-4348-8880-281F3D5B1332}">
      <text>
        <r>
          <rPr>
            <sz val="11"/>
            <color theme="1"/>
            <rFont val="Arial"/>
            <family val="2"/>
            <scheme val="minor"/>
          </rPr>
          <t>======
ID#AAAAkkpSM70
User    (2022-11-28 17:31:22)
Incluye: brócoli, cebolla blanca, palmito</t>
        </r>
      </text>
    </comment>
    <comment ref="D151" authorId="0" shapeId="0" xr:uid="{A0F791DB-C9A6-40F3-89FD-A20E8EE6EC4D}">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59" authorId="0" shapeId="0" xr:uid="{3D4506CE-3BFB-4475-8808-AF51A08DBA9F}">
      <text>
        <r>
          <rPr>
            <sz val="11"/>
            <color theme="1"/>
            <rFont val="Arial"/>
            <family val="2"/>
            <scheme val="minor"/>
          </rPr>
          <t>======
ID#AAAAkkpSM7c
User    (2022-11-28 17:31:22)
Incluye caña de azucar para azúcar y para otros usos</t>
        </r>
      </text>
    </comment>
    <comment ref="D160" authorId="0" shapeId="0" xr:uid="{B0205491-C47D-49CC-AD66-2ABBE3F40563}">
      <text>
        <r>
          <rPr>
            <sz val="11"/>
            <color theme="1"/>
            <rFont val="Arial"/>
            <family val="2"/>
            <scheme val="minor"/>
          </rPr>
          <t>======
ID#AAAAkkpSMyQ
User    (2022-11-28 17:31:22)
Incluye: Maíz duro en choclo y seco, maíz suave en choclo y seco</t>
        </r>
      </text>
    </comment>
    <comment ref="D164" authorId="0" shapeId="0" xr:uid="{1CC7DA45-EE34-41AA-A3C9-3148A078C4F1}">
      <text>
        <r>
          <rPr>
            <sz val="11"/>
            <color theme="1"/>
            <rFont val="Arial"/>
            <family val="2"/>
            <scheme val="minor"/>
          </rPr>
          <t>======
ID#AAAAkkpSMnI
User    (2022-11-28 17:31:22)
Incluye: arveja seca y tierna, fréjol seco y tierno, haba seca y tierna</t>
        </r>
      </text>
    </comment>
    <comment ref="D165" authorId="0" shapeId="0" xr:uid="{D3A1E0FE-C331-4941-8158-0ED9938AA924}">
      <text>
        <r>
          <rPr>
            <sz val="11"/>
            <color theme="1"/>
            <rFont val="Arial"/>
            <family val="2"/>
            <scheme val="minor"/>
          </rPr>
          <t>======
ID#AAAAkkEn1Qc
User    (2022-11-28 17:31:21)
Incluye: cebada, trigo</t>
        </r>
      </text>
    </comment>
    <comment ref="D166" authorId="0" shapeId="0" xr:uid="{0300FB94-D5BF-49CB-800E-449EEC5210B8}">
      <text>
        <r>
          <rPr>
            <sz val="11"/>
            <color theme="1"/>
            <rFont val="Arial"/>
            <family val="2"/>
            <scheme val="minor"/>
          </rPr>
          <t>======
ID#AAAAkkpSMoQ
User    (2022-11-28 17:31:22)
Incluye: papa, yuca</t>
        </r>
      </text>
    </comment>
    <comment ref="D167" authorId="0" shapeId="0" xr:uid="{DAA240E9-BB7D-4840-9495-2EDAF0FFDA07}">
      <text>
        <r>
          <rPr>
            <sz val="11"/>
            <color theme="1"/>
            <rFont val="Arial"/>
            <family val="2"/>
            <scheme val="minor"/>
          </rPr>
          <t>======
ID#AAAAkkpSM-Q
User    (2022-11-28 17:31:22)
Incluye: maracuyá, naranja, plátano, tomate de árbol, tomate riñón</t>
        </r>
      </text>
    </comment>
    <comment ref="D168" authorId="0" shapeId="0" xr:uid="{B301AE25-27A9-4BA5-82E5-F45F4FFD1ABD}">
      <text>
        <r>
          <rPr>
            <sz val="11"/>
            <color theme="1"/>
            <rFont val="Arial"/>
            <family val="2"/>
            <scheme val="minor"/>
          </rPr>
          <t>======
ID#AAAAkkpSM70
User    (2022-11-28 17:31:22)
Incluye: brócoli, cebolla blanca, palmito</t>
        </r>
      </text>
    </comment>
    <comment ref="D169" authorId="0" shapeId="0" xr:uid="{31D6D886-B0AD-4B56-A312-44BDE50351EE}">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77" authorId="0" shapeId="0" xr:uid="{F3C29CDE-D37B-4739-B603-5C5DAB101831}">
      <text>
        <r>
          <rPr>
            <sz val="11"/>
            <color theme="1"/>
            <rFont val="Arial"/>
            <family val="2"/>
            <scheme val="minor"/>
          </rPr>
          <t>======
ID#AAAAkkpSM7c
User    (2022-11-28 17:31:22)
Incluye caña de azucar para azúcar y para otros usos</t>
        </r>
      </text>
    </comment>
    <comment ref="D178" authorId="0" shapeId="0" xr:uid="{A30C14CF-A35B-4505-BC31-8B5D3A99D9F2}">
      <text>
        <r>
          <rPr>
            <sz val="11"/>
            <color theme="1"/>
            <rFont val="Arial"/>
            <family val="2"/>
            <scheme val="minor"/>
          </rPr>
          <t>======
ID#AAAAkkpSMyQ
User    (2022-11-28 17:31:22)
Incluye: Maíz duro en choclo y seco, maíz suave en choclo y seco</t>
        </r>
      </text>
    </comment>
    <comment ref="D182" authorId="0" shapeId="0" xr:uid="{7045AB26-AE5D-4B9F-BAAF-6CDC3B0F0D25}">
      <text>
        <r>
          <rPr>
            <sz val="11"/>
            <color theme="1"/>
            <rFont val="Arial"/>
            <family val="2"/>
            <scheme val="minor"/>
          </rPr>
          <t>======
ID#AAAAkkpSMnI
User    (2022-11-28 17:31:22)
Incluye: arveja seca y tierna, fréjol seco y tierno, haba seca y tierna</t>
        </r>
      </text>
    </comment>
    <comment ref="D183" authorId="0" shapeId="0" xr:uid="{D3CFFBFD-00A0-41B7-A807-D9CDC50553F8}">
      <text>
        <r>
          <rPr>
            <sz val="11"/>
            <color theme="1"/>
            <rFont val="Arial"/>
            <family val="2"/>
            <scheme val="minor"/>
          </rPr>
          <t>======
ID#AAAAkkEn1Qc
User    (2022-11-28 17:31:21)
Incluye: cebada, trigo</t>
        </r>
      </text>
    </comment>
    <comment ref="D184" authorId="0" shapeId="0" xr:uid="{FFC730AF-AA4E-4144-B9BE-129B97518733}">
      <text>
        <r>
          <rPr>
            <sz val="11"/>
            <color theme="1"/>
            <rFont val="Arial"/>
            <family val="2"/>
            <scheme val="minor"/>
          </rPr>
          <t>======
ID#AAAAkkpSMoQ
User    (2022-11-28 17:31:22)
Incluye: papa, yuca</t>
        </r>
      </text>
    </comment>
    <comment ref="D185" authorId="0" shapeId="0" xr:uid="{A4D671C3-55C7-4D6A-B216-FF5D2DAF8B1F}">
      <text>
        <r>
          <rPr>
            <sz val="11"/>
            <color theme="1"/>
            <rFont val="Arial"/>
            <family val="2"/>
            <scheme val="minor"/>
          </rPr>
          <t>======
ID#AAAAkkpSM-Q
User    (2022-11-28 17:31:22)
Incluye: maracuyá, naranja, plátano, tomate de árbol, tomate riñón</t>
        </r>
      </text>
    </comment>
    <comment ref="D186" authorId="0" shapeId="0" xr:uid="{40953E03-0494-4203-BA29-62F8C606C618}">
      <text>
        <r>
          <rPr>
            <sz val="11"/>
            <color theme="1"/>
            <rFont val="Arial"/>
            <family val="2"/>
            <scheme val="minor"/>
          </rPr>
          <t>======
ID#AAAAkkpSM70
User    (2022-11-28 17:31:22)
Incluye: brócoli, cebolla blanca, palmito</t>
        </r>
      </text>
    </comment>
    <comment ref="D187" authorId="0" shapeId="0" xr:uid="{981C2894-FE10-452F-9945-E928390C5351}">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99" authorId="0" shapeId="0" xr:uid="{B01433C7-B4D2-4D11-8A7C-494B11D1EE29}">
      <text>
        <r>
          <rPr>
            <sz val="11"/>
            <color theme="1"/>
            <rFont val="Arial"/>
            <family val="2"/>
            <scheme val="minor"/>
          </rPr>
          <t>======
ID#AAAAkkpSM7c
User    (2022-11-28 17:31:22)
Incluye caña de azucar para azúcar y para otros usos</t>
        </r>
      </text>
    </comment>
    <comment ref="D200" authorId="0" shapeId="0" xr:uid="{5C997527-1A0D-410E-82B4-05528C2CAA1D}">
      <text>
        <r>
          <rPr>
            <sz val="11"/>
            <color theme="1"/>
            <rFont val="Arial"/>
            <family val="2"/>
            <scheme val="minor"/>
          </rPr>
          <t>======
ID#AAAAkkpSMyQ
User    (2022-11-28 17:31:22)
Incluye: Maíz duro en choclo y seco, maíz suave en choclo y seco</t>
        </r>
      </text>
    </comment>
    <comment ref="D204" authorId="0" shapeId="0" xr:uid="{4B6A46EC-65A4-4249-8194-35007AB0F688}">
      <text>
        <r>
          <rPr>
            <sz val="11"/>
            <color theme="1"/>
            <rFont val="Arial"/>
            <family val="2"/>
            <scheme val="minor"/>
          </rPr>
          <t>======
ID#AAAAkkpSMnI
User    (2022-11-28 17:31:22)
Incluye: arveja seca y tierna, fréjol seco y tierno, haba seca y tierna</t>
        </r>
      </text>
    </comment>
    <comment ref="D205" authorId="0" shapeId="0" xr:uid="{373636E4-5E70-4A69-8AB8-943DA27D064E}">
      <text>
        <r>
          <rPr>
            <sz val="11"/>
            <color theme="1"/>
            <rFont val="Arial"/>
            <family val="2"/>
            <scheme val="minor"/>
          </rPr>
          <t>======
ID#AAAAkkEn1Qc
User    (2022-11-28 17:31:21)
Incluye: cebada, trigo</t>
        </r>
      </text>
    </comment>
    <comment ref="D206" authorId="0" shapeId="0" xr:uid="{D4453055-8845-4ACD-86F7-C1BD3C184956}">
      <text>
        <r>
          <rPr>
            <sz val="11"/>
            <color theme="1"/>
            <rFont val="Arial"/>
            <family val="2"/>
            <scheme val="minor"/>
          </rPr>
          <t>======
ID#AAAAkkpSMoQ
User    (2022-11-28 17:31:22)
Incluye: papa, yuca</t>
        </r>
      </text>
    </comment>
    <comment ref="D207" authorId="0" shapeId="0" xr:uid="{DCD0FD82-7B26-48DE-AEE3-C8068C408CA4}">
      <text>
        <r>
          <rPr>
            <sz val="11"/>
            <color theme="1"/>
            <rFont val="Arial"/>
            <family val="2"/>
            <scheme val="minor"/>
          </rPr>
          <t>======
ID#AAAAkkpSM-Q
User    (2022-11-28 17:31:22)
Incluye: maracuyá, naranja, plátano, tomate de árbol, tomate riñón</t>
        </r>
      </text>
    </comment>
    <comment ref="D208" authorId="0" shapeId="0" xr:uid="{28044479-2DA2-490D-B302-B57579D3F8AC}">
      <text>
        <r>
          <rPr>
            <sz val="11"/>
            <color theme="1"/>
            <rFont val="Arial"/>
            <family val="2"/>
            <scheme val="minor"/>
          </rPr>
          <t>======
ID#AAAAkkpSM70
User    (2022-11-28 17:31:22)
Incluye: brócoli, cebolla blanca, palmito</t>
        </r>
      </text>
    </comment>
    <comment ref="D209" authorId="0" shapeId="0" xr:uid="{C026D6BF-E209-4CAA-A95B-CE8031599322}">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17" authorId="0" shapeId="0" xr:uid="{2FAD1958-F376-452F-8898-EDE38EA6860B}">
      <text>
        <r>
          <rPr>
            <sz val="11"/>
            <color theme="1"/>
            <rFont val="Arial"/>
            <family val="2"/>
            <scheme val="minor"/>
          </rPr>
          <t>======
ID#AAAAkkpSM7c
User    (2022-11-28 17:31:22)
Incluye caña de azucar para azúcar y para otros usos</t>
        </r>
      </text>
    </comment>
    <comment ref="D218" authorId="0" shapeId="0" xr:uid="{34C08992-D7F1-4C0F-BDE1-39BEDE433786}">
      <text>
        <r>
          <rPr>
            <sz val="11"/>
            <color theme="1"/>
            <rFont val="Arial"/>
            <family val="2"/>
            <scheme val="minor"/>
          </rPr>
          <t>======
ID#AAAAkkpSMyQ
User    (2022-11-28 17:31:22)
Incluye: Maíz duro en choclo y seco, maíz suave en choclo y seco</t>
        </r>
      </text>
    </comment>
    <comment ref="D222" authorId="0" shapeId="0" xr:uid="{FF882C06-BAE5-452C-AFBB-52C721679067}">
      <text>
        <r>
          <rPr>
            <sz val="11"/>
            <color theme="1"/>
            <rFont val="Arial"/>
            <family val="2"/>
            <scheme val="minor"/>
          </rPr>
          <t>======
ID#AAAAkkpSMnI
User    (2022-11-28 17:31:22)
Incluye: arveja seca y tierna, fréjol seco y tierno, haba seca y tierna</t>
        </r>
      </text>
    </comment>
    <comment ref="D223" authorId="0" shapeId="0" xr:uid="{F3589614-F6A6-40C8-B5D6-6C5935170B4C}">
      <text>
        <r>
          <rPr>
            <sz val="11"/>
            <color theme="1"/>
            <rFont val="Arial"/>
            <family val="2"/>
            <scheme val="minor"/>
          </rPr>
          <t>======
ID#AAAAkkEn1Qc
User    (2022-11-28 17:31:21)
Incluye: cebada, trigo</t>
        </r>
      </text>
    </comment>
    <comment ref="D224" authorId="0" shapeId="0" xr:uid="{D9D0FAE2-19B7-412D-8A37-AB919B862196}">
      <text>
        <r>
          <rPr>
            <sz val="11"/>
            <color theme="1"/>
            <rFont val="Arial"/>
            <family val="2"/>
            <scheme val="minor"/>
          </rPr>
          <t>======
ID#AAAAkkpSMoQ
User    (2022-11-28 17:31:22)
Incluye: papa, yuca</t>
        </r>
      </text>
    </comment>
    <comment ref="D225" authorId="0" shapeId="0" xr:uid="{2B1E4D56-C578-4269-B32D-524828441EE0}">
      <text>
        <r>
          <rPr>
            <sz val="11"/>
            <color theme="1"/>
            <rFont val="Arial"/>
            <family val="2"/>
            <scheme val="minor"/>
          </rPr>
          <t>======
ID#AAAAkkpSM-Q
User    (2022-11-28 17:31:22)
Incluye: maracuyá, naranja, plátano, tomate de árbol, tomate riñón</t>
        </r>
      </text>
    </comment>
    <comment ref="D226" authorId="0" shapeId="0" xr:uid="{27939551-255F-4745-AADA-0767BCA33EA9}">
      <text>
        <r>
          <rPr>
            <sz val="11"/>
            <color theme="1"/>
            <rFont val="Arial"/>
            <family val="2"/>
            <scheme val="minor"/>
          </rPr>
          <t>======
ID#AAAAkkpSM70
User    (2022-11-28 17:31:22)
Incluye: brócoli, cebolla blanca, palmito</t>
        </r>
      </text>
    </comment>
    <comment ref="D227" authorId="0" shapeId="0" xr:uid="{FC023CFF-EEBF-4674-BB5D-375A55F3D02F}">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33" authorId="0" shapeId="0" xr:uid="{243AE7E4-3AFE-437C-A3FF-30C0744E638C}">
      <text>
        <r>
          <rPr>
            <sz val="11"/>
            <color theme="1"/>
            <rFont val="Arial"/>
            <family val="2"/>
            <scheme val="minor"/>
          </rPr>
          <t>======
ID#AAAAkkpSMyQ
User    (2022-11-28 17:31:22)
Incluye: Maíz duro en choclo y seco, maíz suave en choclo y seco</t>
        </r>
      </text>
    </comment>
    <comment ref="D236" authorId="0" shapeId="0" xr:uid="{ED86A662-42F3-4037-8D72-82984BCA24B5}">
      <text>
        <r>
          <rPr>
            <sz val="11"/>
            <color theme="1"/>
            <rFont val="Arial"/>
            <family val="2"/>
            <scheme val="minor"/>
          </rPr>
          <t>======
ID#AAAAkkpSMnI
User    (2022-11-28 17:31:22)
Incluye: arveja seca y tierna, fréjol seco y tierno, haba seca y tierna</t>
        </r>
      </text>
    </comment>
    <comment ref="D237" authorId="0" shapeId="0" xr:uid="{3F7BB194-FF4E-4068-8A71-FD27FA70D81D}">
      <text>
        <r>
          <rPr>
            <sz val="11"/>
            <color theme="1"/>
            <rFont val="Arial"/>
            <family val="2"/>
            <scheme val="minor"/>
          </rPr>
          <t>======
ID#AAAAkkEn1Qc
User    (2022-11-28 17:31:21)
Incluye: cebada, trigo</t>
        </r>
      </text>
    </comment>
    <comment ref="D238" authorId="0" shapeId="0" xr:uid="{D6B94612-0065-4DD3-9308-F4D48ACDAEDF}">
      <text>
        <r>
          <rPr>
            <sz val="11"/>
            <color theme="1"/>
            <rFont val="Arial"/>
            <family val="2"/>
            <scheme val="minor"/>
          </rPr>
          <t>======
ID#AAAAkkpSMoQ
User    (2022-11-28 17:31:22)
Incluye: papa, yuca</t>
        </r>
      </text>
    </comment>
    <comment ref="D244" authorId="0" shapeId="0" xr:uid="{1DCB161E-F310-46CF-B90E-5C1186FDBA1B}">
      <text>
        <r>
          <rPr>
            <sz val="11"/>
            <color theme="1"/>
            <rFont val="Arial"/>
            <family val="2"/>
            <scheme val="minor"/>
          </rPr>
          <t>======
ID#AAAAkkpSMyQ
User    (2022-11-28 17:31:22)
Incluye: Maíz duro en choclo y seco, maíz suave en choclo y seco</t>
        </r>
      </text>
    </comment>
    <comment ref="D247" authorId="0" shapeId="0" xr:uid="{86A15C7A-46FE-47DE-81C7-3A073E9DB153}">
      <text>
        <r>
          <rPr>
            <sz val="11"/>
            <color theme="1"/>
            <rFont val="Arial"/>
            <family val="2"/>
            <scheme val="minor"/>
          </rPr>
          <t>======
ID#AAAAkkpSMnI
User    (2022-11-28 17:31:22)
Incluye: arveja seca y tierna, fréjol seco y tierno, haba seca y tierna</t>
        </r>
      </text>
    </comment>
    <comment ref="D248" authorId="0" shapeId="0" xr:uid="{127C241C-3A5A-43A8-AA4B-40F072D56D4F}">
      <text>
        <r>
          <rPr>
            <sz val="11"/>
            <color theme="1"/>
            <rFont val="Arial"/>
            <family val="2"/>
            <scheme val="minor"/>
          </rPr>
          <t>======
ID#AAAAkkEn1Qc
User    (2022-11-28 17:31:21)
Incluye: cebada, trigo</t>
        </r>
      </text>
    </comment>
    <comment ref="D249" authorId="0" shapeId="0" xr:uid="{FF7B1A73-A62E-47DD-985C-25C63FED3E90}">
      <text>
        <r>
          <rPr>
            <sz val="11"/>
            <color theme="1"/>
            <rFont val="Arial"/>
            <family val="2"/>
            <scheme val="minor"/>
          </rPr>
          <t>======
ID#AAAAkkpSMoQ
User    (2022-11-28 17:31:22)
Incluye: papa, yuca</t>
        </r>
      </text>
    </comment>
    <comment ref="D257" authorId="0" shapeId="0" xr:uid="{33B49E98-4726-4527-8384-5A20387ABA05}">
      <text>
        <r>
          <rPr>
            <sz val="11"/>
            <color theme="1"/>
            <rFont val="Arial"/>
            <family val="2"/>
            <scheme val="minor"/>
          </rPr>
          <t>======
ID#AAAAkkpSM-Q
User    (2022-11-28 17:31:22)
Incluye: maracuyá, naranja, plátano, tomate de árbol, tomate riñón</t>
        </r>
      </text>
    </comment>
    <comment ref="D273" authorId="0" shapeId="0" xr:uid="{E0AC132E-C1F4-4202-A8E2-E8E814DDCBD0}">
      <text>
        <r>
          <rPr>
            <sz val="11"/>
            <color theme="1"/>
            <rFont val="Arial"/>
            <family val="2"/>
            <scheme val="minor"/>
          </rPr>
          <t>======
ID#AAAAkkpSM7c
User    (2022-11-28 17:31:22)
Incluye caña de azucar para azúcar y para otros usos</t>
        </r>
      </text>
    </comment>
    <comment ref="D274" authorId="0" shapeId="0" xr:uid="{973D3185-1081-4B96-95F9-EB1419CF258A}">
      <text>
        <r>
          <rPr>
            <sz val="11"/>
            <color theme="1"/>
            <rFont val="Arial"/>
            <family val="2"/>
            <scheme val="minor"/>
          </rPr>
          <t>======
ID#AAAAkkpSMyQ
User    (2022-11-28 17:31:22)
Incluye: Maíz duro en choclo y seco, maíz suave en choclo y seco</t>
        </r>
      </text>
    </comment>
    <comment ref="D278" authorId="0" shapeId="0" xr:uid="{50D8A675-DBBF-410A-AD1E-2684A0048059}">
      <text>
        <r>
          <rPr>
            <sz val="11"/>
            <color theme="1"/>
            <rFont val="Arial"/>
            <family val="2"/>
            <scheme val="minor"/>
          </rPr>
          <t>======
ID#AAAAkkpSMnI
User    (2022-11-28 17:31:22)
Incluye: arveja seca y tierna, fréjol seco y tierno, haba seca y tierna</t>
        </r>
      </text>
    </comment>
    <comment ref="D279" authorId="0" shapeId="0" xr:uid="{39894D5D-3669-4AE5-B52D-5096FBD839D7}">
      <text>
        <r>
          <rPr>
            <sz val="11"/>
            <color theme="1"/>
            <rFont val="Arial"/>
            <family val="2"/>
            <scheme val="minor"/>
          </rPr>
          <t>======
ID#AAAAkkEn1Qc
User    (2022-11-28 17:31:21)
Incluye: cebada, trigo</t>
        </r>
      </text>
    </comment>
    <comment ref="D280" authorId="0" shapeId="0" xr:uid="{E888ED50-F08A-42E5-BB6C-901AEFC29CCE}">
      <text>
        <r>
          <rPr>
            <sz val="11"/>
            <color theme="1"/>
            <rFont val="Arial"/>
            <family val="2"/>
            <scheme val="minor"/>
          </rPr>
          <t>======
ID#AAAAkkpSMoQ
User    (2022-11-28 17:31:22)
Incluye: papa, yuca</t>
        </r>
      </text>
    </comment>
    <comment ref="D281" authorId="0" shapeId="0" xr:uid="{C9FFD5AA-89D5-41D6-8182-A96437C3B2B1}">
      <text>
        <r>
          <rPr>
            <sz val="11"/>
            <color theme="1"/>
            <rFont val="Arial"/>
            <family val="2"/>
            <scheme val="minor"/>
          </rPr>
          <t>======
ID#AAAAkkpSM-Q
User    (2022-11-28 17:31:22)
Incluye: maracuyá, naranja, plátano, tomate de árbol, tomate riñón</t>
        </r>
      </text>
    </comment>
    <comment ref="D282" authorId="0" shapeId="0" xr:uid="{34AD05A0-834E-42DA-969B-59E2A9B381D6}">
      <text>
        <r>
          <rPr>
            <sz val="11"/>
            <color theme="1"/>
            <rFont val="Arial"/>
            <family val="2"/>
            <scheme val="minor"/>
          </rPr>
          <t>======
ID#AAAAkkpSM70
User    (2022-11-28 17:31:22)
Incluye: brócoli, cebolla blanca, palmito</t>
        </r>
      </text>
    </comment>
    <comment ref="D283" authorId="0" shapeId="0" xr:uid="{82D8E93B-1CB9-4552-9D58-59D76DBDDB80}">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89" authorId="0" shapeId="0" xr:uid="{44C8CD84-DB87-4E00-AD06-25A80022C2CA}">
      <text>
        <r>
          <rPr>
            <sz val="11"/>
            <color theme="1"/>
            <rFont val="Arial"/>
            <family val="2"/>
            <scheme val="minor"/>
          </rPr>
          <t>======
ID#AAAAkkpSM7c
User    (2022-11-28 17:31:22)
Incluye caña de azucar para azúcar y para otros usos</t>
        </r>
      </text>
    </comment>
    <comment ref="D290" authorId="0" shapeId="0" xr:uid="{258C59BA-3348-4D1F-938C-202E043D2ED3}">
      <text>
        <r>
          <rPr>
            <sz val="11"/>
            <color theme="1"/>
            <rFont val="Arial"/>
            <family val="2"/>
            <scheme val="minor"/>
          </rPr>
          <t>======
ID#AAAAkkpSMyQ
User    (2022-11-28 17:31:22)
Incluye: Maíz duro en choclo y seco, maíz suave en choclo y seco</t>
        </r>
      </text>
    </comment>
    <comment ref="D294" authorId="0" shapeId="0" xr:uid="{B50CDA16-001C-4D05-A014-40FB9CC95586}">
      <text>
        <r>
          <rPr>
            <sz val="11"/>
            <color theme="1"/>
            <rFont val="Arial"/>
            <family val="2"/>
            <scheme val="minor"/>
          </rPr>
          <t>======
ID#AAAAkkpSMnI
User    (2022-11-28 17:31:22)
Incluye: arveja seca y tierna, fréjol seco y tierno, haba seca y tierna</t>
        </r>
      </text>
    </comment>
    <comment ref="D295" authorId="0" shapeId="0" xr:uid="{8EF012A7-6319-44E3-A505-B3E81E8616B3}">
      <text>
        <r>
          <rPr>
            <sz val="11"/>
            <color theme="1"/>
            <rFont val="Arial"/>
            <family val="2"/>
            <scheme val="minor"/>
          </rPr>
          <t>======
ID#AAAAkkEn1Qc
User    (2022-11-28 17:31:21)
Incluye: cebada, trigo</t>
        </r>
      </text>
    </comment>
    <comment ref="D296" authorId="0" shapeId="0" xr:uid="{68966D9B-3473-4F9F-95D6-DE4D2E47CAA4}">
      <text>
        <r>
          <rPr>
            <sz val="11"/>
            <color theme="1"/>
            <rFont val="Arial"/>
            <family val="2"/>
            <scheme val="minor"/>
          </rPr>
          <t>======
ID#AAAAkkpSMoQ
User    (2022-11-28 17:31:22)
Incluye: papa, yuca</t>
        </r>
      </text>
    </comment>
    <comment ref="D297" authorId="0" shapeId="0" xr:uid="{98561939-0D2B-49C9-8770-54A8DF739D65}">
      <text>
        <r>
          <rPr>
            <sz val="11"/>
            <color theme="1"/>
            <rFont val="Arial"/>
            <family val="2"/>
            <scheme val="minor"/>
          </rPr>
          <t>======
ID#AAAAkkpSM-Q
User    (2022-11-28 17:31:22)
Incluye: maracuyá, naranja, plátano, tomate de árbol, tomate riñón</t>
        </r>
      </text>
    </comment>
    <comment ref="D298" authorId="0" shapeId="0" xr:uid="{F20FC4C3-0BAA-4081-BCDB-BD4B93A926E0}">
      <text>
        <r>
          <rPr>
            <sz val="11"/>
            <color theme="1"/>
            <rFont val="Arial"/>
            <family val="2"/>
            <scheme val="minor"/>
          </rPr>
          <t>======
ID#AAAAkkpSM70
User    (2022-11-28 17:31:22)
Incluye: brócoli, cebolla blanca, palmito</t>
        </r>
      </text>
    </comment>
    <comment ref="D299" authorId="0" shapeId="0" xr:uid="{A79EF66E-A777-4908-8185-E8AAAA800D4C}">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05" authorId="0" shapeId="0" xr:uid="{D16F5E6A-930D-4959-A964-A0408D9016D5}">
      <text>
        <r>
          <rPr>
            <sz val="11"/>
            <color theme="1"/>
            <rFont val="Arial"/>
            <family val="2"/>
            <scheme val="minor"/>
          </rPr>
          <t>======
ID#AAAAkkpSM7c
User    (2022-11-28 17:31:22)
Incluye caña de azucar para azúcar y para otros usos</t>
        </r>
      </text>
    </comment>
    <comment ref="D306" authorId="0" shapeId="0" xr:uid="{149207EE-D630-4E2C-BE72-A4475F01BF46}">
      <text>
        <r>
          <rPr>
            <sz val="11"/>
            <color theme="1"/>
            <rFont val="Arial"/>
            <family val="2"/>
            <scheme val="minor"/>
          </rPr>
          <t>======
ID#AAAAkkpSMyQ
User    (2022-11-28 17:31:22)
Incluye: Maíz duro en choclo y seco, maíz suave en choclo y seco</t>
        </r>
      </text>
    </comment>
    <comment ref="D310" authorId="0" shapeId="0" xr:uid="{9EC29493-3D58-4AF3-B204-8129D6016790}">
      <text>
        <r>
          <rPr>
            <sz val="11"/>
            <color theme="1"/>
            <rFont val="Arial"/>
            <family val="2"/>
            <scheme val="minor"/>
          </rPr>
          <t>======
ID#AAAAkkpSMnI
User    (2022-11-28 17:31:22)
Incluye: arveja seca y tierna, fréjol seco y tierno, haba seca y tierna</t>
        </r>
      </text>
    </comment>
    <comment ref="D311" authorId="0" shapeId="0" xr:uid="{179E419F-8864-4938-8C8B-AFF73C26B9A9}">
      <text>
        <r>
          <rPr>
            <sz val="11"/>
            <color theme="1"/>
            <rFont val="Arial"/>
            <family val="2"/>
            <scheme val="minor"/>
          </rPr>
          <t>======
ID#AAAAkkEn1Qc
User    (2022-11-28 17:31:21)
Incluye: cebada, trigo</t>
        </r>
      </text>
    </comment>
    <comment ref="D312" authorId="0" shapeId="0" xr:uid="{21A120C5-BA4E-4480-A040-EA68E8553A9D}">
      <text>
        <r>
          <rPr>
            <sz val="11"/>
            <color theme="1"/>
            <rFont val="Arial"/>
            <family val="2"/>
            <scheme val="minor"/>
          </rPr>
          <t>======
ID#AAAAkkpSMoQ
User    (2022-11-28 17:31:22)
Incluye: papa, yuca</t>
        </r>
      </text>
    </comment>
    <comment ref="D313" authorId="0" shapeId="0" xr:uid="{1E90C95F-EA77-457F-8D14-E09E38DF15A0}">
      <text>
        <r>
          <rPr>
            <sz val="11"/>
            <color theme="1"/>
            <rFont val="Arial"/>
            <family val="2"/>
            <scheme val="minor"/>
          </rPr>
          <t>======
ID#AAAAkkpSM-Q
User    (2022-11-28 17:31:22)
Incluye: maracuyá, naranja, plátano, tomate de árbol, tomate riñón</t>
        </r>
      </text>
    </comment>
    <comment ref="D314" authorId="0" shapeId="0" xr:uid="{15A82005-CC69-4252-8817-B062B4614E92}">
      <text>
        <r>
          <rPr>
            <sz val="11"/>
            <color theme="1"/>
            <rFont val="Arial"/>
            <family val="2"/>
            <scheme val="minor"/>
          </rPr>
          <t>======
ID#AAAAkkpSM70
User    (2022-11-28 17:31:22)
Incluye: brócoli, cebolla blanca, palmito</t>
        </r>
      </text>
    </comment>
    <comment ref="D315" authorId="0" shapeId="0" xr:uid="{2DA923DF-AE85-443B-90C8-AD4AC2954D8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21" authorId="0" shapeId="0" xr:uid="{5546D4FC-D1F7-4A72-9F9C-0A0A4229CD3D}">
      <text>
        <r>
          <rPr>
            <sz val="11"/>
            <color theme="1"/>
            <rFont val="Arial"/>
            <family val="2"/>
            <scheme val="minor"/>
          </rPr>
          <t>======
ID#AAAAkkpSM7c
User    (2022-11-28 17:31:22)
Incluye caña de azucar para azúcar y para otros usos</t>
        </r>
      </text>
    </comment>
    <comment ref="D322" authorId="0" shapeId="0" xr:uid="{28BF6C66-CE71-4632-BCF6-8E9E0870339F}">
      <text>
        <r>
          <rPr>
            <sz val="11"/>
            <color theme="1"/>
            <rFont val="Arial"/>
            <family val="2"/>
            <scheme val="minor"/>
          </rPr>
          <t>======
ID#AAAAkkpSMyQ
User    (2022-11-28 17:31:22)
Incluye: Maíz duro en choclo y seco, maíz suave en choclo y seco</t>
        </r>
      </text>
    </comment>
    <comment ref="D326" authorId="0" shapeId="0" xr:uid="{F544D9B2-7FA4-4E70-9810-169E926D765F}">
      <text>
        <r>
          <rPr>
            <sz val="11"/>
            <color theme="1"/>
            <rFont val="Arial"/>
            <family val="2"/>
            <scheme val="minor"/>
          </rPr>
          <t>======
ID#AAAAkkpSMnI
User    (2022-11-28 17:31:22)
Incluye: arveja seca y tierna, fréjol seco y tierno, haba seca y tierna</t>
        </r>
      </text>
    </comment>
    <comment ref="D327" authorId="0" shapeId="0" xr:uid="{BD0D8078-2853-4B94-9337-02122E88AD96}">
      <text>
        <r>
          <rPr>
            <sz val="11"/>
            <color theme="1"/>
            <rFont val="Arial"/>
            <family val="2"/>
            <scheme val="minor"/>
          </rPr>
          <t>======
ID#AAAAkkEn1Qc
User    (2022-11-28 17:31:21)
Incluye: cebada, trigo</t>
        </r>
      </text>
    </comment>
    <comment ref="D328" authorId="0" shapeId="0" xr:uid="{529B390F-F1C7-4978-9A9E-B95454A2365A}">
      <text>
        <r>
          <rPr>
            <sz val="11"/>
            <color theme="1"/>
            <rFont val="Arial"/>
            <family val="2"/>
            <scheme val="minor"/>
          </rPr>
          <t>======
ID#AAAAkkpSMoQ
User    (2022-11-28 17:31:22)
Incluye: papa, yuca</t>
        </r>
      </text>
    </comment>
    <comment ref="D329" authorId="0" shapeId="0" xr:uid="{9B1F6BA5-5851-425C-8F31-9B5C623F9E85}">
      <text>
        <r>
          <rPr>
            <sz val="11"/>
            <color theme="1"/>
            <rFont val="Arial"/>
            <family val="2"/>
            <scheme val="minor"/>
          </rPr>
          <t>======
ID#AAAAkkpSM-Q
User    (2022-11-28 17:31:22)
Incluye: maracuyá, naranja, plátano, tomate de árbol, tomate riñón</t>
        </r>
      </text>
    </comment>
    <comment ref="D330" authorId="0" shapeId="0" xr:uid="{C857B2A6-2CE6-4881-8DE9-DF2BB02518FB}">
      <text>
        <r>
          <rPr>
            <sz val="11"/>
            <color theme="1"/>
            <rFont val="Arial"/>
            <family val="2"/>
            <scheme val="minor"/>
          </rPr>
          <t>======
ID#AAAAkkpSM70
User    (2022-11-28 17:31:22)
Incluye: brócoli, cebolla blanca, palmito</t>
        </r>
      </text>
    </comment>
    <comment ref="D331" authorId="0" shapeId="0" xr:uid="{0439C4CF-FDE5-4C33-8904-FCD96158728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37" authorId="0" shapeId="0" xr:uid="{02F5BB0D-C050-461D-861F-8BCBEAC668DA}">
      <text>
        <r>
          <rPr>
            <sz val="11"/>
            <color theme="1"/>
            <rFont val="Arial"/>
            <family val="2"/>
            <scheme val="minor"/>
          </rPr>
          <t>======
ID#AAAAkkpSM7c
User    (2022-11-28 17:31:22)
Incluye caña de azucar para azúcar y para otros usos</t>
        </r>
      </text>
    </comment>
    <comment ref="D338" authorId="0" shapeId="0" xr:uid="{AC589BB7-60D5-4D27-A4BF-8DE2B2C36BD0}">
      <text>
        <r>
          <rPr>
            <sz val="11"/>
            <color theme="1"/>
            <rFont val="Arial"/>
            <family val="2"/>
            <scheme val="minor"/>
          </rPr>
          <t>======
ID#AAAAkkpSMyQ
User    (2022-11-28 17:31:22)
Incluye: Maíz duro en choclo y seco, maíz suave en choclo y seco</t>
        </r>
      </text>
    </comment>
    <comment ref="D342" authorId="0" shapeId="0" xr:uid="{1B5DA7E8-2CFC-48FE-97E8-CCADA094BB0C}">
      <text>
        <r>
          <rPr>
            <sz val="11"/>
            <color theme="1"/>
            <rFont val="Arial"/>
            <family val="2"/>
            <scheme val="minor"/>
          </rPr>
          <t>======
ID#AAAAkkpSMnI
User    (2022-11-28 17:31:22)
Incluye: arveja seca y tierna, fréjol seco y tierno, haba seca y tierna</t>
        </r>
      </text>
    </comment>
    <comment ref="D343" authorId="0" shapeId="0" xr:uid="{49D02737-171D-4E35-8E58-5845F7BD0A13}">
      <text>
        <r>
          <rPr>
            <sz val="11"/>
            <color theme="1"/>
            <rFont val="Arial"/>
            <family val="2"/>
            <scheme val="minor"/>
          </rPr>
          <t>======
ID#AAAAkkEn1Qc
User    (2022-11-28 17:31:21)
Incluye: cebada, trigo</t>
        </r>
      </text>
    </comment>
    <comment ref="D344" authorId="0" shapeId="0" xr:uid="{1B92A1BC-FD83-4697-9B90-EB47B5579C8B}">
      <text>
        <r>
          <rPr>
            <sz val="11"/>
            <color theme="1"/>
            <rFont val="Arial"/>
            <family val="2"/>
            <scheme val="minor"/>
          </rPr>
          <t>======
ID#AAAAkkpSMoQ
User    (2022-11-28 17:31:22)
Incluye: papa, yuca</t>
        </r>
      </text>
    </comment>
    <comment ref="D345" authorId="0" shapeId="0" xr:uid="{986074E2-51E9-44E5-BCCA-5CF54C4E985F}">
      <text>
        <r>
          <rPr>
            <sz val="11"/>
            <color theme="1"/>
            <rFont val="Arial"/>
            <family val="2"/>
            <scheme val="minor"/>
          </rPr>
          <t>======
ID#AAAAkkpSM-Q
User    (2022-11-28 17:31:22)
Incluye: maracuyá, naranja, plátano, tomate de árbol, tomate riñón</t>
        </r>
      </text>
    </comment>
    <comment ref="D346" authorId="0" shapeId="0" xr:uid="{F634775B-3CA0-47D3-BB59-E94C78C54041}">
      <text>
        <r>
          <rPr>
            <sz val="11"/>
            <color theme="1"/>
            <rFont val="Arial"/>
            <family val="2"/>
            <scheme val="minor"/>
          </rPr>
          <t>======
ID#AAAAkkpSM70
User    (2022-11-28 17:31:22)
Incluye: brócoli, cebolla blanca, palmito</t>
        </r>
      </text>
    </comment>
    <comment ref="D347" authorId="0" shapeId="0" xr:uid="{CFBDD66F-86FA-4787-BBB8-66F9EE0FA1F3}">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53" authorId="0" shapeId="0" xr:uid="{071F47C3-657B-49EE-90E6-FFBF4D19D55D}">
      <text>
        <r>
          <rPr>
            <sz val="11"/>
            <color theme="1"/>
            <rFont val="Arial"/>
            <family val="2"/>
            <scheme val="minor"/>
          </rPr>
          <t>======
ID#AAAAkkpSM7c
User    (2022-11-28 17:31:22)
Incluye caña de azucar para azúcar y para otros usos</t>
        </r>
      </text>
    </comment>
    <comment ref="D354" authorId="0" shapeId="0" xr:uid="{58965A86-BBFE-48DE-BFED-667B3902D90F}">
      <text>
        <r>
          <rPr>
            <sz val="11"/>
            <color theme="1"/>
            <rFont val="Arial"/>
            <family val="2"/>
            <scheme val="minor"/>
          </rPr>
          <t>======
ID#AAAAkkpSMyQ
User    (2022-11-28 17:31:22)
Incluye: Maíz duro en choclo y seco, maíz suave en choclo y seco</t>
        </r>
      </text>
    </comment>
    <comment ref="D358" authorId="0" shapeId="0" xr:uid="{F2A77740-4DDC-4DAA-BBFD-36AEB66BB4F2}">
      <text>
        <r>
          <rPr>
            <sz val="11"/>
            <color theme="1"/>
            <rFont val="Arial"/>
            <family val="2"/>
            <scheme val="minor"/>
          </rPr>
          <t>======
ID#AAAAkkpSMnI
User    (2022-11-28 17:31:22)
Incluye: arveja seca y tierna, fréjol seco y tierno, haba seca y tierna</t>
        </r>
      </text>
    </comment>
    <comment ref="D359" authorId="0" shapeId="0" xr:uid="{4E4F7E14-C536-4FAA-B585-8A9005374578}">
      <text>
        <r>
          <rPr>
            <sz val="11"/>
            <color theme="1"/>
            <rFont val="Arial"/>
            <family val="2"/>
            <scheme val="minor"/>
          </rPr>
          <t>======
ID#AAAAkkEn1Qc
User    (2022-11-28 17:31:21)
Incluye: cebada, trigo</t>
        </r>
      </text>
    </comment>
    <comment ref="D360" authorId="0" shapeId="0" xr:uid="{F2BA0962-3F8D-4152-B7AF-F351F651A859}">
      <text>
        <r>
          <rPr>
            <sz val="11"/>
            <color theme="1"/>
            <rFont val="Arial"/>
            <family val="2"/>
            <scheme val="minor"/>
          </rPr>
          <t>======
ID#AAAAkkpSMoQ
User    (2022-11-28 17:31:22)
Incluye: papa, yuca</t>
        </r>
      </text>
    </comment>
    <comment ref="D361" authorId="0" shapeId="0" xr:uid="{A88E7359-1EE5-4E2E-B7AD-3665D9345953}">
      <text>
        <r>
          <rPr>
            <sz val="11"/>
            <color theme="1"/>
            <rFont val="Arial"/>
            <family val="2"/>
            <scheme val="minor"/>
          </rPr>
          <t>======
ID#AAAAkkpSM-Q
User    (2022-11-28 17:31:22)
Incluye: maracuyá, naranja, plátano, tomate de árbol, tomate riñón</t>
        </r>
      </text>
    </comment>
    <comment ref="D362" authorId="0" shapeId="0" xr:uid="{B21647CF-4004-44F9-AF11-C4E2350E0D10}">
      <text>
        <r>
          <rPr>
            <sz val="11"/>
            <color theme="1"/>
            <rFont val="Arial"/>
            <family val="2"/>
            <scheme val="minor"/>
          </rPr>
          <t>======
ID#AAAAkkpSM70
User    (2022-11-28 17:31:22)
Incluye: brócoli, cebolla blanca, palmito</t>
        </r>
      </text>
    </comment>
    <comment ref="D363" authorId="0" shapeId="0" xr:uid="{FFC5645C-5414-458C-B99A-B30AE167793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69" authorId="0" shapeId="0" xr:uid="{232B0590-8439-4B1C-934F-A03988AFBAD7}">
      <text>
        <r>
          <rPr>
            <sz val="11"/>
            <color theme="1"/>
            <rFont val="Arial"/>
            <family val="2"/>
            <scheme val="minor"/>
          </rPr>
          <t>======
ID#AAAAkkpSM7c
User    (2022-11-28 17:31:22)
Incluye caña de azucar para azúcar y para otros usos</t>
        </r>
      </text>
    </comment>
    <comment ref="D370" authorId="0" shapeId="0" xr:uid="{BE998711-28F7-46D6-9D46-A1EBCE735E25}">
      <text>
        <r>
          <rPr>
            <sz val="11"/>
            <color theme="1"/>
            <rFont val="Arial"/>
            <family val="2"/>
            <scheme val="minor"/>
          </rPr>
          <t>======
ID#AAAAkkpSMyQ
User    (2022-11-28 17:31:22)
Incluye: Maíz duro en choclo y seco, maíz suave en choclo y seco</t>
        </r>
      </text>
    </comment>
    <comment ref="D374" authorId="0" shapeId="0" xr:uid="{127FBA5A-54C6-42ED-99AD-0C2FB829CE14}">
      <text>
        <r>
          <rPr>
            <sz val="11"/>
            <color theme="1"/>
            <rFont val="Arial"/>
            <family val="2"/>
            <scheme val="minor"/>
          </rPr>
          <t>======
ID#AAAAkkpSMnI
User    (2022-11-28 17:31:22)
Incluye: arveja seca y tierna, fréjol seco y tierno, haba seca y tierna</t>
        </r>
      </text>
    </comment>
    <comment ref="D375" authorId="0" shapeId="0" xr:uid="{1CDB1179-04A1-4E45-B60D-E0CD7E279953}">
      <text>
        <r>
          <rPr>
            <sz val="11"/>
            <color theme="1"/>
            <rFont val="Arial"/>
            <family val="2"/>
            <scheme val="minor"/>
          </rPr>
          <t>======
ID#AAAAkkEn1Qc
User    (2022-11-28 17:31:21)
Incluye: cebada, trigo</t>
        </r>
      </text>
    </comment>
    <comment ref="D376" authorId="0" shapeId="0" xr:uid="{ADBB40FA-FD71-4698-9AC0-A06F495DF09B}">
      <text>
        <r>
          <rPr>
            <sz val="11"/>
            <color theme="1"/>
            <rFont val="Arial"/>
            <family val="2"/>
            <scheme val="minor"/>
          </rPr>
          <t>======
ID#AAAAkkpSMoQ
User    (2022-11-28 17:31:22)
Incluye: papa, yuca</t>
        </r>
      </text>
    </comment>
    <comment ref="D377" authorId="0" shapeId="0" xr:uid="{B5C481DA-D653-48DF-93EC-394E0C348ADC}">
      <text>
        <r>
          <rPr>
            <sz val="11"/>
            <color theme="1"/>
            <rFont val="Arial"/>
            <family val="2"/>
            <scheme val="minor"/>
          </rPr>
          <t>======
ID#AAAAkkpSM-Q
User    (2022-11-28 17:31:22)
Incluye: maracuyá, naranja, plátano, tomate de árbol, tomate riñón</t>
        </r>
      </text>
    </comment>
    <comment ref="D378" authorId="0" shapeId="0" xr:uid="{852AB9C3-0127-4BE0-8755-9B69416A2A14}">
      <text>
        <r>
          <rPr>
            <sz val="11"/>
            <color theme="1"/>
            <rFont val="Arial"/>
            <family val="2"/>
            <scheme val="minor"/>
          </rPr>
          <t>======
ID#AAAAkkpSM70
User    (2022-11-28 17:31:22)
Incluye: brócoli, cebolla blanca, palmito</t>
        </r>
      </text>
    </comment>
    <comment ref="D379" authorId="0" shapeId="0" xr:uid="{7EF60BC6-4490-4CC8-BF31-4AB67C4C293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87" authorId="0" shapeId="0" xr:uid="{C20BEBEC-D009-4AE6-823E-680E09879476}">
      <text>
        <r>
          <rPr>
            <sz val="11"/>
            <color theme="1"/>
            <rFont val="Arial"/>
            <family val="2"/>
            <scheme val="minor"/>
          </rPr>
          <t>======
ID#AAAAkkpSM74
User    (2022-11-28 17:31:22)
Incluye caña de azucar para azúcar y para otros usos</t>
        </r>
      </text>
    </comment>
    <comment ref="D388" authorId="0" shapeId="0" xr:uid="{A0946651-3E01-47FB-96DC-67C83314CE63}">
      <text>
        <r>
          <rPr>
            <sz val="11"/>
            <color theme="1"/>
            <rFont val="Arial"/>
            <family val="2"/>
            <scheme val="minor"/>
          </rPr>
          <t>======
ID#AAAAkkpSM1s
User    (2022-11-28 17:31:22)
Incluye: Maíz duro en choclo y seco, maíz suave en choclo y seco</t>
        </r>
      </text>
    </comment>
    <comment ref="D392" authorId="0" shapeId="0" xr:uid="{F5C978F1-1D96-49AA-A78A-AD422C7238F4}">
      <text>
        <r>
          <rPr>
            <sz val="11"/>
            <color theme="1"/>
            <rFont val="Arial"/>
            <family val="2"/>
            <scheme val="minor"/>
          </rPr>
          <t>======
ID#AAAAkkpSMoE
User    (2022-11-28 17:31:22)
Incluye: arveja seca y tierna, fréjol seco y tierno, haba seca y tierna</t>
        </r>
      </text>
    </comment>
    <comment ref="D393" authorId="0" shapeId="0" xr:uid="{666873DA-4B3C-4F6C-BF6D-52A372860FF2}">
      <text>
        <r>
          <rPr>
            <sz val="11"/>
            <color theme="1"/>
            <rFont val="Arial"/>
            <family val="2"/>
            <scheme val="minor"/>
          </rPr>
          <t>======
ID#AAAAkkpSM50
User    (2022-11-28 17:31:22)
Incluye: cebada, trigo</t>
        </r>
      </text>
    </comment>
    <comment ref="D394" authorId="0" shapeId="0" xr:uid="{8C140712-1EE3-4C38-8C7C-64E524599E0C}">
      <text>
        <r>
          <rPr>
            <sz val="11"/>
            <color theme="1"/>
            <rFont val="Arial"/>
            <family val="2"/>
            <scheme val="minor"/>
          </rPr>
          <t>======
ID#AAAAkkpSMng
User    (2022-11-28 17:31:22)
Incluye: papa, yuca</t>
        </r>
      </text>
    </comment>
    <comment ref="D395" authorId="0" shapeId="0" xr:uid="{0B5245CB-110B-4CE3-B35C-20A393D7F402}">
      <text>
        <r>
          <rPr>
            <sz val="11"/>
            <color theme="1"/>
            <rFont val="Arial"/>
            <family val="2"/>
            <scheme val="minor"/>
          </rPr>
          <t>======
ID#AAAAkkpSM14
User    (2022-11-28 17:31:22)
Incluye: maracuyá, naranja, plátano, tomate de árbol, tomate riñón</t>
        </r>
      </text>
    </comment>
    <comment ref="D396" authorId="0" shapeId="0" xr:uid="{22FF61D3-8572-47BB-A493-92850AE860D0}">
      <text>
        <r>
          <rPr>
            <sz val="11"/>
            <color theme="1"/>
            <rFont val="Arial"/>
            <family val="2"/>
            <scheme val="minor"/>
          </rPr>
          <t>======
ID#AAAAkkpSM_8
User    (2022-11-28 17:31:22)
Incluye: brócoli, cebolla blanca, palmito</t>
        </r>
      </text>
    </comment>
    <comment ref="D397" authorId="0" shapeId="0" xr:uid="{D043D73E-B8C4-4FF4-9BB7-F2FD72FC639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03" authorId="0" shapeId="0" xr:uid="{00000000-0006-0000-0700-000005000000}">
      <text>
        <r>
          <rPr>
            <sz val="11"/>
            <color theme="1"/>
            <rFont val="Arial"/>
            <family val="2"/>
            <scheme val="minor"/>
          </rPr>
          <t>======
ID#AAAAkkpSM74
User    (2022-11-28 17:31:22)
Incluye caña de azucar para azúcar y para otros usos</t>
        </r>
      </text>
    </comment>
    <comment ref="D404" authorId="0" shapeId="0" xr:uid="{00000000-0006-0000-0700-00000D000000}">
      <text>
        <r>
          <rPr>
            <sz val="11"/>
            <color theme="1"/>
            <rFont val="Arial"/>
            <family val="2"/>
            <scheme val="minor"/>
          </rPr>
          <t>======
ID#AAAAkkpSM1s
User    (2022-11-28 17:31:22)
Incluye: Maíz duro en choclo y seco, maíz suave en choclo y seco</t>
        </r>
      </text>
    </comment>
    <comment ref="D408" authorId="0" shapeId="0" xr:uid="{00000000-0006-0000-0700-000015000000}">
      <text>
        <r>
          <rPr>
            <sz val="11"/>
            <color theme="1"/>
            <rFont val="Arial"/>
            <family val="2"/>
            <scheme val="minor"/>
          </rPr>
          <t>======
ID#AAAAkkpSMoE
User    (2022-11-28 17:31:22)
Incluye: arveja seca y tierna, fréjol seco y tierno, haba seca y tierna</t>
        </r>
      </text>
    </comment>
    <comment ref="D409" authorId="0" shapeId="0" xr:uid="{00000000-0006-0000-0700-00000A000000}">
      <text>
        <r>
          <rPr>
            <sz val="11"/>
            <color theme="1"/>
            <rFont val="Arial"/>
            <family val="2"/>
            <scheme val="minor"/>
          </rPr>
          <t>======
ID#AAAAkkpSM50
User    (2022-11-28 17:31:22)
Incluye: cebada, trigo</t>
        </r>
      </text>
    </comment>
    <comment ref="D410" authorId="0" shapeId="0" xr:uid="{00000000-0006-0000-0700-000016000000}">
      <text>
        <r>
          <rPr>
            <sz val="11"/>
            <color theme="1"/>
            <rFont val="Arial"/>
            <family val="2"/>
            <scheme val="minor"/>
          </rPr>
          <t>======
ID#AAAAkkpSMng
User    (2022-11-28 17:31:22)
Incluye: papa, yuca</t>
        </r>
      </text>
    </comment>
    <comment ref="D411" authorId="0" shapeId="0" xr:uid="{00000000-0006-0000-0700-00000C000000}">
      <text>
        <r>
          <rPr>
            <sz val="11"/>
            <color theme="1"/>
            <rFont val="Arial"/>
            <family val="2"/>
            <scheme val="minor"/>
          </rPr>
          <t>======
ID#AAAAkkpSM14
User    (2022-11-28 17:31:22)
Incluye: maracuyá, naranja, plátano, tomate de árbol, tomate riñón</t>
        </r>
      </text>
    </comment>
    <comment ref="D412" authorId="0" shapeId="0" xr:uid="{00000000-0006-0000-0700-000001000000}">
      <text>
        <r>
          <rPr>
            <sz val="11"/>
            <color theme="1"/>
            <rFont val="Arial"/>
            <family val="2"/>
            <scheme val="minor"/>
          </rPr>
          <t>======
ID#AAAAkkpSM_8
User    (2022-11-28 17:31:22)
Incluye: brócoli, cebolla blanca, palmito</t>
        </r>
      </text>
    </comment>
    <comment ref="D413" authorId="0" shapeId="0" xr:uid="{00000000-0006-0000-0700-00001B00000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21" authorId="0" shapeId="0" xr:uid="{A53C814B-386D-41BC-AD44-5F2BBA0304B0}">
      <text>
        <r>
          <rPr>
            <sz val="11"/>
            <color theme="1"/>
            <rFont val="Arial"/>
            <family val="2"/>
            <scheme val="minor"/>
          </rPr>
          <t>======
ID#AAAAkkpSM74
User    (2022-11-28 17:31:22)
Incluye caña de azucar para azúcar y para otros usos</t>
        </r>
      </text>
    </comment>
    <comment ref="D422" authorId="0" shapeId="0" xr:uid="{80162722-57FD-445E-A1BC-740342E6A00C}">
      <text>
        <r>
          <rPr>
            <sz val="11"/>
            <color theme="1"/>
            <rFont val="Arial"/>
            <family val="2"/>
            <scheme val="minor"/>
          </rPr>
          <t>======
ID#AAAAkkpSM1s
User    (2022-11-28 17:31:22)
Incluye: Maíz duro en choclo y seco, maíz suave en choclo y seco</t>
        </r>
      </text>
    </comment>
    <comment ref="D426" authorId="0" shapeId="0" xr:uid="{AC072F5C-211A-4FE7-81E6-99D838DA79CE}">
      <text>
        <r>
          <rPr>
            <sz val="11"/>
            <color theme="1"/>
            <rFont val="Arial"/>
            <family val="2"/>
            <scheme val="minor"/>
          </rPr>
          <t>======
ID#AAAAkkpSMoE
User    (2022-11-28 17:31:22)
Incluye: arveja seca y tierna, fréjol seco y tierno, haba seca y tierna</t>
        </r>
      </text>
    </comment>
    <comment ref="D427" authorId="0" shapeId="0" xr:uid="{90FB4B96-1DF3-4F35-84A5-9DD70BBDE4CD}">
      <text>
        <r>
          <rPr>
            <sz val="11"/>
            <color theme="1"/>
            <rFont val="Arial"/>
            <family val="2"/>
            <scheme val="minor"/>
          </rPr>
          <t>======
ID#AAAAkkpSM50
User    (2022-11-28 17:31:22)
Incluye: cebada, trigo</t>
        </r>
      </text>
    </comment>
    <comment ref="D428" authorId="0" shapeId="0" xr:uid="{210AFC40-E63E-4892-ABB8-EA2AE8E76C8B}">
      <text>
        <r>
          <rPr>
            <sz val="11"/>
            <color theme="1"/>
            <rFont val="Arial"/>
            <family val="2"/>
            <scheme val="minor"/>
          </rPr>
          <t>======
ID#AAAAkkpSMng
User    (2022-11-28 17:31:22)
Incluye: papa, yuca</t>
        </r>
      </text>
    </comment>
    <comment ref="D429" authorId="0" shapeId="0" xr:uid="{3EF52FAA-FC16-4CDC-BBDB-FC1FD382DD64}">
      <text>
        <r>
          <rPr>
            <sz val="11"/>
            <color theme="1"/>
            <rFont val="Arial"/>
            <family val="2"/>
            <scheme val="minor"/>
          </rPr>
          <t>======
ID#AAAAkkpSM14
User    (2022-11-28 17:31:22)
Incluye: maracuyá, naranja, plátano, tomate de árbol, tomate riñón</t>
        </r>
      </text>
    </comment>
    <comment ref="D430" authorId="0" shapeId="0" xr:uid="{3E8C6C6A-A019-4550-85CD-4C3C5E702479}">
      <text>
        <r>
          <rPr>
            <sz val="11"/>
            <color theme="1"/>
            <rFont val="Arial"/>
            <family val="2"/>
            <scheme val="minor"/>
          </rPr>
          <t>======
ID#AAAAkkpSM_8
User    (2022-11-28 17:31:22)
Incluye: brócoli, cebolla blanca, palmito</t>
        </r>
      </text>
    </comment>
    <comment ref="D431" authorId="0" shapeId="0" xr:uid="{C3C92076-3E8F-434F-ACBD-0281568E5AE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37" authorId="0" shapeId="0" xr:uid="{E822BA99-87B2-4E65-AD25-8E7B26B1C01C}">
      <text>
        <r>
          <rPr>
            <sz val="11"/>
            <color theme="1"/>
            <rFont val="Arial"/>
            <family val="2"/>
            <scheme val="minor"/>
          </rPr>
          <t>======
ID#AAAAkkpSM74
User    (2022-11-28 17:31:22)
Incluye caña de azucar para azúcar y para otros usos</t>
        </r>
      </text>
    </comment>
    <comment ref="D438" authorId="0" shapeId="0" xr:uid="{81347B38-8D73-4659-9272-76932DFA7CDB}">
      <text>
        <r>
          <rPr>
            <sz val="11"/>
            <color theme="1"/>
            <rFont val="Arial"/>
            <family val="2"/>
            <scheme val="minor"/>
          </rPr>
          <t>======
ID#AAAAkkpSM1s
User    (2022-11-28 17:31:22)
Incluye: Maíz duro en choclo y seco, maíz suave en choclo y seco</t>
        </r>
      </text>
    </comment>
    <comment ref="D442" authorId="0" shapeId="0" xr:uid="{252077C0-1080-46B2-A8EC-AF6576690F17}">
      <text>
        <r>
          <rPr>
            <sz val="11"/>
            <color theme="1"/>
            <rFont val="Arial"/>
            <family val="2"/>
            <scheme val="minor"/>
          </rPr>
          <t>======
ID#AAAAkkpSMoE
User    (2022-11-28 17:31:22)
Incluye: arveja seca y tierna, fréjol seco y tierno, haba seca y tierna</t>
        </r>
      </text>
    </comment>
    <comment ref="D443" authorId="0" shapeId="0" xr:uid="{352C2D7E-1423-400E-A9FC-CDA170877855}">
      <text>
        <r>
          <rPr>
            <sz val="11"/>
            <color theme="1"/>
            <rFont val="Arial"/>
            <family val="2"/>
            <scheme val="minor"/>
          </rPr>
          <t>======
ID#AAAAkkpSM50
User    (2022-11-28 17:31:22)
Incluye: cebada, trigo</t>
        </r>
      </text>
    </comment>
    <comment ref="D444" authorId="0" shapeId="0" xr:uid="{36E4BD1B-B13C-4ADE-81D3-78CE33A93DB0}">
      <text>
        <r>
          <rPr>
            <sz val="11"/>
            <color theme="1"/>
            <rFont val="Arial"/>
            <family val="2"/>
            <scheme val="minor"/>
          </rPr>
          <t>======
ID#AAAAkkpSMng
User    (2022-11-28 17:31:22)
Incluye: papa, yuca</t>
        </r>
      </text>
    </comment>
    <comment ref="D445" authorId="0" shapeId="0" xr:uid="{FDC60930-03DC-4F00-907D-6AD4621B9F06}">
      <text>
        <r>
          <rPr>
            <sz val="11"/>
            <color theme="1"/>
            <rFont val="Arial"/>
            <family val="2"/>
            <scheme val="minor"/>
          </rPr>
          <t>======
ID#AAAAkkpSM14
User    (2022-11-28 17:31:22)
Incluye: maracuyá, naranja, plátano, tomate de árbol, tomate riñón</t>
        </r>
      </text>
    </comment>
    <comment ref="D446" authorId="0" shapeId="0" xr:uid="{85EE7F33-9D6E-4499-84E7-A36DCE139BFB}">
      <text>
        <r>
          <rPr>
            <sz val="11"/>
            <color theme="1"/>
            <rFont val="Arial"/>
            <family val="2"/>
            <scheme val="minor"/>
          </rPr>
          <t>======
ID#AAAAkkpSM_8
User    (2022-11-28 17:31:22)
Incluye: brócoli, cebolla blanca, palmito</t>
        </r>
      </text>
    </comment>
    <comment ref="D447" authorId="0" shapeId="0" xr:uid="{EAD5A264-577E-4E9D-A279-FA708C40C9FE}">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<sst xmlns="http://schemas.openxmlformats.org/spreadsheetml/2006/main" count="11634" uniqueCount="1044">
  <si>
    <t>Referencia</t>
  </si>
  <si>
    <t>Ecuador</t>
  </si>
  <si>
    <t xml:space="preserve">DATOS PARA CALIBRAR PROYECCIONES </t>
  </si>
  <si>
    <t>GRÁFICO UTCUTS-1</t>
  </si>
  <si>
    <t>TABLA UTCUTS - 1: Cobertura uso de suelos</t>
  </si>
  <si>
    <t>Uso de suelos [ha]</t>
  </si>
  <si>
    <t>ESPAC</t>
  </si>
  <si>
    <t>Montes y bosques [ha]</t>
  </si>
  <si>
    <t>Cultivos permanentes [ha]</t>
  </si>
  <si>
    <t>Cultivos transitorios y barbechos [ha]</t>
  </si>
  <si>
    <t>Descanso [ha]</t>
  </si>
  <si>
    <t>Otros usos [ha]</t>
  </si>
  <si>
    <t>Páramos [ha]</t>
  </si>
  <si>
    <t>Pastos cultivados [ha]</t>
  </si>
  <si>
    <t>Pastos permanentes [ha]</t>
  </si>
  <si>
    <t>Uso de suelos [Mha]</t>
  </si>
  <si>
    <t>Montes y bosques [Mha]</t>
  </si>
  <si>
    <t>Cultivos permanentes [Mha]</t>
  </si>
  <si>
    <t>Cultivos transitorios y barbechos [Mha]</t>
  </si>
  <si>
    <t>Descanso [Mha]</t>
  </si>
  <si>
    <t>Otros usos [Mha]</t>
  </si>
  <si>
    <t>Páramos [Mha]</t>
  </si>
  <si>
    <t>Pastos cultivados [Mha]</t>
  </si>
  <si>
    <t>Pastos permanentes [Mha]</t>
  </si>
  <si>
    <t>TOTAL COBERTURAS [Mha]</t>
  </si>
  <si>
    <t>DATOS ÁREAS PROTEGIDAS</t>
  </si>
  <si>
    <t>TABLA UTCUTS - 2: Cobertura áreas protegidas</t>
  </si>
  <si>
    <t>Áreas protegidas [Mha]</t>
  </si>
  <si>
    <t>SNAP</t>
  </si>
  <si>
    <t>Galápagos [Mha]</t>
  </si>
  <si>
    <t>Bosques protegidos/Protected forest [Mha]</t>
  </si>
  <si>
    <t>Pradera protegida/Protected grassland [Mha]</t>
  </si>
  <si>
    <t>Manglares  [Mha]</t>
  </si>
  <si>
    <t>DATOS PARA MODELO OSEMOSYS</t>
  </si>
  <si>
    <t>Drivers</t>
  </si>
  <si>
    <t xml:space="preserve">TABLA UTCUTS - 3: Coberturas generales - MAG + MAATE </t>
  </si>
  <si>
    <t>Coberturas generales [ha]</t>
  </si>
  <si>
    <t>MAG+MAATE</t>
  </si>
  <si>
    <t>Bosque</t>
  </si>
  <si>
    <t>Bosque nativo [ha]</t>
  </si>
  <si>
    <t>Plantación forestal [ha]</t>
  </si>
  <si>
    <t>Tierra agropecuaria</t>
  </si>
  <si>
    <t>Cultivo anual [ha]</t>
  </si>
  <si>
    <t>Cultivo semipermanente [ha]</t>
  </si>
  <si>
    <t>Cultivo permanente [ha]</t>
  </si>
  <si>
    <t>Pastizal [ha]</t>
  </si>
  <si>
    <t>Mosaico agropecuario [ha]</t>
  </si>
  <si>
    <t>Vegetación arbustiva</t>
  </si>
  <si>
    <t>Vegetación arbustiva [ha]</t>
  </si>
  <si>
    <t>Vegetación herbácea [ha]</t>
  </si>
  <si>
    <t>Páramo [ha]</t>
  </si>
  <si>
    <t>Cuerpo de agua</t>
  </si>
  <si>
    <t>Cuerpo de agua natural [ha]</t>
  </si>
  <si>
    <t>Cuerpo de agua artificial [ha]</t>
  </si>
  <si>
    <t>Zona antrópica</t>
  </si>
  <si>
    <t>Área poblada [ha]</t>
  </si>
  <si>
    <t>Infraestructura [ha]</t>
  </si>
  <si>
    <t>Otras tierras</t>
  </si>
  <si>
    <t>Área sin cobertura vegetal [ha]</t>
  </si>
  <si>
    <t>Glaciar [ha]</t>
  </si>
  <si>
    <t>Sin información [ha]</t>
  </si>
  <si>
    <t>TOTAL COBERTURAS [ha]</t>
  </si>
  <si>
    <t>Coberturas generales [Mha]</t>
  </si>
  <si>
    <t>Leyendas usadas en INGEI 2018 (NIVEL I IPCC)</t>
  </si>
  <si>
    <t>Leyendas usadas por MAATE en los mapas interactivos y reportes de deforestacion (Nivel I IPCC)</t>
  </si>
  <si>
    <t>Niveles para OSEMOSYS</t>
  </si>
  <si>
    <t>Tasa de deforestación neta 2018 (-0.46%)</t>
  </si>
  <si>
    <t>Tierras forestales</t>
  </si>
  <si>
    <t>Bosque nativo [Mha]</t>
  </si>
  <si>
    <t>10% mas que el crecimiento poblacional segun la planeacion estrategica de plantaciones forestales 2012</t>
  </si>
  <si>
    <t>Plantación forestal [Mha]</t>
  </si>
  <si>
    <t>Tierra de cultivo</t>
  </si>
  <si>
    <t>Cultivos  [Mha]</t>
  </si>
  <si>
    <t>Pastura [Mha]</t>
  </si>
  <si>
    <t>Pastizales (grasslands)</t>
  </si>
  <si>
    <t>Vegetación arbustiva y herbácea (incluye páramo)</t>
  </si>
  <si>
    <t>Pastizales (grasslands)  [Mha]</t>
  </si>
  <si>
    <t>Humedal</t>
  </si>
  <si>
    <t>Cuerpo de agua/humedal</t>
  </si>
  <si>
    <t>Humedal [Mha]</t>
  </si>
  <si>
    <t>Asentamientos</t>
  </si>
  <si>
    <t>Asentamientos [Mha]</t>
  </si>
  <si>
    <t>Otras tierras [Mha]</t>
  </si>
  <si>
    <t>Extraccion de Madera de áreas protegidas</t>
  </si>
  <si>
    <t xml:space="preserve"> MAATE/ INGEI</t>
  </si>
  <si>
    <t xml:space="preserve"> Bosque nativo bajo un regimen de protección legal (PSB, SNAP, Bosques Protectores) </t>
  </si>
  <si>
    <t>Extracción de Madera (m3.ha-1.año-1)</t>
  </si>
  <si>
    <t xml:space="preserve"> B. nativo</t>
  </si>
  <si>
    <t xml:space="preserve"> Plantaciones forestales  </t>
  </si>
  <si>
    <t>TOTAL MADERA EXTRAIDA [m3.ha-1.año-1]</t>
  </si>
  <si>
    <t>Extraccion de leña de áreas protegidas</t>
  </si>
  <si>
    <t>Balance Energético Nacional, 2020/ INGEI</t>
  </si>
  <si>
    <t>Extracción de Leña (m3.ha-1.año-1)</t>
  </si>
  <si>
    <t>TOTAL LEÑA EXTRAIDA [m3.ha-1.año-1]</t>
  </si>
  <si>
    <t>DATOS PARA EMISIONES INGEI</t>
  </si>
  <si>
    <t> </t>
  </si>
  <si>
    <t>TABLA UTCUTS - 4: Cambios de uso de suelos</t>
  </si>
  <si>
    <t>Superficie de tierras convertidas en tierras de cultivo [Mha]</t>
  </si>
  <si>
    <t>INGEI</t>
  </si>
  <si>
    <t>Bosque nativo</t>
  </si>
  <si>
    <t>Tierras de cultivo [Mha]</t>
  </si>
  <si>
    <t xml:space="preserve">Plantación forestal </t>
  </si>
  <si>
    <t>Pastizal (grassland)</t>
  </si>
  <si>
    <t>Humedales</t>
  </si>
  <si>
    <t>Superficie de tierras convertidas en pastizales [Mha]</t>
  </si>
  <si>
    <t>Pastizal (grassland)[Mha]</t>
  </si>
  <si>
    <t>Tierras de cultivo</t>
  </si>
  <si>
    <t>Superficie de tierras convertidas en humedales [Mha]</t>
  </si>
  <si>
    <t>Humedales [Mha]</t>
  </si>
  <si>
    <t>Superficie de tierras convertidas en asentamientos [Mha]</t>
  </si>
  <si>
    <t>Superficie de tierras convertidas en otras tierras [Mha]</t>
  </si>
  <si>
    <t>Plantaciones forestales</t>
  </si>
  <si>
    <t>Rendimiento [kg/Mha]</t>
  </si>
  <si>
    <t>Producción de madera [kg]</t>
  </si>
  <si>
    <t>Referencias Bibliográficas</t>
  </si>
  <si>
    <t>CIFRAS OFICIALES - Información MAATE - Descarbonización, Fuente: INEC - ESPAC 2022-2021, Actualización: Mayo 2022</t>
  </si>
  <si>
    <t>CIFRAS OFICIALES - Reporte Sistema Nacional de Áreas Protegidas SNAP - Periodo 2021</t>
  </si>
  <si>
    <t>CIFRAS PROYECTADAS - Información ELENA</t>
  </si>
  <si>
    <t>CIFRAS OFICIALES - Información MAATE - Descarbonización, Comercio exterior de los principales productos agropecuarios, Fuente: Banco Central del Ecuador, Actualización: 2021</t>
  </si>
  <si>
    <t>CIFRAS OFICIALES - MAG+ MAATE, Cobertura y uso de la tierra, Folder: Uscuss, Datos enviados por Alejandra 10SEP2022</t>
  </si>
  <si>
    <t>CIFRAS OFICIALES - MAG Agrocalidad - Campañas de vacunación, Fuente: Sandra Barriga, Información recibida: 27SEP2022</t>
  </si>
  <si>
    <t>ESPAC - Publicaciones por año, Censos del INEC - Fecha de consulta: 09SEP2022 - Documentos; Archivos ESPAC</t>
  </si>
  <si>
    <t xml:space="preserve">INGEI </t>
  </si>
  <si>
    <t>GRÁFICO UTCUTS-2</t>
  </si>
  <si>
    <t>DRIVERS</t>
  </si>
  <si>
    <t>GRÁFICO UTCUTS-3</t>
  </si>
  <si>
    <t>El sector crece 10% mas que el crecimiento poblacional segun planeacion estrategica de plantaciones forestales 2012</t>
  </si>
  <si>
    <t xml:space="preserve">Crece con la tasa de crecimiento del PIB del sector agricultura, silvicultura y pesca </t>
  </si>
  <si>
    <t>Cultivos [Mha]</t>
  </si>
  <si>
    <t>Flexible</t>
  </si>
  <si>
    <t>Decrece con tasa de crecimiento de PIB del sector agricultura, silvicultura y pesca</t>
  </si>
  <si>
    <t>Tasa de crecimiento del PIB del sector agricultura silvicultura y pesca y tasa de crecimiento del PIB del sector de la construccion</t>
  </si>
  <si>
    <t>Tasa de urbanización</t>
  </si>
  <si>
    <t xml:space="preserve">Cambio climatico causará perdida de 10% de los glaciares hasta el 2050 </t>
  </si>
  <si>
    <t>Crece con la tasa de crecimiento de las plantaciones forestales</t>
  </si>
  <si>
    <t>Crece con la tasa de crecimiento de la poblacion</t>
  </si>
  <si>
    <t xml:space="preserve">DATOS PARA EMISIONES </t>
  </si>
  <si>
    <t>% del Total de has que cambian de cobertura</t>
  </si>
  <si>
    <t>GRÁFICO UTCUTS-4</t>
  </si>
  <si>
    <t>Cobertura inicial</t>
  </si>
  <si>
    <t>Datos 2010 al 2018 INGEI</t>
  </si>
  <si>
    <t>Pastura</t>
  </si>
  <si>
    <t>Superficie de tierras convertidas en Pasturas [Mha]</t>
  </si>
  <si>
    <t>Pasturas [Mha]</t>
  </si>
  <si>
    <t>GRÁFICO UTCUTS-5</t>
  </si>
  <si>
    <t>GRÁFICO UTCUTS-6</t>
  </si>
  <si>
    <t>Pasturas</t>
  </si>
  <si>
    <t>GRÁFICO UTCUTS-7</t>
  </si>
  <si>
    <t>Superficie de tierras convertidas en Plantaciones Forestales [Mha]</t>
  </si>
  <si>
    <t>Plantaciones Forestales [Mha]</t>
  </si>
  <si>
    <t>GRÁFICO UTCUTS-8</t>
  </si>
  <si>
    <t>Drivers económicos</t>
  </si>
  <si>
    <t xml:space="preserve">Población </t>
  </si>
  <si>
    <t>Población Nacional</t>
  </si>
  <si>
    <t>Tasa de crecimiento Poblacional [%]</t>
  </si>
  <si>
    <t>Población Urbana</t>
  </si>
  <si>
    <t>Población Rural</t>
  </si>
  <si>
    <t>Tasa de ruralización</t>
  </si>
  <si>
    <t>Población Económicamente Activa</t>
  </si>
  <si>
    <t>PIB Nacional Tendencial</t>
  </si>
  <si>
    <t>PIB Nacional [Miles USD 2021]</t>
  </si>
  <si>
    <t>Tasa de crecimiento del PIB Nacional [%]</t>
  </si>
  <si>
    <t>PIB Nacional Optimista</t>
  </si>
  <si>
    <t>PIB Nacional Escenario Negativo</t>
  </si>
  <si>
    <t>PIB Sectorial Tendencial</t>
  </si>
  <si>
    <t>Sector agricultura, silvicultura y pesca</t>
  </si>
  <si>
    <t>PIB Sector agricultura, silvicultura y pesca [Miles USD 2021]</t>
  </si>
  <si>
    <t>Sector explotación de minas y canteras</t>
  </si>
  <si>
    <t>PIB Sector explotación de minas y canteras [Miles USD 2021]</t>
  </si>
  <si>
    <t>Sector D Y E  -  Generación, captación y distribución de energía eléctrica. Captación, depuración y distribución de agua; y saneamiento</t>
  </si>
  <si>
    <t>PIB Sector X [Miles USD 2021]</t>
  </si>
  <si>
    <t>Sector C  -  Industrias Manufactureras</t>
  </si>
  <si>
    <t>PIB Sector Y [Miles USD 2021]</t>
  </si>
  <si>
    <t>Sector F   -  Construcción</t>
  </si>
  <si>
    <t>PIB Sector Z [Miles USD 2021]</t>
  </si>
  <si>
    <t>Sector G  -  Comercio al por mayor y al por menor;  reparación de los vehículos de motor y de las motocicletas</t>
  </si>
  <si>
    <t>PIB Sector M [Miles USD 2021]</t>
  </si>
  <si>
    <t>Sector H  -  Transporte y almacenamiento</t>
  </si>
  <si>
    <t>PIB Sector N [Miles USD 2021]</t>
  </si>
  <si>
    <t>Sector Servicios</t>
  </si>
  <si>
    <t>PIB Sector P [Miles USD 2021]</t>
  </si>
  <si>
    <r>
      <rPr>
        <sz val="9"/>
        <color rgb="FF000000"/>
        <rFont val="Arial"/>
        <family val="2"/>
      </rPr>
      <t xml:space="preserve">Tasa de deforestación neta 2018 y 2019 con (-0.46%) a </t>
    </r>
    <r>
      <rPr>
        <b/>
        <sz val="9"/>
        <color rgb="FF000000"/>
        <rFont val="Arial"/>
        <family val="2"/>
      </rPr>
      <t>partir de 2020 con tasa de def. neta de -0.76%</t>
    </r>
  </si>
  <si>
    <t>Bosque nativo con deforestacion neta [Mha]</t>
  </si>
  <si>
    <t>Se usa una tasa de deforestacion bruta de -0.75% para 2019 y a partir de 2020 se usa -0.78%</t>
  </si>
  <si>
    <t>Bosque proyectado con def. bruta [Mha]</t>
  </si>
  <si>
    <t>Def. bruta anual [Mha]</t>
  </si>
  <si>
    <t>Bosque regenerado [Mha]</t>
  </si>
  <si>
    <t>Bosque nativo no protegido [Mha]</t>
  </si>
  <si>
    <t>Bosque nativo bajo régimen de proteccion legal [Mha]</t>
  </si>
  <si>
    <t>El sector silvicultura aporta en 1 % al PIB Nacional, entonces se proyecta que el sector crezca a un 1% del crecimiento del PIB</t>
  </si>
  <si>
    <t>Driver: la superficie destinada a cultivos crece con el PIB sectorial, se estima que el PIB Agricultura, silvicultura y pesca incide en un 34% en la expansion de suelo agricola</t>
  </si>
  <si>
    <t>Decrece con la tasa de crecimiento de cultivos y ganaderia</t>
  </si>
  <si>
    <t>se mantiene con la tasa 2016-2018</t>
  </si>
  <si>
    <t>Tasa de crecimiento poblacional</t>
  </si>
  <si>
    <t>Glaciares representan el 6% de la cobertura otras tierras y se estima que se reducen en 1 % anual hasta el 2050. El otro 94% de tierra sin cobertura vegetal se estima que aumentara debido a procesos erosivos en una tasa del  1.4% anual hasta 2050</t>
  </si>
  <si>
    <t>% del total de has que cambian de cobertura</t>
  </si>
  <si>
    <t>Ejemplo de como calcular los % de cambio entre cobertura</t>
  </si>
  <si>
    <t>Cobertura: Pastizal</t>
  </si>
  <si>
    <t>Delta 2018 (Superfcie Mha)</t>
  </si>
  <si>
    <t>% de Plantaciones forestales que cambia a otros usos</t>
  </si>
  <si>
    <t>Asentamiento</t>
  </si>
  <si>
    <t>Plantaciones Forestales</t>
  </si>
  <si>
    <t>Referencias</t>
  </si>
  <si>
    <t>Emisiones</t>
  </si>
  <si>
    <t>Incendios</t>
  </si>
  <si>
    <t>Biomasa quemada [Mton]</t>
  </si>
  <si>
    <t>Superficie quemada [Mha]</t>
  </si>
  <si>
    <t>Emisiones (CH4) [mton]</t>
  </si>
  <si>
    <t>Emisiones (N2O) [mton]</t>
  </si>
  <si>
    <t>Remociones</t>
  </si>
  <si>
    <t>2,4,5</t>
  </si>
  <si>
    <t>Deforestación [Mha]</t>
  </si>
  <si>
    <t>3,4,5</t>
  </si>
  <si>
    <t>Regeneración [Mha]</t>
  </si>
  <si>
    <t>Deforestación bruta [Mton C]</t>
  </si>
  <si>
    <t>Bosque protegido [Mton CO2e]</t>
  </si>
  <si>
    <t>Absorciones de CO2 [ton CO2eq.ha] Bosques nativos</t>
  </si>
  <si>
    <t>Absorciones de CO2 [tonCO2eq.ha] Plantaciones forestales</t>
  </si>
  <si>
    <t>Tierras convertidas en Cultivos</t>
  </si>
  <si>
    <t>Factor de emisión neto (t CO2 equivalent/Ha)</t>
  </si>
  <si>
    <t>Tierras convertidas en Pasturas</t>
  </si>
  <si>
    <t>Cultivos</t>
  </si>
  <si>
    <t>Tierras convertidas en Pastizales (grasslands)</t>
  </si>
  <si>
    <t>Tierras convertidas en humedales</t>
  </si>
  <si>
    <t>Factor de emisión neto(t CO2 equivalent/Ha)</t>
  </si>
  <si>
    <t>Tierras convertidas en asentamientos</t>
  </si>
  <si>
    <t>Tierras convertidas en otras tierras</t>
  </si>
  <si>
    <t>Tierras forestales que se mantienen o tierras convertidas a plantaciones forestales</t>
  </si>
  <si>
    <t>Bosque nativo que se mantiene como Bosque nativo</t>
  </si>
  <si>
    <t>Plantación forestal que se mantiene como Plantacion forestal</t>
  </si>
  <si>
    <t xml:space="preserve">Cultivos convertidos en plantaciones forestales </t>
  </si>
  <si>
    <t>Pasturas convertidas en plantaciones forestales</t>
  </si>
  <si>
    <t>Pastizales (grasslands) convertidas en plantaciones forestales</t>
  </si>
  <si>
    <t>Humedales convertidas en plantaciones forestales</t>
  </si>
  <si>
    <t>Asentamientos convertidos en plantaciones forestales</t>
  </si>
  <si>
    <t>Otras tierras convertidas en plantaciones forestales</t>
  </si>
  <si>
    <t>Bosque que se regeneró</t>
  </si>
  <si>
    <t>Quema de biomasa</t>
  </si>
  <si>
    <t>Factor de emisión (t CO2 equivalent/Ha)</t>
  </si>
  <si>
    <t>Quema de biomasa de bosques (t CO2 equivalent/Ha)</t>
  </si>
  <si>
    <t>FAOSTAT - Residuos agrícolas - Ecuador - Emisiones directas (N2O) - Fecha consulta: 13SEP2022 - Documento: Plantilla inicial USCUSS 7- 13SEP2022</t>
  </si>
  <si>
    <t>Primer informe bienal de Actualización del Ecuador, Septiembre 2016</t>
  </si>
  <si>
    <t>Análisis de la deforestación en el Ecuador Continental 1990-2014</t>
  </si>
  <si>
    <t>Deforestación del Ecuador Contiental periodo 2014-2016</t>
  </si>
  <si>
    <t>La deforestación en el Ecuador 1990-2018</t>
  </si>
  <si>
    <t>INGEI 2016, INGEI 2018</t>
  </si>
  <si>
    <t>EMISIONES</t>
  </si>
  <si>
    <t>Emisiones de tierras convertidas en tierras de cultivo [MtonCO2 eq]</t>
  </si>
  <si>
    <t>Emisiones de tierras convertidas en Pasturas [MtonCO2 eq]</t>
  </si>
  <si>
    <t>No se calculan emisiones de Pasturas en 2018 porque el INGEI ya la consiera dentro Cultivos</t>
  </si>
  <si>
    <t>Emisiones de tierras convertidas en Vegetacion arbustiva y herbacea (grasslands o pastizal) [MtonCO2 eq]</t>
  </si>
  <si>
    <t>Emisiones de tierras convertidas en humedales [MtonCO2 eq]</t>
  </si>
  <si>
    <t>Emisiones de tierras convertidas en asentamientos [MtonCO2 eq]</t>
  </si>
  <si>
    <t>Emisiones de tierras convertidas en Plantaciones Forestales [MtonCO2 eq]</t>
  </si>
  <si>
    <t>Emisiones de tierras convertidas en otras tierras [MtonCO2 eq]</t>
  </si>
  <si>
    <t>Absorciones de bosques que se mantienen como bosques [MtonCO2 eq]</t>
  </si>
  <si>
    <t>Bosque nativo que se mantiene (solo áreas bajo régimen de protección legal)</t>
  </si>
  <si>
    <t xml:space="preserve">Áreas regeneradas </t>
  </si>
  <si>
    <t>Total Absorciones USCUSS</t>
  </si>
  <si>
    <t>Emisiones netas (emisiones-absorciones considerando TODO el bosque nativo) [MtonCO2 eq]</t>
  </si>
  <si>
    <t xml:space="preserve">Emisiones de cambio de uso de suelo </t>
  </si>
  <si>
    <t xml:space="preserve">Costos considerados para USCUSS </t>
  </si>
  <si>
    <t>1. COSTOS RESTAURACIÓN (Reforestación)</t>
  </si>
  <si>
    <t>Fuente</t>
  </si>
  <si>
    <t>Restauración Año 1</t>
  </si>
  <si>
    <t>Unidades</t>
  </si>
  <si>
    <t>Costo</t>
  </si>
  <si>
    <t xml:space="preserve">Programa Nacional de Restauración del Paisaje (Ministerio del Ambiente, 2019)
</t>
  </si>
  <si>
    <t>Mano de obra</t>
  </si>
  <si>
    <t>USD/ha</t>
  </si>
  <si>
    <t>Insumos</t>
  </si>
  <si>
    <t>Cercado</t>
  </si>
  <si>
    <t>Mantenimiento</t>
  </si>
  <si>
    <t>Gastos administrativos</t>
  </si>
  <si>
    <t>Sistema Nacional de Monitoreo de Bosques</t>
  </si>
  <si>
    <t>Gastos monitoreo</t>
  </si>
  <si>
    <t>Total</t>
  </si>
  <si>
    <t>Restauración Año 2</t>
  </si>
  <si>
    <t>Restauración Año 3</t>
  </si>
  <si>
    <t>Restauración Año 4</t>
  </si>
  <si>
    <t>Restauración Año 5</t>
  </si>
  <si>
    <t>Restauración Año 6</t>
  </si>
  <si>
    <t>Restauración Año 7</t>
  </si>
  <si>
    <t>2. COSTOS CONSERVACIÓN</t>
  </si>
  <si>
    <t xml:space="preserve">Programa Socio Bosque II
(MAATE, 2021)
</t>
  </si>
  <si>
    <t>Conservación de bosques con incentivos económicos NETO CERO 2050</t>
  </si>
  <si>
    <t>Pago por conservación de bosques (promedio ponderado Socio Bosque)</t>
  </si>
  <si>
    <t>Dato sugerido en el taller</t>
  </si>
  <si>
    <t>Conservación de bosques con incentivos económicos NETO CERO 2070</t>
  </si>
  <si>
    <t>3. COSTOS PLANTACIONES FORESTALES</t>
  </si>
  <si>
    <t xml:space="preserve">PROYECTO DE INVERSIÓN: “DINAMIZACIÓN DEL SECTOR FORESTAL PRODUCTIVO SOSTENIBLE” (MAG, 2021)
</t>
  </si>
  <si>
    <t>Plantaciones forestales comerciales y sistemas sostenibles año 1</t>
  </si>
  <si>
    <t>Establecimiento de plantaciones forestales, sistemas
silvopastoriles y agroforestales comerciales, bajo diferentes
esquemas de manejo</t>
  </si>
  <si>
    <t>Plantaciones forestales comerciales y sistemas sostenibles año 2 hasta año 11</t>
  </si>
  <si>
    <t>Direccion de Produccion Forestal (no hay documento solo entrevista)</t>
  </si>
  <si>
    <t>Mantenimiento de plantaciones forestales</t>
  </si>
  <si>
    <t>Referencias:</t>
  </si>
  <si>
    <r>
      <t>•</t>
    </r>
    <r>
      <rPr>
        <sz val="10"/>
        <color rgb="FF000000"/>
        <rFont val="Calibri"/>
        <family val="2"/>
      </rPr>
      <t xml:space="preserve">MAATE. (2021). </t>
    </r>
    <r>
      <rPr>
        <i/>
        <sz val="10"/>
        <color rgb="FF000000"/>
        <rFont val="Calibri"/>
        <family val="2"/>
      </rPr>
      <t>Proyecto Socio Bosque II</t>
    </r>
    <r>
      <rPr>
        <sz val="10"/>
        <color rgb="FF000000"/>
        <rFont val="Calibri"/>
        <family val="2"/>
      </rPr>
      <t xml:space="preserve"> (pp. 1–94). MAATE.</t>
    </r>
  </si>
  <si>
    <r>
      <t>•</t>
    </r>
    <r>
      <rPr>
        <sz val="10"/>
        <color rgb="FF000000"/>
        <rFont val="Calibri"/>
        <family val="2"/>
      </rPr>
      <t xml:space="preserve">MAATE. (2022). </t>
    </r>
    <r>
      <rPr>
        <i/>
        <sz val="10"/>
        <color rgb="FF000000"/>
        <rFont val="Calibri"/>
        <family val="2"/>
      </rPr>
      <t>Proyecto Nacional de Restauración del Paisaje 2022-2025</t>
    </r>
    <r>
      <rPr>
        <sz val="10"/>
        <color rgb="FF000000"/>
        <rFont val="Calibri"/>
        <family val="2"/>
      </rPr>
      <t>.</t>
    </r>
  </si>
  <si>
    <r>
      <t>•</t>
    </r>
    <r>
      <rPr>
        <sz val="10"/>
        <color rgb="FF000000"/>
        <rFont val="Calibri"/>
        <family val="2"/>
      </rPr>
      <t xml:space="preserve">MAG. (2021). </t>
    </r>
    <r>
      <rPr>
        <i/>
        <sz val="10"/>
        <color rgb="FF000000"/>
        <rFont val="Calibri"/>
        <family val="2"/>
      </rPr>
      <t>Dinamización del Sector Forestal Productivo Sostenible</t>
    </r>
    <r>
      <rPr>
        <sz val="10"/>
        <color rgb="FF000000"/>
        <rFont val="Calibri"/>
        <family val="2"/>
      </rPr>
      <t>. MAG.</t>
    </r>
  </si>
  <si>
    <r>
      <t>•</t>
    </r>
    <r>
      <rPr>
        <sz val="10"/>
        <color rgb="FF000000"/>
        <rFont val="Calibri"/>
        <family val="2"/>
      </rPr>
      <t xml:space="preserve">Ministerio del Ambiente. (2019). </t>
    </r>
    <r>
      <rPr>
        <i/>
        <sz val="10"/>
        <color rgb="FF000000"/>
        <rFont val="Calibri"/>
        <family val="2"/>
      </rPr>
      <t>Plan Nacional de Restauración Forestal 2019-2030</t>
    </r>
    <r>
      <rPr>
        <sz val="10"/>
        <color rgb="FF000000"/>
        <rFont val="Calibri"/>
        <family val="2"/>
      </rPr>
      <t xml:space="preserve"> (pp. 1–55). Ministerio del Ambiente.</t>
    </r>
  </si>
  <si>
    <r>
      <rPr>
        <b/>
        <sz val="11"/>
        <color rgb="FF000000"/>
        <rFont val="Arial"/>
        <family val="2"/>
      </rPr>
      <t xml:space="preserve">Beneficios del sector USCUSS aplicados a </t>
    </r>
    <r>
      <rPr>
        <b/>
        <sz val="11"/>
        <color rgb="FFFF0000"/>
        <rFont val="Arial"/>
        <family val="2"/>
      </rPr>
      <t>bosques bajo régimen de protección legal</t>
    </r>
    <r>
      <rPr>
        <b/>
        <sz val="11"/>
        <color rgb="FF000000"/>
        <rFont val="Arial"/>
        <family val="2"/>
      </rPr>
      <t>. Ya sea sistema nacional de áreas protegidas SNAP o bosques que ingresan al programa de conservación por incentivos economicos (Socio Bosque)</t>
    </r>
  </si>
  <si>
    <t>1. Belleza escénica</t>
  </si>
  <si>
    <t xml:space="preserve">Proyecto Nacional de Restauración de Paisaje (MAATE, 2022) para el rango alto. Rango base se consideró 1/3 del valor indicado en el PNRP para ser conservadores.
</t>
  </si>
  <si>
    <t>Descripción del servicio</t>
  </si>
  <si>
    <t>Costo base (conservador)</t>
  </si>
  <si>
    <t>Costo rango alto</t>
  </si>
  <si>
    <t>Beneficio que genera las áreas naturales a nivel de paisaje</t>
  </si>
  <si>
    <t>USD/ha.año</t>
  </si>
  <si>
    <t>2. Regulación hídrica y disminución de sedimento</t>
  </si>
  <si>
    <t>Basado en TEEB (EPN y PNUMA, 2018) para rango bajo. Rango alto basado en  Plan Nacional de Restauración del Paisaje (MAATE, 2022)</t>
  </si>
  <si>
    <t>Provisión de servicio hídrico, restitución del recurso para consumo humano, caudales ecológicos y prevención de inundaciones</t>
  </si>
  <si>
    <t>3. Turismo y recreación</t>
  </si>
  <si>
    <t>Basado en TEEB, USAID para rango bajo. Rango alto basado en  Plan Nacional de Restauración del Paisaje (MAATE, 2022)</t>
  </si>
  <si>
    <t>Beneficio de la recreación en áreas naturales</t>
  </si>
  <si>
    <t>Para el análisis de incerteza considerar el comentario que Miguel C. dejo en el documento de word</t>
  </si>
  <si>
    <t>4. Secuestro y almacenamiento de carbono</t>
  </si>
  <si>
    <t xml:space="preserve">
</t>
  </si>
  <si>
    <t>(EPA 2016),rango bajo  para el caso conservador. (Ricke et al., 2018) indica un costo social global de 417 usd/tCO2e, asumimos que este valor sería alcanzado en 2050 en el rango alto de costo. Siguiendo una metodología aproximada a la de Ricke, el valor en 2020 sería 210,7 usd/tco2, y se alcanzaría 417 usd/tCO2 en 2050. Otra referencia es 5 USD/ton CO2 según el Plan Nacional de Restauración del Paisaje (MAATE, 2022)</t>
  </si>
  <si>
    <t>Año</t>
  </si>
  <si>
    <t>Valor bajo: (Basado en la estimación de EPA, 2016): Para el año presente sería de 14 $/tCO2 en el escenario con 5% de tasa de descuento recomendado por EPA. Pero lo interesante es que este no es un valor constante sino que crece en el tiempo reflejando la creciente concentración de CO2 y como cada tonelada adicional implica mayor riesgo y daños globales. Este valor es del daño global, no separa por países como el de Ricke pero distribuye los daños crecientes en el tiempo por lo que deberíamos usar los de la siguiente tabla con diferentes valores para cada año. Valor alto: recomendado usar el valor medio de Ricke et al 2018 de 417 $/tCO2 total que sería alcanzado en 2050</t>
  </si>
  <si>
    <t>Mitigación al cambio climático (el carbono fijado no se emite a la atmosfera)</t>
  </si>
  <si>
    <t>USD/tonCO2</t>
  </si>
  <si>
    <t>5. Otros beneficios ecosistémicos</t>
  </si>
  <si>
    <t>Informe Técnico Programa Socio Bosque II Tablas 17 a 21</t>
  </si>
  <si>
    <t>Recursos genéticos</t>
  </si>
  <si>
    <t>Recursos medicinales</t>
  </si>
  <si>
    <t>Regulación de la calidad del aire</t>
  </si>
  <si>
    <t>Moderación de eventos extremos</t>
  </si>
  <si>
    <t>Control biológico</t>
  </si>
  <si>
    <t>Mantenimiento de ciclo migratorio de especies</t>
  </si>
  <si>
    <t>Tasas de descuento sugeridas por Miguel C.</t>
  </si>
  <si>
    <t>Castillo et al 2021</t>
  </si>
  <si>
    <t>Años</t>
  </si>
  <si>
    <t>%</t>
  </si>
  <si>
    <t>0 a 5</t>
  </si>
  <si>
    <t>5 a 20</t>
  </si>
  <si>
    <t>20 a 50</t>
  </si>
  <si>
    <t>Usemos esto de 2,77%</t>
  </si>
  <si>
    <t>50 a 100</t>
  </si>
  <si>
    <t>References</t>
  </si>
  <si>
    <r>
      <rPr>
        <sz val="10"/>
        <color rgb="FF000000"/>
        <rFont val="Calibri"/>
        <family val="2"/>
      </rPr>
      <t xml:space="preserve">MAATE. (2022). </t>
    </r>
    <r>
      <rPr>
        <i/>
        <sz val="10"/>
        <color rgb="FF000000"/>
        <rFont val="Calibri"/>
        <family val="2"/>
      </rPr>
      <t>Proyecto Nacional de Restauración del Paisaje 2022-2025</t>
    </r>
    <r>
      <rPr>
        <sz val="10"/>
        <color rgb="FF000000"/>
        <rFont val="Calibri"/>
        <family val="2"/>
      </rPr>
      <t>.</t>
    </r>
  </si>
  <si>
    <r>
      <rPr>
        <sz val="11"/>
        <color rgb="FF000000"/>
        <rFont val="Calibri"/>
        <family val="2"/>
      </rPr>
      <t xml:space="preserve">Ricke, K., Drouet, L., Caldeira, K., &amp; Tavoni, M. (2018). Country-level social cost of carbon. </t>
    </r>
    <r>
      <rPr>
        <i/>
        <sz val="11"/>
        <color rgb="FF000000"/>
        <rFont val="Calibri"/>
        <family val="2"/>
      </rPr>
      <t>Nature Climate Change</t>
    </r>
    <r>
      <rPr>
        <sz val="11"/>
        <color rgb="FF000000"/>
        <rFont val="Calibri"/>
        <family val="2"/>
      </rPr>
      <t xml:space="preserve">, </t>
    </r>
    <r>
      <rPr>
        <i/>
        <sz val="11"/>
        <color rgb="FF000000"/>
        <rFont val="Calibri"/>
        <family val="2"/>
      </rPr>
      <t>8</t>
    </r>
    <r>
      <rPr>
        <sz val="11"/>
        <color rgb="FF000000"/>
        <rFont val="Calibri"/>
        <family val="2"/>
      </rPr>
      <t>(10), Article 10. https://doi.org/10.1038/s41558-018-0282-y</t>
    </r>
  </si>
  <si>
    <t>PIB Sectorial Optimista</t>
  </si>
  <si>
    <t>PIB Sectorial Negativo</t>
  </si>
  <si>
    <t>Exportaciones Tendencial</t>
  </si>
  <si>
    <t>Agrícolas</t>
  </si>
  <si>
    <t>Valores reales totales [Miles USD 2021]</t>
  </si>
  <si>
    <t>Tasa de crecimiento real [%]</t>
  </si>
  <si>
    <t>Silvícolas, Pecuarias y Piscícolas</t>
  </si>
  <si>
    <t>Industria alimenticia</t>
  </si>
  <si>
    <t>Exportaciones Optimista</t>
  </si>
  <si>
    <t>Exportaciones Negativo</t>
  </si>
  <si>
    <t>Importaciones Tendencial</t>
  </si>
  <si>
    <t>Alimentos, bebidas y tabacos</t>
  </si>
  <si>
    <t>Materia prima agrícola</t>
  </si>
  <si>
    <t>Importaciones Optimista</t>
  </si>
  <si>
    <t>Importaciones Negativo</t>
  </si>
  <si>
    <t>COBERTURA DE CULTIVOS ESPAC</t>
  </si>
  <si>
    <t>TABLA AGR - 1: Cobertura de cultivos SEMBRADOS</t>
  </si>
  <si>
    <t>Cultivos en hectáreas [ha]</t>
  </si>
  <si>
    <t>Banano  [ha]</t>
  </si>
  <si>
    <t>Cacao - Almendra seca [ha]</t>
  </si>
  <si>
    <t>Café - Grano Oro [ha]</t>
  </si>
  <si>
    <t>Caña de azucar [ha]</t>
  </si>
  <si>
    <t>Maíz [ha]</t>
  </si>
  <si>
    <t>Palma africana [ha]</t>
  </si>
  <si>
    <t>!</t>
  </si>
  <si>
    <t>Soya - Grano seco [ha]</t>
  </si>
  <si>
    <t>Palmito [ha]</t>
  </si>
  <si>
    <t>Legumbres (Pulses) [ha]</t>
  </si>
  <si>
    <t>Cereales y pseudocereales[ha]</t>
  </si>
  <si>
    <t>Tubérculos [ha]</t>
  </si>
  <si>
    <t>Fruta fresca [ha]</t>
  </si>
  <si>
    <t>Verduras [ha]</t>
  </si>
  <si>
    <t>Floricolas [ha]</t>
  </si>
  <si>
    <t>Cultivos en mega hectáreas [Mha]</t>
  </si>
  <si>
    <t>Banano  [Mha]</t>
  </si>
  <si>
    <t>Cacao - Almendra seca [Mha]</t>
  </si>
  <si>
    <t>Café - Grano Oro [Mha]</t>
  </si>
  <si>
    <t>Caña de azucar [Mha]</t>
  </si>
  <si>
    <t>Maíz [Mha]</t>
  </si>
  <si>
    <t>Palma africana (Fruta Fresca) [Mha]</t>
  </si>
  <si>
    <t>Soya [Mha]</t>
  </si>
  <si>
    <t>Palmito [Mha]</t>
  </si>
  <si>
    <t>Legumbres (Pulses) [Mha]</t>
  </si>
  <si>
    <t>Cereales y pseudocereales [Mha]</t>
  </si>
  <si>
    <t>Tubérculos [Mha]</t>
  </si>
  <si>
    <t>Fruta fresca [Mha]</t>
  </si>
  <si>
    <t>Verduras [Mha]</t>
  </si>
  <si>
    <t>Florícolas [Mha]</t>
  </si>
  <si>
    <t>Total [Mha]</t>
  </si>
  <si>
    <t>TABLA AGR - 2: Cobertura de cultivos COSECHADOS</t>
  </si>
  <si>
    <t>Banano [ha]</t>
  </si>
  <si>
    <t>Tomate riñon [ha]</t>
  </si>
  <si>
    <t>Información subrayada: No existen datos disponibles</t>
  </si>
  <si>
    <t>PRODUCCIÓN Y RENDIMIENTO DE LOS CULTIVOS COSECHADOS</t>
  </si>
  <si>
    <t>TABLA AGR - 3: Producción de cultivos COSECHADOS</t>
  </si>
  <si>
    <t>Producción en toneladas [ton]</t>
  </si>
  <si>
    <t>Banano [ton]</t>
  </si>
  <si>
    <t>Cacao - Almendra seca [ton]</t>
  </si>
  <si>
    <t>Café - Grano Oro [ton]</t>
  </si>
  <si>
    <t>Caña de azucar [ton]</t>
  </si>
  <si>
    <t>Maíz [ton]</t>
  </si>
  <si>
    <t>Palma africana [ton]</t>
  </si>
  <si>
    <t>Soya [ton]</t>
  </si>
  <si>
    <t>Legumbres (Pulses) [ton]</t>
  </si>
  <si>
    <t>Cereales  y pseudocereales [ton]</t>
  </si>
  <si>
    <t>Tubérculos [ton]</t>
  </si>
  <si>
    <t>Fruta fresca [ton]</t>
  </si>
  <si>
    <t>Verduras [ton]</t>
  </si>
  <si>
    <t>Producción agrícola en mega toneladas [Mton]</t>
  </si>
  <si>
    <t>!!</t>
  </si>
  <si>
    <t>Banano  [Mton]</t>
  </si>
  <si>
    <t>Cacao - Almendra seca [Mton]</t>
  </si>
  <si>
    <t>Café - Grano Oro [Mton]</t>
  </si>
  <si>
    <t>Caña de azucar [Mton]</t>
  </si>
  <si>
    <t>Maíz [Mton]</t>
  </si>
  <si>
    <t>Palma africana  (Fruta Fresca) [Mton]</t>
  </si>
  <si>
    <t>Soya [Mton]</t>
  </si>
  <si>
    <t>Palmito [Mton]</t>
  </si>
  <si>
    <t>Legumbres (Pulses) [Mton]</t>
  </si>
  <si>
    <t>Cereales  y pseudocereales [Mton]</t>
  </si>
  <si>
    <t>Tubérculos [Mton]</t>
  </si>
  <si>
    <t>Fruta fresca [Mton]</t>
  </si>
  <si>
    <t>Verduras [Mton]</t>
  </si>
  <si>
    <t>Florícola [Mton]</t>
  </si>
  <si>
    <t>Total [Mton]</t>
  </si>
  <si>
    <t>TABLA AGR - 4: Rendimiento de cultivos COSECHADOS</t>
  </si>
  <si>
    <t>Porcentaje 2070</t>
  </si>
  <si>
    <t>Porcentaje anual</t>
  </si>
  <si>
    <t>Rendimiento de los cultivos agrílocas [ton/ha]</t>
  </si>
  <si>
    <t>Producción local / Cobertura cultivo</t>
  </si>
  <si>
    <t>Banano  [ton/ha]</t>
  </si>
  <si>
    <t>Cacao - Almendra seca [ton/ha]</t>
  </si>
  <si>
    <t>Café - Grano Oro [ton/ha]</t>
  </si>
  <si>
    <t>Caña de azucar [ton/ha]</t>
  </si>
  <si>
    <t>Maíz [ton/ha]</t>
  </si>
  <si>
    <t>Palma africana  (Fruta Fresca) [ton/ha]</t>
  </si>
  <si>
    <t>Soya [ton/ha]</t>
  </si>
  <si>
    <t>Palmito [ton/ha]</t>
  </si>
  <si>
    <t>Legumbres (Pulses) [ton/ha]</t>
  </si>
  <si>
    <t>Cereales  y pseudocereales [ton/ha]</t>
  </si>
  <si>
    <t>Tubérculos [ton/ha]</t>
  </si>
  <si>
    <t>Fruta fresca [ton/ha]</t>
  </si>
  <si>
    <t>Verduras [ton/ha]</t>
  </si>
  <si>
    <t>Floricola [ton/ha]</t>
  </si>
  <si>
    <t>Información obtenida a partir de supuestos</t>
  </si>
  <si>
    <t>EXPORTACIÓN, IMPORTACIÓN Y DEMANDA LOCAL</t>
  </si>
  <si>
    <t>Porcentaje de peso de trasporte</t>
  </si>
  <si>
    <t>TABLA AGR - 5: Exportación de productos agrícolas</t>
  </si>
  <si>
    <t>Exportación de los productos agrílocas [ton]</t>
  </si>
  <si>
    <t>BCE, Proyecciones: ELENA</t>
  </si>
  <si>
    <t>Banano   [ton]</t>
  </si>
  <si>
    <t>Palmito [ton]</t>
  </si>
  <si>
    <t>Cereales y pseudocereales [ [ton]</t>
  </si>
  <si>
    <t>Exportación de los productos agrílocas [Mton]</t>
  </si>
  <si>
    <t>!!!</t>
  </si>
  <si>
    <t>Cereales y pseudocereales [Mton]</t>
  </si>
  <si>
    <t xml:space="preserve">Total [Mton] </t>
  </si>
  <si>
    <t>TABLA AGR - 6: Importación de productos agrícolas</t>
  </si>
  <si>
    <t>Importación de los productos agrílocas [ton]</t>
  </si>
  <si>
    <t>Cereales y pseudocereales [ton]</t>
  </si>
  <si>
    <t>Importación de los productos agrílocas [Mton]</t>
  </si>
  <si>
    <t>Banano   [Mton]</t>
  </si>
  <si>
    <t>Palma africana  [Mton]</t>
  </si>
  <si>
    <t>TABLA AGR - 7: Demanda local de productos agrícolas</t>
  </si>
  <si>
    <t>Demanda local de los productos agrílocas [Mton]</t>
  </si>
  <si>
    <t>Producción + Importación - Exportación, BA (MAG)</t>
  </si>
  <si>
    <t>Cereales y pseudocereales [ [Mton]</t>
  </si>
  <si>
    <t>Demanda local</t>
  </si>
  <si>
    <t>INEC</t>
  </si>
  <si>
    <t>Población [habitantes]</t>
  </si>
  <si>
    <t>DIETA DEL PRODUCTO</t>
  </si>
  <si>
    <t>Banano  y plátano [kg/persona/año]</t>
  </si>
  <si>
    <t>Cacao - Almendra seca [kg/persona/año]</t>
  </si>
  <si>
    <t>Café - Grano Oro [kg/persona/año]</t>
  </si>
  <si>
    <t>Caña de azucar [kg/persona/año]</t>
  </si>
  <si>
    <t>Maíz [kg/persona/año]</t>
  </si>
  <si>
    <t>Palma africana  (Fruta Fresca) [kg/persona/año]</t>
  </si>
  <si>
    <t>Soya [kg/persona/año]</t>
  </si>
  <si>
    <t>Palmito [kg/persona/año]</t>
  </si>
  <si>
    <t>Legumbres (Pulses) [kg/persona/año]</t>
  </si>
  <si>
    <t>Cereales y pseudocereales [ [kg/persona/año]</t>
  </si>
  <si>
    <t>Tubérculos [kg/persona/año]</t>
  </si>
  <si>
    <t>Fruta fresca [kg/persona/año]</t>
  </si>
  <si>
    <t>Verduras [kg/persona/año]</t>
  </si>
  <si>
    <t>Florícola [kg/persona/año]</t>
  </si>
  <si>
    <t>PÉRDIDAS</t>
  </si>
  <si>
    <t>Banano  y plátano [mton]</t>
  </si>
  <si>
    <t>Cacao - Almendra seca [mton]</t>
  </si>
  <si>
    <t>Café - Grano Oro [mton]</t>
  </si>
  <si>
    <t>Caña de azucar [mton]</t>
  </si>
  <si>
    <t>Maíz [mton]</t>
  </si>
  <si>
    <t>Palma africana  (Fruta Fresca) [mton]</t>
  </si>
  <si>
    <t>Soya [mton]</t>
  </si>
  <si>
    <t>Palmito [mton]</t>
  </si>
  <si>
    <t>Legumbres (Pulses) [mton]</t>
  </si>
  <si>
    <t>Cereales y pseudocereales [ [mton]</t>
  </si>
  <si>
    <t>Tubérculos [mton]</t>
  </si>
  <si>
    <t>Fruta fresca [mton]</t>
  </si>
  <si>
    <t>Verduras [mton]</t>
  </si>
  <si>
    <t>Florícola [mton]</t>
  </si>
  <si>
    <t>DEMANDA LOCAL CALCULADA</t>
  </si>
  <si>
    <t>(Dieta)*Población+Pérdidas</t>
  </si>
  <si>
    <t>Banano  y plátano [Mton]</t>
  </si>
  <si>
    <t>PRODUCCIÓN CALCULADA</t>
  </si>
  <si>
    <t>Demanda local + Exportación - Importación</t>
  </si>
  <si>
    <t>Existe información de aceite de palma, es un producto procesado</t>
  </si>
  <si>
    <t>CULTIVOS DE ARROZ</t>
  </si>
  <si>
    <t>TABLA AGR - 8: Cultivos de arroz</t>
  </si>
  <si>
    <t>Cobertura de cultivos de arroz COSECHADA [Mha]</t>
  </si>
  <si>
    <t>Arroz en cáscara [ha]</t>
  </si>
  <si>
    <t>Arroz en cáscara [Mha]</t>
  </si>
  <si>
    <t>Producción de arroz  [Mton]</t>
  </si>
  <si>
    <t>Arroz en cáscara [ton]</t>
  </si>
  <si>
    <t>Arroz en cáscara [Mton]</t>
  </si>
  <si>
    <t>Rendimiento de cultivos de arroz [ton/ha]</t>
  </si>
  <si>
    <t>Producción / Cobertura</t>
  </si>
  <si>
    <t>Arroz en cáscara [ton/ha]</t>
  </si>
  <si>
    <t>Exportación de arroz [Mton]</t>
  </si>
  <si>
    <t>BCE</t>
  </si>
  <si>
    <t>Importación de arroz [Mton]</t>
  </si>
  <si>
    <t>Demanda local de arroz [Mton]</t>
  </si>
  <si>
    <t>Producción + Importación - Exportación</t>
  </si>
  <si>
    <t>GANADERÍA - POBLACIÓN, COBERTURA</t>
  </si>
  <si>
    <t>TABLA AGR - 9-1: Población de ganado bovino</t>
  </si>
  <si>
    <t>Cabezas de ganado [Cabezas]</t>
  </si>
  <si>
    <t>Vacuno total (Cabezas)</t>
  </si>
  <si>
    <t>Vacuno lechero (Cabezas)</t>
  </si>
  <si>
    <t>Calcuado con %</t>
  </si>
  <si>
    <t>Vacuno no lechero - Toros (Cabezas)</t>
  </si>
  <si>
    <t>Vacuno no lechero - Vacas (Cabezas)</t>
  </si>
  <si>
    <t>Vacuno no lechero - Crecimiento(Cabezas)</t>
  </si>
  <si>
    <t>Vacunación FASE 2 - MAG Agrocalidad  [Cabezas]</t>
  </si>
  <si>
    <t>MAG - Agrocalidad</t>
  </si>
  <si>
    <t>Existencias [%]</t>
  </si>
  <si>
    <t xml:space="preserve">TABLA AGR - 9-2: Población de otro ganado </t>
  </si>
  <si>
    <t>Vacuno porcino (Cabezas)</t>
  </si>
  <si>
    <t>Vacuno ovino (Cabezas)</t>
  </si>
  <si>
    <t>Vacuno otras especies (Cabezas)</t>
  </si>
  <si>
    <t>TABLA AGR - 9-3: Clasificación según tipo de raza de ganado vacuno</t>
  </si>
  <si>
    <t>Raza importada (Cabezas)</t>
  </si>
  <si>
    <t>Raza criolla (Cabezas)</t>
  </si>
  <si>
    <t>Raza mestiza (Cabezas)</t>
  </si>
  <si>
    <t>TABLA AGR - 10: Cobertura de ganadería</t>
  </si>
  <si>
    <t>Cobertura de suelo para ganadería [Mha]</t>
  </si>
  <si>
    <t>Vacuno total (Mha)</t>
  </si>
  <si>
    <t>TABLA AGR - 11: Densidad del ganado</t>
  </si>
  <si>
    <t>Densidad [Cabezas/ha]</t>
  </si>
  <si>
    <t>Población / Cobertura</t>
  </si>
  <si>
    <t>Vacuno total (Cabezas/ha)</t>
  </si>
  <si>
    <t>GANADERÍA - PRODUCCIÓN, EXPORTACIÓN, IMPORTACIÓN, DEMANDA LOCAL</t>
  </si>
  <si>
    <t>TABLA AGR - 12: Producción de ganadería</t>
  </si>
  <si>
    <t>Producción local [Mton]</t>
  </si>
  <si>
    <t>FAO</t>
  </si>
  <si>
    <t>Vacuno carne NV (Mton)</t>
  </si>
  <si>
    <t>Vacuno leche NV (Mton)</t>
  </si>
  <si>
    <t>TABLA AGR - 13: Rendimiento ganadero</t>
  </si>
  <si>
    <t>Rendimiento [ton/ha]</t>
  </si>
  <si>
    <t>Vacuno total (ton/ha)</t>
  </si>
  <si>
    <t>Rendimiento [ton/cabeza]</t>
  </si>
  <si>
    <t>Vacuno carne NV (ton/cabeza)</t>
  </si>
  <si>
    <t>Vacuno leche NV (ton/cabeza)</t>
  </si>
  <si>
    <t>TABLA AGR - 14: Exportación de ganado</t>
  </si>
  <si>
    <t>Exportaciones [ton]</t>
  </si>
  <si>
    <t>Vacuno carne (ton)</t>
  </si>
  <si>
    <t>Vacuno leche (ton)</t>
  </si>
  <si>
    <t>Exportaciones [Mton]</t>
  </si>
  <si>
    <t>Vacuno carne (Mton)</t>
  </si>
  <si>
    <t>Vacuno leche (Mton)</t>
  </si>
  <si>
    <t>TABLA AGR - 15: Importación de ganado</t>
  </si>
  <si>
    <t>Importaciones [ton]</t>
  </si>
  <si>
    <t>Importaciones [Mton]</t>
  </si>
  <si>
    <t>TABLA AGR - 16: Demanda local de ganado</t>
  </si>
  <si>
    <t>Demanda local [Mton]</t>
  </si>
  <si>
    <t>Vacuno carne NV(Mton)</t>
  </si>
  <si>
    <t>AVES DE CORRAL - GALLINAS</t>
  </si>
  <si>
    <t>TABLA AGR - 17: Población de aves de corral</t>
  </si>
  <si>
    <t>Población  [Cabezas]</t>
  </si>
  <si>
    <t>Criadas en campo (Cabezas)</t>
  </si>
  <si>
    <t>Criadas en planteles avícolas (Cabezas)</t>
  </si>
  <si>
    <t>TABLA AGR - 18: Producción/autoconsumo de huevos</t>
  </si>
  <si>
    <t>Producción/Autoconsumo [# Huevos]</t>
  </si>
  <si>
    <t>Huevos (# huevos)</t>
  </si>
  <si>
    <t>Huevos autoconsumo (# huevos)</t>
  </si>
  <si>
    <t>RESIDUOS</t>
  </si>
  <si>
    <t>TABLA AGR - 19: Cantidad de residuos</t>
  </si>
  <si>
    <t>Residuos [Mton]</t>
  </si>
  <si>
    <t>Atlas Bioenergético</t>
  </si>
  <si>
    <t>Cascarrilla de aroz [Mton]</t>
  </si>
  <si>
    <t>Raquis de banano [Mton]</t>
  </si>
  <si>
    <t>Cáscara de cacao [Mton]</t>
  </si>
  <si>
    <t>Residuos de café [Mton]</t>
  </si>
  <si>
    <t>Bagazo y hojarrasca de caña de azucar [Mton]</t>
  </si>
  <si>
    <t>Mazorca de maíz [Mton]</t>
  </si>
  <si>
    <t>Cuesco de palma [Mton]</t>
  </si>
  <si>
    <t>TABLA AGR - 20: Palma africana</t>
  </si>
  <si>
    <t>Productos/Residuos de palma africana [Mton]</t>
  </si>
  <si>
    <t>TESIS, Tolagasi 2013</t>
  </si>
  <si>
    <t>Raquis (23%) [Mton]</t>
  </si>
  <si>
    <t>fibra mesocárpica (14%)  [Mton]</t>
  </si>
  <si>
    <t>Cuesco (7%) [Mton]</t>
  </si>
  <si>
    <t>Lodo - torta (6%)  [Mton]</t>
  </si>
  <si>
    <t>Aceites (45%)[Mton]</t>
  </si>
  <si>
    <t>Otros (5%)  [Mton]</t>
  </si>
  <si>
    <t>TABLA AGR - 21: Caña de azúcar</t>
  </si>
  <si>
    <t>Productos/Residuos de caña de azúcar [Mton]</t>
  </si>
  <si>
    <t>Jugo de caña [Mton]</t>
  </si>
  <si>
    <t>Bagazo  [Mton]</t>
  </si>
  <si>
    <t>Hojarrazca [Mton]</t>
  </si>
  <si>
    <t>NOTAS</t>
  </si>
  <si>
    <t xml:space="preserve">Legumbres (grano seco y grano tierno): arveja, fréjol y haba 
</t>
  </si>
  <si>
    <t>Cereales y pseudocereales: cebada, trigo, quinua</t>
  </si>
  <si>
    <t>Tubérculos: papa, yuca</t>
  </si>
  <si>
    <t>Fruta fresca: maracuyá, naranja, tomate de árbol, piña, plátano</t>
  </si>
  <si>
    <t>Verduras: brócoli, cebolla, tomate riñon</t>
  </si>
  <si>
    <t>Florícolas: rosa, clavel, astromellas, campánula, gysophilia, crisantemos, trachelium, lilium, lirios, limonium, girasoles, hypericum, godethia, áster, orquídeas, cartucho, otras flores transitorias y permanentes</t>
  </si>
  <si>
    <t>EMISIONES DIRECTAS DE CULTIVOS</t>
  </si>
  <si>
    <t>TABLA EMAGR - 1: Emisiones en cultivos por fetilizantes NPK</t>
  </si>
  <si>
    <t xml:space="preserve"> Emisiones directas de suelos agrícolas por fertilizantes NPK [Mton CO2e/ha]</t>
  </si>
  <si>
    <t>(Fertilizante*0.01)*(44/28)*310</t>
  </si>
  <si>
    <t>Arroz en cáscara [Mton CO2e/ha]</t>
  </si>
  <si>
    <t>Otra metodología de encuesta. Se dividen los fertilizantes según su riesgo.</t>
  </si>
  <si>
    <t>Banano  [Mton CO2e/ha]</t>
  </si>
  <si>
    <t>Cacao - Almendra seca [Mton CO2e/ha]</t>
  </si>
  <si>
    <t>Café - Grano Oro  [Mton CO2e/ha]</t>
  </si>
  <si>
    <t>Caña de azucar [Mton CO2e/ha]</t>
  </si>
  <si>
    <t>Maíz  [Mton CO2e/ha]</t>
  </si>
  <si>
    <t>Palma africana - FRUTA FRESCA [Mton CO2e/ha]</t>
  </si>
  <si>
    <t>Soya - Grano seco [Mton CO2e/ha]</t>
  </si>
  <si>
    <t>Palmito [Mton CO2e/ha]</t>
  </si>
  <si>
    <t>Legumbres (Pulses)  [Mton CO2e/ha]</t>
  </si>
  <si>
    <t>Cereales  y pseudo cereales [Mton CO2e/ha]</t>
  </si>
  <si>
    <t>Tubérculos  [Mton CO2e/ha]</t>
  </si>
  <si>
    <t>Fruta fresca [Mton CO2e/ha]</t>
  </si>
  <si>
    <t>Verduras [Mton CO2e/ha]</t>
  </si>
  <si>
    <t>Floricola [Mton CO2e/ha]</t>
  </si>
  <si>
    <t xml:space="preserve"> Emisiones directas de suelos agrícolas por fertilizantes NPK [Mton CO2e]</t>
  </si>
  <si>
    <t>Emisión Fertilizante*Área sembrada</t>
  </si>
  <si>
    <t>Arroz en cáscara [Mton CO2e]</t>
  </si>
  <si>
    <t>Banano  [Mton CO2e]</t>
  </si>
  <si>
    <t>Cacao - Almendra seca [Mton CO2e]</t>
  </si>
  <si>
    <t>Café - Grano Oro  [Mton CO2e]</t>
  </si>
  <si>
    <t>Caña de azucar [Mton CO2e]</t>
  </si>
  <si>
    <t>Maíz  [Mton CO2e]</t>
  </si>
  <si>
    <t>Palma africana - FRUTA FRESCA [Mton CO2e]</t>
  </si>
  <si>
    <t>Soya - Grano seco [Mton CO2e]</t>
  </si>
  <si>
    <t>Palmito [Mton CO2e]</t>
  </si>
  <si>
    <t>Legumbres (Pulses)  [Mton CO2e]</t>
  </si>
  <si>
    <t>Cereales  y pseudo cereales [Mton CO2e]</t>
  </si>
  <si>
    <t>Tubérculos  [Mton CO2e]</t>
  </si>
  <si>
    <t>Fruta fresca [Mton CO2e]</t>
  </si>
  <si>
    <t>Verduras [Mton CO2e]</t>
  </si>
  <si>
    <t>Floricola [Mton CO2e]</t>
  </si>
  <si>
    <t>Total [mton CO2e]</t>
  </si>
  <si>
    <t xml:space="preserve">TABLA EMAGR - 2: Emisiones por quema de cultivos </t>
  </si>
  <si>
    <t>Hectáreas quemadas</t>
  </si>
  <si>
    <t>0.1*Área sembrada</t>
  </si>
  <si>
    <t>Maíz  [ha]</t>
  </si>
  <si>
    <t>Cereales  y pseudo cereales [ha]</t>
  </si>
  <si>
    <t>Total [ha]</t>
  </si>
  <si>
    <t xml:space="preserve"> Área quemada*Masa de combustible*Factor de combustión*Factor de emisión</t>
  </si>
  <si>
    <t xml:space="preserve"> Emisiones de CH4 por quema de cultivos [ton CH4]</t>
  </si>
  <si>
    <t>Arroz en cáscara [ton CH4]</t>
  </si>
  <si>
    <t>Caña de azucar [ton CH4]</t>
  </si>
  <si>
    <t>Maíz  [ton CH4]</t>
  </si>
  <si>
    <t>Cereales  y pseudo cereales [ton CH4]</t>
  </si>
  <si>
    <t>Total [ton CH4]</t>
  </si>
  <si>
    <t xml:space="preserve"> Emisiones de CO por quema de cultivos [ton CO]</t>
  </si>
  <si>
    <t>Arroz en cáscara [ton CO]</t>
  </si>
  <si>
    <t>Caña de azucar [ton CO]</t>
  </si>
  <si>
    <t>Maíz  [ton CO]</t>
  </si>
  <si>
    <t>Cereales  y pseudo cereales [ton CO]</t>
  </si>
  <si>
    <t>Total [ton CO]</t>
  </si>
  <si>
    <t xml:space="preserve"> Emisiones de N2O por quema de cultivos [ton N2O]</t>
  </si>
  <si>
    <t>Arroz en cáscara [ton N2O]</t>
  </si>
  <si>
    <t>Caña de azucar [ton N2O]</t>
  </si>
  <si>
    <t>Maíz  [ton N2O]</t>
  </si>
  <si>
    <t>Cereales  y pseudo cereales [ton N2O]</t>
  </si>
  <si>
    <t>Total [ton N2O]</t>
  </si>
  <si>
    <t xml:space="preserve"> Emisiones de NOx por quema de cultivos [ton NOx]</t>
  </si>
  <si>
    <t>Arroz en cáscara [ton  NOx]</t>
  </si>
  <si>
    <t>Caña de azucar [ton NOx]</t>
  </si>
  <si>
    <t>Maíz  [ton NOx]</t>
  </si>
  <si>
    <t>Cereales  y pseudo cereales [ton NOx]</t>
  </si>
  <si>
    <t>Total [ton NOx]</t>
  </si>
  <si>
    <t xml:space="preserve"> Emisiones de la quema de biomasa [Mton CO2e] (CH4+N2O)</t>
  </si>
  <si>
    <t>Total [Mton CO2e]</t>
  </si>
  <si>
    <t>Emisiones por encalado y fertilización con urea [Gg CO2e]</t>
  </si>
  <si>
    <t>Encalado [Gg CO2e]</t>
  </si>
  <si>
    <t>Urea [Gg CO2e]</t>
  </si>
  <si>
    <t>Total [Gg CO2e]</t>
  </si>
  <si>
    <t>Emisiones por encalado y fertilización con urea [Mton CO2e]</t>
  </si>
  <si>
    <t>Encalado [Mton CO2e]</t>
  </si>
  <si>
    <t>Urea [Mton CO2e]</t>
  </si>
  <si>
    <t>TABLA EMAGR - 3: Emisiones en cultivos de arroz</t>
  </si>
  <si>
    <t>Emisiones directas en cultivos (mton CH4)</t>
  </si>
  <si>
    <t xml:space="preserve">Area cosechada*110*Factor </t>
  </si>
  <si>
    <t>Emisiones CH4 [Gg CH4]</t>
  </si>
  <si>
    <t>Emisiones CH4 * 25</t>
  </si>
  <si>
    <t>Emisiones CH4 [Mton CH4]</t>
  </si>
  <si>
    <t>FERTILIZANTES UTILIZADOS EN CULTIVOS</t>
  </si>
  <si>
    <t>TABLA EMAGR - 4: Fertilizantes NPK en cultivos</t>
  </si>
  <si>
    <t>Uso de fertilizantes NPK [kg/ha]</t>
  </si>
  <si>
    <t>Arroz en cáscara [kg/ha]</t>
  </si>
  <si>
    <t>Banano  [kg/ha]</t>
  </si>
  <si>
    <t>Cacao - Almendra seca [kg/ha]</t>
  </si>
  <si>
    <t>Café - Grano Oro  [kg/ha]</t>
  </si>
  <si>
    <t>Caña de azucar [kg/ha]</t>
  </si>
  <si>
    <t>Maíz  [kg/ha]</t>
  </si>
  <si>
    <t>Palma africana - FRUTA FRESCA [kg/ha]</t>
  </si>
  <si>
    <t>Soya - Grano seco [kg/ha]</t>
  </si>
  <si>
    <t>Palmito [kg/ha]</t>
  </si>
  <si>
    <t>Legumbres (Pulses)  [kg/ha]</t>
  </si>
  <si>
    <t>Cereales  y pseudo cereales [kg/ha]</t>
  </si>
  <si>
    <t>Tubérculos  [kg/ha]</t>
  </si>
  <si>
    <t>Fruta fresca [kg/ha]</t>
  </si>
  <si>
    <t>Verduras [kg/ha]</t>
  </si>
  <si>
    <t>Floricola [kg/ha]</t>
  </si>
  <si>
    <t>Total [kg/ha]</t>
  </si>
  <si>
    <t>TABLA EMAGR - 5: Fertilizantes nitrogenados en cultivos</t>
  </si>
  <si>
    <t>Uso de fertilizantes nitrogenados [kg/ha]</t>
  </si>
  <si>
    <t>Arroz en cáscara[kg/ha]</t>
  </si>
  <si>
    <t>Banano [kg/ha]</t>
  </si>
  <si>
    <t xml:space="preserve">Legumbres (Pulses) </t>
  </si>
  <si>
    <t>Cereales y pseudo cereales [kg/ha]</t>
  </si>
  <si>
    <t>Tubérculos [kg/ha]</t>
  </si>
  <si>
    <t>DATOS EXTRAS DETALLADOS EN ESPAC</t>
  </si>
  <si>
    <t>Fertilizantes Fosfatados</t>
  </si>
  <si>
    <t>Cereales [kg/ha]</t>
  </si>
  <si>
    <t>Café [kg/ha]</t>
  </si>
  <si>
    <t>Frutas [kg/ha]</t>
  </si>
  <si>
    <t>Maíz [kg/ha]</t>
  </si>
  <si>
    <t>Aceite de maíz[kg/ha]</t>
  </si>
  <si>
    <t>Nuez de palma [kg/ha]</t>
  </si>
  <si>
    <t>Semillas oleaginosas[kg/ha]</t>
  </si>
  <si>
    <t>Aceite de Palma (otros aceites)[kg/ha]</t>
  </si>
  <si>
    <t>Legumbres (Pulses) [kg/ha]</t>
  </si>
  <si>
    <t>Arroz [kg/ha]</t>
  </si>
  <si>
    <t>Soya [kg/ha]</t>
  </si>
  <si>
    <t>Aceite de soya[kg/ha]</t>
  </si>
  <si>
    <t>Azúcar [kg/ha]</t>
  </si>
  <si>
    <t>Vegetales [kg/ha]</t>
  </si>
  <si>
    <t>Cacao [kg/ha]</t>
  </si>
  <si>
    <t>Cultivos andinos [kg/ha]</t>
  </si>
  <si>
    <t>Fertilizantes Potásicos</t>
  </si>
  <si>
    <t>EMISIONES - ACTIVIDAD GANADERA</t>
  </si>
  <si>
    <t>TABLA EMAGR - 6: Emisiones de la actividad ganadera</t>
  </si>
  <si>
    <t>Fermentación entérica [Gg CH4]</t>
  </si>
  <si>
    <t>#Vacas * Factor emision</t>
  </si>
  <si>
    <t>Vacuno lechero (Gg CH4)</t>
  </si>
  <si>
    <t>Vacuno no lechero - Toros (Gg CH4)</t>
  </si>
  <si>
    <t>Vacuno no lechero - Vacas (Gg CH4)</t>
  </si>
  <si>
    <t>Vacuno no lechero - Crecimiento(Gg CH4)</t>
  </si>
  <si>
    <t>#Ganado * Factor emision</t>
  </si>
  <si>
    <t>Vacuno porcino (Gg CH4)</t>
  </si>
  <si>
    <t>Vacuno ovino (Gg CH4)</t>
  </si>
  <si>
    <t>Vacuno otras especies (Gg CH4)</t>
  </si>
  <si>
    <t>Fermentación entérica [Mton CO2e]</t>
  </si>
  <si>
    <t>Vacuno lechero (Mton CO2e)</t>
  </si>
  <si>
    <t>Vacuno no lechero - Toros (Mton CO2e)</t>
  </si>
  <si>
    <t>Vacuno no lechero - Vacas (Mton CO2e)</t>
  </si>
  <si>
    <t>Vacuno no lechero - Crecimiento(Mton CO2e)</t>
  </si>
  <si>
    <t>Vacuno porcino (Mton CO2e)</t>
  </si>
  <si>
    <t>Vacuno ovino (Mton CO2e)</t>
  </si>
  <si>
    <t>Vacuno otras especies (Mton CO2e)</t>
  </si>
  <si>
    <t>Total VACUNO [Mton CO2e]</t>
  </si>
  <si>
    <t>TABLA EMAGR - 7: Manejo de estiércol de la actividad ganadera</t>
  </si>
  <si>
    <t>Manejo de estiércol [Gg CH4]</t>
  </si>
  <si>
    <t>Manejo de estiércol [Mton CO2e]</t>
  </si>
  <si>
    <t>Total emisiones fermentación + Gestión de estiercol [Mton CO2e]</t>
  </si>
  <si>
    <t>EMISIONES - AVES DE CORRAL</t>
  </si>
  <si>
    <t>TABLA EMAGR - 8: Emisiones de aves de corral</t>
  </si>
  <si>
    <t>Manejo de estiércol [mton CO2e]</t>
  </si>
  <si>
    <t>#Aves * Factor emision</t>
  </si>
  <si>
    <t>Gallinas [Gg CH4)]</t>
  </si>
  <si>
    <t>Gallinas [Mton CO2e]</t>
  </si>
  <si>
    <t>OTRAS EMISIONES</t>
  </si>
  <si>
    <t>TABLA EMAGR - 9: Emisiones N2O depositadas en pastoreo</t>
  </si>
  <si>
    <t xml:space="preserve"> Cantidad anual de orina y estiércol N depositada por animales en pastoreo</t>
  </si>
  <si>
    <t>#vacas * Excreción anual de N *Fraccion N</t>
  </si>
  <si>
    <t>Vacuno lechero (kg N)</t>
  </si>
  <si>
    <t>Vacuno no lechero - Toros (kg N)</t>
  </si>
  <si>
    <t>Vacuno no lechero - Vacas (kg N)</t>
  </si>
  <si>
    <t>Vacuno no lechero - Crecimiento(kg N)</t>
  </si>
  <si>
    <t>Vacuno porcino (kg N)</t>
  </si>
  <si>
    <t>Vacuno ovino  (kg N)</t>
  </si>
  <si>
    <t>Vacuno otras especies (kg N)</t>
  </si>
  <si>
    <t xml:space="preserve"> Cantidad anual De N2O-N [kg N2O-N</t>
  </si>
  <si>
    <t>Vacuno lechero (kg N2O-N)</t>
  </si>
  <si>
    <t>Vacuno no lechero - Toros (N2O-N)</t>
  </si>
  <si>
    <t>Vacuno no lechero - Vacas (N2O-N)</t>
  </si>
  <si>
    <t>Vacuno no lechero - Crecimiento(N2O-N)</t>
  </si>
  <si>
    <t>Vacuno porcino (kg N2O-N)</t>
  </si>
  <si>
    <t>Vacuno ovino  (kg  N2O-N)</t>
  </si>
  <si>
    <t>Vacuno otras especies (kg  N2O-N)</t>
  </si>
  <si>
    <t xml:space="preserve"> Cantidad anual DeCO2-EQ [Mton CO2 eq]</t>
  </si>
  <si>
    <t>kg N2O * 298</t>
  </si>
  <si>
    <t>Vacuno lechero (Mton CO2 eq)</t>
  </si>
  <si>
    <t>Vacuno no lechero - Toros (Mton CO2 eq)</t>
  </si>
  <si>
    <t>Vacuno no lechero - Vacas (Mton CO2 eq)</t>
  </si>
  <si>
    <t>Vacuno no lechero - Crecimiento(Mton CO2 eq)</t>
  </si>
  <si>
    <t>Vacuno porcino(Mton CO2 eq)</t>
  </si>
  <si>
    <t>Vacuno ovino  (Mton CO2 eq)</t>
  </si>
  <si>
    <t>Vacuno otras especies (Mton CO2 eq)</t>
  </si>
  <si>
    <t>TABLA EMAGR - 10: Emisiones N2O por gestion de estiercol directo</t>
  </si>
  <si>
    <t>Banano y platano [Mton CO2e/ha]</t>
  </si>
  <si>
    <t>Gallinas ponedoras (kg  N2O-N)</t>
  </si>
  <si>
    <t>TABLA EMAGR - 11: Emisiones de suelos indirectas</t>
  </si>
  <si>
    <t>Fertilizante sintético (kg N2O)</t>
  </si>
  <si>
    <t>Estiércol animal, compost, lodos de depuradora y otras adiciones orgánicas de N (kg N2O)</t>
  </si>
  <si>
    <t xml:space="preserve">Residuos de cultivos </t>
  </si>
  <si>
    <t>Fertilizante sintético (Mton CO2 eq)</t>
  </si>
  <si>
    <t>Estiércol animal, compost, lodos de depuradora y otras adiciones orgánicas de N (Mton CO2 eq)</t>
  </si>
  <si>
    <t>Emisiones N2O depositadas en pastoreo</t>
  </si>
  <si>
    <t>Total emisiones indirectas suelos (Mton CO2 eq)</t>
  </si>
  <si>
    <t>Fruta fresca: maracuyá, naranja, tomate de árbol, piña</t>
  </si>
  <si>
    <t>Banano y plátano [ha]</t>
  </si>
  <si>
    <t>DRIVER 1: EXPORTACIÓN+CONSUMO</t>
  </si>
  <si>
    <t>Banano y plátano [Mha]</t>
  </si>
  <si>
    <t>DRIVER 2: PIB TOTAL</t>
  </si>
  <si>
    <t>DRIVER 3: POBLACIÓN</t>
  </si>
  <si>
    <t>Banano y plátano [ton]</t>
  </si>
  <si>
    <t>DRIVER 1: PIB TOTAL</t>
  </si>
  <si>
    <t>Banano y plátano [Mton]</t>
  </si>
  <si>
    <t>Participación de demanda en la producción [%]</t>
  </si>
  <si>
    <t xml:space="preserve">DRIVER 1: Exportación industria alimentaria </t>
  </si>
  <si>
    <t>EXPORTACIÓN, IMPORTACIÓN</t>
  </si>
  <si>
    <t>Banano  y plátano [ton]</t>
  </si>
  <si>
    <t>Tomate riñon [ton]</t>
  </si>
  <si>
    <t>Tomate riñon [Mton]</t>
  </si>
  <si>
    <t>DRIVER 1: Importaciones alimentos, bebidas y tabacos</t>
  </si>
  <si>
    <t>DRIVER 1</t>
  </si>
  <si>
    <t xml:space="preserve">DRIVER 2 </t>
  </si>
  <si>
    <t>DRIVER 3</t>
  </si>
  <si>
    <t>DRIVER 1: Población</t>
  </si>
  <si>
    <t>DRIVER 2: PIB Sectorial</t>
  </si>
  <si>
    <t>DRIVER 1: PIB Sectorial</t>
  </si>
  <si>
    <t>DRIVER 1: Exportaciones silvícolas, pecuarias y piscícolas</t>
  </si>
  <si>
    <t>DRIVER 1: PIB Total</t>
  </si>
  <si>
    <t>Total [Cabezas]</t>
  </si>
  <si>
    <t>Banano y platano [kg/ha]</t>
  </si>
  <si>
    <t>DRIVER 2: Población</t>
  </si>
  <si>
    <t>Plantaciones forestales [Mton CO2e/Mha]</t>
  </si>
  <si>
    <t>Tierras convertidas en tierras forestales</t>
  </si>
  <si>
    <t>Tasa de crecimiento f. sintéticos</t>
  </si>
  <si>
    <t>COSTOS MODELO CAPEX</t>
  </si>
  <si>
    <t>Costos semillas</t>
  </si>
  <si>
    <t>Arroz (en cáscara) [USD/ha]</t>
  </si>
  <si>
    <t>Banano [USD/ha]</t>
  </si>
  <si>
    <t>Cacao - Almendra seca [USD/ha]</t>
  </si>
  <si>
    <t>Café - Grano Oro [USD/ha]</t>
  </si>
  <si>
    <t>Caña de azucar [USD/ha]</t>
  </si>
  <si>
    <t>Maíz [USD/ha]</t>
  </si>
  <si>
    <t>Palma africana (Fruta Fresca) [USD/ha]</t>
  </si>
  <si>
    <t>Soya [USD/ha]</t>
  </si>
  <si>
    <t>Palmito [USD/ha]</t>
  </si>
  <si>
    <t>Legumbres (Pulses) [USD/ha]</t>
  </si>
  <si>
    <t>Cereales [USD/ha]</t>
  </si>
  <si>
    <t>Tubérculos [USD/ha]</t>
  </si>
  <si>
    <t>Fruta fresca [USD/ha]</t>
  </si>
  <si>
    <t>Verduras [USD/ha]</t>
  </si>
  <si>
    <t>Florícolas [USD/ha]</t>
  </si>
  <si>
    <t>Costos maquinaria</t>
  </si>
  <si>
    <t>Banano  [USD/ha]</t>
  </si>
  <si>
    <t>Costos insumos de postocosecha</t>
  </si>
  <si>
    <t>COSTOS MODELO OPEX</t>
  </si>
  <si>
    <t>Costos fertilizante orgánico</t>
  </si>
  <si>
    <t xml:space="preserve">Costos fertilizante sintetico </t>
  </si>
  <si>
    <t>Proyecciones con gas natural</t>
  </si>
  <si>
    <t>Costo de plagicida orgánico</t>
  </si>
  <si>
    <t>Costo de plagicida sintético</t>
  </si>
  <si>
    <t>Costos insumos de cosecha</t>
  </si>
  <si>
    <t>Otros costos</t>
  </si>
  <si>
    <t>Costo de mano de obra ocasional</t>
  </si>
  <si>
    <t>ALLPA (https://www.allpa.org/el-cultivo-de-arroz-con-patos-demuestra-la-factibilidad-de-la-agroecologia/)</t>
  </si>
  <si>
    <t>Costos de sistemas agroecológicos</t>
  </si>
  <si>
    <t>Arroz  pato [USD/ha]</t>
  </si>
  <si>
    <t>Tiempo de vida promedio por cultivo</t>
  </si>
  <si>
    <t>INIAP</t>
  </si>
  <si>
    <t>Arroz (en cáscara) [días]</t>
  </si>
  <si>
    <t>117-136</t>
  </si>
  <si>
    <t>Banano y plátano [días]</t>
  </si>
  <si>
    <t>240-540</t>
  </si>
  <si>
    <t>Peremne</t>
  </si>
  <si>
    <t>Cacao - Almendra seca [días]</t>
  </si>
  <si>
    <t>150-180</t>
  </si>
  <si>
    <t>Café - Grano Oro [días]</t>
  </si>
  <si>
    <t>180-330</t>
  </si>
  <si>
    <t>Caña de azucar [días]</t>
  </si>
  <si>
    <t>420-510</t>
  </si>
  <si>
    <t>Maíz [días]</t>
  </si>
  <si>
    <t>120-180</t>
  </si>
  <si>
    <t>Palma africana (Fruta Fresca) [días]</t>
  </si>
  <si>
    <t>´10-15</t>
  </si>
  <si>
    <t>Soya [días]</t>
  </si>
  <si>
    <t>120-150</t>
  </si>
  <si>
    <t>Palmito [días]</t>
  </si>
  <si>
    <t>540-720</t>
  </si>
  <si>
    <t>Legumbres (Pulses) [días]</t>
  </si>
  <si>
    <t>180-210</t>
  </si>
  <si>
    <t>Cereales [días]</t>
  </si>
  <si>
    <t>90-240</t>
  </si>
  <si>
    <t>Tubérculos [días]</t>
  </si>
  <si>
    <t>135-165</t>
  </si>
  <si>
    <t>Fruta fresca [días]</t>
  </si>
  <si>
    <t>240-300</t>
  </si>
  <si>
    <t>Verduras [días]</t>
  </si>
  <si>
    <t>60-90</t>
  </si>
  <si>
    <t>Florícolas [días]</t>
  </si>
  <si>
    <t>30-60</t>
  </si>
  <si>
    <t>Costos operacionales medios</t>
  </si>
  <si>
    <t>ESPAC - Módulo económico 2019</t>
  </si>
  <si>
    <t>Banano y plátano [USD/ha]</t>
  </si>
  <si>
    <t>Tubérculos [USD/ton]</t>
  </si>
  <si>
    <t>Total [USD/ha]</t>
  </si>
  <si>
    <t>Costo promedio de semillas certificadas</t>
  </si>
  <si>
    <t>Arroz (en cáscara) [USD/kg]</t>
  </si>
  <si>
    <t>Maíz [USD/kg]</t>
  </si>
  <si>
    <t>Palma africana (Fruta Fresca) [USD/kg]</t>
  </si>
  <si>
    <t>Soya [USD/kg]</t>
  </si>
  <si>
    <t>Legumbres (Pulses) [USD/kg]</t>
  </si>
  <si>
    <t>Cereales [USD/kg]</t>
  </si>
  <si>
    <t>Tubérculos [USD/kg]</t>
  </si>
  <si>
    <t>Total [USD/kg]</t>
  </si>
  <si>
    <t>Costo promedio de semillas registradas</t>
  </si>
  <si>
    <t>Costo promedio unidad vegetativa</t>
  </si>
  <si>
    <t>Cacao - Almendra seca [USD/unidad]</t>
  </si>
  <si>
    <t>Café - Grano Oro [USD/unidad]</t>
  </si>
  <si>
    <t>Palma africana (Fruta Fresca) [USD/unidad]</t>
  </si>
  <si>
    <t>Fruta fresca [USD/unidad]</t>
  </si>
  <si>
    <t>Total [USD/unidad]</t>
  </si>
  <si>
    <t>Precio promedio de agroquímicos y fertilizantes</t>
  </si>
  <si>
    <t>Valor promedio de todas las provincias</t>
  </si>
  <si>
    <t>Ministerio de Agricultura y Ganadería</t>
  </si>
  <si>
    <t>Fungicidas [USD/lt]</t>
  </si>
  <si>
    <t>Herbicidas [USD/lt]</t>
  </si>
  <si>
    <t>Insectiidas [USD/lt]</t>
  </si>
  <si>
    <t>Fertilizantes [USD/50 kg]</t>
  </si>
  <si>
    <t>Costo de sistemas de riego</t>
  </si>
  <si>
    <t xml:space="preserve">Hectáreas regadas por aspersión </t>
  </si>
  <si>
    <t>Arroz (en cáscara) [ha]</t>
  </si>
  <si>
    <t>Banano y plátano  [ha]</t>
  </si>
  <si>
    <t>Cacao - Almendra seca  [ha]</t>
  </si>
  <si>
    <t>Café - Grano Oro  [ha]</t>
  </si>
  <si>
    <t>Caña de azucar  [ha]</t>
  </si>
  <si>
    <t>Palma africana (Fruta Fresca)  [ha]</t>
  </si>
  <si>
    <t>Soya  [ha]</t>
  </si>
  <si>
    <t>Palmito  [ha]</t>
  </si>
  <si>
    <t>Legumbres (Pulses)  [ha]</t>
  </si>
  <si>
    <t>Cereales  [ha]</t>
  </si>
  <si>
    <t>Tubérculos  [ha]</t>
  </si>
  <si>
    <t>Fruta fresca  [ha]</t>
  </si>
  <si>
    <t>Verduras  [ha]</t>
  </si>
  <si>
    <t>Florícolas  [ha]</t>
  </si>
  <si>
    <t>prom</t>
  </si>
  <si>
    <t xml:space="preserve">Hectáreas regadas por aspersión % </t>
  </si>
  <si>
    <t>Hectáreas regadas por goteo</t>
  </si>
  <si>
    <t>Hectáreas regadas por goteo %</t>
  </si>
  <si>
    <t xml:space="preserve">Hectáreas regadas por inundación por surcos </t>
  </si>
  <si>
    <t>Hectáreas regadas por inundación por surcos %</t>
  </si>
  <si>
    <t>Costo de riego total (aspersión, goteo, inundación)</t>
  </si>
  <si>
    <t>Exportación</t>
  </si>
  <si>
    <t>Valor FOB/Peso</t>
  </si>
  <si>
    <t>Arroz (en cáscara) [USD/ton]</t>
  </si>
  <si>
    <t>Banano y plátano [USD/ton]</t>
  </si>
  <si>
    <t>Cacao - Almendra seca  [USD/ton]</t>
  </si>
  <si>
    <t>Café - Grano Oro [USD/ton]</t>
  </si>
  <si>
    <t>Caña de azucar [USD/ton]</t>
  </si>
  <si>
    <t>Maíz [USD/ton]</t>
  </si>
  <si>
    <t>Palma africana (Fruta Fresca) [USD/ton]</t>
  </si>
  <si>
    <t>Soya[USD/ton]</t>
  </si>
  <si>
    <t>Palmito [USD/ton]</t>
  </si>
  <si>
    <t>Legumbres (Pulses)[USD/ton]</t>
  </si>
  <si>
    <t>Cereales y pseudocereales [USD/ton]</t>
  </si>
  <si>
    <t>Fruta fresca [USD/ton]</t>
  </si>
  <si>
    <t>Verduras [USD/ton]</t>
  </si>
  <si>
    <t xml:space="preserve">Florícolas [USD/ton] </t>
  </si>
  <si>
    <t>Banano  [USD/ton]</t>
  </si>
  <si>
    <t>Importación</t>
  </si>
  <si>
    <t>Total [mUSD/ton]</t>
  </si>
  <si>
    <t>COSTOS DE GANADERÍA CAPEX</t>
  </si>
  <si>
    <t>Costo del ganado - Inversión</t>
  </si>
  <si>
    <t>Referencias expertos</t>
  </si>
  <si>
    <t>Raza importada (USD/cabeza)</t>
  </si>
  <si>
    <t>Raza mestizo (USD/Cabeza)</t>
  </si>
  <si>
    <t>Raza criolla (USD/Cabeza)</t>
  </si>
  <si>
    <t>Cantidad de ganado nuevo/año</t>
  </si>
  <si>
    <t>Ganado de raza importada (cabezas)</t>
  </si>
  <si>
    <t>Ganado criollo (Cabezas)</t>
  </si>
  <si>
    <t>Ganado mestizo (Cabezas)</t>
  </si>
  <si>
    <t>COSTOS DE GANADERÍA OPEX</t>
  </si>
  <si>
    <t>Costode Mano de obra y atención veterinaria</t>
  </si>
  <si>
    <t>Vacuno (USD/cabeza)</t>
  </si>
  <si>
    <t>Porcino (USD/cabeza)</t>
  </si>
  <si>
    <t>Ovino (USD/cabeza)</t>
  </si>
  <si>
    <t>Costo alimentación</t>
  </si>
  <si>
    <t>Costo mantenimiento de las instalaciones</t>
  </si>
  <si>
    <t>Vida útil del ganado</t>
  </si>
  <si>
    <t>Raza importada (años/cabeza)</t>
  </si>
  <si>
    <t>Raza mestizo (años/Cabeza)</t>
  </si>
  <si>
    <t>Raza criolla (años/Cabeza)</t>
  </si>
  <si>
    <t>Carne bovina (USD/ton)</t>
  </si>
  <si>
    <t>Carne porcina (USD/ton)</t>
  </si>
  <si>
    <t>Leche líquida (USD/ton)</t>
  </si>
  <si>
    <t>Total [USD/ton]</t>
  </si>
  <si>
    <t xml:space="preserve">Beneficios </t>
  </si>
  <si>
    <t xml:space="preserve">ESPAC </t>
  </si>
  <si>
    <t>Horas ahorro [horas/ha/año]</t>
  </si>
  <si>
    <t>Costo de la hora [USD/hora]</t>
  </si>
  <si>
    <t>Mano de obra agricultura sin remuneración</t>
  </si>
  <si>
    <t>Hombres</t>
  </si>
  <si>
    <t>Mujeres</t>
  </si>
  <si>
    <t xml:space="preserve">Total </t>
  </si>
  <si>
    <t>Mano de obra agricultura remunerada permanente</t>
  </si>
  <si>
    <t>Mano de obra agricultura remunerada ocasional</t>
  </si>
  <si>
    <t>Notas</t>
  </si>
  <si>
    <t>CALIBRACIÓN</t>
  </si>
  <si>
    <t>GRÁFICO AGR - 1: Cobertura de cultivos SEMBRADOS</t>
  </si>
  <si>
    <t>GRÁFICO AGR - 2: Cobertura de cultivos COSECHADOS</t>
  </si>
  <si>
    <t>GRÁFICO AGR - 3: Cobertura de cultivos SEMBRADOS</t>
  </si>
  <si>
    <t>GRÁFICO AGR - 4: Rendimiento de cultivos COSECHADOS</t>
  </si>
  <si>
    <t>GRÁFICO AGR - 5: Exportación de productos agrícolas</t>
  </si>
  <si>
    <t>GRÁFICO AGR - 6: Importación de productos agrícolas</t>
  </si>
  <si>
    <t>GRÁFICO AGR - 7: Demanda local de productos agrícolas</t>
  </si>
  <si>
    <t>GRÁFICO AGR - 8: Población de ganado vacuno</t>
  </si>
  <si>
    <t>GRÁFICO AGR - 9: Cobertura y densidad del ganado vacuno</t>
  </si>
  <si>
    <t>GRÁFICO AGR - 10: Productos obtenidos del ganado vacuno</t>
  </si>
  <si>
    <t>GRÁFICO AGR - 11: Exportación, importación, demanda local de productos del ganado vacuno</t>
  </si>
  <si>
    <t>GRÁFICO AGR - 12: Cobertura y densidad del ganado vacuno</t>
  </si>
  <si>
    <t>GRÁFICO UTCUTS - 1: Cobertura uso de suelos</t>
  </si>
  <si>
    <t>GRÁFICO UTCUTS - 2: Cobertura áreas protegidas</t>
  </si>
  <si>
    <t>GRÁFICO UTCUTS - 3: Coberturas generales MAG+MAATE</t>
  </si>
  <si>
    <t xml:space="preserve">GRÁFICO UTCUTS - 4: Superficie de tierras convertidas en tierras de cultivo </t>
  </si>
  <si>
    <t xml:space="preserve">GRÁFICO UTCUTS - 5: Superficie de tierras convertidas en pastizales </t>
  </si>
  <si>
    <t>GRÁFICO UTCUTS - 6: Superficie de tierras convertidas en humedales</t>
  </si>
  <si>
    <t xml:space="preserve">GRÁFICO UTCUTS - 7: Superficie de tierras convertidas en asentamientos </t>
  </si>
  <si>
    <t>GRÁFICO UTCUTS - 8: Superficie de tierras convertidas en otras tierras</t>
  </si>
  <si>
    <t>Comentario sobre la Fuente, o metodología usada.</t>
  </si>
  <si>
    <t>Industria no alimenticia</t>
  </si>
  <si>
    <t>Aparatos domésticos</t>
  </si>
  <si>
    <t>Vehículos particulares</t>
  </si>
  <si>
    <t>Materia prima industrial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</si>
</sst>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00_-;\-* #,##0.00_-;_-* &quot;-&quot;??_-;_-@_-"/>
    <numFmt numFmtId="165" formatCode="#,##0.000"/>
    <numFmt numFmtId="166" formatCode="0.000%"/>
    <numFmt numFmtId="167" formatCode="0.0000"/>
    <numFmt numFmtId="168" formatCode="#,##0.00000"/>
    <numFmt numFmtId="169" formatCode="0.00000"/>
    <numFmt numFmtId="170" formatCode="0.000"/>
    <numFmt numFmtId="171" formatCode="#,##0.0000"/>
    <numFmt numFmtId="172" formatCode="0.0000000000000000000000000000000000000000000000"/>
    <numFmt numFmtId="173" formatCode="#,##0.000000"/>
    <numFmt numFmtId="174" formatCode="0.0"/>
    <numFmt numFmtId="175" formatCode="0.000000"/>
    <numFmt numFmtId="176" formatCode="_(* #,##0.0000_);_(* \(#,##0.0000\);_(* &quot;-&quot;??_);_(@_)"/>
    <numFmt numFmtId="177" formatCode="0.0000000"/>
    <numFmt numFmtId="178" formatCode="0.0%"/>
    <numFmt numFmtId="179" formatCode="0.0000%"/>
    <numFmt numFmtId="180" formatCode="0.000000000000"/>
  </numFmts>
  <fonts count="69"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b/>
      <sz val="14"/>
      <color theme="1"/>
      <name val="Calibri"/>
      <family val="2"/>
    </font>
    <font>
      <b/>
      <sz val="14"/>
      <color theme="1"/>
      <name val="Arial"/>
      <family val="2"/>
    </font>
    <font>
      <sz val="11"/>
      <color theme="1"/>
      <name val="Calibri"/>
      <family val="2"/>
    </font>
    <font>
      <b/>
      <sz val="20"/>
      <color rgb="FFFF0000"/>
      <name val="Calibri"/>
      <family val="2"/>
    </font>
    <font>
      <u/>
      <sz val="11"/>
      <color theme="10"/>
      <name val="Arial"/>
      <family val="2"/>
    </font>
    <font>
      <b/>
      <sz val="12"/>
      <color theme="4"/>
      <name val="Calibri"/>
      <family val="2"/>
    </font>
    <font>
      <b/>
      <sz val="12"/>
      <color theme="5"/>
      <name val="Calibri"/>
      <family val="2"/>
    </font>
    <font>
      <sz val="11"/>
      <color theme="1"/>
      <name val="Arial"/>
      <family val="2"/>
    </font>
    <font>
      <b/>
      <sz val="11"/>
      <color rgb="FFFF0000"/>
      <name val="Calibri"/>
      <family val="2"/>
    </font>
    <font>
      <b/>
      <sz val="11"/>
      <color rgb="FFFF0000"/>
      <name val="Arial"/>
      <family val="2"/>
    </font>
    <font>
      <sz val="11"/>
      <name val="Arial"/>
      <family val="2"/>
    </font>
    <font>
      <sz val="8"/>
      <color theme="1"/>
      <name val="Calibri"/>
      <family val="2"/>
    </font>
    <font>
      <b/>
      <sz val="11"/>
      <color rgb="FF5B9BD5"/>
      <name val="Calibri"/>
      <family val="2"/>
    </font>
    <font>
      <b/>
      <sz val="10"/>
      <color rgb="FF000000"/>
      <name val="Arial Narrow"/>
      <family val="2"/>
    </font>
    <font>
      <b/>
      <sz val="9"/>
      <color theme="1"/>
      <name val="Arial Narrow"/>
      <family val="2"/>
    </font>
    <font>
      <sz val="11"/>
      <color rgb="FF444444"/>
      <name val="Calibri"/>
      <family val="2"/>
    </font>
    <font>
      <sz val="11"/>
      <color rgb="FF000000"/>
      <name val="Calibri"/>
      <family val="2"/>
    </font>
    <font>
      <sz val="11"/>
      <color rgb="FF000000"/>
      <name val="Arial"/>
      <family val="2"/>
    </font>
    <font>
      <b/>
      <sz val="13"/>
      <color rgb="FF000000"/>
      <name val="Calibri"/>
      <family val="2"/>
    </font>
    <font>
      <b/>
      <sz val="11"/>
      <color theme="1"/>
      <name val="Calibri"/>
      <family val="2"/>
    </font>
    <font>
      <b/>
      <sz val="11"/>
      <color theme="1"/>
      <name val="Arial"/>
      <family val="2"/>
    </font>
    <font>
      <b/>
      <i/>
      <sz val="11"/>
      <color theme="1"/>
      <name val="Calibri"/>
      <family val="2"/>
    </font>
    <font>
      <b/>
      <sz val="11"/>
      <color rgb="FFC00000"/>
      <name val="Calibri"/>
      <family val="2"/>
    </font>
    <font>
      <sz val="14"/>
      <color theme="1"/>
      <name val="Arial"/>
      <family val="2"/>
    </font>
    <font>
      <sz val="14"/>
      <color theme="1"/>
      <name val="Calibri"/>
      <family val="2"/>
    </font>
    <font>
      <b/>
      <sz val="13"/>
      <color theme="1"/>
      <name val="Calibri"/>
      <family val="2"/>
    </font>
    <font>
      <b/>
      <sz val="14"/>
      <color theme="4"/>
      <name val="Calibri"/>
      <family val="2"/>
    </font>
    <font>
      <b/>
      <sz val="11"/>
      <color theme="4"/>
      <name val="Calibri"/>
      <family val="2"/>
    </font>
    <font>
      <b/>
      <sz val="20"/>
      <color theme="4"/>
      <name val="Calibri"/>
      <family val="2"/>
    </font>
    <font>
      <b/>
      <sz val="11"/>
      <color theme="4"/>
      <name val="Arial"/>
      <family val="2"/>
    </font>
    <font>
      <b/>
      <sz val="11"/>
      <color rgb="FF000000"/>
      <name val="Arial"/>
      <family val="2"/>
    </font>
    <font>
      <b/>
      <sz val="12"/>
      <color rgb="FF000000"/>
      <name val="Calibri"/>
      <family val="2"/>
    </font>
    <font>
      <b/>
      <sz val="11"/>
      <color rgb="FF000000"/>
      <name val="Calibri"/>
      <family val="2"/>
    </font>
    <font>
      <b/>
      <u/>
      <sz val="20"/>
      <color theme="10"/>
      <name val="Arial"/>
      <family val="2"/>
    </font>
    <font>
      <b/>
      <u/>
      <sz val="15"/>
      <color theme="10"/>
      <name val="Arial"/>
      <family val="2"/>
    </font>
    <font>
      <sz val="11"/>
      <color theme="1"/>
      <name val="Arial"/>
      <family val="2"/>
      <scheme val="minor"/>
    </font>
    <font>
      <sz val="11"/>
      <color theme="1"/>
      <name val="Calibri"/>
      <family val="2"/>
    </font>
    <font>
      <sz val="9"/>
      <color theme="1"/>
      <name val="Calibri"/>
      <family val="2"/>
    </font>
    <font>
      <b/>
      <sz val="14"/>
      <color rgb="FF000000"/>
      <name val="Calibri"/>
      <family val="2"/>
    </font>
    <font>
      <b/>
      <sz val="11"/>
      <color theme="1"/>
      <name val="Arial"/>
      <family val="2"/>
      <scheme val="minor"/>
    </font>
    <font>
      <u/>
      <sz val="11"/>
      <color theme="10"/>
      <name val="Arial"/>
      <family val="2"/>
      <scheme val="minor"/>
    </font>
    <font>
      <b/>
      <sz val="14"/>
      <color theme="1"/>
      <name val="Arial"/>
      <family val="2"/>
      <scheme val="minor"/>
    </font>
    <font>
      <sz val="11"/>
      <color theme="1"/>
      <name val="Arial"/>
      <family val="2"/>
      <scheme val="minor"/>
    </font>
    <font>
      <b/>
      <sz val="11"/>
      <color rgb="FFFF0000"/>
      <name val="Arial"/>
      <family val="2"/>
      <scheme val="minor"/>
    </font>
    <font>
      <sz val="8"/>
      <color theme="1"/>
      <name val="Arial"/>
      <family val="2"/>
      <scheme val="minor"/>
    </font>
    <font>
      <sz val="9"/>
      <color theme="1"/>
      <name val="Arial"/>
      <family val="2"/>
    </font>
    <font>
      <b/>
      <sz val="9"/>
      <name val="Arial Narrow"/>
      <family val="2"/>
    </font>
    <font>
      <sz val="11"/>
      <color rgb="FF444444"/>
      <name val="Calibri"/>
      <family val="2"/>
      <charset val="1"/>
    </font>
    <font>
      <sz val="11"/>
      <color rgb="FF000000"/>
      <name val="Arial"/>
      <family val="2"/>
      <scheme val="minor"/>
    </font>
    <font>
      <b/>
      <sz val="11"/>
      <color rgb="FF4472C4"/>
      <name val="Calibri"/>
      <family val="2"/>
    </font>
    <font>
      <sz val="11"/>
      <name val="Calibri"/>
      <family val="2"/>
    </font>
    <font>
      <sz val="11"/>
      <color theme="1"/>
      <name val="Arial"/>
      <family val="2"/>
      <scheme val="minor"/>
    </font>
    <font>
      <sz val="11"/>
      <color rgb="FFFFFFFF"/>
      <name val="Calibri"/>
      <family val="2"/>
    </font>
    <font>
      <sz val="10"/>
      <color rgb="FF000000"/>
      <name val="Calibri"/>
      <family val="2"/>
    </font>
    <font>
      <sz val="8"/>
      <color rgb="FF000000"/>
      <name val="Calibri"/>
      <family val="2"/>
    </font>
    <font>
      <sz val="10"/>
      <color theme="1"/>
      <name val="Arial"/>
      <family val="2"/>
    </font>
    <font>
      <i/>
      <sz val="10"/>
      <color rgb="FF000000"/>
      <name val="Calibri"/>
      <family val="2"/>
    </font>
    <font>
      <sz val="9"/>
      <color rgb="FF000000"/>
      <name val="Calibri"/>
      <family val="2"/>
    </font>
    <font>
      <sz val="10"/>
      <color theme="1"/>
      <name val="Calibri"/>
      <family val="2"/>
      <charset val="1"/>
    </font>
    <font>
      <sz val="10"/>
      <color rgb="FF212121"/>
      <name val="Source Sans Pro"/>
      <family val="2"/>
    </font>
    <font>
      <b/>
      <sz val="10"/>
      <color rgb="FF212121"/>
      <name val="Source Sans Pro"/>
      <family val="2"/>
    </font>
    <font>
      <i/>
      <sz val="11"/>
      <color rgb="FF000000"/>
      <name val="Calibri"/>
      <family val="2"/>
    </font>
    <font>
      <sz val="10"/>
      <color rgb="FF444444"/>
      <name val="Calibri"/>
      <family val="2"/>
      <charset val="1"/>
    </font>
    <font>
      <sz val="9"/>
      <color rgb="FF000000"/>
      <name val="Arial"/>
      <family val="2"/>
    </font>
    <font>
      <b/>
      <sz val="9"/>
      <color rgb="FF000000"/>
      <name val="Arial"/>
      <family val="2"/>
    </font>
  </fonts>
  <fills count="75">
    <fill>
      <patternFill patternType="none"/>
    </fill>
    <fill>
      <patternFill patternType="gray125"/>
    </fill>
    <fill>
      <patternFill patternType="solid">
        <fgColor rgb="FFD8D8D8"/>
        <bgColor rgb="FFD8D8D8"/>
      </patternFill>
    </fill>
    <fill>
      <patternFill patternType="solid">
        <fgColor rgb="FFDADADA"/>
        <bgColor rgb="FFDADADA"/>
      </patternFill>
    </fill>
    <fill>
      <patternFill patternType="solid">
        <fgColor rgb="FFC5E0B3"/>
        <bgColor rgb="FFC5E0B3"/>
      </patternFill>
    </fill>
    <fill>
      <patternFill patternType="solid">
        <fgColor rgb="FFE2EFD9"/>
        <bgColor rgb="FFE2EFD9"/>
      </patternFill>
    </fill>
    <fill>
      <patternFill patternType="solid">
        <fgColor rgb="FFFFFF00"/>
        <bgColor rgb="FFFFFF00"/>
      </patternFill>
    </fill>
    <fill>
      <patternFill patternType="solid">
        <fgColor rgb="FFDDEBF7"/>
        <bgColor rgb="FFDDEBF7"/>
      </patternFill>
    </fill>
    <fill>
      <patternFill patternType="solid">
        <fgColor theme="9"/>
        <bgColor theme="9"/>
      </patternFill>
    </fill>
    <fill>
      <patternFill patternType="solid">
        <fgColor rgb="FF92D050"/>
        <bgColor rgb="FF92D050"/>
      </patternFill>
    </fill>
    <fill>
      <patternFill patternType="solid">
        <fgColor rgb="FF70AD47"/>
        <bgColor rgb="FF70AD47"/>
      </patternFill>
    </fill>
    <fill>
      <patternFill patternType="solid">
        <fgColor rgb="FFF7CAAC"/>
        <bgColor rgb="FFF7CAAC"/>
      </patternFill>
    </fill>
    <fill>
      <patternFill patternType="solid">
        <fgColor rgb="FFFBE4D5"/>
        <bgColor rgb="FFFBE4D5"/>
      </patternFill>
    </fill>
    <fill>
      <patternFill patternType="solid">
        <fgColor rgb="FFFCE4D6"/>
        <bgColor rgb="FFFCE4D6"/>
      </patternFill>
    </fill>
    <fill>
      <patternFill patternType="solid">
        <fgColor rgb="FFFFE598"/>
        <bgColor rgb="FFFFE598"/>
      </patternFill>
    </fill>
    <fill>
      <patternFill patternType="solid">
        <fgColor rgb="FFFEF2CB"/>
        <bgColor rgb="FFFEF2CB"/>
      </patternFill>
    </fill>
    <fill>
      <patternFill patternType="solid">
        <fgColor theme="7"/>
        <bgColor theme="7"/>
      </patternFill>
    </fill>
    <fill>
      <patternFill patternType="solid">
        <fgColor rgb="FFFFC000"/>
        <bgColor rgb="FFFFC000"/>
      </patternFill>
    </fill>
    <fill>
      <patternFill patternType="solid">
        <fgColor rgb="FFFFCDF4"/>
        <bgColor rgb="FFFFCDF4"/>
      </patternFill>
    </fill>
    <fill>
      <patternFill patternType="solid">
        <fgColor rgb="FF9CC2E5"/>
        <bgColor rgb="FF9CC2E5"/>
      </patternFill>
    </fill>
    <fill>
      <patternFill patternType="solid">
        <fgColor rgb="FFDEEAF6"/>
        <bgColor rgb="FFDEEAF6"/>
      </patternFill>
    </fill>
    <fill>
      <patternFill patternType="solid">
        <fgColor rgb="FFC8C8C8"/>
        <bgColor rgb="FFC8C8C8"/>
      </patternFill>
    </fill>
    <fill>
      <patternFill patternType="solid">
        <fgColor rgb="FFECECEC"/>
        <bgColor rgb="FFECECEC"/>
      </patternFill>
    </fill>
    <fill>
      <patternFill patternType="solid">
        <fgColor rgb="FFA8D08D"/>
        <bgColor rgb="FFA8D08D"/>
      </patternFill>
    </fill>
    <fill>
      <patternFill patternType="solid">
        <fgColor rgb="FFFFD965"/>
        <bgColor rgb="FFFFD965"/>
      </patternFill>
    </fill>
    <fill>
      <patternFill patternType="solid">
        <fgColor rgb="FFFF7C80"/>
        <bgColor rgb="FFFF7C80"/>
      </patternFill>
    </fill>
    <fill>
      <patternFill patternType="solid">
        <fgColor rgb="FFC6E0B4"/>
        <bgColor rgb="FFC6E0B4"/>
      </patternFill>
    </fill>
    <fill>
      <patternFill patternType="solid">
        <fgColor rgb="FFD9E2F3"/>
        <bgColor rgb="FFD9E2F3"/>
      </patternFill>
    </fill>
    <fill>
      <patternFill patternType="solid">
        <fgColor rgb="FFFF0000"/>
        <bgColor rgb="FFFF0000"/>
      </patternFill>
    </fill>
    <fill>
      <patternFill patternType="solid">
        <fgColor theme="7" tint="0.79998168889431442"/>
        <bgColor rgb="FFFF7C80"/>
      </patternFill>
    </fill>
    <fill>
      <patternFill patternType="solid">
        <fgColor theme="9" tint="0.79998168889431442"/>
        <bgColor rgb="FFFEF2CB"/>
      </patternFill>
    </fill>
    <fill>
      <patternFill patternType="solid">
        <fgColor theme="9" tint="0.79998168889431442"/>
        <bgColor rgb="FFC5E0B3"/>
      </patternFill>
    </fill>
    <fill>
      <patternFill patternType="solid">
        <fgColor theme="9" tint="0.79998168889431442"/>
        <bgColor rgb="FFE2EFD9"/>
      </patternFill>
    </fill>
    <fill>
      <patternFill patternType="solid">
        <fgColor rgb="FFFFFF00"/>
        <bgColor rgb="FFE2EFD9"/>
      </patternFill>
    </fill>
    <fill>
      <patternFill patternType="solid">
        <fgColor theme="9" tint="0.79998168889431442"/>
        <bgColor rgb="FFFFFF00"/>
      </patternFill>
    </fill>
    <fill>
      <patternFill patternType="solid">
        <fgColor rgb="FFDDEBF7"/>
        <bgColor indexed="64"/>
      </patternFill>
    </fill>
    <fill>
      <patternFill patternType="solid">
        <fgColor theme="9"/>
        <bgColor rgb="FFC5E0B3"/>
      </patternFill>
    </fill>
    <fill>
      <patternFill patternType="solid">
        <fgColor rgb="FF92D050"/>
        <bgColor indexed="64"/>
      </patternFill>
    </fill>
    <fill>
      <patternFill patternType="solid">
        <fgColor rgb="FF70AD47"/>
        <bgColor rgb="FFC5E0B3"/>
      </patternFill>
    </fill>
    <fill>
      <patternFill patternType="solid">
        <fgColor rgb="FFFCE4D6"/>
        <bgColor rgb="FFFEF2CB"/>
      </patternFill>
    </fill>
    <fill>
      <patternFill patternType="solid">
        <fgColor rgb="FFFCE4D6"/>
        <bgColor rgb="FFFBE4D5"/>
      </patternFill>
    </fill>
    <fill>
      <patternFill patternType="solid">
        <fgColor rgb="FFFCE4D6"/>
        <bgColor rgb="FFE2EFD9"/>
      </patternFill>
    </fill>
    <fill>
      <patternFill patternType="solid">
        <fgColor rgb="FFF7CDF3"/>
        <bgColor indexed="64"/>
      </patternFill>
    </fill>
    <fill>
      <patternFill patternType="solid">
        <fgColor theme="7" tint="0.79998168889431442"/>
        <bgColor indexed="64"/>
      </patternFill>
    </fill>
    <fill>
      <patternFill patternType="solid">
        <fgColor theme="5" tint="0.79998168889431442"/>
        <bgColor rgb="FFFBE4D5"/>
      </patternFill>
    </fill>
    <fill>
      <patternFill patternType="solid">
        <fgColor theme="5" tint="0.79998168889431442"/>
        <bgColor rgb="FFF7CAAC"/>
      </patternFill>
    </fill>
    <fill>
      <patternFill patternType="solid">
        <fgColor theme="5" tint="0.79998168889431442"/>
        <bgColor indexed="64"/>
      </patternFill>
    </fill>
    <fill>
      <patternFill patternType="solid">
        <fgColor rgb="FFC6E0B4"/>
        <bgColor rgb="FFE2EFD9"/>
      </patternFill>
    </fill>
    <fill>
      <patternFill patternType="solid">
        <fgColor rgb="FFF7CDF3"/>
        <bgColor rgb="FFFEF2CB"/>
      </patternFill>
    </fill>
    <fill>
      <patternFill patternType="solid">
        <fgColor theme="5" tint="0.39997558519241921"/>
        <bgColor rgb="FFFFCDF4"/>
      </patternFill>
    </fill>
    <fill>
      <patternFill patternType="solid">
        <fgColor rgb="FFF7CDF3"/>
        <bgColor rgb="FFDEEAF6"/>
      </patternFill>
    </fill>
    <fill>
      <patternFill patternType="solid">
        <fgColor rgb="FFF7CDF3"/>
        <bgColor rgb="FFFFCDF4"/>
      </patternFill>
    </fill>
    <fill>
      <patternFill patternType="solid">
        <fgColor rgb="FFF7CDF3"/>
        <bgColor rgb="FFFF7C80"/>
      </patternFill>
    </fill>
    <fill>
      <patternFill patternType="solid">
        <fgColor theme="8" tint="0.79998168889431442"/>
        <bgColor rgb="FFFF7C80"/>
      </patternFill>
    </fill>
    <fill>
      <patternFill patternType="solid">
        <fgColor rgb="FFFFF2CC"/>
        <bgColor indexed="64"/>
      </patternFill>
    </fill>
    <fill>
      <patternFill patternType="solid">
        <fgColor theme="5"/>
        <bgColor rgb="FFFEF2CB"/>
      </patternFill>
    </fill>
    <fill>
      <patternFill patternType="solid">
        <fgColor theme="7" tint="0.79998168889431442"/>
        <bgColor rgb="FFFEF2CB"/>
      </patternFill>
    </fill>
    <fill>
      <patternFill patternType="solid">
        <fgColor theme="5" tint="0.39997558519241921"/>
        <bgColor rgb="FF9CC2E5"/>
      </patternFill>
    </fill>
    <fill>
      <patternFill patternType="solid">
        <fgColor theme="5" tint="0.79998168889431442"/>
        <bgColor rgb="FFDEEAF6"/>
      </patternFill>
    </fill>
    <fill>
      <patternFill patternType="solid">
        <fgColor rgb="FFCCC0DA"/>
        <bgColor rgb="FF000000"/>
      </patternFill>
    </fill>
    <fill>
      <patternFill patternType="solid">
        <fgColor rgb="FFB7DEE8"/>
        <bgColor rgb="FF000000"/>
      </patternFill>
    </fill>
    <fill>
      <patternFill patternType="solid">
        <fgColor rgb="FFEBF1DE"/>
        <bgColor rgb="FF000000"/>
      </patternFill>
    </fill>
    <fill>
      <patternFill patternType="solid">
        <fgColor rgb="FFF9F2FA"/>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79998168889431442"/>
        <bgColor rgb="FFFEF2CB"/>
      </patternFill>
    </fill>
    <fill>
      <patternFill patternType="solid">
        <fgColor theme="8" tint="0.79998168889431442"/>
        <bgColor rgb="FFDEEAF6"/>
      </patternFill>
    </fill>
    <fill>
      <patternFill patternType="solid">
        <fgColor theme="8" tint="0.79998168889431442"/>
        <bgColor indexed="64"/>
      </patternFill>
    </fill>
    <fill>
      <patternFill patternType="solid">
        <fgColor theme="9" tint="0.59999389629810485"/>
        <bgColor rgb="FFDEEAF6"/>
      </patternFill>
    </fill>
    <fill>
      <patternFill patternType="solid">
        <fgColor theme="9" tint="0.79998168889431442"/>
        <bgColor indexed="64"/>
      </patternFill>
    </fill>
    <fill>
      <patternFill patternType="solid">
        <fgColor theme="9" tint="0.59999389629810485"/>
        <bgColor rgb="FFFEF2CB"/>
      </patternFill>
    </fill>
    <fill>
      <patternFill patternType="solid">
        <fgColor theme="7"/>
        <bgColor indexed="64"/>
      </patternFill>
    </fill>
    <fill>
      <patternFill patternType="solid">
        <fgColor theme="7" tint="0.79998168889431442"/>
        <bgColor rgb="FFFFCDF4"/>
      </patternFill>
    </fill>
    <fill>
      <patternFill patternType="solid">
        <fgColor theme="5"/>
        <bgColor rgb="FFE2EFD9"/>
      </patternFill>
    </fill>
    <fill>
      <patternFill patternType="solid">
        <fgColor rgb="FFFFFF00"/>
        <bgColor indexed="64"/>
      </patternFill>
    </fill>
  </fills>
  <borders count="9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bottom/>
      <diagonal/>
    </border>
    <border>
      <left style="medium">
        <color rgb="FF000000"/>
      </left>
      <right/>
      <top style="thin">
        <color rgb="FF000000"/>
      </top>
      <bottom/>
      <diagonal/>
    </border>
    <border>
      <left style="thin">
        <color rgb="FF000000"/>
      </left>
      <right/>
      <top/>
      <bottom/>
      <diagonal/>
    </border>
    <border>
      <left style="medium">
        <color rgb="FF000000"/>
      </left>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style="medium">
        <color rgb="FF000000"/>
      </right>
      <top/>
      <bottom/>
      <diagonal/>
    </border>
    <border>
      <left style="medium">
        <color rgb="FF000000"/>
      </left>
      <right/>
      <top/>
      <bottom/>
      <diagonal/>
    </border>
    <border>
      <left/>
      <right/>
      <top style="medium">
        <color rgb="FF000000"/>
      </top>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medium">
        <color rgb="FF000000"/>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style="medium">
        <color rgb="FF000000"/>
      </left>
      <right/>
      <top style="thin">
        <color indexed="64"/>
      </top>
      <bottom/>
      <diagonal/>
    </border>
    <border>
      <left/>
      <right style="thin">
        <color indexed="64"/>
      </right>
      <top/>
      <bottom/>
      <diagonal/>
    </border>
    <border>
      <left style="medium">
        <color rgb="FF000000"/>
      </left>
      <right/>
      <top/>
      <bottom style="thin">
        <color indexed="64"/>
      </bottom>
      <diagonal/>
    </border>
    <border>
      <left/>
      <right style="thin">
        <color indexed="64"/>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indexed="64"/>
      </right>
      <top/>
      <bottom style="thin">
        <color rgb="FF000000"/>
      </bottom>
      <diagonal/>
    </border>
    <border>
      <left style="medium">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style="thin">
        <color rgb="FF000000"/>
      </right>
      <top style="thin">
        <color indexed="64"/>
      </top>
      <bottom style="medium">
        <color rgb="FF000000"/>
      </bottom>
      <diagonal/>
    </border>
    <border>
      <left/>
      <right style="thin">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style="thin">
        <color rgb="FF000000"/>
      </top>
      <bottom style="thin">
        <color indexed="64"/>
      </bottom>
      <diagonal/>
    </border>
    <border>
      <left style="medium">
        <color rgb="FF000000"/>
      </left>
      <right style="thin">
        <color indexed="64"/>
      </right>
      <top style="thin">
        <color indexed="64"/>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rgb="FF000000"/>
      </right>
      <top/>
      <bottom/>
      <diagonal/>
    </border>
    <border>
      <left style="medium">
        <color indexed="64"/>
      </left>
      <right style="medium">
        <color indexed="64"/>
      </right>
      <top/>
      <bottom style="medium">
        <color rgb="FF000000"/>
      </bottom>
      <diagonal/>
    </border>
    <border>
      <left style="medium">
        <color indexed="64"/>
      </left>
      <right style="medium">
        <color rgb="FF000000"/>
      </right>
      <top/>
      <bottom style="medium">
        <color rgb="FF000000"/>
      </bottom>
      <diagonal/>
    </border>
  </borders>
  <cellStyleXfs count="9">
    <xf numFmtId="0" fontId="0" fillId="0" borderId="0"/>
    <xf numFmtId="164" fontId="39" fillId="0" borderId="0" applyFont="0" applyFill="0" applyBorder="0" applyAlignment="0" applyProtection="0"/>
    <xf numFmtId="9" fontId="39" fillId="0" borderId="0" applyFont="0" applyFill="0" applyBorder="0" applyAlignment="0" applyProtection="0"/>
    <xf numFmtId="0" fontId="44" fillId="0" borderId="0" applyNumberFormat="0" applyFill="0" applyBorder="0" applyAlignment="0" applyProtection="0"/>
    <xf numFmtId="0" fontId="55" fillId="0" borderId="33"/>
    <xf numFmtId="0" fontId="11" fillId="0" borderId="33"/>
    <xf numFmtId="0" fontId="8" fillId="0" borderId="33" applyNumberFormat="0" applyFill="0" applyBorder="0" applyAlignment="0" applyProtection="0"/>
    <xf numFmtId="9" fontId="11" fillId="0" borderId="33" applyFont="0" applyFill="0" applyBorder="0" applyAlignment="0" applyProtection="0"/>
    <xf numFmtId="0" fontId="2" fillId="0" borderId="33"/>
  </cellStyleXfs>
  <cellXfs count="1221">
    <xf numFmtId="0" fontId="0" fillId="0" borderId="0" xfId="0"/>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5" fillId="0" borderId="0" xfId="0" applyFont="1"/>
    <xf numFmtId="165" fontId="6" fillId="0" borderId="0" xfId="0" applyNumberFormat="1" applyFont="1" applyAlignment="1">
      <alignment horizontal="left" vertical="center"/>
    </xf>
    <xf numFmtId="0" fontId="6" fillId="4" borderId="4" xfId="0" applyFont="1" applyFill="1" applyBorder="1" applyAlignment="1">
      <alignment horizontal="center" vertical="center"/>
    </xf>
    <xf numFmtId="0" fontId="6" fillId="4" borderId="5" xfId="0" applyFont="1" applyFill="1" applyBorder="1" applyAlignment="1">
      <alignment horizontal="left" vertical="center"/>
    </xf>
    <xf numFmtId="0" fontId="6" fillId="0" borderId="0" xfId="0" applyFont="1"/>
    <xf numFmtId="166" fontId="11" fillId="0" borderId="0" xfId="0" applyNumberFormat="1" applyFont="1"/>
    <xf numFmtId="0" fontId="12" fillId="0" borderId="0" xfId="0" applyFont="1" applyAlignment="1">
      <alignment horizontal="center" vertical="center"/>
    </xf>
    <xf numFmtId="0" fontId="13" fillId="0" borderId="0" xfId="0" applyFont="1"/>
    <xf numFmtId="0" fontId="6" fillId="4" borderId="6" xfId="0" applyFont="1" applyFill="1" applyBorder="1" applyAlignment="1">
      <alignment horizontal="center" vertical="center"/>
    </xf>
    <xf numFmtId="0" fontId="6" fillId="4" borderId="7" xfId="0" applyFont="1" applyFill="1" applyBorder="1" applyAlignment="1">
      <alignment horizontal="left" vertical="center"/>
    </xf>
    <xf numFmtId="0" fontId="6" fillId="0" borderId="8" xfId="0" applyFont="1" applyBorder="1" applyAlignment="1">
      <alignment horizontal="center" vertical="center"/>
    </xf>
    <xf numFmtId="0" fontId="6" fillId="0" borderId="8" xfId="0" applyFont="1" applyBorder="1" applyAlignment="1">
      <alignment horizontal="left" vertical="center"/>
    </xf>
    <xf numFmtId="0" fontId="6" fillId="7" borderId="11" xfId="0" applyFont="1" applyFill="1" applyBorder="1" applyAlignment="1">
      <alignment horizontal="center" vertical="center"/>
    </xf>
    <xf numFmtId="0" fontId="16" fillId="5" borderId="15" xfId="0" applyFont="1" applyFill="1" applyBorder="1" applyAlignment="1">
      <alignment horizontal="left" vertical="center"/>
    </xf>
    <xf numFmtId="4" fontId="6" fillId="0" borderId="0" xfId="0" applyNumberFormat="1" applyFont="1" applyAlignment="1">
      <alignment horizontal="left" vertical="center"/>
    </xf>
    <xf numFmtId="0" fontId="11" fillId="0" borderId="0" xfId="0" applyFont="1"/>
    <xf numFmtId="0" fontId="18" fillId="9" borderId="23" xfId="0" applyFont="1" applyFill="1" applyBorder="1" applyAlignment="1">
      <alignment horizontal="center" vertical="center" wrapText="1"/>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11" fillId="0" borderId="0" xfId="0" applyFont="1" applyAlignment="1">
      <alignment horizontal="center"/>
    </xf>
    <xf numFmtId="0" fontId="12" fillId="0" borderId="0" xfId="0" applyFont="1" applyAlignment="1">
      <alignment horizontal="left" vertical="center"/>
    </xf>
    <xf numFmtId="168" fontId="6" fillId="0" borderId="0" xfId="0" applyNumberFormat="1" applyFont="1" applyAlignment="1">
      <alignment horizontal="left" vertical="center"/>
    </xf>
    <xf numFmtId="0" fontId="18" fillId="9" borderId="26" xfId="0" applyFont="1" applyFill="1" applyBorder="1" applyAlignment="1">
      <alignment horizontal="center" vertical="center" wrapText="1"/>
    </xf>
    <xf numFmtId="0" fontId="20" fillId="0" borderId="0" xfId="0" applyFont="1"/>
    <xf numFmtId="0" fontId="20" fillId="4" borderId="4" xfId="0" applyFont="1" applyFill="1" applyBorder="1"/>
    <xf numFmtId="0" fontId="20" fillId="4" borderId="5" xfId="0" applyFont="1" applyFill="1" applyBorder="1"/>
    <xf numFmtId="0" fontId="21" fillId="0" borderId="0" xfId="0" applyFont="1"/>
    <xf numFmtId="0" fontId="12" fillId="0" borderId="0" xfId="0" applyFont="1"/>
    <xf numFmtId="0" fontId="20" fillId="10" borderId="28" xfId="0" applyFont="1" applyFill="1" applyBorder="1"/>
    <xf numFmtId="0" fontId="20" fillId="10" borderId="29" xfId="0" applyFont="1" applyFill="1" applyBorder="1"/>
    <xf numFmtId="0" fontId="20" fillId="4" borderId="6" xfId="0" applyFont="1" applyFill="1" applyBorder="1"/>
    <xf numFmtId="0" fontId="20" fillId="4" borderId="7" xfId="0" applyFont="1" applyFill="1" applyBorder="1"/>
    <xf numFmtId="0" fontId="20" fillId="11" borderId="4" xfId="0" applyFont="1" applyFill="1" applyBorder="1"/>
    <xf numFmtId="0" fontId="20" fillId="11" borderId="5" xfId="0" applyFont="1" applyFill="1" applyBorder="1"/>
    <xf numFmtId="0" fontId="20" fillId="11" borderId="6" xfId="0" applyFont="1" applyFill="1" applyBorder="1"/>
    <xf numFmtId="0" fontId="20" fillId="11" borderId="7" xfId="0" applyFont="1" applyFill="1" applyBorder="1"/>
    <xf numFmtId="0" fontId="5" fillId="0" borderId="0" xfId="0" applyFont="1" applyAlignment="1">
      <alignment horizontal="center" vertical="center"/>
    </xf>
    <xf numFmtId="0" fontId="7" fillId="0" borderId="0" xfId="0" applyFont="1" applyAlignment="1">
      <alignment vertical="center"/>
    </xf>
    <xf numFmtId="0" fontId="6" fillId="0" borderId="0" xfId="0" applyFont="1" applyAlignment="1">
      <alignment horizontal="left" vertical="center"/>
    </xf>
    <xf numFmtId="0" fontId="6" fillId="14" borderId="4" xfId="0" applyFont="1" applyFill="1" applyBorder="1" applyAlignment="1">
      <alignment horizontal="center" vertical="center"/>
    </xf>
    <xf numFmtId="0" fontId="6" fillId="14" borderId="5" xfId="0" applyFont="1" applyFill="1" applyBorder="1" applyAlignment="1">
      <alignment horizontal="left" vertical="center"/>
    </xf>
    <xf numFmtId="0" fontId="24" fillId="0" borderId="0" xfId="0" applyFont="1" applyAlignment="1">
      <alignment horizontal="center" vertical="center"/>
    </xf>
    <xf numFmtId="0" fontId="23" fillId="0" borderId="0" xfId="0" applyFont="1" applyAlignment="1">
      <alignment horizontal="center" vertical="center"/>
    </xf>
    <xf numFmtId="0" fontId="24" fillId="0" borderId="0" xfId="0" applyFont="1"/>
    <xf numFmtId="0" fontId="6" fillId="14" borderId="6" xfId="0" applyFont="1" applyFill="1" applyBorder="1" applyAlignment="1">
      <alignment horizontal="center" vertical="center"/>
    </xf>
    <xf numFmtId="0" fontId="6" fillId="14" borderId="7" xfId="0" applyFont="1" applyFill="1" applyBorder="1" applyAlignment="1">
      <alignment horizontal="left" vertical="center"/>
    </xf>
    <xf numFmtId="0" fontId="24" fillId="0" borderId="0" xfId="0" applyFont="1" applyAlignment="1">
      <alignment horizontal="center" vertical="center" wrapText="1"/>
    </xf>
    <xf numFmtId="0" fontId="6" fillId="19" borderId="4" xfId="0" applyFont="1" applyFill="1" applyBorder="1" applyAlignment="1">
      <alignment horizontal="center" vertical="center"/>
    </xf>
    <xf numFmtId="0" fontId="6" fillId="19" borderId="5" xfId="0" applyFont="1" applyFill="1" applyBorder="1" applyAlignment="1">
      <alignment horizontal="left" vertical="center"/>
    </xf>
    <xf numFmtId="0" fontId="6" fillId="0" borderId="0" xfId="0" applyFont="1" applyAlignment="1">
      <alignment vertical="center"/>
    </xf>
    <xf numFmtId="9" fontId="26" fillId="0" borderId="0" xfId="0" applyNumberFormat="1" applyFont="1" applyAlignment="1">
      <alignment horizontal="center" vertical="center"/>
    </xf>
    <xf numFmtId="0" fontId="6" fillId="0" borderId="0" xfId="0" applyFont="1" applyAlignment="1">
      <alignment vertical="center" wrapText="1"/>
    </xf>
    <xf numFmtId="0" fontId="6" fillId="19" borderId="6" xfId="0" applyFont="1" applyFill="1" applyBorder="1" applyAlignment="1">
      <alignment horizontal="center" vertical="center"/>
    </xf>
    <xf numFmtId="0" fontId="6" fillId="19" borderId="7" xfId="0" applyFont="1" applyFill="1" applyBorder="1" applyAlignment="1">
      <alignment horizontal="left" vertical="center"/>
    </xf>
    <xf numFmtId="0" fontId="6" fillId="0" borderId="0" xfId="0" applyFont="1" applyAlignment="1">
      <alignment horizontal="center"/>
    </xf>
    <xf numFmtId="172" fontId="11" fillId="0" borderId="0" xfId="0" applyNumberFormat="1" applyFont="1"/>
    <xf numFmtId="0" fontId="6" fillId="21" borderId="4" xfId="0" applyFont="1" applyFill="1" applyBorder="1" applyAlignment="1">
      <alignment horizontal="center" vertical="center"/>
    </xf>
    <xf numFmtId="0" fontId="6" fillId="21" borderId="5" xfId="0" applyFont="1" applyFill="1" applyBorder="1" applyAlignment="1">
      <alignment horizontal="left" vertical="center"/>
    </xf>
    <xf numFmtId="0" fontId="6" fillId="21" borderId="6" xfId="0" applyFont="1" applyFill="1" applyBorder="1" applyAlignment="1">
      <alignment horizontal="center" vertical="center"/>
    </xf>
    <xf numFmtId="0" fontId="6" fillId="21" borderId="7" xfId="0" applyFont="1" applyFill="1" applyBorder="1" applyAlignment="1">
      <alignment horizontal="left" vertical="center"/>
    </xf>
    <xf numFmtId="0" fontId="6" fillId="23" borderId="4" xfId="0" applyFont="1" applyFill="1" applyBorder="1" applyAlignment="1">
      <alignment horizontal="center" vertical="center"/>
    </xf>
    <xf numFmtId="0" fontId="6" fillId="23" borderId="5" xfId="0" applyFont="1" applyFill="1" applyBorder="1" applyAlignment="1">
      <alignment horizontal="left" vertical="center"/>
    </xf>
    <xf numFmtId="0" fontId="6" fillId="0" borderId="30" xfId="0" applyFont="1" applyBorder="1" applyAlignment="1">
      <alignment horizontal="center" vertical="center"/>
    </xf>
    <xf numFmtId="0" fontId="6" fillId="23" borderId="6" xfId="0" applyFont="1" applyFill="1" applyBorder="1" applyAlignment="1">
      <alignment horizontal="center" vertical="center"/>
    </xf>
    <xf numFmtId="0" fontId="6" fillId="23" borderId="7" xfId="0" applyFont="1" applyFill="1" applyBorder="1" applyAlignment="1">
      <alignment horizontal="left" vertical="center"/>
    </xf>
    <xf numFmtId="0" fontId="6" fillId="0" borderId="32" xfId="0" applyFont="1" applyBorder="1" applyAlignment="1">
      <alignment horizontal="center" vertical="center"/>
    </xf>
    <xf numFmtId="0" fontId="6" fillId="0" borderId="0" xfId="0" applyFont="1" applyAlignment="1">
      <alignment horizontal="left" vertical="center" wrapText="1"/>
    </xf>
    <xf numFmtId="0" fontId="27" fillId="0" borderId="0" xfId="0" applyFont="1" applyAlignment="1">
      <alignment horizontal="center"/>
    </xf>
    <xf numFmtId="0" fontId="4" fillId="2" borderId="1" xfId="0" applyFont="1" applyFill="1" applyBorder="1" applyAlignment="1">
      <alignment horizontal="left" vertical="center"/>
    </xf>
    <xf numFmtId="0" fontId="28" fillId="2" borderId="2" xfId="0" applyFont="1" applyFill="1" applyBorder="1" applyAlignment="1">
      <alignment horizontal="center" vertical="center"/>
    </xf>
    <xf numFmtId="0" fontId="28" fillId="3" borderId="2" xfId="0" applyFont="1" applyFill="1" applyBorder="1" applyAlignment="1">
      <alignment horizontal="center" vertical="center"/>
    </xf>
    <xf numFmtId="0" fontId="28" fillId="2" borderId="2" xfId="0" applyFont="1" applyFill="1" applyBorder="1" applyAlignment="1">
      <alignment horizontal="left" vertical="center"/>
    </xf>
    <xf numFmtId="0" fontId="28" fillId="2" borderId="3" xfId="0" applyFont="1" applyFill="1" applyBorder="1" applyAlignment="1">
      <alignment horizontal="left" vertical="center"/>
    </xf>
    <xf numFmtId="0" fontId="27" fillId="0" borderId="0" xfId="0" applyFont="1"/>
    <xf numFmtId="0" fontId="29" fillId="0" borderId="0" xfId="0" applyFont="1" applyAlignment="1">
      <alignment horizontal="left" vertical="center"/>
    </xf>
    <xf numFmtId="0" fontId="29" fillId="0" borderId="0" xfId="0" applyFont="1" applyAlignment="1">
      <alignment horizontal="center" vertical="center"/>
    </xf>
    <xf numFmtId="0" fontId="6" fillId="14" borderId="4" xfId="0" applyFont="1" applyFill="1" applyBorder="1" applyAlignment="1">
      <alignment horizontal="left" vertical="center"/>
    </xf>
    <xf numFmtId="0" fontId="24" fillId="0" borderId="0" xfId="0" applyFont="1" applyAlignment="1">
      <alignment horizontal="center"/>
    </xf>
    <xf numFmtId="0" fontId="6" fillId="14" borderId="6" xfId="0" applyFont="1" applyFill="1" applyBorder="1" applyAlignment="1">
      <alignment horizontal="left" vertical="center"/>
    </xf>
    <xf numFmtId="0" fontId="6" fillId="19" borderId="4" xfId="0" applyFont="1" applyFill="1" applyBorder="1" applyAlignment="1">
      <alignment horizontal="left" vertical="center"/>
    </xf>
    <xf numFmtId="0" fontId="6" fillId="19" borderId="6" xfId="0" applyFont="1" applyFill="1" applyBorder="1" applyAlignment="1">
      <alignment horizontal="left" vertical="center"/>
    </xf>
    <xf numFmtId="0" fontId="6" fillId="11" borderId="4" xfId="0" applyFont="1" applyFill="1" applyBorder="1" applyAlignment="1">
      <alignment horizontal="left" vertical="center"/>
    </xf>
    <xf numFmtId="0" fontId="6" fillId="11" borderId="5" xfId="0" applyFont="1" applyFill="1" applyBorder="1" applyAlignment="1">
      <alignment horizontal="left" vertical="center"/>
    </xf>
    <xf numFmtId="0" fontId="6" fillId="11" borderId="6" xfId="0" applyFont="1" applyFill="1" applyBorder="1" applyAlignment="1">
      <alignment horizontal="left" vertical="center"/>
    </xf>
    <xf numFmtId="0" fontId="6" fillId="11" borderId="7" xfId="0" applyFont="1" applyFill="1" applyBorder="1" applyAlignment="1">
      <alignment horizontal="left" vertical="center"/>
    </xf>
    <xf numFmtId="0" fontId="11" fillId="0" borderId="0" xfId="0" applyFont="1" applyAlignment="1">
      <alignment vertical="center" textRotation="90" wrapText="1"/>
    </xf>
    <xf numFmtId="0" fontId="6" fillId="0" borderId="0" xfId="0" applyFont="1" applyAlignment="1">
      <alignment horizontal="center" wrapText="1"/>
    </xf>
    <xf numFmtId="0" fontId="30" fillId="2" borderId="1" xfId="0" applyFont="1" applyFill="1" applyBorder="1" applyAlignment="1">
      <alignment horizontal="center" vertical="center"/>
    </xf>
    <xf numFmtId="0" fontId="31" fillId="0" borderId="0" xfId="0" applyFont="1" applyAlignment="1">
      <alignment horizontal="center" vertical="center"/>
    </xf>
    <xf numFmtId="0" fontId="32" fillId="0" borderId="0" xfId="0" applyFont="1" applyAlignment="1">
      <alignment vertical="center"/>
    </xf>
    <xf numFmtId="0" fontId="31" fillId="14" borderId="4" xfId="0" applyFont="1" applyFill="1" applyBorder="1" applyAlignment="1">
      <alignment horizontal="center" vertical="center"/>
    </xf>
    <xf numFmtId="0" fontId="31" fillId="14" borderId="6" xfId="0" applyFont="1" applyFill="1" applyBorder="1" applyAlignment="1">
      <alignment horizontal="center" vertical="center"/>
    </xf>
    <xf numFmtId="0" fontId="31" fillId="19" borderId="4" xfId="0" applyFont="1" applyFill="1" applyBorder="1" applyAlignment="1">
      <alignment horizontal="center" vertical="center"/>
    </xf>
    <xf numFmtId="0" fontId="31" fillId="19" borderId="6" xfId="0" applyFont="1" applyFill="1" applyBorder="1" applyAlignment="1">
      <alignment horizontal="center" vertical="center"/>
    </xf>
    <xf numFmtId="0" fontId="33" fillId="0" borderId="0" xfId="0" applyFont="1" applyAlignment="1">
      <alignment horizontal="center"/>
    </xf>
    <xf numFmtId="0" fontId="31" fillId="21" borderId="4" xfId="0" applyFont="1" applyFill="1" applyBorder="1" applyAlignment="1">
      <alignment horizontal="center" vertical="center"/>
    </xf>
    <xf numFmtId="0" fontId="31" fillId="21" borderId="6" xfId="0" applyFont="1" applyFill="1" applyBorder="1" applyAlignment="1">
      <alignment horizontal="center" vertical="center"/>
    </xf>
    <xf numFmtId="0" fontId="33" fillId="0" borderId="0" xfId="0" applyFont="1"/>
    <xf numFmtId="0" fontId="31" fillId="14" borderId="4" xfId="0" applyFont="1" applyFill="1" applyBorder="1" applyAlignment="1">
      <alignment horizontal="left" vertical="center"/>
    </xf>
    <xf numFmtId="0" fontId="31" fillId="14" borderId="6" xfId="0" applyFont="1" applyFill="1" applyBorder="1" applyAlignment="1">
      <alignment horizontal="left" vertical="center"/>
    </xf>
    <xf numFmtId="0" fontId="29" fillId="2" borderId="1" xfId="0" applyFont="1" applyFill="1" applyBorder="1" applyAlignment="1">
      <alignment horizontal="left" vertical="center"/>
    </xf>
    <xf numFmtId="0" fontId="29" fillId="2" borderId="2" xfId="0" applyFont="1" applyFill="1" applyBorder="1" applyAlignment="1">
      <alignment horizontal="left" vertical="center"/>
    </xf>
    <xf numFmtId="0" fontId="6" fillId="2" borderId="2" xfId="0" applyFont="1" applyFill="1" applyBorder="1" applyAlignment="1">
      <alignment horizontal="left" vertical="center"/>
    </xf>
    <xf numFmtId="0" fontId="6" fillId="3" borderId="2" xfId="0" applyFont="1" applyFill="1" applyBorder="1" applyAlignment="1">
      <alignment horizontal="left" vertical="center"/>
    </xf>
    <xf numFmtId="0" fontId="6" fillId="2" borderId="3" xfId="0" applyFont="1" applyFill="1" applyBorder="1" applyAlignment="1">
      <alignment horizontal="left" vertical="center"/>
    </xf>
    <xf numFmtId="0" fontId="6" fillId="0" borderId="0" xfId="0" applyFont="1" applyAlignment="1">
      <alignment horizontal="left"/>
    </xf>
    <xf numFmtId="0" fontId="34" fillId="0" borderId="0" xfId="0" applyFont="1"/>
    <xf numFmtId="0" fontId="35" fillId="4" borderId="34" xfId="0" applyFont="1" applyFill="1" applyBorder="1"/>
    <xf numFmtId="0" fontId="20" fillId="4" borderId="34" xfId="0" applyFont="1" applyFill="1" applyBorder="1"/>
    <xf numFmtId="0" fontId="20" fillId="4" borderId="35" xfId="0" applyFont="1" applyFill="1" applyBorder="1"/>
    <xf numFmtId="0" fontId="12" fillId="26" borderId="36" xfId="0" applyFont="1" applyFill="1" applyBorder="1"/>
    <xf numFmtId="0" fontId="20" fillId="5" borderId="7" xfId="0" applyFont="1" applyFill="1" applyBorder="1"/>
    <xf numFmtId="0" fontId="6" fillId="0" borderId="0" xfId="0" applyFont="1" applyAlignment="1">
      <alignment horizontal="left" wrapText="1"/>
    </xf>
    <xf numFmtId="0" fontId="9" fillId="0" borderId="0" xfId="0" applyFont="1" applyAlignment="1">
      <alignment horizontal="left" vertical="center"/>
    </xf>
    <xf numFmtId="0" fontId="4" fillId="2" borderId="8" xfId="0" applyFont="1" applyFill="1" applyBorder="1" applyAlignment="1">
      <alignment horizontal="left" vertical="center"/>
    </xf>
    <xf numFmtId="0" fontId="4" fillId="3" borderId="8" xfId="0" applyFont="1" applyFill="1" applyBorder="1" applyAlignment="1">
      <alignment horizontal="left" vertical="center"/>
    </xf>
    <xf numFmtId="0" fontId="6" fillId="4" borderId="32" xfId="0" applyFont="1" applyFill="1" applyBorder="1" applyAlignment="1">
      <alignment horizontal="center" vertical="center"/>
    </xf>
    <xf numFmtId="0" fontId="6" fillId="4" borderId="32" xfId="0" applyFont="1" applyFill="1" applyBorder="1" applyAlignment="1">
      <alignment horizontal="left" vertical="center"/>
    </xf>
    <xf numFmtId="0" fontId="6" fillId="4" borderId="31" xfId="0" applyFont="1" applyFill="1" applyBorder="1" applyAlignment="1">
      <alignment horizontal="center" vertical="center"/>
    </xf>
    <xf numFmtId="0" fontId="8" fillId="4" borderId="33" xfId="0" applyFont="1" applyFill="1" applyBorder="1" applyAlignment="1">
      <alignment horizontal="center" vertical="center"/>
    </xf>
    <xf numFmtId="0" fontId="9" fillId="5" borderId="33" xfId="0" applyFont="1" applyFill="1" applyBorder="1" applyAlignment="1">
      <alignment horizontal="left" vertical="center"/>
    </xf>
    <xf numFmtId="0" fontId="6" fillId="5" borderId="33" xfId="0" applyFont="1" applyFill="1" applyBorder="1" applyAlignment="1">
      <alignment horizontal="left" vertical="center"/>
    </xf>
    <xf numFmtId="0" fontId="6" fillId="4" borderId="30" xfId="0" applyFont="1" applyFill="1" applyBorder="1" applyAlignment="1">
      <alignment horizontal="left" vertical="center"/>
    </xf>
    <xf numFmtId="0" fontId="6" fillId="4" borderId="33" xfId="0" applyFont="1" applyFill="1" applyBorder="1" applyAlignment="1">
      <alignment horizontal="center" vertical="center"/>
    </xf>
    <xf numFmtId="0" fontId="10" fillId="5" borderId="33" xfId="0" applyFont="1" applyFill="1" applyBorder="1" applyAlignment="1">
      <alignment horizontal="left" vertical="center"/>
    </xf>
    <xf numFmtId="3" fontId="6" fillId="5" borderId="33" xfId="0" applyNumberFormat="1" applyFont="1" applyFill="1" applyBorder="1" applyAlignment="1">
      <alignment horizontal="left" vertical="center"/>
    </xf>
    <xf numFmtId="1" fontId="6" fillId="6" borderId="33" xfId="0" applyNumberFormat="1" applyFont="1" applyFill="1" applyBorder="1" applyAlignment="1">
      <alignment horizontal="left" vertical="center"/>
    </xf>
    <xf numFmtId="1" fontId="6" fillId="5" borderId="33" xfId="0" applyNumberFormat="1" applyFont="1" applyFill="1" applyBorder="1" applyAlignment="1">
      <alignment horizontal="left"/>
    </xf>
    <xf numFmtId="165" fontId="6" fillId="5" borderId="33" xfId="0" applyNumberFormat="1" applyFont="1" applyFill="1" applyBorder="1" applyAlignment="1">
      <alignment horizontal="left" vertical="center"/>
    </xf>
    <xf numFmtId="165" fontId="6" fillId="6" borderId="33" xfId="0" applyNumberFormat="1" applyFont="1" applyFill="1" applyBorder="1" applyAlignment="1">
      <alignment horizontal="left" vertical="center"/>
    </xf>
    <xf numFmtId="0" fontId="12" fillId="4" borderId="31" xfId="0" applyFont="1" applyFill="1" applyBorder="1" applyAlignment="1">
      <alignment horizontal="center" vertical="center"/>
    </xf>
    <xf numFmtId="0" fontId="12" fillId="4" borderId="33" xfId="0" applyFont="1" applyFill="1" applyBorder="1" applyAlignment="1">
      <alignment horizontal="center" vertical="center"/>
    </xf>
    <xf numFmtId="0" fontId="12" fillId="5" borderId="33" xfId="0" applyFont="1" applyFill="1" applyBorder="1" applyAlignment="1">
      <alignment horizontal="left" vertical="center"/>
    </xf>
    <xf numFmtId="167" fontId="12" fillId="5" borderId="33" xfId="0" applyNumberFormat="1" applyFont="1" applyFill="1" applyBorder="1" applyAlignment="1">
      <alignment horizontal="left" vertical="center"/>
    </xf>
    <xf numFmtId="167" fontId="12" fillId="6" borderId="33" xfId="0" applyNumberFormat="1" applyFont="1" applyFill="1" applyBorder="1" applyAlignment="1">
      <alignment horizontal="left" vertical="center"/>
    </xf>
    <xf numFmtId="0" fontId="12" fillId="4" borderId="30" xfId="0" applyFont="1" applyFill="1" applyBorder="1" applyAlignment="1">
      <alignment horizontal="left" vertical="center"/>
    </xf>
    <xf numFmtId="0" fontId="6" fillId="4" borderId="8" xfId="0" applyFont="1" applyFill="1" applyBorder="1" applyAlignment="1">
      <alignment horizontal="center" vertical="center"/>
    </xf>
    <xf numFmtId="0" fontId="6" fillId="4" borderId="8" xfId="0" applyFont="1" applyFill="1" applyBorder="1" applyAlignment="1">
      <alignment horizontal="left" vertical="center"/>
    </xf>
    <xf numFmtId="167" fontId="6" fillId="5" borderId="33" xfId="0" applyNumberFormat="1" applyFont="1" applyFill="1" applyBorder="1" applyAlignment="1">
      <alignment horizontal="left" vertical="center"/>
    </xf>
    <xf numFmtId="167" fontId="6" fillId="6" borderId="33" xfId="0" applyNumberFormat="1" applyFont="1" applyFill="1" applyBorder="1" applyAlignment="1">
      <alignment horizontal="left" vertical="center"/>
    </xf>
    <xf numFmtId="0" fontId="9" fillId="0" borderId="33" xfId="0" applyFont="1" applyBorder="1" applyAlignment="1">
      <alignment horizontal="left" vertical="center"/>
    </xf>
    <xf numFmtId="166" fontId="6" fillId="5" borderId="33" xfId="0" applyNumberFormat="1" applyFont="1" applyFill="1" applyBorder="1" applyAlignment="1">
      <alignment horizontal="left" vertical="center"/>
    </xf>
    <xf numFmtId="0" fontId="12" fillId="0" borderId="10" xfId="0" applyFont="1" applyBorder="1" applyAlignment="1">
      <alignment horizontal="center" vertical="center"/>
    </xf>
    <xf numFmtId="3" fontId="12" fillId="5" borderId="33" xfId="0" applyNumberFormat="1" applyFont="1" applyFill="1" applyBorder="1" applyAlignment="1">
      <alignment horizontal="left" vertical="center"/>
    </xf>
    <xf numFmtId="0" fontId="12" fillId="0" borderId="31" xfId="0" applyFont="1" applyBorder="1" applyAlignment="1">
      <alignment horizontal="center" vertical="center"/>
    </xf>
    <xf numFmtId="0" fontId="15" fillId="7" borderId="24" xfId="0" applyFont="1" applyFill="1" applyBorder="1" applyAlignment="1">
      <alignment horizontal="center" vertical="center" wrapText="1"/>
    </xf>
    <xf numFmtId="168" fontId="6" fillId="5" borderId="33" xfId="0" applyNumberFormat="1" applyFont="1" applyFill="1" applyBorder="1" applyAlignment="1">
      <alignment horizontal="left" vertical="center" wrapText="1"/>
    </xf>
    <xf numFmtId="0" fontId="6" fillId="4" borderId="30" xfId="0" applyFont="1" applyFill="1" applyBorder="1" applyAlignment="1">
      <alignment horizontal="center" vertical="center"/>
    </xf>
    <xf numFmtId="0" fontId="20" fillId="4" borderId="32" xfId="0" applyFont="1" applyFill="1" applyBorder="1"/>
    <xf numFmtId="0" fontId="20" fillId="5" borderId="33" xfId="0" applyFont="1" applyFill="1" applyBorder="1"/>
    <xf numFmtId="0" fontId="20" fillId="5" borderId="33" xfId="0" applyFont="1" applyFill="1" applyBorder="1" applyAlignment="1">
      <alignment horizontal="right" vertical="center"/>
    </xf>
    <xf numFmtId="0" fontId="20" fillId="5" borderId="33" xfId="0" applyFont="1" applyFill="1" applyBorder="1" applyAlignment="1">
      <alignment horizontal="right"/>
    </xf>
    <xf numFmtId="0" fontId="20" fillId="4" borderId="30" xfId="0" applyFont="1" applyFill="1" applyBorder="1"/>
    <xf numFmtId="0" fontId="12" fillId="4" borderId="31" xfId="0" applyFont="1" applyFill="1" applyBorder="1"/>
    <xf numFmtId="0" fontId="12" fillId="4" borderId="33" xfId="0" applyFont="1" applyFill="1" applyBorder="1"/>
    <xf numFmtId="0" fontId="12" fillId="5" borderId="33" xfId="0" applyFont="1" applyFill="1" applyBorder="1"/>
    <xf numFmtId="0" fontId="12" fillId="4" borderId="30" xfId="0" applyFont="1" applyFill="1" applyBorder="1"/>
    <xf numFmtId="0" fontId="20" fillId="4" borderId="31" xfId="0" applyFont="1" applyFill="1" applyBorder="1"/>
    <xf numFmtId="0" fontId="20" fillId="4" borderId="33" xfId="0" applyFont="1" applyFill="1" applyBorder="1"/>
    <xf numFmtId="0" fontId="20" fillId="4" borderId="8" xfId="0" applyFont="1" applyFill="1" applyBorder="1"/>
    <xf numFmtId="0" fontId="20" fillId="11" borderId="32" xfId="0" applyFont="1" applyFill="1" applyBorder="1"/>
    <xf numFmtId="0" fontId="20" fillId="11" borderId="31" xfId="0" applyFont="1" applyFill="1" applyBorder="1"/>
    <xf numFmtId="0" fontId="20" fillId="11" borderId="33" xfId="0" applyFont="1" applyFill="1" applyBorder="1"/>
    <xf numFmtId="0" fontId="22" fillId="12" borderId="33" xfId="0" applyFont="1" applyFill="1" applyBorder="1"/>
    <xf numFmtId="0" fontId="20" fillId="12" borderId="33" xfId="0" applyFont="1" applyFill="1" applyBorder="1"/>
    <xf numFmtId="0" fontId="20" fillId="11" borderId="30" xfId="0" applyFont="1" applyFill="1" applyBorder="1"/>
    <xf numFmtId="0" fontId="20" fillId="13" borderId="33" xfId="0" applyFont="1" applyFill="1" applyBorder="1"/>
    <xf numFmtId="0" fontId="20" fillId="11" borderId="8" xfId="0" applyFont="1" applyFill="1" applyBorder="1"/>
    <xf numFmtId="0" fontId="6" fillId="14" borderId="32" xfId="0" applyFont="1" applyFill="1" applyBorder="1" applyAlignment="1">
      <alignment horizontal="left" vertical="center"/>
    </xf>
    <xf numFmtId="0" fontId="6" fillId="14" borderId="32" xfId="0" applyFont="1" applyFill="1" applyBorder="1" applyAlignment="1">
      <alignment horizontal="center" vertical="center"/>
    </xf>
    <xf numFmtId="0" fontId="8" fillId="14" borderId="31" xfId="0" applyFont="1" applyFill="1" applyBorder="1" applyAlignment="1">
      <alignment horizontal="center" vertical="center"/>
    </xf>
    <xf numFmtId="0" fontId="9" fillId="15" borderId="33" xfId="0" applyFont="1" applyFill="1" applyBorder="1" applyAlignment="1">
      <alignment horizontal="left" vertical="center"/>
    </xf>
    <xf numFmtId="0" fontId="23" fillId="15" borderId="33" xfId="0" applyFont="1" applyFill="1" applyBorder="1" applyAlignment="1">
      <alignment horizontal="left" vertical="center"/>
    </xf>
    <xf numFmtId="0" fontId="23" fillId="15" borderId="33" xfId="0" applyFont="1" applyFill="1" applyBorder="1" applyAlignment="1">
      <alignment horizontal="center" vertical="center"/>
    </xf>
    <xf numFmtId="0" fontId="6" fillId="15" borderId="33" xfId="0" applyFont="1" applyFill="1" applyBorder="1" applyAlignment="1">
      <alignment horizontal="center" vertical="center"/>
    </xf>
    <xf numFmtId="0" fontId="6" fillId="14" borderId="30" xfId="0" applyFont="1" applyFill="1" applyBorder="1" applyAlignment="1">
      <alignment horizontal="left" vertical="center"/>
    </xf>
    <xf numFmtId="0" fontId="6" fillId="14" borderId="31" xfId="0" applyFont="1" applyFill="1" applyBorder="1" applyAlignment="1">
      <alignment horizontal="center" vertical="center"/>
    </xf>
    <xf numFmtId="0" fontId="10" fillId="15" borderId="33" xfId="0" applyFont="1" applyFill="1" applyBorder="1" applyAlignment="1">
      <alignment horizontal="left" vertical="center"/>
    </xf>
    <xf numFmtId="0" fontId="6" fillId="15" borderId="33" xfId="0" applyFont="1" applyFill="1" applyBorder="1" applyAlignment="1">
      <alignment horizontal="left" vertical="center"/>
    </xf>
    <xf numFmtId="3" fontId="6" fillId="15" borderId="33" xfId="0" applyNumberFormat="1" applyFont="1" applyFill="1" applyBorder="1" applyAlignment="1">
      <alignment horizontal="left" vertical="center"/>
    </xf>
    <xf numFmtId="3" fontId="6" fillId="15" borderId="33" xfId="0" applyNumberFormat="1" applyFont="1" applyFill="1" applyBorder="1" applyAlignment="1">
      <alignment horizontal="center" vertical="center"/>
    </xf>
    <xf numFmtId="3" fontId="6" fillId="16" borderId="33" xfId="0" applyNumberFormat="1" applyFont="1" applyFill="1" applyBorder="1" applyAlignment="1">
      <alignment horizontal="left" vertical="center"/>
    </xf>
    <xf numFmtId="3" fontId="6" fillId="17" borderId="33" xfId="0" applyNumberFormat="1" applyFont="1" applyFill="1" applyBorder="1" applyAlignment="1">
      <alignment horizontal="left" vertical="center"/>
    </xf>
    <xf numFmtId="169" fontId="6" fillId="15" borderId="33" xfId="0" applyNumberFormat="1" applyFont="1" applyFill="1" applyBorder="1" applyAlignment="1">
      <alignment horizontal="left" vertical="center"/>
    </xf>
    <xf numFmtId="169" fontId="6" fillId="15" borderId="33" xfId="0" applyNumberFormat="1" applyFont="1" applyFill="1" applyBorder="1" applyAlignment="1">
      <alignment horizontal="center" vertical="center"/>
    </xf>
    <xf numFmtId="0" fontId="6" fillId="18" borderId="33" xfId="0" applyFont="1" applyFill="1" applyBorder="1" applyAlignment="1">
      <alignment horizontal="center" vertical="center"/>
    </xf>
    <xf numFmtId="169" fontId="6" fillId="16" borderId="33" xfId="0" applyNumberFormat="1" applyFont="1" applyFill="1" applyBorder="1" applyAlignment="1">
      <alignment horizontal="left" vertical="center"/>
    </xf>
    <xf numFmtId="0" fontId="23" fillId="14" borderId="31" xfId="0" applyFont="1" applyFill="1" applyBorder="1" applyAlignment="1">
      <alignment horizontal="center" vertical="center"/>
    </xf>
    <xf numFmtId="169" fontId="23" fillId="15" borderId="33" xfId="0" applyNumberFormat="1" applyFont="1" applyFill="1" applyBorder="1" applyAlignment="1">
      <alignment horizontal="left" vertical="center"/>
    </xf>
    <xf numFmtId="169" fontId="23" fillId="15" borderId="33" xfId="0" applyNumberFormat="1" applyFont="1" applyFill="1" applyBorder="1" applyAlignment="1">
      <alignment horizontal="center" vertical="center"/>
    </xf>
    <xf numFmtId="0" fontId="23" fillId="14" borderId="30" xfId="0" applyFont="1" applyFill="1" applyBorder="1" applyAlignment="1">
      <alignment horizontal="left" vertical="center"/>
    </xf>
    <xf numFmtId="0" fontId="6" fillId="14" borderId="33" xfId="0" applyFont="1" applyFill="1" applyBorder="1" applyAlignment="1">
      <alignment horizontal="left" vertical="center"/>
    </xf>
    <xf numFmtId="0" fontId="6" fillId="14" borderId="33" xfId="0" applyFont="1" applyFill="1" applyBorder="1" applyAlignment="1">
      <alignment horizontal="center" vertical="center"/>
    </xf>
    <xf numFmtId="0" fontId="6" fillId="14" borderId="8" xfId="0" applyFont="1" applyFill="1" applyBorder="1" applyAlignment="1">
      <alignment horizontal="left" vertical="center"/>
    </xf>
    <xf numFmtId="0" fontId="6" fillId="14" borderId="8" xfId="0" applyFont="1" applyFill="1" applyBorder="1" applyAlignment="1">
      <alignment horizontal="center" vertical="center"/>
    </xf>
    <xf numFmtId="170" fontId="6" fillId="15" borderId="33" xfId="0" applyNumberFormat="1" applyFont="1" applyFill="1" applyBorder="1" applyAlignment="1">
      <alignment horizontal="center" vertical="center"/>
    </xf>
    <xf numFmtId="3" fontId="11" fillId="15" borderId="33" xfId="0" applyNumberFormat="1" applyFont="1" applyFill="1" applyBorder="1" applyAlignment="1">
      <alignment horizontal="left"/>
    </xf>
    <xf numFmtId="3" fontId="11" fillId="15" borderId="33" xfId="0" applyNumberFormat="1" applyFont="1" applyFill="1" applyBorder="1" applyAlignment="1">
      <alignment horizontal="center"/>
    </xf>
    <xf numFmtId="3" fontId="6" fillId="16" borderId="33" xfId="0" applyNumberFormat="1" applyFont="1" applyFill="1" applyBorder="1" applyAlignment="1">
      <alignment horizontal="center" vertical="center"/>
    </xf>
    <xf numFmtId="1" fontId="6" fillId="15" borderId="33" xfId="0" applyNumberFormat="1" applyFont="1" applyFill="1" applyBorder="1" applyAlignment="1">
      <alignment horizontal="left" vertical="center"/>
    </xf>
    <xf numFmtId="1" fontId="6" fillId="15" borderId="33" xfId="0" applyNumberFormat="1" applyFont="1" applyFill="1" applyBorder="1" applyAlignment="1">
      <alignment horizontal="center" vertical="center"/>
    </xf>
    <xf numFmtId="169" fontId="6" fillId="16" borderId="33" xfId="0" applyNumberFormat="1" applyFont="1" applyFill="1" applyBorder="1" applyAlignment="1">
      <alignment horizontal="center" vertical="center"/>
    </xf>
    <xf numFmtId="170" fontId="6" fillId="18" borderId="33" xfId="0" applyNumberFormat="1" applyFont="1" applyFill="1" applyBorder="1" applyAlignment="1">
      <alignment horizontal="center" vertical="center"/>
    </xf>
    <xf numFmtId="171" fontId="6" fillId="15" borderId="33" xfId="0" applyNumberFormat="1" applyFont="1" applyFill="1" applyBorder="1" applyAlignment="1">
      <alignment horizontal="left" vertical="center"/>
    </xf>
    <xf numFmtId="171" fontId="6" fillId="15" borderId="33" xfId="0" applyNumberFormat="1" applyFont="1" applyFill="1" applyBorder="1" applyAlignment="1">
      <alignment horizontal="center" vertical="center"/>
    </xf>
    <xf numFmtId="171" fontId="6" fillId="16" borderId="33" xfId="0" applyNumberFormat="1" applyFont="1" applyFill="1" applyBorder="1" applyAlignment="1">
      <alignment horizontal="left" vertical="center"/>
    </xf>
    <xf numFmtId="171" fontId="6" fillId="17" borderId="33" xfId="0" applyNumberFormat="1" applyFont="1" applyFill="1" applyBorder="1" applyAlignment="1">
      <alignment horizontal="left" vertical="center"/>
    </xf>
    <xf numFmtId="0" fontId="6" fillId="16" borderId="33" xfId="0" applyFont="1" applyFill="1" applyBorder="1" applyAlignment="1">
      <alignment horizontal="left" vertical="center"/>
    </xf>
    <xf numFmtId="0" fontId="6" fillId="17" borderId="33" xfId="0" applyFont="1" applyFill="1" applyBorder="1" applyAlignment="1">
      <alignment horizontal="left" vertical="center"/>
    </xf>
    <xf numFmtId="0" fontId="23" fillId="8" borderId="33" xfId="0" applyFont="1" applyFill="1" applyBorder="1" applyAlignment="1">
      <alignment horizontal="left" vertical="center"/>
    </xf>
    <xf numFmtId="0" fontId="23" fillId="8" borderId="33" xfId="0" applyFont="1" applyFill="1" applyBorder="1" applyAlignment="1">
      <alignment horizontal="center" vertical="center"/>
    </xf>
    <xf numFmtId="0" fontId="6" fillId="8" borderId="33" xfId="0" applyFont="1" applyFill="1" applyBorder="1" applyAlignment="1">
      <alignment horizontal="left" vertical="center"/>
    </xf>
    <xf numFmtId="3" fontId="6" fillId="8" borderId="33" xfId="0" applyNumberFormat="1" applyFont="1" applyFill="1" applyBorder="1" applyAlignment="1">
      <alignment horizontal="left" vertical="center"/>
    </xf>
    <xf numFmtId="3" fontId="6" fillId="8" borderId="33" xfId="0" applyNumberFormat="1" applyFont="1" applyFill="1" applyBorder="1" applyAlignment="1">
      <alignment horizontal="center" vertical="center"/>
    </xf>
    <xf numFmtId="0" fontId="25" fillId="8" borderId="33" xfId="0" applyFont="1" applyFill="1" applyBorder="1" applyAlignment="1">
      <alignment horizontal="left" vertical="center"/>
    </xf>
    <xf numFmtId="171" fontId="6" fillId="8" borderId="33" xfId="0" applyNumberFormat="1" applyFont="1" applyFill="1" applyBorder="1" applyAlignment="1">
      <alignment horizontal="left" vertical="center"/>
    </xf>
    <xf numFmtId="171" fontId="6" fillId="8" borderId="33" xfId="0" applyNumberFormat="1" applyFont="1" applyFill="1" applyBorder="1" applyAlignment="1">
      <alignment horizontal="center" vertical="center"/>
    </xf>
    <xf numFmtId="0" fontId="6" fillId="19" borderId="32" xfId="0" applyFont="1" applyFill="1" applyBorder="1" applyAlignment="1">
      <alignment horizontal="left" vertical="center"/>
    </xf>
    <xf numFmtId="0" fontId="6" fillId="19" borderId="32" xfId="0" applyFont="1" applyFill="1" applyBorder="1" applyAlignment="1">
      <alignment horizontal="center" vertical="center"/>
    </xf>
    <xf numFmtId="0" fontId="8" fillId="19" borderId="31" xfId="0" applyFont="1" applyFill="1" applyBorder="1" applyAlignment="1">
      <alignment horizontal="center" vertical="center"/>
    </xf>
    <xf numFmtId="0" fontId="9" fillId="20" borderId="33" xfId="0" applyFont="1" applyFill="1" applyBorder="1" applyAlignment="1">
      <alignment horizontal="left" vertical="center"/>
    </xf>
    <xf numFmtId="0" fontId="23" fillId="20" borderId="33" xfId="0" applyFont="1" applyFill="1" applyBorder="1" applyAlignment="1">
      <alignment horizontal="left" vertical="center"/>
    </xf>
    <xf numFmtId="0" fontId="23" fillId="20" borderId="33" xfId="0" applyFont="1" applyFill="1" applyBorder="1" applyAlignment="1">
      <alignment horizontal="center" vertical="center"/>
    </xf>
    <xf numFmtId="0" fontId="6" fillId="20" borderId="33" xfId="0" applyFont="1" applyFill="1" applyBorder="1" applyAlignment="1">
      <alignment horizontal="center" vertical="center"/>
    </xf>
    <xf numFmtId="0" fontId="6" fillId="19" borderId="30" xfId="0" applyFont="1" applyFill="1" applyBorder="1" applyAlignment="1">
      <alignment horizontal="left" vertical="center"/>
    </xf>
    <xf numFmtId="0" fontId="6" fillId="19" borderId="31" xfId="0" applyFont="1" applyFill="1" applyBorder="1" applyAlignment="1">
      <alignment horizontal="center" vertical="center"/>
    </xf>
    <xf numFmtId="0" fontId="10" fillId="20" borderId="33" xfId="0" applyFont="1" applyFill="1" applyBorder="1" applyAlignment="1">
      <alignment horizontal="left" vertical="center"/>
    </xf>
    <xf numFmtId="0" fontId="6" fillId="20" borderId="33" xfId="0" applyFont="1" applyFill="1" applyBorder="1" applyAlignment="1">
      <alignment horizontal="left" vertical="center"/>
    </xf>
    <xf numFmtId="1" fontId="6" fillId="18" borderId="33" xfId="0" applyNumberFormat="1" applyFont="1" applyFill="1" applyBorder="1" applyAlignment="1">
      <alignment horizontal="center" vertical="center"/>
    </xf>
    <xf numFmtId="1" fontId="6" fillId="20" borderId="33" xfId="0" applyNumberFormat="1" applyFont="1" applyFill="1" applyBorder="1" applyAlignment="1">
      <alignment horizontal="left" vertical="center"/>
    </xf>
    <xf numFmtId="1" fontId="6" fillId="20" borderId="33" xfId="0" applyNumberFormat="1" applyFont="1" applyFill="1" applyBorder="1" applyAlignment="1">
      <alignment horizontal="center" vertical="center"/>
    </xf>
    <xf numFmtId="0" fontId="6" fillId="19" borderId="33" xfId="0" applyFont="1" applyFill="1" applyBorder="1" applyAlignment="1">
      <alignment horizontal="left" vertical="center"/>
    </xf>
    <xf numFmtId="10" fontId="6" fillId="20" borderId="33" xfId="0" applyNumberFormat="1" applyFont="1" applyFill="1" applyBorder="1" applyAlignment="1">
      <alignment horizontal="center" vertical="center"/>
    </xf>
    <xf numFmtId="9" fontId="12" fillId="20" borderId="33" xfId="0" applyNumberFormat="1" applyFont="1" applyFill="1" applyBorder="1" applyAlignment="1">
      <alignment horizontal="center" vertical="center"/>
    </xf>
    <xf numFmtId="167" fontId="6" fillId="19" borderId="33" xfId="0" applyNumberFormat="1" applyFont="1" applyFill="1" applyBorder="1" applyAlignment="1">
      <alignment horizontal="left" vertical="center"/>
    </xf>
    <xf numFmtId="167" fontId="6" fillId="19" borderId="33" xfId="0" applyNumberFormat="1" applyFont="1" applyFill="1" applyBorder="1" applyAlignment="1">
      <alignment horizontal="center" vertical="center"/>
    </xf>
    <xf numFmtId="171" fontId="6" fillId="20" borderId="33" xfId="0" applyNumberFormat="1" applyFont="1" applyFill="1" applyBorder="1" applyAlignment="1">
      <alignment horizontal="left" vertical="center"/>
    </xf>
    <xf numFmtId="171" fontId="6" fillId="20" borderId="33" xfId="0" applyNumberFormat="1" applyFont="1" applyFill="1" applyBorder="1" applyAlignment="1">
      <alignment horizontal="center" vertical="center"/>
    </xf>
    <xf numFmtId="167" fontId="6" fillId="18" borderId="33" xfId="0" applyNumberFormat="1" applyFont="1" applyFill="1" applyBorder="1" applyAlignment="1">
      <alignment horizontal="center" vertical="center"/>
    </xf>
    <xf numFmtId="167" fontId="6" fillId="20" borderId="33" xfId="0" applyNumberFormat="1" applyFont="1" applyFill="1" applyBorder="1" applyAlignment="1">
      <alignment horizontal="left" vertical="center"/>
    </xf>
    <xf numFmtId="0" fontId="6" fillId="19" borderId="8" xfId="0" applyFont="1" applyFill="1" applyBorder="1"/>
    <xf numFmtId="0" fontId="6" fillId="19" borderId="8" xfId="0" applyFont="1" applyFill="1" applyBorder="1" applyAlignment="1">
      <alignment horizontal="center"/>
    </xf>
    <xf numFmtId="0" fontId="6" fillId="19" borderId="8" xfId="0" applyFont="1" applyFill="1" applyBorder="1" applyAlignment="1">
      <alignment horizontal="center" vertical="center"/>
    </xf>
    <xf numFmtId="0" fontId="6" fillId="19" borderId="33" xfId="0" applyFont="1" applyFill="1" applyBorder="1"/>
    <xf numFmtId="0" fontId="6" fillId="19" borderId="33" xfId="0" applyFont="1" applyFill="1" applyBorder="1" applyAlignment="1">
      <alignment horizontal="center"/>
    </xf>
    <xf numFmtId="0" fontId="6" fillId="19" borderId="33" xfId="0" applyFont="1" applyFill="1" applyBorder="1" applyAlignment="1">
      <alignment horizontal="center" vertical="center"/>
    </xf>
    <xf numFmtId="167" fontId="6" fillId="20" borderId="33" xfId="0" applyNumberFormat="1" applyFont="1" applyFill="1" applyBorder="1" applyAlignment="1">
      <alignment horizontal="left"/>
    </xf>
    <xf numFmtId="0" fontId="6" fillId="21" borderId="32" xfId="0" applyFont="1" applyFill="1" applyBorder="1" applyAlignment="1">
      <alignment horizontal="left" vertical="center"/>
    </xf>
    <xf numFmtId="0" fontId="6" fillId="21" borderId="32" xfId="0" applyFont="1" applyFill="1" applyBorder="1" applyAlignment="1">
      <alignment horizontal="center" vertical="center"/>
    </xf>
    <xf numFmtId="0" fontId="8" fillId="21" borderId="31" xfId="0" applyFont="1" applyFill="1" applyBorder="1" applyAlignment="1">
      <alignment horizontal="center" vertical="center"/>
    </xf>
    <xf numFmtId="0" fontId="9" fillId="22" borderId="33" xfId="0" applyFont="1" applyFill="1" applyBorder="1" applyAlignment="1">
      <alignment horizontal="left" vertical="center"/>
    </xf>
    <xf numFmtId="0" fontId="23" fillId="22" borderId="33" xfId="0" applyFont="1" applyFill="1" applyBorder="1" applyAlignment="1">
      <alignment horizontal="left" vertical="center"/>
    </xf>
    <xf numFmtId="0" fontId="23" fillId="22" borderId="33" xfId="0" applyFont="1" applyFill="1" applyBorder="1" applyAlignment="1">
      <alignment horizontal="center" vertical="center"/>
    </xf>
    <xf numFmtId="0" fontId="6" fillId="22" borderId="33" xfId="0" applyFont="1" applyFill="1" applyBorder="1" applyAlignment="1">
      <alignment horizontal="center" vertical="center"/>
    </xf>
    <xf numFmtId="0" fontId="6" fillId="21" borderId="30" xfId="0" applyFont="1" applyFill="1" applyBorder="1" applyAlignment="1">
      <alignment horizontal="left" vertical="center"/>
    </xf>
    <xf numFmtId="0" fontId="6" fillId="21" borderId="31" xfId="0" applyFont="1" applyFill="1" applyBorder="1" applyAlignment="1">
      <alignment horizontal="center" vertical="center"/>
    </xf>
    <xf numFmtId="0" fontId="10" fillId="22" borderId="33" xfId="0" applyFont="1" applyFill="1" applyBorder="1" applyAlignment="1">
      <alignment horizontal="left" vertical="center"/>
    </xf>
    <xf numFmtId="0" fontId="6" fillId="22" borderId="33" xfId="0" applyFont="1" applyFill="1" applyBorder="1" applyAlignment="1">
      <alignment horizontal="left" vertical="center"/>
    </xf>
    <xf numFmtId="1" fontId="6" fillId="22" borderId="33" xfId="0" applyNumberFormat="1" applyFont="1" applyFill="1" applyBorder="1" applyAlignment="1">
      <alignment horizontal="left" vertical="center"/>
    </xf>
    <xf numFmtId="3" fontId="6" fillId="22" borderId="33" xfId="0" applyNumberFormat="1" applyFont="1" applyFill="1" applyBorder="1" applyAlignment="1">
      <alignment horizontal="left" vertical="center"/>
    </xf>
    <xf numFmtId="0" fontId="6" fillId="21" borderId="33" xfId="0" applyFont="1" applyFill="1" applyBorder="1" applyAlignment="1">
      <alignment horizontal="left" vertical="center"/>
    </xf>
    <xf numFmtId="0" fontId="6" fillId="21" borderId="33" xfId="0" applyFont="1" applyFill="1" applyBorder="1" applyAlignment="1">
      <alignment horizontal="center" vertical="center"/>
    </xf>
    <xf numFmtId="1" fontId="6" fillId="22" borderId="33" xfId="0" applyNumberFormat="1" applyFont="1" applyFill="1" applyBorder="1" applyAlignment="1">
      <alignment horizontal="center" vertical="center"/>
    </xf>
    <xf numFmtId="0" fontId="6" fillId="21" borderId="8" xfId="0" applyFont="1" applyFill="1" applyBorder="1" applyAlignment="1">
      <alignment horizontal="left" vertical="center"/>
    </xf>
    <xf numFmtId="0" fontId="6" fillId="21" borderId="8" xfId="0" applyFont="1" applyFill="1" applyBorder="1" applyAlignment="1">
      <alignment horizontal="center" vertical="center"/>
    </xf>
    <xf numFmtId="0" fontId="6" fillId="23" borderId="32" xfId="0" applyFont="1" applyFill="1" applyBorder="1" applyAlignment="1">
      <alignment horizontal="left" vertical="center"/>
    </xf>
    <xf numFmtId="0" fontId="6" fillId="23" borderId="32" xfId="0" applyFont="1" applyFill="1" applyBorder="1" applyAlignment="1">
      <alignment horizontal="center" vertical="center"/>
    </xf>
    <xf numFmtId="0" fontId="23" fillId="23" borderId="31" xfId="0" applyFont="1" applyFill="1" applyBorder="1" applyAlignment="1">
      <alignment horizontal="center" vertical="center"/>
    </xf>
    <xf numFmtId="0" fontId="23" fillId="5" borderId="33" xfId="0" applyFont="1" applyFill="1" applyBorder="1" applyAlignment="1">
      <alignment horizontal="left" vertical="center"/>
    </xf>
    <xf numFmtId="0" fontId="6" fillId="23" borderId="30" xfId="0" applyFont="1" applyFill="1" applyBorder="1" applyAlignment="1">
      <alignment horizontal="left" vertical="center"/>
    </xf>
    <xf numFmtId="0" fontId="24" fillId="23" borderId="31" xfId="0" applyFont="1" applyFill="1" applyBorder="1" applyAlignment="1">
      <alignment horizontal="center" vertical="center"/>
    </xf>
    <xf numFmtId="0" fontId="23" fillId="23" borderId="33" xfId="0" applyFont="1" applyFill="1" applyBorder="1" applyAlignment="1">
      <alignment horizontal="center" vertical="center"/>
    </xf>
    <xf numFmtId="0" fontId="6" fillId="23" borderId="33" xfId="0" applyFont="1" applyFill="1" applyBorder="1" applyAlignment="1">
      <alignment horizontal="left" vertical="center"/>
    </xf>
    <xf numFmtId="0" fontId="6" fillId="23" borderId="33" xfId="0" applyFont="1" applyFill="1" applyBorder="1" applyAlignment="1">
      <alignment horizontal="center" vertical="center"/>
    </xf>
    <xf numFmtId="171" fontId="6" fillId="5" borderId="33" xfId="0" applyNumberFormat="1" applyFont="1" applyFill="1" applyBorder="1" applyAlignment="1">
      <alignment horizontal="left" vertical="center"/>
    </xf>
    <xf numFmtId="171" fontId="6" fillId="5" borderId="33" xfId="0" applyNumberFormat="1" applyFont="1" applyFill="1" applyBorder="1" applyAlignment="1">
      <alignment horizontal="center" vertical="center"/>
    </xf>
    <xf numFmtId="3" fontId="6" fillId="5" borderId="33" xfId="0" applyNumberFormat="1" applyFont="1" applyFill="1" applyBorder="1" applyAlignment="1">
      <alignment horizontal="center" vertical="center"/>
    </xf>
    <xf numFmtId="167" fontId="6" fillId="5" borderId="33" xfId="0" applyNumberFormat="1" applyFont="1" applyFill="1" applyBorder="1" applyAlignment="1">
      <alignment horizontal="center" vertical="center"/>
    </xf>
    <xf numFmtId="169" fontId="6" fillId="5" borderId="33" xfId="0" applyNumberFormat="1" applyFont="1" applyFill="1" applyBorder="1" applyAlignment="1">
      <alignment horizontal="left" vertical="center"/>
    </xf>
    <xf numFmtId="169" fontId="6" fillId="5" borderId="33" xfId="0" applyNumberFormat="1" applyFont="1" applyFill="1" applyBorder="1" applyAlignment="1">
      <alignment horizontal="center" vertical="center"/>
    </xf>
    <xf numFmtId="170" fontId="6" fillId="5" borderId="33" xfId="0" applyNumberFormat="1" applyFont="1" applyFill="1" applyBorder="1" applyAlignment="1">
      <alignment horizontal="center" vertical="center"/>
    </xf>
    <xf numFmtId="0" fontId="6" fillId="23" borderId="8" xfId="0" applyFont="1" applyFill="1" applyBorder="1" applyAlignment="1">
      <alignment horizontal="left" vertical="center"/>
    </xf>
    <xf numFmtId="0" fontId="6" fillId="23" borderId="8" xfId="0" applyFont="1" applyFill="1" applyBorder="1" applyAlignment="1">
      <alignment horizontal="center" vertical="center"/>
    </xf>
    <xf numFmtId="173" fontId="6" fillId="15" borderId="33" xfId="0" applyNumberFormat="1" applyFont="1" applyFill="1" applyBorder="1" applyAlignment="1">
      <alignment horizontal="center" vertical="center"/>
    </xf>
    <xf numFmtId="170" fontId="6" fillId="15" borderId="33" xfId="0" applyNumberFormat="1" applyFont="1" applyFill="1" applyBorder="1" applyAlignment="1">
      <alignment horizontal="left" vertical="center"/>
    </xf>
    <xf numFmtId="167" fontId="23" fillId="15" borderId="33" xfId="0" applyNumberFormat="1" applyFont="1" applyFill="1" applyBorder="1" applyAlignment="1">
      <alignment horizontal="center" vertical="center"/>
    </xf>
    <xf numFmtId="0" fontId="6" fillId="14" borderId="31" xfId="0" applyFont="1" applyFill="1" applyBorder="1" applyAlignment="1">
      <alignment horizontal="left" vertical="center"/>
    </xf>
    <xf numFmtId="174" fontId="23" fillId="15" borderId="33" xfId="0" applyNumberFormat="1" applyFont="1" applyFill="1" applyBorder="1" applyAlignment="1">
      <alignment horizontal="center" vertical="center"/>
    </xf>
    <xf numFmtId="175" fontId="6" fillId="25" borderId="33" xfId="0" applyNumberFormat="1" applyFont="1" applyFill="1" applyBorder="1" applyAlignment="1">
      <alignment horizontal="center" vertical="center"/>
    </xf>
    <xf numFmtId="4" fontId="6" fillId="15" borderId="33" xfId="0" applyNumberFormat="1" applyFont="1" applyFill="1" applyBorder="1" applyAlignment="1">
      <alignment horizontal="center" vertical="center"/>
    </xf>
    <xf numFmtId="4" fontId="23" fillId="15" borderId="33" xfId="0" applyNumberFormat="1" applyFont="1" applyFill="1" applyBorder="1" applyAlignment="1">
      <alignment horizontal="center" vertical="center"/>
    </xf>
    <xf numFmtId="4" fontId="6" fillId="25" borderId="33" xfId="0" applyNumberFormat="1" applyFont="1" applyFill="1" applyBorder="1" applyAlignment="1">
      <alignment horizontal="center" vertical="center"/>
    </xf>
    <xf numFmtId="170" fontId="6" fillId="25" borderId="33" xfId="0" applyNumberFormat="1" applyFont="1" applyFill="1" applyBorder="1" applyAlignment="1">
      <alignment horizontal="center" vertical="center"/>
    </xf>
    <xf numFmtId="170" fontId="6" fillId="18" borderId="33" xfId="0" applyNumberFormat="1" applyFont="1" applyFill="1" applyBorder="1" applyAlignment="1">
      <alignment horizontal="left" vertical="center"/>
    </xf>
    <xf numFmtId="165" fontId="6" fillId="15" borderId="33" xfId="0" applyNumberFormat="1" applyFont="1" applyFill="1" applyBorder="1" applyAlignment="1">
      <alignment horizontal="center" vertical="center"/>
    </xf>
    <xf numFmtId="3" fontId="23" fillId="15" borderId="33" xfId="0" applyNumberFormat="1" applyFont="1" applyFill="1" applyBorder="1" applyAlignment="1">
      <alignment horizontal="center" vertical="center"/>
    </xf>
    <xf numFmtId="165" fontId="23" fillId="15" borderId="33" xfId="0" applyNumberFormat="1" applyFont="1" applyFill="1" applyBorder="1" applyAlignment="1">
      <alignment horizontal="center" vertical="center"/>
    </xf>
    <xf numFmtId="170" fontId="23" fillId="15" borderId="33" xfId="0" applyNumberFormat="1" applyFont="1" applyFill="1" applyBorder="1" applyAlignment="1">
      <alignment horizontal="left" vertical="center"/>
    </xf>
    <xf numFmtId="167" fontId="23" fillId="20" borderId="33" xfId="0" applyNumberFormat="1" applyFont="1" applyFill="1" applyBorder="1" applyAlignment="1">
      <alignment horizontal="center" vertical="center"/>
    </xf>
    <xf numFmtId="0" fontId="6" fillId="19" borderId="31" xfId="0" applyFont="1" applyFill="1" applyBorder="1" applyAlignment="1">
      <alignment horizontal="left" vertical="center"/>
    </xf>
    <xf numFmtId="0" fontId="23" fillId="19" borderId="33" xfId="0" applyFont="1" applyFill="1" applyBorder="1" applyAlignment="1">
      <alignment horizontal="center" vertical="center"/>
    </xf>
    <xf numFmtId="0" fontId="23" fillId="19" borderId="33" xfId="0" applyFont="1" applyFill="1" applyBorder="1" applyAlignment="1">
      <alignment horizontal="left" vertical="center"/>
    </xf>
    <xf numFmtId="0" fontId="6" fillId="19" borderId="8" xfId="0" applyFont="1" applyFill="1" applyBorder="1" applyAlignment="1">
      <alignment horizontal="left" vertical="center"/>
    </xf>
    <xf numFmtId="0" fontId="6" fillId="11" borderId="32" xfId="0" applyFont="1" applyFill="1" applyBorder="1" applyAlignment="1">
      <alignment horizontal="left" vertical="center"/>
    </xf>
    <xf numFmtId="0" fontId="6" fillId="11" borderId="32" xfId="0" applyFont="1" applyFill="1" applyBorder="1" applyAlignment="1">
      <alignment horizontal="center" vertical="center"/>
    </xf>
    <xf numFmtId="0" fontId="6" fillId="11" borderId="31" xfId="0" applyFont="1" applyFill="1" applyBorder="1" applyAlignment="1">
      <alignment horizontal="center" vertical="center"/>
    </xf>
    <xf numFmtId="0" fontId="9" fillId="12" borderId="33" xfId="0" applyFont="1" applyFill="1" applyBorder="1" applyAlignment="1">
      <alignment horizontal="left" vertical="center"/>
    </xf>
    <xf numFmtId="0" fontId="23" fillId="12" borderId="33" xfId="0" applyFont="1" applyFill="1" applyBorder="1" applyAlignment="1">
      <alignment horizontal="center" vertical="center"/>
    </xf>
    <xf numFmtId="0" fontId="6" fillId="12" borderId="33" xfId="0" applyFont="1" applyFill="1" applyBorder="1" applyAlignment="1">
      <alignment horizontal="center" vertical="center"/>
    </xf>
    <xf numFmtId="0" fontId="6" fillId="12" borderId="33" xfId="0" applyFont="1" applyFill="1" applyBorder="1" applyAlignment="1">
      <alignment horizontal="left" vertical="center"/>
    </xf>
    <xf numFmtId="0" fontId="6" fillId="11" borderId="30" xfId="0" applyFont="1" applyFill="1" applyBorder="1" applyAlignment="1">
      <alignment horizontal="left" vertical="center"/>
    </xf>
    <xf numFmtId="0" fontId="10" fillId="12" borderId="33" xfId="0" applyFont="1" applyFill="1" applyBorder="1" applyAlignment="1">
      <alignment horizontal="left" vertical="center"/>
    </xf>
    <xf numFmtId="169" fontId="6" fillId="12" borderId="33" xfId="0" applyNumberFormat="1" applyFont="1" applyFill="1" applyBorder="1" applyAlignment="1">
      <alignment horizontal="center" vertical="center"/>
    </xf>
    <xf numFmtId="0" fontId="6" fillId="11" borderId="31" xfId="0" applyFont="1" applyFill="1" applyBorder="1" applyAlignment="1">
      <alignment horizontal="left" vertical="center"/>
    </xf>
    <xf numFmtId="0" fontId="6" fillId="11" borderId="8" xfId="0" applyFont="1" applyFill="1" applyBorder="1" applyAlignment="1">
      <alignment horizontal="left" vertical="center"/>
    </xf>
    <xf numFmtId="0" fontId="6" fillId="11" borderId="8" xfId="0" applyFont="1" applyFill="1" applyBorder="1" applyAlignment="1">
      <alignment horizontal="center" vertical="center"/>
    </xf>
    <xf numFmtId="171" fontId="6" fillId="25" borderId="33" xfId="0" applyNumberFormat="1" applyFont="1" applyFill="1" applyBorder="1" applyAlignment="1">
      <alignment horizontal="center" vertical="center"/>
    </xf>
    <xf numFmtId="0" fontId="31" fillId="14" borderId="31" xfId="0" applyFont="1" applyFill="1" applyBorder="1" applyAlignment="1">
      <alignment horizontal="center" vertical="center"/>
    </xf>
    <xf numFmtId="168" fontId="6" fillId="15" borderId="33" xfId="0" applyNumberFormat="1" applyFont="1" applyFill="1" applyBorder="1" applyAlignment="1">
      <alignment horizontal="center" vertical="center"/>
    </xf>
    <xf numFmtId="0" fontId="31" fillId="19" borderId="31" xfId="0" applyFont="1" applyFill="1" applyBorder="1" applyAlignment="1">
      <alignment horizontal="center" vertical="center"/>
    </xf>
    <xf numFmtId="167" fontId="23" fillId="20" borderId="33" xfId="0" applyNumberFormat="1" applyFont="1" applyFill="1" applyBorder="1" applyAlignment="1">
      <alignment horizontal="left" vertical="center"/>
    </xf>
    <xf numFmtId="0" fontId="23" fillId="19" borderId="30" xfId="0" applyFont="1" applyFill="1" applyBorder="1" applyAlignment="1">
      <alignment horizontal="left" vertical="center"/>
    </xf>
    <xf numFmtId="0" fontId="31" fillId="21" borderId="31" xfId="0" applyFont="1" applyFill="1" applyBorder="1" applyAlignment="1">
      <alignment horizontal="center" vertical="center"/>
    </xf>
    <xf numFmtId="3" fontId="23" fillId="22" borderId="33" xfId="0" applyNumberFormat="1" applyFont="1" applyFill="1" applyBorder="1" applyAlignment="1">
      <alignment horizontal="left" vertical="center"/>
    </xf>
    <xf numFmtId="1" fontId="23" fillId="22" borderId="33" xfId="0" applyNumberFormat="1" applyFont="1" applyFill="1" applyBorder="1" applyAlignment="1">
      <alignment horizontal="center" vertical="center"/>
    </xf>
    <xf numFmtId="0" fontId="23" fillId="21" borderId="30" xfId="0" applyFont="1" applyFill="1" applyBorder="1" applyAlignment="1">
      <alignment horizontal="left" vertical="center"/>
    </xf>
    <xf numFmtId="167" fontId="6" fillId="15" borderId="33" xfId="0" applyNumberFormat="1" applyFont="1" applyFill="1" applyBorder="1" applyAlignment="1">
      <alignment horizontal="left" vertical="center"/>
    </xf>
    <xf numFmtId="0" fontId="6" fillId="15" borderId="33" xfId="0" applyFont="1" applyFill="1" applyBorder="1" applyAlignment="1">
      <alignment horizontal="left"/>
    </xf>
    <xf numFmtId="0" fontId="29" fillId="12" borderId="33" xfId="0" applyFont="1" applyFill="1" applyBorder="1" applyAlignment="1">
      <alignment horizontal="left" vertical="center"/>
    </xf>
    <xf numFmtId="0" fontId="23" fillId="12" borderId="33" xfId="0" applyFont="1" applyFill="1" applyBorder="1" applyAlignment="1">
      <alignment horizontal="left" vertical="center"/>
    </xf>
    <xf numFmtId="170" fontId="6" fillId="12" borderId="33" xfId="0" applyNumberFormat="1" applyFont="1" applyFill="1" applyBorder="1" applyAlignment="1">
      <alignment horizontal="left" vertical="center"/>
    </xf>
    <xf numFmtId="0" fontId="11" fillId="12" borderId="33" xfId="0" applyFont="1" applyFill="1" applyBorder="1"/>
    <xf numFmtId="0" fontId="36" fillId="4" borderId="33" xfId="0" applyFont="1" applyFill="1" applyBorder="1"/>
    <xf numFmtId="0" fontId="36" fillId="4" borderId="30" xfId="0" applyFont="1" applyFill="1" applyBorder="1"/>
    <xf numFmtId="0" fontId="20" fillId="5" borderId="30" xfId="0" applyFont="1" applyFill="1" applyBorder="1"/>
    <xf numFmtId="0" fontId="22" fillId="26" borderId="37" xfId="0" applyFont="1" applyFill="1" applyBorder="1"/>
    <xf numFmtId="0" fontId="12" fillId="26" borderId="37" xfId="0" applyFont="1" applyFill="1" applyBorder="1"/>
    <xf numFmtId="0" fontId="36" fillId="26" borderId="33" xfId="0" applyFont="1" applyFill="1" applyBorder="1"/>
    <xf numFmtId="0" fontId="22" fillId="26" borderId="33" xfId="0" applyFont="1" applyFill="1" applyBorder="1"/>
    <xf numFmtId="0" fontId="20" fillId="26" borderId="33" xfId="0" applyFont="1" applyFill="1" applyBorder="1"/>
    <xf numFmtId="0" fontId="20" fillId="26" borderId="30" xfId="0" applyFont="1" applyFill="1" applyBorder="1"/>
    <xf numFmtId="0" fontId="6" fillId="5" borderId="33" xfId="0" applyFont="1" applyFill="1" applyBorder="1"/>
    <xf numFmtId="0" fontId="20" fillId="5" borderId="31" xfId="0" applyFont="1" applyFill="1" applyBorder="1"/>
    <xf numFmtId="0" fontId="12" fillId="5" borderId="30" xfId="0" applyFont="1" applyFill="1" applyBorder="1"/>
    <xf numFmtId="0" fontId="20" fillId="5" borderId="8" xfId="0" applyFont="1" applyFill="1" applyBorder="1"/>
    <xf numFmtId="0" fontId="12" fillId="5" borderId="8" xfId="0" applyFont="1" applyFill="1" applyBorder="1"/>
    <xf numFmtId="0" fontId="37" fillId="0" borderId="0" xfId="0" applyFont="1" applyAlignment="1">
      <alignment horizontal="center"/>
    </xf>
    <xf numFmtId="0" fontId="11" fillId="27" borderId="33" xfId="0" applyFont="1" applyFill="1" applyBorder="1"/>
    <xf numFmtId="0" fontId="42" fillId="4" borderId="0" xfId="0" applyFont="1" applyFill="1" applyAlignment="1">
      <alignment vertical="center"/>
    </xf>
    <xf numFmtId="0" fontId="0" fillId="0" borderId="0" xfId="0" applyAlignment="1">
      <alignment horizontal="center"/>
    </xf>
    <xf numFmtId="171" fontId="6" fillId="29" borderId="33" xfId="0" applyNumberFormat="1" applyFont="1" applyFill="1" applyBorder="1" applyAlignment="1">
      <alignment horizontal="center" vertical="center"/>
    </xf>
    <xf numFmtId="167" fontId="23" fillId="29" borderId="33" xfId="0" applyNumberFormat="1" applyFont="1" applyFill="1" applyBorder="1" applyAlignment="1">
      <alignment horizontal="center" vertical="center"/>
    </xf>
    <xf numFmtId="0" fontId="43" fillId="0" borderId="0" xfId="0" applyFont="1"/>
    <xf numFmtId="0" fontId="45" fillId="0" borderId="0" xfId="0" applyFont="1" applyAlignment="1">
      <alignment horizontal="center" vertical="center"/>
    </xf>
    <xf numFmtId="0" fontId="46" fillId="0" borderId="0" xfId="0" applyFont="1" applyAlignment="1">
      <alignment horizontal="center" vertical="center"/>
    </xf>
    <xf numFmtId="0" fontId="44" fillId="4" borderId="33" xfId="3" applyFill="1" applyBorder="1" applyAlignment="1">
      <alignment horizontal="center" vertical="center"/>
    </xf>
    <xf numFmtId="166" fontId="0" fillId="0" borderId="0" xfId="2" applyNumberFormat="1" applyFont="1" applyAlignment="1"/>
    <xf numFmtId="0" fontId="47" fillId="0" borderId="0" xfId="0" applyFont="1" applyAlignment="1">
      <alignment horizontal="center" vertical="center"/>
    </xf>
    <xf numFmtId="0" fontId="48" fillId="35" borderId="24" xfId="0" applyFont="1" applyFill="1" applyBorder="1" applyAlignment="1">
      <alignment horizontal="center" vertical="center" wrapText="1"/>
    </xf>
    <xf numFmtId="0" fontId="49" fillId="0" borderId="0" xfId="0" applyFont="1"/>
    <xf numFmtId="168" fontId="6" fillId="5" borderId="0" xfId="0" applyNumberFormat="1" applyFont="1" applyFill="1" applyAlignment="1">
      <alignment horizontal="left" vertical="center"/>
    </xf>
    <xf numFmtId="0" fontId="49" fillId="0" borderId="0" xfId="0" applyFont="1" applyAlignment="1">
      <alignment wrapText="1"/>
    </xf>
    <xf numFmtId="168" fontId="0" fillId="0" borderId="0" xfId="0" applyNumberFormat="1"/>
    <xf numFmtId="0" fontId="50" fillId="37" borderId="23" xfId="0" applyFont="1" applyFill="1" applyBorder="1" applyAlignment="1">
      <alignment horizontal="center" vertical="center" wrapText="1"/>
    </xf>
    <xf numFmtId="0" fontId="50" fillId="37" borderId="51" xfId="0" applyFont="1" applyFill="1" applyBorder="1" applyAlignment="1">
      <alignment horizontal="center" vertical="center" wrapText="1"/>
    </xf>
    <xf numFmtId="0" fontId="52" fillId="0" borderId="0" xfId="0" applyFont="1"/>
    <xf numFmtId="0" fontId="47" fillId="0" borderId="0" xfId="0" applyFont="1"/>
    <xf numFmtId="168" fontId="6" fillId="42" borderId="0" xfId="0" applyNumberFormat="1" applyFont="1" applyFill="1" applyAlignment="1">
      <alignment horizontal="left" vertical="center"/>
    </xf>
    <xf numFmtId="168" fontId="52" fillId="5" borderId="0" xfId="0" applyNumberFormat="1" applyFont="1" applyFill="1" applyAlignment="1">
      <alignment horizontal="left" vertical="center"/>
    </xf>
    <xf numFmtId="0" fontId="0" fillId="0" borderId="0" xfId="0" applyAlignment="1">
      <alignment horizontal="center" vertical="center"/>
    </xf>
    <xf numFmtId="0" fontId="0" fillId="46" borderId="0" xfId="0" applyFill="1"/>
    <xf numFmtId="0" fontId="40" fillId="0" borderId="0" xfId="0" applyFont="1" applyAlignment="1">
      <alignment horizontal="left"/>
    </xf>
    <xf numFmtId="0" fontId="54" fillId="5" borderId="0" xfId="0" applyFont="1" applyFill="1"/>
    <xf numFmtId="170" fontId="6" fillId="48" borderId="33" xfId="0" applyNumberFormat="1" applyFont="1" applyFill="1" applyBorder="1" applyAlignment="1">
      <alignment horizontal="center" vertical="center"/>
    </xf>
    <xf numFmtId="170" fontId="6" fillId="49" borderId="33" xfId="0" applyNumberFormat="1" applyFont="1" applyFill="1" applyBorder="1" applyAlignment="1">
      <alignment horizontal="center" vertical="center"/>
    </xf>
    <xf numFmtId="167" fontId="6" fillId="50" borderId="33" xfId="0" applyNumberFormat="1" applyFont="1" applyFill="1" applyBorder="1" applyAlignment="1">
      <alignment horizontal="center" vertical="center"/>
    </xf>
    <xf numFmtId="0" fontId="6" fillId="49" borderId="33" xfId="0" applyFont="1" applyFill="1" applyBorder="1" applyAlignment="1">
      <alignment horizontal="center" vertical="center"/>
    </xf>
    <xf numFmtId="0" fontId="6" fillId="4" borderId="40"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41" xfId="0" applyFont="1" applyFill="1" applyBorder="1" applyAlignment="1">
      <alignment horizontal="left" vertical="center"/>
    </xf>
    <xf numFmtId="0" fontId="6" fillId="4" borderId="42" xfId="0" applyFont="1" applyFill="1" applyBorder="1" applyAlignment="1">
      <alignment horizontal="left" vertical="center"/>
    </xf>
    <xf numFmtId="0" fontId="6" fillId="4" borderId="43" xfId="0" applyFont="1" applyFill="1" applyBorder="1" applyAlignment="1">
      <alignment horizontal="center" vertical="center"/>
    </xf>
    <xf numFmtId="0" fontId="9" fillId="30" borderId="0" xfId="0" applyFont="1" applyFill="1" applyAlignment="1">
      <alignment horizontal="left" vertical="center"/>
    </xf>
    <xf numFmtId="0" fontId="6" fillId="31" borderId="0" xfId="0" applyFont="1" applyFill="1" applyAlignment="1">
      <alignment horizontal="left" vertical="center"/>
    </xf>
    <xf numFmtId="0" fontId="6" fillId="4" borderId="44" xfId="0" applyFont="1" applyFill="1" applyBorder="1" applyAlignment="1">
      <alignment horizontal="left" vertical="center"/>
    </xf>
    <xf numFmtId="0" fontId="6" fillId="4" borderId="0" xfId="0" applyFont="1" applyFill="1" applyAlignment="1">
      <alignment horizontal="center" vertical="center"/>
    </xf>
    <xf numFmtId="0" fontId="10" fillId="30" borderId="0" xfId="0" applyFont="1" applyFill="1" applyAlignment="1">
      <alignment horizontal="left" vertical="center"/>
    </xf>
    <xf numFmtId="0" fontId="6" fillId="5" borderId="0" xfId="0" applyFont="1" applyFill="1" applyAlignment="1">
      <alignment horizontal="left" vertical="center"/>
    </xf>
    <xf numFmtId="1" fontId="6" fillId="33" borderId="0" xfId="0" applyNumberFormat="1" applyFont="1" applyFill="1" applyAlignment="1">
      <alignment horizontal="left" vertical="center"/>
    </xf>
    <xf numFmtId="1" fontId="6" fillId="32" borderId="0" xfId="0" applyNumberFormat="1" applyFont="1" applyFill="1" applyAlignment="1">
      <alignment horizontal="left" vertical="center"/>
    </xf>
    <xf numFmtId="1" fontId="6" fillId="34" borderId="0" xfId="0" applyNumberFormat="1" applyFont="1" applyFill="1" applyAlignment="1">
      <alignment horizontal="left"/>
    </xf>
    <xf numFmtId="0" fontId="12" fillId="4" borderId="43" xfId="0" applyFont="1" applyFill="1" applyBorder="1" applyAlignment="1">
      <alignment horizontal="center" vertical="center"/>
    </xf>
    <xf numFmtId="0" fontId="12" fillId="4" borderId="0" xfId="0" applyFont="1" applyFill="1" applyAlignment="1">
      <alignment horizontal="center" vertical="center"/>
    </xf>
    <xf numFmtId="0" fontId="12" fillId="5" borderId="0" xfId="0" applyFont="1" applyFill="1" applyAlignment="1">
      <alignment horizontal="left" vertical="center"/>
    </xf>
    <xf numFmtId="167" fontId="12" fillId="5" borderId="0" xfId="0" applyNumberFormat="1" applyFont="1" applyFill="1" applyAlignment="1">
      <alignment horizontal="left" vertical="center"/>
    </xf>
    <xf numFmtId="167" fontId="12" fillId="33" borderId="0" xfId="0" applyNumberFormat="1" applyFont="1" applyFill="1" applyAlignment="1">
      <alignment horizontal="left" vertical="center"/>
    </xf>
    <xf numFmtId="0" fontId="12" fillId="4" borderId="44" xfId="0" applyFont="1" applyFill="1" applyBorder="1" applyAlignment="1">
      <alignment horizontal="left" vertical="center"/>
    </xf>
    <xf numFmtId="0" fontId="6" fillId="4" borderId="45" xfId="0" applyFont="1" applyFill="1" applyBorder="1" applyAlignment="1">
      <alignment horizontal="center" vertical="center"/>
    </xf>
    <xf numFmtId="0" fontId="6" fillId="4" borderId="46" xfId="0" applyFont="1" applyFill="1" applyBorder="1" applyAlignment="1">
      <alignment horizontal="center" vertical="center"/>
    </xf>
    <xf numFmtId="0" fontId="6" fillId="4" borderId="46" xfId="0" applyFont="1" applyFill="1" applyBorder="1" applyAlignment="1">
      <alignment horizontal="left" vertical="center"/>
    </xf>
    <xf numFmtId="0" fontId="6" fillId="4" borderId="47" xfId="0" applyFont="1" applyFill="1" applyBorder="1" applyAlignment="1">
      <alignment horizontal="left" vertical="center"/>
    </xf>
    <xf numFmtId="0" fontId="6" fillId="0" borderId="46" xfId="0" applyFont="1" applyBorder="1" applyAlignment="1">
      <alignment horizontal="center" vertical="center"/>
    </xf>
    <xf numFmtId="0" fontId="6" fillId="0" borderId="46" xfId="0" applyFont="1" applyBorder="1" applyAlignment="1">
      <alignment horizontal="left" vertical="center"/>
    </xf>
    <xf numFmtId="167" fontId="6" fillId="5" borderId="0" xfId="0" applyNumberFormat="1" applyFont="1" applyFill="1" applyAlignment="1">
      <alignment horizontal="left" vertical="center"/>
    </xf>
    <xf numFmtId="167" fontId="6" fillId="33" borderId="0" xfId="0" applyNumberFormat="1" applyFont="1" applyFill="1" applyAlignment="1">
      <alignment horizontal="left" vertical="center"/>
    </xf>
    <xf numFmtId="167" fontId="6" fillId="0" borderId="0" xfId="0" applyNumberFormat="1" applyFont="1" applyAlignment="1">
      <alignment horizontal="left" vertical="center"/>
    </xf>
    <xf numFmtId="3" fontId="6" fillId="5" borderId="0" xfId="0" applyNumberFormat="1" applyFont="1" applyFill="1" applyAlignment="1">
      <alignment horizontal="left" vertical="center"/>
    </xf>
    <xf numFmtId="3" fontId="6" fillId="32" borderId="0" xfId="0" applyNumberFormat="1" applyFont="1" applyFill="1" applyAlignment="1">
      <alignment horizontal="left" vertical="center"/>
    </xf>
    <xf numFmtId="3" fontId="12" fillId="5" borderId="0" xfId="0" applyNumberFormat="1" applyFont="1" applyFill="1" applyAlignment="1">
      <alignment horizontal="left" vertical="center"/>
    </xf>
    <xf numFmtId="0" fontId="6" fillId="5" borderId="49" xfId="0" applyFont="1" applyFill="1" applyBorder="1" applyAlignment="1">
      <alignment vertical="center"/>
    </xf>
    <xf numFmtId="168" fontId="6" fillId="42" borderId="0" xfId="0" applyNumberFormat="1" applyFont="1" applyFill="1" applyAlignment="1">
      <alignment vertical="center"/>
    </xf>
    <xf numFmtId="0" fontId="36" fillId="5" borderId="0" xfId="0" applyFont="1" applyFill="1" applyAlignment="1">
      <alignment horizontal="left" vertical="center"/>
    </xf>
    <xf numFmtId="167" fontId="36" fillId="5" borderId="0" xfId="0" applyNumberFormat="1" applyFont="1" applyFill="1" applyAlignment="1">
      <alignment horizontal="left" vertical="center"/>
    </xf>
    <xf numFmtId="167" fontId="36" fillId="42" borderId="0" xfId="0" applyNumberFormat="1" applyFont="1" applyFill="1" applyAlignment="1">
      <alignment horizontal="left" vertical="center"/>
    </xf>
    <xf numFmtId="0" fontId="20" fillId="4" borderId="40" xfId="0" applyFont="1" applyFill="1" applyBorder="1"/>
    <xf numFmtId="0" fontId="20" fillId="4" borderId="41" xfId="0" applyFont="1" applyFill="1" applyBorder="1"/>
    <xf numFmtId="0" fontId="20" fillId="4" borderId="42" xfId="0" applyFont="1" applyFill="1" applyBorder="1"/>
    <xf numFmtId="10" fontId="20" fillId="0" borderId="0" xfId="0" applyNumberFormat="1" applyFont="1"/>
    <xf numFmtId="0" fontId="20" fillId="5" borderId="0" xfId="0" applyFont="1" applyFill="1"/>
    <xf numFmtId="0" fontId="20" fillId="5" borderId="0" xfId="0" applyFont="1" applyFill="1" applyAlignment="1">
      <alignment horizontal="right" vertical="center"/>
    </xf>
    <xf numFmtId="0" fontId="20" fillId="5" borderId="0" xfId="0" applyFont="1" applyFill="1" applyAlignment="1">
      <alignment horizontal="right"/>
    </xf>
    <xf numFmtId="168" fontId="20" fillId="5" borderId="0" xfId="0" applyNumberFormat="1" applyFont="1" applyFill="1"/>
    <xf numFmtId="168" fontId="20" fillId="42" borderId="0" xfId="0" applyNumberFormat="1" applyFont="1" applyFill="1"/>
    <xf numFmtId="0" fontId="20" fillId="4" borderId="44" xfId="0" applyFont="1" applyFill="1" applyBorder="1"/>
    <xf numFmtId="0" fontId="12" fillId="4" borderId="43" xfId="0" applyFont="1" applyFill="1" applyBorder="1"/>
    <xf numFmtId="0" fontId="12" fillId="4" borderId="0" xfId="0" applyFont="1" applyFill="1"/>
    <xf numFmtId="0" fontId="36" fillId="5" borderId="0" xfId="0" applyFont="1" applyFill="1"/>
    <xf numFmtId="2" fontId="36" fillId="5" borderId="0" xfId="0" applyNumberFormat="1" applyFont="1" applyFill="1"/>
    <xf numFmtId="169" fontId="36" fillId="42" borderId="0" xfId="0" applyNumberFormat="1" applyFont="1" applyFill="1"/>
    <xf numFmtId="0" fontId="12" fillId="4" borderId="44" xfId="0" applyFont="1" applyFill="1" applyBorder="1"/>
    <xf numFmtId="0" fontId="12" fillId="5" borderId="0" xfId="0" applyFont="1" applyFill="1"/>
    <xf numFmtId="2" fontId="12" fillId="5" borderId="0" xfId="0" applyNumberFormat="1" applyFont="1" applyFill="1"/>
    <xf numFmtId="169" fontId="12" fillId="5" borderId="0" xfId="0" applyNumberFormat="1" applyFont="1" applyFill="1"/>
    <xf numFmtId="169" fontId="12" fillId="42" borderId="0" xfId="0" applyNumberFormat="1" applyFont="1" applyFill="1"/>
    <xf numFmtId="175" fontId="36" fillId="5" borderId="0" xfId="0" applyNumberFormat="1" applyFont="1" applyFill="1"/>
    <xf numFmtId="175" fontId="36" fillId="42" borderId="0" xfId="0" applyNumberFormat="1" applyFont="1" applyFill="1"/>
    <xf numFmtId="2" fontId="6" fillId="31" borderId="0" xfId="0" applyNumberFormat="1" applyFont="1" applyFill="1" applyAlignment="1">
      <alignment horizontal="left" vertical="center"/>
    </xf>
    <xf numFmtId="169" fontId="20" fillId="5" borderId="0" xfId="0" applyNumberFormat="1" applyFont="1" applyFill="1"/>
    <xf numFmtId="9" fontId="20" fillId="0" borderId="0" xfId="0" applyNumberFormat="1" applyFont="1"/>
    <xf numFmtId="169" fontId="20" fillId="42" borderId="0" xfId="0" applyNumberFormat="1" applyFont="1" applyFill="1"/>
    <xf numFmtId="169" fontId="36" fillId="5" borderId="0" xfId="0" applyNumberFormat="1" applyFont="1" applyFill="1"/>
    <xf numFmtId="2" fontId="20" fillId="5" borderId="0" xfId="0" applyNumberFormat="1" applyFont="1" applyFill="1"/>
    <xf numFmtId="0" fontId="20" fillId="38" borderId="52" xfId="0" applyFont="1" applyFill="1" applyBorder="1"/>
    <xf numFmtId="0" fontId="20" fillId="38" borderId="55" xfId="0" applyFont="1" applyFill="1" applyBorder="1"/>
    <xf numFmtId="175" fontId="20" fillId="5" borderId="0" xfId="0" applyNumberFormat="1" applyFont="1" applyFill="1"/>
    <xf numFmtId="175" fontId="20" fillId="42" borderId="0" xfId="0" applyNumberFormat="1" applyFont="1" applyFill="1"/>
    <xf numFmtId="175" fontId="12" fillId="5" borderId="0" xfId="0" applyNumberFormat="1" applyFont="1" applyFill="1"/>
    <xf numFmtId="0" fontId="36" fillId="4" borderId="43" xfId="0" applyFont="1" applyFill="1" applyBorder="1"/>
    <xf numFmtId="177" fontId="36" fillId="5" borderId="0" xfId="0" applyNumberFormat="1" applyFont="1" applyFill="1"/>
    <xf numFmtId="177" fontId="36" fillId="42" borderId="0" xfId="0" applyNumberFormat="1" applyFont="1" applyFill="1"/>
    <xf numFmtId="0" fontId="36" fillId="4" borderId="0" xfId="0" applyFont="1" applyFill="1"/>
    <xf numFmtId="2" fontId="36" fillId="42" borderId="0" xfId="0" applyNumberFormat="1" applyFont="1" applyFill="1"/>
    <xf numFmtId="0" fontId="20" fillId="4" borderId="45" xfId="0" applyFont="1" applyFill="1" applyBorder="1"/>
    <xf numFmtId="0" fontId="20" fillId="4" borderId="46" xfId="0" applyFont="1" applyFill="1" applyBorder="1"/>
    <xf numFmtId="0" fontId="20" fillId="4" borderId="47" xfId="0" applyFont="1" applyFill="1" applyBorder="1"/>
    <xf numFmtId="0" fontId="20" fillId="11" borderId="40" xfId="0" applyFont="1" applyFill="1" applyBorder="1"/>
    <xf numFmtId="0" fontId="20" fillId="11" borderId="41" xfId="0" applyFont="1" applyFill="1" applyBorder="1"/>
    <xf numFmtId="0" fontId="20" fillId="11" borderId="42" xfId="0" applyFont="1" applyFill="1" applyBorder="1"/>
    <xf numFmtId="0" fontId="20" fillId="11" borderId="43" xfId="0" applyFont="1" applyFill="1" applyBorder="1"/>
    <xf numFmtId="0" fontId="20" fillId="11" borderId="0" xfId="0" applyFont="1" applyFill="1"/>
    <xf numFmtId="0" fontId="22" fillId="12" borderId="0" xfId="0" applyFont="1" applyFill="1"/>
    <xf numFmtId="0" fontId="20" fillId="12" borderId="0" xfId="0" applyFont="1" applyFill="1"/>
    <xf numFmtId="0" fontId="20" fillId="11" borderId="44" xfId="0" applyFont="1" applyFill="1" applyBorder="1"/>
    <xf numFmtId="0" fontId="20" fillId="39" borderId="0" xfId="0" applyFont="1" applyFill="1"/>
    <xf numFmtId="0" fontId="20" fillId="40" borderId="0" xfId="0" applyFont="1" applyFill="1"/>
    <xf numFmtId="0" fontId="20" fillId="41" borderId="0" xfId="0" applyFont="1" applyFill="1"/>
    <xf numFmtId="0" fontId="20" fillId="11" borderId="45" xfId="0" applyFont="1" applyFill="1" applyBorder="1"/>
    <xf numFmtId="0" fontId="20" fillId="11" borderId="46" xfId="0" applyFont="1" applyFill="1" applyBorder="1"/>
    <xf numFmtId="0" fontId="20" fillId="11" borderId="47" xfId="0" applyFont="1" applyFill="1" applyBorder="1"/>
    <xf numFmtId="173" fontId="20" fillId="0" borderId="0" xfId="0" applyNumberFormat="1" applyFont="1"/>
    <xf numFmtId="168" fontId="20" fillId="0" borderId="0" xfId="0" applyNumberFormat="1" applyFont="1"/>
    <xf numFmtId="0" fontId="20" fillId="0" borderId="0" xfId="0" applyFont="1" applyAlignment="1">
      <alignment horizontal="left"/>
    </xf>
    <xf numFmtId="171" fontId="23" fillId="29" borderId="33" xfId="0" applyNumberFormat="1" applyFont="1" applyFill="1" applyBorder="1" applyAlignment="1">
      <alignment horizontal="center" vertical="center"/>
    </xf>
    <xf numFmtId="0" fontId="29" fillId="2" borderId="66" xfId="0" applyFont="1" applyFill="1" applyBorder="1" applyAlignment="1">
      <alignment horizontal="left" vertical="center"/>
    </xf>
    <xf numFmtId="0" fontId="29" fillId="2" borderId="67" xfId="0" applyFont="1" applyFill="1" applyBorder="1" applyAlignment="1">
      <alignment horizontal="left" vertical="center"/>
    </xf>
    <xf numFmtId="0" fontId="6" fillId="2" borderId="67" xfId="0" applyFont="1" applyFill="1" applyBorder="1" applyAlignment="1">
      <alignment horizontal="left" vertical="center"/>
    </xf>
    <xf numFmtId="0" fontId="6" fillId="3" borderId="67" xfId="0" applyFont="1" applyFill="1" applyBorder="1" applyAlignment="1">
      <alignment horizontal="left" vertical="center"/>
    </xf>
    <xf numFmtId="0" fontId="6" fillId="2" borderId="68" xfId="0" applyFont="1" applyFill="1" applyBorder="1" applyAlignment="1">
      <alignment horizontal="left" vertical="center"/>
    </xf>
    <xf numFmtId="0" fontId="6" fillId="14" borderId="40" xfId="0" applyFont="1" applyFill="1" applyBorder="1" applyAlignment="1">
      <alignment horizontal="left" vertical="center"/>
    </xf>
    <xf numFmtId="0" fontId="6" fillId="14" borderId="41" xfId="0" applyFont="1" applyFill="1" applyBorder="1" applyAlignment="1">
      <alignment horizontal="left" vertical="center"/>
    </xf>
    <xf numFmtId="0" fontId="6" fillId="14" borderId="42" xfId="0" applyFont="1" applyFill="1" applyBorder="1" applyAlignment="1">
      <alignment horizontal="left" vertical="center"/>
    </xf>
    <xf numFmtId="0" fontId="6" fillId="14" borderId="43" xfId="0" applyFont="1" applyFill="1" applyBorder="1" applyAlignment="1">
      <alignment horizontal="left" vertical="center"/>
    </xf>
    <xf numFmtId="0" fontId="23" fillId="15" borderId="0" xfId="0" applyFont="1" applyFill="1" applyAlignment="1">
      <alignment horizontal="left" vertical="center"/>
    </xf>
    <xf numFmtId="0" fontId="6" fillId="14" borderId="44" xfId="0" applyFont="1" applyFill="1" applyBorder="1" applyAlignment="1">
      <alignment horizontal="left" vertical="center"/>
    </xf>
    <xf numFmtId="0" fontId="6" fillId="15" borderId="0" xfId="0" applyFont="1" applyFill="1" applyAlignment="1">
      <alignment horizontal="left" vertical="center"/>
    </xf>
    <xf numFmtId="167" fontId="6" fillId="15" borderId="0" xfId="0" applyNumberFormat="1" applyFont="1" applyFill="1" applyAlignment="1">
      <alignment horizontal="left" vertical="center"/>
    </xf>
    <xf numFmtId="0" fontId="6" fillId="43" borderId="0" xfId="0" applyFont="1" applyFill="1" applyAlignment="1">
      <alignment horizontal="left"/>
    </xf>
    <xf numFmtId="170" fontId="6" fillId="15" borderId="0" xfId="0" applyNumberFormat="1" applyFont="1" applyFill="1" applyAlignment="1">
      <alignment horizontal="left" vertical="center"/>
    </xf>
    <xf numFmtId="0" fontId="6" fillId="14" borderId="45" xfId="0" applyFont="1" applyFill="1" applyBorder="1" applyAlignment="1">
      <alignment horizontal="left" vertical="center"/>
    </xf>
    <xf numFmtId="0" fontId="6" fillId="14" borderId="46" xfId="0" applyFont="1" applyFill="1" applyBorder="1" applyAlignment="1">
      <alignment horizontal="left" vertical="center"/>
    </xf>
    <xf numFmtId="0" fontId="6" fillId="14" borderId="47" xfId="0" applyFont="1" applyFill="1" applyBorder="1" applyAlignment="1">
      <alignment horizontal="left" vertical="center"/>
    </xf>
    <xf numFmtId="0" fontId="6" fillId="11" borderId="40" xfId="0" applyFont="1" applyFill="1" applyBorder="1" applyAlignment="1">
      <alignment horizontal="left" vertical="center"/>
    </xf>
    <xf numFmtId="0" fontId="6" fillId="11" borderId="41" xfId="0" applyFont="1" applyFill="1" applyBorder="1" applyAlignment="1">
      <alignment horizontal="left" vertical="center"/>
    </xf>
    <xf numFmtId="0" fontId="6" fillId="11" borderId="42" xfId="0" applyFont="1" applyFill="1" applyBorder="1" applyAlignment="1">
      <alignment horizontal="left" vertical="center"/>
    </xf>
    <xf numFmtId="0" fontId="6" fillId="11" borderId="43" xfId="0" applyFont="1" applyFill="1" applyBorder="1" applyAlignment="1">
      <alignment horizontal="left" vertical="center"/>
    </xf>
    <xf numFmtId="0" fontId="29" fillId="12" borderId="0" xfId="0" applyFont="1" applyFill="1" applyAlignment="1">
      <alignment horizontal="left" vertical="center"/>
    </xf>
    <xf numFmtId="0" fontId="6" fillId="12" borderId="0" xfId="0" applyFont="1" applyFill="1" applyAlignment="1">
      <alignment horizontal="left" vertical="center"/>
    </xf>
    <xf numFmtId="0" fontId="6" fillId="11" borderId="44" xfId="0" applyFont="1" applyFill="1" applyBorder="1" applyAlignment="1">
      <alignment horizontal="left" vertical="center"/>
    </xf>
    <xf numFmtId="0" fontId="23" fillId="12" borderId="0" xfId="0" applyFont="1" applyFill="1" applyAlignment="1">
      <alignment horizontal="left" vertical="center"/>
    </xf>
    <xf numFmtId="170" fontId="6" fillId="44" borderId="0" xfId="0" applyNumberFormat="1" applyFont="1" applyFill="1" applyAlignment="1">
      <alignment horizontal="left" vertical="center"/>
    </xf>
    <xf numFmtId="0" fontId="6" fillId="45" borderId="0" xfId="0" applyFont="1" applyFill="1" applyAlignment="1">
      <alignment horizontal="left" vertical="center"/>
    </xf>
    <xf numFmtId="0" fontId="6" fillId="11" borderId="45" xfId="0" applyFont="1" applyFill="1" applyBorder="1" applyAlignment="1">
      <alignment horizontal="left" vertical="center"/>
    </xf>
    <xf numFmtId="0" fontId="6" fillId="11" borderId="46" xfId="0" applyFont="1" applyFill="1" applyBorder="1" applyAlignment="1">
      <alignment horizontal="left" vertical="center"/>
    </xf>
    <xf numFmtId="0" fontId="6" fillId="11" borderId="47" xfId="0" applyFont="1" applyFill="1" applyBorder="1" applyAlignment="1">
      <alignment horizontal="left" vertical="center"/>
    </xf>
    <xf numFmtId="0" fontId="20" fillId="4" borderId="0" xfId="0" applyFont="1" applyFill="1"/>
    <xf numFmtId="0" fontId="22" fillId="47" borderId="37" xfId="0" applyFont="1" applyFill="1" applyBorder="1"/>
    <xf numFmtId="0" fontId="12" fillId="47" borderId="37" xfId="0" applyFont="1" applyFill="1" applyBorder="1"/>
    <xf numFmtId="0" fontId="12" fillId="47" borderId="36" xfId="0" applyFont="1" applyFill="1" applyBorder="1"/>
    <xf numFmtId="0" fontId="36" fillId="47" borderId="0" xfId="0" applyFont="1" applyFill="1"/>
    <xf numFmtId="0" fontId="22" fillId="47" borderId="0" xfId="0" applyFont="1" applyFill="1"/>
    <xf numFmtId="0" fontId="20" fillId="47" borderId="0" xfId="0" applyFont="1" applyFill="1"/>
    <xf numFmtId="0" fontId="20" fillId="47" borderId="30" xfId="0" applyFont="1" applyFill="1" applyBorder="1"/>
    <xf numFmtId="0" fontId="6" fillId="2" borderId="1" xfId="0" applyFont="1" applyFill="1" applyBorder="1" applyAlignment="1">
      <alignment horizontal="center" vertical="center"/>
    </xf>
    <xf numFmtId="0" fontId="6" fillId="28" borderId="2" xfId="0" applyFont="1" applyFill="1" applyBorder="1" applyAlignment="1">
      <alignment horizontal="center" vertical="center"/>
    </xf>
    <xf numFmtId="0" fontId="6" fillId="2" borderId="2" xfId="0" applyFont="1" applyFill="1" applyBorder="1" applyAlignment="1">
      <alignment horizontal="center" vertical="center"/>
    </xf>
    <xf numFmtId="0" fontId="23" fillId="4" borderId="32" xfId="0" applyFont="1" applyFill="1" applyBorder="1" applyAlignment="1">
      <alignment vertical="center"/>
    </xf>
    <xf numFmtId="0" fontId="23" fillId="4" borderId="31" xfId="0" applyFont="1" applyFill="1" applyBorder="1" applyAlignment="1">
      <alignment horizontal="center" vertical="center"/>
    </xf>
    <xf numFmtId="0" fontId="23" fillId="5" borderId="0" xfId="0" applyFont="1" applyFill="1" applyAlignment="1">
      <alignment vertical="center"/>
    </xf>
    <xf numFmtId="0" fontId="6" fillId="5" borderId="0" xfId="0" applyFont="1" applyFill="1" applyAlignment="1">
      <alignment vertical="center"/>
    </xf>
    <xf numFmtId="0" fontId="6" fillId="5" borderId="0" xfId="0" applyFont="1" applyFill="1" applyAlignment="1">
      <alignment horizontal="center" vertical="center"/>
    </xf>
    <xf numFmtId="10" fontId="6" fillId="5" borderId="33" xfId="2" applyNumberFormat="1" applyFont="1" applyFill="1" applyBorder="1" applyAlignment="1">
      <alignment horizontal="center" vertical="center"/>
    </xf>
    <xf numFmtId="10" fontId="6" fillId="5" borderId="0" xfId="0" applyNumberFormat="1" applyFont="1" applyFill="1" applyAlignment="1">
      <alignment horizontal="center" vertical="center"/>
    </xf>
    <xf numFmtId="0" fontId="6" fillId="4" borderId="0" xfId="0" applyFont="1" applyFill="1" applyAlignment="1">
      <alignment horizontal="left" vertical="center"/>
    </xf>
    <xf numFmtId="164" fontId="6" fillId="5" borderId="33" xfId="1" applyFont="1" applyFill="1" applyBorder="1" applyAlignment="1">
      <alignment horizontal="center" vertical="center"/>
    </xf>
    <xf numFmtId="43" fontId="6" fillId="5" borderId="0" xfId="0" applyNumberFormat="1" applyFont="1" applyFill="1" applyAlignment="1">
      <alignment horizontal="center" vertical="center"/>
    </xf>
    <xf numFmtId="176" fontId="6" fillId="5" borderId="0" xfId="0" applyNumberFormat="1" applyFont="1" applyFill="1" applyAlignment="1">
      <alignment horizontal="center" vertical="center"/>
    </xf>
    <xf numFmtId="164" fontId="23" fillId="0" borderId="0" xfId="1" applyFont="1" applyAlignment="1">
      <alignment horizontal="center" vertical="center"/>
    </xf>
    <xf numFmtId="164" fontId="6" fillId="4" borderId="31" xfId="1" applyFont="1" applyFill="1" applyBorder="1" applyAlignment="1">
      <alignment horizontal="center" vertical="center"/>
    </xf>
    <xf numFmtId="164" fontId="6" fillId="5" borderId="33" xfId="1" applyFont="1" applyFill="1" applyBorder="1" applyAlignment="1">
      <alignment vertical="center"/>
    </xf>
    <xf numFmtId="0" fontId="11" fillId="0" borderId="33" xfId="5"/>
    <xf numFmtId="0" fontId="11" fillId="0" borderId="33" xfId="5" applyAlignment="1">
      <alignment horizontal="center"/>
    </xf>
    <xf numFmtId="0" fontId="3" fillId="0" borderId="33" xfId="5" applyFont="1" applyAlignment="1">
      <alignment horizontal="center" vertical="center"/>
    </xf>
    <xf numFmtId="0" fontId="6" fillId="0" borderId="33" xfId="5" applyFont="1" applyAlignment="1">
      <alignment horizontal="left" vertical="center"/>
    </xf>
    <xf numFmtId="0" fontId="6" fillId="0" borderId="33" xfId="5" applyFont="1" applyAlignment="1">
      <alignment horizontal="center" vertical="center"/>
    </xf>
    <xf numFmtId="0" fontId="21" fillId="0" borderId="33" xfId="5" applyFont="1"/>
    <xf numFmtId="0" fontId="20" fillId="0" borderId="33" xfId="5" applyFont="1"/>
    <xf numFmtId="0" fontId="52" fillId="0" borderId="33" xfId="5" applyFont="1"/>
    <xf numFmtId="0" fontId="13" fillId="0" borderId="33" xfId="5" applyFont="1"/>
    <xf numFmtId="0" fontId="12" fillId="0" borderId="33" xfId="5" applyFont="1"/>
    <xf numFmtId="0" fontId="47" fillId="0" borderId="33" xfId="5" applyFont="1"/>
    <xf numFmtId="10" fontId="20" fillId="0" borderId="33" xfId="5" applyNumberFormat="1" applyFont="1"/>
    <xf numFmtId="0" fontId="6" fillId="4" borderId="44" xfId="5" applyFont="1" applyFill="1" applyBorder="1" applyAlignment="1">
      <alignment horizontal="left" vertical="center"/>
    </xf>
    <xf numFmtId="0" fontId="6" fillId="31" borderId="33" xfId="5" applyFont="1" applyFill="1" applyAlignment="1">
      <alignment horizontal="left" vertical="center"/>
    </xf>
    <xf numFmtId="0" fontId="8" fillId="4" borderId="33" xfId="6" applyFill="1" applyBorder="1" applyAlignment="1">
      <alignment horizontal="center" vertical="center"/>
    </xf>
    <xf numFmtId="0" fontId="6" fillId="4" borderId="43" xfId="5" applyFont="1" applyFill="1" applyBorder="1" applyAlignment="1">
      <alignment horizontal="center" vertical="center"/>
    </xf>
    <xf numFmtId="0" fontId="12" fillId="0" borderId="33" xfId="5" applyFont="1" applyAlignment="1">
      <alignment horizontal="center" vertical="center"/>
    </xf>
    <xf numFmtId="0" fontId="20" fillId="38" borderId="55" xfId="5" applyFont="1" applyFill="1" applyBorder="1"/>
    <xf numFmtId="0" fontId="20" fillId="38" borderId="52" xfId="5" applyFont="1" applyFill="1" applyBorder="1"/>
    <xf numFmtId="9" fontId="20" fillId="0" borderId="33" xfId="5" applyNumberFormat="1" applyFont="1"/>
    <xf numFmtId="0" fontId="6" fillId="4" borderId="33" xfId="5" applyFont="1" applyFill="1" applyAlignment="1">
      <alignment horizontal="center" vertical="center"/>
    </xf>
    <xf numFmtId="0" fontId="9" fillId="30" borderId="33" xfId="5" applyFont="1" applyFill="1" applyAlignment="1">
      <alignment horizontal="left" vertical="center"/>
    </xf>
    <xf numFmtId="168" fontId="6" fillId="0" borderId="33" xfId="5" applyNumberFormat="1" applyFont="1" applyAlignment="1">
      <alignment horizontal="left" vertical="center"/>
    </xf>
    <xf numFmtId="0" fontId="6" fillId="4" borderId="7" xfId="5" applyFont="1" applyFill="1" applyBorder="1" applyAlignment="1">
      <alignment horizontal="center" vertical="center"/>
    </xf>
    <xf numFmtId="0" fontId="6" fillId="4" borderId="8" xfId="5" applyFont="1" applyFill="1" applyBorder="1" applyAlignment="1">
      <alignment horizontal="center" vertical="center"/>
    </xf>
    <xf numFmtId="0" fontId="6" fillId="4" borderId="6" xfId="5" applyFont="1" applyFill="1" applyBorder="1" applyAlignment="1">
      <alignment horizontal="center" vertical="center"/>
    </xf>
    <xf numFmtId="0" fontId="6" fillId="4" borderId="30" xfId="5" applyFont="1" applyFill="1" applyBorder="1" applyAlignment="1">
      <alignment horizontal="center" vertical="center"/>
    </xf>
    <xf numFmtId="167" fontId="12" fillId="5" borderId="33" xfId="5" applyNumberFormat="1" applyFont="1" applyFill="1" applyAlignment="1">
      <alignment horizontal="left" vertical="center"/>
    </xf>
    <xf numFmtId="0" fontId="12" fillId="5" borderId="33" xfId="5" applyFont="1" applyFill="1" applyAlignment="1">
      <alignment horizontal="left" vertical="center"/>
    </xf>
    <xf numFmtId="0" fontId="6" fillId="4" borderId="31" xfId="5" applyFont="1" applyFill="1" applyBorder="1" applyAlignment="1">
      <alignment horizontal="center" vertical="center"/>
    </xf>
    <xf numFmtId="0" fontId="6" fillId="4" borderId="5" xfId="5" applyFont="1" applyFill="1" applyBorder="1" applyAlignment="1">
      <alignment horizontal="center" vertical="center"/>
    </xf>
    <xf numFmtId="0" fontId="6" fillId="4" borderId="32" xfId="5" applyFont="1" applyFill="1" applyBorder="1" applyAlignment="1">
      <alignment horizontal="center" vertical="center"/>
    </xf>
    <xf numFmtId="0" fontId="50" fillId="37" borderId="51" xfId="5" applyFont="1" applyFill="1" applyBorder="1" applyAlignment="1">
      <alignment horizontal="center" vertical="center" wrapText="1"/>
    </xf>
    <xf numFmtId="4" fontId="6" fillId="0" borderId="33" xfId="5" applyNumberFormat="1" applyFont="1" applyAlignment="1">
      <alignment horizontal="left" vertical="center"/>
    </xf>
    <xf numFmtId="0" fontId="12" fillId="0" borderId="33" xfId="5" applyFont="1" applyAlignment="1">
      <alignment horizontal="left" vertical="center"/>
    </xf>
    <xf numFmtId="0" fontId="50" fillId="37" borderId="23" xfId="5" applyFont="1" applyFill="1" applyBorder="1" applyAlignment="1">
      <alignment horizontal="center" vertical="center" wrapText="1"/>
    </xf>
    <xf numFmtId="168" fontId="11" fillId="0" borderId="33" xfId="5" applyNumberFormat="1"/>
    <xf numFmtId="0" fontId="6" fillId="4" borderId="47" xfId="5" applyFont="1" applyFill="1" applyBorder="1" applyAlignment="1">
      <alignment horizontal="left" vertical="center"/>
    </xf>
    <xf numFmtId="0" fontId="6" fillId="4" borderId="46" xfId="5" applyFont="1" applyFill="1" applyBorder="1" applyAlignment="1">
      <alignment horizontal="left" vertical="center"/>
    </xf>
    <xf numFmtId="0" fontId="6" fillId="4" borderId="46" xfId="5" applyFont="1" applyFill="1" applyBorder="1" applyAlignment="1">
      <alignment horizontal="center" vertical="center"/>
    </xf>
    <xf numFmtId="0" fontId="6" fillId="4" borderId="45" xfId="5" applyFont="1" applyFill="1" applyBorder="1" applyAlignment="1">
      <alignment horizontal="center" vertical="center"/>
    </xf>
    <xf numFmtId="0" fontId="12" fillId="4" borderId="44" xfId="5" applyFont="1" applyFill="1" applyBorder="1" applyAlignment="1">
      <alignment horizontal="left" vertical="center"/>
    </xf>
    <xf numFmtId="0" fontId="12" fillId="4" borderId="33" xfId="5" applyFont="1" applyFill="1" applyAlignment="1">
      <alignment horizontal="center" vertical="center"/>
    </xf>
    <xf numFmtId="0" fontId="12" fillId="4" borderId="43" xfId="5" applyFont="1" applyFill="1" applyBorder="1" applyAlignment="1">
      <alignment horizontal="center" vertical="center"/>
    </xf>
    <xf numFmtId="0" fontId="47" fillId="0" borderId="33" xfId="5" applyFont="1" applyAlignment="1">
      <alignment horizontal="center" vertical="center"/>
    </xf>
    <xf numFmtId="166" fontId="0" fillId="0" borderId="33" xfId="7" applyNumberFormat="1" applyFont="1" applyAlignment="1"/>
    <xf numFmtId="0" fontId="6" fillId="5" borderId="49" xfId="5" applyFont="1" applyFill="1" applyBorder="1" applyAlignment="1">
      <alignment vertical="center"/>
    </xf>
    <xf numFmtId="0" fontId="3" fillId="0" borderId="33" xfId="5" applyFont="1"/>
    <xf numFmtId="0" fontId="6" fillId="5" borderId="33" xfId="5" applyFont="1" applyFill="1" applyAlignment="1">
      <alignment horizontal="left" vertical="center"/>
    </xf>
    <xf numFmtId="0" fontId="49" fillId="0" borderId="33" xfId="5" applyFont="1" applyAlignment="1">
      <alignment wrapText="1"/>
    </xf>
    <xf numFmtId="0" fontId="49" fillId="0" borderId="33" xfId="5" applyFont="1"/>
    <xf numFmtId="167" fontId="6" fillId="5" borderId="33" xfId="5" applyNumberFormat="1" applyFont="1" applyFill="1" applyAlignment="1">
      <alignment horizontal="left" vertical="center"/>
    </xf>
    <xf numFmtId="0" fontId="16" fillId="5" borderId="15" xfId="5" applyFont="1" applyFill="1" applyBorder="1" applyAlignment="1">
      <alignment horizontal="left" vertical="center"/>
    </xf>
    <xf numFmtId="0" fontId="48" fillId="35" borderId="24" xfId="5" applyFont="1" applyFill="1" applyBorder="1" applyAlignment="1">
      <alignment horizontal="center" vertical="center" wrapText="1"/>
    </xf>
    <xf numFmtId="1" fontId="6" fillId="32" borderId="33" xfId="5" applyNumberFormat="1" applyFont="1" applyFill="1" applyAlignment="1">
      <alignment horizontal="left" vertical="center"/>
    </xf>
    <xf numFmtId="0" fontId="6" fillId="4" borderId="42" xfId="5" applyFont="1" applyFill="1" applyBorder="1" applyAlignment="1">
      <alignment horizontal="left" vertical="center"/>
    </xf>
    <xf numFmtId="0" fontId="6" fillId="4" borderId="41" xfId="5" applyFont="1" applyFill="1" applyBorder="1" applyAlignment="1">
      <alignment horizontal="left" vertical="center"/>
    </xf>
    <xf numFmtId="0" fontId="6" fillId="4" borderId="41" xfId="5" applyFont="1" applyFill="1" applyBorder="1" applyAlignment="1">
      <alignment horizontal="center" vertical="center"/>
    </xf>
    <xf numFmtId="165" fontId="6" fillId="0" borderId="33" xfId="5" applyNumberFormat="1" applyFont="1" applyAlignment="1">
      <alignment horizontal="left" vertical="center"/>
    </xf>
    <xf numFmtId="0" fontId="6" fillId="0" borderId="46" xfId="5" applyFont="1" applyBorder="1" applyAlignment="1">
      <alignment horizontal="left" vertical="center"/>
    </xf>
    <xf numFmtId="0" fontId="6" fillId="0" borderId="46" xfId="5" applyFont="1" applyBorder="1" applyAlignment="1">
      <alignment horizontal="center" vertical="center"/>
    </xf>
    <xf numFmtId="167" fontId="6" fillId="0" borderId="33" xfId="5" applyNumberFormat="1" applyFont="1" applyAlignment="1">
      <alignment horizontal="left" vertical="center"/>
    </xf>
    <xf numFmtId="0" fontId="6" fillId="4" borderId="40" xfId="5" applyFont="1" applyFill="1" applyBorder="1" applyAlignment="1">
      <alignment horizontal="center" vertical="center"/>
    </xf>
    <xf numFmtId="1" fontId="6" fillId="33" borderId="33" xfId="5" applyNumberFormat="1" applyFont="1" applyFill="1" applyAlignment="1">
      <alignment horizontal="left" vertical="center"/>
    </xf>
    <xf numFmtId="1" fontId="6" fillId="34" borderId="33" xfId="5" applyNumberFormat="1" applyFont="1" applyFill="1" applyAlignment="1">
      <alignment horizontal="left"/>
    </xf>
    <xf numFmtId="0" fontId="5" fillId="0" borderId="33" xfId="5" applyFont="1"/>
    <xf numFmtId="0" fontId="4" fillId="2" borderId="2" xfId="5" applyFont="1" applyFill="1" applyBorder="1" applyAlignment="1">
      <alignment horizontal="left" vertical="center"/>
    </xf>
    <xf numFmtId="0" fontId="4" fillId="3" borderId="8" xfId="5" applyFont="1" applyFill="1" applyBorder="1" applyAlignment="1">
      <alignment horizontal="left" vertical="center"/>
    </xf>
    <xf numFmtId="0" fontId="4" fillId="2" borderId="8" xfId="5" applyFont="1" applyFill="1" applyBorder="1" applyAlignment="1">
      <alignment horizontal="left" vertical="center"/>
    </xf>
    <xf numFmtId="0" fontId="4" fillId="2" borderId="2" xfId="5" applyFont="1" applyFill="1" applyBorder="1" applyAlignment="1">
      <alignment vertical="center"/>
    </xf>
    <xf numFmtId="0" fontId="4" fillId="2" borderId="2" xfId="5" applyFont="1" applyFill="1" applyBorder="1" applyAlignment="1">
      <alignment horizontal="center" vertical="center"/>
    </xf>
    <xf numFmtId="0" fontId="4" fillId="2" borderId="1" xfId="5" applyFont="1" applyFill="1" applyBorder="1" applyAlignment="1">
      <alignment horizontal="center" vertical="center"/>
    </xf>
    <xf numFmtId="0" fontId="4" fillId="0" borderId="33" xfId="5" applyFont="1" applyAlignment="1">
      <alignment horizontal="center" vertical="center"/>
    </xf>
    <xf numFmtId="0" fontId="45" fillId="0" borderId="33" xfId="5" applyFont="1" applyAlignment="1">
      <alignment horizontal="center" vertical="center"/>
    </xf>
    <xf numFmtId="168" fontId="6" fillId="5" borderId="33" xfId="5" applyNumberFormat="1" applyFont="1" applyFill="1" applyAlignment="1">
      <alignment horizontal="left" vertical="center"/>
    </xf>
    <xf numFmtId="0" fontId="6" fillId="4" borderId="4" xfId="5" applyFont="1" applyFill="1" applyBorder="1" applyAlignment="1">
      <alignment horizontal="center" vertical="center"/>
    </xf>
    <xf numFmtId="0" fontId="6" fillId="4" borderId="32" xfId="5" applyFont="1" applyFill="1" applyBorder="1" applyAlignment="1">
      <alignment horizontal="left" vertical="center"/>
    </xf>
    <xf numFmtId="0" fontId="6" fillId="4" borderId="5" xfId="5" applyFont="1" applyFill="1" applyBorder="1" applyAlignment="1">
      <alignment horizontal="left" vertical="center"/>
    </xf>
    <xf numFmtId="0" fontId="6" fillId="4" borderId="30" xfId="5" applyFont="1" applyFill="1" applyBorder="1" applyAlignment="1">
      <alignment horizontal="left" vertical="center"/>
    </xf>
    <xf numFmtId="3" fontId="6" fillId="5" borderId="33" xfId="5" applyNumberFormat="1" applyFont="1" applyFill="1" applyAlignment="1">
      <alignment horizontal="left" vertical="center"/>
    </xf>
    <xf numFmtId="3" fontId="6" fillId="32" borderId="33" xfId="5" applyNumberFormat="1" applyFont="1" applyFill="1" applyAlignment="1">
      <alignment horizontal="left" vertical="center"/>
    </xf>
    <xf numFmtId="0" fontId="12" fillId="4" borderId="31" xfId="5" applyFont="1" applyFill="1" applyBorder="1" applyAlignment="1">
      <alignment horizontal="center" vertical="center"/>
    </xf>
    <xf numFmtId="3" fontId="12" fillId="5" borderId="33" xfId="5" applyNumberFormat="1" applyFont="1" applyFill="1" applyAlignment="1">
      <alignment horizontal="left" vertical="center"/>
    </xf>
    <xf numFmtId="168" fontId="6" fillId="5" borderId="33" xfId="5" applyNumberFormat="1" applyFont="1" applyFill="1" applyAlignment="1">
      <alignment vertical="center"/>
    </xf>
    <xf numFmtId="0" fontId="6" fillId="4" borderId="8" xfId="5" applyFont="1" applyFill="1" applyBorder="1" applyAlignment="1">
      <alignment horizontal="left" vertical="center"/>
    </xf>
    <xf numFmtId="0" fontId="6" fillId="4" borderId="7" xfId="5" applyFont="1" applyFill="1" applyBorder="1" applyAlignment="1">
      <alignment horizontal="left" vertical="center"/>
    </xf>
    <xf numFmtId="178" fontId="6" fillId="5" borderId="33" xfId="2" applyNumberFormat="1" applyFont="1" applyFill="1" applyBorder="1" applyAlignment="1">
      <alignment horizontal="center" vertical="center"/>
    </xf>
    <xf numFmtId="179" fontId="6" fillId="5" borderId="0" xfId="0" applyNumberFormat="1" applyFont="1" applyFill="1" applyAlignment="1">
      <alignment horizontal="center" vertical="center"/>
    </xf>
    <xf numFmtId="4" fontId="6" fillId="52" borderId="33" xfId="0" applyNumberFormat="1" applyFont="1" applyFill="1" applyBorder="1" applyAlignment="1">
      <alignment horizontal="center" vertical="center"/>
    </xf>
    <xf numFmtId="171" fontId="6" fillId="52" borderId="33" xfId="0" applyNumberFormat="1" applyFont="1" applyFill="1" applyBorder="1" applyAlignment="1">
      <alignment horizontal="center" vertical="center"/>
    </xf>
    <xf numFmtId="175" fontId="23" fillId="29" borderId="33" xfId="0" applyNumberFormat="1" applyFont="1" applyFill="1" applyBorder="1" applyAlignment="1">
      <alignment horizontal="center" vertical="center"/>
    </xf>
    <xf numFmtId="4" fontId="23" fillId="29" borderId="33" xfId="0" applyNumberFormat="1" applyFont="1" applyFill="1" applyBorder="1" applyAlignment="1">
      <alignment horizontal="center" vertical="center"/>
    </xf>
    <xf numFmtId="167" fontId="23" fillId="53" borderId="33" xfId="0" applyNumberFormat="1" applyFont="1" applyFill="1" applyBorder="1" applyAlignment="1">
      <alignment horizontal="center" vertical="center"/>
    </xf>
    <xf numFmtId="167" fontId="6" fillId="53" borderId="33" xfId="0" applyNumberFormat="1" applyFont="1" applyFill="1" applyBorder="1" applyAlignment="1">
      <alignment horizontal="center" vertical="center"/>
    </xf>
    <xf numFmtId="0" fontId="0" fillId="54" borderId="0" xfId="0" applyFill="1"/>
    <xf numFmtId="0" fontId="10" fillId="30" borderId="33" xfId="5" applyFont="1" applyFill="1" applyAlignment="1">
      <alignment horizontal="left" vertical="center"/>
    </xf>
    <xf numFmtId="0" fontId="23" fillId="54" borderId="0" xfId="0" applyFont="1" applyFill="1" applyAlignment="1">
      <alignment horizontal="center" wrapText="1"/>
    </xf>
    <xf numFmtId="0" fontId="20" fillId="54" borderId="33" xfId="5" applyFont="1" applyFill="1"/>
    <xf numFmtId="0" fontId="6" fillId="54" borderId="0" xfId="0" applyFont="1" applyFill="1" applyAlignment="1">
      <alignment horizontal="left"/>
    </xf>
    <xf numFmtId="0" fontId="43" fillId="54" borderId="0" xfId="0" applyFont="1" applyFill="1"/>
    <xf numFmtId="0" fontId="47" fillId="54" borderId="0" xfId="0" applyFont="1" applyFill="1"/>
    <xf numFmtId="175" fontId="6" fillId="29" borderId="33" xfId="0" applyNumberFormat="1" applyFont="1" applyFill="1" applyBorder="1" applyAlignment="1">
      <alignment horizontal="center" vertical="center"/>
    </xf>
    <xf numFmtId="170" fontId="6" fillId="29" borderId="33" xfId="0" applyNumberFormat="1" applyFont="1" applyFill="1" applyBorder="1" applyAlignment="1">
      <alignment horizontal="center" vertical="center"/>
    </xf>
    <xf numFmtId="0" fontId="2" fillId="0" borderId="33" xfId="8"/>
    <xf numFmtId="0" fontId="11" fillId="0" borderId="33" xfId="8" applyFont="1" applyAlignment="1">
      <alignment horizontal="center"/>
    </xf>
    <xf numFmtId="0" fontId="11" fillId="0" borderId="33" xfId="8" applyFont="1" applyAlignment="1">
      <alignment vertical="center"/>
    </xf>
    <xf numFmtId="0" fontId="6" fillId="0" borderId="33" xfId="8" applyFont="1" applyAlignment="1">
      <alignment horizontal="left" vertical="center"/>
    </xf>
    <xf numFmtId="0" fontId="11" fillId="0" borderId="33" xfId="8" applyFont="1"/>
    <xf numFmtId="0" fontId="6" fillId="0" borderId="33" xfId="8" applyFont="1" applyAlignment="1">
      <alignment horizontal="center" vertical="center"/>
    </xf>
    <xf numFmtId="0" fontId="6" fillId="19" borderId="7" xfId="8" applyFont="1" applyFill="1" applyBorder="1" applyAlignment="1">
      <alignment horizontal="left" vertical="center"/>
    </xf>
    <xf numFmtId="0" fontId="6" fillId="19" borderId="8" xfId="8" applyFont="1" applyFill="1" applyBorder="1" applyAlignment="1">
      <alignment horizontal="left" vertical="center"/>
    </xf>
    <xf numFmtId="0" fontId="6" fillId="19" borderId="8" xfId="8" applyFont="1" applyFill="1" applyBorder="1"/>
    <xf numFmtId="0" fontId="6" fillId="19" borderId="6" xfId="8" applyFont="1" applyFill="1" applyBorder="1" applyAlignment="1">
      <alignment horizontal="left" vertical="center"/>
    </xf>
    <xf numFmtId="172" fontId="11" fillId="0" borderId="33" xfId="8" applyNumberFormat="1" applyFont="1"/>
    <xf numFmtId="0" fontId="6" fillId="19" borderId="30" xfId="8" applyFont="1" applyFill="1" applyBorder="1" applyAlignment="1">
      <alignment horizontal="left" vertical="center"/>
    </xf>
    <xf numFmtId="167" fontId="6" fillId="20" borderId="33" xfId="8" applyNumberFormat="1" applyFont="1" applyFill="1" applyAlignment="1">
      <alignment horizontal="left" vertical="center"/>
    </xf>
    <xf numFmtId="0" fontId="6" fillId="20" borderId="33" xfId="8" applyFont="1" applyFill="1" applyAlignment="1">
      <alignment horizontal="left" vertical="center"/>
    </xf>
    <xf numFmtId="0" fontId="6" fillId="19" borderId="31" xfId="8" applyFont="1" applyFill="1" applyBorder="1" applyAlignment="1">
      <alignment horizontal="left" vertical="center"/>
    </xf>
    <xf numFmtId="0" fontId="23" fillId="20" borderId="33" xfId="8" applyFont="1" applyFill="1" applyAlignment="1">
      <alignment horizontal="left" vertical="center"/>
    </xf>
    <xf numFmtId="0" fontId="29" fillId="20" borderId="33" xfId="8" applyFont="1" applyFill="1" applyAlignment="1">
      <alignment horizontal="left" vertical="center"/>
    </xf>
    <xf numFmtId="0" fontId="6" fillId="19" borderId="33" xfId="8" applyFont="1" applyFill="1" applyAlignment="1">
      <alignment horizontal="left" vertical="center"/>
    </xf>
    <xf numFmtId="0" fontId="6" fillId="19" borderId="33" xfId="8" applyFont="1" applyFill="1"/>
    <xf numFmtId="0" fontId="43" fillId="0" borderId="33" xfId="8" applyFont="1"/>
    <xf numFmtId="0" fontId="23" fillId="19" borderId="30" xfId="8" applyFont="1" applyFill="1" applyBorder="1" applyAlignment="1">
      <alignment horizontal="left" vertical="center"/>
    </xf>
    <xf numFmtId="2" fontId="23" fillId="20" borderId="33" xfId="8" applyNumberFormat="1" applyFont="1" applyFill="1" applyAlignment="1">
      <alignment horizontal="left" vertical="center"/>
    </xf>
    <xf numFmtId="0" fontId="23" fillId="19" borderId="31" xfId="8" applyFont="1" applyFill="1" applyBorder="1" applyAlignment="1">
      <alignment horizontal="left" vertical="center"/>
    </xf>
    <xf numFmtId="0" fontId="23" fillId="0" borderId="33" xfId="8" applyFont="1" applyAlignment="1">
      <alignment horizontal="center" vertical="center"/>
    </xf>
    <xf numFmtId="2" fontId="6" fillId="20" borderId="33" xfId="8" applyNumberFormat="1" applyFont="1" applyFill="1" applyAlignment="1">
      <alignment horizontal="left" vertical="center"/>
    </xf>
    <xf numFmtId="0" fontId="6" fillId="19" borderId="5" xfId="8" applyFont="1" applyFill="1" applyBorder="1" applyAlignment="1">
      <alignment horizontal="left" vertical="center"/>
    </xf>
    <xf numFmtId="0" fontId="6" fillId="19" borderId="32" xfId="8" applyFont="1" applyFill="1" applyBorder="1" applyAlignment="1">
      <alignment horizontal="left" vertical="center"/>
    </xf>
    <xf numFmtId="0" fontId="6" fillId="19" borderId="4" xfId="8" applyFont="1" applyFill="1" applyBorder="1" applyAlignment="1">
      <alignment horizontal="left" vertical="center"/>
    </xf>
    <xf numFmtId="0" fontId="6" fillId="14" borderId="7" xfId="8" applyFont="1" applyFill="1" applyBorder="1" applyAlignment="1">
      <alignment horizontal="left" vertical="center"/>
    </xf>
    <xf numFmtId="0" fontId="6" fillId="14" borderId="8" xfId="8" applyFont="1" applyFill="1" applyBorder="1" applyAlignment="1">
      <alignment horizontal="left" vertical="center"/>
    </xf>
    <xf numFmtId="3" fontId="6" fillId="14" borderId="8" xfId="8" applyNumberFormat="1" applyFont="1" applyFill="1" applyBorder="1" applyAlignment="1">
      <alignment horizontal="left" vertical="center"/>
    </xf>
    <xf numFmtId="0" fontId="6" fillId="14" borderId="6" xfId="8" applyFont="1" applyFill="1" applyBorder="1" applyAlignment="1">
      <alignment horizontal="left" vertical="center"/>
    </xf>
    <xf numFmtId="0" fontId="23" fillId="14" borderId="30" xfId="8" applyFont="1" applyFill="1" applyBorder="1" applyAlignment="1">
      <alignment horizontal="left" vertical="center"/>
    </xf>
    <xf numFmtId="0" fontId="23" fillId="15" borderId="33" xfId="8" applyFont="1" applyFill="1" applyAlignment="1">
      <alignment horizontal="left" vertical="center"/>
    </xf>
    <xf numFmtId="167" fontId="23" fillId="15" borderId="33" xfId="8" applyNumberFormat="1" applyFont="1" applyFill="1" applyAlignment="1">
      <alignment horizontal="left" vertical="center"/>
    </xf>
    <xf numFmtId="0" fontId="23" fillId="14" borderId="31" xfId="8" applyFont="1" applyFill="1" applyBorder="1" applyAlignment="1">
      <alignment horizontal="center" vertical="center"/>
    </xf>
    <xf numFmtId="0" fontId="6" fillId="14" borderId="30" xfId="8" applyFont="1" applyFill="1" applyBorder="1" applyAlignment="1">
      <alignment horizontal="left" vertical="center"/>
    </xf>
    <xf numFmtId="0" fontId="6" fillId="15" borderId="33" xfId="8" applyFont="1" applyFill="1" applyAlignment="1">
      <alignment horizontal="left" vertical="center"/>
    </xf>
    <xf numFmtId="167" fontId="6" fillId="15" borderId="33" xfId="8" applyNumberFormat="1" applyFont="1" applyFill="1" applyAlignment="1">
      <alignment horizontal="left" vertical="center"/>
    </xf>
    <xf numFmtId="0" fontId="6" fillId="14" borderId="31" xfId="8" applyFont="1" applyFill="1" applyBorder="1" applyAlignment="1">
      <alignment horizontal="center" vertical="center"/>
    </xf>
    <xf numFmtId="0" fontId="6" fillId="14" borderId="31" xfId="8" applyFont="1" applyFill="1" applyBorder="1" applyAlignment="1">
      <alignment horizontal="left" vertical="center"/>
    </xf>
    <xf numFmtId="0" fontId="6" fillId="55" borderId="33" xfId="8" applyFont="1" applyFill="1" applyAlignment="1">
      <alignment horizontal="left" vertical="center"/>
    </xf>
    <xf numFmtId="0" fontId="29" fillId="15" borderId="33" xfId="8" applyFont="1" applyFill="1" applyAlignment="1">
      <alignment horizontal="left" vertical="center"/>
    </xf>
    <xf numFmtId="0" fontId="6" fillId="14" borderId="33" xfId="8" applyFont="1" applyFill="1" applyAlignment="1">
      <alignment horizontal="left" vertical="center"/>
    </xf>
    <xf numFmtId="3" fontId="6" fillId="14" borderId="33" xfId="8" applyNumberFormat="1" applyFont="1" applyFill="1" applyAlignment="1">
      <alignment horizontal="left" vertical="center"/>
    </xf>
    <xf numFmtId="0" fontId="24" fillId="0" borderId="33" xfId="8" applyFont="1" applyAlignment="1">
      <alignment horizontal="center" vertical="center"/>
    </xf>
    <xf numFmtId="2" fontId="6" fillId="15" borderId="33" xfId="8" applyNumberFormat="1" applyFont="1" applyFill="1" applyAlignment="1">
      <alignment horizontal="left" vertical="center"/>
    </xf>
    <xf numFmtId="2" fontId="23" fillId="15" borderId="33" xfId="8" applyNumberFormat="1" applyFont="1" applyFill="1" applyAlignment="1">
      <alignment horizontal="left" vertical="center"/>
    </xf>
    <xf numFmtId="170" fontId="6" fillId="15" borderId="33" xfId="8" applyNumberFormat="1" applyFont="1" applyFill="1" applyAlignment="1">
      <alignment horizontal="left" vertical="center"/>
    </xf>
    <xf numFmtId="0" fontId="6" fillId="56" borderId="33" xfId="8" applyFont="1" applyFill="1" applyAlignment="1">
      <alignment horizontal="left" vertical="center"/>
    </xf>
    <xf numFmtId="0" fontId="6" fillId="14" borderId="5" xfId="8" applyFont="1" applyFill="1" applyBorder="1" applyAlignment="1">
      <alignment horizontal="left" vertical="center"/>
    </xf>
    <xf numFmtId="0" fontId="6" fillId="14" borderId="32" xfId="8" applyFont="1" applyFill="1" applyBorder="1" applyAlignment="1">
      <alignment horizontal="left" vertical="center"/>
    </xf>
    <xf numFmtId="0" fontId="6" fillId="14" borderId="4" xfId="8" applyFont="1" applyFill="1" applyBorder="1" applyAlignment="1">
      <alignment horizontal="left" vertical="center"/>
    </xf>
    <xf numFmtId="0" fontId="6" fillId="2" borderId="3" xfId="8" applyFont="1" applyFill="1" applyBorder="1" applyAlignment="1">
      <alignment horizontal="left" vertical="center"/>
    </xf>
    <xf numFmtId="0" fontId="6" fillId="2" borderId="2" xfId="8" applyFont="1" applyFill="1" applyBorder="1" applyAlignment="1">
      <alignment horizontal="left" vertical="center"/>
    </xf>
    <xf numFmtId="0" fontId="29" fillId="2" borderId="2" xfId="8" applyFont="1" applyFill="1" applyBorder="1" applyAlignment="1">
      <alignment horizontal="left" vertical="center"/>
    </xf>
    <xf numFmtId="0" fontId="6" fillId="2" borderId="1" xfId="8" applyFont="1" applyFill="1" applyBorder="1" applyAlignment="1">
      <alignment horizontal="left" vertical="center"/>
    </xf>
    <xf numFmtId="167" fontId="23" fillId="20" borderId="33" xfId="8" applyNumberFormat="1" applyFont="1" applyFill="1" applyAlignment="1">
      <alignment horizontal="left" vertical="center"/>
    </xf>
    <xf numFmtId="1" fontId="6" fillId="15" borderId="33" xfId="8" applyNumberFormat="1" applyFont="1" applyFill="1" applyAlignment="1">
      <alignment horizontal="left" vertical="center"/>
    </xf>
    <xf numFmtId="0" fontId="6" fillId="57" borderId="4" xfId="8" applyFont="1" applyFill="1" applyBorder="1" applyAlignment="1">
      <alignment horizontal="left" vertical="center"/>
    </xf>
    <xf numFmtId="0" fontId="6" fillId="57" borderId="32" xfId="8" applyFont="1" applyFill="1" applyBorder="1" applyAlignment="1">
      <alignment horizontal="left" vertical="center"/>
    </xf>
    <xf numFmtId="0" fontId="6" fillId="57" borderId="5" xfId="8" applyFont="1" applyFill="1" applyBorder="1" applyAlignment="1">
      <alignment horizontal="left" vertical="center"/>
    </xf>
    <xf numFmtId="0" fontId="29" fillId="58" borderId="33" xfId="8" applyFont="1" applyFill="1" applyAlignment="1">
      <alignment horizontal="left" vertical="center"/>
    </xf>
    <xf numFmtId="0" fontId="6" fillId="58" borderId="33" xfId="8" applyFont="1" applyFill="1" applyAlignment="1">
      <alignment horizontal="left" vertical="center"/>
    </xf>
    <xf numFmtId="0" fontId="23" fillId="58" borderId="33" xfId="8" applyFont="1" applyFill="1" applyAlignment="1">
      <alignment horizontal="left" vertical="center"/>
    </xf>
    <xf numFmtId="0" fontId="6" fillId="57" borderId="30" xfId="8" applyFont="1" applyFill="1" applyBorder="1" applyAlignment="1">
      <alignment horizontal="left" vertical="center"/>
    </xf>
    <xf numFmtId="0" fontId="23" fillId="57" borderId="30" xfId="8" applyFont="1" applyFill="1" applyBorder="1" applyAlignment="1">
      <alignment horizontal="left" vertical="center"/>
    </xf>
    <xf numFmtId="0" fontId="6" fillId="57" borderId="31" xfId="8" applyFont="1" applyFill="1" applyBorder="1" applyAlignment="1">
      <alignment horizontal="left" vertical="center"/>
    </xf>
    <xf numFmtId="0" fontId="23" fillId="57" borderId="31" xfId="8" applyFont="1" applyFill="1" applyBorder="1" applyAlignment="1">
      <alignment horizontal="left" vertical="center"/>
    </xf>
    <xf numFmtId="0" fontId="6" fillId="57" borderId="6" xfId="8" applyFont="1" applyFill="1" applyBorder="1" applyAlignment="1">
      <alignment horizontal="left" vertical="center"/>
    </xf>
    <xf numFmtId="0" fontId="6" fillId="57" borderId="8" xfId="8" applyFont="1" applyFill="1" applyBorder="1"/>
    <xf numFmtId="0" fontId="6" fillId="57" borderId="8" xfId="8" applyFont="1" applyFill="1" applyBorder="1" applyAlignment="1">
      <alignment horizontal="left" vertical="center"/>
    </xf>
    <xf numFmtId="0" fontId="6" fillId="57" borderId="7" xfId="8" applyFont="1" applyFill="1" applyBorder="1" applyAlignment="1">
      <alignment horizontal="left" vertical="center"/>
    </xf>
    <xf numFmtId="0" fontId="6" fillId="57" borderId="33" xfId="8" applyFont="1" applyFill="1"/>
    <xf numFmtId="0" fontId="6" fillId="57" borderId="33" xfId="8" applyFont="1" applyFill="1" applyAlignment="1">
      <alignment horizontal="left" vertical="center"/>
    </xf>
    <xf numFmtId="1" fontId="6" fillId="58" borderId="33" xfId="8" applyNumberFormat="1" applyFont="1" applyFill="1" applyAlignment="1">
      <alignment horizontal="left" vertical="center"/>
    </xf>
    <xf numFmtId="1" fontId="23" fillId="58" borderId="33" xfId="8" applyNumberFormat="1" applyFont="1" applyFill="1" applyAlignment="1">
      <alignment horizontal="left" vertical="center"/>
    </xf>
    <xf numFmtId="1" fontId="6" fillId="57" borderId="33" xfId="8" applyNumberFormat="1" applyFont="1" applyFill="1" applyAlignment="1">
      <alignment horizontal="left" vertical="center"/>
    </xf>
    <xf numFmtId="0" fontId="6" fillId="5" borderId="49" xfId="5" applyFont="1" applyFill="1" applyBorder="1" applyAlignment="1">
      <alignment horizontal="left" vertical="center"/>
    </xf>
    <xf numFmtId="168" fontId="6" fillId="31" borderId="33" xfId="5" applyNumberFormat="1" applyFont="1" applyFill="1" applyAlignment="1">
      <alignment horizontal="left" vertical="center"/>
    </xf>
    <xf numFmtId="169" fontId="47" fillId="0" borderId="0" xfId="0" applyNumberFormat="1" applyFont="1"/>
    <xf numFmtId="0" fontId="56" fillId="0" borderId="33" xfId="5" applyFont="1" applyAlignment="1">
      <alignment horizontal="left" vertical="center"/>
    </xf>
    <xf numFmtId="167" fontId="6" fillId="14" borderId="33" xfId="8" applyNumberFormat="1" applyFont="1" applyFill="1" applyAlignment="1">
      <alignment horizontal="left" vertical="center"/>
    </xf>
    <xf numFmtId="2" fontId="6" fillId="58" borderId="33" xfId="8" applyNumberFormat="1" applyFont="1" applyFill="1" applyAlignment="1">
      <alignment horizontal="left" vertical="center"/>
    </xf>
    <xf numFmtId="2" fontId="23" fillId="58" borderId="33" xfId="8" applyNumberFormat="1" applyFont="1" applyFill="1" applyAlignment="1">
      <alignment horizontal="left" vertical="center"/>
    </xf>
    <xf numFmtId="174" fontId="6" fillId="20" borderId="33" xfId="8" applyNumberFormat="1" applyFont="1" applyFill="1" applyAlignment="1">
      <alignment horizontal="left" vertical="center"/>
    </xf>
    <xf numFmtId="0" fontId="36" fillId="59" borderId="33" xfId="0" applyFont="1" applyFill="1" applyBorder="1"/>
    <xf numFmtId="0" fontId="20" fillId="59" borderId="33" xfId="0" applyFont="1" applyFill="1" applyBorder="1"/>
    <xf numFmtId="0" fontId="20" fillId="61" borderId="33" xfId="0" applyFont="1" applyFill="1" applyBorder="1"/>
    <xf numFmtId="0" fontId="36" fillId="59" borderId="0" xfId="0" applyFont="1" applyFill="1"/>
    <xf numFmtId="0" fontId="20" fillId="61" borderId="33" xfId="0" applyFont="1" applyFill="1" applyBorder="1" applyAlignment="1">
      <alignment wrapText="1"/>
    </xf>
    <xf numFmtId="0" fontId="0" fillId="62" borderId="0" xfId="0" applyFill="1"/>
    <xf numFmtId="0" fontId="36" fillId="60" borderId="4" xfId="0" applyFont="1" applyFill="1" applyBorder="1"/>
    <xf numFmtId="0" fontId="36" fillId="60" borderId="32" xfId="0" applyFont="1" applyFill="1" applyBorder="1"/>
    <xf numFmtId="0" fontId="36" fillId="60" borderId="5" xfId="0" applyFont="1" applyFill="1" applyBorder="1"/>
    <xf numFmtId="0" fontId="20" fillId="61" borderId="31" xfId="0" applyFont="1" applyFill="1" applyBorder="1" applyAlignment="1">
      <alignment wrapText="1"/>
    </xf>
    <xf numFmtId="0" fontId="20" fillId="61" borderId="30" xfId="0" applyFont="1" applyFill="1" applyBorder="1"/>
    <xf numFmtId="0" fontId="36" fillId="61" borderId="6" xfId="0" applyFont="1" applyFill="1" applyBorder="1"/>
    <xf numFmtId="0" fontId="36" fillId="61" borderId="8" xfId="0" applyFont="1" applyFill="1" applyBorder="1"/>
    <xf numFmtId="0" fontId="36" fillId="61" borderId="7" xfId="0" applyFont="1" applyFill="1" applyBorder="1"/>
    <xf numFmtId="0" fontId="0" fillId="62" borderId="33" xfId="0" applyFill="1" applyBorder="1"/>
    <xf numFmtId="0" fontId="36" fillId="60" borderId="87" xfId="0" applyFont="1" applyFill="1" applyBorder="1"/>
    <xf numFmtId="0" fontId="20" fillId="61" borderId="10" xfId="0" applyFont="1" applyFill="1" applyBorder="1" applyAlignment="1">
      <alignment wrapText="1"/>
    </xf>
    <xf numFmtId="0" fontId="36" fillId="61" borderId="88" xfId="0" applyFont="1" applyFill="1" applyBorder="1"/>
    <xf numFmtId="0" fontId="20" fillId="61" borderId="10" xfId="0" applyFont="1" applyFill="1" applyBorder="1"/>
    <xf numFmtId="0" fontId="20" fillId="61" borderId="31" xfId="0" applyFont="1" applyFill="1" applyBorder="1"/>
    <xf numFmtId="0" fontId="20" fillId="61" borderId="88" xfId="0" applyFont="1" applyFill="1" applyBorder="1"/>
    <xf numFmtId="0" fontId="59" fillId="0" borderId="0" xfId="0" applyFont="1" applyAlignment="1">
      <alignment readingOrder="1"/>
    </xf>
    <xf numFmtId="0" fontId="20" fillId="61" borderId="10" xfId="0" applyFont="1" applyFill="1" applyBorder="1" applyAlignment="1">
      <alignment horizontal="center" vertical="center"/>
    </xf>
    <xf numFmtId="0" fontId="20" fillId="61" borderId="88" xfId="0" applyFont="1" applyFill="1" applyBorder="1" applyAlignment="1">
      <alignment horizontal="center"/>
    </xf>
    <xf numFmtId="0" fontId="61" fillId="61" borderId="31" xfId="0" applyFont="1" applyFill="1" applyBorder="1" applyAlignment="1">
      <alignment wrapText="1"/>
    </xf>
    <xf numFmtId="0" fontId="20" fillId="61" borderId="30" xfId="0" applyFont="1" applyFill="1" applyBorder="1" applyAlignment="1">
      <alignment vertical="center"/>
    </xf>
    <xf numFmtId="0" fontId="62" fillId="0" borderId="0" xfId="0" applyFont="1"/>
    <xf numFmtId="0" fontId="0" fillId="0" borderId="33" xfId="0" applyBorder="1"/>
    <xf numFmtId="0" fontId="20" fillId="61" borderId="30" xfId="0" applyFont="1" applyFill="1" applyBorder="1" applyAlignment="1">
      <alignment wrapText="1"/>
    </xf>
    <xf numFmtId="0" fontId="20" fillId="61" borderId="8" xfId="0" applyFont="1" applyFill="1" applyBorder="1" applyAlignment="1">
      <alignment wrapText="1"/>
    </xf>
    <xf numFmtId="0" fontId="20" fillId="61" borderId="7" xfId="0" applyFont="1" applyFill="1" applyBorder="1" applyAlignment="1">
      <alignment wrapText="1"/>
    </xf>
    <xf numFmtId="0" fontId="20" fillId="61" borderId="88" xfId="0" applyFont="1" applyFill="1" applyBorder="1" applyAlignment="1">
      <alignment wrapText="1"/>
    </xf>
    <xf numFmtId="0" fontId="36" fillId="60" borderId="32" xfId="0" applyFont="1" applyFill="1" applyBorder="1" applyAlignment="1">
      <alignment horizontal="right"/>
    </xf>
    <xf numFmtId="0" fontId="36" fillId="60" borderId="89" xfId="0" applyFont="1" applyFill="1" applyBorder="1" applyAlignment="1">
      <alignment horizontal="center"/>
    </xf>
    <xf numFmtId="0" fontId="20" fillId="61" borderId="31" xfId="0" applyFont="1" applyFill="1" applyBorder="1" applyAlignment="1">
      <alignment horizontal="center"/>
    </xf>
    <xf numFmtId="0" fontId="20" fillId="61" borderId="6" xfId="0" applyFont="1" applyFill="1" applyBorder="1" applyAlignment="1">
      <alignment horizontal="center"/>
    </xf>
    <xf numFmtId="0" fontId="20" fillId="61" borderId="90" xfId="0" applyFont="1" applyFill="1" applyBorder="1"/>
    <xf numFmtId="0" fontId="36" fillId="61" borderId="91" xfId="0" applyFont="1" applyFill="1" applyBorder="1"/>
    <xf numFmtId="2" fontId="20" fillId="61" borderId="90" xfId="0" applyNumberFormat="1" applyFont="1" applyFill="1" applyBorder="1"/>
    <xf numFmtId="2" fontId="36" fillId="61" borderId="91" xfId="0" applyNumberFormat="1" applyFont="1" applyFill="1" applyBorder="1"/>
    <xf numFmtId="0" fontId="1" fillId="0" borderId="0" xfId="0" applyFont="1"/>
    <xf numFmtId="0" fontId="20" fillId="61" borderId="90" xfId="0" applyFont="1" applyFill="1" applyBorder="1" applyAlignment="1">
      <alignment vertical="center"/>
    </xf>
    <xf numFmtId="0" fontId="63" fillId="0" borderId="33" xfId="0" applyFont="1" applyBorder="1" applyAlignment="1">
      <alignment wrapText="1"/>
    </xf>
    <xf numFmtId="0" fontId="20" fillId="61" borderId="43" xfId="0" applyFont="1" applyFill="1" applyBorder="1" applyAlignment="1">
      <alignment horizontal="center" vertical="center"/>
    </xf>
    <xf numFmtId="0" fontId="36" fillId="60" borderId="87" xfId="0" applyFont="1" applyFill="1" applyBorder="1" applyAlignment="1">
      <alignment horizontal="center"/>
    </xf>
    <xf numFmtId="0" fontId="36" fillId="60" borderId="10" xfId="0" applyFont="1" applyFill="1" applyBorder="1" applyAlignment="1">
      <alignment horizontal="center"/>
    </xf>
    <xf numFmtId="0" fontId="20" fillId="61" borderId="10" xfId="0" applyFont="1" applyFill="1" applyBorder="1" applyAlignment="1">
      <alignment vertical="center"/>
    </xf>
    <xf numFmtId="0" fontId="36" fillId="60" borderId="4" xfId="0" applyFont="1" applyFill="1" applyBorder="1" applyAlignment="1">
      <alignment horizontal="center"/>
    </xf>
    <xf numFmtId="0" fontId="36" fillId="60" borderId="31" xfId="0" applyFont="1" applyFill="1" applyBorder="1" applyAlignment="1">
      <alignment horizontal="center"/>
    </xf>
    <xf numFmtId="0" fontId="20" fillId="61" borderId="31" xfId="0" applyFont="1" applyFill="1" applyBorder="1" applyAlignment="1">
      <alignment vertical="center"/>
    </xf>
    <xf numFmtId="0" fontId="36" fillId="60" borderId="1" xfId="0" applyFont="1" applyFill="1" applyBorder="1" applyAlignment="1">
      <alignment horizontal="center"/>
    </xf>
    <xf numFmtId="0" fontId="20" fillId="61" borderId="31" xfId="0" applyFont="1" applyFill="1" applyBorder="1" applyAlignment="1">
      <alignment horizontal="center" vertical="center"/>
    </xf>
    <xf numFmtId="0" fontId="20" fillId="61" borderId="94" xfId="0" applyFont="1" applyFill="1" applyBorder="1" applyAlignment="1">
      <alignment horizontal="center" vertical="center"/>
    </xf>
    <xf numFmtId="0" fontId="20" fillId="61" borderId="6" xfId="0" applyFont="1" applyFill="1" applyBorder="1" applyAlignment="1">
      <alignment horizontal="center" vertical="center"/>
    </xf>
    <xf numFmtId="0" fontId="20" fillId="61" borderId="88"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left" vertical="center"/>
    </xf>
    <xf numFmtId="3" fontId="1" fillId="5" borderId="0" xfId="0" applyNumberFormat="1" applyFont="1" applyFill="1" applyAlignment="1">
      <alignment horizontal="left" vertical="center"/>
    </xf>
    <xf numFmtId="3" fontId="1" fillId="32" borderId="0" xfId="0" applyNumberFormat="1" applyFont="1" applyFill="1" applyAlignment="1">
      <alignment horizontal="left" vertical="center"/>
    </xf>
    <xf numFmtId="1" fontId="1" fillId="32" borderId="0" xfId="0" applyNumberFormat="1" applyFont="1" applyFill="1" applyAlignment="1">
      <alignment horizontal="left" vertical="center"/>
    </xf>
    <xf numFmtId="1" fontId="1" fillId="5" borderId="0" xfId="0" applyNumberFormat="1" applyFont="1" applyFill="1" applyAlignment="1">
      <alignment horizontal="left" vertical="center"/>
    </xf>
    <xf numFmtId="1" fontId="1" fillId="33" borderId="0" xfId="0" applyNumberFormat="1" applyFont="1" applyFill="1" applyAlignment="1">
      <alignment horizontal="left" vertical="center"/>
    </xf>
    <xf numFmtId="0" fontId="1" fillId="4" borderId="44" xfId="0" applyFont="1" applyFill="1" applyBorder="1" applyAlignment="1">
      <alignment horizontal="left" vertical="center"/>
    </xf>
    <xf numFmtId="165" fontId="1" fillId="5" borderId="0" xfId="0" applyNumberFormat="1" applyFont="1" applyFill="1" applyAlignment="1">
      <alignment horizontal="left" vertical="center"/>
    </xf>
    <xf numFmtId="165" fontId="1" fillId="33" borderId="0" xfId="0" applyNumberFormat="1" applyFont="1" applyFill="1" applyAlignment="1">
      <alignment horizontal="left" vertical="center"/>
    </xf>
    <xf numFmtId="0" fontId="1" fillId="35" borderId="11" xfId="0" applyFont="1" applyFill="1" applyBorder="1" applyAlignment="1">
      <alignment horizontal="center" vertical="center"/>
    </xf>
    <xf numFmtId="166" fontId="1" fillId="5" borderId="0" xfId="0" applyNumberFormat="1" applyFont="1" applyFill="1" applyAlignment="1">
      <alignment horizontal="left" vertical="center"/>
    </xf>
    <xf numFmtId="0" fontId="1" fillId="0" borderId="10" xfId="0" applyFont="1" applyBorder="1" applyAlignment="1">
      <alignment horizontal="center" vertical="center"/>
    </xf>
    <xf numFmtId="168" fontId="1" fillId="42" borderId="0" xfId="0" applyNumberFormat="1" applyFont="1" applyFill="1" applyAlignment="1">
      <alignment horizontal="left" vertical="center"/>
    </xf>
    <xf numFmtId="168" fontId="1" fillId="5" borderId="0" xfId="0" applyNumberFormat="1" applyFont="1" applyFill="1" applyAlignment="1">
      <alignment vertical="center"/>
    </xf>
    <xf numFmtId="168" fontId="1" fillId="5" borderId="0" xfId="0" applyNumberFormat="1" applyFont="1" applyFill="1" applyAlignment="1">
      <alignment horizontal="left" vertical="center" wrapText="1"/>
    </xf>
    <xf numFmtId="168" fontId="1" fillId="42" borderId="0" xfId="0" applyNumberFormat="1" applyFont="1" applyFill="1" applyAlignment="1">
      <alignment horizontal="left" vertical="center" wrapText="1"/>
    </xf>
    <xf numFmtId="168" fontId="1" fillId="42" borderId="0" xfId="0" applyNumberFormat="1" applyFont="1" applyFill="1" applyAlignment="1">
      <alignment vertical="center"/>
    </xf>
    <xf numFmtId="168" fontId="1" fillId="0" borderId="0" xfId="0" applyNumberFormat="1" applyFont="1" applyAlignment="1">
      <alignment horizontal="left" vertical="center"/>
    </xf>
    <xf numFmtId="0" fontId="1" fillId="0" borderId="33" xfId="0" applyFont="1" applyBorder="1"/>
    <xf numFmtId="0" fontId="1" fillId="63" borderId="33" xfId="0" applyFont="1" applyFill="1" applyBorder="1"/>
    <xf numFmtId="0" fontId="1" fillId="4" borderId="43" xfId="5" applyFont="1" applyFill="1" applyBorder="1" applyAlignment="1">
      <alignment horizontal="center" vertical="center"/>
    </xf>
    <xf numFmtId="0" fontId="1" fillId="4" borderId="33" xfId="5" applyFont="1" applyFill="1" applyAlignment="1">
      <alignment horizontal="center" vertical="center"/>
    </xf>
    <xf numFmtId="0" fontId="1" fillId="5" borderId="33" xfId="5" applyFont="1" applyFill="1" applyAlignment="1">
      <alignment horizontal="left" vertical="center"/>
    </xf>
    <xf numFmtId="3" fontId="1" fillId="5" borderId="33" xfId="5" applyNumberFormat="1" applyFont="1" applyFill="1" applyAlignment="1">
      <alignment horizontal="left" vertical="center"/>
    </xf>
    <xf numFmtId="3" fontId="1" fillId="32" borderId="33" xfId="5" applyNumberFormat="1" applyFont="1" applyFill="1" applyAlignment="1">
      <alignment horizontal="left" vertical="center"/>
    </xf>
    <xf numFmtId="1" fontId="1" fillId="32" borderId="33" xfId="5" applyNumberFormat="1" applyFont="1" applyFill="1" applyAlignment="1">
      <alignment horizontal="left" vertical="center"/>
    </xf>
    <xf numFmtId="1" fontId="1" fillId="5" borderId="33" xfId="5" applyNumberFormat="1" applyFont="1" applyFill="1" applyAlignment="1">
      <alignment horizontal="left" vertical="center"/>
    </xf>
    <xf numFmtId="1" fontId="1" fillId="33" borderId="33" xfId="5" applyNumberFormat="1" applyFont="1" applyFill="1" applyAlignment="1">
      <alignment horizontal="left" vertical="center"/>
    </xf>
    <xf numFmtId="0" fontId="1" fillId="4" borderId="44" xfId="5" applyFont="1" applyFill="1" applyBorder="1" applyAlignment="1">
      <alignment horizontal="left" vertical="center"/>
    </xf>
    <xf numFmtId="0" fontId="1" fillId="0" borderId="33" xfId="5" applyFont="1"/>
    <xf numFmtId="165" fontId="1" fillId="5" borderId="33" xfId="5" applyNumberFormat="1" applyFont="1" applyFill="1" applyAlignment="1">
      <alignment horizontal="left" vertical="center"/>
    </xf>
    <xf numFmtId="0" fontId="1" fillId="35" borderId="24" xfId="5" applyFont="1" applyFill="1" applyBorder="1" applyAlignment="1">
      <alignment horizontal="center" vertical="center"/>
    </xf>
    <xf numFmtId="166" fontId="1" fillId="5" borderId="33" xfId="5" applyNumberFormat="1" applyFont="1" applyFill="1" applyAlignment="1">
      <alignment horizontal="left" vertical="center"/>
    </xf>
    <xf numFmtId="0" fontId="1" fillId="0" borderId="31" xfId="5" applyFont="1" applyBorder="1" applyAlignment="1">
      <alignment horizontal="center" vertical="center"/>
    </xf>
    <xf numFmtId="168" fontId="1" fillId="5" borderId="33" xfId="5" applyNumberFormat="1" applyFont="1" applyFill="1" applyAlignment="1">
      <alignment horizontal="left" vertical="center" wrapText="1"/>
    </xf>
    <xf numFmtId="168" fontId="1" fillId="0" borderId="33" xfId="5" applyNumberFormat="1" applyFont="1"/>
    <xf numFmtId="168" fontId="1" fillId="5" borderId="33" xfId="5" applyNumberFormat="1" applyFont="1" applyFill="1" applyAlignment="1">
      <alignment vertical="center"/>
    </xf>
    <xf numFmtId="168" fontId="1" fillId="0" borderId="33" xfId="5" applyNumberFormat="1" applyFont="1" applyAlignment="1">
      <alignment horizontal="left" vertical="center"/>
    </xf>
    <xf numFmtId="0" fontId="58" fillId="62" borderId="30" xfId="0" applyFont="1" applyFill="1" applyBorder="1" applyAlignment="1">
      <alignment wrapText="1" readingOrder="1"/>
    </xf>
    <xf numFmtId="175" fontId="20" fillId="61" borderId="30" xfId="0" applyNumberFormat="1" applyFont="1" applyFill="1" applyBorder="1"/>
    <xf numFmtId="0" fontId="36" fillId="59" borderId="33" xfId="0" applyFont="1" applyFill="1" applyBorder="1" applyAlignment="1">
      <alignment horizontal="center"/>
    </xf>
    <xf numFmtId="0" fontId="0" fillId="62" borderId="0" xfId="0" applyFill="1" applyAlignment="1">
      <alignment horizontal="center"/>
    </xf>
    <xf numFmtId="0" fontId="0" fillId="62" borderId="33" xfId="0" applyFill="1" applyBorder="1" applyAlignment="1">
      <alignment horizontal="center"/>
    </xf>
    <xf numFmtId="0" fontId="58" fillId="62" borderId="33" xfId="0" applyFont="1" applyFill="1" applyBorder="1" applyAlignment="1">
      <alignment wrapText="1" readingOrder="1"/>
    </xf>
    <xf numFmtId="0" fontId="36" fillId="61" borderId="33" xfId="0" applyFont="1" applyFill="1" applyBorder="1"/>
    <xf numFmtId="0" fontId="36" fillId="60" borderId="95" xfId="0" applyFont="1" applyFill="1" applyBorder="1" applyAlignment="1">
      <alignment horizontal="center"/>
    </xf>
    <xf numFmtId="0" fontId="20" fillId="61" borderId="96" xfId="0" applyFont="1" applyFill="1" applyBorder="1" applyAlignment="1">
      <alignment vertical="center"/>
    </xf>
    <xf numFmtId="0" fontId="61" fillId="61" borderId="6" xfId="0" applyFont="1" applyFill="1" applyBorder="1" applyAlignment="1">
      <alignment wrapText="1"/>
    </xf>
    <xf numFmtId="0" fontId="20" fillId="61" borderId="97" xfId="0" applyFont="1" applyFill="1" applyBorder="1" applyAlignment="1">
      <alignment vertical="center"/>
    </xf>
    <xf numFmtId="0" fontId="36" fillId="61" borderId="98" xfId="0" applyFont="1" applyFill="1" applyBorder="1"/>
    <xf numFmtId="0" fontId="48" fillId="62" borderId="33" xfId="0" applyFont="1" applyFill="1" applyBorder="1" applyAlignment="1">
      <alignment vertical="center" wrapText="1"/>
    </xf>
    <xf numFmtId="0" fontId="51" fillId="0" borderId="0" xfId="0" applyFont="1"/>
    <xf numFmtId="0" fontId="48" fillId="0" borderId="33" xfId="0" applyFont="1" applyBorder="1"/>
    <xf numFmtId="0" fontId="61" fillId="0" borderId="33" xfId="0" applyFont="1" applyBorder="1" applyAlignment="1">
      <alignment wrapText="1"/>
    </xf>
    <xf numFmtId="0" fontId="29" fillId="0" borderId="33" xfId="8" applyFont="1" applyAlignment="1">
      <alignment horizontal="left" vertical="center"/>
    </xf>
    <xf numFmtId="3" fontId="6" fillId="15" borderId="33" xfId="8" applyNumberFormat="1" applyFont="1" applyFill="1" applyAlignment="1">
      <alignment horizontal="left" vertical="center"/>
    </xf>
    <xf numFmtId="170" fontId="6" fillId="0" borderId="33" xfId="8" applyNumberFormat="1" applyFont="1" applyAlignment="1">
      <alignment horizontal="center" vertical="center"/>
    </xf>
    <xf numFmtId="2" fontId="6" fillId="48" borderId="33" xfId="8" applyNumberFormat="1" applyFont="1" applyFill="1" applyAlignment="1">
      <alignment horizontal="left" vertical="center"/>
    </xf>
    <xf numFmtId="3" fontId="6" fillId="48" borderId="33" xfId="8" applyNumberFormat="1" applyFont="1" applyFill="1" applyAlignment="1">
      <alignment horizontal="left" vertical="center"/>
    </xf>
    <xf numFmtId="2" fontId="6" fillId="0" borderId="33" xfId="8" applyNumberFormat="1" applyFont="1" applyAlignment="1">
      <alignment horizontal="left" vertical="center"/>
    </xf>
    <xf numFmtId="0" fontId="6" fillId="65" borderId="33" xfId="8" applyFont="1" applyFill="1" applyAlignment="1">
      <alignment horizontal="left" vertical="center"/>
    </xf>
    <xf numFmtId="2" fontId="6" fillId="65" borderId="33" xfId="8" applyNumberFormat="1" applyFont="1" applyFill="1" applyAlignment="1">
      <alignment horizontal="left" vertical="center"/>
    </xf>
    <xf numFmtId="0" fontId="6" fillId="66" borderId="33" xfId="8" applyFont="1" applyFill="1" applyAlignment="1">
      <alignment horizontal="left" vertical="center"/>
    </xf>
    <xf numFmtId="174" fontId="6" fillId="66" borderId="33" xfId="8" applyNumberFormat="1" applyFont="1" applyFill="1" applyAlignment="1">
      <alignment horizontal="left" vertical="center"/>
    </xf>
    <xf numFmtId="167" fontId="6" fillId="66" borderId="33" xfId="8" applyNumberFormat="1" applyFont="1" applyFill="1" applyAlignment="1">
      <alignment horizontal="left" vertical="center"/>
    </xf>
    <xf numFmtId="2" fontId="6" fillId="66" borderId="33" xfId="8" applyNumberFormat="1" applyFont="1" applyFill="1" applyAlignment="1">
      <alignment horizontal="left" vertical="center"/>
    </xf>
    <xf numFmtId="0" fontId="23" fillId="66" borderId="33" xfId="8" applyFont="1" applyFill="1" applyAlignment="1">
      <alignment horizontal="left" vertical="center"/>
    </xf>
    <xf numFmtId="2" fontId="23" fillId="66" borderId="33" xfId="8" applyNumberFormat="1" applyFont="1" applyFill="1" applyAlignment="1">
      <alignment horizontal="left" vertical="center"/>
    </xf>
    <xf numFmtId="0" fontId="42" fillId="4" borderId="33" xfId="0" applyFont="1" applyFill="1" applyBorder="1" applyAlignment="1">
      <alignment vertical="center"/>
    </xf>
    <xf numFmtId="0" fontId="23" fillId="5" borderId="33" xfId="0" applyFont="1" applyFill="1" applyBorder="1" applyAlignment="1">
      <alignment vertical="center"/>
    </xf>
    <xf numFmtId="0" fontId="6" fillId="5" borderId="33" xfId="0" applyFont="1" applyFill="1" applyBorder="1" applyAlignment="1">
      <alignment vertical="center"/>
    </xf>
    <xf numFmtId="0" fontId="6" fillId="4" borderId="33" xfId="0" applyFont="1" applyFill="1" applyBorder="1" applyAlignment="1">
      <alignment horizontal="left" vertical="center"/>
    </xf>
    <xf numFmtId="43" fontId="6" fillId="5" borderId="33" xfId="0" applyNumberFormat="1" applyFont="1" applyFill="1" applyBorder="1" applyAlignment="1">
      <alignment horizontal="center" vertical="center"/>
    </xf>
    <xf numFmtId="164" fontId="0" fillId="0" borderId="0" xfId="1" applyFont="1"/>
    <xf numFmtId="0" fontId="6" fillId="51" borderId="33" xfId="0" applyFont="1" applyFill="1" applyBorder="1" applyAlignment="1">
      <alignment horizontal="center" vertical="center"/>
    </xf>
    <xf numFmtId="169" fontId="6" fillId="56" borderId="33" xfId="0" applyNumberFormat="1" applyFont="1" applyFill="1" applyBorder="1" applyAlignment="1">
      <alignment horizontal="center" vertical="center"/>
    </xf>
    <xf numFmtId="0" fontId="6" fillId="14" borderId="30" xfId="0" applyFont="1" applyFill="1" applyBorder="1" applyAlignment="1">
      <alignment horizontal="center" vertical="center"/>
    </xf>
    <xf numFmtId="167" fontId="6" fillId="51" borderId="33" xfId="0" applyNumberFormat="1" applyFont="1" applyFill="1" applyBorder="1" applyAlignment="1">
      <alignment horizontal="center" vertical="center"/>
    </xf>
    <xf numFmtId="2" fontId="6" fillId="56" borderId="33" xfId="8" applyNumberFormat="1" applyFont="1" applyFill="1" applyAlignment="1">
      <alignment horizontal="left" vertical="center"/>
    </xf>
    <xf numFmtId="178" fontId="20" fillId="0" borderId="33" xfId="5" applyNumberFormat="1" applyFont="1"/>
    <xf numFmtId="173" fontId="20" fillId="0" borderId="31" xfId="5" applyNumberFormat="1" applyFont="1" applyBorder="1"/>
    <xf numFmtId="0" fontId="20" fillId="0" borderId="31" xfId="5" applyFont="1" applyBorder="1"/>
    <xf numFmtId="0" fontId="20" fillId="0" borderId="6" xfId="5" applyFont="1" applyBorder="1"/>
    <xf numFmtId="0" fontId="11" fillId="0" borderId="8" xfId="5" applyBorder="1"/>
    <xf numFmtId="0" fontId="20" fillId="0" borderId="87" xfId="5" applyFont="1" applyBorder="1"/>
    <xf numFmtId="0" fontId="20" fillId="0" borderId="10" xfId="5" applyFont="1" applyBorder="1"/>
    <xf numFmtId="0" fontId="20" fillId="0" borderId="88" xfId="5" applyFont="1" applyBorder="1"/>
    <xf numFmtId="0" fontId="20" fillId="4" borderId="4" xfId="5" applyFont="1" applyFill="1" applyBorder="1"/>
    <xf numFmtId="0" fontId="20" fillId="4" borderId="32" xfId="5" applyFont="1" applyFill="1" applyBorder="1"/>
    <xf numFmtId="0" fontId="20" fillId="4" borderId="5" xfId="5" applyFont="1" applyFill="1" applyBorder="1"/>
    <xf numFmtId="0" fontId="20" fillId="5" borderId="33" xfId="5" applyFont="1" applyFill="1"/>
    <xf numFmtId="169" fontId="20" fillId="5" borderId="33" xfId="5" applyNumberFormat="1" applyFont="1" applyFill="1"/>
    <xf numFmtId="168" fontId="20" fillId="5" borderId="33" xfId="5" applyNumberFormat="1" applyFont="1" applyFill="1"/>
    <xf numFmtId="0" fontId="12" fillId="4" borderId="31" xfId="5" applyFont="1" applyFill="1" applyBorder="1"/>
    <xf numFmtId="0" fontId="12" fillId="4" borderId="33" xfId="5" applyFont="1" applyFill="1"/>
    <xf numFmtId="0" fontId="12" fillId="5" borderId="33" xfId="5" applyFont="1" applyFill="1"/>
    <xf numFmtId="2" fontId="12" fillId="5" borderId="33" xfId="5" applyNumberFormat="1" applyFont="1" applyFill="1"/>
    <xf numFmtId="169" fontId="12" fillId="5" borderId="33" xfId="5" applyNumberFormat="1" applyFont="1" applyFill="1"/>
    <xf numFmtId="175" fontId="12" fillId="5" borderId="33" xfId="5" applyNumberFormat="1" applyFont="1" applyFill="1"/>
    <xf numFmtId="2" fontId="6" fillId="31" borderId="33" xfId="5" applyNumberFormat="1" applyFont="1" applyFill="1" applyAlignment="1">
      <alignment horizontal="left" vertical="center"/>
    </xf>
    <xf numFmtId="175" fontId="20" fillId="5" borderId="33" xfId="5" applyNumberFormat="1" applyFont="1" applyFill="1"/>
    <xf numFmtId="177" fontId="12" fillId="5" borderId="33" xfId="5" applyNumberFormat="1" applyFont="1" applyFill="1"/>
    <xf numFmtId="0" fontId="20" fillId="4" borderId="6" xfId="5" applyFont="1" applyFill="1" applyBorder="1"/>
    <xf numFmtId="0" fontId="20" fillId="4" borderId="8" xfId="5" applyFont="1" applyFill="1" applyBorder="1"/>
    <xf numFmtId="0" fontId="12" fillId="67" borderId="31" xfId="5" applyFont="1" applyFill="1" applyBorder="1" applyAlignment="1">
      <alignment horizontal="center" vertical="center"/>
    </xf>
    <xf numFmtId="0" fontId="20" fillId="0" borderId="33" xfId="5" applyFont="1" applyAlignment="1">
      <alignment horizontal="left"/>
    </xf>
    <xf numFmtId="168" fontId="20" fillId="0" borderId="10" xfId="5" applyNumberFormat="1" applyFont="1" applyBorder="1"/>
    <xf numFmtId="0" fontId="59" fillId="0" borderId="10" xfId="5" applyFont="1" applyBorder="1"/>
    <xf numFmtId="0" fontId="59" fillId="0" borderId="33" xfId="5" applyFont="1"/>
    <xf numFmtId="167" fontId="6" fillId="20" borderId="33" xfId="0" applyNumberFormat="1" applyFont="1" applyFill="1" applyBorder="1" applyAlignment="1">
      <alignment horizontal="center" vertical="center"/>
    </xf>
    <xf numFmtId="167" fontId="6" fillId="20" borderId="33" xfId="0" applyNumberFormat="1" applyFont="1" applyFill="1" applyBorder="1" applyAlignment="1">
      <alignment vertical="center"/>
    </xf>
    <xf numFmtId="167" fontId="6" fillId="68" borderId="33" xfId="0" applyNumberFormat="1" applyFont="1" applyFill="1" applyBorder="1" applyAlignment="1">
      <alignment horizontal="center" vertical="center"/>
    </xf>
    <xf numFmtId="167" fontId="6" fillId="68" borderId="33" xfId="0" applyNumberFormat="1" applyFont="1" applyFill="1" applyBorder="1" applyAlignment="1">
      <alignment vertical="center"/>
    </xf>
    <xf numFmtId="169" fontId="11" fillId="0" borderId="0" xfId="0" applyNumberFormat="1" applyFont="1" applyAlignment="1">
      <alignment horizontal="center" vertical="center"/>
    </xf>
    <xf numFmtId="169" fontId="0" fillId="0" borderId="0" xfId="0" applyNumberFormat="1" applyAlignment="1">
      <alignment horizontal="center"/>
    </xf>
    <xf numFmtId="2" fontId="11" fillId="69" borderId="0" xfId="0" applyNumberFormat="1" applyFont="1" applyFill="1" applyAlignment="1">
      <alignment horizontal="center" vertical="center"/>
    </xf>
    <xf numFmtId="2" fontId="0" fillId="69" borderId="0" xfId="0" applyNumberFormat="1" applyFill="1" applyAlignment="1">
      <alignment horizontal="center"/>
    </xf>
    <xf numFmtId="0" fontId="6" fillId="0" borderId="33" xfId="0" applyFont="1" applyBorder="1" applyAlignment="1">
      <alignment horizontal="left" vertical="center"/>
    </xf>
    <xf numFmtId="170" fontId="6" fillId="70" borderId="33" xfId="0" applyNumberFormat="1" applyFont="1" applyFill="1" applyBorder="1" applyAlignment="1">
      <alignment horizontal="center" vertical="center"/>
    </xf>
    <xf numFmtId="180" fontId="6" fillId="0" borderId="0" xfId="0" applyNumberFormat="1" applyFont="1" applyAlignment="1">
      <alignment horizontal="center" vertical="center"/>
    </xf>
    <xf numFmtId="0" fontId="1" fillId="71" borderId="33" xfId="5" applyFont="1" applyFill="1" applyAlignment="1">
      <alignment horizontal="left" vertical="center"/>
    </xf>
    <xf numFmtId="168" fontId="1" fillId="71" borderId="33" xfId="5" applyNumberFormat="1" applyFont="1" applyFill="1" applyAlignment="1">
      <alignment horizontal="left" vertical="center"/>
    </xf>
    <xf numFmtId="168" fontId="1" fillId="71" borderId="33" xfId="5" applyNumberFormat="1" applyFont="1" applyFill="1" applyAlignment="1">
      <alignment horizontal="left" vertical="center" wrapText="1"/>
    </xf>
    <xf numFmtId="0" fontId="6" fillId="71" borderId="30" xfId="5" applyFont="1" applyFill="1" applyBorder="1" applyAlignment="1">
      <alignment horizontal="left" vertical="center"/>
    </xf>
    <xf numFmtId="0" fontId="1" fillId="71" borderId="33" xfId="5" applyFont="1" applyFill="1"/>
    <xf numFmtId="0" fontId="3" fillId="71" borderId="33" xfId="5" applyFont="1" applyFill="1"/>
    <xf numFmtId="171" fontId="6" fillId="0" borderId="33" xfId="5" applyNumberFormat="1" applyFont="1" applyAlignment="1">
      <alignment horizontal="left" vertical="center"/>
    </xf>
    <xf numFmtId="170" fontId="6" fillId="70" borderId="0" xfId="0" applyNumberFormat="1" applyFont="1" applyFill="1" applyAlignment="1">
      <alignment horizontal="center" vertical="center"/>
    </xf>
    <xf numFmtId="170" fontId="6" fillId="72" borderId="0" xfId="0" applyNumberFormat="1" applyFont="1" applyFill="1" applyAlignment="1">
      <alignment horizontal="center" vertical="center"/>
    </xf>
    <xf numFmtId="169" fontId="6" fillId="55" borderId="33" xfId="0" applyNumberFormat="1" applyFont="1" applyFill="1" applyBorder="1" applyAlignment="1">
      <alignment horizontal="left" vertical="center"/>
    </xf>
    <xf numFmtId="3" fontId="6" fillId="15" borderId="0" xfId="0" applyNumberFormat="1" applyFont="1" applyFill="1" applyAlignment="1">
      <alignment horizontal="center" vertical="center"/>
    </xf>
    <xf numFmtId="169" fontId="6" fillId="15" borderId="0" xfId="0" applyNumberFormat="1" applyFont="1" applyFill="1" applyAlignment="1">
      <alignment horizontal="center" vertical="center"/>
    </xf>
    <xf numFmtId="0" fontId="6" fillId="15" borderId="0" xfId="0" applyFont="1" applyFill="1" applyAlignment="1">
      <alignment horizontal="center" vertical="center"/>
    </xf>
    <xf numFmtId="170" fontId="6" fillId="15" borderId="0" xfId="0" applyNumberFormat="1" applyFont="1" applyFill="1" applyAlignment="1">
      <alignment horizontal="center" vertical="center"/>
    </xf>
    <xf numFmtId="169" fontId="6" fillId="30" borderId="0" xfId="0" applyNumberFormat="1" applyFont="1" applyFill="1" applyAlignment="1">
      <alignment horizontal="center" vertical="center"/>
    </xf>
    <xf numFmtId="169" fontId="6" fillId="30" borderId="33" xfId="0" applyNumberFormat="1" applyFont="1" applyFill="1" applyBorder="1" applyAlignment="1">
      <alignment horizontal="center" vertical="center"/>
    </xf>
    <xf numFmtId="170" fontId="6" fillId="30" borderId="33" xfId="0" applyNumberFormat="1" applyFont="1" applyFill="1" applyBorder="1" applyAlignment="1">
      <alignment horizontal="center" vertical="center"/>
    </xf>
    <xf numFmtId="0" fontId="49" fillId="71" borderId="33" xfId="5" applyFont="1" applyFill="1" applyAlignment="1">
      <alignment wrapText="1"/>
    </xf>
    <xf numFmtId="0" fontId="67" fillId="71" borderId="33" xfId="5" applyFont="1" applyFill="1" applyAlignment="1">
      <alignment wrapText="1"/>
    </xf>
    <xf numFmtId="43" fontId="6" fillId="73" borderId="33" xfId="0" applyNumberFormat="1" applyFont="1" applyFill="1" applyBorder="1" applyAlignment="1">
      <alignment horizontal="center" vertical="center"/>
    </xf>
    <xf numFmtId="168" fontId="1" fillId="74" borderId="33" xfId="5" applyNumberFormat="1" applyFont="1" applyFill="1" applyAlignment="1">
      <alignment horizontal="left" vertical="center" wrapText="1"/>
    </xf>
    <xf numFmtId="0" fontId="1" fillId="74" borderId="33" xfId="5" applyFont="1" applyFill="1" applyAlignment="1">
      <alignment horizontal="left" vertical="center"/>
    </xf>
    <xf numFmtId="168" fontId="1" fillId="74" borderId="33" xfId="5" applyNumberFormat="1" applyFont="1" applyFill="1" applyAlignment="1">
      <alignment horizontal="center" vertical="center"/>
    </xf>
    <xf numFmtId="168" fontId="1" fillId="74" borderId="33" xfId="5" applyNumberFormat="1" applyFont="1" applyFill="1" applyAlignment="1">
      <alignment horizontal="left" vertical="center"/>
    </xf>
    <xf numFmtId="0" fontId="6" fillId="74" borderId="30" xfId="5" applyFont="1" applyFill="1" applyBorder="1" applyAlignment="1">
      <alignment horizontal="left" vertical="center"/>
    </xf>
    <xf numFmtId="0" fontId="1" fillId="74" borderId="33" xfId="5" applyFont="1" applyFill="1"/>
    <xf numFmtId="0" fontId="3" fillId="74" borderId="33" xfId="5" applyFont="1" applyFill="1"/>
    <xf numFmtId="10" fontId="20" fillId="74" borderId="33" xfId="5" applyNumberFormat="1" applyFont="1" applyFill="1"/>
    <xf numFmtId="0" fontId="20" fillId="74" borderId="33" xfId="5" applyFont="1" applyFill="1"/>
    <xf numFmtId="168" fontId="20" fillId="74" borderId="33" xfId="5" applyNumberFormat="1" applyFont="1" applyFill="1"/>
    <xf numFmtId="0" fontId="11" fillId="74" borderId="33" xfId="5" applyFill="1"/>
    <xf numFmtId="0" fontId="47" fillId="74" borderId="33" xfId="5" applyFont="1" applyFill="1"/>
    <xf numFmtId="169" fontId="20" fillId="74" borderId="33" xfId="5" applyNumberFormat="1" applyFont="1" applyFill="1"/>
    <xf numFmtId="175" fontId="20" fillId="74" borderId="33" xfId="5" applyNumberFormat="1" applyFont="1" applyFill="1"/>
    <xf numFmtId="0" fontId="49" fillId="74" borderId="33" xfId="5" applyFont="1" applyFill="1" applyAlignment="1">
      <alignment wrapText="1"/>
    </xf>
    <xf numFmtId="0" fontId="0" fillId="74" borderId="0" xfId="0" applyFill="1" applyAlignment="1">
      <alignment horizontal="center" vertical="center"/>
    </xf>
    <xf numFmtId="0" fontId="0" fillId="74" borderId="0" xfId="0" applyFill="1" applyAlignment="1">
      <alignment horizontal="center"/>
    </xf>
    <xf numFmtId="0" fontId="0" fillId="74" borderId="0" xfId="0" applyFill="1"/>
    <xf numFmtId="0" fontId="6" fillId="74" borderId="0" xfId="0" applyFont="1" applyFill="1" applyAlignment="1">
      <alignment horizontal="left"/>
    </xf>
    <xf numFmtId="0" fontId="7" fillId="0" borderId="0" xfId="0" applyFont="1" applyAlignment="1">
      <alignment horizontal="center" vertical="center"/>
    </xf>
    <xf numFmtId="0" fontId="19" fillId="0" borderId="0" xfId="0" applyFont="1" applyAlignment="1">
      <alignment horizontal="center" vertical="center" wrapText="1"/>
    </xf>
    <xf numFmtId="168" fontId="6" fillId="5" borderId="33" xfId="0" applyNumberFormat="1" applyFont="1" applyFill="1" applyBorder="1" applyAlignment="1">
      <alignment horizontal="left" vertical="center"/>
    </xf>
    <xf numFmtId="0" fontId="6" fillId="0" borderId="0" xfId="0" applyFont="1" applyAlignment="1">
      <alignment horizontal="center" vertical="center"/>
    </xf>
    <xf numFmtId="0" fontId="6" fillId="8" borderId="33" xfId="0" applyFont="1" applyFill="1" applyBorder="1" applyAlignment="1">
      <alignment horizontal="center" vertical="center"/>
    </xf>
    <xf numFmtId="0" fontId="6" fillId="5" borderId="33" xfId="0" applyFont="1" applyFill="1" applyBorder="1" applyAlignment="1">
      <alignment horizontal="center" vertical="center"/>
    </xf>
    <xf numFmtId="1" fontId="6" fillId="5" borderId="33" xfId="0" applyNumberFormat="1" applyFont="1" applyFill="1" applyBorder="1" applyAlignment="1">
      <alignment horizontal="left" vertical="center"/>
    </xf>
    <xf numFmtId="0" fontId="6" fillId="0" borderId="10" xfId="0" applyFont="1" applyBorder="1" applyAlignment="1">
      <alignment horizontal="center" vertical="center"/>
    </xf>
    <xf numFmtId="0" fontId="1" fillId="0" borderId="0" xfId="0" applyFont="1" applyAlignment="1">
      <alignment horizontal="center" vertical="center"/>
    </xf>
    <xf numFmtId="1" fontId="6" fillId="5" borderId="0" xfId="0" applyNumberFormat="1" applyFont="1" applyFill="1" applyAlignment="1">
      <alignment horizontal="center" vertical="center"/>
    </xf>
    <xf numFmtId="1" fontId="6" fillId="5" borderId="0" xfId="0" applyNumberFormat="1" applyFont="1" applyFill="1" applyAlignment="1">
      <alignment horizontal="left" vertical="center"/>
    </xf>
    <xf numFmtId="168" fontId="1" fillId="5" borderId="0" xfId="0" applyNumberFormat="1" applyFont="1" applyFill="1" applyAlignment="1">
      <alignment horizontal="left" vertical="center"/>
    </xf>
    <xf numFmtId="0" fontId="51" fillId="0" borderId="0" xfId="0" applyFont="1" applyAlignment="1">
      <alignment horizontal="center" vertical="center" wrapText="1"/>
    </xf>
    <xf numFmtId="0" fontId="23" fillId="5" borderId="0" xfId="0" applyFont="1" applyFill="1" applyAlignment="1">
      <alignment horizontal="center" vertical="center"/>
    </xf>
    <xf numFmtId="0" fontId="51" fillId="0" borderId="33" xfId="5" applyFont="1" applyAlignment="1">
      <alignment horizontal="center" vertical="center" wrapText="1"/>
    </xf>
    <xf numFmtId="168" fontId="1" fillId="5" borderId="33" xfId="5" applyNumberFormat="1" applyFont="1" applyFill="1" applyAlignment="1">
      <alignment horizontal="left" vertical="center"/>
    </xf>
    <xf numFmtId="0" fontId="1" fillId="0" borderId="33" xfId="5" applyFont="1" applyAlignment="1">
      <alignment horizontal="center" vertical="center"/>
    </xf>
    <xf numFmtId="1" fontId="6" fillId="5" borderId="33" xfId="5" applyNumberFormat="1" applyFont="1" applyFill="1" applyAlignment="1">
      <alignment horizontal="left" vertical="center"/>
    </xf>
    <xf numFmtId="0" fontId="6" fillId="0" borderId="31" xfId="5" applyFont="1" applyBorder="1" applyAlignment="1">
      <alignment horizontal="center" vertical="center"/>
    </xf>
    <xf numFmtId="0" fontId="11" fillId="0" borderId="0" xfId="0" applyFont="1" applyAlignment="1">
      <alignment horizontal="center" vertical="center"/>
    </xf>
    <xf numFmtId="0" fontId="58" fillId="62" borderId="30" xfId="0" applyFont="1" applyFill="1" applyBorder="1" applyAlignment="1">
      <alignment horizontal="center" wrapText="1" readingOrder="1"/>
    </xf>
    <xf numFmtId="0" fontId="64" fillId="0" borderId="33" xfId="0" applyFont="1" applyBorder="1" applyAlignment="1">
      <alignment wrapText="1"/>
    </xf>
    <xf numFmtId="0" fontId="23" fillId="5" borderId="33" xfId="0" applyFont="1" applyFill="1" applyBorder="1" applyAlignment="1">
      <alignment horizontal="center" vertical="center"/>
    </xf>
    <xf numFmtId="0" fontId="11" fillId="0" borderId="0" xfId="0" applyFont="1" applyAlignment="1">
      <alignment horizontal="center" vertical="center" wrapText="1"/>
    </xf>
    <xf numFmtId="0" fontId="11" fillId="0" borderId="33" xfId="0" applyFont="1" applyBorder="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center" vertical="center" textRotation="90" wrapText="1"/>
    </xf>
    <xf numFmtId="0" fontId="11" fillId="0" borderId="0" xfId="0" applyFont="1" applyAlignment="1">
      <alignment horizontal="center" vertical="center" textRotation="255"/>
    </xf>
    <xf numFmtId="0" fontId="31" fillId="14" borderId="31" xfId="0" applyFont="1" applyFill="1" applyBorder="1" applyAlignment="1">
      <alignment horizontal="center" vertical="center" textRotation="90" wrapText="1"/>
    </xf>
    <xf numFmtId="0" fontId="31" fillId="19" borderId="3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11" fillId="0" borderId="33" xfId="8" applyFont="1" applyAlignment="1">
      <alignment horizontal="center" vertical="center" wrapText="1"/>
    </xf>
    <xf numFmtId="0" fontId="11" fillId="0" borderId="33" xfId="8" applyFont="1" applyAlignment="1">
      <alignment horizontal="center" vertical="center"/>
    </xf>
    <xf numFmtId="0" fontId="0" fillId="0" borderId="0" xfId="0" applyAlignment="1">
      <alignment horizontal="center"/>
    </xf>
    <xf numFmtId="0" fontId="6" fillId="8" borderId="12" xfId="0" applyFont="1" applyFill="1" applyBorder="1" applyAlignment="1">
      <alignment horizontal="center" vertical="center" wrapText="1"/>
    </xf>
    <xf numFmtId="0" fontId="14" fillId="0" borderId="27" xfId="0" applyFont="1" applyBorder="1"/>
    <xf numFmtId="0" fontId="14" fillId="0" borderId="33" xfId="0" applyFont="1" applyBorder="1"/>
    <xf numFmtId="0" fontId="14" fillId="0" borderId="17" xfId="0" applyFont="1" applyBorder="1"/>
    <xf numFmtId="0" fontId="14" fillId="0" borderId="13" xfId="0" applyFont="1" applyBorder="1"/>
    <xf numFmtId="0" fontId="14" fillId="0" borderId="29" xfId="0" applyFont="1" applyBorder="1"/>
    <xf numFmtId="0" fontId="7" fillId="0" borderId="0" xfId="0" applyFont="1" applyAlignment="1">
      <alignment horizontal="center" vertical="center"/>
    </xf>
    <xf numFmtId="0" fontId="0" fillId="0" borderId="0" xfId="0"/>
    <xf numFmtId="0" fontId="6" fillId="0" borderId="0" xfId="0" applyFont="1" applyAlignment="1">
      <alignment horizontal="center" vertical="center"/>
    </xf>
    <xf numFmtId="0" fontId="6" fillId="7" borderId="9" xfId="0" applyFont="1" applyFill="1" applyBorder="1" applyAlignment="1">
      <alignment horizontal="center" vertical="center"/>
    </xf>
    <xf numFmtId="0" fontId="14" fillId="0" borderId="10" xfId="0" applyFont="1" applyBorder="1"/>
    <xf numFmtId="0" fontId="6" fillId="8" borderId="12" xfId="0" applyFont="1" applyFill="1" applyBorder="1" applyAlignment="1">
      <alignment horizontal="center" vertical="center"/>
    </xf>
    <xf numFmtId="0" fontId="6" fillId="0" borderId="10" xfId="0" applyFont="1" applyBorder="1" applyAlignment="1">
      <alignment horizontal="center" vertical="center"/>
    </xf>
    <xf numFmtId="0" fontId="6" fillId="5" borderId="19" xfId="0" applyFont="1" applyFill="1" applyBorder="1" applyAlignment="1">
      <alignment horizontal="left" vertical="center"/>
    </xf>
    <xf numFmtId="0" fontId="14" fillId="0" borderId="19" xfId="0" applyFont="1" applyBorder="1"/>
    <xf numFmtId="168" fontId="6" fillId="5" borderId="33" xfId="0" applyNumberFormat="1" applyFont="1" applyFill="1" applyBorder="1" applyAlignment="1">
      <alignment horizontal="left" vertical="center"/>
    </xf>
    <xf numFmtId="168" fontId="6" fillId="5" borderId="33" xfId="0" applyNumberFormat="1" applyFont="1" applyFill="1" applyBorder="1" applyAlignment="1">
      <alignment horizontal="center" vertical="center"/>
    </xf>
    <xf numFmtId="1" fontId="6" fillId="5" borderId="33" xfId="0" applyNumberFormat="1" applyFont="1" applyFill="1" applyBorder="1" applyAlignment="1">
      <alignment horizontal="center" vertical="center"/>
    </xf>
    <xf numFmtId="1" fontId="6" fillId="5" borderId="33" xfId="0" applyNumberFormat="1" applyFont="1" applyFill="1" applyBorder="1" applyAlignment="1">
      <alignment horizontal="left" vertical="center"/>
    </xf>
    <xf numFmtId="0" fontId="6" fillId="7" borderId="18" xfId="0" applyFont="1" applyFill="1" applyBorder="1" applyAlignment="1">
      <alignment horizontal="center" vertical="center" wrapText="1"/>
    </xf>
    <xf numFmtId="0" fontId="14" fillId="0" borderId="31" xfId="0" applyFont="1" applyBorder="1"/>
    <xf numFmtId="0" fontId="14" fillId="0" borderId="20" xfId="0" applyFont="1" applyBorder="1"/>
    <xf numFmtId="0" fontId="6" fillId="8" borderId="28" xfId="0" applyFont="1" applyFill="1" applyBorder="1" applyAlignment="1">
      <alignment horizontal="center" vertical="center" wrapText="1"/>
    </xf>
    <xf numFmtId="0" fontId="14" fillId="0" borderId="21" xfId="0" applyFont="1" applyBorder="1"/>
    <xf numFmtId="0" fontId="6" fillId="5" borderId="33" xfId="0" applyFont="1" applyFill="1" applyBorder="1" applyAlignment="1">
      <alignment horizontal="left" vertical="center" wrapText="1"/>
    </xf>
    <xf numFmtId="0" fontId="6" fillId="5" borderId="33" xfId="0" applyFont="1" applyFill="1" applyBorder="1" applyAlignment="1">
      <alignment horizontal="center" vertical="center"/>
    </xf>
    <xf numFmtId="0" fontId="20" fillId="10" borderId="14" xfId="0" applyFont="1" applyFill="1" applyBorder="1" applyAlignment="1">
      <alignment wrapText="1"/>
    </xf>
    <xf numFmtId="0" fontId="14" fillId="0" borderId="25" xfId="0" applyFont="1" applyBorder="1"/>
    <xf numFmtId="0" fontId="14" fillId="0" borderId="16" xfId="0" applyFont="1" applyBorder="1"/>
    <xf numFmtId="0" fontId="20" fillId="10" borderId="28" xfId="0" applyFont="1" applyFill="1" applyBorder="1" applyAlignment="1">
      <alignment horizontal="left" vertical="center"/>
    </xf>
    <xf numFmtId="0" fontId="15" fillId="4" borderId="14" xfId="0" applyFont="1" applyFill="1" applyBorder="1" applyAlignment="1">
      <alignment horizontal="center" vertical="center" wrapText="1"/>
    </xf>
    <xf numFmtId="0" fontId="14" fillId="0" borderId="37" xfId="0" applyFont="1" applyBorder="1"/>
    <xf numFmtId="0" fontId="6" fillId="8" borderId="33" xfId="0" applyFont="1" applyFill="1" applyBorder="1" applyAlignment="1">
      <alignment horizontal="center" vertical="center" wrapText="1"/>
    </xf>
    <xf numFmtId="0" fontId="17" fillId="9" borderId="22" xfId="0" applyFont="1" applyFill="1" applyBorder="1" applyAlignment="1">
      <alignment horizontal="center" wrapText="1"/>
    </xf>
    <xf numFmtId="0" fontId="14" fillId="0" borderId="34" xfId="0" applyFont="1" applyBorder="1"/>
    <xf numFmtId="0" fontId="6" fillId="8" borderId="33" xfId="0" applyFont="1" applyFill="1" applyBorder="1" applyAlignment="1">
      <alignment horizontal="center" vertical="center"/>
    </xf>
    <xf numFmtId="0" fontId="6" fillId="7" borderId="9" xfId="0" applyFont="1" applyFill="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xf>
    <xf numFmtId="0" fontId="6" fillId="8" borderId="24" xfId="0" applyFont="1" applyFill="1" applyBorder="1" applyAlignment="1">
      <alignment horizontal="center" vertical="center"/>
    </xf>
    <xf numFmtId="0" fontId="14" fillId="0" borderId="26" xfId="0" applyFont="1" applyBorder="1"/>
    <xf numFmtId="0" fontId="20" fillId="10" borderId="14" xfId="0" applyFont="1" applyFill="1" applyBorder="1" applyAlignment="1">
      <alignment horizontal="left" vertical="center"/>
    </xf>
    <xf numFmtId="0" fontId="36" fillId="4" borderId="43" xfId="0" applyFont="1" applyFill="1" applyBorder="1" applyAlignment="1">
      <alignment horizontal="left"/>
    </xf>
    <xf numFmtId="0" fontId="36" fillId="4" borderId="33" xfId="0" applyFont="1" applyFill="1" applyBorder="1" applyAlignment="1">
      <alignment horizontal="left"/>
    </xf>
    <xf numFmtId="0" fontId="52" fillId="0" borderId="0" xfId="0" applyFont="1" applyAlignment="1">
      <alignment horizontal="center" vertical="center" wrapText="1"/>
    </xf>
    <xf numFmtId="0" fontId="20" fillId="38" borderId="53" xfId="0" applyFont="1" applyFill="1" applyBorder="1" applyAlignment="1">
      <alignment wrapText="1"/>
    </xf>
    <xf numFmtId="0" fontId="20" fillId="38" borderId="54" xfId="0" applyFont="1" applyFill="1" applyBorder="1" applyAlignment="1">
      <alignment wrapText="1"/>
    </xf>
    <xf numFmtId="0" fontId="20" fillId="38" borderId="53" xfId="0" applyFont="1" applyFill="1" applyBorder="1" applyAlignment="1">
      <alignment horizontal="left" wrapText="1"/>
    </xf>
    <xf numFmtId="0" fontId="20" fillId="38" borderId="54" xfId="0" applyFont="1" applyFill="1" applyBorder="1" applyAlignment="1">
      <alignment horizontal="left" wrapText="1"/>
    </xf>
    <xf numFmtId="0" fontId="20" fillId="38" borderId="53" xfId="0" applyFont="1" applyFill="1" applyBorder="1" applyAlignment="1">
      <alignment horizontal="left" vertical="center"/>
    </xf>
    <xf numFmtId="0" fontId="20" fillId="38" borderId="54" xfId="0" applyFont="1" applyFill="1" applyBorder="1" applyAlignment="1">
      <alignment horizontal="left" vertical="center"/>
    </xf>
    <xf numFmtId="0" fontId="23" fillId="4" borderId="64" xfId="0" applyFont="1" applyFill="1" applyBorder="1" applyAlignment="1">
      <alignment horizontal="left" vertical="center"/>
    </xf>
    <xf numFmtId="0" fontId="23" fillId="4" borderId="65" xfId="0" applyFont="1" applyFill="1" applyBorder="1" applyAlignment="1">
      <alignment horizontal="left" vertical="center"/>
    </xf>
    <xf numFmtId="0" fontId="53" fillId="0" borderId="44" xfId="0" applyFont="1" applyBorder="1" applyAlignment="1">
      <alignment horizontal="center" vertical="center" wrapText="1"/>
    </xf>
    <xf numFmtId="0" fontId="7" fillId="0" borderId="8" xfId="0" applyFont="1" applyBorder="1" applyAlignment="1">
      <alignment horizontal="center" vertical="center"/>
    </xf>
    <xf numFmtId="0" fontId="1" fillId="0" borderId="0" xfId="0" applyFont="1" applyAlignment="1">
      <alignment horizontal="center" vertical="center"/>
    </xf>
    <xf numFmtId="0" fontId="17" fillId="37" borderId="22" xfId="0" applyFont="1" applyFill="1" applyBorder="1" applyAlignment="1">
      <alignment horizontal="center" wrapText="1"/>
    </xf>
    <xf numFmtId="0" fontId="17" fillId="37" borderId="26" xfId="0" applyFont="1" applyFill="1" applyBorder="1" applyAlignment="1">
      <alignment horizontal="center" wrapText="1"/>
    </xf>
    <xf numFmtId="0" fontId="6" fillId="36" borderId="24" xfId="0" applyFont="1" applyFill="1" applyBorder="1" applyAlignment="1">
      <alignment horizontal="center" vertical="center"/>
    </xf>
    <xf numFmtId="0" fontId="6" fillId="36" borderId="25" xfId="0" applyFont="1" applyFill="1" applyBorder="1" applyAlignment="1">
      <alignment horizontal="center" vertical="center"/>
    </xf>
    <xf numFmtId="0" fontId="6" fillId="5" borderId="49" xfId="0" applyFont="1" applyFill="1" applyBorder="1" applyAlignment="1">
      <alignment horizontal="left" vertical="center"/>
    </xf>
    <xf numFmtId="168" fontId="1" fillId="5" borderId="0" xfId="0" applyNumberFormat="1" applyFont="1" applyFill="1" applyAlignment="1">
      <alignment horizontal="left" vertical="center"/>
    </xf>
    <xf numFmtId="0" fontId="1" fillId="5" borderId="19" xfId="0" applyFont="1" applyFill="1" applyBorder="1" applyAlignment="1">
      <alignment horizontal="left" vertical="center" wrapText="1"/>
    </xf>
    <xf numFmtId="168" fontId="1" fillId="5" borderId="0" xfId="0" applyNumberFormat="1" applyFont="1" applyFill="1" applyAlignment="1">
      <alignment horizontal="center" vertical="center"/>
    </xf>
    <xf numFmtId="0" fontId="51" fillId="0" borderId="0" xfId="0" applyFont="1" applyAlignment="1">
      <alignment horizontal="center" vertical="center" wrapText="1"/>
    </xf>
    <xf numFmtId="168" fontId="1" fillId="0" borderId="43" xfId="0" applyNumberFormat="1" applyFont="1" applyBorder="1" applyAlignment="1">
      <alignment horizontal="left" vertical="center"/>
    </xf>
    <xf numFmtId="0" fontId="1" fillId="0" borderId="0" xfId="0" applyFont="1" applyAlignment="1">
      <alignment horizontal="left" wrapText="1"/>
    </xf>
    <xf numFmtId="0" fontId="6" fillId="35" borderId="9" xfId="0" applyFont="1" applyFill="1" applyBorder="1" applyAlignment="1">
      <alignment horizontal="center" vertical="center" wrapText="1"/>
    </xf>
    <xf numFmtId="0" fontId="6" fillId="35" borderId="16" xfId="0" applyFont="1" applyFill="1" applyBorder="1" applyAlignment="1">
      <alignment horizontal="center" vertical="center" wrapText="1"/>
    </xf>
    <xf numFmtId="0" fontId="6" fillId="36" borderId="18" xfId="0" applyFont="1" applyFill="1" applyBorder="1" applyAlignment="1">
      <alignment horizontal="center" vertical="center" wrapText="1"/>
    </xf>
    <xf numFmtId="0" fontId="6" fillId="36" borderId="59" xfId="0" applyFont="1" applyFill="1" applyBorder="1" applyAlignment="1">
      <alignment horizontal="center" vertical="center" wrapText="1"/>
    </xf>
    <xf numFmtId="0" fontId="6" fillId="36" borderId="58" xfId="0" applyFont="1" applyFill="1" applyBorder="1" applyAlignment="1">
      <alignment horizontal="center" vertical="center" wrapText="1"/>
    </xf>
    <xf numFmtId="0" fontId="6" fillId="36" borderId="48" xfId="0" applyFont="1" applyFill="1" applyBorder="1" applyAlignment="1">
      <alignment horizontal="center" vertical="center" wrapText="1"/>
    </xf>
    <xf numFmtId="0" fontId="1" fillId="0" borderId="30" xfId="0" applyFont="1" applyBorder="1" applyAlignment="1">
      <alignment horizontal="center" vertical="center"/>
    </xf>
    <xf numFmtId="0" fontId="6" fillId="35" borderId="9" xfId="0" applyFont="1" applyFill="1" applyBorder="1" applyAlignment="1">
      <alignment horizontal="center" vertical="center"/>
    </xf>
    <xf numFmtId="0" fontId="6" fillId="35" borderId="16" xfId="0" applyFont="1" applyFill="1" applyBorder="1" applyAlignment="1">
      <alignment horizontal="center" vertical="center"/>
    </xf>
    <xf numFmtId="0" fontId="1" fillId="36" borderId="18" xfId="0" applyFont="1" applyFill="1" applyBorder="1" applyAlignment="1">
      <alignment horizontal="center" vertical="center"/>
    </xf>
    <xf numFmtId="0" fontId="1" fillId="36" borderId="59" xfId="0" applyFont="1" applyFill="1" applyBorder="1" applyAlignment="1">
      <alignment horizontal="center" vertical="center"/>
    </xf>
    <xf numFmtId="0" fontId="1" fillId="36" borderId="58" xfId="0" applyFont="1" applyFill="1" applyBorder="1" applyAlignment="1">
      <alignment horizontal="center" vertical="center"/>
    </xf>
    <xf numFmtId="0" fontId="1" fillId="36" borderId="48" xfId="0" applyFont="1" applyFill="1" applyBorder="1" applyAlignment="1">
      <alignment horizontal="center" vertical="center"/>
    </xf>
    <xf numFmtId="0" fontId="49" fillId="0" borderId="0" xfId="0" applyFont="1" applyAlignment="1">
      <alignment horizontal="center" wrapText="1"/>
    </xf>
    <xf numFmtId="0" fontId="6" fillId="35" borderId="10" xfId="0" applyFont="1" applyFill="1" applyBorder="1" applyAlignment="1">
      <alignment horizontal="center" vertical="center"/>
    </xf>
    <xf numFmtId="0" fontId="6" fillId="36" borderId="56" xfId="0" applyFont="1" applyFill="1" applyBorder="1" applyAlignment="1">
      <alignment horizontal="center" vertical="center" wrapText="1"/>
    </xf>
    <xf numFmtId="0" fontId="6" fillId="36" borderId="50" xfId="0" applyFont="1" applyFill="1" applyBorder="1" applyAlignment="1">
      <alignment horizontal="center" vertical="center" wrapText="1"/>
    </xf>
    <xf numFmtId="0" fontId="6" fillId="36" borderId="31" xfId="0" applyFont="1" applyFill="1" applyBorder="1" applyAlignment="1">
      <alignment horizontal="center" vertical="center" wrapText="1"/>
    </xf>
    <xf numFmtId="0" fontId="6" fillId="36" borderId="57" xfId="0" applyFont="1" applyFill="1" applyBorder="1" applyAlignment="1">
      <alignment horizontal="center" vertical="center" wrapText="1"/>
    </xf>
    <xf numFmtId="0" fontId="6" fillId="36" borderId="20" xfId="0" applyFont="1" applyFill="1" applyBorder="1" applyAlignment="1">
      <alignment horizontal="center" vertical="center" wrapText="1"/>
    </xf>
    <xf numFmtId="0" fontId="6" fillId="36" borderId="63" xfId="0" applyFont="1" applyFill="1" applyBorder="1" applyAlignment="1">
      <alignment horizontal="center" vertical="center" wrapText="1"/>
    </xf>
    <xf numFmtId="0" fontId="1" fillId="35" borderId="60" xfId="0" applyFont="1" applyFill="1" applyBorder="1" applyAlignment="1">
      <alignment horizontal="center" vertical="center" wrapText="1"/>
    </xf>
    <xf numFmtId="0" fontId="1" fillId="35" borderId="61" xfId="0" applyFont="1" applyFill="1" applyBorder="1" applyAlignment="1">
      <alignment horizontal="center" vertical="center" wrapText="1"/>
    </xf>
    <xf numFmtId="0" fontId="1" fillId="35" borderId="62" xfId="0" applyFont="1" applyFill="1" applyBorder="1" applyAlignment="1">
      <alignment horizontal="center" vertical="center" wrapText="1"/>
    </xf>
    <xf numFmtId="0" fontId="1" fillId="36" borderId="28" xfId="0" applyFont="1" applyFill="1" applyBorder="1" applyAlignment="1">
      <alignment horizontal="center" vertical="center" wrapText="1"/>
    </xf>
    <xf numFmtId="0" fontId="1" fillId="36" borderId="27" xfId="0" applyFont="1" applyFill="1" applyBorder="1" applyAlignment="1">
      <alignment horizontal="center" vertical="center" wrapText="1"/>
    </xf>
    <xf numFmtId="0" fontId="1" fillId="36" borderId="19" xfId="0" applyFont="1" applyFill="1" applyBorder="1" applyAlignment="1">
      <alignment horizontal="center" vertical="center" wrapText="1"/>
    </xf>
    <xf numFmtId="0" fontId="1" fillId="36" borderId="17" xfId="0" applyFont="1" applyFill="1" applyBorder="1" applyAlignment="1">
      <alignment horizontal="center" vertical="center" wrapText="1"/>
    </xf>
    <xf numFmtId="0" fontId="1" fillId="36" borderId="21" xfId="0" applyFont="1" applyFill="1" applyBorder="1" applyAlignment="1">
      <alignment horizontal="center" vertical="center" wrapText="1"/>
    </xf>
    <xf numFmtId="0" fontId="1" fillId="36" borderId="29" xfId="0" applyFont="1" applyFill="1" applyBorder="1" applyAlignment="1">
      <alignment horizontal="center" vertical="center" wrapText="1"/>
    </xf>
    <xf numFmtId="0" fontId="1" fillId="0" borderId="0" xfId="0" applyFont="1" applyAlignment="1">
      <alignment horizontal="left"/>
    </xf>
    <xf numFmtId="0" fontId="1" fillId="0" borderId="0" xfId="0" applyFont="1" applyAlignment="1">
      <alignment horizontal="center" vertical="center" wrapText="1"/>
    </xf>
    <xf numFmtId="0" fontId="6" fillId="36" borderId="56" xfId="0" applyFont="1" applyFill="1" applyBorder="1" applyAlignment="1">
      <alignment horizontal="center" vertical="center"/>
    </xf>
    <xf numFmtId="0" fontId="6" fillId="36" borderId="50" xfId="0" applyFont="1" applyFill="1" applyBorder="1" applyAlignment="1">
      <alignment horizontal="center" vertical="center"/>
    </xf>
    <xf numFmtId="0" fontId="6" fillId="36" borderId="31" xfId="0" applyFont="1" applyFill="1" applyBorder="1" applyAlignment="1">
      <alignment horizontal="center" vertical="center"/>
    </xf>
    <xf numFmtId="0" fontId="6" fillId="36" borderId="57" xfId="0" applyFont="1" applyFill="1" applyBorder="1" applyAlignment="1">
      <alignment horizontal="center" vertical="center"/>
    </xf>
    <xf numFmtId="0" fontId="6" fillId="36" borderId="58" xfId="0" applyFont="1" applyFill="1" applyBorder="1" applyAlignment="1">
      <alignment horizontal="center" vertical="center"/>
    </xf>
    <xf numFmtId="0" fontId="6" fillId="36" borderId="48" xfId="0" applyFont="1" applyFill="1" applyBorder="1" applyAlignment="1">
      <alignment horizontal="center" vertical="center"/>
    </xf>
    <xf numFmtId="0" fontId="15" fillId="4" borderId="25" xfId="0" applyFont="1" applyFill="1" applyBorder="1" applyAlignment="1">
      <alignment horizontal="center" vertical="center" wrapText="1"/>
    </xf>
    <xf numFmtId="0" fontId="1" fillId="35" borderId="18" xfId="0" applyFont="1" applyFill="1" applyBorder="1" applyAlignment="1">
      <alignment horizontal="center" vertical="center"/>
    </xf>
    <xf numFmtId="0" fontId="1" fillId="35" borderId="31" xfId="0" applyFont="1" applyFill="1" applyBorder="1" applyAlignment="1">
      <alignment horizontal="center" vertical="center"/>
    </xf>
    <xf numFmtId="0" fontId="1" fillId="35" borderId="20" xfId="0" applyFont="1" applyFill="1" applyBorder="1" applyAlignment="1">
      <alignment horizontal="center" vertical="center"/>
    </xf>
    <xf numFmtId="0" fontId="1" fillId="36" borderId="56" xfId="0" applyFont="1" applyFill="1" applyBorder="1" applyAlignment="1">
      <alignment horizontal="center" vertical="center"/>
    </xf>
    <xf numFmtId="0" fontId="1" fillId="36" borderId="50" xfId="0" applyFont="1" applyFill="1" applyBorder="1" applyAlignment="1">
      <alignment horizontal="center" vertical="center"/>
    </xf>
    <xf numFmtId="1" fontId="6" fillId="5" borderId="0" xfId="0" applyNumberFormat="1" applyFont="1" applyFill="1" applyAlignment="1">
      <alignment horizontal="left" vertical="center"/>
    </xf>
    <xf numFmtId="1" fontId="6" fillId="5" borderId="0" xfId="0" applyNumberFormat="1" applyFont="1" applyFill="1" applyAlignment="1">
      <alignment horizontal="center" vertical="center"/>
    </xf>
    <xf numFmtId="0" fontId="1" fillId="36" borderId="56" xfId="0" applyFont="1" applyFill="1" applyBorder="1" applyAlignment="1">
      <alignment horizontal="center" vertical="center" wrapText="1"/>
    </xf>
    <xf numFmtId="0" fontId="1" fillId="36" borderId="50" xfId="0" applyFont="1" applyFill="1" applyBorder="1" applyAlignment="1">
      <alignment horizontal="center" vertical="center" wrapText="1"/>
    </xf>
    <xf numFmtId="0" fontId="1" fillId="36" borderId="31" xfId="0" applyFont="1" applyFill="1" applyBorder="1" applyAlignment="1">
      <alignment horizontal="center" vertical="center" wrapText="1"/>
    </xf>
    <xf numFmtId="0" fontId="1" fillId="36" borderId="57" xfId="0" applyFont="1" applyFill="1" applyBorder="1" applyAlignment="1">
      <alignment horizontal="center" vertical="center" wrapText="1"/>
    </xf>
    <xf numFmtId="0" fontId="1" fillId="36" borderId="58" xfId="0" applyFont="1" applyFill="1" applyBorder="1" applyAlignment="1">
      <alignment horizontal="center" vertical="center" wrapText="1"/>
    </xf>
    <xf numFmtId="0" fontId="1" fillId="36" borderId="48" xfId="0" applyFont="1" applyFill="1" applyBorder="1" applyAlignment="1">
      <alignment horizontal="center" vertical="center" wrapText="1"/>
    </xf>
    <xf numFmtId="0" fontId="41" fillId="0" borderId="0" xfId="0" applyFont="1" applyAlignment="1">
      <alignment horizontal="center" vertical="center" wrapText="1"/>
    </xf>
    <xf numFmtId="0" fontId="23" fillId="5" borderId="0" xfId="0" applyFont="1" applyFill="1" applyAlignment="1">
      <alignment horizontal="center" vertical="center"/>
    </xf>
    <xf numFmtId="168" fontId="1" fillId="5" borderId="33" xfId="5" applyNumberFormat="1" applyFont="1" applyFill="1" applyAlignment="1">
      <alignment horizontal="left" vertical="center"/>
    </xf>
    <xf numFmtId="0" fontId="11" fillId="35" borderId="9" xfId="5" applyFill="1" applyBorder="1" applyAlignment="1">
      <alignment horizontal="center" vertical="center"/>
    </xf>
    <xf numFmtId="0" fontId="11" fillId="35" borderId="16" xfId="5" applyFill="1" applyBorder="1" applyAlignment="1">
      <alignment horizontal="center" vertical="center"/>
    </xf>
    <xf numFmtId="0" fontId="11" fillId="36" borderId="56" xfId="5" applyFill="1" applyBorder="1" applyAlignment="1">
      <alignment horizontal="center" vertical="center" wrapText="1"/>
    </xf>
    <xf numFmtId="0" fontId="11" fillId="36" borderId="50" xfId="5" applyFill="1" applyBorder="1" applyAlignment="1">
      <alignment horizontal="center" vertical="center" wrapText="1"/>
    </xf>
    <xf numFmtId="0" fontId="11" fillId="36" borderId="58" xfId="5" applyFill="1" applyBorder="1" applyAlignment="1">
      <alignment horizontal="center" vertical="center" wrapText="1"/>
    </xf>
    <xf numFmtId="0" fontId="11" fillId="36" borderId="48" xfId="5" applyFill="1" applyBorder="1" applyAlignment="1">
      <alignment horizontal="center" vertical="center" wrapText="1"/>
    </xf>
    <xf numFmtId="0" fontId="7" fillId="0" borderId="33" xfId="5" applyFont="1" applyAlignment="1">
      <alignment horizontal="center" vertical="center"/>
    </xf>
    <xf numFmtId="0" fontId="1" fillId="0" borderId="33" xfId="5" applyFont="1" applyAlignment="1">
      <alignment horizontal="center" vertical="center"/>
    </xf>
    <xf numFmtId="0" fontId="1" fillId="35" borderId="18" xfId="5" applyFont="1" applyFill="1" applyBorder="1" applyAlignment="1">
      <alignment horizontal="center" vertical="center"/>
    </xf>
    <xf numFmtId="0" fontId="1" fillId="35" borderId="31" xfId="5" applyFont="1" applyFill="1" applyBorder="1" applyAlignment="1">
      <alignment horizontal="center" vertical="center"/>
    </xf>
    <xf numFmtId="0" fontId="1" fillId="36" borderId="82" xfId="5" applyFont="1" applyFill="1" applyBorder="1" applyAlignment="1">
      <alignment horizontal="center" vertical="center"/>
    </xf>
    <xf numFmtId="0" fontId="1" fillId="36" borderId="76" xfId="5" applyFont="1" applyFill="1" applyBorder="1" applyAlignment="1">
      <alignment horizontal="center" vertical="center"/>
    </xf>
    <xf numFmtId="0" fontId="6" fillId="0" borderId="31" xfId="5" applyFont="1" applyBorder="1" applyAlignment="1">
      <alignment horizontal="center" vertical="center"/>
    </xf>
    <xf numFmtId="0" fontId="6" fillId="36" borderId="82" xfId="5" applyFont="1" applyFill="1" applyBorder="1" applyAlignment="1">
      <alignment horizontal="center" vertical="center" wrapText="1"/>
    </xf>
    <xf numFmtId="0" fontId="6" fillId="36" borderId="76" xfId="5" applyFont="1" applyFill="1" applyBorder="1" applyAlignment="1">
      <alignment horizontal="center" vertical="center" wrapText="1"/>
    </xf>
    <xf numFmtId="1" fontId="6" fillId="5" borderId="33" xfId="5" applyNumberFormat="1" applyFont="1" applyFill="1" applyAlignment="1">
      <alignment horizontal="left" vertical="center"/>
    </xf>
    <xf numFmtId="1" fontId="6" fillId="5" borderId="33" xfId="5" applyNumberFormat="1" applyFont="1" applyFill="1" applyAlignment="1">
      <alignment horizontal="center" vertical="center"/>
    </xf>
    <xf numFmtId="0" fontId="1" fillId="36" borderId="82" xfId="5" applyFont="1" applyFill="1" applyBorder="1" applyAlignment="1">
      <alignment horizontal="center" vertical="center" wrapText="1"/>
    </xf>
    <xf numFmtId="0" fontId="1" fillId="36" borderId="76" xfId="5" applyFont="1" applyFill="1" applyBorder="1" applyAlignment="1">
      <alignment horizontal="center" vertical="center" wrapText="1"/>
    </xf>
    <xf numFmtId="0" fontId="6" fillId="36" borderId="82" xfId="5" applyFont="1" applyFill="1" applyBorder="1" applyAlignment="1">
      <alignment horizontal="center" vertical="center"/>
    </xf>
    <xf numFmtId="0" fontId="6" fillId="36" borderId="76" xfId="5" applyFont="1" applyFill="1" applyBorder="1" applyAlignment="1">
      <alignment horizontal="center" vertical="center"/>
    </xf>
    <xf numFmtId="0" fontId="15" fillId="4" borderId="24" xfId="5" applyFont="1" applyFill="1" applyBorder="1" applyAlignment="1">
      <alignment horizontal="center" vertical="center" wrapText="1"/>
    </xf>
    <xf numFmtId="0" fontId="15" fillId="4" borderId="37" xfId="5" applyFont="1" applyFill="1" applyBorder="1" applyAlignment="1">
      <alignment horizontal="center" vertical="center" wrapText="1"/>
    </xf>
    <xf numFmtId="0" fontId="1" fillId="36" borderId="83" xfId="5" applyFont="1" applyFill="1" applyBorder="1" applyAlignment="1">
      <alignment horizontal="center" vertical="center"/>
    </xf>
    <xf numFmtId="0" fontId="1" fillId="36" borderId="77" xfId="5" applyFont="1" applyFill="1" applyBorder="1" applyAlignment="1">
      <alignment horizontal="center" vertical="center"/>
    </xf>
    <xf numFmtId="0" fontId="49" fillId="0" borderId="33" xfId="5" applyFont="1" applyAlignment="1">
      <alignment horizontal="center" wrapText="1"/>
    </xf>
    <xf numFmtId="0" fontId="11" fillId="35" borderId="24" xfId="5" applyFill="1" applyBorder="1" applyAlignment="1">
      <alignment horizontal="center" vertical="center"/>
    </xf>
    <xf numFmtId="0" fontId="6" fillId="36" borderId="84" xfId="5" applyFont="1" applyFill="1" applyBorder="1" applyAlignment="1">
      <alignment horizontal="center" vertical="center" wrapText="1"/>
    </xf>
    <xf numFmtId="0" fontId="6" fillId="36" borderId="81" xfId="5" applyFont="1" applyFill="1" applyBorder="1" applyAlignment="1">
      <alignment horizontal="center" vertical="center" wrapText="1"/>
    </xf>
    <xf numFmtId="0" fontId="11" fillId="35" borderId="10" xfId="5" applyFill="1" applyBorder="1" applyAlignment="1">
      <alignment horizontal="center" vertical="center"/>
    </xf>
    <xf numFmtId="0" fontId="11" fillId="36" borderId="56" xfId="5" applyFill="1" applyBorder="1" applyAlignment="1">
      <alignment horizontal="center" vertical="center"/>
    </xf>
    <xf numFmtId="0" fontId="11" fillId="36" borderId="50" xfId="5" applyFill="1" applyBorder="1" applyAlignment="1">
      <alignment horizontal="center" vertical="center"/>
    </xf>
    <xf numFmtId="0" fontId="11" fillId="36" borderId="31" xfId="5" applyFill="1" applyBorder="1" applyAlignment="1">
      <alignment horizontal="center" vertical="center"/>
    </xf>
    <xf numFmtId="0" fontId="11" fillId="36" borderId="57" xfId="5" applyFill="1" applyBorder="1" applyAlignment="1">
      <alignment horizontal="center" vertical="center"/>
    </xf>
    <xf numFmtId="0" fontId="11" fillId="36" borderId="58" xfId="5" applyFill="1" applyBorder="1" applyAlignment="1">
      <alignment horizontal="center" vertical="center"/>
    </xf>
    <xf numFmtId="0" fontId="11" fillId="36" borderId="48" xfId="5" applyFill="1" applyBorder="1" applyAlignment="1">
      <alignment horizontal="center" vertical="center"/>
    </xf>
    <xf numFmtId="0" fontId="17" fillId="37" borderId="74" xfId="5" applyFont="1" applyFill="1" applyBorder="1" applyAlignment="1">
      <alignment horizontal="center" wrapText="1"/>
    </xf>
    <xf numFmtId="0" fontId="17" fillId="37" borderId="75" xfId="5" applyFont="1" applyFill="1" applyBorder="1" applyAlignment="1">
      <alignment horizontal="center" wrapText="1"/>
    </xf>
    <xf numFmtId="0" fontId="6" fillId="36" borderId="73" xfId="5" applyFont="1" applyFill="1" applyBorder="1" applyAlignment="1">
      <alignment horizontal="center" vertical="center"/>
    </xf>
    <xf numFmtId="0" fontId="6" fillId="36" borderId="15" xfId="5" applyFont="1" applyFill="1" applyBorder="1" applyAlignment="1">
      <alignment horizontal="center" vertical="center"/>
    </xf>
    <xf numFmtId="0" fontId="49" fillId="74" borderId="33" xfId="5" applyFont="1" applyFill="1" applyAlignment="1">
      <alignment horizontal="center" wrapText="1"/>
    </xf>
    <xf numFmtId="0" fontId="1" fillId="35" borderId="24" xfId="5" applyFont="1" applyFill="1" applyBorder="1" applyAlignment="1">
      <alignment horizontal="center" vertical="center" wrapText="1"/>
    </xf>
    <xf numFmtId="0" fontId="1" fillId="36" borderId="85" xfId="5" applyFont="1" applyFill="1" applyBorder="1" applyAlignment="1">
      <alignment horizontal="center" vertical="center" wrapText="1"/>
    </xf>
    <xf numFmtId="0" fontId="1" fillId="36" borderId="80" xfId="5" applyFont="1" applyFill="1" applyBorder="1" applyAlignment="1">
      <alignment horizontal="center" vertical="center" wrapText="1"/>
    </xf>
    <xf numFmtId="0" fontId="1" fillId="36" borderId="79" xfId="5" applyFont="1" applyFill="1" applyBorder="1" applyAlignment="1">
      <alignment horizontal="center" vertical="center" wrapText="1"/>
    </xf>
    <xf numFmtId="0" fontId="1" fillId="36" borderId="86" xfId="5" applyFont="1" applyFill="1" applyBorder="1" applyAlignment="1">
      <alignment horizontal="center" vertical="center" wrapText="1"/>
    </xf>
    <xf numFmtId="0" fontId="1" fillId="36" borderId="78" xfId="5" applyFont="1" applyFill="1" applyBorder="1" applyAlignment="1">
      <alignment horizontal="center" vertical="center" wrapText="1"/>
    </xf>
    <xf numFmtId="0" fontId="11" fillId="35" borderId="9" xfId="5" applyFill="1" applyBorder="1" applyAlignment="1">
      <alignment horizontal="center" vertical="center" wrapText="1"/>
    </xf>
    <xf numFmtId="0" fontId="11" fillId="35" borderId="16" xfId="5" applyFill="1" applyBorder="1" applyAlignment="1">
      <alignment horizontal="center" vertical="center" wrapText="1"/>
    </xf>
    <xf numFmtId="0" fontId="11" fillId="36" borderId="18" xfId="5" applyFill="1" applyBorder="1" applyAlignment="1">
      <alignment horizontal="center" vertical="center" wrapText="1"/>
    </xf>
    <xf numFmtId="0" fontId="11" fillId="36" borderId="59" xfId="5" applyFill="1" applyBorder="1" applyAlignment="1">
      <alignment horizontal="center" vertical="center" wrapText="1"/>
    </xf>
    <xf numFmtId="0" fontId="51" fillId="0" borderId="33" xfId="5" applyFont="1" applyAlignment="1">
      <alignment horizontal="center" vertical="center" wrapText="1"/>
    </xf>
    <xf numFmtId="0" fontId="17" fillId="37" borderId="23" xfId="5" applyFont="1" applyFill="1" applyBorder="1" applyAlignment="1">
      <alignment horizontal="center" wrapText="1"/>
    </xf>
    <xf numFmtId="0" fontId="12" fillId="0" borderId="33" xfId="5" applyFont="1" applyAlignment="1">
      <alignment horizontal="center" vertical="center" wrapText="1"/>
    </xf>
    <xf numFmtId="0" fontId="52" fillId="0" borderId="33" xfId="5" applyFont="1" applyAlignment="1">
      <alignment horizontal="center" vertical="center" wrapText="1"/>
    </xf>
    <xf numFmtId="0" fontId="20" fillId="38" borderId="69" xfId="5" applyFont="1" applyFill="1" applyBorder="1" applyAlignment="1">
      <alignment wrapText="1"/>
    </xf>
    <xf numFmtId="0" fontId="20" fillId="38" borderId="54" xfId="5" applyFont="1" applyFill="1" applyBorder="1" applyAlignment="1">
      <alignment wrapText="1"/>
    </xf>
    <xf numFmtId="0" fontId="20" fillId="74" borderId="69" xfId="5" applyFont="1" applyFill="1" applyBorder="1" applyAlignment="1">
      <alignment horizontal="left" wrapText="1"/>
    </xf>
    <xf numFmtId="0" fontId="20" fillId="74" borderId="54" xfId="5" applyFont="1" applyFill="1" applyBorder="1" applyAlignment="1">
      <alignment horizontal="left" wrapText="1"/>
    </xf>
    <xf numFmtId="0" fontId="20" fillId="74" borderId="69" xfId="5" applyFont="1" applyFill="1" applyBorder="1" applyAlignment="1">
      <alignment wrapText="1"/>
    </xf>
    <xf numFmtId="0" fontId="20" fillId="74" borderId="54" xfId="5" applyFont="1" applyFill="1" applyBorder="1" applyAlignment="1">
      <alignment wrapText="1"/>
    </xf>
    <xf numFmtId="0" fontId="20" fillId="38" borderId="69" xfId="5" applyFont="1" applyFill="1" applyBorder="1" applyAlignment="1">
      <alignment horizontal="left" wrapText="1"/>
    </xf>
    <xf numFmtId="0" fontId="20" fillId="38" borderId="54" xfId="5" applyFont="1" applyFill="1" applyBorder="1" applyAlignment="1">
      <alignment horizontal="left" wrapText="1"/>
    </xf>
    <xf numFmtId="0" fontId="59" fillId="0" borderId="31" xfId="5" applyFont="1" applyBorder="1" applyAlignment="1">
      <alignment horizontal="center"/>
    </xf>
    <xf numFmtId="0" fontId="59" fillId="0" borderId="33" xfId="5" applyFont="1" applyAlignment="1">
      <alignment horizontal="center"/>
    </xf>
    <xf numFmtId="0" fontId="11" fillId="0" borderId="1" xfId="5" applyBorder="1" applyAlignment="1">
      <alignment horizontal="center"/>
    </xf>
    <xf numFmtId="0" fontId="11" fillId="0" borderId="2" xfId="5" applyBorder="1" applyAlignment="1">
      <alignment horizontal="center"/>
    </xf>
    <xf numFmtId="0" fontId="11" fillId="0" borderId="3" xfId="5" applyBorder="1" applyAlignment="1">
      <alignment horizontal="center"/>
    </xf>
    <xf numFmtId="0" fontId="43" fillId="0" borderId="0" xfId="0" applyFont="1" applyAlignment="1">
      <alignment horizontal="center" vertical="center" wrapText="1"/>
    </xf>
    <xf numFmtId="0" fontId="20" fillId="74" borderId="53" xfId="5" applyFont="1" applyFill="1" applyBorder="1" applyAlignment="1">
      <alignment wrapText="1"/>
    </xf>
    <xf numFmtId="0" fontId="20" fillId="38" borderId="53" xfId="5" applyFont="1" applyFill="1" applyBorder="1" applyAlignment="1">
      <alignment wrapText="1"/>
    </xf>
    <xf numFmtId="0" fontId="10" fillId="0" borderId="33" xfId="5" applyFont="1" applyAlignment="1">
      <alignment horizontal="left" vertical="center"/>
    </xf>
    <xf numFmtId="0" fontId="20" fillId="38" borderId="53" xfId="5" applyFont="1" applyFill="1" applyBorder="1" applyAlignment="1">
      <alignment horizontal="left" wrapText="1"/>
    </xf>
    <xf numFmtId="0" fontId="43" fillId="0" borderId="0" xfId="0" applyFont="1" applyAlignment="1">
      <alignment horizontal="center" wrapText="1"/>
    </xf>
    <xf numFmtId="0" fontId="20" fillId="38" borderId="33" xfId="5" applyFont="1" applyFill="1" applyAlignment="1">
      <alignment horizontal="left" wrapText="1"/>
    </xf>
    <xf numFmtId="0" fontId="20" fillId="38" borderId="69" xfId="0" applyFont="1" applyFill="1" applyBorder="1" applyAlignment="1">
      <alignment wrapText="1"/>
    </xf>
    <xf numFmtId="0" fontId="10" fillId="54" borderId="33" xfId="5" applyFont="1" applyFill="1" applyAlignment="1">
      <alignment horizontal="left" vertical="center"/>
    </xf>
    <xf numFmtId="0" fontId="20" fillId="74" borderId="53" xfId="5" applyFont="1" applyFill="1" applyBorder="1" applyAlignment="1">
      <alignment horizontal="left" wrapText="1"/>
    </xf>
    <xf numFmtId="0" fontId="20" fillId="38" borderId="69" xfId="0" applyFont="1" applyFill="1" applyBorder="1" applyAlignment="1">
      <alignment horizontal="left" wrapText="1"/>
    </xf>
    <xf numFmtId="0" fontId="22" fillId="47" borderId="37" xfId="0" applyFont="1" applyFill="1" applyBorder="1" applyAlignment="1">
      <alignment horizontal="left"/>
    </xf>
    <xf numFmtId="0" fontId="0" fillId="0" borderId="0" xfId="0" applyAlignment="1">
      <alignment horizontal="center" vertical="center"/>
    </xf>
    <xf numFmtId="0" fontId="11" fillId="0" borderId="0" xfId="0" applyFont="1" applyAlignment="1">
      <alignment horizontal="center" vertical="center"/>
    </xf>
    <xf numFmtId="0" fontId="20" fillId="38" borderId="69" xfId="0" applyFont="1" applyFill="1" applyBorder="1"/>
    <xf numFmtId="0" fontId="20" fillId="38" borderId="54" xfId="0" applyFont="1" applyFill="1" applyBorder="1"/>
    <xf numFmtId="0" fontId="20" fillId="38" borderId="52" xfId="5" applyFont="1" applyFill="1" applyBorder="1" applyAlignment="1">
      <alignment horizontal="left" vertical="center"/>
    </xf>
    <xf numFmtId="0" fontId="20" fillId="38" borderId="72" xfId="5" applyFont="1" applyFill="1" applyBorder="1" applyAlignment="1">
      <alignment horizontal="left" vertical="center"/>
    </xf>
    <xf numFmtId="0" fontId="0" fillId="54" borderId="0" xfId="0" applyFill="1" applyAlignment="1">
      <alignment horizontal="center" wrapText="1"/>
    </xf>
    <xf numFmtId="0" fontId="20" fillId="38" borderId="70" xfId="0" applyFont="1" applyFill="1" applyBorder="1" applyAlignment="1">
      <alignment wrapText="1"/>
    </xf>
    <xf numFmtId="0" fontId="20" fillId="38" borderId="71" xfId="0" applyFont="1" applyFill="1" applyBorder="1" applyAlignment="1">
      <alignment wrapText="1"/>
    </xf>
    <xf numFmtId="0" fontId="58" fillId="62" borderId="30" xfId="0" applyFont="1" applyFill="1" applyBorder="1" applyAlignment="1">
      <alignment horizontal="center" wrapText="1" readingOrder="1"/>
    </xf>
    <xf numFmtId="0" fontId="64" fillId="0" borderId="33" xfId="0" applyFont="1" applyBorder="1" applyAlignment="1">
      <alignment wrapText="1"/>
    </xf>
    <xf numFmtId="0" fontId="48" fillId="62" borderId="30" xfId="0" applyFont="1" applyFill="1" applyBorder="1" applyAlignment="1">
      <alignment horizontal="center" vertical="center" wrapText="1"/>
    </xf>
    <xf numFmtId="0" fontId="48" fillId="62" borderId="33" xfId="0" applyFont="1" applyFill="1" applyBorder="1" applyAlignment="1">
      <alignment horizontal="center" vertical="center" wrapText="1"/>
    </xf>
    <xf numFmtId="0" fontId="1" fillId="62" borderId="30" xfId="0" applyFont="1" applyFill="1" applyBorder="1" applyAlignment="1">
      <alignment horizontal="center"/>
    </xf>
    <xf numFmtId="0" fontId="0" fillId="62" borderId="30" xfId="0" applyFill="1" applyBorder="1" applyAlignment="1">
      <alignment horizontal="center"/>
    </xf>
    <xf numFmtId="0" fontId="61" fillId="61" borderId="92" xfId="0" applyFont="1" applyFill="1" applyBorder="1" applyAlignment="1">
      <alignment horizontal="center" vertical="center" wrapText="1"/>
    </xf>
    <xf numFmtId="0" fontId="61" fillId="61" borderId="93" xfId="0" applyFont="1" applyFill="1" applyBorder="1" applyAlignment="1">
      <alignment horizontal="center" vertical="center" wrapText="1"/>
    </xf>
    <xf numFmtId="0" fontId="66" fillId="64" borderId="0" xfId="0" applyFont="1" applyFill="1" applyAlignment="1">
      <alignment horizontal="center" wrapText="1"/>
    </xf>
    <xf numFmtId="0" fontId="23" fillId="5" borderId="33" xfId="0" applyFont="1" applyFill="1" applyBorder="1" applyAlignment="1">
      <alignment horizontal="center" vertical="center"/>
    </xf>
    <xf numFmtId="0" fontId="41" fillId="0" borderId="33" xfId="0" applyFont="1" applyBorder="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center" vertical="center" textRotation="90" wrapText="1"/>
    </xf>
    <xf numFmtId="0" fontId="11" fillId="0" borderId="0" xfId="0" applyFont="1" applyAlignment="1">
      <alignment horizontal="center" vertical="center" wrapText="1"/>
    </xf>
    <xf numFmtId="0" fontId="11" fillId="0" borderId="0" xfId="0" applyFont="1" applyAlignment="1">
      <alignment horizontal="center" vertical="center" textRotation="255"/>
    </xf>
    <xf numFmtId="0" fontId="23" fillId="23" borderId="31" xfId="0" applyFont="1" applyFill="1" applyBorder="1" applyAlignment="1">
      <alignment horizontal="center" vertical="center" wrapText="1"/>
    </xf>
    <xf numFmtId="0" fontId="11" fillId="0" borderId="33" xfId="0" applyFont="1" applyBorder="1" applyAlignment="1">
      <alignment horizontal="center" vertical="center" wrapText="1"/>
    </xf>
    <xf numFmtId="3" fontId="6" fillId="24" borderId="33" xfId="0" applyNumberFormat="1" applyFont="1" applyFill="1" applyBorder="1" applyAlignment="1">
      <alignment horizontal="center" vertical="center"/>
    </xf>
    <xf numFmtId="0" fontId="6" fillId="6" borderId="33" xfId="0" applyFont="1" applyFill="1" applyBorder="1" applyAlignment="1">
      <alignment horizontal="center" vertical="center"/>
    </xf>
    <xf numFmtId="0" fontId="14" fillId="0" borderId="8" xfId="0" applyFont="1" applyBorder="1"/>
    <xf numFmtId="0" fontId="31" fillId="14" borderId="31" xfId="0" applyFont="1" applyFill="1" applyBorder="1" applyAlignment="1">
      <alignment horizontal="center" vertical="center" textRotation="90" wrapText="1"/>
    </xf>
    <xf numFmtId="0" fontId="31" fillId="21" borderId="31"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20" fillId="10" borderId="24" xfId="0" applyFont="1" applyFill="1" applyBorder="1" applyAlignment="1">
      <alignment wrapText="1"/>
    </xf>
    <xf numFmtId="0" fontId="20" fillId="10" borderId="24" xfId="0" applyFont="1" applyFill="1" applyBorder="1"/>
    <xf numFmtId="0" fontId="20" fillId="10" borderId="24" xfId="0" applyFont="1" applyFill="1" applyBorder="1" applyAlignment="1">
      <alignment horizontal="left" wrapText="1"/>
    </xf>
    <xf numFmtId="0" fontId="22" fillId="26" borderId="37" xfId="0" applyFont="1" applyFill="1" applyBorder="1" applyAlignment="1">
      <alignment horizontal="left"/>
    </xf>
    <xf numFmtId="0" fontId="20" fillId="10" borderId="38" xfId="0" applyFont="1" applyFill="1" applyBorder="1" applyAlignment="1">
      <alignment wrapText="1"/>
    </xf>
    <xf numFmtId="0" fontId="14" fillId="0" borderId="39" xfId="0" applyFont="1" applyBorder="1"/>
    <xf numFmtId="0" fontId="11" fillId="0" borderId="33" xfId="8" applyFont="1" applyAlignment="1">
      <alignment horizontal="center" vertical="center" wrapText="1"/>
    </xf>
    <xf numFmtId="0" fontId="11" fillId="0" borderId="33" xfId="8" applyFont="1" applyAlignment="1">
      <alignment horizontal="center" vertical="center"/>
    </xf>
    <xf numFmtId="0" fontId="2" fillId="0" borderId="33" xfId="8"/>
    <xf numFmtId="0" fontId="9" fillId="0" borderId="0" xfId="0" applyFont="1" applyAlignment="1">
      <alignment horizontal="center" vertical="center"/>
    </xf>
    <xf numFmtId="0" fontId="37" fillId="16" borderId="33" xfId="0" applyFont="1" applyFill="1" applyBorder="1" applyAlignment="1">
      <alignment horizontal="center"/>
    </xf>
    <xf numFmtId="0" fontId="38" fillId="16" borderId="33" xfId="0" applyFont="1" applyFill="1" applyBorder="1" applyAlignment="1">
      <alignment horizontal="center"/>
    </xf>
  </cellXfs>
  <cellStyles count="9">
    <cellStyle name="Comma" xfId="1" builtinId="3"/>
    <cellStyle name="Hipervínculo 2" xfId="6" xr:uid="{F3BC9AD8-BFE6-4D50-845A-E19EE50E865B}"/>
    <cellStyle name="Hyperlink" xfId="3" builtinId="8"/>
    <cellStyle name="Normal" xfId="0" builtinId="0"/>
    <cellStyle name="Normal 2" xfId="4" xr:uid="{0B7CF441-B70C-46EB-9F32-0F2FBB2B841E}"/>
    <cellStyle name="Normal 3" xfId="5" xr:uid="{34814830-7AF3-44E2-AD3E-D801E6C94572}"/>
    <cellStyle name="Normal 4" xfId="8" xr:uid="{49A1DC83-40BA-47F3-8031-96229B79E8EF}"/>
    <cellStyle name="Percent" xfId="2" builtinId="5"/>
    <cellStyle name="Porcentaje 2" xfId="7" xr:uid="{0E986885-BD48-400E-834A-9F25A49F41C4}"/>
  </cellStyles>
  <dxfs count="9">
    <dxf>
      <font>
        <color rgb="FF9C0006"/>
      </font>
      <fill>
        <patternFill>
          <bgColor rgb="FFFFC7CE"/>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ont>
        <b/>
        <i/>
      </font>
      <fill>
        <patternFill>
          <bgColor rgb="FFFF0000"/>
        </patternFill>
      </fill>
    </dxf>
    <dxf>
      <font>
        <color rgb="FF9C0006"/>
      </font>
      <fill>
        <patternFill patternType="solid">
          <fgColor rgb="FFFFC7CE"/>
          <bgColor rgb="FFFFC7CE"/>
        </patternFill>
      </fill>
    </dxf>
  </dxfs>
  <tableStyles count="0" defaultTableStyle="TableStyleMedium2" defaultPivotStyle="PivotStyleLight16"/>
  <colors>
    <mruColors>
      <color rgb="FFF7CDF3"/>
      <color rgb="FFF9F2FA"/>
      <color rgb="FFFAA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6.xml.rels><?xml version="1.0" encoding="UTF-8" standalone="yes"?>
<Relationships xmlns="http://schemas.openxmlformats.org/package/2006/relationships"><Relationship Id="rId1" Type="http://customschemas.google.com/relationships/workbookmetadata" Target="commentsmeta1"/></Relationships>
</file>

<file path=xl/_rels/comments7.xml.rels><?xml version="1.0" encoding="UTF-8" standalone="yes"?>
<Relationships xmlns="http://schemas.openxmlformats.org/package/2006/relationships"><Relationship Id="rId1" Type="http://customschemas.google.com/relationships/workbookmetadata" Target="commentsmeta2"/></Relationships>
</file>

<file path=xl/_rels/comments8.xml.rels><?xml version="1.0" encoding="UTF-8" standalone="yes"?>
<Relationships xmlns="http://schemas.openxmlformats.org/package/2006/relationships"><Relationship Id="rId1" Type="http://customschemas.google.com/relationships/workbookmetadata" Target="commentsmeta3"/></Relationships>
</file>

<file path=xl/_rels/comments9.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25" Type="http://customschemas.google.com/relationships/workbookmetadata" Target="metadata"/><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Proyeccion bosques al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'Calibración-UTCUTS_Osemosys'!$O$65:$AW$65</c:f>
              <c:numCache>
                <c:formatCode>#,##0.00000</c:formatCode>
                <c:ptCount val="35"/>
                <c:pt idx="0">
                  <c:v>0.12371994</c:v>
                </c:pt>
                <c:pt idx="2">
                  <c:v>0.12199527</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32AF-417D-87B2-F236B8290C68}"/>
            </c:ext>
          </c:extLst>
        </c:ser>
        <c:dLbls>
          <c:showLegendKey val="0"/>
          <c:showVal val="0"/>
          <c:showCatName val="0"/>
          <c:showSerName val="0"/>
          <c:showPercent val="0"/>
          <c:showBubbleSize val="0"/>
        </c:dLbls>
        <c:marker val="1"/>
        <c:smooth val="0"/>
        <c:axId val="313872744"/>
        <c:axId val="2024571063"/>
      </c:lineChart>
      <c:catAx>
        <c:axId val="313872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24571063"/>
        <c:crosses val="autoZero"/>
        <c:auto val="1"/>
        <c:lblAlgn val="ctr"/>
        <c:lblOffset val="100"/>
        <c:noMultiLvlLbl val="0"/>
      </c:catAx>
      <c:valAx>
        <c:axId val="202457106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1387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Plantaciones Forestales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'Calibración-UTCUTS_Osemosys'!$R$65:$AW$65</c:f>
              <c:numCache>
                <c:formatCode>#,##0.00000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1-A010-4C2D-8EC5-61C341AE095A}"/>
            </c:ext>
          </c:extLst>
        </c:ser>
        <c:dLbls>
          <c:showLegendKey val="0"/>
          <c:showVal val="0"/>
          <c:showCatName val="0"/>
          <c:showSerName val="0"/>
          <c:showPercent val="0"/>
          <c:showBubbleSize val="0"/>
        </c:dLbls>
        <c:axId val="1311453511"/>
        <c:axId val="1514587751"/>
      </c:scatterChart>
      <c:valAx>
        <c:axId val="13114535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14587751"/>
        <c:crosses val="autoZero"/>
        <c:crossBetween val="midCat"/>
      </c:valAx>
      <c:valAx>
        <c:axId val="151458775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11453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Proyecciones humedales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Calibración_BAU_USCUSS!$U$79:$AW$79</c:f>
              <c:numCache>
                <c:formatCode>#,##0.00000</c:formatCode>
                <c:ptCount val="29"/>
                <c:pt idx="0">
                  <c:v>0.4892876583518227</c:v>
                </c:pt>
                <c:pt idx="1">
                  <c:v>0.48861244138329718</c:v>
                </c:pt>
                <c:pt idx="2">
                  <c:v>0.48793815621418823</c:v>
                </c:pt>
                <c:pt idx="3">
                  <c:v>0.48726480155861263</c:v>
                </c:pt>
                <c:pt idx="4">
                  <c:v>0.4865923761324617</c:v>
                </c:pt>
                <c:pt idx="5">
                  <c:v>0.48592087865339889</c:v>
                </c:pt>
                <c:pt idx="6">
                  <c:v>0.48525030784085715</c:v>
                </c:pt>
                <c:pt idx="7">
                  <c:v>0.48458066241603676</c:v>
                </c:pt>
                <c:pt idx="8">
                  <c:v>0.48391194110190261</c:v>
                </c:pt>
                <c:pt idx="9">
                  <c:v>0.48324414262318194</c:v>
                </c:pt>
                <c:pt idx="10">
                  <c:v>0.48257726570636195</c:v>
                </c:pt>
                <c:pt idx="11">
                  <c:v>0.48191130907968716</c:v>
                </c:pt>
                <c:pt idx="12">
                  <c:v>0.48124627147315718</c:v>
                </c:pt>
                <c:pt idx="13">
                  <c:v>0.48058215161852419</c:v>
                </c:pt>
                <c:pt idx="14">
                  <c:v>0.4799189482492906</c:v>
                </c:pt>
                <c:pt idx="15">
                  <c:v>0.47925666010070656</c:v>
                </c:pt>
                <c:pt idx="16">
                  <c:v>0.47859528590976758</c:v>
                </c:pt>
                <c:pt idx="17">
                  <c:v>0.47793482441521207</c:v>
                </c:pt>
                <c:pt idx="18">
                  <c:v>0.47727527435751904</c:v>
                </c:pt>
                <c:pt idx="19">
                  <c:v>0.47661663447890562</c:v>
                </c:pt>
                <c:pt idx="20">
                  <c:v>0.47595890352332471</c:v>
                </c:pt>
                <c:pt idx="21">
                  <c:v>0.47530208023646248</c:v>
                </c:pt>
                <c:pt idx="22">
                  <c:v>0.47464616336573612</c:v>
                </c:pt>
                <c:pt idx="23">
                  <c:v>0.47399115166029138</c:v>
                </c:pt>
                <c:pt idx="24">
                  <c:v>0.47333704387100017</c:v>
                </c:pt>
                <c:pt idx="25">
                  <c:v>0.47268383875045816</c:v>
                </c:pt>
                <c:pt idx="26">
                  <c:v>0.47203153505298251</c:v>
                </c:pt>
                <c:pt idx="27">
                  <c:v>0.47138013153460939</c:v>
                </c:pt>
                <c:pt idx="28">
                  <c:v>0.47072962695309162</c:v>
                </c:pt>
              </c:numCache>
            </c:numRef>
          </c:yVal>
          <c:smooth val="0"/>
          <c:extLst>
            <c:ext xmlns:c16="http://schemas.microsoft.com/office/drawing/2014/chart" uri="{C3380CC4-5D6E-409C-BE32-E72D297353CC}">
              <c16:uniqueId val="{00000000-95BF-44A6-9139-2705B41DF762}"/>
            </c:ext>
          </c:extLst>
        </c:ser>
        <c:dLbls>
          <c:showLegendKey val="0"/>
          <c:showVal val="0"/>
          <c:showCatName val="0"/>
          <c:showSerName val="0"/>
          <c:showPercent val="0"/>
          <c:showBubbleSize val="0"/>
        </c:dLbls>
        <c:axId val="1467395351"/>
        <c:axId val="1575806215"/>
      </c:scatterChart>
      <c:valAx>
        <c:axId val="14673953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75806215"/>
        <c:crosses val="autoZero"/>
        <c:crossBetween val="midCat"/>
      </c:valAx>
      <c:valAx>
        <c:axId val="157580621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73953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Cultivos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Calibración_BAU_USCUSS!$Q$72:$BQ$72</c:f>
              <c:numCache>
                <c:formatCode>#,##0.00000</c:formatCode>
                <c:ptCount val="53"/>
                <c:pt idx="0">
                  <c:v>3.8806069999999999</c:v>
                </c:pt>
                <c:pt idx="1">
                  <c:v>3.9019481566842646</c:v>
                </c:pt>
                <c:pt idx="2">
                  <c:v>3.9066919824128141</c:v>
                </c:pt>
                <c:pt idx="3">
                  <c:v>3.951672727972213</c:v>
                </c:pt>
                <c:pt idx="4">
                  <c:v>3.997942977882706</c:v>
                </c:pt>
                <c:pt idx="5">
                  <c:v>4.0379279180725449</c:v>
                </c:pt>
                <c:pt idx="6">
                  <c:v>4.0806905252637522</c:v>
                </c:pt>
                <c:pt idx="7">
                  <c:v>4.1134669490763196</c:v>
                </c:pt>
                <c:pt idx="8">
                  <c:v>4.1407382892015052</c:v>
                </c:pt>
                <c:pt idx="9">
                  <c:v>4.1765105943737693</c:v>
                </c:pt>
                <c:pt idx="10">
                  <c:v>4.2070879077261329</c:v>
                </c:pt>
                <c:pt idx="11">
                  <c:v>4.2249668409769665</c:v>
                </c:pt>
                <c:pt idx="12">
                  <c:v>4.2458298841549222</c:v>
                </c:pt>
                <c:pt idx="13">
                  <c:v>4.2760125340181814</c:v>
                </c:pt>
                <c:pt idx="14">
                  <c:v>4.2956230310373718</c:v>
                </c:pt>
                <c:pt idx="15">
                  <c:v>4.3207400028850147</c:v>
                </c:pt>
                <c:pt idx="16">
                  <c:v>4.3383251897924939</c:v>
                </c:pt>
                <c:pt idx="17">
                  <c:v>4.3566466140845872</c:v>
                </c:pt>
                <c:pt idx="18">
                  <c:v>4.3786447934366537</c:v>
                </c:pt>
                <c:pt idx="19">
                  <c:v>4.3983374209364339</c:v>
                </c:pt>
                <c:pt idx="20">
                  <c:v>4.4207652747331734</c:v>
                </c:pt>
                <c:pt idx="21">
                  <c:v>4.4484252824289294</c:v>
                </c:pt>
                <c:pt idx="22">
                  <c:v>4.4744432864224413</c:v>
                </c:pt>
                <c:pt idx="23">
                  <c:v>4.5034968525465002</c:v>
                </c:pt>
                <c:pt idx="24">
                  <c:v>4.5338486218058476</c:v>
                </c:pt>
                <c:pt idx="25">
                  <c:v>4.5595652353897282</c:v>
                </c:pt>
                <c:pt idx="26">
                  <c:v>4.5939071272333871</c:v>
                </c:pt>
                <c:pt idx="27">
                  <c:v>4.6253574230025114</c:v>
                </c:pt>
                <c:pt idx="28">
                  <c:v>4.664858463980158</c:v>
                </c:pt>
                <c:pt idx="29">
                  <c:v>4.6990519005315123</c:v>
                </c:pt>
                <c:pt idx="30">
                  <c:v>4.7331692887346462</c:v>
                </c:pt>
                <c:pt idx="31">
                  <c:v>4.7687775035584927</c:v>
                </c:pt>
                <c:pt idx="32">
                  <c:v>4.8042268976384088</c:v>
                </c:pt>
                <c:pt idx="33">
                  <c:v>4.8349574297727758</c:v>
                </c:pt>
                <c:pt idx="34">
                  <c:v>4.8665413017743848</c:v>
                </c:pt>
                <c:pt idx="35">
                  <c:v>4.8987825785305859</c:v>
                </c:pt>
                <c:pt idx="36">
                  <c:v>4.9318888922797992</c:v>
                </c:pt>
                <c:pt idx="37">
                  <c:v>4.9657302862438213</c:v>
                </c:pt>
                <c:pt idx="38">
                  <c:v>4.999991631445118</c:v>
                </c:pt>
                <c:pt idx="39">
                  <c:v>5.0348177223779178</c:v>
                </c:pt>
                <c:pt idx="40">
                  <c:v>5.0700349137480529</c:v>
                </c:pt>
                <c:pt idx="41">
                  <c:v>5.1055792846630856</c:v>
                </c:pt>
                <c:pt idx="42">
                  <c:v>5.1417999714103635</c:v>
                </c:pt>
                <c:pt idx="43">
                  <c:v>5.1781370236188096</c:v>
                </c:pt>
                <c:pt idx="44">
                  <c:v>5.2148023607060709</c:v>
                </c:pt>
                <c:pt idx="45">
                  <c:v>5.2512516922199639</c:v>
                </c:pt>
                <c:pt idx="46">
                  <c:v>5.2878440643414688</c:v>
                </c:pt>
                <c:pt idx="47">
                  <c:v>5.3245948645713437</c:v>
                </c:pt>
                <c:pt idx="48">
                  <c:v>5.3614103747164075</c:v>
                </c:pt>
                <c:pt idx="49">
                  <c:v>5.3983063888604823</c:v>
                </c:pt>
                <c:pt idx="50">
                  <c:v>5.4356200209153167</c:v>
                </c:pt>
                <c:pt idx="51">
                  <c:v>5.4733205627515655</c:v>
                </c:pt>
                <c:pt idx="52">
                  <c:v>5.5113888880572297</c:v>
                </c:pt>
              </c:numCache>
            </c:numRef>
          </c:yVal>
          <c:smooth val="0"/>
          <c:extLst>
            <c:ext xmlns:c16="http://schemas.microsoft.com/office/drawing/2014/chart" uri="{C3380CC4-5D6E-409C-BE32-E72D297353CC}">
              <c16:uniqueId val="{00000001-F91F-423A-B6BD-FFCF6F2D119C}"/>
            </c:ext>
          </c:extLst>
        </c:ser>
        <c:dLbls>
          <c:showLegendKey val="0"/>
          <c:showVal val="0"/>
          <c:showCatName val="0"/>
          <c:showSerName val="0"/>
          <c:showPercent val="0"/>
          <c:showBubbleSize val="0"/>
        </c:dLbls>
        <c:axId val="519074408"/>
        <c:axId val="2016150536"/>
      </c:scatterChart>
      <c:valAx>
        <c:axId val="519074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16150536"/>
        <c:crosses val="autoZero"/>
        <c:crossBetween val="midCat"/>
      </c:valAx>
      <c:valAx>
        <c:axId val="201615053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19074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Pastizales (grasslands)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Calibración_BAU_USCUSS!$Q$77:$BQ$77</c:f>
              <c:numCache>
                <c:formatCode>#,##0.00000</c:formatCode>
                <c:ptCount val="53"/>
                <c:pt idx="0">
                  <c:v>2.3758364699999999</c:v>
                </c:pt>
                <c:pt idx="1">
                  <c:v>2.369059</c:v>
                </c:pt>
                <c:pt idx="2">
                  <c:v>2.3619680000000001</c:v>
                </c:pt>
                <c:pt idx="3">
                  <c:v>2.3548770000000001</c:v>
                </c:pt>
                <c:pt idx="4">
                  <c:v>2.3477860000000002</c:v>
                </c:pt>
                <c:pt idx="5">
                  <c:v>2.3406950000000002</c:v>
                </c:pt>
                <c:pt idx="6">
                  <c:v>2.3336039999999998</c:v>
                </c:pt>
                <c:pt idx="7">
                  <c:v>2.3265129999999998</c:v>
                </c:pt>
                <c:pt idx="8">
                  <c:v>2.3194219999999999</c:v>
                </c:pt>
                <c:pt idx="9">
                  <c:v>2.3123309999999999</c:v>
                </c:pt>
                <c:pt idx="10">
                  <c:v>2.30524</c:v>
                </c:pt>
                <c:pt idx="11">
                  <c:v>2.298149</c:v>
                </c:pt>
                <c:pt idx="12">
                  <c:v>2.291058</c:v>
                </c:pt>
                <c:pt idx="13">
                  <c:v>2.2839670000000001</c:v>
                </c:pt>
                <c:pt idx="14">
                  <c:v>2.2768760000000001</c:v>
                </c:pt>
                <c:pt idx="15">
                  <c:v>2.2697850000000002</c:v>
                </c:pt>
                <c:pt idx="16">
                  <c:v>2.2626940000000002</c:v>
                </c:pt>
                <c:pt idx="17">
                  <c:v>2.2556029999999998</c:v>
                </c:pt>
                <c:pt idx="18">
                  <c:v>2.2485119999999998</c:v>
                </c:pt>
                <c:pt idx="19">
                  <c:v>2.2414209999999999</c:v>
                </c:pt>
                <c:pt idx="20">
                  <c:v>2.2343299999999999</c:v>
                </c:pt>
                <c:pt idx="21">
                  <c:v>2.227239</c:v>
                </c:pt>
                <c:pt idx="22">
                  <c:v>2.220148</c:v>
                </c:pt>
                <c:pt idx="23">
                  <c:v>2.2130570000000001</c:v>
                </c:pt>
                <c:pt idx="24">
                  <c:v>2.2059660000000001</c:v>
                </c:pt>
                <c:pt idx="25">
                  <c:v>2.1988750000000001</c:v>
                </c:pt>
                <c:pt idx="26">
                  <c:v>2.1917840000000002</c:v>
                </c:pt>
                <c:pt idx="27">
                  <c:v>2.1846930000000002</c:v>
                </c:pt>
                <c:pt idx="28">
                  <c:v>2.1776019999999998</c:v>
                </c:pt>
                <c:pt idx="29">
                  <c:v>2.1705109999999999</c:v>
                </c:pt>
                <c:pt idx="30">
                  <c:v>2.1634199999999999</c:v>
                </c:pt>
                <c:pt idx="31">
                  <c:v>2.1563289999999999</c:v>
                </c:pt>
                <c:pt idx="32">
                  <c:v>2.149238</c:v>
                </c:pt>
                <c:pt idx="33">
                  <c:v>2.142147</c:v>
                </c:pt>
                <c:pt idx="34">
                  <c:v>2.1350560000000001</c:v>
                </c:pt>
                <c:pt idx="35">
                  <c:v>2.1279650000000001</c:v>
                </c:pt>
                <c:pt idx="36">
                  <c:v>2.1208740000000001</c:v>
                </c:pt>
                <c:pt idx="37">
                  <c:v>2.1137830000000002</c:v>
                </c:pt>
                <c:pt idx="38">
                  <c:v>2.1066919999999998</c:v>
                </c:pt>
                <c:pt idx="39">
                  <c:v>2.0996009999999998</c:v>
                </c:pt>
                <c:pt idx="40">
                  <c:v>2.0925099999999999</c:v>
                </c:pt>
                <c:pt idx="41">
                  <c:v>2.0854189999999999</c:v>
                </c:pt>
                <c:pt idx="42">
                  <c:v>2.078328</c:v>
                </c:pt>
                <c:pt idx="43">
                  <c:v>2.071237</c:v>
                </c:pt>
                <c:pt idx="44">
                  <c:v>2.064146</c:v>
                </c:pt>
                <c:pt idx="45">
                  <c:v>2.0570550000000001</c:v>
                </c:pt>
                <c:pt idx="46">
                  <c:v>2.0499640000000001</c:v>
                </c:pt>
                <c:pt idx="47">
                  <c:v>2.0428730000000002</c:v>
                </c:pt>
                <c:pt idx="48">
                  <c:v>2.0357820000000002</c:v>
                </c:pt>
                <c:pt idx="49">
                  <c:v>2.0286909999999998</c:v>
                </c:pt>
                <c:pt idx="50">
                  <c:v>2.0215999999999998</c:v>
                </c:pt>
                <c:pt idx="51">
                  <c:v>2.0145089999999999</c:v>
                </c:pt>
                <c:pt idx="52">
                  <c:v>2.0074179999999999</c:v>
                </c:pt>
              </c:numCache>
            </c:numRef>
          </c:yVal>
          <c:smooth val="1"/>
          <c:extLst>
            <c:ext xmlns:c16="http://schemas.microsoft.com/office/drawing/2014/chart" uri="{C3380CC4-5D6E-409C-BE32-E72D297353CC}">
              <c16:uniqueId val="{00000001-1B77-48E1-9054-A65A5E8C1514}"/>
            </c:ext>
          </c:extLst>
        </c:ser>
        <c:ser>
          <c:idx val="1"/>
          <c:order val="1"/>
          <c:spPr>
            <a:ln w="19050" cap="rnd">
              <a:solidFill>
                <a:schemeClr val="accent2"/>
              </a:solidFill>
              <a:round/>
            </a:ln>
            <a:effectLst/>
          </c:spPr>
          <c:marker>
            <c:symbol val="none"/>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Calibración_BAU_USCUSS!$Q$78:$BQ$78</c:f>
              <c:numCache>
                <c:formatCode>#,##0.00000</c:formatCode>
                <c:ptCount val="53"/>
              </c:numCache>
            </c:numRef>
          </c:yVal>
          <c:smooth val="1"/>
          <c:extLst>
            <c:ext xmlns:c16="http://schemas.microsoft.com/office/drawing/2014/chart" uri="{C3380CC4-5D6E-409C-BE32-E72D297353CC}">
              <c16:uniqueId val="{00000003-1B77-48E1-9054-A65A5E8C1514}"/>
            </c:ext>
          </c:extLst>
        </c:ser>
        <c:dLbls>
          <c:showLegendKey val="0"/>
          <c:showVal val="0"/>
          <c:showCatName val="0"/>
          <c:showSerName val="0"/>
          <c:showPercent val="0"/>
          <c:showBubbleSize val="0"/>
        </c:dLbls>
        <c:axId val="1242969496"/>
        <c:axId val="926992087"/>
      </c:scatterChart>
      <c:valAx>
        <c:axId val="1242969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6992087"/>
        <c:crosses val="autoZero"/>
        <c:crossBetween val="midCat"/>
      </c:valAx>
      <c:valAx>
        <c:axId val="926992087"/>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429694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Emisiones USCUSS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19050" cap="rnd">
              <a:solidFill>
                <a:schemeClr val="accent1"/>
              </a:solidFill>
              <a:round/>
            </a:ln>
            <a:effectLst/>
          </c:spPr>
          <c:marker>
            <c:symbol val="none"/>
          </c:marker>
          <c:cat>
            <c:numRef>
              <c:f>Emisiones_USCUSS!$M$1:$BM$1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cat>
          <c:val>
            <c:numRef>
              <c:f>Emisiones_USCUSS!$M$184:$BM$184</c:f>
              <c:numCache>
                <c:formatCode>General</c:formatCode>
                <c:ptCount val="53"/>
                <c:pt idx="0">
                  <c:v>40.907897320899998</c:v>
                </c:pt>
                <c:pt idx="1">
                  <c:v>40.049233861697942</c:v>
                </c:pt>
                <c:pt idx="2">
                  <c:v>42.159045753493913</c:v>
                </c:pt>
                <c:pt idx="3">
                  <c:v>42.138013228276037</c:v>
                </c:pt>
                <c:pt idx="4">
                  <c:v>41.831007285779066</c:v>
                </c:pt>
                <c:pt idx="5">
                  <c:v>41.475287002995778</c:v>
                </c:pt>
                <c:pt idx="6">
                  <c:v>41.189754565153088</c:v>
                </c:pt>
                <c:pt idx="7">
                  <c:v>40.807989748529849</c:v>
                </c:pt>
                <c:pt idx="8">
                  <c:v>40.462649710616169</c:v>
                </c:pt>
                <c:pt idx="9">
                  <c:v>40.231440822870631</c:v>
                </c:pt>
                <c:pt idx="10">
                  <c:v>39.893339355031401</c:v>
                </c:pt>
                <c:pt idx="11">
                  <c:v>39.498889464365938</c:v>
                </c:pt>
                <c:pt idx="12">
                  <c:v>39.229901792213589</c:v>
                </c:pt>
                <c:pt idx="13">
                  <c:v>39.013818944954266</c:v>
                </c:pt>
                <c:pt idx="14">
                  <c:v>38.642346815863633</c:v>
                </c:pt>
                <c:pt idx="15">
                  <c:v>38.40029010920351</c:v>
                </c:pt>
                <c:pt idx="16">
                  <c:v>38.057185568762392</c:v>
                </c:pt>
                <c:pt idx="17">
                  <c:v>37.781487215959679</c:v>
                </c:pt>
                <c:pt idx="18">
                  <c:v>37.531163806910989</c:v>
                </c:pt>
                <c:pt idx="19">
                  <c:v>37.235515603325062</c:v>
                </c:pt>
                <c:pt idx="20">
                  <c:v>36.981880857400029</c:v>
                </c:pt>
                <c:pt idx="21">
                  <c:v>36.749887030355559</c:v>
                </c:pt>
                <c:pt idx="22">
                  <c:v>36.465806171664752</c:v>
                </c:pt>
                <c:pt idx="23">
                  <c:v>36.220554484487671</c:v>
                </c:pt>
                <c:pt idx="24">
                  <c:v>35.963813282765408</c:v>
                </c:pt>
                <c:pt idx="25">
                  <c:v>35.662171328391089</c:v>
                </c:pt>
                <c:pt idx="26">
                  <c:v>35.467404761583445</c:v>
                </c:pt>
                <c:pt idx="27">
                  <c:v>35.183680778904623</c:v>
                </c:pt>
                <c:pt idx="28">
                  <c:v>34.988471585972697</c:v>
                </c:pt>
                <c:pt idx="29">
                  <c:v>34.689773602667834</c:v>
                </c:pt>
                <c:pt idx="30">
                  <c:v>34.434538037779468</c:v>
                </c:pt>
                <c:pt idx="31">
                  <c:v>34.193523990169417</c:v>
                </c:pt>
                <c:pt idx="32">
                  <c:v>33.941573643981002</c:v>
                </c:pt>
                <c:pt idx="33">
                  <c:v>33.65736925037011</c:v>
                </c:pt>
                <c:pt idx="34">
                  <c:v>33.416358893535353</c:v>
                </c:pt>
                <c:pt idx="35">
                  <c:v>33.176384704639617</c:v>
                </c:pt>
                <c:pt idx="36">
                  <c:v>32.940083267191561</c:v>
                </c:pt>
                <c:pt idx="37">
                  <c:v>32.70451846430565</c:v>
                </c:pt>
                <c:pt idx="38">
                  <c:v>32.468504924204247</c:v>
                </c:pt>
                <c:pt idx="39">
                  <c:v>32.235084421791498</c:v>
                </c:pt>
                <c:pt idx="40">
                  <c:v>32.002414614302808</c:v>
                </c:pt>
                <c:pt idx="41">
                  <c:v>31.771063695686273</c:v>
                </c:pt>
                <c:pt idx="42">
                  <c:v>31.544160632857817</c:v>
                </c:pt>
                <c:pt idx="43">
                  <c:v>31.314722032991664</c:v>
                </c:pt>
                <c:pt idx="44">
                  <c:v>31.088691757986357</c:v>
                </c:pt>
                <c:pt idx="45">
                  <c:v>30.860245714000026</c:v>
                </c:pt>
                <c:pt idx="46">
                  <c:v>30.636291765508091</c:v>
                </c:pt>
                <c:pt idx="47">
                  <c:v>30.414163361525066</c:v>
                </c:pt>
                <c:pt idx="48">
                  <c:v>30.193023726439286</c:v>
                </c:pt>
                <c:pt idx="49">
                  <c:v>29.973692076697187</c:v>
                </c:pt>
                <c:pt idx="50">
                  <c:v>29.758635568089705</c:v>
                </c:pt>
                <c:pt idx="51">
                  <c:v>29.545004458807707</c:v>
                </c:pt>
                <c:pt idx="52">
                  <c:v>29.332873558339532</c:v>
                </c:pt>
              </c:numCache>
            </c:numRef>
          </c:val>
          <c:smooth val="0"/>
          <c:extLst>
            <c:ext xmlns:c16="http://schemas.microsoft.com/office/drawing/2014/chart" uri="{C3380CC4-5D6E-409C-BE32-E72D297353CC}">
              <c16:uniqueId val="{00000001-CB18-4329-9D23-2572E8BFB91C}"/>
            </c:ext>
          </c:extLst>
        </c:ser>
        <c:dLbls>
          <c:showLegendKey val="0"/>
          <c:showVal val="0"/>
          <c:showCatName val="0"/>
          <c:showSerName val="0"/>
          <c:showPercent val="0"/>
          <c:showBubbleSize val="0"/>
        </c:dLbls>
        <c:smooth val="0"/>
        <c:axId val="921387527"/>
        <c:axId val="921389575"/>
      </c:lineChart>
      <c:catAx>
        <c:axId val="921387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9575"/>
        <c:crosses val="autoZero"/>
        <c:auto val="1"/>
        <c:lblAlgn val="ctr"/>
        <c:lblOffset val="100"/>
        <c:noMultiLvlLbl val="0"/>
      </c:catAx>
      <c:valAx>
        <c:axId val="921389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Emisiones + Absorciones USCUSS</a:t>
            </a:r>
          </a:p>
        </c:rich>
      </c:tx>
      <c:layout>
        <c:manualLayout>
          <c:xMode val="edge"/>
          <c:yMode val="edge"/>
          <c:x val="0.34637933025751133"/>
          <c:y val="1.0158768911210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19050" cap="rnd">
              <a:solidFill>
                <a:schemeClr val="accent1"/>
              </a:solidFill>
              <a:round/>
            </a:ln>
            <a:effectLst/>
          </c:spPr>
          <c:marker>
            <c:symbol val="none"/>
          </c:marker>
          <c:cat>
            <c:numRef>
              <c:f>Emisiones_USCUSS!$M$1:$BM$1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cat>
          <c:val>
            <c:numRef>
              <c:f>Emisiones_USCUSS!$M$179:$BM$179</c:f>
              <c:numCache>
                <c:formatCode>General</c:formatCode>
                <c:ptCount val="53"/>
                <c:pt idx="0">
                  <c:v>14.910128200987476</c:v>
                </c:pt>
                <c:pt idx="1">
                  <c:v>14.05146474178542</c:v>
                </c:pt>
                <c:pt idx="2">
                  <c:v>16.161276633581391</c:v>
                </c:pt>
                <c:pt idx="3">
                  <c:v>16.140244108363515</c:v>
                </c:pt>
                <c:pt idx="4">
                  <c:v>15.833238165866543</c:v>
                </c:pt>
                <c:pt idx="5">
                  <c:v>15.477517883083255</c:v>
                </c:pt>
                <c:pt idx="6">
                  <c:v>15.191985445240565</c:v>
                </c:pt>
                <c:pt idx="7">
                  <c:v>14.810220628617326</c:v>
                </c:pt>
                <c:pt idx="8">
                  <c:v>14.464880590703647</c:v>
                </c:pt>
                <c:pt idx="9">
                  <c:v>14.233671702958109</c:v>
                </c:pt>
                <c:pt idx="10">
                  <c:v>13.895570235118878</c:v>
                </c:pt>
                <c:pt idx="11">
                  <c:v>13.501120344453415</c:v>
                </c:pt>
                <c:pt idx="12">
                  <c:v>13.232132672301066</c:v>
                </c:pt>
                <c:pt idx="13">
                  <c:v>13.016049825041744</c:v>
                </c:pt>
                <c:pt idx="14">
                  <c:v>12.64457769595111</c:v>
                </c:pt>
                <c:pt idx="15">
                  <c:v>12.402520989290988</c:v>
                </c:pt>
                <c:pt idx="16">
                  <c:v>12.05941644884987</c:v>
                </c:pt>
                <c:pt idx="17">
                  <c:v>11.783718096047156</c:v>
                </c:pt>
                <c:pt idx="18">
                  <c:v>11.533394686998466</c:v>
                </c:pt>
                <c:pt idx="19">
                  <c:v>11.23774648341254</c:v>
                </c:pt>
                <c:pt idx="20">
                  <c:v>10.984111737487506</c:v>
                </c:pt>
                <c:pt idx="21">
                  <c:v>10.752117910443037</c:v>
                </c:pt>
                <c:pt idx="22">
                  <c:v>10.46803705175223</c:v>
                </c:pt>
                <c:pt idx="23">
                  <c:v>10.222785364575149</c:v>
                </c:pt>
                <c:pt idx="24">
                  <c:v>9.9660441628528851</c:v>
                </c:pt>
                <c:pt idx="25">
                  <c:v>9.6644022084785668</c:v>
                </c:pt>
                <c:pt idx="26">
                  <c:v>9.4696356416709229</c:v>
                </c:pt>
                <c:pt idx="27">
                  <c:v>9.1859116589921008</c:v>
                </c:pt>
                <c:pt idx="28">
                  <c:v>8.9907024660601742</c:v>
                </c:pt>
                <c:pt idx="29">
                  <c:v>8.692004482755312</c:v>
                </c:pt>
                <c:pt idx="30">
                  <c:v>8.4367689178669458</c:v>
                </c:pt>
                <c:pt idx="31">
                  <c:v>8.195754870256895</c:v>
                </c:pt>
                <c:pt idx="32">
                  <c:v>7.9438045240684794</c:v>
                </c:pt>
                <c:pt idx="33">
                  <c:v>7.6596001304575871</c:v>
                </c:pt>
                <c:pt idx="34">
                  <c:v>7.4185897736228306</c:v>
                </c:pt>
                <c:pt idx="35">
                  <c:v>7.178615584727094</c:v>
                </c:pt>
                <c:pt idx="36">
                  <c:v>6.9423141472790384</c:v>
                </c:pt>
                <c:pt idx="37">
                  <c:v>6.7067493443931276</c:v>
                </c:pt>
                <c:pt idx="38">
                  <c:v>6.4707358042917242</c:v>
                </c:pt>
                <c:pt idx="39">
                  <c:v>6.2373153018789758</c:v>
                </c:pt>
                <c:pt idx="40">
                  <c:v>6.0046454943902852</c:v>
                </c:pt>
                <c:pt idx="41">
                  <c:v>5.7732945757737504</c:v>
                </c:pt>
                <c:pt idx="42">
                  <c:v>5.546391512945295</c:v>
                </c:pt>
                <c:pt idx="43">
                  <c:v>5.3169529130791418</c:v>
                </c:pt>
                <c:pt idx="44">
                  <c:v>5.0909226380738346</c:v>
                </c:pt>
                <c:pt idx="45">
                  <c:v>4.8624765940875037</c:v>
                </c:pt>
                <c:pt idx="46">
                  <c:v>4.6385226455955682</c:v>
                </c:pt>
                <c:pt idx="47">
                  <c:v>4.4163942416125437</c:v>
                </c:pt>
                <c:pt idx="48">
                  <c:v>4.1952546065267633</c:v>
                </c:pt>
                <c:pt idx="49">
                  <c:v>3.9759229567846646</c:v>
                </c:pt>
                <c:pt idx="50">
                  <c:v>3.7608664481771825</c:v>
                </c:pt>
                <c:pt idx="51">
                  <c:v>3.5472353388951845</c:v>
                </c:pt>
                <c:pt idx="52">
                  <c:v>3.3351044384270097</c:v>
                </c:pt>
              </c:numCache>
            </c:numRef>
          </c:val>
          <c:smooth val="0"/>
          <c:extLst>
            <c:ext xmlns:c16="http://schemas.microsoft.com/office/drawing/2014/chart" uri="{C3380CC4-5D6E-409C-BE32-E72D297353CC}">
              <c16:uniqueId val="{00000000-BFE6-4B71-A7CE-CF51DB373D40}"/>
            </c:ext>
          </c:extLst>
        </c:ser>
        <c:dLbls>
          <c:showLegendKey val="0"/>
          <c:showVal val="0"/>
          <c:showCatName val="0"/>
          <c:showSerName val="0"/>
          <c:showPercent val="0"/>
          <c:showBubbleSize val="0"/>
        </c:dLbls>
        <c:smooth val="0"/>
        <c:axId val="921387527"/>
        <c:axId val="921389575"/>
      </c:lineChart>
      <c:catAx>
        <c:axId val="921387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9575"/>
        <c:crosses val="autoZero"/>
        <c:auto val="1"/>
        <c:lblAlgn val="ctr"/>
        <c:lblOffset val="100"/>
        <c:noMultiLvlLbl val="0"/>
      </c:catAx>
      <c:valAx>
        <c:axId val="921389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'Calibración-BAU_Agricultura '!$G$357:$O$357</c:f>
              <c:numCache>
                <c:formatCode>0.0000</c:formatCode>
                <c:ptCount val="9"/>
                <c:pt idx="0">
                  <c:v>0.26</c:v>
                </c:pt>
                <c:pt idx="1">
                  <c:v>0.26800000000000002</c:v>
                </c:pt>
                <c:pt idx="2">
                  <c:v>0.26500000000000001</c:v>
                </c:pt>
                <c:pt idx="3">
                  <c:v>0.26050000000000001</c:v>
                </c:pt>
                <c:pt idx="4">
                  <c:v>0.23157</c:v>
                </c:pt>
                <c:pt idx="5">
                  <c:v>0.21478800000000001</c:v>
                </c:pt>
                <c:pt idx="6">
                  <c:v>0.21424799999999999</c:v>
                </c:pt>
                <c:pt idx="7">
                  <c:v>0.21926599999999999</c:v>
                </c:pt>
                <c:pt idx="8">
                  <c:v>0.213424</c:v>
                </c:pt>
              </c:numCache>
            </c:numRef>
          </c:val>
          <c:smooth val="0"/>
          <c:extLst>
            <c:ext xmlns:c16="http://schemas.microsoft.com/office/drawing/2014/chart" uri="{C3380CC4-5D6E-409C-BE32-E72D297353CC}">
              <c16:uniqueId val="{00000000-6850-42E4-B5BF-7DF040ACCBC0}"/>
            </c:ext>
          </c:extLst>
        </c:ser>
        <c:dLbls>
          <c:showLegendKey val="0"/>
          <c:showVal val="0"/>
          <c:showCatName val="0"/>
          <c:showSerName val="0"/>
          <c:showPercent val="0"/>
          <c:showBubbleSize val="0"/>
        </c:dLbls>
        <c:smooth val="0"/>
        <c:axId val="756024816"/>
        <c:axId val="756045456"/>
      </c:lineChart>
      <c:catAx>
        <c:axId val="756024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6045456"/>
        <c:crosses val="autoZero"/>
        <c:auto val="1"/>
        <c:lblAlgn val="ctr"/>
        <c:lblOffset val="100"/>
        <c:noMultiLvlLbl val="0"/>
      </c:catAx>
      <c:valAx>
        <c:axId val="756045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602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TOTAL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Agricultura'!$H$53:$AQ$53</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2.048517314963886</c:v>
                </c:pt>
                <c:pt idx="8" formatCode="General">
                  <c:v>2.1120213517277668</c:v>
                </c:pt>
                <c:pt idx="9" formatCode="General">
                  <c:v>2.1753819922795996</c:v>
                </c:pt>
                <c:pt idx="10" formatCode="General">
                  <c:v>2.2341173060711483</c:v>
                </c:pt>
                <c:pt idx="11" formatCode="General">
                  <c:v>2.2855020041107852</c:v>
                </c:pt>
                <c:pt idx="12" formatCode="General">
                  <c:v>2.3582911883279198</c:v>
                </c:pt>
                <c:pt idx="13" formatCode="General">
                  <c:v>2.4254122228142521</c:v>
                </c:pt>
                <c:pt idx="14" formatCode="General">
                  <c:v>2.4786737224480717</c:v>
                </c:pt>
                <c:pt idx="15" formatCode="General">
                  <c:v>2.5377167818479207</c:v>
                </c:pt>
                <c:pt idx="16" formatCode="General">
                  <c:v>2.6181070885611275</c:v>
                </c:pt>
                <c:pt idx="17" formatCode="General">
                  <c:v>2.6826921857732673</c:v>
                </c:pt>
                <c:pt idx="18" formatCode="General">
                  <c:v>2.7602604392789218</c:v>
                </c:pt>
                <c:pt idx="19" formatCode="General">
                  <c:v>2.8255863077211059</c:v>
                </c:pt>
                <c:pt idx="20" formatCode="General">
                  <c:v>2.8923960623955884</c:v>
                </c:pt>
                <c:pt idx="21" formatCode="General">
                  <c:v>2.9662616895456764</c:v>
                </c:pt>
                <c:pt idx="22" formatCode="General">
                  <c:v>3.0335698709758656</c:v>
                </c:pt>
                <c:pt idx="23" formatCode="General">
                  <c:v>3.1046372794785437</c:v>
                </c:pt>
                <c:pt idx="24" formatCode="General">
                  <c:v>3.1829080966248533</c:v>
                </c:pt>
                <c:pt idx="25" formatCode="General">
                  <c:v>3.255206727581768</c:v>
                </c:pt>
                <c:pt idx="26" formatCode="General">
                  <c:v>3.3295092569842106</c:v>
                </c:pt>
                <c:pt idx="27" formatCode="General">
                  <c:v>3.403693750026823</c:v>
                </c:pt>
                <c:pt idx="28" formatCode="General">
                  <c:v>3.4632339750226784</c:v>
                </c:pt>
                <c:pt idx="29" formatCode="General">
                  <c:v>3.5391356846517725</c:v>
                </c:pt>
                <c:pt idx="30" formatCode="General">
                  <c:v>3.6049306107198165</c:v>
                </c:pt>
                <c:pt idx="31" formatCode="General">
                  <c:v>3.6873439650983877</c:v>
                </c:pt>
                <c:pt idx="32" formatCode="General">
                  <c:v>3.7553027445578442</c:v>
                </c:pt>
                <c:pt idx="33" formatCode="General">
                  <c:v>3.8225970998354675</c:v>
                </c:pt>
                <c:pt idx="34" formatCode="General">
                  <c:v>3.8923713192080469</c:v>
                </c:pt>
                <c:pt idx="35" formatCode="General">
                  <c:v>3.9626669525501206</c:v>
                </c:pt>
              </c:numCache>
            </c:numRef>
          </c:val>
          <c:smooth val="0"/>
          <c:extLst>
            <c:ext xmlns:c16="http://schemas.microsoft.com/office/drawing/2014/chart" uri="{C3380CC4-5D6E-409C-BE32-E72D297353CC}">
              <c16:uniqueId val="{00000000-F0DA-4C44-9E4A-B6C0F0920022}"/>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Agricultura'!$H$69:$AQ$69</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2.0214762046208836</c:v>
                </c:pt>
                <c:pt idx="8" formatCode="General">
                  <c:v>2.0480622863100719</c:v>
                </c:pt>
                <c:pt idx="9" formatCode="General">
                  <c:v>2.0744038569521099</c:v>
                </c:pt>
                <c:pt idx="10" formatCode="General">
                  <c:v>2.1004959723897945</c:v>
                </c:pt>
                <c:pt idx="11" formatCode="General">
                  <c:v>2.1263094171487418</c:v>
                </c:pt>
                <c:pt idx="12" formatCode="General">
                  <c:v>2.1518344152817552</c:v>
                </c:pt>
                <c:pt idx="13" formatCode="General">
                  <c:v>2.1770526509337387</c:v>
                </c:pt>
                <c:pt idx="14" formatCode="General">
                  <c:v>2.2019605283539994</c:v>
                </c:pt>
                <c:pt idx="15" formatCode="General">
                  <c:v>2.2265300681074565</c:v>
                </c:pt>
                <c:pt idx="16" formatCode="General">
                  <c:v>2.2507481232306334</c:v>
                </c:pt>
                <c:pt idx="17" formatCode="General">
                  <c:v>2.2745977262749499</c:v>
                </c:pt>
                <c:pt idx="18" formatCode="General">
                  <c:v>2.298059212978798</c:v>
                </c:pt>
                <c:pt idx="19" formatCode="General">
                  <c:v>2.3211229197621921</c:v>
                </c:pt>
                <c:pt idx="20" formatCode="General">
                  <c:v>2.3437719915437545</c:v>
                </c:pt>
                <c:pt idx="21" formatCode="General">
                  <c:v>2.3659965400090801</c:v>
                </c:pt>
                <c:pt idx="22" formatCode="General">
                  <c:v>2.3877775750998191</c:v>
                </c:pt>
                <c:pt idx="23" formatCode="General">
                  <c:v>2.4091075682129572</c:v>
                </c:pt>
                <c:pt idx="24" formatCode="General">
                  <c:v>2.4299724734473482</c:v>
                </c:pt>
                <c:pt idx="25" formatCode="General">
                  <c:v>2.4503625148557941</c:v>
                </c:pt>
                <c:pt idx="26" formatCode="General">
                  <c:v>2.4702751079924838</c:v>
                </c:pt>
                <c:pt idx="27" formatCode="General">
                  <c:v>2.4897033984576602</c:v>
                </c:pt>
                <c:pt idx="28" formatCode="General">
                  <c:v>2.5086353629599398</c:v>
                </c:pt>
                <c:pt idx="29" formatCode="General">
                  <c:v>2.5270685294207218</c:v>
                </c:pt>
                <c:pt idx="30" formatCode="General">
                  <c:v>2.5449908745486258</c:v>
                </c:pt>
                <c:pt idx="31" formatCode="General">
                  <c:v>2.5623993644290044</c:v>
                </c:pt>
                <c:pt idx="32" formatCode="General">
                  <c:v>2.5792968082420855</c:v>
                </c:pt>
                <c:pt idx="33" formatCode="General">
                  <c:v>2.5956687106178871</c:v>
                </c:pt>
                <c:pt idx="34" formatCode="General">
                  <c:v>2.6115194538775675</c:v>
                </c:pt>
                <c:pt idx="35" formatCode="General">
                  <c:v>2.6268545440143742</c:v>
                </c:pt>
              </c:numCache>
            </c:numRef>
          </c:val>
          <c:smooth val="0"/>
          <c:extLst>
            <c:ext xmlns:c16="http://schemas.microsoft.com/office/drawing/2014/chart" uri="{C3380CC4-5D6E-409C-BE32-E72D297353CC}">
              <c16:uniqueId val="{00000001-F0DA-4C44-9E4A-B6C0F0920022}"/>
            </c:ext>
          </c:extLst>
        </c:ser>
        <c:ser>
          <c:idx val="2"/>
          <c:order val="2"/>
          <c:tx>
            <c:v>EXPORTACIONES+POBLACION</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Agricultura'!$H$37:$AQ$37</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2.0108609896617593</c:v>
                </c:pt>
                <c:pt idx="8" formatCode="General">
                  <c:v>2.0009001412824614</c:v>
                </c:pt>
                <c:pt idx="9" formatCode="General">
                  <c:v>2.1228245398731809</c:v>
                </c:pt>
                <c:pt idx="10" formatCode="General">
                  <c:v>2.1264893315871323</c:v>
                </c:pt>
                <c:pt idx="11" formatCode="General">
                  <c:v>2.2541184195384494</c:v>
                </c:pt>
                <c:pt idx="12" formatCode="General">
                  <c:v>2.3101643163111198</c:v>
                </c:pt>
                <c:pt idx="13" formatCode="General">
                  <c:v>2.3687377950881969</c:v>
                </c:pt>
                <c:pt idx="14" formatCode="General">
                  <c:v>2.4208949099253121</c:v>
                </c:pt>
                <c:pt idx="15" formatCode="General">
                  <c:v>2.4818808347506942</c:v>
                </c:pt>
                <c:pt idx="16" formatCode="General">
                  <c:v>2.5393784357198834</c:v>
                </c:pt>
                <c:pt idx="17" formatCode="General">
                  <c:v>2.600156785381484</c:v>
                </c:pt>
                <c:pt idx="18" formatCode="General">
                  <c:v>2.6675939021020638</c:v>
                </c:pt>
                <c:pt idx="19" formatCode="General">
                  <c:v>2.7344001987112327</c:v>
                </c:pt>
                <c:pt idx="20" formatCode="General">
                  <c:v>2.80366120785648</c:v>
                </c:pt>
                <c:pt idx="21" formatCode="General">
                  <c:v>2.865834057805873</c:v>
                </c:pt>
                <c:pt idx="22" formatCode="General">
                  <c:v>2.9280102522067954</c:v>
                </c:pt>
                <c:pt idx="23" formatCode="General">
                  <c:v>2.9958682477748479</c:v>
                </c:pt>
                <c:pt idx="24" formatCode="General">
                  <c:v>3.0635595835758105</c:v>
                </c:pt>
                <c:pt idx="25" formatCode="General">
                  <c:v>3.1378717379025249</c:v>
                </c:pt>
                <c:pt idx="26" formatCode="General">
                  <c:v>3.2076064421691024</c:v>
                </c:pt>
                <c:pt idx="27" formatCode="General">
                  <c:v>3.2800123635325171</c:v>
                </c:pt>
                <c:pt idx="28" formatCode="General">
                  <c:v>3.349459091733892</c:v>
                </c:pt>
                <c:pt idx="29" formatCode="General">
                  <c:v>3.4200025351409393</c:v>
                </c:pt>
                <c:pt idx="30" formatCode="General">
                  <c:v>3.487667466330616</c:v>
                </c:pt>
                <c:pt idx="31" formatCode="General">
                  <c:v>3.5611973129294148</c:v>
                </c:pt>
                <c:pt idx="32" formatCode="General">
                  <c:v>3.631567111467549</c:v>
                </c:pt>
                <c:pt idx="33" formatCode="General">
                  <c:v>3.7065466452655058</c:v>
                </c:pt>
                <c:pt idx="34" formatCode="General">
                  <c:v>3.7788715752634028</c:v>
                </c:pt>
                <c:pt idx="35" formatCode="General">
                  <c:v>3.8516200610232869</c:v>
                </c:pt>
              </c:numCache>
            </c:numRef>
          </c:val>
          <c:smooth val="0"/>
          <c:extLst>
            <c:ext xmlns:c16="http://schemas.microsoft.com/office/drawing/2014/chart" uri="{C3380CC4-5D6E-409C-BE32-E72D297353CC}">
              <c16:uniqueId val="{00000002-F0DA-4C44-9E4A-B6C0F0920022}"/>
            </c:ext>
          </c:extLst>
        </c:ser>
        <c:dLbls>
          <c:showLegendKey val="0"/>
          <c:showVal val="0"/>
          <c:showCatName val="0"/>
          <c:showSerName val="0"/>
          <c:showPercent val="0"/>
          <c:showBubbleSize val="0"/>
        </c:dLbls>
        <c:marker val="1"/>
        <c:smooth val="0"/>
        <c:axId val="383928001"/>
        <c:axId val="927987423"/>
      </c:lineChart>
      <c:catAx>
        <c:axId val="383928001"/>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1"/>
        <c:majorTickMark val="none"/>
        <c:minorTickMark val="none"/>
        <c:tickLblPos val="nextTo"/>
        <c:txPr>
          <a:bodyPr/>
          <a:lstStyle/>
          <a:p>
            <a:pPr lvl="0">
              <a:defRPr sz="1100" b="0" i="0">
                <a:solidFill>
                  <a:srgbClr val="000000"/>
                </a:solidFill>
                <a:latin typeface="Arial"/>
              </a:defRPr>
            </a:pPr>
            <a:endParaRPr lang="LID4096"/>
          </a:p>
        </c:txPr>
        <c:crossAx val="927987423"/>
        <c:crosses val="autoZero"/>
        <c:auto val="1"/>
        <c:lblAlgn val="ctr"/>
        <c:lblOffset val="100"/>
        <c:noMultiLvlLbl val="1"/>
      </c:catAx>
      <c:valAx>
        <c:axId val="927987423"/>
        <c:scaling>
          <c:orientation val="minMax"/>
          <c:min val="1.5"/>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Área de cultivo sembrada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383928001"/>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TOTAL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Agricultura'!$H$118:$AQ$118</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1.8709235514448932</c:v>
                </c:pt>
                <c:pt idx="8" formatCode="General">
                  <c:v>1.9289221815396846</c:v>
                </c:pt>
                <c:pt idx="9" formatCode="General">
                  <c:v>1.9867898469858749</c:v>
                </c:pt>
                <c:pt idx="10" formatCode="General">
                  <c:v>2.0404331728544935</c:v>
                </c:pt>
                <c:pt idx="11" formatCode="General">
                  <c:v>2.0873631358301461</c:v>
                </c:pt>
                <c:pt idx="12" formatCode="General">
                  <c:v>2.1538419486024467</c:v>
                </c:pt>
                <c:pt idx="13" formatCode="General">
                  <c:v>2.2151440051193751</c:v>
                </c:pt>
                <c:pt idx="14" formatCode="General">
                  <c:v>2.2637880626151472</c:v>
                </c:pt>
                <c:pt idx="15" formatCode="General">
                  <c:v>2.3177124544538774</c:v>
                </c:pt>
                <c:pt idx="16" formatCode="General">
                  <c:v>2.3911334194801208</c:v>
                </c:pt>
                <c:pt idx="17" formatCode="General">
                  <c:v>2.4501193887779587</c:v>
                </c:pt>
                <c:pt idx="18" formatCode="General">
                  <c:v>2.5209629551310879</c:v>
                </c:pt>
                <c:pt idx="19" formatCode="General">
                  <c:v>2.5806254753813636</c:v>
                </c:pt>
                <c:pt idx="20" formatCode="General">
                  <c:v>2.641643238118188</c:v>
                </c:pt>
                <c:pt idx="21" formatCode="General">
                  <c:v>2.7091051728882074</c:v>
                </c:pt>
                <c:pt idx="22" formatCode="General">
                  <c:v>2.7705781518680732</c:v>
                </c:pt>
                <c:pt idx="23" formatCode="General">
                  <c:v>2.8354844562163759</c:v>
                </c:pt>
                <c:pt idx="24" formatCode="General">
                  <c:v>2.9069696782939105</c:v>
                </c:pt>
                <c:pt idx="25" formatCode="General">
                  <c:v>2.9730004657353621</c:v>
                </c:pt>
                <c:pt idx="26" formatCode="General">
                  <c:v>3.0408614260384517</c:v>
                </c:pt>
                <c:pt idx="27" formatCode="General">
                  <c:v>3.1086145830030398</c:v>
                </c:pt>
                <c:pt idx="28" formatCode="General">
                  <c:v>3.1629930392598462</c:v>
                </c:pt>
                <c:pt idx="29" formatCode="General">
                  <c:v>3.2323145407686127</c:v>
                </c:pt>
                <c:pt idx="30" formatCode="General">
                  <c:v>3.2924054542537395</c:v>
                </c:pt>
                <c:pt idx="31" formatCode="General">
                  <c:v>3.3676740812427002</c:v>
                </c:pt>
                <c:pt idx="32" formatCode="General">
                  <c:v>3.4297412554322366</c:v>
                </c:pt>
                <c:pt idx="33" formatCode="General">
                  <c:v>3.4912016069013316</c:v>
                </c:pt>
                <c:pt idx="34" formatCode="General">
                  <c:v>3.5549268336076252</c:v>
                </c:pt>
                <c:pt idx="35" formatCode="General">
                  <c:v>3.619128270921685</c:v>
                </c:pt>
              </c:numCache>
            </c:numRef>
          </c:val>
          <c:smooth val="0"/>
          <c:extLst>
            <c:ext xmlns:c16="http://schemas.microsoft.com/office/drawing/2014/chart" uri="{C3380CC4-5D6E-409C-BE32-E72D297353CC}">
              <c16:uniqueId val="{00000000-6917-4502-BD14-8B1154477768}"/>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Agricultura'!$H$134:$AQ$134</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1.8462267378869193</c:v>
                </c:pt>
                <c:pt idx="8" formatCode="General">
                  <c:v>1.8705079709571006</c:v>
                </c:pt>
                <c:pt idx="9" formatCode="General">
                  <c:v>1.894565890573517</c:v>
                </c:pt>
                <c:pt idx="10" formatCode="General">
                  <c:v>1.9183959812067726</c:v>
                </c:pt>
                <c:pt idx="11" formatCode="General">
                  <c:v>1.9419715601831644</c:v>
                </c:pt>
                <c:pt idx="12" formatCode="General">
                  <c:v>1.9652836990695679</c:v>
                </c:pt>
                <c:pt idx="13" formatCode="General">
                  <c:v>1.9883156698820847</c:v>
                </c:pt>
                <c:pt idx="14" formatCode="General">
                  <c:v>2.0110641885993359</c:v>
                </c:pt>
                <c:pt idx="15" formatCode="General">
                  <c:v>2.0335037014299671</c:v>
                </c:pt>
                <c:pt idx="16" formatCode="General">
                  <c:v>2.0556222011708121</c:v>
                </c:pt>
                <c:pt idx="17" formatCode="General">
                  <c:v>2.0774041913459875</c:v>
                </c:pt>
                <c:pt idx="18" formatCode="General">
                  <c:v>2.0988317124635798</c:v>
                </c:pt>
                <c:pt idx="19" formatCode="General">
                  <c:v>2.1198959387161325</c:v>
                </c:pt>
                <c:pt idx="20" formatCode="General">
                  <c:v>2.140581476253431</c:v>
                </c:pt>
                <c:pt idx="21" formatCode="General">
                  <c:v>2.1608792940166843</c:v>
                </c:pt>
                <c:pt idx="22" formatCode="General">
                  <c:v>2.1807720482679844</c:v>
                </c:pt>
                <c:pt idx="23" formatCode="General">
                  <c:v>2.2002528630875711</c:v>
                </c:pt>
                <c:pt idx="24" formatCode="General">
                  <c:v>2.2193089102669306</c:v>
                </c:pt>
                <c:pt idx="25" formatCode="General">
                  <c:v>2.2379312613729407</c:v>
                </c:pt>
                <c:pt idx="26" formatCode="General">
                  <c:v>2.2561175560152344</c:v>
                </c:pt>
                <c:pt idx="27" formatCode="General">
                  <c:v>2.2738615340280588</c:v>
                </c:pt>
                <c:pt idx="28" formatCode="General">
                  <c:v>2.2911522144649288</c:v>
                </c:pt>
                <c:pt idx="29" formatCode="General">
                  <c:v>2.3079873395611443</c:v>
                </c:pt>
                <c:pt idx="30" formatCode="General">
                  <c:v>2.3243559283702218</c:v>
                </c:pt>
                <c:pt idx="31" formatCode="General">
                  <c:v>2.3402552099991221</c:v>
                </c:pt>
                <c:pt idx="32" formatCode="General">
                  <c:v>2.355687750089547</c:v>
                </c:pt>
                <c:pt idx="33" formatCode="General">
                  <c:v>2.3706403099303137</c:v>
                </c:pt>
                <c:pt idx="34" formatCode="General">
                  <c:v>2.3851168919224772</c:v>
                </c:pt>
                <c:pt idx="35" formatCode="General">
                  <c:v>2.399122524723774</c:v>
                </c:pt>
              </c:numCache>
            </c:numRef>
          </c:val>
          <c:smooth val="0"/>
          <c:extLst>
            <c:ext xmlns:c16="http://schemas.microsoft.com/office/drawing/2014/chart" uri="{C3380CC4-5D6E-409C-BE32-E72D297353CC}">
              <c16:uniqueId val="{00000001-6917-4502-BD14-8B1154477768}"/>
            </c:ext>
          </c:extLst>
        </c:ser>
        <c:ser>
          <c:idx val="2"/>
          <c:order val="2"/>
          <c:tx>
            <c:v>EXPORTACIONES+POBLACION</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Agricultura'!$H$102:$AQ$102</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1.8414916460983348</c:v>
                </c:pt>
                <c:pt idx="8" formatCode="General">
                  <c:v>1.8494798149774108</c:v>
                </c:pt>
                <c:pt idx="9" formatCode="General">
                  <c:v>1.9160655402173821</c:v>
                </c:pt>
                <c:pt idx="10" formatCode="General">
                  <c:v>1.9298674461584486</c:v>
                </c:pt>
                <c:pt idx="11" formatCode="General">
                  <c:v>1.9989040834592118</c:v>
                </c:pt>
                <c:pt idx="12" formatCode="General">
                  <c:v>2.0359067228423147</c:v>
                </c:pt>
                <c:pt idx="13" formatCode="General">
                  <c:v>2.0739216658564845</c:v>
                </c:pt>
                <c:pt idx="14" formatCode="General">
                  <c:v>2.1089269591598807</c:v>
                </c:pt>
                <c:pt idx="15" formatCode="General">
                  <c:v>2.1477682822170183</c:v>
                </c:pt>
                <c:pt idx="16" formatCode="General">
                  <c:v>2.1848979587258257</c:v>
                </c:pt>
                <c:pt idx="17" formatCode="General">
                  <c:v>2.2233611631856811</c:v>
                </c:pt>
                <c:pt idx="18" formatCode="General">
                  <c:v>2.2646856684559884</c:v>
                </c:pt>
                <c:pt idx="19" formatCode="General">
                  <c:v>2.3055767489609904</c:v>
                </c:pt>
                <c:pt idx="20" formatCode="General">
                  <c:v>2.3474278975742586</c:v>
                </c:pt>
                <c:pt idx="21" formatCode="General">
                  <c:v>2.3858953122550819</c:v>
                </c:pt>
                <c:pt idx="22" formatCode="General">
                  <c:v>2.4241889193184987</c:v>
                </c:pt>
                <c:pt idx="23" formatCode="General">
                  <c:v>2.4649007934608442</c:v>
                </c:pt>
                <c:pt idx="24" formatCode="General">
                  <c:v>2.505361778341137</c:v>
                </c:pt>
                <c:pt idx="25" formatCode="General">
                  <c:v>2.5486814183419462</c:v>
                </c:pt>
                <c:pt idx="26" formatCode="General">
                  <c:v>2.5897301955178289</c:v>
                </c:pt>
                <c:pt idx="27" formatCode="General">
                  <c:v>2.6318322013105191</c:v>
                </c:pt>
                <c:pt idx="28" formatCode="General">
                  <c:v>2.6723913820533634</c:v>
                </c:pt>
                <c:pt idx="29" formatCode="General">
                  <c:v>2.7132756096878055</c:v>
                </c:pt>
                <c:pt idx="30" formatCode="General">
                  <c:v>2.7526410657188611</c:v>
                </c:pt>
                <c:pt idx="31" formatCode="General">
                  <c:v>2.7945406243096138</c:v>
                </c:pt>
                <c:pt idx="32" formatCode="General">
                  <c:v>2.8347932189469596</c:v>
                </c:pt>
                <c:pt idx="33" formatCode="General">
                  <c:v>2.8770087188841758</c:v>
                </c:pt>
                <c:pt idx="34" formatCode="General">
                  <c:v>2.9178086827071428</c:v>
                </c:pt>
                <c:pt idx="35" formatCode="General">
                  <c:v>2.958631170998788</c:v>
                </c:pt>
              </c:numCache>
            </c:numRef>
          </c:val>
          <c:smooth val="0"/>
          <c:extLst>
            <c:ext xmlns:c16="http://schemas.microsoft.com/office/drawing/2014/chart" uri="{C3380CC4-5D6E-409C-BE32-E72D297353CC}">
              <c16:uniqueId val="{00000002-6917-4502-BD14-8B1154477768}"/>
            </c:ext>
          </c:extLst>
        </c:ser>
        <c:dLbls>
          <c:showLegendKey val="0"/>
          <c:showVal val="0"/>
          <c:showCatName val="0"/>
          <c:showSerName val="0"/>
          <c:showPercent val="0"/>
          <c:showBubbleSize val="0"/>
        </c:dLbls>
        <c:marker val="1"/>
        <c:smooth val="0"/>
        <c:axId val="260300864"/>
        <c:axId val="734258002"/>
      </c:lineChart>
      <c:catAx>
        <c:axId val="260300864"/>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1"/>
        <c:majorTickMark val="none"/>
        <c:minorTickMark val="none"/>
        <c:tickLblPos val="nextTo"/>
        <c:txPr>
          <a:bodyPr/>
          <a:lstStyle/>
          <a:p>
            <a:pPr lvl="0">
              <a:defRPr sz="1100" b="0" i="0">
                <a:solidFill>
                  <a:srgbClr val="000000"/>
                </a:solidFill>
                <a:latin typeface="Arial"/>
              </a:defRPr>
            </a:pPr>
            <a:endParaRPr lang="LID4096"/>
          </a:p>
        </c:txPr>
        <c:crossAx val="734258002"/>
        <c:crosses val="autoZero"/>
        <c:auto val="1"/>
        <c:lblAlgn val="ctr"/>
        <c:lblOffset val="100"/>
        <c:noMultiLvlLbl val="1"/>
      </c:catAx>
      <c:valAx>
        <c:axId val="734258002"/>
        <c:scaling>
          <c:orientation val="minMax"/>
          <c:min val="1.5"/>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Área de cultivo cosechada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60300864"/>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Agricultura'!$H$223:$AQ$223</c:f>
              <c:numCache>
                <c:formatCode>0.00000</c:formatCode>
                <c:ptCount val="36"/>
                <c:pt idx="0">
                  <c:v>8.0802881387087311</c:v>
                </c:pt>
                <c:pt idx="1">
                  <c:v>7.0411976840320696</c:v>
                </c:pt>
                <c:pt idx="2">
                  <c:v>7.1623214437981266</c:v>
                </c:pt>
                <c:pt idx="3">
                  <c:v>7.127792890403823</c:v>
                </c:pt>
                <c:pt idx="4">
                  <c:v>7.4326291985133857</c:v>
                </c:pt>
                <c:pt idx="5">
                  <c:v>6.7437473044234526</c:v>
                </c:pt>
                <c:pt idx="6">
                  <c:v>7.6999950509908217</c:v>
                </c:pt>
                <c:pt idx="7">
                  <c:v>7.662204856766766</c:v>
                </c:pt>
                <c:pt idx="8">
                  <c:v>7.2846084165984664</c:v>
                </c:pt>
                <c:pt idx="9">
                  <c:v>8.5858646644280494</c:v>
                </c:pt>
                <c:pt idx="10">
                  <c:v>8.3725771301129264</c:v>
                </c:pt>
                <c:pt idx="11">
                  <c:v>9.8534648855586369</c:v>
                </c:pt>
                <c:pt idx="12">
                  <c:v>10.40867964012171</c:v>
                </c:pt>
                <c:pt idx="13">
                  <c:v>11.020060276386589</c:v>
                </c:pt>
                <c:pt idx="14">
                  <c:v>11.548102314500644</c:v>
                </c:pt>
                <c:pt idx="15">
                  <c:v>12.23578300460416</c:v>
                </c:pt>
                <c:pt idx="16">
                  <c:v>12.887412233756237</c:v>
                </c:pt>
                <c:pt idx="17">
                  <c:v>13.616705020599316</c:v>
                </c:pt>
                <c:pt idx="18">
                  <c:v>14.490636758871485</c:v>
                </c:pt>
                <c:pt idx="19">
                  <c:v>15.385956961390441</c:v>
                </c:pt>
                <c:pt idx="20">
                  <c:v>16.362247043103149</c:v>
                </c:pt>
                <c:pt idx="21">
                  <c:v>17.233570531692902</c:v>
                </c:pt>
                <c:pt idx="22">
                  <c:v>18.134441185792912</c:v>
                </c:pt>
                <c:pt idx="23">
                  <c:v>19.187054256190653</c:v>
                </c:pt>
                <c:pt idx="24">
                  <c:v>20.275138743554354</c:v>
                </c:pt>
                <c:pt idx="25">
                  <c:v>21.554510424048573</c:v>
                </c:pt>
                <c:pt idx="26">
                  <c:v>22.777456335386557</c:v>
                </c:pt>
                <c:pt idx="27">
                  <c:v>24.111835544974667</c:v>
                </c:pt>
                <c:pt idx="28">
                  <c:v>25.42333557288956</c:v>
                </c:pt>
                <c:pt idx="29">
                  <c:v>26.812339155877424</c:v>
                </c:pt>
                <c:pt idx="30">
                  <c:v>28.176035762962464</c:v>
                </c:pt>
                <c:pt idx="31">
                  <c:v>29.75255343457043</c:v>
                </c:pt>
                <c:pt idx="32">
                  <c:v>31.299495317021101</c:v>
                </c:pt>
                <c:pt idx="33">
                  <c:v>33.041466706704121</c:v>
                </c:pt>
                <c:pt idx="34">
                  <c:v>34.77068141603074</c:v>
                </c:pt>
                <c:pt idx="35">
                  <c:v>36.579019521075971</c:v>
                </c:pt>
              </c:numCache>
            </c:numRef>
          </c:val>
          <c:smooth val="0"/>
          <c:extLst>
            <c:ext xmlns:c16="http://schemas.microsoft.com/office/drawing/2014/chart" uri="{C3380CC4-5D6E-409C-BE32-E72D297353CC}">
              <c16:uniqueId val="{00000000-0524-4673-835E-BA5B6F09B5AE}"/>
            </c:ext>
          </c:extLst>
        </c:ser>
        <c:ser>
          <c:idx val="1"/>
          <c:order val="1"/>
          <c:tx>
            <c:v>Importaciones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Agricultura'!$H$256:$AQ$256</c:f>
              <c:numCache>
                <c:formatCode>0.00000</c:formatCode>
                <c:ptCount val="36"/>
                <c:pt idx="0">
                  <c:v>2.0703806427418621</c:v>
                </c:pt>
                <c:pt idx="1">
                  <c:v>1.0688053589577284</c:v>
                </c:pt>
                <c:pt idx="2">
                  <c:v>1.3016810024127177</c:v>
                </c:pt>
                <c:pt idx="3">
                  <c:v>1.2537675051253399</c:v>
                </c:pt>
                <c:pt idx="4">
                  <c:v>1.3081233212734358</c:v>
                </c:pt>
                <c:pt idx="5">
                  <c:v>1.4002071376545699</c:v>
                </c:pt>
                <c:pt idx="6">
                  <c:v>1.6839062303413503</c:v>
                </c:pt>
                <c:pt idx="7">
                  <c:v>1.9551864790633577</c:v>
                </c:pt>
                <c:pt idx="8">
                  <c:v>1.9639272638312413</c:v>
                </c:pt>
                <c:pt idx="9">
                  <c:v>2.0496920117072244</c:v>
                </c:pt>
                <c:pt idx="10">
                  <c:v>2.3675408806481122</c:v>
                </c:pt>
                <c:pt idx="11">
                  <c:v>2.6054979317717675</c:v>
                </c:pt>
                <c:pt idx="12">
                  <c:v>3.0022355541955492</c:v>
                </c:pt>
                <c:pt idx="13">
                  <c:v>3.3937008714096901</c:v>
                </c:pt>
                <c:pt idx="14">
                  <c:v>3.7762301943131154</c:v>
                </c:pt>
                <c:pt idx="15">
                  <c:v>4.1901379688494567</c:v>
                </c:pt>
                <c:pt idx="16">
                  <c:v>4.6410081264745315</c:v>
                </c:pt>
                <c:pt idx="17">
                  <c:v>5.1113371216300072</c:v>
                </c:pt>
                <c:pt idx="18">
                  <c:v>5.5979924207753955</c:v>
                </c:pt>
                <c:pt idx="19">
                  <c:v>6.1368984700689149</c:v>
                </c:pt>
                <c:pt idx="20">
                  <c:v>6.761797247036986</c:v>
                </c:pt>
                <c:pt idx="21">
                  <c:v>7.4014984520008147</c:v>
                </c:pt>
                <c:pt idx="22">
                  <c:v>8.1261837427423878</c:v>
                </c:pt>
                <c:pt idx="23">
                  <c:v>8.9057682930889026</c:v>
                </c:pt>
                <c:pt idx="24">
                  <c:v>9.7686166980915665</c:v>
                </c:pt>
                <c:pt idx="25">
                  <c:v>10.718972145373945</c:v>
                </c:pt>
                <c:pt idx="26">
                  <c:v>11.721766155746048</c:v>
                </c:pt>
                <c:pt idx="27">
                  <c:v>12.839458018833001</c:v>
                </c:pt>
                <c:pt idx="28">
                  <c:v>14.036190332256787</c:v>
                </c:pt>
                <c:pt idx="29">
                  <c:v>15.414560375471265</c:v>
                </c:pt>
                <c:pt idx="30">
                  <c:v>16.907260842708361</c:v>
                </c:pt>
                <c:pt idx="31">
                  <c:v>18.576934850761653</c:v>
                </c:pt>
                <c:pt idx="32">
                  <c:v>20.340712474347988</c:v>
                </c:pt>
                <c:pt idx="33">
                  <c:v>22.354236723506961</c:v>
                </c:pt>
                <c:pt idx="34">
                  <c:v>24.495385022966932</c:v>
                </c:pt>
                <c:pt idx="35">
                  <c:v>26.898377959385304</c:v>
                </c:pt>
              </c:numCache>
            </c:numRef>
          </c:val>
          <c:smooth val="0"/>
          <c:extLst>
            <c:ext xmlns:c16="http://schemas.microsoft.com/office/drawing/2014/chart" uri="{C3380CC4-5D6E-409C-BE32-E72D297353CC}">
              <c16:uniqueId val="{00000001-0524-4673-835E-BA5B6F09B5AE}"/>
            </c:ext>
          </c:extLst>
        </c:ser>
        <c:dLbls>
          <c:showLegendKey val="0"/>
          <c:showVal val="0"/>
          <c:showCatName val="0"/>
          <c:showSerName val="0"/>
          <c:showPercent val="0"/>
          <c:showBubbleSize val="0"/>
        </c:dLbls>
        <c:marker val="1"/>
        <c:smooth val="0"/>
        <c:axId val="207978208"/>
        <c:axId val="1940106583"/>
      </c:lineChart>
      <c:catAx>
        <c:axId val="207978208"/>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940106583"/>
        <c:crosses val="autoZero"/>
        <c:auto val="1"/>
        <c:lblAlgn val="ctr"/>
        <c:lblOffset val="100"/>
        <c:noMultiLvlLbl val="1"/>
      </c:catAx>
      <c:valAx>
        <c:axId val="1940106583"/>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Producto exportado/importado [Mton]</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07978208"/>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Agricultura'!$H$223:$AQ$223</c:f>
              <c:numCache>
                <c:formatCode>0.00000</c:formatCode>
                <c:ptCount val="36"/>
                <c:pt idx="0">
                  <c:v>8.0802881387087311</c:v>
                </c:pt>
                <c:pt idx="1">
                  <c:v>7.0411976840320696</c:v>
                </c:pt>
                <c:pt idx="2">
                  <c:v>7.1623214437981266</c:v>
                </c:pt>
                <c:pt idx="3">
                  <c:v>7.127792890403823</c:v>
                </c:pt>
                <c:pt idx="4">
                  <c:v>7.4326291985133857</c:v>
                </c:pt>
                <c:pt idx="5">
                  <c:v>6.7437473044234526</c:v>
                </c:pt>
                <c:pt idx="6">
                  <c:v>7.6999950509908217</c:v>
                </c:pt>
                <c:pt idx="7">
                  <c:v>7.662204856766766</c:v>
                </c:pt>
                <c:pt idx="8">
                  <c:v>7.2846084165984664</c:v>
                </c:pt>
                <c:pt idx="9">
                  <c:v>8.5858646644280494</c:v>
                </c:pt>
                <c:pt idx="10">
                  <c:v>8.3725771301129264</c:v>
                </c:pt>
                <c:pt idx="11">
                  <c:v>9.8534648855586369</c:v>
                </c:pt>
                <c:pt idx="12">
                  <c:v>10.40867964012171</c:v>
                </c:pt>
                <c:pt idx="13">
                  <c:v>11.020060276386589</c:v>
                </c:pt>
                <c:pt idx="14">
                  <c:v>11.548102314500644</c:v>
                </c:pt>
                <c:pt idx="15">
                  <c:v>12.23578300460416</c:v>
                </c:pt>
                <c:pt idx="16">
                  <c:v>12.887412233756237</c:v>
                </c:pt>
                <c:pt idx="17">
                  <c:v>13.616705020599316</c:v>
                </c:pt>
                <c:pt idx="18">
                  <c:v>14.490636758871485</c:v>
                </c:pt>
                <c:pt idx="19">
                  <c:v>15.385956961390441</c:v>
                </c:pt>
                <c:pt idx="20">
                  <c:v>16.362247043103149</c:v>
                </c:pt>
                <c:pt idx="21">
                  <c:v>17.233570531692902</c:v>
                </c:pt>
                <c:pt idx="22">
                  <c:v>18.134441185792912</c:v>
                </c:pt>
                <c:pt idx="23">
                  <c:v>19.187054256190653</c:v>
                </c:pt>
                <c:pt idx="24">
                  <c:v>20.275138743554354</c:v>
                </c:pt>
                <c:pt idx="25">
                  <c:v>21.554510424048573</c:v>
                </c:pt>
                <c:pt idx="26">
                  <c:v>22.777456335386557</c:v>
                </c:pt>
                <c:pt idx="27">
                  <c:v>24.111835544974667</c:v>
                </c:pt>
                <c:pt idx="28">
                  <c:v>25.42333557288956</c:v>
                </c:pt>
                <c:pt idx="29">
                  <c:v>26.812339155877424</c:v>
                </c:pt>
                <c:pt idx="30">
                  <c:v>28.176035762962464</c:v>
                </c:pt>
                <c:pt idx="31">
                  <c:v>29.75255343457043</c:v>
                </c:pt>
                <c:pt idx="32">
                  <c:v>31.299495317021101</c:v>
                </c:pt>
                <c:pt idx="33">
                  <c:v>33.041466706704121</c:v>
                </c:pt>
                <c:pt idx="34">
                  <c:v>34.77068141603074</c:v>
                </c:pt>
                <c:pt idx="35">
                  <c:v>36.579019521075971</c:v>
                </c:pt>
              </c:numCache>
            </c:numRef>
          </c:val>
          <c:smooth val="0"/>
          <c:extLst>
            <c:ext xmlns:c16="http://schemas.microsoft.com/office/drawing/2014/chart" uri="{C3380CC4-5D6E-409C-BE32-E72D297353CC}">
              <c16:uniqueId val="{00000000-D8B6-4ACC-9031-86F6B87ACD7A}"/>
            </c:ext>
          </c:extLst>
        </c:ser>
        <c:ser>
          <c:idx val="1"/>
          <c:order val="1"/>
          <c:tx>
            <c:v>Importaciones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Agricultura'!$H$256:$AQ$256</c:f>
              <c:numCache>
                <c:formatCode>0.00000</c:formatCode>
                <c:ptCount val="36"/>
                <c:pt idx="0">
                  <c:v>2.0703806427418621</c:v>
                </c:pt>
                <c:pt idx="1">
                  <c:v>1.0688053589577284</c:v>
                </c:pt>
                <c:pt idx="2">
                  <c:v>1.3016810024127177</c:v>
                </c:pt>
                <c:pt idx="3">
                  <c:v>1.2537675051253399</c:v>
                </c:pt>
                <c:pt idx="4">
                  <c:v>1.3081233212734358</c:v>
                </c:pt>
                <c:pt idx="5">
                  <c:v>1.4002071376545699</c:v>
                </c:pt>
                <c:pt idx="6">
                  <c:v>1.6839062303413503</c:v>
                </c:pt>
                <c:pt idx="7">
                  <c:v>1.9551864790633577</c:v>
                </c:pt>
                <c:pt idx="8">
                  <c:v>1.9639272638312413</c:v>
                </c:pt>
                <c:pt idx="9">
                  <c:v>2.0496920117072244</c:v>
                </c:pt>
                <c:pt idx="10">
                  <c:v>2.3675408806481122</c:v>
                </c:pt>
                <c:pt idx="11">
                  <c:v>2.6054979317717675</c:v>
                </c:pt>
                <c:pt idx="12">
                  <c:v>3.0022355541955492</c:v>
                </c:pt>
                <c:pt idx="13">
                  <c:v>3.3937008714096901</c:v>
                </c:pt>
                <c:pt idx="14">
                  <c:v>3.7762301943131154</c:v>
                </c:pt>
                <c:pt idx="15">
                  <c:v>4.1901379688494567</c:v>
                </c:pt>
                <c:pt idx="16">
                  <c:v>4.6410081264745315</c:v>
                </c:pt>
                <c:pt idx="17">
                  <c:v>5.1113371216300072</c:v>
                </c:pt>
                <c:pt idx="18">
                  <c:v>5.5979924207753955</c:v>
                </c:pt>
                <c:pt idx="19">
                  <c:v>6.1368984700689149</c:v>
                </c:pt>
                <c:pt idx="20">
                  <c:v>6.761797247036986</c:v>
                </c:pt>
                <c:pt idx="21">
                  <c:v>7.4014984520008147</c:v>
                </c:pt>
                <c:pt idx="22">
                  <c:v>8.1261837427423878</c:v>
                </c:pt>
                <c:pt idx="23">
                  <c:v>8.9057682930889026</c:v>
                </c:pt>
                <c:pt idx="24">
                  <c:v>9.7686166980915665</c:v>
                </c:pt>
                <c:pt idx="25">
                  <c:v>10.718972145373945</c:v>
                </c:pt>
                <c:pt idx="26">
                  <c:v>11.721766155746048</c:v>
                </c:pt>
                <c:pt idx="27">
                  <c:v>12.839458018833001</c:v>
                </c:pt>
                <c:pt idx="28">
                  <c:v>14.036190332256787</c:v>
                </c:pt>
                <c:pt idx="29">
                  <c:v>15.414560375471265</c:v>
                </c:pt>
                <c:pt idx="30">
                  <c:v>16.907260842708361</c:v>
                </c:pt>
                <c:pt idx="31">
                  <c:v>18.576934850761653</c:v>
                </c:pt>
                <c:pt idx="32">
                  <c:v>20.340712474347988</c:v>
                </c:pt>
                <c:pt idx="33">
                  <c:v>22.354236723506961</c:v>
                </c:pt>
                <c:pt idx="34">
                  <c:v>24.495385022966932</c:v>
                </c:pt>
                <c:pt idx="35">
                  <c:v>26.898377959385304</c:v>
                </c:pt>
              </c:numCache>
            </c:numRef>
          </c:val>
          <c:smooth val="0"/>
          <c:extLst>
            <c:ext xmlns:c16="http://schemas.microsoft.com/office/drawing/2014/chart" uri="{C3380CC4-5D6E-409C-BE32-E72D297353CC}">
              <c16:uniqueId val="{00000001-D8B6-4ACC-9031-86F6B87ACD7A}"/>
            </c:ext>
          </c:extLst>
        </c:ser>
        <c:ser>
          <c:idx val="2"/>
          <c:order val="2"/>
          <c:tx>
            <c:v>Cultivos - PIB Total</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Agricultura'!$H$264:$AQ$264</c:f>
              <c:numCache>
                <c:formatCode>0.00000</c:formatCode>
                <c:ptCount val="36"/>
                <c:pt idx="0">
                  <c:v>0.37511699999999998</c:v>
                </c:pt>
                <c:pt idx="1">
                  <c:v>0.36619400000000002</c:v>
                </c:pt>
                <c:pt idx="2">
                  <c:v>0.35809999999999997</c:v>
                </c:pt>
                <c:pt idx="3">
                  <c:v>0.29829800000000001</c:v>
                </c:pt>
                <c:pt idx="4">
                  <c:v>0.25727299999999997</c:v>
                </c:pt>
                <c:pt idx="5">
                  <c:v>0.31287599999999999</c:v>
                </c:pt>
                <c:pt idx="6">
                  <c:v>0.340281</c:v>
                </c:pt>
                <c:pt idx="7">
                  <c:v>0.349468587</c:v>
                </c:pt>
                <c:pt idx="8">
                  <c:v>0.36030211319699995</c:v>
                </c:pt>
                <c:pt idx="9">
                  <c:v>0.37111117659290999</c:v>
                </c:pt>
                <c:pt idx="10">
                  <c:v>0.38113117836091853</c:v>
                </c:pt>
                <c:pt idx="11">
                  <c:v>0.3898971954632196</c:v>
                </c:pt>
                <c:pt idx="12">
                  <c:v>0.40231472943836849</c:v>
                </c:pt>
                <c:pt idx="13">
                  <c:v>0.4137653004970418</c:v>
                </c:pt>
                <c:pt idx="14">
                  <c:v>0.42285149219411333</c:v>
                </c:pt>
                <c:pt idx="15">
                  <c:v>0.43292399409092353</c:v>
                </c:pt>
                <c:pt idx="16">
                  <c:v>0.44663824814693881</c:v>
                </c:pt>
                <c:pt idx="17">
                  <c:v>0.4576561987881721</c:v>
                </c:pt>
                <c:pt idx="18">
                  <c:v>0.47088902223109091</c:v>
                </c:pt>
                <c:pt idx="19">
                  <c:v>0.48203334538241377</c:v>
                </c:pt>
                <c:pt idx="20">
                  <c:v>0.49343081339176748</c:v>
                </c:pt>
                <c:pt idx="21">
                  <c:v>0.5060319840821238</c:v>
                </c:pt>
                <c:pt idx="22">
                  <c:v>0.5175144816359033</c:v>
                </c:pt>
                <c:pt idx="23">
                  <c:v>0.52963828779061017</c:v>
                </c:pt>
                <c:pt idx="24">
                  <c:v>0.54299096568678806</c:v>
                </c:pt>
                <c:pt idx="25">
                  <c:v>0.55532481330329841</c:v>
                </c:pt>
                <c:pt idx="26">
                  <c:v>0.56800051771210158</c:v>
                </c:pt>
                <c:pt idx="27">
                  <c:v>0.58065608560578597</c:v>
                </c:pt>
                <c:pt idx="28">
                  <c:v>0.5908134018983896</c:v>
                </c:pt>
                <c:pt idx="29">
                  <c:v>0.60376191984412719</c:v>
                </c:pt>
                <c:pt idx="30">
                  <c:v>0.61498626228771258</c:v>
                </c:pt>
                <c:pt idx="31">
                  <c:v>0.62904563991377738</c:v>
                </c:pt>
                <c:pt idx="32">
                  <c:v>0.64063912680229773</c:v>
                </c:pt>
                <c:pt idx="33">
                  <c:v>0.65211926567159606</c:v>
                </c:pt>
                <c:pt idx="34">
                  <c:v>0.664022459105718</c:v>
                </c:pt>
                <c:pt idx="35">
                  <c:v>0.67601460360792731</c:v>
                </c:pt>
              </c:numCache>
            </c:numRef>
          </c:val>
          <c:smooth val="0"/>
          <c:extLst>
            <c:ext xmlns:c16="http://schemas.microsoft.com/office/drawing/2014/chart" uri="{C3380CC4-5D6E-409C-BE32-E72D297353CC}">
              <c16:uniqueId val="{00000002-D8B6-4ACC-9031-86F6B87ACD7A}"/>
            </c:ext>
          </c:extLst>
        </c:ser>
        <c:ser>
          <c:idx val="3"/>
          <c:order val="3"/>
          <c:tx>
            <c:v>Cultivos - Población</c:v>
          </c:tx>
          <c:spPr>
            <a:ln w="28575" cmpd="sng">
              <a:solidFill>
                <a:schemeClr val="accent4"/>
              </a:solidFill>
            </a:ln>
          </c:spPr>
          <c:marker>
            <c:symbol val="circle"/>
            <c:size val="5"/>
            <c:spPr>
              <a:solidFill>
                <a:schemeClr val="accent4"/>
              </a:solidFill>
              <a:ln cmpd="sng">
                <a:solidFill>
                  <a:schemeClr val="accent4"/>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Agricultura'!$H$265:$AQ$265</c:f>
              <c:numCache>
                <c:formatCode>0.00000</c:formatCode>
                <c:ptCount val="36"/>
                <c:pt idx="0">
                  <c:v>0.37511699999999998</c:v>
                </c:pt>
                <c:pt idx="1">
                  <c:v>0.36619400000000002</c:v>
                </c:pt>
                <c:pt idx="2">
                  <c:v>0.35809999999999997</c:v>
                </c:pt>
                <c:pt idx="3">
                  <c:v>0.29829800000000001</c:v>
                </c:pt>
                <c:pt idx="4">
                  <c:v>0.25727299999999997</c:v>
                </c:pt>
                <c:pt idx="5">
                  <c:v>0.31287599999999999</c:v>
                </c:pt>
                <c:pt idx="6">
                  <c:v>0.340281</c:v>
                </c:pt>
                <c:pt idx="7">
                  <c:v>0.34485548534181515</c:v>
                </c:pt>
                <c:pt idx="8">
                  <c:v>0.34939096099238387</c:v>
                </c:pt>
                <c:pt idx="9">
                  <c:v>0.35388472406892196</c:v>
                </c:pt>
                <c:pt idx="10">
                  <c:v>0.35833593111864581</c:v>
                </c:pt>
                <c:pt idx="11">
                  <c:v>0.36273959810237888</c:v>
                </c:pt>
                <c:pt idx="12">
                  <c:v>0.36709405728393524</c:v>
                </c:pt>
                <c:pt idx="13">
                  <c:v>0.37139618405413882</c:v>
                </c:pt>
                <c:pt idx="14">
                  <c:v>0.37564536499278345</c:v>
                </c:pt>
                <c:pt idx="15">
                  <c:v>0.37983682692388848</c:v>
                </c:pt>
                <c:pt idx="16">
                  <c:v>0.38396832702982453</c:v>
                </c:pt>
                <c:pt idx="17">
                  <c:v>0.38803697073399296</c:v>
                </c:pt>
                <c:pt idx="18">
                  <c:v>0.39203940339464038</c:v>
                </c:pt>
                <c:pt idx="19">
                  <c:v>0.39597397644496235</c:v>
                </c:pt>
                <c:pt idx="20">
                  <c:v>0.39983781447774164</c:v>
                </c:pt>
                <c:pt idx="21">
                  <c:v>0.40362923058741085</c:v>
                </c:pt>
                <c:pt idx="22">
                  <c:v>0.40734498514850526</c:v>
                </c:pt>
                <c:pt idx="23">
                  <c:v>0.41098379381246791</c:v>
                </c:pt>
                <c:pt idx="24">
                  <c:v>0.41454326040661776</c:v>
                </c:pt>
                <c:pt idx="25">
                  <c:v>0.41802171719476883</c:v>
                </c:pt>
                <c:pt idx="26">
                  <c:v>0.42141872328114782</c:v>
                </c:pt>
                <c:pt idx="27">
                  <c:v>0.42473310933348646</c:v>
                </c:pt>
                <c:pt idx="28">
                  <c:v>0.42796282422796977</c:v>
                </c:pt>
                <c:pt idx="29">
                  <c:v>0.43110744623820596</c:v>
                </c:pt>
                <c:pt idx="30">
                  <c:v>0.43416492424038011</c:v>
                </c:pt>
                <c:pt idx="31">
                  <c:v>0.43713474066119312</c:v>
                </c:pt>
                <c:pt idx="32">
                  <c:v>0.44001737473518121</c:v>
                </c:pt>
                <c:pt idx="33">
                  <c:v>0.44281035361213744</c:v>
                </c:pt>
                <c:pt idx="34">
                  <c:v>0.44551442489793847</c:v>
                </c:pt>
                <c:pt idx="35">
                  <c:v>0.44813052789227514</c:v>
                </c:pt>
              </c:numCache>
            </c:numRef>
          </c:val>
          <c:smooth val="0"/>
          <c:extLst>
            <c:ext xmlns:c16="http://schemas.microsoft.com/office/drawing/2014/chart" uri="{C3380CC4-5D6E-409C-BE32-E72D297353CC}">
              <c16:uniqueId val="{00000003-D8B6-4ACC-9031-86F6B87ACD7A}"/>
            </c:ext>
          </c:extLst>
        </c:ser>
        <c:dLbls>
          <c:showLegendKey val="0"/>
          <c:showVal val="0"/>
          <c:showCatName val="0"/>
          <c:showSerName val="0"/>
          <c:showPercent val="0"/>
          <c:showBubbleSize val="0"/>
        </c:dLbls>
        <c:marker val="1"/>
        <c:smooth val="0"/>
        <c:axId val="312003032"/>
        <c:axId val="2131737995"/>
      </c:lineChart>
      <c:catAx>
        <c:axId val="312003032"/>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2131737995"/>
        <c:crosses val="autoZero"/>
        <c:auto val="1"/>
        <c:lblAlgn val="ctr"/>
        <c:lblOffset val="100"/>
        <c:noMultiLvlLbl val="1"/>
      </c:catAx>
      <c:valAx>
        <c:axId val="2131737995"/>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Cultivos de arroz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312003032"/>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Población</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Agricultura'!$H$278:$AQ$278</c:f>
              <c:numCache>
                <c:formatCode>General</c:formatCode>
                <c:ptCount val="36"/>
                <c:pt idx="0">
                  <c:v>4115213</c:v>
                </c:pt>
                <c:pt idx="1">
                  <c:v>4127311</c:v>
                </c:pt>
                <c:pt idx="2">
                  <c:v>4190611</c:v>
                </c:pt>
                <c:pt idx="3">
                  <c:v>4056796</c:v>
                </c:pt>
                <c:pt idx="4">
                  <c:v>4306244</c:v>
                </c:pt>
                <c:pt idx="5">
                  <c:v>4335924</c:v>
                </c:pt>
                <c:pt idx="6">
                  <c:v>4066930</c:v>
                </c:pt>
                <c:pt idx="7" formatCode="0">
                  <c:v>4121602.7900505415</c:v>
                </c:pt>
                <c:pt idx="8" formatCode="0">
                  <c:v>4175809.3487110822</c:v>
                </c:pt>
                <c:pt idx="9" formatCode="0">
                  <c:v>4229517.3719885061</c:v>
                </c:pt>
                <c:pt idx="10" formatCode="0">
                  <c:v>4282716.7792041115</c:v>
                </c:pt>
                <c:pt idx="11" formatCode="0">
                  <c:v>4335348.0027110176</c:v>
                </c:pt>
                <c:pt idx="12" formatCode="0">
                  <c:v>4387391.1102581536</c:v>
                </c:pt>
                <c:pt idx="13" formatCode="0">
                  <c:v>4438808.7575130519</c:v>
                </c:pt>
                <c:pt idx="14" formatCode="0">
                  <c:v>4489593.6130730212</c:v>
                </c:pt>
                <c:pt idx="15" formatCode="0">
                  <c:v>4539688.6294608563</c:v>
                </c:pt>
                <c:pt idx="16" formatCode="0">
                  <c:v>4589067.0012354618</c:v>
                </c:pt>
                <c:pt idx="17" formatCode="0">
                  <c:v>4637694.1333403802</c:v>
                </c:pt>
                <c:pt idx="18" formatCode="0">
                  <c:v>4685529.9321671342</c:v>
                </c:pt>
                <c:pt idx="19" formatCode="0">
                  <c:v>4732554.6945709884</c:v>
                </c:pt>
                <c:pt idx="20" formatCode="0">
                  <c:v>4778734.0546018193</c:v>
                </c:pt>
                <c:pt idx="21" formatCode="0">
                  <c:v>4824047.8509022212</c:v>
                </c:pt>
                <c:pt idx="22" formatCode="0">
                  <c:v>4868457.3645017222</c:v>
                </c:pt>
                <c:pt idx="23" formatCode="0">
                  <c:v>4911947.2452759342</c:v>
                </c:pt>
                <c:pt idx="24" formatCode="0">
                  <c:v>4954488.8549330877</c:v>
                </c:pt>
                <c:pt idx="25" formatCode="0">
                  <c:v>4996062.2612221111</c:v>
                </c:pt>
                <c:pt idx="26" formatCode="0">
                  <c:v>5036662.1946973195</c:v>
                </c:pt>
                <c:pt idx="27" formatCode="0">
                  <c:v>5076274.6798723293</c:v>
                </c:pt>
                <c:pt idx="28" formatCode="0">
                  <c:v>5114875.2023693863</c:v>
                </c:pt>
                <c:pt idx="29" formatCode="0">
                  <c:v>5152458.7218491398</c:v>
                </c:pt>
                <c:pt idx="30" formatCode="0">
                  <c:v>5189000.7239338346</c:v>
                </c:pt>
                <c:pt idx="31" formatCode="0">
                  <c:v>5224495.0227524498</c:v>
                </c:pt>
                <c:pt idx="32" formatCode="0">
                  <c:v>5258947.3459633384</c:v>
                </c:pt>
                <c:pt idx="33" formatCode="0">
                  <c:v>5292328.1388493935</c:v>
                </c:pt>
                <c:pt idx="34" formatCode="0">
                  <c:v>5324646.3365576481</c:v>
                </c:pt>
                <c:pt idx="35" formatCode="0">
                  <c:v>5355913.1652984759</c:v>
                </c:pt>
              </c:numCache>
            </c:numRef>
          </c:val>
          <c:smooth val="0"/>
          <c:extLst>
            <c:ext xmlns:c16="http://schemas.microsoft.com/office/drawing/2014/chart" uri="{C3380CC4-5D6E-409C-BE32-E72D297353CC}">
              <c16:uniqueId val="{00000000-3E95-4EB2-A40C-7596DE1FD2D7}"/>
            </c:ext>
          </c:extLst>
        </c:ser>
        <c:ser>
          <c:idx val="1"/>
          <c:order val="1"/>
          <c:tx>
            <c:v>PIB Sectorial</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Agricultura'!$H$284:$AQ$284</c:f>
              <c:numCache>
                <c:formatCode>General</c:formatCode>
                <c:ptCount val="36"/>
                <c:pt idx="0">
                  <c:v>4115213</c:v>
                </c:pt>
                <c:pt idx="1">
                  <c:v>4127311</c:v>
                </c:pt>
                <c:pt idx="2">
                  <c:v>4190611</c:v>
                </c:pt>
                <c:pt idx="3">
                  <c:v>4056796</c:v>
                </c:pt>
                <c:pt idx="4">
                  <c:v>4306244</c:v>
                </c:pt>
                <c:pt idx="5">
                  <c:v>4335924</c:v>
                </c:pt>
                <c:pt idx="6">
                  <c:v>4066930</c:v>
                </c:pt>
                <c:pt idx="7" formatCode="0">
                  <c:v>4206988.2371525951</c:v>
                </c:pt>
                <c:pt idx="8" formatCode="0">
                  <c:v>4330740.2398350509</c:v>
                </c:pt>
                <c:pt idx="9" formatCode="0">
                  <c:v>4465633.0592687586</c:v>
                </c:pt>
                <c:pt idx="10" formatCode="0">
                  <c:v>4571128.095144093</c:v>
                </c:pt>
                <c:pt idx="11" formatCode="0">
                  <c:v>4660262.001910314</c:v>
                </c:pt>
                <c:pt idx="12" formatCode="0">
                  <c:v>4778675.3228829894</c:v>
                </c:pt>
                <c:pt idx="13" formatCode="0">
                  <c:v>4881575.0785911316</c:v>
                </c:pt>
                <c:pt idx="14" formatCode="0">
                  <c:v>4942590.7047294863</c:v>
                </c:pt>
                <c:pt idx="15" formatCode="0">
                  <c:v>5014375.1061119754</c:v>
                </c:pt>
                <c:pt idx="16" formatCode="0">
                  <c:v>5119216.4738153471</c:v>
                </c:pt>
                <c:pt idx="17" formatCode="0">
                  <c:v>5188268.1474053357</c:v>
                </c:pt>
                <c:pt idx="18" formatCode="0">
                  <c:v>5277492.7481722357</c:v>
                </c:pt>
                <c:pt idx="19" formatCode="0">
                  <c:v>5340666.6328182928</c:v>
                </c:pt>
                <c:pt idx="20" formatCode="0">
                  <c:v>5407003.3052476533</c:v>
                </c:pt>
                <c:pt idx="21" formatCode="0">
                  <c:v>5487302.6724135922</c:v>
                </c:pt>
                <c:pt idx="22" formatCode="0">
                  <c:v>5559887.1824108167</c:v>
                </c:pt>
                <c:pt idx="23" formatCode="0">
                  <c:v>5643271.8563960837</c:v>
                </c:pt>
                <c:pt idx="24" formatCode="0">
                  <c:v>5747121.9507978959</c:v>
                </c:pt>
                <c:pt idx="25" formatCode="0">
                  <c:v>5845986.176949014</c:v>
                </c:pt>
                <c:pt idx="26" formatCode="0">
                  <c:v>5957631.18412048</c:v>
                </c:pt>
                <c:pt idx="27" formatCode="0">
                  <c:v>6075725.4594288589</c:v>
                </c:pt>
                <c:pt idx="28" formatCode="0">
                  <c:v>6177085.3161521628</c:v>
                </c:pt>
                <c:pt idx="29" formatCode="0">
                  <c:v>6313922.9213938499</c:v>
                </c:pt>
                <c:pt idx="30" formatCode="0">
                  <c:v>6441057.2640335169</c:v>
                </c:pt>
                <c:pt idx="31" formatCode="0">
                  <c:v>6602843.4681977555</c:v>
                </c:pt>
                <c:pt idx="32" formatCode="0">
                  <c:v>6745193.1052778298</c:v>
                </c:pt>
                <c:pt idx="33" formatCode="0">
                  <c:v>6889232.4064647695</c:v>
                </c:pt>
                <c:pt idx="34" formatCode="0">
                  <c:v>7041669.2973264027</c:v>
                </c:pt>
                <c:pt idx="35" formatCode="0">
                  <c:v>7195625.9515367988</c:v>
                </c:pt>
              </c:numCache>
            </c:numRef>
          </c:val>
          <c:smooth val="0"/>
          <c:extLst>
            <c:ext xmlns:c16="http://schemas.microsoft.com/office/drawing/2014/chart" uri="{C3380CC4-5D6E-409C-BE32-E72D297353CC}">
              <c16:uniqueId val="{00000001-3E95-4EB2-A40C-7596DE1FD2D7}"/>
            </c:ext>
          </c:extLst>
        </c:ser>
        <c:ser>
          <c:idx val="2"/>
          <c:order val="2"/>
          <c:tx>
            <c:v>Cobertura de suelos</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Agricultura'!$H$291:$AQ$291</c:f>
              <c:numCache>
                <c:formatCode>#,##0.0000</c:formatCode>
                <c:ptCount val="36"/>
                <c:pt idx="0">
                  <c:v>3.238219</c:v>
                </c:pt>
                <c:pt idx="1">
                  <c:v>3.101035</c:v>
                </c:pt>
                <c:pt idx="2">
                  <c:v>3.1255449999999998</c:v>
                </c:pt>
                <c:pt idx="3">
                  <c:v>3.0943149999999999</c:v>
                </c:pt>
                <c:pt idx="4">
                  <c:v>2.9013369999999998</c:v>
                </c:pt>
                <c:pt idx="5">
                  <c:v>2.9091149999999999</c:v>
                </c:pt>
                <c:pt idx="6">
                  <c:v>3.0226899999999999</c:v>
                </c:pt>
                <c:pt idx="7" formatCode="0.0000">
                  <c:v>3.1267863657743744</c:v>
                </c:pt>
                <c:pt idx="8" formatCode="0.0000">
                  <c:v>3.218763346196519</c:v>
                </c:pt>
                <c:pt idx="9" formatCode="0.0000">
                  <c:v>3.3190205860246138</c:v>
                </c:pt>
                <c:pt idx="10" formatCode="0.0000">
                  <c:v>3.3974283260127658</c:v>
                </c:pt>
                <c:pt idx="11" formatCode="0.0000">
                  <c:v>3.4636758809604018</c:v>
                </c:pt>
                <c:pt idx="12" formatCode="0.0000">
                  <c:v>3.551684959348989</c:v>
                </c:pt>
                <c:pt idx="13" formatCode="0.0000">
                  <c:v>3.6281637929117614</c:v>
                </c:pt>
                <c:pt idx="14" formatCode="0.0000">
                  <c:v>3.6735128210416148</c:v>
                </c:pt>
                <c:pt idx="15" formatCode="0.0000">
                  <c:v>3.7268655938247304</c:v>
                </c:pt>
                <c:pt idx="16" formatCode="0.0000">
                  <c:v>3.8047875039002181</c:v>
                </c:pt>
                <c:pt idx="17" formatCode="0.0000">
                  <c:v>3.8561092141936637</c:v>
                </c:pt>
                <c:pt idx="18" formatCode="0.0000">
                  <c:v>3.9224241762146721</c:v>
                </c:pt>
                <c:pt idx="19" formatCode="0.0000">
                  <c:v>3.9693773004092834</c:v>
                </c:pt>
                <c:pt idx="20" formatCode="0.0000">
                  <c:v>4.0186811232893191</c:v>
                </c:pt>
                <c:pt idx="21" formatCode="0.0000">
                  <c:v>4.0783625277243134</c:v>
                </c:pt>
                <c:pt idx="22" formatCode="0.0000">
                  <c:v>4.1323099702727495</c:v>
                </c:pt>
                <c:pt idx="23" formatCode="0.0000">
                  <c:v>4.1942844867282894</c:v>
                </c:pt>
                <c:pt idx="24" formatCode="0.0000">
                  <c:v>4.2714696465041921</c:v>
                </c:pt>
                <c:pt idx="25" formatCode="0.0000">
                  <c:v>4.3449491280159771</c:v>
                </c:pt>
                <c:pt idx="26" formatCode="0.0000">
                  <c:v>4.4279277499069654</c:v>
                </c:pt>
                <c:pt idx="27" formatCode="0.0000">
                  <c:v>4.5156997019769261</c:v>
                </c:pt>
                <c:pt idx="28" formatCode="0.0000">
                  <c:v>4.5910340267179386</c:v>
                </c:pt>
                <c:pt idx="29" formatCode="0.0000">
                  <c:v>4.6927367019515902</c:v>
                </c:pt>
                <c:pt idx="30" formatCode="0.0000">
                  <c:v>4.7872275602042507</c:v>
                </c:pt>
                <c:pt idx="31" formatCode="0.0000">
                  <c:v>4.9074729397571817</c:v>
                </c:pt>
                <c:pt idx="32" formatCode="0.0000">
                  <c:v>5.0132723571323448</c:v>
                </c:pt>
                <c:pt idx="33" formatCode="0.0000">
                  <c:v>5.1203275942042277</c:v>
                </c:pt>
                <c:pt idx="34" formatCode="0.0000">
                  <c:v>5.2336242247433695</c:v>
                </c:pt>
                <c:pt idx="35" formatCode="0.0000">
                  <c:v>5.3480503985686436</c:v>
                </c:pt>
              </c:numCache>
            </c:numRef>
          </c:val>
          <c:smooth val="0"/>
          <c:extLst>
            <c:ext xmlns:c16="http://schemas.microsoft.com/office/drawing/2014/chart" uri="{C3380CC4-5D6E-409C-BE32-E72D297353CC}">
              <c16:uniqueId val="{00000002-3E95-4EB2-A40C-7596DE1FD2D7}"/>
            </c:ext>
          </c:extLst>
        </c:ser>
        <c:dLbls>
          <c:showLegendKey val="0"/>
          <c:showVal val="0"/>
          <c:showCatName val="0"/>
          <c:showSerName val="0"/>
          <c:showPercent val="0"/>
          <c:showBubbleSize val="0"/>
        </c:dLbls>
        <c:marker val="1"/>
        <c:smooth val="0"/>
        <c:axId val="1789063475"/>
        <c:axId val="1985831189"/>
      </c:lineChart>
      <c:catAx>
        <c:axId val="1789063475"/>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985831189"/>
        <c:crosses val="autoZero"/>
        <c:auto val="1"/>
        <c:lblAlgn val="ctr"/>
        <c:lblOffset val="100"/>
        <c:noMultiLvlLbl val="1"/>
      </c:catAx>
      <c:valAx>
        <c:axId val="1985831189"/>
        <c:scaling>
          <c:orientation val="minMax"/>
          <c:min val="2000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Población ganado bovino [Cabezas]</a:t>
                </a:r>
              </a:p>
            </c:rich>
          </c:tx>
          <c:overlay val="0"/>
        </c:title>
        <c:numFmt formatCode="General" sourceLinked="1"/>
        <c:majorTickMark val="none"/>
        <c:minorTickMark val="none"/>
        <c:tickLblPos val="nextTo"/>
        <c:spPr>
          <a:ln/>
        </c:spPr>
        <c:txPr>
          <a:bodyPr/>
          <a:lstStyle/>
          <a:p>
            <a:pPr lvl="0">
              <a:defRPr sz="1100" b="0" i="0">
                <a:solidFill>
                  <a:srgbClr val="000000"/>
                </a:solidFill>
                <a:latin typeface="Arial"/>
              </a:defRPr>
            </a:pPr>
            <a:endParaRPr lang="LID4096"/>
          </a:p>
        </c:txPr>
        <c:crossAx val="1789063475"/>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 productos bovinos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Agricultura'!$H$303:$AQ$303</c:f>
              <c:numCache>
                <c:formatCode>0.0000</c:formatCode>
                <c:ptCount val="36"/>
                <c:pt idx="0">
                  <c:v>3.1217739999999995E-3</c:v>
                </c:pt>
                <c:pt idx="1">
                  <c:v>2.6787599999999995E-4</c:v>
                </c:pt>
                <c:pt idx="2">
                  <c:v>5.4243210000000003E-5</c:v>
                </c:pt>
                <c:pt idx="3">
                  <c:v>5.0079999999999993E-7</c:v>
                </c:pt>
                <c:pt idx="4">
                  <c:v>2.6648029999999998E-5</c:v>
                </c:pt>
                <c:pt idx="5">
                  <c:v>3.2999999999999998E-8</c:v>
                </c:pt>
                <c:pt idx="6">
                  <c:v>5.373601E-4</c:v>
                </c:pt>
                <c:pt idx="7">
                  <c:v>5.0722226212641486E-4</c:v>
                </c:pt>
                <c:pt idx="8">
                  <c:v>5.4117822918335211E-4</c:v>
                </c:pt>
                <c:pt idx="9">
                  <c:v>5.9649239502015049E-4</c:v>
                </c:pt>
                <c:pt idx="10">
                  <c:v>6.57460256399798E-4</c:v>
                </c:pt>
                <c:pt idx="11">
                  <c:v>7.9936670078232434E-4</c:v>
                </c:pt>
                <c:pt idx="12">
                  <c:v>9.7190228017532594E-4</c:v>
                </c:pt>
                <c:pt idx="13">
                  <c:v>1.0712410210997443E-3</c:v>
                </c:pt>
                <c:pt idx="14">
                  <c:v>1.3024580458571031E-3</c:v>
                </c:pt>
                <c:pt idx="15">
                  <c:v>1.5835810315370201E-3</c:v>
                </c:pt>
                <c:pt idx="16">
                  <c:v>1.9253816976450876E-3</c:v>
                </c:pt>
                <c:pt idx="17">
                  <c:v>2.1221761671554162E-3</c:v>
                </c:pt>
                <c:pt idx="18">
                  <c:v>2.5802273897242755E-3</c:v>
                </c:pt>
                <c:pt idx="19">
                  <c:v>2.8439540476632506E-3</c:v>
                </c:pt>
                <c:pt idx="20">
                  <c:v>3.1346363725270284E-3</c:v>
                </c:pt>
                <c:pt idx="21">
                  <c:v>3.8112173486810536E-3</c:v>
                </c:pt>
                <c:pt idx="22">
                  <c:v>4.200764261503378E-3</c:v>
                </c:pt>
                <c:pt idx="23">
                  <c:v>5.1074586422457467E-3</c:v>
                </c:pt>
                <c:pt idx="24">
                  <c:v>5.629495189739704E-3</c:v>
                </c:pt>
                <c:pt idx="25">
                  <c:v>6.2048894197932955E-3</c:v>
                </c:pt>
                <c:pt idx="26">
                  <c:v>6.8390950545679334E-3</c:v>
                </c:pt>
                <c:pt idx="27">
                  <c:v>7.5381232445837412E-3</c:v>
                </c:pt>
                <c:pt idx="28">
                  <c:v>8.3085995438213107E-3</c:v>
                </c:pt>
                <c:pt idx="29">
                  <c:v>9.1578267082843001E-3</c:v>
                </c:pt>
                <c:pt idx="30">
                  <c:v>1.0093853913242461E-2</c:v>
                </c:pt>
                <c:pt idx="31">
                  <c:v>1.1125553045212431E-2</c:v>
                </c:pt>
                <c:pt idx="32">
                  <c:v>1.226270279178969E-2</c:v>
                </c:pt>
                <c:pt idx="33">
                  <c:v>1.3516081326354901E-2</c:v>
                </c:pt>
                <c:pt idx="34">
                  <c:v>1.4897568466142172E-2</c:v>
                </c:pt>
                <c:pt idx="35">
                  <c:v>1.6420258271947458E-2</c:v>
                </c:pt>
              </c:numCache>
            </c:numRef>
          </c:val>
          <c:smooth val="0"/>
          <c:extLst>
            <c:ext xmlns:c16="http://schemas.microsoft.com/office/drawing/2014/chart" uri="{C3380CC4-5D6E-409C-BE32-E72D297353CC}">
              <c16:uniqueId val="{00000000-78D4-42DF-8077-BCCCED0F34B0}"/>
            </c:ext>
          </c:extLst>
        </c:ser>
        <c:ser>
          <c:idx val="1"/>
          <c:order val="1"/>
          <c:tx>
            <c:v>Importaciones productos bovinos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Agricultura'!$H$311:$AQ$311</c:f>
              <c:numCache>
                <c:formatCode>0.0000</c:formatCode>
                <c:ptCount val="36"/>
                <c:pt idx="0">
                  <c:v>1.0531539999999997E-3</c:v>
                </c:pt>
                <c:pt idx="1">
                  <c:v>9.4181799999999987E-4</c:v>
                </c:pt>
                <c:pt idx="2">
                  <c:v>1.0353525699999999E-3</c:v>
                </c:pt>
                <c:pt idx="3">
                  <c:v>1.42206591E-3</c:v>
                </c:pt>
                <c:pt idx="4">
                  <c:v>1.615844531E-3</c:v>
                </c:pt>
                <c:pt idx="5">
                  <c:v>1.6791366089999999E-3</c:v>
                </c:pt>
                <c:pt idx="6">
                  <c:v>2.2530822369999999E-3</c:v>
                </c:pt>
                <c:pt idx="7">
                  <c:v>2.6160577392170059E-3</c:v>
                </c:pt>
                <c:pt idx="8">
                  <c:v>2.6277529907358312E-3</c:v>
                </c:pt>
                <c:pt idx="9">
                  <c:v>2.7425070230675417E-3</c:v>
                </c:pt>
                <c:pt idx="10">
                  <c:v>3.1677917733449281E-3</c:v>
                </c:pt>
                <c:pt idx="11">
                  <c:v>3.4861805264686263E-3</c:v>
                </c:pt>
                <c:pt idx="12">
                  <c:v>4.017019164467746E-3</c:v>
                </c:pt>
                <c:pt idx="13">
                  <c:v>4.5408034089372022E-3</c:v>
                </c:pt>
                <c:pt idx="14">
                  <c:v>5.0526312096993804E-3</c:v>
                </c:pt>
                <c:pt idx="15">
                  <c:v>5.6064436713202312E-3</c:v>
                </c:pt>
                <c:pt idx="16">
                  <c:v>6.2097121461524192E-3</c:v>
                </c:pt>
                <c:pt idx="17">
                  <c:v>6.8390167270351984E-3</c:v>
                </c:pt>
                <c:pt idx="18">
                  <c:v>7.4901660548835364E-3</c:v>
                </c:pt>
                <c:pt idx="19">
                  <c:v>8.2112273736179766E-3</c:v>
                </c:pt>
                <c:pt idx="20">
                  <c:v>9.0473477637803071E-3</c:v>
                </c:pt>
                <c:pt idx="21">
                  <c:v>9.9032739406193383E-3</c:v>
                </c:pt>
                <c:pt idx="22">
                  <c:v>1.0872909616623717E-2</c:v>
                </c:pt>
                <c:pt idx="23">
                  <c:v>1.1916001013862214E-2</c:v>
                </c:pt>
                <c:pt idx="24">
                  <c:v>1.3070500224985866E-2</c:v>
                </c:pt>
                <c:pt idx="25">
                  <c:v>1.4342084674598634E-2</c:v>
                </c:pt>
                <c:pt idx="26">
                  <c:v>1.5683832410564532E-2</c:v>
                </c:pt>
                <c:pt idx="27">
                  <c:v>1.7179314544774681E-2</c:v>
                </c:pt>
                <c:pt idx="28">
                  <c:v>1.8780553538511564E-2</c:v>
                </c:pt>
                <c:pt idx="29">
                  <c:v>2.0624825508305227E-2</c:v>
                </c:pt>
                <c:pt idx="30">
                  <c:v>2.2622072651462207E-2</c:v>
                </c:pt>
                <c:pt idx="31">
                  <c:v>2.4856112042339028E-2</c:v>
                </c:pt>
                <c:pt idx="32">
                  <c:v>2.7216062948224609E-2</c:v>
                </c:pt>
                <c:pt idx="33">
                  <c:v>2.9910177167773052E-2</c:v>
                </c:pt>
                <c:pt idx="34">
                  <c:v>3.2775053556595539E-2</c:v>
                </c:pt>
                <c:pt idx="35">
                  <c:v>3.5990280511117335E-2</c:v>
                </c:pt>
              </c:numCache>
            </c:numRef>
          </c:val>
          <c:smooth val="0"/>
          <c:extLst>
            <c:ext xmlns:c16="http://schemas.microsoft.com/office/drawing/2014/chart" uri="{C3380CC4-5D6E-409C-BE32-E72D297353CC}">
              <c16:uniqueId val="{00000001-78D4-42DF-8077-BCCCED0F34B0}"/>
            </c:ext>
          </c:extLst>
        </c:ser>
        <c:dLbls>
          <c:showLegendKey val="0"/>
          <c:showVal val="0"/>
          <c:showCatName val="0"/>
          <c:showSerName val="0"/>
          <c:showPercent val="0"/>
          <c:showBubbleSize val="0"/>
        </c:dLbls>
        <c:marker val="1"/>
        <c:smooth val="0"/>
        <c:axId val="681034170"/>
        <c:axId val="2110835525"/>
      </c:lineChart>
      <c:catAx>
        <c:axId val="681034170"/>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2110835525"/>
        <c:crosses val="autoZero"/>
        <c:auto val="1"/>
        <c:lblAlgn val="ctr"/>
        <c:lblOffset val="100"/>
        <c:noMultiLvlLbl val="1"/>
      </c:catAx>
      <c:valAx>
        <c:axId val="2110835525"/>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Producto exportado/importado [Mton]</a:t>
                </a:r>
              </a:p>
            </c:rich>
          </c:tx>
          <c:overlay val="0"/>
        </c:title>
        <c:numFmt formatCode="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681034170"/>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Población</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Agricultura'!$H$320:$AR$320</c:f>
              <c:numCache>
                <c:formatCode>General</c:formatCode>
                <c:ptCount val="37"/>
                <c:pt idx="0">
                  <c:v>14891850</c:v>
                </c:pt>
                <c:pt idx="1">
                  <c:v>14306861</c:v>
                </c:pt>
                <c:pt idx="2">
                  <c:v>13406254</c:v>
                </c:pt>
                <c:pt idx="3">
                  <c:v>12955479</c:v>
                </c:pt>
                <c:pt idx="4">
                  <c:v>16112229</c:v>
                </c:pt>
                <c:pt idx="5">
                  <c:v>17731800</c:v>
                </c:pt>
                <c:pt idx="6">
                  <c:v>21205214</c:v>
                </c:pt>
                <c:pt idx="7" formatCode="0">
                  <c:v>21777754.777999997</c:v>
                </c:pt>
                <c:pt idx="8" formatCode="0">
                  <c:v>22452865.176117994</c:v>
                </c:pt>
                <c:pt idx="9" formatCode="0">
                  <c:v>23126451.131401535</c:v>
                </c:pt>
                <c:pt idx="10" formatCode="0">
                  <c:v>23750865.311949376</c:v>
                </c:pt>
                <c:pt idx="11" formatCode="0">
                  <c:v>24297135.214124206</c:v>
                </c:pt>
                <c:pt idx="12" formatCode="0">
                  <c:v>25070955.866159737</c:v>
                </c:pt>
                <c:pt idx="13" formatCode="0">
                  <c:v>25784518.509155892</c:v>
                </c:pt>
                <c:pt idx="14" formatCode="0">
                  <c:v>26350740.659030333</c:v>
                </c:pt>
                <c:pt idx="15" formatCode="0">
                  <c:v>26978426.478212908</c:v>
                </c:pt>
                <c:pt idx="16" formatCode="0">
                  <c:v>27833054.541807912</c:v>
                </c:pt>
                <c:pt idx="17" formatCode="0">
                  <c:v>28519657.676243246</c:v>
                </c:pt>
                <c:pt idx="18" formatCode="0">
                  <c:v>29344284.537370693</c:v>
                </c:pt>
                <c:pt idx="19" formatCode="0">
                  <c:v>30038762.798892654</c:v>
                </c:pt>
                <c:pt idx="20" formatCode="0">
                  <c:v>30749016.231192723</c:v>
                </c:pt>
                <c:pt idx="21" formatCode="0">
                  <c:v>31534280.530814309</c:v>
                </c:pt>
                <c:pt idx="22" formatCode="0">
                  <c:v>32249832.729974333</c:v>
                </c:pt>
                <c:pt idx="23" formatCode="0">
                  <c:v>33005349.211955622</c:v>
                </c:pt>
                <c:pt idx="24" formatCode="0">
                  <c:v>33837445.015898608</c:v>
                </c:pt>
                <c:pt idx="25" formatCode="0">
                  <c:v>34606050.60407865</c:v>
                </c:pt>
                <c:pt idx="26" formatCode="0">
                  <c:v>35395959.604550071</c:v>
                </c:pt>
                <c:pt idx="27" formatCode="0">
                  <c:v>36184613.762369946</c:v>
                </c:pt>
                <c:pt idx="28" formatCode="0">
                  <c:v>36817584.941043884</c:v>
                </c:pt>
                <c:pt idx="29" formatCode="0">
                  <c:v>37624494.800901487</c:v>
                </c:pt>
                <c:pt idx="30" formatCode="0">
                  <c:v>38323959.606534213</c:v>
                </c:pt>
                <c:pt idx="31" formatCode="0">
                  <c:v>39200094.657470107</c:v>
                </c:pt>
                <c:pt idx="32" formatCode="0">
                  <c:v>39922563.353862993</c:v>
                </c:pt>
                <c:pt idx="33" formatCode="0">
                  <c:v>40637968.567416467</c:v>
                </c:pt>
                <c:pt idx="34" formatCode="0">
                  <c:v>41379737.17646002</c:v>
                </c:pt>
                <c:pt idx="35" formatCode="0">
                  <c:v>42127048.92906528</c:v>
                </c:pt>
              </c:numCache>
            </c:numRef>
          </c:val>
          <c:smooth val="0"/>
          <c:extLst>
            <c:ext xmlns:c16="http://schemas.microsoft.com/office/drawing/2014/chart" uri="{C3380CC4-5D6E-409C-BE32-E72D297353CC}">
              <c16:uniqueId val="{00000000-9017-47FB-8B6A-E31870DCEB9D}"/>
            </c:ext>
          </c:extLst>
        </c:ser>
        <c:ser>
          <c:idx val="1"/>
          <c:order val="1"/>
          <c:tx>
            <c:v>Huevos anuales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Agricultura'!$H$323:$AQ$323</c:f>
              <c:numCache>
                <c:formatCode>0</c:formatCode>
                <c:ptCount val="36"/>
                <c:pt idx="0">
                  <c:v>64332941</c:v>
                </c:pt>
                <c:pt idx="1">
                  <c:v>59156593</c:v>
                </c:pt>
                <c:pt idx="2">
                  <c:v>47961551</c:v>
                </c:pt>
                <c:pt idx="3">
                  <c:v>44411748</c:v>
                </c:pt>
                <c:pt idx="4">
                  <c:v>89393421</c:v>
                </c:pt>
                <c:pt idx="5">
                  <c:v>86434176</c:v>
                </c:pt>
                <c:pt idx="6">
                  <c:v>85369879</c:v>
                </c:pt>
                <c:pt idx="7">
                  <c:v>86517528.325463459</c:v>
                </c:pt>
                <c:pt idx="8">
                  <c:v>87655390.878754705</c:v>
                </c:pt>
                <c:pt idx="9">
                  <c:v>88782788.559197411</c:v>
                </c:pt>
                <c:pt idx="10">
                  <c:v>89899509.760906801</c:v>
                </c:pt>
                <c:pt idx="11">
                  <c:v>91004304.085472628</c:v>
                </c:pt>
                <c:pt idx="12">
                  <c:v>92096753.130349964</c:v>
                </c:pt>
                <c:pt idx="13">
                  <c:v>93176072.991920084</c:v>
                </c:pt>
                <c:pt idx="14">
                  <c:v>94242109.77499406</c:v>
                </c:pt>
                <c:pt idx="15">
                  <c:v>95293665.982632875</c:v>
                </c:pt>
                <c:pt idx="16">
                  <c:v>96330178.935551926</c:v>
                </c:pt>
                <c:pt idx="17">
                  <c:v>97350922.440828353</c:v>
                </c:pt>
                <c:pt idx="18">
                  <c:v>98355054.884147599</c:v>
                </c:pt>
                <c:pt idx="19">
                  <c:v>99342162.672189385</c:v>
                </c:pt>
                <c:pt idx="20">
                  <c:v>100311524.4212555</c:v>
                </c:pt>
                <c:pt idx="21">
                  <c:v>101262716.91957633</c:v>
                </c:pt>
                <c:pt idx="22">
                  <c:v>102194927.40818524</c:v>
                </c:pt>
                <c:pt idx="23">
                  <c:v>103107833.66903037</c:v>
                </c:pt>
                <c:pt idx="24">
                  <c:v>104000834.54902987</c:v>
                </c:pt>
                <c:pt idx="25">
                  <c:v>104873511.64563881</c:v>
                </c:pt>
                <c:pt idx="26">
                  <c:v>105725754.34669012</c:v>
                </c:pt>
                <c:pt idx="27">
                  <c:v>106557269.28947987</c:v>
                </c:pt>
                <c:pt idx="28">
                  <c:v>107367541.88697</c:v>
                </c:pt>
                <c:pt idx="29">
                  <c:v>108156466.33621812</c:v>
                </c:pt>
                <c:pt idx="30">
                  <c:v>108923528.05018619</c:v>
                </c:pt>
                <c:pt idx="31">
                  <c:v>109668597.17980853</c:v>
                </c:pt>
                <c:pt idx="32">
                  <c:v>110391793.9557015</c:v>
                </c:pt>
                <c:pt idx="33">
                  <c:v>111092497.98788464</c:v>
                </c:pt>
                <c:pt idx="34">
                  <c:v>111770896.8361195</c:v>
                </c:pt>
                <c:pt idx="35">
                  <c:v>112427226.15241416</c:v>
                </c:pt>
              </c:numCache>
            </c:numRef>
          </c:val>
          <c:smooth val="0"/>
          <c:extLst>
            <c:ext xmlns:c16="http://schemas.microsoft.com/office/drawing/2014/chart" uri="{C3380CC4-5D6E-409C-BE32-E72D297353CC}">
              <c16:uniqueId val="{00000001-9017-47FB-8B6A-E31870DCEB9D}"/>
            </c:ext>
          </c:extLst>
        </c:ser>
        <c:ser>
          <c:idx val="2"/>
          <c:order val="2"/>
          <c:tx>
            <c:v>Huevos autoconsumo</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Agricultura'!$H$324:$AQ$324</c:f>
              <c:numCache>
                <c:formatCode>0</c:formatCode>
                <c:ptCount val="36"/>
                <c:pt idx="0">
                  <c:v>2966045</c:v>
                </c:pt>
                <c:pt idx="1">
                  <c:v>4362341</c:v>
                </c:pt>
                <c:pt idx="2">
                  <c:v>4021186</c:v>
                </c:pt>
                <c:pt idx="3">
                  <c:v>3426364</c:v>
                </c:pt>
                <c:pt idx="4">
                  <c:v>6107526</c:v>
                </c:pt>
                <c:pt idx="5">
                  <c:v>3917999</c:v>
                </c:pt>
                <c:pt idx="6" formatCode="General">
                  <c:v>5412876</c:v>
                </c:pt>
                <c:pt idx="7">
                  <c:v>5485642.6896449197</c:v>
                </c:pt>
                <c:pt idx="8">
                  <c:v>5557788.8491353048</c:v>
                </c:pt>
                <c:pt idx="9">
                  <c:v>5629271.4835071303</c:v>
                </c:pt>
                <c:pt idx="10">
                  <c:v>5700077.175892191</c:v>
                </c:pt>
                <c:pt idx="11">
                  <c:v>5770126.644796541</c:v>
                </c:pt>
                <c:pt idx="12">
                  <c:v>5839393.3614125904</c:v>
                </c:pt>
                <c:pt idx="13">
                  <c:v>5907827.6223422121</c:v>
                </c:pt>
                <c:pt idx="14">
                  <c:v>5975419.669863075</c:v>
                </c:pt>
                <c:pt idx="15">
                  <c:v>6042093.5766982846</c:v>
                </c:pt>
                <c:pt idx="16">
                  <c:v>6107813.6661755657</c:v>
                </c:pt>
                <c:pt idx="17">
                  <c:v>6172533.8940426642</c:v>
                </c:pt>
                <c:pt idx="18">
                  <c:v>6236200.89775558</c:v>
                </c:pt>
                <c:pt idx="19">
                  <c:v>6298788.4534355467</c:v>
                </c:pt>
                <c:pt idx="20">
                  <c:v>6360250.8217591327</c:v>
                </c:pt>
                <c:pt idx="21">
                  <c:v>6420561.1689899266</c:v>
                </c:pt>
                <c:pt idx="22">
                  <c:v>6479667.9621568639</c:v>
                </c:pt>
                <c:pt idx="23">
                  <c:v>6537550.771028812</c:v>
                </c:pt>
                <c:pt idx="24">
                  <c:v>6594171.4795029126</c:v>
                </c:pt>
                <c:pt idx="25">
                  <c:v>6649503.5587715758</c:v>
                </c:pt>
                <c:pt idx="26">
                  <c:v>6703539.9954718761</c:v>
                </c:pt>
                <c:pt idx="27">
                  <c:v>6756262.1889456185</c:v>
                </c:pt>
                <c:pt idx="28">
                  <c:v>6807637.5118087558</c:v>
                </c:pt>
                <c:pt idx="29">
                  <c:v>6857659.255627186</c:v>
                </c:pt>
                <c:pt idx="30">
                  <c:v>6906294.7930168621</c:v>
                </c:pt>
                <c:pt idx="31">
                  <c:v>6953535.8908995669</c:v>
                </c:pt>
                <c:pt idx="32">
                  <c:v>6999390.1724958718</c:v>
                </c:pt>
                <c:pt idx="33">
                  <c:v>7043818.3019876257</c:v>
                </c:pt>
                <c:pt idx="34">
                  <c:v>7086832.1715989215</c:v>
                </c:pt>
                <c:pt idx="35">
                  <c:v>7128446.7228420805</c:v>
                </c:pt>
              </c:numCache>
            </c:numRef>
          </c:val>
          <c:smooth val="0"/>
          <c:extLst>
            <c:ext xmlns:c16="http://schemas.microsoft.com/office/drawing/2014/chart" uri="{C3380CC4-5D6E-409C-BE32-E72D297353CC}">
              <c16:uniqueId val="{00000002-9017-47FB-8B6A-E31870DCEB9D}"/>
            </c:ext>
          </c:extLst>
        </c:ser>
        <c:dLbls>
          <c:showLegendKey val="0"/>
          <c:showVal val="0"/>
          <c:showCatName val="0"/>
          <c:showSerName val="0"/>
          <c:showPercent val="0"/>
          <c:showBubbleSize val="0"/>
        </c:dLbls>
        <c:marker val="1"/>
        <c:smooth val="0"/>
        <c:axId val="1758292386"/>
        <c:axId val="837798480"/>
      </c:lineChart>
      <c:catAx>
        <c:axId val="1758292386"/>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837798480"/>
        <c:crosses val="autoZero"/>
        <c:auto val="1"/>
        <c:lblAlgn val="ctr"/>
        <c:lblOffset val="100"/>
        <c:noMultiLvlLbl val="1"/>
      </c:catAx>
      <c:valAx>
        <c:axId val="837798480"/>
        <c:scaling>
          <c:orientation val="minMax"/>
          <c:min val="2000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Población aves de corral [Cabezas]</a:t>
                </a:r>
              </a:p>
            </c:rich>
          </c:tx>
          <c:overlay val="0"/>
        </c:title>
        <c:numFmt formatCode="General" sourceLinked="1"/>
        <c:majorTickMark val="none"/>
        <c:minorTickMark val="none"/>
        <c:tickLblPos val="nextTo"/>
        <c:spPr>
          <a:ln/>
        </c:spPr>
        <c:txPr>
          <a:bodyPr/>
          <a:lstStyle/>
          <a:p>
            <a:pPr lvl="0">
              <a:defRPr sz="1100" b="0" i="0">
                <a:solidFill>
                  <a:srgbClr val="000000"/>
                </a:solidFill>
                <a:latin typeface="Arial"/>
              </a:defRPr>
            </a:pPr>
            <a:endParaRPr lang="LID4096"/>
          </a:p>
        </c:txPr>
        <c:crossAx val="1758292386"/>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Sectorial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Agricultura'!$J$346:$AQ$346</c:f>
              <c:numCache>
                <c:formatCode>#,##0.000</c:formatCode>
                <c:ptCount val="34"/>
                <c:pt idx="0">
                  <c:v>4528.7795556485817</c:v>
                </c:pt>
                <c:pt idx="1">
                  <c:v>6578.8387082587988</c:v>
                </c:pt>
                <c:pt idx="2">
                  <c:v>5735.4133499085219</c:v>
                </c:pt>
                <c:pt idx="3">
                  <c:v>5301.7685575144551</c:v>
                </c:pt>
                <c:pt idx="4">
                  <c:v>6016.8180521457698</c:v>
                </c:pt>
                <c:pt idx="5">
                  <c:v>6224.0271581917177</c:v>
                </c:pt>
                <c:pt idx="6">
                  <c:v>6407.1120118107856</c:v>
                </c:pt>
                <c:pt idx="7">
                  <c:v>6606.6791425638521</c:v>
                </c:pt>
                <c:pt idx="8">
                  <c:v>6762.7537335370143</c:v>
                </c:pt>
                <c:pt idx="9">
                  <c:v>6894.622858230402</c:v>
                </c:pt>
                <c:pt idx="10">
                  <c:v>7069.8094012107149</c:v>
                </c:pt>
                <c:pt idx="11">
                  <c:v>7222.0444059209385</c:v>
                </c:pt>
                <c:pt idx="12">
                  <c:v>7312.3139509616012</c:v>
                </c:pt>
                <c:pt idx="13">
                  <c:v>7418.5153564691054</c:v>
                </c:pt>
                <c:pt idx="14">
                  <c:v>7573.6228783121915</c:v>
                </c:pt>
                <c:pt idx="15">
                  <c:v>7675.7813507194169</c:v>
                </c:pt>
                <c:pt idx="16">
                  <c:v>7807.7846526178473</c:v>
                </c:pt>
                <c:pt idx="17">
                  <c:v>7901.2472323924121</c:v>
                </c:pt>
                <c:pt idx="18">
                  <c:v>7999.3889973581872</c:v>
                </c:pt>
                <c:pt idx="19">
                  <c:v>8118.1878657773395</c:v>
                </c:pt>
                <c:pt idx="20">
                  <c:v>8225.5729916726596</c:v>
                </c:pt>
                <c:pt idx="21">
                  <c:v>8348.9364161001376</c:v>
                </c:pt>
                <c:pt idx="22">
                  <c:v>8502.5773990317011</c:v>
                </c:pt>
                <c:pt idx="23">
                  <c:v>8648.8420410632752</c:v>
                </c:pt>
                <c:pt idx="24">
                  <c:v>8814.0152047472384</c:v>
                </c:pt>
                <c:pt idx="25">
                  <c:v>8988.729735740033</c:v>
                </c:pt>
                <c:pt idx="26">
                  <c:v>9138.6865374788613</c:v>
                </c:pt>
                <c:pt idx="27">
                  <c:v>9341.1308808608665</c:v>
                </c:pt>
                <c:pt idx="28">
                  <c:v>9529.2197360518912</c:v>
                </c:pt>
                <c:pt idx="29">
                  <c:v>9768.574274685092</c:v>
                </c:pt>
                <c:pt idx="30">
                  <c:v>9979.1733914881352</c:v>
                </c:pt>
                <c:pt idx="31">
                  <c:v>10192.272281215777</c:v>
                </c:pt>
                <c:pt idx="32">
                  <c:v>10417.79498181531</c:v>
                </c:pt>
                <c:pt idx="33">
                  <c:v>10645.566095727048</c:v>
                </c:pt>
              </c:numCache>
            </c:numRef>
          </c:val>
          <c:smooth val="0"/>
          <c:extLst>
            <c:ext xmlns:c16="http://schemas.microsoft.com/office/drawing/2014/chart" uri="{C3380CC4-5D6E-409C-BE32-E72D297353CC}">
              <c16:uniqueId val="{00000000-B569-4627-A20C-6A96C67BFA4E}"/>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Agricultura'!$J$363:$AQ$363</c:f>
              <c:numCache>
                <c:formatCode>#,##0.000</c:formatCode>
                <c:ptCount val="34"/>
                <c:pt idx="0">
                  <c:v>4528.7795556485817</c:v>
                </c:pt>
                <c:pt idx="1">
                  <c:v>6578.8387082587988</c:v>
                </c:pt>
                <c:pt idx="2">
                  <c:v>5735.4133499085219</c:v>
                </c:pt>
                <c:pt idx="3">
                  <c:v>5301.7685575144551</c:v>
                </c:pt>
                <c:pt idx="4">
                  <c:v>6016.8180521457698</c:v>
                </c:pt>
                <c:pt idx="5">
                  <c:v>6097.7036907324373</c:v>
                </c:pt>
                <c:pt idx="6">
                  <c:v>6177.8995634652938</c:v>
                </c:pt>
                <c:pt idx="7">
                  <c:v>6257.3578782139293</c:v>
                </c:pt>
                <c:pt idx="8">
                  <c:v>6336.0637211220455</c:v>
                </c:pt>
                <c:pt idx="9">
                  <c:v>6413.9289648569684</c:v>
                </c:pt>
                <c:pt idx="10">
                  <c:v>6490.9241206573824</c:v>
                </c:pt>
                <c:pt idx="11">
                  <c:v>6566.9939394647236</c:v>
                </c:pt>
                <c:pt idx="12">
                  <c:v>6642.1275748380476</c:v>
                </c:pt>
                <c:pt idx="13">
                  <c:v>6716.2406279087591</c:v>
                </c:pt>
                <c:pt idx="14">
                  <c:v>6789.2934413771509</c:v>
                </c:pt>
                <c:pt idx="15">
                  <c:v>6861.2348336000186</c:v>
                </c:pt>
                <c:pt idx="16">
                  <c:v>6932.0054881034466</c:v>
                </c:pt>
                <c:pt idx="17">
                  <c:v>7001.5762550773989</c:v>
                </c:pt>
                <c:pt idx="18">
                  <c:v>7069.8962918299485</c:v>
                </c:pt>
                <c:pt idx="19">
                  <c:v>7136.9357706484952</c:v>
                </c:pt>
                <c:pt idx="20">
                  <c:v>7202.6374087668037</c:v>
                </c:pt>
                <c:pt idx="21">
                  <c:v>7266.9784964491446</c:v>
                </c:pt>
                <c:pt idx="22">
                  <c:v>7329.91666478558</c:v>
                </c:pt>
                <c:pt idx="23">
                  <c:v>7391.4224250147909</c:v>
                </c:pt>
                <c:pt idx="24">
                  <c:v>7451.4879812573499</c:v>
                </c:pt>
                <c:pt idx="25">
                  <c:v>7510.0926574852065</c:v>
                </c:pt>
                <c:pt idx="26">
                  <c:v>7567.2001859114534</c:v>
                </c:pt>
                <c:pt idx="27">
                  <c:v>7622.8031096079394</c:v>
                </c:pt>
                <c:pt idx="28">
                  <c:v>7676.8651607877582</c:v>
                </c:pt>
                <c:pt idx="29">
                  <c:v>7729.3771877663621</c:v>
                </c:pt>
                <c:pt idx="30">
                  <c:v>7780.3476643257418</c:v>
                </c:pt>
                <c:pt idx="31">
                  <c:v>7829.732865750836</c:v>
                </c:pt>
                <c:pt idx="32">
                  <c:v>7877.5460111415459</c:v>
                </c:pt>
                <c:pt idx="33">
                  <c:v>7923.8037091105698</c:v>
                </c:pt>
              </c:numCache>
            </c:numRef>
          </c:val>
          <c:smooth val="0"/>
          <c:extLst>
            <c:ext xmlns:c16="http://schemas.microsoft.com/office/drawing/2014/chart" uri="{C3380CC4-5D6E-409C-BE32-E72D297353CC}">
              <c16:uniqueId val="{00000001-B569-4627-A20C-6A96C67BFA4E}"/>
            </c:ext>
          </c:extLst>
        </c:ser>
        <c:dLbls>
          <c:showLegendKey val="0"/>
          <c:showVal val="0"/>
          <c:showCatName val="0"/>
          <c:showSerName val="0"/>
          <c:showPercent val="0"/>
          <c:showBubbleSize val="0"/>
        </c:dLbls>
        <c:marker val="1"/>
        <c:smooth val="0"/>
        <c:axId val="2000989044"/>
        <c:axId val="178220974"/>
      </c:lineChart>
      <c:catAx>
        <c:axId val="2000989044"/>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78220974"/>
        <c:crosses val="autoZero"/>
        <c:auto val="1"/>
        <c:lblAlgn val="ctr"/>
        <c:lblOffset val="100"/>
        <c:noMultiLvlLbl val="1"/>
      </c:catAx>
      <c:valAx>
        <c:axId val="178220974"/>
        <c:scaling>
          <c:orientation val="minMax"/>
          <c:min val="4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Fertilizantes NPK [kg/ha]</a:t>
                </a:r>
              </a:p>
            </c:rich>
          </c:tx>
          <c:overlay val="0"/>
        </c:title>
        <c:numFmt formatCode="#,##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000989044"/>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954414954338731"/>
          <c:y val="5.4421768707482991E-2"/>
          <c:w val="0.82439182801891342"/>
          <c:h val="0.58071696395093475"/>
        </c:manualLayout>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'!$G$24:$G$37</c:f>
              <c:numCache>
                <c:formatCode>0.00000</c:formatCode>
                <c:ptCount val="14"/>
                <c:pt idx="0">
                  <c:v>0.23577300000000001</c:v>
                </c:pt>
                <c:pt idx="1">
                  <c:v>0.47005400000000003</c:v>
                </c:pt>
                <c:pt idx="2">
                  <c:v>0.19108</c:v>
                </c:pt>
                <c:pt idx="3">
                  <c:v>0.15653</c:v>
                </c:pt>
                <c:pt idx="4">
                  <c:v>0.47614800000000002</c:v>
                </c:pt>
                <c:pt idx="5">
                  <c:v>0.248199</c:v>
                </c:pt>
                <c:pt idx="6">
                  <c:v>0</c:v>
                </c:pt>
                <c:pt idx="7">
                  <c:v>0</c:v>
                </c:pt>
                <c:pt idx="8">
                  <c:v>0.118954</c:v>
                </c:pt>
                <c:pt idx="9">
                  <c:v>3.7898000000000001E-2</c:v>
                </c:pt>
                <c:pt idx="10">
                  <c:v>6.8725999999999995E-2</c:v>
                </c:pt>
                <c:pt idx="11">
                  <c:v>0.19697200000000001</c:v>
                </c:pt>
                <c:pt idx="12">
                  <c:v>2.7980000000000001E-3</c:v>
                </c:pt>
                <c:pt idx="13">
                  <c:v>5.9610000000000002E-3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A1B-4600-9D30-E864FE4F34BE}"/>
            </c:ext>
          </c:extLst>
        </c:ser>
        <c:ser>
          <c:idx val="1"/>
          <c:order val="1"/>
          <c:tx>
            <c:v>2011</c:v>
          </c:tx>
          <c:spPr>
            <a:solidFill>
              <a:srgbClr val="ED7D31"/>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'!$H$24:$H$37</c:f>
              <c:numCache>
                <c:formatCode>0.00000</c:formatCode>
                <c:ptCount val="14"/>
                <c:pt idx="0">
                  <c:v>0.20011000000000001</c:v>
                </c:pt>
                <c:pt idx="1">
                  <c:v>0.52109099999999997</c:v>
                </c:pt>
                <c:pt idx="2">
                  <c:v>0.12285600000000001</c:v>
                </c:pt>
                <c:pt idx="3">
                  <c:v>0.13782900000000001</c:v>
                </c:pt>
                <c:pt idx="4">
                  <c:v>0.65010500000000004</c:v>
                </c:pt>
                <c:pt idx="5">
                  <c:v>0.24457400000000001</c:v>
                </c:pt>
                <c:pt idx="6">
                  <c:v>0</c:v>
                </c:pt>
                <c:pt idx="7">
                  <c:v>0</c:v>
                </c:pt>
                <c:pt idx="8">
                  <c:v>0.153977</c:v>
                </c:pt>
                <c:pt idx="9">
                  <c:v>3.8441000000000003E-2</c:v>
                </c:pt>
                <c:pt idx="10">
                  <c:v>6.8433999999999995E-2</c:v>
                </c:pt>
                <c:pt idx="11">
                  <c:v>0.17632600000000001</c:v>
                </c:pt>
                <c:pt idx="12">
                  <c:v>1.668E-3</c:v>
                </c:pt>
                <c:pt idx="13">
                  <c:v>6.5950000000000002E-3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A1B-4600-9D30-E864FE4F34BE}"/>
            </c:ext>
          </c:extLst>
        </c:ser>
        <c:ser>
          <c:idx val="2"/>
          <c:order val="2"/>
          <c:tx>
            <c:v>2012</c:v>
          </c:tx>
          <c:spPr>
            <a:solidFill>
              <a:srgbClr val="A5A5A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'!$I$24:$I$37</c:f>
              <c:numCache>
                <c:formatCode>0.00000</c:formatCode>
                <c:ptCount val="14"/>
                <c:pt idx="0">
                  <c:v>0.221775</c:v>
                </c:pt>
                <c:pt idx="1">
                  <c:v>0.50772099999999998</c:v>
                </c:pt>
                <c:pt idx="2">
                  <c:v>0.113029</c:v>
                </c:pt>
                <c:pt idx="3">
                  <c:v>0.150448</c:v>
                </c:pt>
                <c:pt idx="4">
                  <c:v>0.532003</c:v>
                </c:pt>
                <c:pt idx="5">
                  <c:v>0.24033299999999999</c:v>
                </c:pt>
                <c:pt idx="6">
                  <c:v>0</c:v>
                </c:pt>
                <c:pt idx="7">
                  <c:v>0</c:v>
                </c:pt>
                <c:pt idx="8">
                  <c:v>0.113577</c:v>
                </c:pt>
                <c:pt idx="9">
                  <c:v>3.0415000000000001E-2</c:v>
                </c:pt>
                <c:pt idx="10">
                  <c:v>5.2699000000000003E-2</c:v>
                </c:pt>
                <c:pt idx="11">
                  <c:v>0.14566100000000001</c:v>
                </c:pt>
                <c:pt idx="12">
                  <c:v>3.1150000000000001E-3</c:v>
                </c:pt>
                <c:pt idx="13">
                  <c:v>6.6819999999999996E-3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A1B-4600-9D30-E864FE4F34BE}"/>
            </c:ext>
          </c:extLst>
        </c:ser>
        <c:ser>
          <c:idx val="3"/>
          <c:order val="3"/>
          <c:tx>
            <c:v>2013</c:v>
          </c:tx>
          <c:spPr>
            <a:solidFill>
              <a:srgbClr val="FFC000"/>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'!$J$24:$J$37</c:f>
              <c:numCache>
                <c:formatCode>0.00000</c:formatCode>
                <c:ptCount val="14"/>
                <c:pt idx="0">
                  <c:v>0.21787400000000001</c:v>
                </c:pt>
                <c:pt idx="1">
                  <c:v>0.50888500000000003</c:v>
                </c:pt>
                <c:pt idx="2">
                  <c:v>9.7683999999999993E-2</c:v>
                </c:pt>
                <c:pt idx="3">
                  <c:v>0.16347600000000001</c:v>
                </c:pt>
                <c:pt idx="4">
                  <c:v>0.53061199999999997</c:v>
                </c:pt>
                <c:pt idx="5">
                  <c:v>0.28819899999999998</c:v>
                </c:pt>
                <c:pt idx="6">
                  <c:v>0</c:v>
                </c:pt>
                <c:pt idx="7">
                  <c:v>0</c:v>
                </c:pt>
                <c:pt idx="8">
                  <c:v>9.4705999999999999E-2</c:v>
                </c:pt>
                <c:pt idx="9">
                  <c:v>3.5697E-2</c:v>
                </c:pt>
                <c:pt idx="10">
                  <c:v>7.0422999999999999E-2</c:v>
                </c:pt>
                <c:pt idx="11">
                  <c:v>0.18004899999999999</c:v>
                </c:pt>
                <c:pt idx="12">
                  <c:v>1.353E-3</c:v>
                </c:pt>
                <c:pt idx="13">
                  <c:v>9.3270000000000002E-3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A1B-4600-9D30-E864FE4F34BE}"/>
            </c:ext>
          </c:extLst>
        </c:ser>
        <c:ser>
          <c:idx val="4"/>
          <c:order val="4"/>
          <c:tx>
            <c:v>2014</c:v>
          </c:tx>
          <c:spPr>
            <a:solidFill>
              <a:srgbClr val="5B9BD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'!$K$24:$K$37</c:f>
              <c:numCache>
                <c:formatCode>0.00000</c:formatCode>
                <c:ptCount val="14"/>
                <c:pt idx="0">
                  <c:v>0.19667299999999999</c:v>
                </c:pt>
                <c:pt idx="1">
                  <c:v>0.48731600000000003</c:v>
                </c:pt>
                <c:pt idx="2">
                  <c:v>7.0268999999999998E-2</c:v>
                </c:pt>
                <c:pt idx="3">
                  <c:v>0.13946700000000001</c:v>
                </c:pt>
                <c:pt idx="4">
                  <c:v>0.51839299999999999</c:v>
                </c:pt>
                <c:pt idx="5">
                  <c:v>0.387799</c:v>
                </c:pt>
                <c:pt idx="6">
                  <c:v>2.8290797925940001E-2</c:v>
                </c:pt>
                <c:pt idx="7">
                  <c:v>0</c:v>
                </c:pt>
                <c:pt idx="8">
                  <c:v>8.1821000000000005E-2</c:v>
                </c:pt>
                <c:pt idx="9">
                  <c:v>2.3299E-2</c:v>
                </c:pt>
                <c:pt idx="10">
                  <c:v>5.4781000000000003E-2</c:v>
                </c:pt>
                <c:pt idx="11">
                  <c:v>0.175841</c:v>
                </c:pt>
                <c:pt idx="12">
                  <c:v>9.8440000000000003E-3</c:v>
                </c:pt>
                <c:pt idx="13">
                  <c:v>6.8669999999999998E-3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A1B-4600-9D30-E864FE4F34BE}"/>
            </c:ext>
          </c:extLst>
        </c:ser>
        <c:ser>
          <c:idx val="5"/>
          <c:order val="5"/>
          <c:tx>
            <c:v>2015</c:v>
          </c:tx>
          <c:spPr>
            <a:solidFill>
              <a:srgbClr val="70AD47"/>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'!$L$24:$L$37</c:f>
              <c:numCache>
                <c:formatCode>0.00000</c:formatCode>
                <c:ptCount val="14"/>
                <c:pt idx="0">
                  <c:v>0.19553300000000001</c:v>
                </c:pt>
                <c:pt idx="1">
                  <c:v>0.53741000000000005</c:v>
                </c:pt>
                <c:pt idx="2">
                  <c:v>7.9743999999999995E-2</c:v>
                </c:pt>
                <c:pt idx="3">
                  <c:v>0.10455778184174712</c:v>
                </c:pt>
                <c:pt idx="4">
                  <c:v>0.57212300000000005</c:v>
                </c:pt>
                <c:pt idx="5">
                  <c:v>0.36940600000000001</c:v>
                </c:pt>
                <c:pt idx="6">
                  <c:v>2.3277033257341456E-2</c:v>
                </c:pt>
                <c:pt idx="7">
                  <c:v>1.1011083479568758E-2</c:v>
                </c:pt>
                <c:pt idx="8">
                  <c:v>7.9089999999999994E-2</c:v>
                </c:pt>
                <c:pt idx="9">
                  <c:v>2.2363999999999998E-2</c:v>
                </c:pt>
                <c:pt idx="10">
                  <c:v>5.1131000000000003E-2</c:v>
                </c:pt>
                <c:pt idx="11">
                  <c:v>0.175367</c:v>
                </c:pt>
                <c:pt idx="12">
                  <c:v>1.0361E-2</c:v>
                </c:pt>
                <c:pt idx="13">
                  <c:v>7.724E-3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A1B-4600-9D30-E864FE4F34BE}"/>
            </c:ext>
          </c:extLst>
        </c:ser>
        <c:ser>
          <c:idx val="6"/>
          <c:order val="6"/>
          <c:tx>
            <c:v>2016</c:v>
          </c:tx>
          <c:spPr>
            <a:solidFill>
              <a:srgbClr val="4472C4"/>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'!$M$24:$M$37</c:f>
              <c:numCache>
                <c:formatCode>0.00000</c:formatCode>
                <c:ptCount val="14"/>
                <c:pt idx="0">
                  <c:v>0.186222</c:v>
                </c:pt>
                <c:pt idx="1">
                  <c:v>0.55961700000000003</c:v>
                </c:pt>
                <c:pt idx="2">
                  <c:v>5.5898000000000003E-2</c:v>
                </c:pt>
                <c:pt idx="3">
                  <c:v>0.125587</c:v>
                </c:pt>
                <c:pt idx="4">
                  <c:v>0.42573699999999998</c:v>
                </c:pt>
                <c:pt idx="5">
                  <c:v>0.319602</c:v>
                </c:pt>
                <c:pt idx="6">
                  <c:v>2.7322836046693558E-2</c:v>
                </c:pt>
                <c:pt idx="7">
                  <c:v>6.8589586998662154E-3</c:v>
                </c:pt>
                <c:pt idx="8">
                  <c:v>6.2613000000000002E-2</c:v>
                </c:pt>
                <c:pt idx="9">
                  <c:v>2.6372E-2</c:v>
                </c:pt>
                <c:pt idx="10">
                  <c:v>5.1262000000000002E-2</c:v>
                </c:pt>
                <c:pt idx="11">
                  <c:v>0.149696</c:v>
                </c:pt>
                <c:pt idx="12">
                  <c:v>1.5758000000000001E-2</c:v>
                </c:pt>
                <c:pt idx="13">
                  <c:v>8.4539999999999997E-3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A1B-4600-9D30-E864FE4F34BE}"/>
            </c:ext>
          </c:extLst>
        </c:ser>
        <c:ser>
          <c:idx val="7"/>
          <c:order val="7"/>
          <c:tx>
            <c:v>2017</c:v>
          </c:tx>
          <c:spPr>
            <a:solidFill>
              <a:srgbClr val="ED7D31"/>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'!$N$24:$N$37</c:f>
              <c:numCache>
                <c:formatCode>0.00000</c:formatCode>
                <c:ptCount val="14"/>
                <c:pt idx="0">
                  <c:v>0.16697200000000001</c:v>
                </c:pt>
                <c:pt idx="1">
                  <c:v>0.57351600000000003</c:v>
                </c:pt>
                <c:pt idx="2">
                  <c:v>5.2713999999999997E-2</c:v>
                </c:pt>
                <c:pt idx="3">
                  <c:v>0.13494999999999999</c:v>
                </c:pt>
                <c:pt idx="4">
                  <c:v>0.48248200000000002</c:v>
                </c:pt>
                <c:pt idx="5">
                  <c:v>0.31388199999999999</c:v>
                </c:pt>
                <c:pt idx="6">
                  <c:v>2.854258061590375E-2</c:v>
                </c:pt>
                <c:pt idx="7">
                  <c:v>7.691335586589655E-3</c:v>
                </c:pt>
                <c:pt idx="8">
                  <c:v>7.3791999999999996E-2</c:v>
                </c:pt>
                <c:pt idx="9">
                  <c:v>1.8065000000000001E-2</c:v>
                </c:pt>
                <c:pt idx="10">
                  <c:v>4.9539E-2</c:v>
                </c:pt>
                <c:pt idx="11">
                  <c:v>0.17205699999999999</c:v>
                </c:pt>
                <c:pt idx="12">
                  <c:v>2.2173999999999999E-2</c:v>
                </c:pt>
                <c:pt idx="13">
                  <c:v>9.9860000000000001E-3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3A1B-4600-9D30-E864FE4F34BE}"/>
            </c:ext>
          </c:extLst>
        </c:ser>
        <c:ser>
          <c:idx val="8"/>
          <c:order val="8"/>
          <c:tx>
            <c:v>2018</c:v>
          </c:tx>
          <c:spPr>
            <a:solidFill>
              <a:srgbClr val="A5A5A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'!$O$24:$O$37</c:f>
              <c:numCache>
                <c:formatCode>0.00000</c:formatCode>
                <c:ptCount val="14"/>
                <c:pt idx="0">
                  <c:v>0.173706</c:v>
                </c:pt>
                <c:pt idx="1">
                  <c:v>0.57383300000000004</c:v>
                </c:pt>
                <c:pt idx="2">
                  <c:v>4.5851999999999997E-2</c:v>
                </c:pt>
                <c:pt idx="3">
                  <c:v>0.132771</c:v>
                </c:pt>
                <c:pt idx="4">
                  <c:v>0.46154699999999999</c:v>
                </c:pt>
                <c:pt idx="5">
                  <c:v>0.26776</c:v>
                </c:pt>
                <c:pt idx="6">
                  <c:v>2.3358380584547072E-2</c:v>
                </c:pt>
                <c:pt idx="7">
                  <c:v>6.376215061464699E-3</c:v>
                </c:pt>
                <c:pt idx="8">
                  <c:v>4.5637999999999998E-2</c:v>
                </c:pt>
                <c:pt idx="9">
                  <c:v>1.5675000000000001E-2</c:v>
                </c:pt>
                <c:pt idx="10">
                  <c:v>3.9402E-2</c:v>
                </c:pt>
                <c:pt idx="11">
                  <c:v>0.16350400000000001</c:v>
                </c:pt>
                <c:pt idx="12">
                  <c:v>2.2915999999999999E-2</c:v>
                </c:pt>
                <c:pt idx="13">
                  <c:v>7.5079999999999999E-3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3A1B-4600-9D30-E864FE4F34BE}"/>
            </c:ext>
          </c:extLst>
        </c:ser>
        <c:ser>
          <c:idx val="9"/>
          <c:order val="9"/>
          <c:tx>
            <c:v>2019</c:v>
          </c:tx>
          <c:spPr>
            <a:solidFill>
              <a:srgbClr val="FFC000"/>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'!$P$24:$P$37</c:f>
              <c:numCache>
                <c:formatCode>0.00000</c:formatCode>
                <c:ptCount val="14"/>
                <c:pt idx="0">
                  <c:v>0.19038099999999999</c:v>
                </c:pt>
                <c:pt idx="1">
                  <c:v>0.60195399999999999</c:v>
                </c:pt>
                <c:pt idx="2">
                  <c:v>4.8097000000000001E-2</c:v>
                </c:pt>
                <c:pt idx="3">
                  <c:v>0.14411599999999999</c:v>
                </c:pt>
                <c:pt idx="4">
                  <c:v>0.40525899999999998</c:v>
                </c:pt>
                <c:pt idx="5">
                  <c:v>0.24657399999999999</c:v>
                </c:pt>
                <c:pt idx="6">
                  <c:v>2.7960008202566927E-2</c:v>
                </c:pt>
                <c:pt idx="7">
                  <c:v>5.2425295496718273E-3</c:v>
                </c:pt>
                <c:pt idx="8">
                  <c:v>4.7366999999999999E-2</c:v>
                </c:pt>
                <c:pt idx="9">
                  <c:v>1.5810000000000001E-2</c:v>
                </c:pt>
                <c:pt idx="10">
                  <c:v>3.5994999999999999E-2</c:v>
                </c:pt>
                <c:pt idx="11">
                  <c:v>0.195711</c:v>
                </c:pt>
                <c:pt idx="12">
                  <c:v>1.8966E-2</c:v>
                </c:pt>
                <c:pt idx="13">
                  <c:v>9.3159999999999996E-3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3A1B-4600-9D30-E864FE4F34BE}"/>
            </c:ext>
          </c:extLst>
        </c:ser>
        <c:ser>
          <c:idx val="10"/>
          <c:order val="10"/>
          <c:tx>
            <c:v>2020</c:v>
          </c:tx>
          <c:spPr>
            <a:solidFill>
              <a:srgbClr val="5B9BD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'!$Q$24:$Q$37</c:f>
              <c:numCache>
                <c:formatCode>0.00000</c:formatCode>
                <c:ptCount val="14"/>
                <c:pt idx="0">
                  <c:v>0.16508</c:v>
                </c:pt>
                <c:pt idx="1">
                  <c:v>0.59057899999999997</c:v>
                </c:pt>
                <c:pt idx="2">
                  <c:v>3.4789E-2</c:v>
                </c:pt>
                <c:pt idx="3">
                  <c:v>0.15798599999999999</c:v>
                </c:pt>
                <c:pt idx="4">
                  <c:v>0.44468099999999999</c:v>
                </c:pt>
                <c:pt idx="5">
                  <c:v>0.25685400000000003</c:v>
                </c:pt>
                <c:pt idx="6">
                  <c:v>2.0921872758601575E-2</c:v>
                </c:pt>
                <c:pt idx="7">
                  <c:v>7.438902636199618E-3</c:v>
                </c:pt>
                <c:pt idx="8">
                  <c:v>4.1949E-2</c:v>
                </c:pt>
                <c:pt idx="9">
                  <c:v>2.3879000000000001E-2</c:v>
                </c:pt>
                <c:pt idx="10">
                  <c:v>3.6186000000000003E-2</c:v>
                </c:pt>
                <c:pt idx="11">
                  <c:v>0.186835</c:v>
                </c:pt>
                <c:pt idx="12">
                  <c:v>1.7247999999999999E-2</c:v>
                </c:pt>
                <c:pt idx="13">
                  <c:v>5.2180000000000004E-3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3A1B-4600-9D30-E864FE4F34BE}"/>
            </c:ext>
          </c:extLst>
        </c:ser>
        <c:ser>
          <c:idx val="11"/>
          <c:order val="11"/>
          <c:tx>
            <c:v>2021</c:v>
          </c:tx>
          <c:spPr>
            <a:solidFill>
              <a:srgbClr val="70AD47"/>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'!$R$24:$R$37</c:f>
              <c:numCache>
                <c:formatCode>0.00000</c:formatCode>
                <c:ptCount val="14"/>
                <c:pt idx="0">
                  <c:v>0.16789299999999999</c:v>
                </c:pt>
                <c:pt idx="1">
                  <c:v>0.62696200000000002</c:v>
                </c:pt>
                <c:pt idx="2">
                  <c:v>3.4930999999999997E-2</c:v>
                </c:pt>
                <c:pt idx="3">
                  <c:v>0.15176400000000001</c:v>
                </c:pt>
                <c:pt idx="4">
                  <c:v>0.45371800000000001</c:v>
                </c:pt>
                <c:pt idx="5">
                  <c:v>0.225575</c:v>
                </c:pt>
                <c:pt idx="6">
                  <c:v>1.8807754924945446E-2</c:v>
                </c:pt>
                <c:pt idx="7">
                  <c:v>4.3327007360931232E-3</c:v>
                </c:pt>
                <c:pt idx="8">
                  <c:v>5.9409999999999998E-2</c:v>
                </c:pt>
                <c:pt idx="9">
                  <c:v>1.9668999999999999E-2</c:v>
                </c:pt>
                <c:pt idx="10">
                  <c:v>3.9580999999999998E-2</c:v>
                </c:pt>
                <c:pt idx="11">
                  <c:v>0.17084299999999999</c:v>
                </c:pt>
                <c:pt idx="12">
                  <c:v>1.3710999999999999E-2</c:v>
                </c:pt>
                <c:pt idx="13">
                  <c:v>7.4640000000000001E-3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3A1B-4600-9D30-E864FE4F34BE}"/>
            </c:ext>
          </c:extLst>
        </c:ser>
        <c:dLbls>
          <c:showLegendKey val="0"/>
          <c:showVal val="0"/>
          <c:showCatName val="0"/>
          <c:showSerName val="0"/>
          <c:showPercent val="0"/>
          <c:showBubbleSize val="0"/>
        </c:dLbls>
        <c:gapWidth val="150"/>
        <c:axId val="615099722"/>
        <c:axId val="103839907"/>
      </c:barChart>
      <c:catAx>
        <c:axId val="61509972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03839907"/>
        <c:crosses val="autoZero"/>
        <c:auto val="1"/>
        <c:lblAlgn val="ctr"/>
        <c:lblOffset val="100"/>
        <c:noMultiLvlLbl val="1"/>
      </c:catAx>
      <c:valAx>
        <c:axId val="103839907"/>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cultivos sembrados [Mha]</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615099722"/>
        <c:crosses val="autoZero"/>
        <c:crossBetween val="between"/>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'!$G$58:$G$71</c:f>
              <c:numCache>
                <c:formatCode>0.00000</c:formatCode>
                <c:ptCount val="14"/>
                <c:pt idx="0">
                  <c:v>0.21564700000000001</c:v>
                </c:pt>
                <c:pt idx="1">
                  <c:v>0.36002499999999998</c:v>
                </c:pt>
                <c:pt idx="2">
                  <c:v>0.144931</c:v>
                </c:pt>
                <c:pt idx="3">
                  <c:v>0.106928</c:v>
                </c:pt>
                <c:pt idx="4">
                  <c:v>0.44034600000000002</c:v>
                </c:pt>
                <c:pt idx="5">
                  <c:v>0.19350200000000001</c:v>
                </c:pt>
                <c:pt idx="6">
                  <c:v>0</c:v>
                </c:pt>
                <c:pt idx="7">
                  <c:v>0</c:v>
                </c:pt>
                <c:pt idx="8">
                  <c:v>0.103211</c:v>
                </c:pt>
                <c:pt idx="9">
                  <c:v>3.4907000000000001E-2</c:v>
                </c:pt>
                <c:pt idx="10">
                  <c:v>6.1058000000000001E-2</c:v>
                </c:pt>
                <c:pt idx="11">
                  <c:v>0.15514800000000001</c:v>
                </c:pt>
                <c:pt idx="12">
                  <c:v>2.6640000000000001E-3</c:v>
                </c:pt>
                <c:pt idx="13">
                  <c:v>5.411E-3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27-48A2-8075-DEED1A0D9266}"/>
            </c:ext>
          </c:extLst>
        </c:ser>
        <c:ser>
          <c:idx val="1"/>
          <c:order val="1"/>
          <c:tx>
            <c:v>2011</c:v>
          </c:tx>
          <c:spPr>
            <a:solidFill>
              <a:srgbClr val="ED7D31"/>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'!$H$58:$H$71</c:f>
              <c:numCache>
                <c:formatCode>0.00000</c:formatCode>
                <c:ptCount val="14"/>
                <c:pt idx="0">
                  <c:v>0.191973</c:v>
                </c:pt>
                <c:pt idx="1">
                  <c:v>0.39946700000000002</c:v>
                </c:pt>
                <c:pt idx="2">
                  <c:v>9.8347000000000004E-2</c:v>
                </c:pt>
                <c:pt idx="3">
                  <c:v>8.6455000000000004E-2</c:v>
                </c:pt>
                <c:pt idx="4">
                  <c:v>0.57778399999999996</c:v>
                </c:pt>
                <c:pt idx="5">
                  <c:v>0.202651</c:v>
                </c:pt>
                <c:pt idx="6">
                  <c:v>0</c:v>
                </c:pt>
                <c:pt idx="7">
                  <c:v>0</c:v>
                </c:pt>
                <c:pt idx="8">
                  <c:v>0.14308699999999999</c:v>
                </c:pt>
                <c:pt idx="9">
                  <c:v>3.5226E-2</c:v>
                </c:pt>
                <c:pt idx="10">
                  <c:v>6.1837000000000003E-2</c:v>
                </c:pt>
                <c:pt idx="11">
                  <c:v>0.150426</c:v>
                </c:pt>
                <c:pt idx="12">
                  <c:v>1.583E-3</c:v>
                </c:pt>
                <c:pt idx="13">
                  <c:v>5.8230000000000001E-3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27-48A2-8075-DEED1A0D9266}"/>
            </c:ext>
          </c:extLst>
        </c:ser>
        <c:ser>
          <c:idx val="2"/>
          <c:order val="2"/>
          <c:tx>
            <c:v>2012</c:v>
          </c:tx>
          <c:spPr>
            <a:solidFill>
              <a:srgbClr val="A5A5A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'!$I$58:$I$71</c:f>
              <c:numCache>
                <c:formatCode>0.00000</c:formatCode>
                <c:ptCount val="14"/>
                <c:pt idx="0">
                  <c:v>0.210894</c:v>
                </c:pt>
                <c:pt idx="1">
                  <c:v>0.39017600000000002</c:v>
                </c:pt>
                <c:pt idx="2">
                  <c:v>7.8710000000000002E-2</c:v>
                </c:pt>
                <c:pt idx="3">
                  <c:v>9.5239000000000004E-2</c:v>
                </c:pt>
                <c:pt idx="4">
                  <c:v>0.48658000000000001</c:v>
                </c:pt>
                <c:pt idx="5">
                  <c:v>0.198578</c:v>
                </c:pt>
                <c:pt idx="6">
                  <c:v>0</c:v>
                </c:pt>
                <c:pt idx="7">
                  <c:v>0</c:v>
                </c:pt>
                <c:pt idx="8">
                  <c:v>0.104271</c:v>
                </c:pt>
                <c:pt idx="9">
                  <c:v>2.9336000000000001E-2</c:v>
                </c:pt>
                <c:pt idx="10">
                  <c:v>4.9937000000000002E-2</c:v>
                </c:pt>
                <c:pt idx="11">
                  <c:v>0.119044</c:v>
                </c:pt>
                <c:pt idx="12">
                  <c:v>3.0769999999999999E-3</c:v>
                </c:pt>
                <c:pt idx="13">
                  <c:v>6.293E-3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27-48A2-8075-DEED1A0D9266}"/>
            </c:ext>
          </c:extLst>
        </c:ser>
        <c:ser>
          <c:idx val="3"/>
          <c:order val="3"/>
          <c:tx>
            <c:v>2013</c:v>
          </c:tx>
          <c:spPr>
            <a:solidFill>
              <a:srgbClr val="FFC000"/>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'!$J$58:$J$71</c:f>
              <c:numCache>
                <c:formatCode>0.00000</c:formatCode>
                <c:ptCount val="14"/>
                <c:pt idx="0">
                  <c:v>0.18865799999999999</c:v>
                </c:pt>
                <c:pt idx="1">
                  <c:v>0.40243400000000001</c:v>
                </c:pt>
                <c:pt idx="2">
                  <c:v>6.1627000000000001E-2</c:v>
                </c:pt>
                <c:pt idx="3">
                  <c:v>0.101066</c:v>
                </c:pt>
                <c:pt idx="4">
                  <c:v>0.49665199999999998</c:v>
                </c:pt>
                <c:pt idx="5">
                  <c:v>0.218833</c:v>
                </c:pt>
                <c:pt idx="6">
                  <c:v>0</c:v>
                </c:pt>
                <c:pt idx="7">
                  <c:v>0</c:v>
                </c:pt>
                <c:pt idx="8">
                  <c:v>7.9622999999999999E-2</c:v>
                </c:pt>
                <c:pt idx="9">
                  <c:v>3.4471000000000002E-2</c:v>
                </c:pt>
                <c:pt idx="10">
                  <c:v>6.5528000000000003E-2</c:v>
                </c:pt>
                <c:pt idx="11">
                  <c:v>0.14585300000000001</c:v>
                </c:pt>
                <c:pt idx="12">
                  <c:v>1.325E-3</c:v>
                </c:pt>
                <c:pt idx="13">
                  <c:v>9.2020000000000001E-3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427-48A2-8075-DEED1A0D9266}"/>
            </c:ext>
          </c:extLst>
        </c:ser>
        <c:ser>
          <c:idx val="4"/>
          <c:order val="4"/>
          <c:tx>
            <c:v>2014</c:v>
          </c:tx>
          <c:spPr>
            <a:solidFill>
              <a:srgbClr val="5B9BD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'!$K$58:$K$71</c:f>
              <c:numCache>
                <c:formatCode>0.00000</c:formatCode>
                <c:ptCount val="14"/>
                <c:pt idx="0">
                  <c:v>0.186225</c:v>
                </c:pt>
                <c:pt idx="1">
                  <c:v>0.372637</c:v>
                </c:pt>
                <c:pt idx="2">
                  <c:v>3.5483000000000001E-2</c:v>
                </c:pt>
                <c:pt idx="3">
                  <c:v>9.6892000000000006E-2</c:v>
                </c:pt>
                <c:pt idx="4">
                  <c:v>0.48569600000000002</c:v>
                </c:pt>
                <c:pt idx="5">
                  <c:v>0.272011</c:v>
                </c:pt>
                <c:pt idx="6">
                  <c:v>2.6516999999999999E-2</c:v>
                </c:pt>
                <c:pt idx="7">
                  <c:v>0</c:v>
                </c:pt>
                <c:pt idx="8">
                  <c:v>7.1840000000000001E-2</c:v>
                </c:pt>
                <c:pt idx="9">
                  <c:v>2.1770000000000001E-2</c:v>
                </c:pt>
                <c:pt idx="10">
                  <c:v>5.1978000000000003E-2</c:v>
                </c:pt>
                <c:pt idx="11">
                  <c:v>0.15920799999999999</c:v>
                </c:pt>
                <c:pt idx="12">
                  <c:v>9.6699999999999998E-3</c:v>
                </c:pt>
                <c:pt idx="13">
                  <c:v>6.731E-3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427-48A2-8075-DEED1A0D9266}"/>
            </c:ext>
          </c:extLst>
        </c:ser>
        <c:ser>
          <c:idx val="5"/>
          <c:order val="5"/>
          <c:tx>
            <c:v>2015</c:v>
          </c:tx>
          <c:spPr>
            <a:solidFill>
              <a:srgbClr val="70AD47"/>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'!$L$58:$L$71</c:f>
              <c:numCache>
                <c:formatCode>0.00000</c:formatCode>
                <c:ptCount val="14"/>
                <c:pt idx="0">
                  <c:v>0.18548899999999999</c:v>
                </c:pt>
                <c:pt idx="1">
                  <c:v>0.43209399999999998</c:v>
                </c:pt>
                <c:pt idx="2">
                  <c:v>4.4026999999999997E-2</c:v>
                </c:pt>
                <c:pt idx="3">
                  <c:v>0.102616</c:v>
                </c:pt>
                <c:pt idx="4">
                  <c:v>0.53329000000000004</c:v>
                </c:pt>
                <c:pt idx="5">
                  <c:v>0.29034300000000002</c:v>
                </c:pt>
                <c:pt idx="6">
                  <c:v>2.2492999999999999E-2</c:v>
                </c:pt>
                <c:pt idx="7">
                  <c:v>1.0472114714214914E-2</c:v>
                </c:pt>
                <c:pt idx="8">
                  <c:v>6.7872000000000002E-2</c:v>
                </c:pt>
                <c:pt idx="9">
                  <c:v>2.0313000000000001E-2</c:v>
                </c:pt>
                <c:pt idx="10">
                  <c:v>4.7606999999999997E-2</c:v>
                </c:pt>
                <c:pt idx="11">
                  <c:v>0.16367200000000001</c:v>
                </c:pt>
                <c:pt idx="12">
                  <c:v>9.9514822792642933E-3</c:v>
                </c:pt>
                <c:pt idx="13">
                  <c:v>7.6280000000000002E-3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427-48A2-8075-DEED1A0D9266}"/>
            </c:ext>
          </c:extLst>
        </c:ser>
        <c:ser>
          <c:idx val="6"/>
          <c:order val="6"/>
          <c:tx>
            <c:v>2016</c:v>
          </c:tx>
          <c:spPr>
            <a:solidFill>
              <a:srgbClr val="4472C4"/>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'!$M$58:$M$71</c:f>
              <c:numCache>
                <c:formatCode>0.00000</c:formatCode>
                <c:ptCount val="14"/>
                <c:pt idx="0">
                  <c:v>0.180337</c:v>
                </c:pt>
                <c:pt idx="1">
                  <c:v>0.45425700000000002</c:v>
                </c:pt>
                <c:pt idx="2">
                  <c:v>2.9871999999999999E-2</c:v>
                </c:pt>
                <c:pt idx="3">
                  <c:v>0.104661</c:v>
                </c:pt>
                <c:pt idx="4">
                  <c:v>0.37833499999999998</c:v>
                </c:pt>
                <c:pt idx="5">
                  <c:v>0.26383899999999999</c:v>
                </c:pt>
                <c:pt idx="6">
                  <c:v>2.6280000000000001E-2</c:v>
                </c:pt>
                <c:pt idx="7">
                  <c:v>6.6956319092416824E-3</c:v>
                </c:pt>
                <c:pt idx="8">
                  <c:v>6.0317000000000003E-2</c:v>
                </c:pt>
                <c:pt idx="9">
                  <c:v>2.3958E-2</c:v>
                </c:pt>
                <c:pt idx="10">
                  <c:v>4.768E-2</c:v>
                </c:pt>
                <c:pt idx="11">
                  <c:v>0.16233700000000001</c:v>
                </c:pt>
                <c:pt idx="12">
                  <c:v>1.5220368090758319E-2</c:v>
                </c:pt>
                <c:pt idx="13">
                  <c:v>8.352E-3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427-48A2-8075-DEED1A0D9266}"/>
            </c:ext>
          </c:extLst>
        </c:ser>
        <c:ser>
          <c:idx val="7"/>
          <c:order val="7"/>
          <c:tx>
            <c:v>2017</c:v>
          </c:tx>
          <c:spPr>
            <a:solidFill>
              <a:srgbClr val="ED7D31"/>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'!$N$58:$N$71</c:f>
              <c:numCache>
                <c:formatCode>0.00000</c:formatCode>
                <c:ptCount val="14"/>
                <c:pt idx="0">
                  <c:v>0.158057</c:v>
                </c:pt>
                <c:pt idx="1">
                  <c:v>0.46732699999999999</c:v>
                </c:pt>
                <c:pt idx="2">
                  <c:v>3.7260000000000001E-2</c:v>
                </c:pt>
                <c:pt idx="3">
                  <c:v>0.127081</c:v>
                </c:pt>
                <c:pt idx="4">
                  <c:v>0.44462299999999999</c:v>
                </c:pt>
                <c:pt idx="5">
                  <c:v>0.26029200000000002</c:v>
                </c:pt>
                <c:pt idx="6">
                  <c:v>2.8021000000000001E-2</c:v>
                </c:pt>
                <c:pt idx="7">
                  <c:v>7.3352687453287057E-3</c:v>
                </c:pt>
                <c:pt idx="8">
                  <c:v>7.0583000000000007E-2</c:v>
                </c:pt>
                <c:pt idx="9">
                  <c:v>1.6580999999999999E-2</c:v>
                </c:pt>
                <c:pt idx="10">
                  <c:v>4.6607000000000003E-2</c:v>
                </c:pt>
                <c:pt idx="11">
                  <c:v>0.16895299999999999</c:v>
                </c:pt>
                <c:pt idx="12">
                  <c:v>2.1834731254671294E-2</c:v>
                </c:pt>
                <c:pt idx="13">
                  <c:v>8.848E-3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C427-48A2-8075-DEED1A0D9266}"/>
            </c:ext>
          </c:extLst>
        </c:ser>
        <c:ser>
          <c:idx val="8"/>
          <c:order val="8"/>
          <c:tx>
            <c:v>2018</c:v>
          </c:tx>
          <c:spPr>
            <a:solidFill>
              <a:srgbClr val="A5A5A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'!$O$58:$O$71</c:f>
              <c:numCache>
                <c:formatCode>0.00000</c:formatCode>
                <c:ptCount val="14"/>
                <c:pt idx="0">
                  <c:v>0.161583</c:v>
                </c:pt>
                <c:pt idx="1">
                  <c:v>0.50195000000000001</c:v>
                </c:pt>
                <c:pt idx="2">
                  <c:v>3.1924000000000001E-2</c:v>
                </c:pt>
                <c:pt idx="3">
                  <c:v>0.11532100000000001</c:v>
                </c:pt>
                <c:pt idx="4">
                  <c:v>0.43539099999999997</c:v>
                </c:pt>
                <c:pt idx="5">
                  <c:v>0.22396199999999999</c:v>
                </c:pt>
                <c:pt idx="6">
                  <c:v>2.3133999999999998E-2</c:v>
                </c:pt>
                <c:pt idx="7">
                  <c:v>6.0070091686241995E-3</c:v>
                </c:pt>
                <c:pt idx="8">
                  <c:v>4.3719000000000001E-2</c:v>
                </c:pt>
                <c:pt idx="9">
                  <c:v>1.4676E-2</c:v>
                </c:pt>
                <c:pt idx="10">
                  <c:v>3.4855999999999998E-2</c:v>
                </c:pt>
                <c:pt idx="11">
                  <c:v>0.16888900000000001</c:v>
                </c:pt>
                <c:pt idx="12">
                  <c:v>2.2317990831375797E-2</c:v>
                </c:pt>
                <c:pt idx="13">
                  <c:v>6.96E-3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C427-48A2-8075-DEED1A0D9266}"/>
            </c:ext>
          </c:extLst>
        </c:ser>
        <c:ser>
          <c:idx val="9"/>
          <c:order val="9"/>
          <c:tx>
            <c:v>2019</c:v>
          </c:tx>
          <c:spPr>
            <a:solidFill>
              <a:srgbClr val="FFC000"/>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'!$P$58:$P$71</c:f>
              <c:numCache>
                <c:formatCode>0.00000</c:formatCode>
                <c:ptCount val="14"/>
                <c:pt idx="0">
                  <c:v>0.18334700000000001</c:v>
                </c:pt>
                <c:pt idx="1">
                  <c:v>0.52543499999999999</c:v>
                </c:pt>
                <c:pt idx="2">
                  <c:v>3.6047000000000003E-2</c:v>
                </c:pt>
                <c:pt idx="3">
                  <c:v>0.13733699999999999</c:v>
                </c:pt>
                <c:pt idx="4">
                  <c:v>0.38883800000000002</c:v>
                </c:pt>
                <c:pt idx="5">
                  <c:v>0.200908</c:v>
                </c:pt>
                <c:pt idx="6">
                  <c:v>2.7019999999999999E-2</c:v>
                </c:pt>
                <c:pt idx="7">
                  <c:v>5.2425295496718273E-3</c:v>
                </c:pt>
                <c:pt idx="8">
                  <c:v>5.2714999999999998E-2</c:v>
                </c:pt>
                <c:pt idx="9">
                  <c:v>1.4841999999999999E-2</c:v>
                </c:pt>
                <c:pt idx="10">
                  <c:v>3.3276E-2</c:v>
                </c:pt>
                <c:pt idx="11">
                  <c:v>0.200348</c:v>
                </c:pt>
                <c:pt idx="12">
                  <c:v>1.8864470450328172E-2</c:v>
                </c:pt>
                <c:pt idx="13">
                  <c:v>8.6180000000000007E-3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C427-48A2-8075-DEED1A0D9266}"/>
            </c:ext>
          </c:extLst>
        </c:ser>
        <c:ser>
          <c:idx val="10"/>
          <c:order val="10"/>
          <c:tx>
            <c:v>2020</c:v>
          </c:tx>
          <c:spPr>
            <a:solidFill>
              <a:srgbClr val="5B9BD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'!$Q$58:$Q$71</c:f>
              <c:numCache>
                <c:formatCode>0.00000</c:formatCode>
                <c:ptCount val="14"/>
                <c:pt idx="0">
                  <c:v>0.16063</c:v>
                </c:pt>
                <c:pt idx="1">
                  <c:v>0.52734700000000001</c:v>
                </c:pt>
                <c:pt idx="2">
                  <c:v>2.6908999999999999E-2</c:v>
                </c:pt>
                <c:pt idx="3">
                  <c:v>0.15320700000000001</c:v>
                </c:pt>
                <c:pt idx="4">
                  <c:v>0.41523500000000002</c:v>
                </c:pt>
                <c:pt idx="5">
                  <c:v>0.188469</c:v>
                </c:pt>
                <c:pt idx="6">
                  <c:v>1.9682000000000002E-2</c:v>
                </c:pt>
                <c:pt idx="7">
                  <c:v>5.4959927723928778E-3</c:v>
                </c:pt>
                <c:pt idx="8">
                  <c:v>4.4457000000000003E-2</c:v>
                </c:pt>
                <c:pt idx="9">
                  <c:v>2.3120000000000002E-2</c:v>
                </c:pt>
                <c:pt idx="10">
                  <c:v>3.9843999999999997E-2</c:v>
                </c:pt>
                <c:pt idx="11">
                  <c:v>0.19196933089279877</c:v>
                </c:pt>
                <c:pt idx="12">
                  <c:v>1.6995821880195612E-2</c:v>
                </c:pt>
                <c:pt idx="13">
                  <c:v>4.9300000000000004E-3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C427-48A2-8075-DEED1A0D9266}"/>
            </c:ext>
          </c:extLst>
        </c:ser>
        <c:ser>
          <c:idx val="11"/>
          <c:order val="11"/>
          <c:tx>
            <c:v>2021</c:v>
          </c:tx>
          <c:spPr>
            <a:solidFill>
              <a:srgbClr val="70AD47"/>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'!$R$58:$R$71</c:f>
              <c:numCache>
                <c:formatCode>0.00000</c:formatCode>
                <c:ptCount val="14"/>
                <c:pt idx="0">
                  <c:v>0.16408500000000001</c:v>
                </c:pt>
                <c:pt idx="1">
                  <c:v>0.543547</c:v>
                </c:pt>
                <c:pt idx="2">
                  <c:v>2.9481E-2</c:v>
                </c:pt>
                <c:pt idx="3">
                  <c:v>0.15018899999999999</c:v>
                </c:pt>
                <c:pt idx="4">
                  <c:v>0.43940000000000001</c:v>
                </c:pt>
                <c:pt idx="5">
                  <c:v>0.152529</c:v>
                </c:pt>
                <c:pt idx="6">
                  <c:v>1.8807000000000001E-2</c:v>
                </c:pt>
                <c:pt idx="7">
                  <c:v>4.2527158461846491E-3</c:v>
                </c:pt>
                <c:pt idx="8">
                  <c:v>6.2112000000000001E-2</c:v>
                </c:pt>
                <c:pt idx="9">
                  <c:v>1.8134999999999998E-2</c:v>
                </c:pt>
                <c:pt idx="10">
                  <c:v>3.6563999999999999E-2</c:v>
                </c:pt>
                <c:pt idx="11">
                  <c:v>0.18218500000000001</c:v>
                </c:pt>
                <c:pt idx="12">
                  <c:v>1.3486945735989684E-2</c:v>
                </c:pt>
                <c:pt idx="13">
                  <c:v>6.9629999999999996E-3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C427-48A2-8075-DEED1A0D9266}"/>
            </c:ext>
          </c:extLst>
        </c:ser>
        <c:dLbls>
          <c:showLegendKey val="0"/>
          <c:showVal val="0"/>
          <c:showCatName val="0"/>
          <c:showSerName val="0"/>
          <c:showPercent val="0"/>
          <c:showBubbleSize val="0"/>
        </c:dLbls>
        <c:gapWidth val="150"/>
        <c:axId val="1096056980"/>
        <c:axId val="1000980300"/>
      </c:barChart>
      <c:catAx>
        <c:axId val="109605698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000980300"/>
        <c:crosses val="autoZero"/>
        <c:auto val="1"/>
        <c:lblAlgn val="ctr"/>
        <c:lblOffset val="100"/>
        <c:noMultiLvlLbl val="1"/>
      </c:catAx>
      <c:valAx>
        <c:axId val="100098030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cultivos cosechados [Mha]
</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096056980"/>
        <c:crosses val="autoZero"/>
        <c:crossBetween val="between"/>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'!$G$97:$G$110</c:f>
              <c:numCache>
                <c:formatCode>0.00000</c:formatCode>
                <c:ptCount val="14"/>
                <c:pt idx="0">
                  <c:v>7.9310600000000004</c:v>
                </c:pt>
                <c:pt idx="1">
                  <c:v>0.1321</c:v>
                </c:pt>
                <c:pt idx="2">
                  <c:v>3.1347E-2</c:v>
                </c:pt>
                <c:pt idx="3">
                  <c:v>8.3471820000000001</c:v>
                </c:pt>
                <c:pt idx="4">
                  <c:v>0.98409599999999997</c:v>
                </c:pt>
                <c:pt idx="5">
                  <c:v>2.8504649999999998</c:v>
                </c:pt>
                <c:pt idx="6">
                  <c:v>0</c:v>
                </c:pt>
                <c:pt idx="7">
                  <c:v>0</c:v>
                </c:pt>
                <c:pt idx="8">
                  <c:v>5.8132999999999997E-2</c:v>
                </c:pt>
                <c:pt idx="9">
                  <c:v>2.6338E-2</c:v>
                </c:pt>
                <c:pt idx="10">
                  <c:v>0.44065599999999999</c:v>
                </c:pt>
                <c:pt idx="11">
                  <c:v>0.73556299999999997</c:v>
                </c:pt>
                <c:pt idx="12">
                  <c:v>5.3518000000000003E-2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34-450F-8F67-2112FAB03AAB}"/>
            </c:ext>
          </c:extLst>
        </c:ser>
        <c:ser>
          <c:idx val="1"/>
          <c:order val="1"/>
          <c:tx>
            <c:v>2011</c:v>
          </c:tx>
          <c:spPr>
            <a:solidFill>
              <a:srgbClr val="ED7D31"/>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'!$H$97:$H$110</c:f>
              <c:numCache>
                <c:formatCode>0.00000</c:formatCode>
                <c:ptCount val="14"/>
                <c:pt idx="0">
                  <c:v>7.4277759999999997</c:v>
                </c:pt>
                <c:pt idx="1">
                  <c:v>0.224163</c:v>
                </c:pt>
                <c:pt idx="2">
                  <c:v>2.3828999999999999E-2</c:v>
                </c:pt>
                <c:pt idx="3">
                  <c:v>8.1318190000000001</c:v>
                </c:pt>
                <c:pt idx="4">
                  <c:v>0.96326199999999995</c:v>
                </c:pt>
                <c:pt idx="5">
                  <c:v>2.097356</c:v>
                </c:pt>
                <c:pt idx="6">
                  <c:v>0</c:v>
                </c:pt>
                <c:pt idx="7">
                  <c:v>0</c:v>
                </c:pt>
                <c:pt idx="8">
                  <c:v>6.8071999999999994E-2</c:v>
                </c:pt>
                <c:pt idx="9">
                  <c:v>3.0641000000000002E-2</c:v>
                </c:pt>
                <c:pt idx="10">
                  <c:v>0.39071899999999998</c:v>
                </c:pt>
                <c:pt idx="11">
                  <c:v>0.73005299999999995</c:v>
                </c:pt>
                <c:pt idx="12">
                  <c:v>3.6221000000000003E-2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134-450F-8F67-2112FAB03AAB}"/>
            </c:ext>
          </c:extLst>
        </c:ser>
        <c:ser>
          <c:idx val="2"/>
          <c:order val="2"/>
          <c:tx>
            <c:v>2012</c:v>
          </c:tx>
          <c:spPr>
            <a:solidFill>
              <a:srgbClr val="A5A5A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'!$I$97:$I$110</c:f>
              <c:numCache>
                <c:formatCode>0.00000</c:formatCode>
                <c:ptCount val="14"/>
                <c:pt idx="0">
                  <c:v>7.0122439999999999</c:v>
                </c:pt>
                <c:pt idx="1">
                  <c:v>0.133323</c:v>
                </c:pt>
                <c:pt idx="2">
                  <c:v>7.3400000000000002E-3</c:v>
                </c:pt>
                <c:pt idx="3">
                  <c:v>7.3789220000000002</c:v>
                </c:pt>
                <c:pt idx="4">
                  <c:v>1.3295319999999999</c:v>
                </c:pt>
                <c:pt idx="5">
                  <c:v>2.649051</c:v>
                </c:pt>
                <c:pt idx="6">
                  <c:v>0</c:v>
                </c:pt>
                <c:pt idx="7">
                  <c:v>0</c:v>
                </c:pt>
                <c:pt idx="8">
                  <c:v>4.5975000000000002E-2</c:v>
                </c:pt>
                <c:pt idx="9">
                  <c:v>1.8412000000000001E-2</c:v>
                </c:pt>
                <c:pt idx="10">
                  <c:v>0.35604599999999997</c:v>
                </c:pt>
                <c:pt idx="11">
                  <c:v>0.697183</c:v>
                </c:pt>
                <c:pt idx="12">
                  <c:v>6.2955999999999998E-2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134-450F-8F67-2112FAB03AAB}"/>
            </c:ext>
          </c:extLst>
        </c:ser>
        <c:ser>
          <c:idx val="3"/>
          <c:order val="3"/>
          <c:tx>
            <c:v>2013</c:v>
          </c:tx>
          <c:spPr>
            <a:solidFill>
              <a:srgbClr val="FFC000"/>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'!$J$97:$J$110</c:f>
              <c:numCache>
                <c:formatCode>0.00000</c:formatCode>
                <c:ptCount val="14"/>
                <c:pt idx="0">
                  <c:v>5.9955270000000001</c:v>
                </c:pt>
                <c:pt idx="1">
                  <c:v>0.128446</c:v>
                </c:pt>
                <c:pt idx="2">
                  <c:v>7.7590000000000003E-3</c:v>
                </c:pt>
                <c:pt idx="3">
                  <c:v>7.1582650000000001</c:v>
                </c:pt>
                <c:pt idx="4">
                  <c:v>1.177181</c:v>
                </c:pt>
                <c:pt idx="5">
                  <c:v>2.3168380000000002</c:v>
                </c:pt>
                <c:pt idx="6">
                  <c:v>0</c:v>
                </c:pt>
                <c:pt idx="7">
                  <c:v>0</c:v>
                </c:pt>
                <c:pt idx="8">
                  <c:v>3.7544000000000001E-2</c:v>
                </c:pt>
                <c:pt idx="9">
                  <c:v>2.6908999999999999E-2</c:v>
                </c:pt>
                <c:pt idx="10">
                  <c:v>0.39169100000000001</c:v>
                </c:pt>
                <c:pt idx="11">
                  <c:v>0.68196599999999996</c:v>
                </c:pt>
                <c:pt idx="12">
                  <c:v>1.3121000000000001E-2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134-450F-8F67-2112FAB03AAB}"/>
            </c:ext>
          </c:extLst>
        </c:ser>
        <c:ser>
          <c:idx val="4"/>
          <c:order val="4"/>
          <c:tx>
            <c:v>2014</c:v>
          </c:tx>
          <c:spPr>
            <a:solidFill>
              <a:srgbClr val="5B9BD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'!$K$97:$K$110</c:f>
              <c:numCache>
                <c:formatCode>0.00000</c:formatCode>
                <c:ptCount val="14"/>
                <c:pt idx="0">
                  <c:v>6.9073760000000002</c:v>
                </c:pt>
                <c:pt idx="1">
                  <c:v>0.15621599999999999</c:v>
                </c:pt>
                <c:pt idx="2">
                  <c:v>4.2249999999999996E-3</c:v>
                </c:pt>
                <c:pt idx="3">
                  <c:v>8.2513059999999996</c:v>
                </c:pt>
                <c:pt idx="4">
                  <c:v>1.6677040000000001</c:v>
                </c:pt>
                <c:pt idx="5">
                  <c:v>3.4685100000000002</c:v>
                </c:pt>
                <c:pt idx="6">
                  <c:v>3.2681000000000002E-2</c:v>
                </c:pt>
                <c:pt idx="7">
                  <c:v>0</c:v>
                </c:pt>
                <c:pt idx="8">
                  <c:v>7.2494000000000003E-2</c:v>
                </c:pt>
                <c:pt idx="9">
                  <c:v>2.1304E-2</c:v>
                </c:pt>
                <c:pt idx="10">
                  <c:v>0.53235399999999999</c:v>
                </c:pt>
                <c:pt idx="11">
                  <c:v>1.032816</c:v>
                </c:pt>
                <c:pt idx="12">
                  <c:v>0.18496399999999999</c:v>
                </c:pt>
                <c:pt idx="13">
                  <c:v>0.4800141409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134-450F-8F67-2112FAB03AAB}"/>
            </c:ext>
          </c:extLst>
        </c:ser>
        <c:ser>
          <c:idx val="5"/>
          <c:order val="5"/>
          <c:tx>
            <c:v>2015</c:v>
          </c:tx>
          <c:spPr>
            <a:solidFill>
              <a:srgbClr val="70AD47"/>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'!$L$97:$L$110</c:f>
              <c:numCache>
                <c:formatCode>0.00000</c:formatCode>
                <c:ptCount val="14"/>
                <c:pt idx="0">
                  <c:v>7.1944309999999998</c:v>
                </c:pt>
                <c:pt idx="1">
                  <c:v>0.18019199999999999</c:v>
                </c:pt>
                <c:pt idx="2">
                  <c:v>5.2969999999999996E-3</c:v>
                </c:pt>
                <c:pt idx="3">
                  <c:v>10.106104999999999</c:v>
                </c:pt>
                <c:pt idx="4">
                  <c:v>2.0175730000000001</c:v>
                </c:pt>
                <c:pt idx="5">
                  <c:v>4.1756589999999996</c:v>
                </c:pt>
                <c:pt idx="6">
                  <c:v>3.2696999999999997E-2</c:v>
                </c:pt>
                <c:pt idx="7">
                  <c:v>6.3334728355706735E-2</c:v>
                </c:pt>
                <c:pt idx="8">
                  <c:v>6.3076999999999994E-2</c:v>
                </c:pt>
                <c:pt idx="9">
                  <c:v>2.3687E-2</c:v>
                </c:pt>
                <c:pt idx="10">
                  <c:v>0.47271999999999997</c:v>
                </c:pt>
                <c:pt idx="11">
                  <c:v>1.2022330000000001</c:v>
                </c:pt>
                <c:pt idx="12">
                  <c:v>0.17574134622532772</c:v>
                </c:pt>
                <c:pt idx="13">
                  <c:v>0.59193427089999995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7134-450F-8F67-2112FAB03AAB}"/>
            </c:ext>
          </c:extLst>
        </c:ser>
        <c:ser>
          <c:idx val="6"/>
          <c:order val="6"/>
          <c:tx>
            <c:v>2016</c:v>
          </c:tx>
          <c:spPr>
            <a:solidFill>
              <a:srgbClr val="4472C4"/>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'!$M$97:$M$110</c:f>
              <c:numCache>
                <c:formatCode>0.00000</c:formatCode>
                <c:ptCount val="14"/>
                <c:pt idx="0">
                  <c:v>6.5296760000000003</c:v>
                </c:pt>
                <c:pt idx="1">
                  <c:v>0.17755099999999999</c:v>
                </c:pt>
                <c:pt idx="2">
                  <c:v>3.9050000000000001E-3</c:v>
                </c:pt>
                <c:pt idx="3">
                  <c:v>8.6616090000000003</c:v>
                </c:pt>
                <c:pt idx="4">
                  <c:v>1.1990749999999999</c:v>
                </c:pt>
                <c:pt idx="5">
                  <c:v>3.124069</c:v>
                </c:pt>
                <c:pt idx="6">
                  <c:v>4.1787999999999999E-2</c:v>
                </c:pt>
                <c:pt idx="7">
                  <c:v>4.0803084957981753E-2</c:v>
                </c:pt>
                <c:pt idx="8">
                  <c:v>7.3829000000000006E-2</c:v>
                </c:pt>
                <c:pt idx="9">
                  <c:v>3.6062999999999998E-2</c:v>
                </c:pt>
                <c:pt idx="10">
                  <c:v>0.51331599999999999</c:v>
                </c:pt>
                <c:pt idx="11">
                  <c:v>0.94437599999999999</c:v>
                </c:pt>
                <c:pt idx="12">
                  <c:v>0.14885191504201825</c:v>
                </c:pt>
                <c:pt idx="13">
                  <c:v>0.53395091829999997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134-450F-8F67-2112FAB03AAB}"/>
            </c:ext>
          </c:extLst>
        </c:ser>
        <c:ser>
          <c:idx val="7"/>
          <c:order val="7"/>
          <c:tx>
            <c:v>2017</c:v>
          </c:tx>
          <c:spPr>
            <a:solidFill>
              <a:srgbClr val="ED7D31"/>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'!$N$97:$N$110</c:f>
              <c:numCache>
                <c:formatCode>0.00000</c:formatCode>
                <c:ptCount val="14"/>
                <c:pt idx="0">
                  <c:v>6.2821049999999996</c:v>
                </c:pt>
                <c:pt idx="1">
                  <c:v>0.205955</c:v>
                </c:pt>
                <c:pt idx="2">
                  <c:v>7.5640000000000004E-3</c:v>
                </c:pt>
                <c:pt idx="3">
                  <c:v>9.3449829999999992</c:v>
                </c:pt>
                <c:pt idx="4">
                  <c:v>1.572279</c:v>
                </c:pt>
                <c:pt idx="5">
                  <c:v>3.2759930000000002</c:v>
                </c:pt>
                <c:pt idx="6">
                  <c:v>3.5006000000000002E-2</c:v>
                </c:pt>
                <c:pt idx="7">
                  <c:v>6.5372491848106867E-2</c:v>
                </c:pt>
                <c:pt idx="8">
                  <c:v>6.3367000000000007E-2</c:v>
                </c:pt>
                <c:pt idx="9">
                  <c:v>2.0601999999999999E-2</c:v>
                </c:pt>
                <c:pt idx="10">
                  <c:v>0.479769</c:v>
                </c:pt>
                <c:pt idx="11">
                  <c:v>1.209236</c:v>
                </c:pt>
                <c:pt idx="12">
                  <c:v>0.24526750815189313</c:v>
                </c:pt>
                <c:pt idx="13">
                  <c:v>0.60168843839999997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7134-450F-8F67-2112FAB03AAB}"/>
            </c:ext>
          </c:extLst>
        </c:ser>
        <c:ser>
          <c:idx val="8"/>
          <c:order val="8"/>
          <c:tx>
            <c:v>2018</c:v>
          </c:tx>
          <c:spPr>
            <a:solidFill>
              <a:srgbClr val="A5A5A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'!$O$97:$O$110</c:f>
              <c:numCache>
                <c:formatCode>0.00000</c:formatCode>
                <c:ptCount val="14"/>
                <c:pt idx="0">
                  <c:v>6.5056349999999998</c:v>
                </c:pt>
                <c:pt idx="1">
                  <c:v>0.235182</c:v>
                </c:pt>
                <c:pt idx="2">
                  <c:v>5.0650000000000001E-3</c:v>
                </c:pt>
                <c:pt idx="3">
                  <c:v>7.8406349999999998</c:v>
                </c:pt>
                <c:pt idx="4">
                  <c:v>1.4492659999999999</c:v>
                </c:pt>
                <c:pt idx="5">
                  <c:v>2.7857560000000001</c:v>
                </c:pt>
                <c:pt idx="6">
                  <c:v>2.5503999999999999E-2</c:v>
                </c:pt>
                <c:pt idx="7">
                  <c:v>4.3652640246656008E-2</c:v>
                </c:pt>
                <c:pt idx="8">
                  <c:v>6.6623000000000002E-2</c:v>
                </c:pt>
                <c:pt idx="9">
                  <c:v>2.1217E-2</c:v>
                </c:pt>
                <c:pt idx="10">
                  <c:v>0.34609299999999998</c:v>
                </c:pt>
                <c:pt idx="11">
                  <c:v>0.99488900000000002</c:v>
                </c:pt>
                <c:pt idx="12">
                  <c:v>0.25402035975334397</c:v>
                </c:pt>
                <c:pt idx="13">
                  <c:v>0.50568682919999997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7134-450F-8F67-2112FAB03AAB}"/>
            </c:ext>
          </c:extLst>
        </c:ser>
        <c:ser>
          <c:idx val="9"/>
          <c:order val="9"/>
          <c:tx>
            <c:v>2019</c:v>
          </c:tx>
          <c:spPr>
            <a:solidFill>
              <a:srgbClr val="FFC000"/>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'!$P$97:$P$110</c:f>
              <c:numCache>
                <c:formatCode>0.00000</c:formatCode>
                <c:ptCount val="14"/>
                <c:pt idx="0">
                  <c:v>6.5834770000000002</c:v>
                </c:pt>
                <c:pt idx="1">
                  <c:v>0.28367999999999999</c:v>
                </c:pt>
                <c:pt idx="2">
                  <c:v>8.1410000000000007E-3</c:v>
                </c:pt>
                <c:pt idx="3">
                  <c:v>10.08887</c:v>
                </c:pt>
                <c:pt idx="4">
                  <c:v>1.628519</c:v>
                </c:pt>
                <c:pt idx="5">
                  <c:v>2.2759480000000001</c:v>
                </c:pt>
                <c:pt idx="6">
                  <c:v>3.9515000000000002E-2</c:v>
                </c:pt>
                <c:pt idx="7">
                  <c:v>3.5010121222727224E-2</c:v>
                </c:pt>
                <c:pt idx="8">
                  <c:v>6.9685999999999998E-2</c:v>
                </c:pt>
                <c:pt idx="9">
                  <c:v>2.3028E-2</c:v>
                </c:pt>
                <c:pt idx="10">
                  <c:v>0.34520899999999999</c:v>
                </c:pt>
                <c:pt idx="11">
                  <c:v>1.0141230000000001</c:v>
                </c:pt>
                <c:pt idx="12">
                  <c:v>0.24377087877727277</c:v>
                </c:pt>
                <c:pt idx="13">
                  <c:v>0.5241654161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7134-450F-8F67-2112FAB03AAB}"/>
            </c:ext>
          </c:extLst>
        </c:ser>
        <c:ser>
          <c:idx val="10"/>
          <c:order val="10"/>
          <c:tx>
            <c:v>2020</c:v>
          </c:tx>
          <c:spPr>
            <a:solidFill>
              <a:srgbClr val="5B9BD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'!$Q$97:$Q$110</c:f>
              <c:numCache>
                <c:formatCode>0.00000</c:formatCode>
                <c:ptCount val="14"/>
                <c:pt idx="0">
                  <c:v>6.544556</c:v>
                </c:pt>
                <c:pt idx="1">
                  <c:v>0.327903</c:v>
                </c:pt>
                <c:pt idx="2">
                  <c:v>5.28E-3</c:v>
                </c:pt>
                <c:pt idx="3">
                  <c:v>11.390245</c:v>
                </c:pt>
                <c:pt idx="4">
                  <c:v>1.463279</c:v>
                </c:pt>
                <c:pt idx="5">
                  <c:v>2.4463119999999998</c:v>
                </c:pt>
                <c:pt idx="6">
                  <c:v>2.7237999999999998E-2</c:v>
                </c:pt>
                <c:pt idx="7">
                  <c:v>3.7421596562221979E-2</c:v>
                </c:pt>
                <c:pt idx="8">
                  <c:v>7.7360999999999999E-2</c:v>
                </c:pt>
                <c:pt idx="9">
                  <c:v>3.3656999999999999E-2</c:v>
                </c:pt>
                <c:pt idx="10">
                  <c:v>0.47258600000000001</c:v>
                </c:pt>
                <c:pt idx="11">
                  <c:v>1.069938660863619</c:v>
                </c:pt>
                <c:pt idx="12">
                  <c:v>0.24379678429693205</c:v>
                </c:pt>
                <c:pt idx="13">
                  <c:v>0.39211125349999998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7134-450F-8F67-2112FAB03AAB}"/>
            </c:ext>
          </c:extLst>
        </c:ser>
        <c:ser>
          <c:idx val="11"/>
          <c:order val="11"/>
          <c:tx>
            <c:v>2021</c:v>
          </c:tx>
          <c:spPr>
            <a:solidFill>
              <a:srgbClr val="70AD47"/>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'!$R$97:$R$110</c:f>
              <c:numCache>
                <c:formatCode>0.00000</c:formatCode>
                <c:ptCount val="14"/>
                <c:pt idx="0">
                  <c:v>6.6849160000000003</c:v>
                </c:pt>
                <c:pt idx="1">
                  <c:v>0.30209399999999997</c:v>
                </c:pt>
                <c:pt idx="2">
                  <c:v>4.9170000000000004E-3</c:v>
                </c:pt>
                <c:pt idx="3">
                  <c:v>11.6717</c:v>
                </c:pt>
                <c:pt idx="4">
                  <c:v>1.849405</c:v>
                </c:pt>
                <c:pt idx="5">
                  <c:v>2.4188550000000002</c:v>
                </c:pt>
                <c:pt idx="6">
                  <c:v>2.0077000000000001E-2</c:v>
                </c:pt>
                <c:pt idx="7">
                  <c:v>2.7855525305192988E-2</c:v>
                </c:pt>
                <c:pt idx="8">
                  <c:v>8.7922E-2</c:v>
                </c:pt>
                <c:pt idx="9">
                  <c:v>2.7061000000000002E-2</c:v>
                </c:pt>
                <c:pt idx="10">
                  <c:v>0.34095900000000001</c:v>
                </c:pt>
                <c:pt idx="11">
                  <c:v>1.2147110000000001</c:v>
                </c:pt>
                <c:pt idx="12">
                  <c:v>0.19723267877640868</c:v>
                </c:pt>
                <c:pt idx="13">
                  <c:v>0.43874862749999999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7134-450F-8F67-2112FAB03AAB}"/>
            </c:ext>
          </c:extLst>
        </c:ser>
        <c:dLbls>
          <c:showLegendKey val="0"/>
          <c:showVal val="0"/>
          <c:showCatName val="0"/>
          <c:showSerName val="0"/>
          <c:showPercent val="0"/>
          <c:showBubbleSize val="0"/>
        </c:dLbls>
        <c:gapWidth val="150"/>
        <c:axId val="245275329"/>
        <c:axId val="753733930"/>
      </c:barChart>
      <c:catAx>
        <c:axId val="24527532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753733930"/>
        <c:crosses val="autoZero"/>
        <c:auto val="1"/>
        <c:lblAlgn val="ctr"/>
        <c:lblOffset val="100"/>
        <c:noMultiLvlLbl val="1"/>
      </c:catAx>
      <c:valAx>
        <c:axId val="7537339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Producción de cultivos [Mton]</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245275329"/>
        <c:crosses val="autoZero"/>
        <c:crossBetween val="between"/>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'!$G$115:$G$128</c:f>
              <c:numCache>
                <c:formatCode>0.00000</c:formatCode>
                <c:ptCount val="14"/>
                <c:pt idx="0">
                  <c:v>36.777975116741715</c:v>
                </c:pt>
                <c:pt idx="1">
                  <c:v>0.36691896396083606</c:v>
                </c:pt>
                <c:pt idx="2">
                  <c:v>0.21628913068977651</c:v>
                </c:pt>
                <c:pt idx="3">
                  <c:v>78.063575490049388</c:v>
                </c:pt>
                <c:pt idx="4">
                  <c:v>2.234824433513646</c:v>
                </c:pt>
                <c:pt idx="5">
                  <c:v>14.73093301361226</c:v>
                </c:pt>
                <c:pt idx="6">
                  <c:v>0</c:v>
                </c:pt>
                <c:pt idx="7">
                  <c:v>0</c:v>
                </c:pt>
                <c:pt idx="8">
                  <c:v>0.56324422784393136</c:v>
                </c:pt>
                <c:pt idx="9">
                  <c:v>0.75451915088664168</c:v>
                </c:pt>
                <c:pt idx="10">
                  <c:v>7.2170067804382718</c:v>
                </c:pt>
                <c:pt idx="11">
                  <c:v>4.7410408126434112</c:v>
                </c:pt>
                <c:pt idx="12">
                  <c:v>20.08933933933934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485-47E5-A164-2FB6BDE402FC}"/>
            </c:ext>
          </c:extLst>
        </c:ser>
        <c:ser>
          <c:idx val="1"/>
          <c:order val="1"/>
          <c:tx>
            <c:v>2011</c:v>
          </c:tx>
          <c:spPr>
            <a:solidFill>
              <a:srgbClr val="ED7D31"/>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'!$H$115:$H$128</c:f>
              <c:numCache>
                <c:formatCode>0.00000</c:formatCode>
                <c:ptCount val="14"/>
                <c:pt idx="0">
                  <c:v>38.691774364103281</c:v>
                </c:pt>
                <c:pt idx="1">
                  <c:v>0.5611552393564424</c:v>
                </c:pt>
                <c:pt idx="2">
                  <c:v>0.24229513864174809</c:v>
                </c:pt>
                <c:pt idx="3">
                  <c:v>94.0584003238679</c:v>
                </c:pt>
                <c:pt idx="4">
                  <c:v>1.6671662766708666</c:v>
                </c:pt>
                <c:pt idx="5">
                  <c:v>10.349596103646171</c:v>
                </c:pt>
                <c:pt idx="6">
                  <c:v>0</c:v>
                </c:pt>
                <c:pt idx="7">
                  <c:v>0</c:v>
                </c:pt>
                <c:pt idx="8">
                  <c:v>0.47573853669445859</c:v>
                </c:pt>
                <c:pt idx="9">
                  <c:v>0.86984045875205818</c:v>
                </c:pt>
                <c:pt idx="10">
                  <c:v>6.3185309765997699</c:v>
                </c:pt>
                <c:pt idx="11">
                  <c:v>4.8532368074667938</c:v>
                </c:pt>
                <c:pt idx="12">
                  <c:v>22.881238155401139</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485-47E5-A164-2FB6BDE402FC}"/>
            </c:ext>
          </c:extLst>
        </c:ser>
        <c:ser>
          <c:idx val="2"/>
          <c:order val="2"/>
          <c:tx>
            <c:v>2012</c:v>
          </c:tx>
          <c:spPr>
            <a:solidFill>
              <a:srgbClr val="A5A5A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'!$I$115:$I$128</c:f>
              <c:numCache>
                <c:formatCode>0.00000</c:formatCode>
                <c:ptCount val="14"/>
                <c:pt idx="0">
                  <c:v>33.250087721793889</c:v>
                </c:pt>
                <c:pt idx="1">
                  <c:v>0.34169964323792335</c:v>
                </c:pt>
                <c:pt idx="2">
                  <c:v>9.3253716173294365E-2</c:v>
                </c:pt>
                <c:pt idx="3">
                  <c:v>77.477944959522887</c:v>
                </c:pt>
                <c:pt idx="4">
                  <c:v>2.7324016605696904</c:v>
                </c:pt>
                <c:pt idx="5">
                  <c:v>13.340103133277603</c:v>
                </c:pt>
                <c:pt idx="6">
                  <c:v>0</c:v>
                </c:pt>
                <c:pt idx="7">
                  <c:v>0</c:v>
                </c:pt>
                <c:pt idx="8">
                  <c:v>0.44091837615444374</c:v>
                </c:pt>
                <c:pt idx="9">
                  <c:v>0.62762476138532863</c:v>
                </c:pt>
                <c:pt idx="10">
                  <c:v>7.1299036786350793</c:v>
                </c:pt>
                <c:pt idx="11">
                  <c:v>5.8565152380632375</c:v>
                </c:pt>
                <c:pt idx="12">
                  <c:v>20.460188495287618</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485-47E5-A164-2FB6BDE402FC}"/>
            </c:ext>
          </c:extLst>
        </c:ser>
        <c:ser>
          <c:idx val="3"/>
          <c:order val="3"/>
          <c:tx>
            <c:v>2013</c:v>
          </c:tx>
          <c:spPr>
            <a:solidFill>
              <a:srgbClr val="FFC000"/>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'!$J$115:$J$128</c:f>
              <c:numCache>
                <c:formatCode>0.00000</c:formatCode>
                <c:ptCount val="14"/>
                <c:pt idx="0">
                  <c:v>31.779871513532424</c:v>
                </c:pt>
                <c:pt idx="1">
                  <c:v>0.31917283330931284</c:v>
                </c:pt>
                <c:pt idx="2">
                  <c:v>0.12590260762328201</c:v>
                </c:pt>
                <c:pt idx="3">
                  <c:v>70.827627490946512</c:v>
                </c:pt>
                <c:pt idx="4">
                  <c:v>2.3702330807084238</c:v>
                </c:pt>
                <c:pt idx="5">
                  <c:v>10.587242326340178</c:v>
                </c:pt>
                <c:pt idx="6">
                  <c:v>0</c:v>
                </c:pt>
                <c:pt idx="7">
                  <c:v>0</c:v>
                </c:pt>
                <c:pt idx="8">
                  <c:v>0.47152204764954853</c:v>
                </c:pt>
                <c:pt idx="9">
                  <c:v>0.78062719387311064</c:v>
                </c:pt>
                <c:pt idx="10">
                  <c:v>5.9774600170919303</c:v>
                </c:pt>
                <c:pt idx="11">
                  <c:v>4.6757077331285606</c:v>
                </c:pt>
                <c:pt idx="12">
                  <c:v>9.9026415094339626</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485-47E5-A164-2FB6BDE402FC}"/>
            </c:ext>
          </c:extLst>
        </c:ser>
        <c:ser>
          <c:idx val="4"/>
          <c:order val="4"/>
          <c:tx>
            <c:v>2014</c:v>
          </c:tx>
          <c:spPr>
            <a:solidFill>
              <a:srgbClr val="5B9BD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'!$K$115:$K$128</c:f>
              <c:numCache>
                <c:formatCode>0.00000</c:formatCode>
                <c:ptCount val="14"/>
                <c:pt idx="0">
                  <c:v>37.091561283393744</c:v>
                </c:pt>
                <c:pt idx="1">
                  <c:v>0.41921763002600387</c:v>
                </c:pt>
                <c:pt idx="2">
                  <c:v>0.11907110447256432</c:v>
                </c:pt>
                <c:pt idx="3">
                  <c:v>85.159827436733678</c:v>
                </c:pt>
                <c:pt idx="4">
                  <c:v>3.4336375016471208</c:v>
                </c:pt>
                <c:pt idx="5">
                  <c:v>12.7513593200275</c:v>
                </c:pt>
                <c:pt idx="6">
                  <c:v>1.2324546517328507</c:v>
                </c:pt>
                <c:pt idx="7">
                  <c:v>0</c:v>
                </c:pt>
                <c:pt idx="8">
                  <c:v>1.0091035634743875</c:v>
                </c:pt>
                <c:pt idx="9">
                  <c:v>0.97859439595774</c:v>
                </c:pt>
                <c:pt idx="10">
                  <c:v>10.241910038862596</c:v>
                </c:pt>
                <c:pt idx="11">
                  <c:v>6.4872116979046277</c:v>
                </c:pt>
                <c:pt idx="12">
                  <c:v>19.127611168562563</c:v>
                </c:pt>
                <c:pt idx="13">
                  <c:v>71.313941598573763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485-47E5-A164-2FB6BDE402FC}"/>
            </c:ext>
          </c:extLst>
        </c:ser>
        <c:ser>
          <c:idx val="5"/>
          <c:order val="5"/>
          <c:tx>
            <c:v>2015</c:v>
          </c:tx>
          <c:spPr>
            <a:solidFill>
              <a:srgbClr val="70AD47"/>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'!$L$115:$L$128</c:f>
              <c:numCache>
                <c:formatCode>0.00000</c:formatCode>
                <c:ptCount val="14"/>
                <c:pt idx="0">
                  <c:v>38.786294605070921</c:v>
                </c:pt>
                <c:pt idx="1">
                  <c:v>0.4170203705675154</c:v>
                </c:pt>
                <c:pt idx="2">
                  <c:v>0.12031253548958594</c:v>
                </c:pt>
                <c:pt idx="3">
                  <c:v>98.484690496608707</c:v>
                </c:pt>
                <c:pt idx="4">
                  <c:v>3.7832567646121245</c:v>
                </c:pt>
                <c:pt idx="5">
                  <c:v>14.381813923531821</c:v>
                </c:pt>
                <c:pt idx="6">
                  <c:v>1.4536522473658471</c:v>
                </c:pt>
                <c:pt idx="7">
                  <c:v>6.047940658034979</c:v>
                </c:pt>
                <c:pt idx="8">
                  <c:v>0.92935231023102294</c:v>
                </c:pt>
                <c:pt idx="9">
                  <c:v>1.1661005267562643</c:v>
                </c:pt>
                <c:pt idx="10">
                  <c:v>9.9296321969458283</c:v>
                </c:pt>
                <c:pt idx="11">
                  <c:v>7.34537978395816</c:v>
                </c:pt>
                <c:pt idx="12">
                  <c:v>17.659816024746032</c:v>
                </c:pt>
                <c:pt idx="13">
                  <c:v>77.600192829050854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B485-47E5-A164-2FB6BDE402FC}"/>
            </c:ext>
          </c:extLst>
        </c:ser>
        <c:ser>
          <c:idx val="6"/>
          <c:order val="6"/>
          <c:tx>
            <c:v>2016</c:v>
          </c:tx>
          <c:spPr>
            <a:solidFill>
              <a:srgbClr val="4472C4"/>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'!$M$115:$M$128</c:f>
              <c:numCache>
                <c:formatCode>0.00000</c:formatCode>
                <c:ptCount val="14"/>
                <c:pt idx="0">
                  <c:v>36.208188003571095</c:v>
                </c:pt>
                <c:pt idx="1">
                  <c:v>0.3908602399082457</c:v>
                </c:pt>
                <c:pt idx="2">
                  <c:v>0.13072442420996253</c:v>
                </c:pt>
                <c:pt idx="3">
                  <c:v>82.758706681571937</c:v>
                </c:pt>
                <c:pt idx="4">
                  <c:v>3.1693472715979225</c:v>
                </c:pt>
                <c:pt idx="5">
                  <c:v>11.84081580054503</c:v>
                </c:pt>
                <c:pt idx="6">
                  <c:v>1.5901065449010654</c:v>
                </c:pt>
                <c:pt idx="7">
                  <c:v>6.093985677686832</c:v>
                </c:pt>
                <c:pt idx="8">
                  <c:v>1.2240164464413019</c:v>
                </c:pt>
                <c:pt idx="9">
                  <c:v>1.505259203606311</c:v>
                </c:pt>
                <c:pt idx="10">
                  <c:v>10.765855704697987</c:v>
                </c:pt>
                <c:pt idx="11">
                  <c:v>5.8173798949099709</c:v>
                </c:pt>
                <c:pt idx="12">
                  <c:v>9.779784178307743</c:v>
                </c:pt>
                <c:pt idx="13">
                  <c:v>63.930904968869726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B485-47E5-A164-2FB6BDE402FC}"/>
            </c:ext>
          </c:extLst>
        </c:ser>
        <c:ser>
          <c:idx val="7"/>
          <c:order val="7"/>
          <c:tx>
            <c:v>2017</c:v>
          </c:tx>
          <c:spPr>
            <a:solidFill>
              <a:srgbClr val="ED7D31"/>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'!$N$115:$N$128</c:f>
              <c:numCache>
                <c:formatCode>0.00000</c:formatCode>
                <c:ptCount val="14"/>
                <c:pt idx="0">
                  <c:v>39.745819546113111</c:v>
                </c:pt>
                <c:pt idx="1">
                  <c:v>0.44070854027265705</c:v>
                </c:pt>
                <c:pt idx="2">
                  <c:v>0.20300590445517983</c:v>
                </c:pt>
                <c:pt idx="3">
                  <c:v>73.53564262163502</c:v>
                </c:pt>
                <c:pt idx="4">
                  <c:v>3.5362070788060898</c:v>
                </c:pt>
                <c:pt idx="5">
                  <c:v>12.585838212469072</c:v>
                </c:pt>
                <c:pt idx="6">
                  <c:v>1.249277327718497</c:v>
                </c:pt>
                <c:pt idx="7">
                  <c:v>8.9120786323933672</c:v>
                </c:pt>
                <c:pt idx="8">
                  <c:v>0.89776575095986288</c:v>
                </c:pt>
                <c:pt idx="9">
                  <c:v>1.2425064833242869</c:v>
                </c:pt>
                <c:pt idx="10">
                  <c:v>10.293925805136567</c:v>
                </c:pt>
                <c:pt idx="11">
                  <c:v>7.1572330766544541</c:v>
                </c:pt>
                <c:pt idx="12">
                  <c:v>11.232907118992863</c:v>
                </c:pt>
                <c:pt idx="13">
                  <c:v>68.002762025316457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B485-47E5-A164-2FB6BDE402FC}"/>
            </c:ext>
          </c:extLst>
        </c:ser>
        <c:ser>
          <c:idx val="8"/>
          <c:order val="8"/>
          <c:tx>
            <c:v>2018</c:v>
          </c:tx>
          <c:spPr>
            <a:solidFill>
              <a:srgbClr val="A5A5A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'!$O$115:$O$128</c:f>
              <c:numCache>
                <c:formatCode>0.00000</c:formatCode>
                <c:ptCount val="14"/>
                <c:pt idx="0">
                  <c:v>40.26187779655038</c:v>
                </c:pt>
                <c:pt idx="1">
                  <c:v>0.46853670684331106</c:v>
                </c:pt>
                <c:pt idx="2">
                  <c:v>0.15865806289938603</c:v>
                </c:pt>
                <c:pt idx="3">
                  <c:v>67.989654963102979</c:v>
                </c:pt>
                <c:pt idx="4">
                  <c:v>3.3286540144375976</c:v>
                </c:pt>
                <c:pt idx="5">
                  <c:v>12.438520820496334</c:v>
                </c:pt>
                <c:pt idx="6">
                  <c:v>1.1024466153713151</c:v>
                </c:pt>
                <c:pt idx="7">
                  <c:v>7.2669508271541199</c:v>
                </c:pt>
                <c:pt idx="8">
                  <c:v>1.5238912143461654</c:v>
                </c:pt>
                <c:pt idx="9">
                  <c:v>1.4456936494957755</c:v>
                </c:pt>
                <c:pt idx="10">
                  <c:v>9.9292230892816153</c:v>
                </c:pt>
                <c:pt idx="11">
                  <c:v>5.8907862560616735</c:v>
                </c:pt>
                <c:pt idx="12">
                  <c:v>11.381865046571704</c:v>
                </c:pt>
                <c:pt idx="13">
                  <c:v>72.656153620689651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B485-47E5-A164-2FB6BDE402FC}"/>
            </c:ext>
          </c:extLst>
        </c:ser>
        <c:ser>
          <c:idx val="9"/>
          <c:order val="9"/>
          <c:tx>
            <c:v>2019</c:v>
          </c:tx>
          <c:spPr>
            <a:solidFill>
              <a:srgbClr val="FFC000"/>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'!$P$115:$P$128</c:f>
              <c:numCache>
                <c:formatCode>0.00000</c:formatCode>
                <c:ptCount val="14"/>
                <c:pt idx="0">
                  <c:v>35.907197827071073</c:v>
                </c:pt>
                <c:pt idx="1">
                  <c:v>0.53989551514459444</c:v>
                </c:pt>
                <c:pt idx="2">
                  <c:v>0.22584403695175742</c:v>
                </c:pt>
                <c:pt idx="3">
                  <c:v>73.460684302118153</c:v>
                </c:pt>
                <c:pt idx="4">
                  <c:v>4.1881683374567302</c:v>
                </c:pt>
                <c:pt idx="5">
                  <c:v>11.328309474983575</c:v>
                </c:pt>
                <c:pt idx="6">
                  <c:v>1.4624352331606219</c:v>
                </c:pt>
                <c:pt idx="7">
                  <c:v>6.6780970695565829</c:v>
                </c:pt>
                <c:pt idx="8">
                  <c:v>1.3219387271175187</c:v>
                </c:pt>
                <c:pt idx="9">
                  <c:v>1.5515429187441045</c:v>
                </c:pt>
                <c:pt idx="10">
                  <c:v>10.374113475177305</c:v>
                </c:pt>
                <c:pt idx="11">
                  <c:v>5.0618074550282515</c:v>
                </c:pt>
                <c:pt idx="12">
                  <c:v>12.922222196437646</c:v>
                </c:pt>
                <c:pt idx="13">
                  <c:v>60.822164783012298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B485-47E5-A164-2FB6BDE402FC}"/>
            </c:ext>
          </c:extLst>
        </c:ser>
        <c:ser>
          <c:idx val="10"/>
          <c:order val="10"/>
          <c:tx>
            <c:v>2020</c:v>
          </c:tx>
          <c:spPr>
            <a:solidFill>
              <a:srgbClr val="5B9BD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'!$Q$115:$Q$128</c:f>
              <c:numCache>
                <c:formatCode>0.00000</c:formatCode>
                <c:ptCount val="14"/>
                <c:pt idx="0">
                  <c:v>40.743049243603316</c:v>
                </c:pt>
                <c:pt idx="1">
                  <c:v>0.62179741233002173</c:v>
                </c:pt>
                <c:pt idx="2">
                  <c:v>0.19621687911107807</c:v>
                </c:pt>
                <c:pt idx="3">
                  <c:v>74.345460716546896</c:v>
                </c:pt>
                <c:pt idx="4">
                  <c:v>3.5239779883680322</c:v>
                </c:pt>
                <c:pt idx="5">
                  <c:v>12.979917121648652</c:v>
                </c:pt>
                <c:pt idx="6">
                  <c:v>1.3839040747891473</c:v>
                </c:pt>
                <c:pt idx="7">
                  <c:v>6.8088875134981564</c:v>
                </c:pt>
                <c:pt idx="8">
                  <c:v>1.7401309130170726</c:v>
                </c:pt>
                <c:pt idx="9">
                  <c:v>1.4557525951557093</c:v>
                </c:pt>
                <c:pt idx="10">
                  <c:v>11.860907539403675</c:v>
                </c:pt>
                <c:pt idx="11">
                  <c:v>5.5734874726479289</c:v>
                </c:pt>
                <c:pt idx="12">
                  <c:v>14.344512787640847</c:v>
                </c:pt>
                <c:pt idx="13">
                  <c:v>79.535751217038523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B485-47E5-A164-2FB6BDE402FC}"/>
            </c:ext>
          </c:extLst>
        </c:ser>
        <c:ser>
          <c:idx val="11"/>
          <c:order val="11"/>
          <c:tx>
            <c:v>2021</c:v>
          </c:tx>
          <c:spPr>
            <a:solidFill>
              <a:srgbClr val="70AD47"/>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'!$R$115:$R$128</c:f>
              <c:numCache>
                <c:formatCode>0.00000</c:formatCode>
                <c:ptCount val="14"/>
                <c:pt idx="0">
                  <c:v>40.740567388853336</c:v>
                </c:pt>
                <c:pt idx="1">
                  <c:v>0.55578266460858028</c:v>
                </c:pt>
                <c:pt idx="2">
                  <c:v>0.16678538719853467</c:v>
                </c:pt>
                <c:pt idx="3">
                  <c:v>77.713414431150085</c:v>
                </c:pt>
                <c:pt idx="4">
                  <c:v>4.2089326354119247</c:v>
                </c:pt>
                <c:pt idx="5">
                  <c:v>15.85832858013886</c:v>
                </c:pt>
                <c:pt idx="6">
                  <c:v>1.0675280480672091</c:v>
                </c:pt>
                <c:pt idx="7">
                  <c:v>6.5500556145042585</c:v>
                </c:pt>
                <c:pt idx="8">
                  <c:v>1.4155396702730552</c:v>
                </c:pt>
                <c:pt idx="9">
                  <c:v>1.4921974083264409</c:v>
                </c:pt>
                <c:pt idx="10">
                  <c:v>9.3249917952084029</c:v>
                </c:pt>
                <c:pt idx="11">
                  <c:v>6.6674589016658894</c:v>
                </c:pt>
                <c:pt idx="12">
                  <c:v>14.623969180071411</c:v>
                </c:pt>
                <c:pt idx="13">
                  <c:v>63.011435803532962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B485-47E5-A164-2FB6BDE402FC}"/>
            </c:ext>
          </c:extLst>
        </c:ser>
        <c:dLbls>
          <c:showLegendKey val="0"/>
          <c:showVal val="0"/>
          <c:showCatName val="0"/>
          <c:showSerName val="0"/>
          <c:showPercent val="0"/>
          <c:showBubbleSize val="0"/>
        </c:dLbls>
        <c:gapWidth val="150"/>
        <c:axId val="37238161"/>
        <c:axId val="649709901"/>
      </c:barChart>
      <c:catAx>
        <c:axId val="3723816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649709901"/>
        <c:crosses val="autoZero"/>
        <c:auto val="1"/>
        <c:lblAlgn val="ctr"/>
        <c:lblOffset val="100"/>
        <c:noMultiLvlLbl val="1"/>
      </c:catAx>
      <c:valAx>
        <c:axId val="64970990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Rendimiento de cutivos</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37238161"/>
        <c:crosses val="autoZero"/>
        <c:crossBetween val="between"/>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'!$G$155:$G$169</c:f>
              <c:numCache>
                <c:formatCode>0.00000</c:formatCode>
                <c:ptCount val="14"/>
                <c:pt idx="0">
                  <c:v>4.895518124970005</c:v>
                </c:pt>
                <c:pt idx="1">
                  <c:v>0.11515451013000001</c:v>
                </c:pt>
                <c:pt idx="2">
                  <c:v>2.1138937380000011E-2</c:v>
                </c:pt>
                <c:pt idx="3">
                  <c:v>1.8735626249999991E-2</c:v>
                </c:pt>
                <c:pt idx="4">
                  <c:v>3.7808099999999999E-3</c:v>
                </c:pt>
                <c:pt idx="5">
                  <c:v>0.14432342265000001</c:v>
                </c:pt>
                <c:pt idx="6">
                  <c:v>3.2373E-7</c:v>
                </c:pt>
                <c:pt idx="7">
                  <c:v>2.7381519990000016E-2</c:v>
                </c:pt>
                <c:pt idx="8">
                  <c:v>2.0511810000000002E-2</c:v>
                </c:pt>
                <c:pt idx="9">
                  <c:v>3.7492290000000006E-5</c:v>
                </c:pt>
                <c:pt idx="10">
                  <c:v>4.7638799999999999E-3</c:v>
                </c:pt>
                <c:pt idx="11">
                  <c:v>0.38506658355000006</c:v>
                </c:pt>
                <c:pt idx="12">
                  <c:v>7.5587390010000005E-2</c:v>
                </c:pt>
                <c:pt idx="13">
                  <c:v>0.10549737000000001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4C4-4201-9F4D-D52715368704}"/>
            </c:ext>
          </c:extLst>
        </c:ser>
        <c:ser>
          <c:idx val="1"/>
          <c:order val="1"/>
          <c:tx>
            <c:v>2011</c:v>
          </c:tx>
          <c:spPr>
            <a:solidFill>
              <a:srgbClr val="ED7D31"/>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'!$H$155:$H$169</c:f>
              <c:numCache>
                <c:formatCode>0.00000</c:formatCode>
                <c:ptCount val="14"/>
                <c:pt idx="0">
                  <c:v>5.3379665786700023</c:v>
                </c:pt>
                <c:pt idx="1">
                  <c:v>0.15689861648999989</c:v>
                </c:pt>
                <c:pt idx="2">
                  <c:v>3.5100480690000019E-2</c:v>
                </c:pt>
                <c:pt idx="3">
                  <c:v>1.8647403390000011E-2</c:v>
                </c:pt>
                <c:pt idx="4">
                  <c:v>4.0015800000000002E-3</c:v>
                </c:pt>
                <c:pt idx="5">
                  <c:v>0.24738472538999989</c:v>
                </c:pt>
                <c:pt idx="6">
                  <c:v>9.4049999999999996E-5</c:v>
                </c:pt>
                <c:pt idx="7">
                  <c:v>3.1443625619999978E-2</c:v>
                </c:pt>
                <c:pt idx="8">
                  <c:v>2.2998689999999999E-2</c:v>
                </c:pt>
                <c:pt idx="9">
                  <c:v>9.9106920000000006E-5</c:v>
                </c:pt>
                <c:pt idx="10">
                  <c:v>1.6896329999999998E-2</c:v>
                </c:pt>
                <c:pt idx="11">
                  <c:v>0.43066938221999995</c:v>
                </c:pt>
                <c:pt idx="12">
                  <c:v>8.237370438000001E-2</c:v>
                </c:pt>
                <c:pt idx="13">
                  <c:v>0.11580525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4C4-4201-9F4D-D52715368704}"/>
            </c:ext>
          </c:extLst>
        </c:ser>
        <c:ser>
          <c:idx val="2"/>
          <c:order val="2"/>
          <c:tx>
            <c:v>2012</c:v>
          </c:tx>
          <c:spPr>
            <a:solidFill>
              <a:srgbClr val="A5A5A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'!$I$155:$I$169</c:f>
              <c:numCache>
                <c:formatCode>0.00000</c:formatCode>
                <c:ptCount val="14"/>
                <c:pt idx="0">
                  <c:v>4.9313500236000012</c:v>
                </c:pt>
                <c:pt idx="1">
                  <c:v>0.14542552826999999</c:v>
                </c:pt>
                <c:pt idx="2">
                  <c:v>2.7879321690000004E-2</c:v>
                </c:pt>
                <c:pt idx="3">
                  <c:v>1.2923994600000004E-2</c:v>
                </c:pt>
                <c:pt idx="4">
                  <c:v>2.7452700000000002E-3</c:v>
                </c:pt>
                <c:pt idx="5">
                  <c:v>0.27333066618000007</c:v>
                </c:pt>
                <c:pt idx="6">
                  <c:v>1.0105920000000001E-4</c:v>
                </c:pt>
                <c:pt idx="7">
                  <c:v>3.0245516729999988E-2</c:v>
                </c:pt>
                <c:pt idx="8">
                  <c:v>2.274822E-2</c:v>
                </c:pt>
                <c:pt idx="9">
                  <c:v>4.5499409999999999E-4</c:v>
                </c:pt>
                <c:pt idx="10">
                  <c:v>7.1101800000000007E-3</c:v>
                </c:pt>
                <c:pt idx="11">
                  <c:v>0.33701881058999994</c:v>
                </c:pt>
                <c:pt idx="12">
                  <c:v>7.5283471889999995E-2</c:v>
                </c:pt>
                <c:pt idx="13">
                  <c:v>0.11627451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4C4-4201-9F4D-D52715368704}"/>
            </c:ext>
          </c:extLst>
        </c:ser>
        <c:ser>
          <c:idx val="3"/>
          <c:order val="3"/>
          <c:tx>
            <c:v>2013</c:v>
          </c:tx>
          <c:spPr>
            <a:solidFill>
              <a:srgbClr val="FFC000"/>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'!$J$155:$J$169</c:f>
              <c:numCache>
                <c:formatCode>0.00000</c:formatCode>
                <c:ptCount val="14"/>
                <c:pt idx="0">
                  <c:v>5.1434496333000039</c:v>
                </c:pt>
                <c:pt idx="1">
                  <c:v>0.17481652650000004</c:v>
                </c:pt>
                <c:pt idx="2">
                  <c:v>1.204404894E-2</c:v>
                </c:pt>
                <c:pt idx="3">
                  <c:v>1.1952658079999999E-2</c:v>
                </c:pt>
                <c:pt idx="4">
                  <c:v>7.7318999999999999E-4</c:v>
                </c:pt>
                <c:pt idx="5">
                  <c:v>0.19977516701999989</c:v>
                </c:pt>
                <c:pt idx="6">
                  <c:v>1.4622300000000001E-6</c:v>
                </c:pt>
                <c:pt idx="7">
                  <c:v>3.085188677999999E-2</c:v>
                </c:pt>
                <c:pt idx="8">
                  <c:v>2.4552000000000001E-2</c:v>
                </c:pt>
                <c:pt idx="9">
                  <c:v>9.9007919999999979E-5</c:v>
                </c:pt>
                <c:pt idx="10">
                  <c:v>4.2173999999999998E-4</c:v>
                </c:pt>
                <c:pt idx="11">
                  <c:v>0.35508977756999999</c:v>
                </c:pt>
                <c:pt idx="12">
                  <c:v>6.846228972E-2</c:v>
                </c:pt>
                <c:pt idx="13">
                  <c:v>0.15217784999999998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4C4-4201-9F4D-D52715368704}"/>
            </c:ext>
          </c:extLst>
        </c:ser>
        <c:ser>
          <c:idx val="4"/>
          <c:order val="4"/>
          <c:tx>
            <c:v>2014</c:v>
          </c:tx>
          <c:spPr>
            <a:solidFill>
              <a:srgbClr val="5B9BD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'!$K$155:$K$169</c:f>
              <c:numCache>
                <c:formatCode>0.00000</c:formatCode>
                <c:ptCount val="14"/>
                <c:pt idx="0">
                  <c:v>5.6586117693600002</c:v>
                </c:pt>
                <c:pt idx="1">
                  <c:v>0.19688994665999995</c:v>
                </c:pt>
                <c:pt idx="2">
                  <c:v>8.9374982400000063E-3</c:v>
                </c:pt>
                <c:pt idx="3">
                  <c:v>9.0981683099999981E-3</c:v>
                </c:pt>
                <c:pt idx="4">
                  <c:v>1.3652099999999999E-3</c:v>
                </c:pt>
                <c:pt idx="5">
                  <c:v>0.21769958529000005</c:v>
                </c:pt>
                <c:pt idx="6">
                  <c:v>3.8600100000000002E-6</c:v>
                </c:pt>
                <c:pt idx="7">
                  <c:v>3.48929163E-2</c:v>
                </c:pt>
                <c:pt idx="8">
                  <c:v>2.039796E-2</c:v>
                </c:pt>
                <c:pt idx="9">
                  <c:v>7.2035567999999988E-4</c:v>
                </c:pt>
                <c:pt idx="10">
                  <c:v>4.2965999999999995E-4</c:v>
                </c:pt>
                <c:pt idx="11">
                  <c:v>0.35926560252</c:v>
                </c:pt>
                <c:pt idx="12">
                  <c:v>7.0229968380000007E-2</c:v>
                </c:pt>
                <c:pt idx="13">
                  <c:v>0.16353809999999999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4C4-4201-9F4D-D52715368704}"/>
            </c:ext>
          </c:extLst>
        </c:ser>
        <c:ser>
          <c:idx val="5"/>
          <c:order val="5"/>
          <c:tx>
            <c:v>2015</c:v>
          </c:tx>
          <c:spPr>
            <a:solidFill>
              <a:srgbClr val="70AD47"/>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'!$L$155:$L$169</c:f>
              <c:numCache>
                <c:formatCode>0.00000</c:formatCode>
                <c:ptCount val="14"/>
                <c:pt idx="0">
                  <c:v>5.9792322328200012</c:v>
                </c:pt>
                <c:pt idx="1">
                  <c:v>0.10691755741206391</c:v>
                </c:pt>
                <c:pt idx="2">
                  <c:v>6.4029685499999971E-3</c:v>
                </c:pt>
                <c:pt idx="3">
                  <c:v>8.2020777300000035E-3</c:v>
                </c:pt>
                <c:pt idx="4">
                  <c:v>1.188E-4</c:v>
                </c:pt>
                <c:pt idx="5">
                  <c:v>0.27236830103999998</c:v>
                </c:pt>
                <c:pt idx="6">
                  <c:v>1.1652300000000001E-6</c:v>
                </c:pt>
                <c:pt idx="7">
                  <c:v>3.0459511169999998E-2</c:v>
                </c:pt>
                <c:pt idx="8">
                  <c:v>1.1789910000000001E-2</c:v>
                </c:pt>
                <c:pt idx="9">
                  <c:v>1.4234041800000004E-3</c:v>
                </c:pt>
                <c:pt idx="10">
                  <c:v>0.91641784475333332</c:v>
                </c:pt>
                <c:pt idx="11">
                  <c:v>0.34617512399333333</c:v>
                </c:pt>
                <c:pt idx="12">
                  <c:v>6.0702336090000003E-2</c:v>
                </c:pt>
                <c:pt idx="13">
                  <c:v>0.14436576000000001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4C4-4201-9F4D-D52715368704}"/>
            </c:ext>
          </c:extLst>
        </c:ser>
        <c:ser>
          <c:idx val="6"/>
          <c:order val="6"/>
          <c:tx>
            <c:v>2016</c:v>
          </c:tx>
          <c:spPr>
            <a:solidFill>
              <a:srgbClr val="4472C4"/>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'!$M$155:$M$169</c:f>
              <c:numCache>
                <c:formatCode>0.00000</c:formatCode>
                <c:ptCount val="14"/>
                <c:pt idx="0">
                  <c:v>5.8720794432299988</c:v>
                </c:pt>
                <c:pt idx="1">
                  <c:v>0.10347971136207058</c:v>
                </c:pt>
                <c:pt idx="2">
                  <c:v>5.2310560499999976E-3</c:v>
                </c:pt>
                <c:pt idx="3">
                  <c:v>0.10650924504000001</c:v>
                </c:pt>
                <c:pt idx="4">
                  <c:v>5.346E-5</c:v>
                </c:pt>
                <c:pt idx="5">
                  <c:v>0.30967504722000005</c:v>
                </c:pt>
                <c:pt idx="6">
                  <c:v>0</c:v>
                </c:pt>
                <c:pt idx="7">
                  <c:v>3.2092795349999995E-2</c:v>
                </c:pt>
                <c:pt idx="8">
                  <c:v>8.3239200000000003E-3</c:v>
                </c:pt>
                <c:pt idx="9">
                  <c:v>1.75315635E-3</c:v>
                </c:pt>
                <c:pt idx="10">
                  <c:v>4.2669000000000002E-4</c:v>
                </c:pt>
                <c:pt idx="11">
                  <c:v>0.20714637140000003</c:v>
                </c:pt>
                <c:pt idx="12">
                  <c:v>6.1678576080000005E-2</c:v>
                </c:pt>
                <c:pt idx="13">
                  <c:v>0.14175513000000001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4C4-4201-9F4D-D52715368704}"/>
            </c:ext>
          </c:extLst>
        </c:ser>
        <c:ser>
          <c:idx val="7"/>
          <c:order val="7"/>
          <c:tx>
            <c:v>2017</c:v>
          </c:tx>
          <c:spPr>
            <a:solidFill>
              <a:srgbClr val="ED7D31"/>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'!$N$155:$N$169</c:f>
              <c:numCache>
                <c:formatCode>0.00000</c:formatCode>
                <c:ptCount val="14"/>
                <c:pt idx="0">
                  <c:v>6.0342910774502396</c:v>
                </c:pt>
                <c:pt idx="1">
                  <c:v>0.12933425677374569</c:v>
                </c:pt>
                <c:pt idx="2">
                  <c:v>5.0802532832700002E-3</c:v>
                </c:pt>
                <c:pt idx="3">
                  <c:v>6.3922926431430008E-2</c:v>
                </c:pt>
                <c:pt idx="4">
                  <c:v>5.4450000000000002E-5</c:v>
                </c:pt>
                <c:pt idx="5">
                  <c:v>0.27880514066591999</c:v>
                </c:pt>
                <c:pt idx="6">
                  <c:v>0</c:v>
                </c:pt>
                <c:pt idx="7">
                  <c:v>6.07492088874E-2</c:v>
                </c:pt>
                <c:pt idx="8">
                  <c:v>1.1883959999999999E-2</c:v>
                </c:pt>
                <c:pt idx="9">
                  <c:v>1.919047779E-3</c:v>
                </c:pt>
                <c:pt idx="10">
                  <c:v>4.5638999999999999E-4</c:v>
                </c:pt>
                <c:pt idx="11">
                  <c:v>0.23593725230999996</c:v>
                </c:pt>
                <c:pt idx="12">
                  <c:v>3.5796937512599998E-2</c:v>
                </c:pt>
                <c:pt idx="13">
                  <c:v>0.14669126999999998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4C4-4201-9F4D-D52715368704}"/>
            </c:ext>
          </c:extLst>
        </c:ser>
        <c:ser>
          <c:idx val="8"/>
          <c:order val="8"/>
          <c:tx>
            <c:v>2018</c:v>
          </c:tx>
          <c:spPr>
            <a:solidFill>
              <a:srgbClr val="A5A5A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'!$O$155:$O$169</c:f>
              <c:numCache>
                <c:formatCode>0.00000</c:formatCode>
                <c:ptCount val="14"/>
                <c:pt idx="0">
                  <c:v>6.4412943479101799</c:v>
                </c:pt>
                <c:pt idx="1">
                  <c:v>0.15438395645991049</c:v>
                </c:pt>
                <c:pt idx="2">
                  <c:v>4.5782228497500002E-3</c:v>
                </c:pt>
                <c:pt idx="3">
                  <c:v>3.8965876210799999E-3</c:v>
                </c:pt>
                <c:pt idx="4">
                  <c:v>4.4549999999999999E-5</c:v>
                </c:pt>
                <c:pt idx="5">
                  <c:v>0.28023870444768001</c:v>
                </c:pt>
                <c:pt idx="6">
                  <c:v>8.6801219999999999E-7</c:v>
                </c:pt>
                <c:pt idx="7">
                  <c:v>3.0641323775039996E-2</c:v>
                </c:pt>
                <c:pt idx="8">
                  <c:v>9.3159000000000002E-3</c:v>
                </c:pt>
                <c:pt idx="9">
                  <c:v>1.7021578364999998E-3</c:v>
                </c:pt>
                <c:pt idx="10">
                  <c:v>3.5837999999999999E-4</c:v>
                </c:pt>
                <c:pt idx="11">
                  <c:v>0.19069549176</c:v>
                </c:pt>
                <c:pt idx="12">
                  <c:v>7.3270773777959999E-2</c:v>
                </c:pt>
                <c:pt idx="13">
                  <c:v>0.15325496999999999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94C4-4201-9F4D-D52715368704}"/>
            </c:ext>
          </c:extLst>
        </c:ser>
        <c:ser>
          <c:idx val="9"/>
          <c:order val="9"/>
          <c:tx>
            <c:v>2019</c:v>
          </c:tx>
          <c:spPr>
            <a:solidFill>
              <a:srgbClr val="FFC000"/>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'!$P$155:$P$169</c:f>
              <c:numCache>
                <c:formatCode>0.00000</c:formatCode>
                <c:ptCount val="14"/>
                <c:pt idx="0">
                  <c:v>6.4224338951767495</c:v>
                </c:pt>
                <c:pt idx="1">
                  <c:v>0.2012267057146741</c:v>
                </c:pt>
                <c:pt idx="2">
                  <c:v>1.83901200912E-3</c:v>
                </c:pt>
                <c:pt idx="3">
                  <c:v>5.9730357952980005E-2</c:v>
                </c:pt>
                <c:pt idx="4">
                  <c:v>5.1915600000000004E-3</c:v>
                </c:pt>
                <c:pt idx="5">
                  <c:v>0.18561949282305001</c:v>
                </c:pt>
                <c:pt idx="6">
                  <c:v>4.6549205999999994E-6</c:v>
                </c:pt>
                <c:pt idx="7">
                  <c:v>5.4142762469399995E-2</c:v>
                </c:pt>
                <c:pt idx="8">
                  <c:v>2.4482699999999998E-3</c:v>
                </c:pt>
                <c:pt idx="9">
                  <c:v>2.3650077329999998E-3</c:v>
                </c:pt>
                <c:pt idx="10">
                  <c:v>2.1185999999999999E-4</c:v>
                </c:pt>
                <c:pt idx="11">
                  <c:v>7.8028522500000003E-2</c:v>
                </c:pt>
                <c:pt idx="12">
                  <c:v>5.2954798881599999E-2</c:v>
                </c:pt>
                <c:pt idx="13">
                  <c:v>0.15681698999999999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94C4-4201-9F4D-D52715368704}"/>
            </c:ext>
          </c:extLst>
        </c:ser>
        <c:ser>
          <c:idx val="10"/>
          <c:order val="10"/>
          <c:tx>
            <c:v>2020</c:v>
          </c:tx>
          <c:spPr>
            <a:solidFill>
              <a:srgbClr val="5B9BD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'!$Q$155:$Q$169</c:f>
              <c:numCache>
                <c:formatCode>0.00000</c:formatCode>
                <c:ptCount val="14"/>
                <c:pt idx="0">
                  <c:v>6.4986761916816302</c:v>
                </c:pt>
                <c:pt idx="1">
                  <c:v>0.24391120485460657</c:v>
                </c:pt>
                <c:pt idx="2">
                  <c:v>1.9353822414299999E-3</c:v>
                </c:pt>
                <c:pt idx="3">
                  <c:v>3.4368561859499998E-2</c:v>
                </c:pt>
                <c:pt idx="4">
                  <c:v>9.9000000000000001E-6</c:v>
                </c:pt>
                <c:pt idx="5">
                  <c:v>0.16102851381539998</c:v>
                </c:pt>
                <c:pt idx="6">
                  <c:v>4.9500000000000003E-7</c:v>
                </c:pt>
                <c:pt idx="7">
                  <c:v>6.0311352231899998E-2</c:v>
                </c:pt>
                <c:pt idx="8">
                  <c:v>1.0963260000000001E-2</c:v>
                </c:pt>
                <c:pt idx="9">
                  <c:v>1.7804449574999998E-3</c:v>
                </c:pt>
                <c:pt idx="10">
                  <c:v>1.1662199999999999E-3</c:v>
                </c:pt>
                <c:pt idx="11">
                  <c:v>0.16121535272449858</c:v>
                </c:pt>
                <c:pt idx="12">
                  <c:v>8.7190961052689989E-2</c:v>
                </c:pt>
                <c:pt idx="13">
                  <c:v>0.15137792999999999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94C4-4201-9F4D-D52715368704}"/>
            </c:ext>
          </c:extLst>
        </c:ser>
        <c:ser>
          <c:idx val="11"/>
          <c:order val="11"/>
          <c:tx>
            <c:v>2021</c:v>
          </c:tx>
          <c:spPr>
            <a:solidFill>
              <a:srgbClr val="70AD47"/>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'!$R$155:$R$169</c:f>
              <c:numCache>
                <c:formatCode>0.00000</c:formatCode>
                <c:ptCount val="14"/>
                <c:pt idx="0">
                  <c:v>6.55878148572834</c:v>
                </c:pt>
                <c:pt idx="1">
                  <c:v>0.2146640968001953</c:v>
                </c:pt>
                <c:pt idx="2">
                  <c:v>4.0226835042900004E-3</c:v>
                </c:pt>
                <c:pt idx="3">
                  <c:v>2.1661270735499998E-2</c:v>
                </c:pt>
                <c:pt idx="4">
                  <c:v>4.6064700000000005E-3</c:v>
                </c:pt>
                <c:pt idx="5">
                  <c:v>0.11199071555099999</c:v>
                </c:pt>
                <c:pt idx="6">
                  <c:v>8.9170784999999992E-6</c:v>
                </c:pt>
                <c:pt idx="7">
                  <c:v>6.5032651292400004E-2</c:v>
                </c:pt>
                <c:pt idx="8">
                  <c:v>1.1109780000000001E-2</c:v>
                </c:pt>
                <c:pt idx="9">
                  <c:v>1.424885517E-3</c:v>
                </c:pt>
                <c:pt idx="10">
                  <c:v>5.3361000000000001E-4</c:v>
                </c:pt>
                <c:pt idx="11">
                  <c:v>0.27764344030629629</c:v>
                </c:pt>
                <c:pt idx="12">
                  <c:v>5.2567395942600001E-2</c:v>
                </c:pt>
                <c:pt idx="13">
                  <c:v>0.16611704999999999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94C4-4201-9F4D-D52715368704}"/>
            </c:ext>
          </c:extLst>
        </c:ser>
        <c:dLbls>
          <c:showLegendKey val="0"/>
          <c:showVal val="0"/>
          <c:showCatName val="0"/>
          <c:showSerName val="0"/>
          <c:showPercent val="0"/>
          <c:showBubbleSize val="0"/>
        </c:dLbls>
        <c:gapWidth val="150"/>
        <c:axId val="1555559986"/>
        <c:axId val="264985695"/>
      </c:barChart>
      <c:catAx>
        <c:axId val="15555599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264985695"/>
        <c:crosses val="autoZero"/>
        <c:auto val="1"/>
        <c:lblAlgn val="ctr"/>
        <c:lblOffset val="100"/>
        <c:noMultiLvlLbl val="1"/>
      </c:catAx>
      <c:valAx>
        <c:axId val="264985695"/>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Exportaciones [Mton]</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555559986"/>
        <c:crosses val="autoZero"/>
        <c:crossBetween val="between"/>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'!$G$189:$G$202</c:f>
              <c:numCache>
                <c:formatCode>0.00000</c:formatCode>
                <c:ptCount val="14"/>
                <c:pt idx="0">
                  <c:v>0</c:v>
                </c:pt>
                <c:pt idx="1">
                  <c:v>0</c:v>
                </c:pt>
                <c:pt idx="2">
                  <c:v>2.7667708200000002E-3</c:v>
                </c:pt>
                <c:pt idx="3">
                  <c:v>4.0790579939999995E-2</c:v>
                </c:pt>
                <c:pt idx="4">
                  <c:v>0.47091329999999998</c:v>
                </c:pt>
                <c:pt idx="5">
                  <c:v>1.5346683990000002E-2</c:v>
                </c:pt>
                <c:pt idx="6">
                  <c:v>3.9748500000000006E-6</c:v>
                </c:pt>
                <c:pt idx="7">
                  <c:v>0</c:v>
                </c:pt>
                <c:pt idx="8">
                  <c:v>4.5163800000000004E-3</c:v>
                </c:pt>
                <c:pt idx="9">
                  <c:v>0.60588743786999988</c:v>
                </c:pt>
                <c:pt idx="10">
                  <c:v>6.6963599999999993E-3</c:v>
                </c:pt>
                <c:pt idx="11">
                  <c:v>5.0381099999999993E-3</c:v>
                </c:pt>
                <c:pt idx="12">
                  <c:v>5.3315203590000006E-2</c:v>
                </c:pt>
                <c:pt idx="13">
                  <c:v>3.0000000000000001E-6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1B-46EA-A35C-4A1FA87E3990}"/>
            </c:ext>
          </c:extLst>
        </c:ser>
        <c:ser>
          <c:idx val="1"/>
          <c:order val="1"/>
          <c:tx>
            <c:v>2011</c:v>
          </c:tx>
          <c:spPr>
            <a:solidFill>
              <a:srgbClr val="ED7D31"/>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'!$H$189:$H$202</c:f>
              <c:numCache>
                <c:formatCode>0.00000</c:formatCode>
                <c:ptCount val="14"/>
                <c:pt idx="0">
                  <c:v>1.590237E-5</c:v>
                </c:pt>
                <c:pt idx="1">
                  <c:v>0</c:v>
                </c:pt>
                <c:pt idx="2">
                  <c:v>6.333227999999998E-3</c:v>
                </c:pt>
                <c:pt idx="3">
                  <c:v>5.8067967869999994E-2</c:v>
                </c:pt>
                <c:pt idx="4">
                  <c:v>0.52968564000000007</c:v>
                </c:pt>
                <c:pt idx="5">
                  <c:v>1.1710432799999998E-2</c:v>
                </c:pt>
                <c:pt idx="6">
                  <c:v>9.8930699999999998E-6</c:v>
                </c:pt>
                <c:pt idx="7">
                  <c:v>1.683E-5</c:v>
                </c:pt>
                <c:pt idx="8">
                  <c:v>4.3431299999999997E-3</c:v>
                </c:pt>
                <c:pt idx="9">
                  <c:v>0.56001642246000016</c:v>
                </c:pt>
                <c:pt idx="10">
                  <c:v>7.3418400000000005E-3</c:v>
                </c:pt>
                <c:pt idx="11">
                  <c:v>5.0195217600000003E-3</c:v>
                </c:pt>
                <c:pt idx="12">
                  <c:v>6.333227999999998E-3</c:v>
                </c:pt>
                <c:pt idx="13">
                  <c:v>3.0000000000000001E-6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21B-46EA-A35C-4A1FA87E3990}"/>
            </c:ext>
          </c:extLst>
        </c:ser>
        <c:ser>
          <c:idx val="2"/>
          <c:order val="2"/>
          <c:tx>
            <c:v>2012</c:v>
          </c:tx>
          <c:spPr>
            <a:solidFill>
              <a:srgbClr val="A5A5A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'!$I$189:$I$202</c:f>
              <c:numCache>
                <c:formatCode>0.00000</c:formatCode>
                <c:ptCount val="14"/>
                <c:pt idx="0">
                  <c:v>7.8438878099999967E-3</c:v>
                </c:pt>
                <c:pt idx="1">
                  <c:v>0</c:v>
                </c:pt>
                <c:pt idx="2">
                  <c:v>2.2599561600000003E-3</c:v>
                </c:pt>
                <c:pt idx="3">
                  <c:v>3.9975128820000004E-2</c:v>
                </c:pt>
                <c:pt idx="4">
                  <c:v>0.30196484999999995</c:v>
                </c:pt>
                <c:pt idx="5">
                  <c:v>6.6203279999999995E-5</c:v>
                </c:pt>
                <c:pt idx="6">
                  <c:v>3.32244E-6</c:v>
                </c:pt>
                <c:pt idx="7">
                  <c:v>1.656072E-5</c:v>
                </c:pt>
                <c:pt idx="8">
                  <c:v>4.8203100000000004E-3</c:v>
                </c:pt>
                <c:pt idx="9">
                  <c:v>0.55970084214000004</c:v>
                </c:pt>
                <c:pt idx="10">
                  <c:v>7.8249600000000006E-3</c:v>
                </c:pt>
                <c:pt idx="11">
                  <c:v>6.7767875999999996E-3</c:v>
                </c:pt>
                <c:pt idx="12">
                  <c:v>2.2599561600000003E-3</c:v>
                </c:pt>
                <c:pt idx="13">
                  <c:v>5.0000000000000004E-6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21B-46EA-A35C-4A1FA87E3990}"/>
            </c:ext>
          </c:extLst>
        </c:ser>
        <c:ser>
          <c:idx val="3"/>
          <c:order val="3"/>
          <c:tx>
            <c:v>2013</c:v>
          </c:tx>
          <c:spPr>
            <a:solidFill>
              <a:srgbClr val="FFC000"/>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'!$J$189:$J$202</c:f>
              <c:numCache>
                <c:formatCode>0.00000</c:formatCode>
                <c:ptCount val="14"/>
                <c:pt idx="0">
                  <c:v>1.2307977000000002E-4</c:v>
                </c:pt>
                <c:pt idx="1">
                  <c:v>0</c:v>
                </c:pt>
                <c:pt idx="2">
                  <c:v>5.1322490999999989E-4</c:v>
                </c:pt>
                <c:pt idx="3">
                  <c:v>2.0914532100000001E-3</c:v>
                </c:pt>
                <c:pt idx="4">
                  <c:v>0.13172643000000001</c:v>
                </c:pt>
                <c:pt idx="5">
                  <c:v>2.0752360199999993E-3</c:v>
                </c:pt>
                <c:pt idx="6">
                  <c:v>5.2321499999999995E-6</c:v>
                </c:pt>
                <c:pt idx="7">
                  <c:v>0</c:v>
                </c:pt>
                <c:pt idx="8">
                  <c:v>4.7440800000000003E-3</c:v>
                </c:pt>
                <c:pt idx="9">
                  <c:v>0.58545025308000009</c:v>
                </c:pt>
                <c:pt idx="10">
                  <c:v>8.5140000000000007E-3</c:v>
                </c:pt>
                <c:pt idx="11">
                  <c:v>5.3271899999999999E-3</c:v>
                </c:pt>
                <c:pt idx="12">
                  <c:v>5.1322490999999989E-4</c:v>
                </c:pt>
                <c:pt idx="13">
                  <c:v>3.9999999999999998E-6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21B-46EA-A35C-4A1FA87E3990}"/>
            </c:ext>
          </c:extLst>
        </c:ser>
        <c:ser>
          <c:idx val="4"/>
          <c:order val="4"/>
          <c:tx>
            <c:v>2014</c:v>
          </c:tx>
          <c:spPr>
            <a:solidFill>
              <a:srgbClr val="5B9BD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'!$K$189:$K$202</c:f>
              <c:numCache>
                <c:formatCode>0.00000</c:formatCode>
                <c:ptCount val="14"/>
                <c:pt idx="0">
                  <c:v>0</c:v>
                </c:pt>
                <c:pt idx="1">
                  <c:v>0</c:v>
                </c:pt>
                <c:pt idx="2">
                  <c:v>1.3330548000000002E-4</c:v>
                </c:pt>
                <c:pt idx="3">
                  <c:v>2.2106864339999997E-2</c:v>
                </c:pt>
                <c:pt idx="4">
                  <c:v>0.1150578</c:v>
                </c:pt>
                <c:pt idx="5">
                  <c:v>5.0711700600000005E-3</c:v>
                </c:pt>
                <c:pt idx="6">
                  <c:v>6.1211699999999995E-6</c:v>
                </c:pt>
                <c:pt idx="7">
                  <c:v>0</c:v>
                </c:pt>
                <c:pt idx="8">
                  <c:v>4.9826699999999998E-3</c:v>
                </c:pt>
                <c:pt idx="9">
                  <c:v>7.8623126999999987E-3</c:v>
                </c:pt>
                <c:pt idx="10">
                  <c:v>0.79064435043000003</c:v>
                </c:pt>
                <c:pt idx="11">
                  <c:v>6.2152200000000005E-3</c:v>
                </c:pt>
                <c:pt idx="12">
                  <c:v>1.3330548000000002E-4</c:v>
                </c:pt>
                <c:pt idx="13">
                  <c:v>9.0000000000000002E-6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21B-46EA-A35C-4A1FA87E3990}"/>
            </c:ext>
          </c:extLst>
        </c:ser>
        <c:ser>
          <c:idx val="5"/>
          <c:order val="5"/>
          <c:tx>
            <c:v>2015</c:v>
          </c:tx>
          <c:spPr>
            <a:solidFill>
              <a:srgbClr val="70AD47"/>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'!$L$189:$L$202</c:f>
              <c:numCache>
                <c:formatCode>0.00000</c:formatCode>
                <c:ptCount val="14"/>
                <c:pt idx="0">
                  <c:v>0</c:v>
                </c:pt>
                <c:pt idx="1">
                  <c:v>5.0490000000000003E-7</c:v>
                </c:pt>
                <c:pt idx="2">
                  <c:v>1.2923006593695358E-2</c:v>
                </c:pt>
                <c:pt idx="3">
                  <c:v>4.9399702109999999E-2</c:v>
                </c:pt>
                <c:pt idx="4">
                  <c:v>3.2783849999999996E-2</c:v>
                </c:pt>
                <c:pt idx="5">
                  <c:v>1.1520953730000002E-2</c:v>
                </c:pt>
                <c:pt idx="6">
                  <c:v>4.0283099999999999E-6</c:v>
                </c:pt>
                <c:pt idx="7">
                  <c:v>0</c:v>
                </c:pt>
                <c:pt idx="8">
                  <c:v>2.5512299999999998E-3</c:v>
                </c:pt>
                <c:pt idx="9">
                  <c:v>1.0556057788781665</c:v>
                </c:pt>
                <c:pt idx="10">
                  <c:v>0.89911865142000014</c:v>
                </c:pt>
                <c:pt idx="11">
                  <c:v>6.2726201999999997E-3</c:v>
                </c:pt>
                <c:pt idx="12">
                  <c:v>2.0031659999999993E-4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21B-46EA-A35C-4A1FA87E3990}"/>
            </c:ext>
          </c:extLst>
        </c:ser>
        <c:ser>
          <c:idx val="6"/>
          <c:order val="6"/>
          <c:tx>
            <c:v>2016</c:v>
          </c:tx>
          <c:spPr>
            <a:solidFill>
              <a:srgbClr val="4472C4"/>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'!$M$189:$M$202</c:f>
              <c:numCache>
                <c:formatCode>0.00000</c:formatCode>
                <c:ptCount val="14"/>
                <c:pt idx="0">
                  <c:v>0</c:v>
                </c:pt>
                <c:pt idx="1">
                  <c:v>2.97E-5</c:v>
                </c:pt>
                <c:pt idx="2">
                  <c:v>1.306622352772877E-2</c:v>
                </c:pt>
                <c:pt idx="3">
                  <c:v>4.6782965789999999E-2</c:v>
                </c:pt>
                <c:pt idx="4">
                  <c:v>6.2773919999999997E-2</c:v>
                </c:pt>
                <c:pt idx="5">
                  <c:v>6.9910830000000004E-5</c:v>
                </c:pt>
                <c:pt idx="6">
                  <c:v>3.9738599999999999E-6</c:v>
                </c:pt>
                <c:pt idx="7">
                  <c:v>0</c:v>
                </c:pt>
                <c:pt idx="8">
                  <c:v>4.3738199999999996E-3</c:v>
                </c:pt>
                <c:pt idx="9">
                  <c:v>0.92697509420999979</c:v>
                </c:pt>
                <c:pt idx="10">
                  <c:v>8.3397599999999999E-3</c:v>
                </c:pt>
                <c:pt idx="11">
                  <c:v>5.9093100000000001E-3</c:v>
                </c:pt>
                <c:pt idx="12">
                  <c:v>4.7968073999999988E-4</c:v>
                </c:pt>
                <c:pt idx="13">
                  <c:v>9.9999999999999995E-7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21B-46EA-A35C-4A1FA87E3990}"/>
            </c:ext>
          </c:extLst>
        </c:ser>
        <c:ser>
          <c:idx val="7"/>
          <c:order val="7"/>
          <c:tx>
            <c:v>2017</c:v>
          </c:tx>
          <c:spPr>
            <a:solidFill>
              <a:srgbClr val="ED7D31"/>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'!$N$189:$N$202</c:f>
              <c:numCache>
                <c:formatCode>0.00000</c:formatCode>
                <c:ptCount val="14"/>
                <c:pt idx="0">
                  <c:v>0</c:v>
                </c:pt>
                <c:pt idx="1">
                  <c:v>5.94E-5</c:v>
                </c:pt>
                <c:pt idx="2">
                  <c:v>9.2879308381677433E-3</c:v>
                </c:pt>
                <c:pt idx="3">
                  <c:v>7.5367431783269989E-2</c:v>
                </c:pt>
                <c:pt idx="4">
                  <c:v>7.7792219999999995E-2</c:v>
                </c:pt>
                <c:pt idx="5">
                  <c:v>1.1254289112E-4</c:v>
                </c:pt>
                <c:pt idx="6">
                  <c:v>2.2787622000000002E-5</c:v>
                </c:pt>
                <c:pt idx="7">
                  <c:v>0</c:v>
                </c:pt>
                <c:pt idx="8">
                  <c:v>4.80942E-3</c:v>
                </c:pt>
                <c:pt idx="9">
                  <c:v>1.11774264921</c:v>
                </c:pt>
                <c:pt idx="10">
                  <c:v>9.5851800000000004E-3</c:v>
                </c:pt>
                <c:pt idx="11">
                  <c:v>6.5646899999999998E-3</c:v>
                </c:pt>
                <c:pt idx="12">
                  <c:v>3.3675006816000002E-4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21B-46EA-A35C-4A1FA87E3990}"/>
            </c:ext>
          </c:extLst>
        </c:ser>
        <c:ser>
          <c:idx val="8"/>
          <c:order val="8"/>
          <c:tx>
            <c:v>2018</c:v>
          </c:tx>
          <c:spPr>
            <a:solidFill>
              <a:srgbClr val="A5A5A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'!$O$189:$O$202</c:f>
              <c:numCache>
                <c:formatCode>0.00000</c:formatCode>
                <c:ptCount val="14"/>
                <c:pt idx="0">
                  <c:v>0</c:v>
                </c:pt>
                <c:pt idx="1">
                  <c:v>5.94E-5</c:v>
                </c:pt>
                <c:pt idx="2">
                  <c:v>1.2549685804750004E-2</c:v>
                </c:pt>
                <c:pt idx="3">
                  <c:v>3.8495490626339994E-2</c:v>
                </c:pt>
                <c:pt idx="4">
                  <c:v>5.6735909999999994E-2</c:v>
                </c:pt>
                <c:pt idx="5">
                  <c:v>6.4052071577999992E-3</c:v>
                </c:pt>
                <c:pt idx="6">
                  <c:v>3.9607226999999998E-6</c:v>
                </c:pt>
                <c:pt idx="7">
                  <c:v>0</c:v>
                </c:pt>
                <c:pt idx="8">
                  <c:v>4.75101E-3</c:v>
                </c:pt>
                <c:pt idx="9">
                  <c:v>1.1163827426399999</c:v>
                </c:pt>
                <c:pt idx="10">
                  <c:v>1.0400940000000001E-2</c:v>
                </c:pt>
                <c:pt idx="11">
                  <c:v>6.2166059999999995E-3</c:v>
                </c:pt>
                <c:pt idx="12">
                  <c:v>1.75655217375E-3</c:v>
                </c:pt>
                <c:pt idx="13">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921B-46EA-A35C-4A1FA87E3990}"/>
            </c:ext>
          </c:extLst>
        </c:ser>
        <c:ser>
          <c:idx val="9"/>
          <c:order val="9"/>
          <c:tx>
            <c:v>2019</c:v>
          </c:tx>
          <c:spPr>
            <a:solidFill>
              <a:srgbClr val="FFC000"/>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'!$P$189:$P$202</c:f>
              <c:numCache>
                <c:formatCode>0.00000</c:formatCode>
                <c:ptCount val="14"/>
                <c:pt idx="0">
                  <c:v>0</c:v>
                </c:pt>
                <c:pt idx="1">
                  <c:v>5.94E-5</c:v>
                </c:pt>
                <c:pt idx="2">
                  <c:v>5.1538124631200135E-3</c:v>
                </c:pt>
                <c:pt idx="3">
                  <c:v>2.8920761788049996E-2</c:v>
                </c:pt>
                <c:pt idx="4">
                  <c:v>2.7309150000000001E-2</c:v>
                </c:pt>
                <c:pt idx="5">
                  <c:v>1.8851188069889998E-2</c:v>
                </c:pt>
                <c:pt idx="6">
                  <c:v>0</c:v>
                </c:pt>
                <c:pt idx="7">
                  <c:v>3.3937667803175621E-2</c:v>
                </c:pt>
                <c:pt idx="8">
                  <c:v>3.6936899999999999E-3</c:v>
                </c:pt>
                <c:pt idx="9">
                  <c:v>1.1711372280300001</c:v>
                </c:pt>
                <c:pt idx="10">
                  <c:v>1.228491E-2</c:v>
                </c:pt>
                <c:pt idx="11">
                  <c:v>6.4013895000000001E-3</c:v>
                </c:pt>
                <c:pt idx="12">
                  <c:v>3.0912361919999999E-4</c:v>
                </c:pt>
                <c:pt idx="13">
                  <c:v>6.4999999999999994E-5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921B-46EA-A35C-4A1FA87E3990}"/>
            </c:ext>
          </c:extLst>
        </c:ser>
        <c:ser>
          <c:idx val="10"/>
          <c:order val="10"/>
          <c:tx>
            <c:v>2020</c:v>
          </c:tx>
          <c:spPr>
            <a:solidFill>
              <a:srgbClr val="5B9BD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'!$Q$189:$Q$202</c:f>
              <c:numCache>
                <c:formatCode>0.00000</c:formatCode>
                <c:ptCount val="14"/>
                <c:pt idx="0">
                  <c:v>0</c:v>
                </c:pt>
                <c:pt idx="1">
                  <c:v>1.5502266450000002E-5</c:v>
                </c:pt>
                <c:pt idx="2">
                  <c:v>8.488391902630012E-3</c:v>
                </c:pt>
                <c:pt idx="3">
                  <c:v>2.7924159298860003E-2</c:v>
                </c:pt>
                <c:pt idx="4">
                  <c:v>4.8787199999999996E-2</c:v>
                </c:pt>
                <c:pt idx="5">
                  <c:v>4.9142684843999996E-3</c:v>
                </c:pt>
                <c:pt idx="6">
                  <c:v>0</c:v>
                </c:pt>
                <c:pt idx="7">
                  <c:v>3.3177234568879888E-2</c:v>
                </c:pt>
                <c:pt idx="8">
                  <c:v>6.3013500000000007E-3</c:v>
                </c:pt>
                <c:pt idx="9">
                  <c:v>1.2535868013669</c:v>
                </c:pt>
                <c:pt idx="10">
                  <c:v>9.2446200000000003E-3</c:v>
                </c:pt>
                <c:pt idx="11">
                  <c:v>7.4665801108800001E-3</c:v>
                </c:pt>
                <c:pt idx="12">
                  <c:v>2.8502965556999999E-4</c:v>
                </c:pt>
                <c:pt idx="13">
                  <c:v>1.5999999999999999E-5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921B-46EA-A35C-4A1FA87E3990}"/>
            </c:ext>
          </c:extLst>
        </c:ser>
        <c:ser>
          <c:idx val="11"/>
          <c:order val="11"/>
          <c:tx>
            <c:v>2021</c:v>
          </c:tx>
          <c:spPr>
            <a:solidFill>
              <a:srgbClr val="70AD47"/>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'!$R$189:$R$202</c:f>
              <c:numCache>
                <c:formatCode>0.00000</c:formatCode>
                <c:ptCount val="14"/>
                <c:pt idx="0">
                  <c:v>2.2309075800000001E-5</c:v>
                </c:pt>
                <c:pt idx="1">
                  <c:v>1.485E-5</c:v>
                </c:pt>
                <c:pt idx="2">
                  <c:v>9.1421000816264107E-3</c:v>
                </c:pt>
                <c:pt idx="3">
                  <c:v>3.914996472684E-2</c:v>
                </c:pt>
                <c:pt idx="4">
                  <c:v>5.6826000000000002E-2</c:v>
                </c:pt>
                <c:pt idx="5">
                  <c:v>1.41248521953E-2</c:v>
                </c:pt>
                <c:pt idx="6">
                  <c:v>0</c:v>
                </c:pt>
                <c:pt idx="7">
                  <c:v>4.7858902209213905E-2</c:v>
                </c:pt>
                <c:pt idx="8">
                  <c:v>4.24611E-3</c:v>
                </c:pt>
                <c:pt idx="9">
                  <c:v>1.4902693066205999</c:v>
                </c:pt>
                <c:pt idx="10">
                  <c:v>1.3803569999999999E-2</c:v>
                </c:pt>
                <c:pt idx="11">
                  <c:v>8.0476308000000003E-3</c:v>
                </c:pt>
                <c:pt idx="12">
                  <c:v>3.5763463197E-4</c:v>
                </c:pt>
                <c:pt idx="13">
                  <c:v>4.3000000000000002E-5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921B-46EA-A35C-4A1FA87E3990}"/>
            </c:ext>
          </c:extLst>
        </c:ser>
        <c:dLbls>
          <c:showLegendKey val="0"/>
          <c:showVal val="0"/>
          <c:showCatName val="0"/>
          <c:showSerName val="0"/>
          <c:showPercent val="0"/>
          <c:showBubbleSize val="0"/>
        </c:dLbls>
        <c:gapWidth val="150"/>
        <c:axId val="1196805356"/>
        <c:axId val="1518198729"/>
      </c:barChart>
      <c:catAx>
        <c:axId val="11968053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518198729"/>
        <c:crosses val="autoZero"/>
        <c:auto val="1"/>
        <c:lblAlgn val="ctr"/>
        <c:lblOffset val="100"/>
        <c:noMultiLvlLbl val="1"/>
      </c:catAx>
      <c:valAx>
        <c:axId val="1518198729"/>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Importaciones [Mton]</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196805356"/>
        <c:crosses val="autoZero"/>
        <c:crossBetween val="between"/>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'!$G$207:$G$284</c:f>
              <c:numCache>
                <c:formatCode>#,##0.0000</c:formatCode>
                <c:ptCount val="15"/>
                <c:pt idx="0">
                  <c:v>3.0355418750299954</c:v>
                </c:pt>
                <c:pt idx="1">
                  <c:v>6.7048912000000002E-2</c:v>
                </c:pt>
                <c:pt idx="2">
                  <c:v>1.310904872E-2</c:v>
                </c:pt>
                <c:pt idx="3">
                  <c:v>8.3692369536899989</c:v>
                </c:pt>
                <c:pt idx="4">
                  <c:v>1.4512284899999999</c:v>
                </c:pt>
                <c:pt idx="5">
                  <c:v>2.7214882613399998</c:v>
                </c:pt>
                <c:pt idx="6" formatCode="General">
                  <c:v>0</c:v>
                </c:pt>
                <c:pt idx="7" formatCode="General">
                  <c:v>0</c:v>
                </c:pt>
                <c:pt idx="8">
                  <c:v>4.2137569999999999E-2</c:v>
                </c:pt>
                <c:pt idx="9">
                  <c:v>0.6321879455799998</c:v>
                </c:pt>
                <c:pt idx="10">
                  <c:v>0.44258848000000001</c:v>
                </c:pt>
                <c:pt idx="11">
                  <c:v>0.11372715868</c:v>
                </c:pt>
                <c:pt idx="12">
                  <c:v>0.10207825920000001</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2E-4A45-8C47-51712A05F4FC}"/>
            </c:ext>
          </c:extLst>
        </c:ser>
        <c:ser>
          <c:idx val="1"/>
          <c:order val="1"/>
          <c:tx>
            <c:v>2011</c:v>
          </c:tx>
          <c:spPr>
            <a:solidFill>
              <a:srgbClr val="ED7D31"/>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'!$H$207:$H$284</c:f>
              <c:numCache>
                <c:formatCode>#,##0.0000</c:formatCode>
                <c:ptCount val="15"/>
                <c:pt idx="0">
                  <c:v>2.0898253236999977</c:v>
                </c:pt>
                <c:pt idx="1">
                  <c:v>7.2065723999999998E-2</c:v>
                </c:pt>
                <c:pt idx="2">
                  <c:v>1.497646635E-2</c:v>
                </c:pt>
                <c:pt idx="3">
                  <c:v>8.1712395644800004</c:v>
                </c:pt>
                <c:pt idx="4">
                  <c:v>1.4889460600000002</c:v>
                </c:pt>
                <c:pt idx="5">
                  <c:v>1.8616817074100003</c:v>
                </c:pt>
                <c:pt idx="6" formatCode="General">
                  <c:v>0</c:v>
                </c:pt>
                <c:pt idx="7" formatCode="General">
                  <c:v>0</c:v>
                </c:pt>
                <c:pt idx="8">
                  <c:v>4.9416439999999992E-2</c:v>
                </c:pt>
                <c:pt idx="9">
                  <c:v>0.59055831554000016</c:v>
                </c:pt>
                <c:pt idx="10">
                  <c:v>0.38116450999999996</c:v>
                </c:pt>
                <c:pt idx="11">
                  <c:v>7.3707109180000008E-2</c:v>
                </c:pt>
                <c:pt idx="12">
                  <c:v>6.5676381239999998E-2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2E-4A45-8C47-51712A05F4FC}"/>
            </c:ext>
          </c:extLst>
        </c:ser>
        <c:ser>
          <c:idx val="2"/>
          <c:order val="2"/>
          <c:tx>
            <c:v>2012</c:v>
          </c:tx>
          <c:spPr>
            <a:solidFill>
              <a:srgbClr val="A5A5A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'!$I$207:$I$284</c:f>
              <c:numCache>
                <c:formatCode>#,##0.0000</c:formatCode>
                <c:ptCount val="15"/>
                <c:pt idx="0">
                  <c:v>2.0887378642099987</c:v>
                </c:pt>
                <c:pt idx="1">
                  <c:v>6.9083892000000008E-2</c:v>
                </c:pt>
                <c:pt idx="2">
                  <c:v>1.319282705E-2</c:v>
                </c:pt>
                <c:pt idx="3">
                  <c:v>7.4059731342199999</c:v>
                </c:pt>
                <c:pt idx="4">
                  <c:v>1.6287515800000001</c:v>
                </c:pt>
                <c:pt idx="5">
                  <c:v>2.3757865370999998</c:v>
                </c:pt>
                <c:pt idx="6" formatCode="General">
                  <c:v>0</c:v>
                </c:pt>
                <c:pt idx="7" formatCode="General">
                  <c:v>0</c:v>
                </c:pt>
                <c:pt idx="8">
                  <c:v>2.8047090000000004E-2</c:v>
                </c:pt>
                <c:pt idx="9">
                  <c:v>0.57765784803999998</c:v>
                </c:pt>
                <c:pt idx="10">
                  <c:v>0.35676077999999994</c:v>
                </c:pt>
                <c:pt idx="11">
                  <c:v>0.12587076235</c:v>
                </c:pt>
                <c:pt idx="12">
                  <c:v>8.5380913650000001E-2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C2E-4A45-8C47-51712A05F4FC}"/>
            </c:ext>
          </c:extLst>
        </c:ser>
        <c:ser>
          <c:idx val="3"/>
          <c:order val="3"/>
          <c:tx>
            <c:v>2013</c:v>
          </c:tx>
          <c:spPr>
            <a:solidFill>
              <a:srgbClr val="FFC000"/>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'!$J$207:$J$284</c:f>
              <c:numCache>
                <c:formatCode>#,##0.0000</c:formatCode>
                <c:ptCount val="15"/>
                <c:pt idx="0">
                  <c:v>0.85220044646999593</c:v>
                </c:pt>
                <c:pt idx="1">
                  <c:v>7.0098996000000011E-2</c:v>
                </c:pt>
                <c:pt idx="2">
                  <c:v>1.340853665E-2</c:v>
                </c:pt>
                <c:pt idx="3">
                  <c:v>7.1484037951300001</c:v>
                </c:pt>
                <c:pt idx="4">
                  <c:v>1.30813424</c:v>
                </c:pt>
                <c:pt idx="5">
                  <c:v>2.1191380690000003</c:v>
                </c:pt>
                <c:pt idx="6" formatCode="General">
                  <c:v>0</c:v>
                </c:pt>
                <c:pt idx="7" formatCode="General">
                  <c:v>0</c:v>
                </c:pt>
                <c:pt idx="8">
                  <c:v>1.7736079999999998E-2</c:v>
                </c:pt>
                <c:pt idx="9">
                  <c:v>0.61226024516000011</c:v>
                </c:pt>
                <c:pt idx="10">
                  <c:v>0.39978326000000003</c:v>
                </c:pt>
                <c:pt idx="11">
                  <c:v>0.16428543829</c:v>
                </c:pt>
                <c:pt idx="12">
                  <c:v>3.9332640070000001E-2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C2E-4A45-8C47-51712A05F4FC}"/>
            </c:ext>
          </c:extLst>
        </c:ser>
        <c:ser>
          <c:idx val="4"/>
          <c:order val="4"/>
          <c:tx>
            <c:v>2014</c:v>
          </c:tx>
          <c:spPr>
            <a:solidFill>
              <a:srgbClr val="5B9BD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'!$K$207:$K$284</c:f>
              <c:numCache>
                <c:formatCode>#,##0.0000</c:formatCode>
                <c:ptCount val="15"/>
                <c:pt idx="0">
                  <c:v>1.24876423064</c:v>
                </c:pt>
                <c:pt idx="1">
                  <c:v>7.3109863999999997E-2</c:v>
                </c:pt>
                <c:pt idx="2">
                  <c:v>1.3623346099999999E-2</c:v>
                </c:pt>
                <c:pt idx="3">
                  <c:v>8.2643146960299987</c:v>
                </c:pt>
                <c:pt idx="4">
                  <c:v>1.7813965900000002</c:v>
                </c:pt>
                <c:pt idx="5">
                  <c:v>3.25588158477</c:v>
                </c:pt>
                <c:pt idx="6">
                  <c:v>3.2683261159999998E-2</c:v>
                </c:pt>
                <c:pt idx="7" formatCode="General">
                  <c:v>0</c:v>
                </c:pt>
                <c:pt idx="8">
                  <c:v>5.7078709999999998E-2</c:v>
                </c:pt>
                <c:pt idx="9">
                  <c:v>2.8445957019999999E-2</c:v>
                </c:pt>
                <c:pt idx="10">
                  <c:v>1.32256869043</c:v>
                </c:pt>
                <c:pt idx="11">
                  <c:v>0.24405024168</c:v>
                </c:pt>
                <c:pt idx="12">
                  <c:v>0.11314017696000001</c:v>
                </c:pt>
                <c:pt idx="13">
                  <c:v>0.31483314089999997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C2E-4A45-8C47-51712A05F4FC}"/>
            </c:ext>
          </c:extLst>
        </c:ser>
        <c:ser>
          <c:idx val="5"/>
          <c:order val="5"/>
          <c:tx>
            <c:v>2015</c:v>
          </c:tx>
          <c:spPr>
            <a:solidFill>
              <a:srgbClr val="70AD47"/>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'!$L$207:$L$284</c:f>
              <c:numCache>
                <c:formatCode>#,##0.0000</c:formatCode>
                <c:ptCount val="15"/>
                <c:pt idx="0">
                  <c:v>1.2151987671799986</c:v>
                </c:pt>
                <c:pt idx="1">
                  <c:v>7.3274947487936087E-2</c:v>
                </c:pt>
                <c:pt idx="2">
                  <c:v>1.181703804369536E-2</c:v>
                </c:pt>
                <c:pt idx="3">
                  <c:v>10.14730262438</c:v>
                </c:pt>
                <c:pt idx="4">
                  <c:v>2.0502380499999999</c:v>
                </c:pt>
                <c:pt idx="5">
                  <c:v>3.9148116526899992</c:v>
                </c:pt>
                <c:pt idx="6">
                  <c:v>3.2699863079999995E-2</c:v>
                </c:pt>
                <c:pt idx="7">
                  <c:v>3.287521718570674E-2</c:v>
                </c:pt>
                <c:pt idx="8">
                  <c:v>5.3838319999999995E-2</c:v>
                </c:pt>
                <c:pt idx="9">
                  <c:v>1.0778693746981665</c:v>
                </c:pt>
                <c:pt idx="10">
                  <c:v>0.45542080666666673</c:v>
                </c:pt>
                <c:pt idx="11">
                  <c:v>0.86233049620666691</c:v>
                </c:pt>
                <c:pt idx="12">
                  <c:v>0.11523932673532772</c:v>
                </c:pt>
                <c:pt idx="13">
                  <c:v>0.44756851089999994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7C2E-4A45-8C47-51712A05F4FC}"/>
            </c:ext>
          </c:extLst>
        </c:ser>
        <c:ser>
          <c:idx val="6"/>
          <c:order val="6"/>
          <c:tx>
            <c:v>2016</c:v>
          </c:tx>
          <c:spPr>
            <a:solidFill>
              <a:srgbClr val="4472C4"/>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'!$M$207:$M$284</c:f>
              <c:numCache>
                <c:formatCode>#,##0.0000</c:formatCode>
                <c:ptCount val="15"/>
                <c:pt idx="0">
                  <c:v>0.65759655677000151</c:v>
                </c:pt>
                <c:pt idx="1">
                  <c:v>7.4100988637929396E-2</c:v>
                </c:pt>
                <c:pt idx="2">
                  <c:v>1.1740167477728772E-2</c:v>
                </c:pt>
                <c:pt idx="3">
                  <c:v>8.6018827207499999</c:v>
                </c:pt>
                <c:pt idx="4">
                  <c:v>1.2617954599999999</c:v>
                </c:pt>
                <c:pt idx="5">
                  <c:v>2.8144638636100003</c:v>
                </c:pt>
                <c:pt idx="6">
                  <c:v>4.1791973859999998E-2</c:v>
                </c:pt>
                <c:pt idx="7">
                  <c:v>8.7102896079817582E-3</c:v>
                </c:pt>
                <c:pt idx="8">
                  <c:v>6.9878900000000008E-2</c:v>
                </c:pt>
                <c:pt idx="9">
                  <c:v>0.9612849378599998</c:v>
                </c:pt>
                <c:pt idx="10">
                  <c:v>0.52122907000000007</c:v>
                </c:pt>
                <c:pt idx="11">
                  <c:v>0.74313893859999991</c:v>
                </c:pt>
                <c:pt idx="12">
                  <c:v>8.7653019702018234E-2</c:v>
                </c:pt>
                <c:pt idx="13">
                  <c:v>0.39219678829999999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C2E-4A45-8C47-51712A05F4FC}"/>
            </c:ext>
          </c:extLst>
        </c:ser>
        <c:ser>
          <c:idx val="7"/>
          <c:order val="7"/>
          <c:tx>
            <c:v>2017</c:v>
          </c:tx>
          <c:spPr>
            <a:solidFill>
              <a:srgbClr val="ED7D31"/>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'!$N$207:$N$284</c:f>
              <c:numCache>
                <c:formatCode>#,##0.0000</c:formatCode>
                <c:ptCount val="15"/>
                <c:pt idx="0">
                  <c:v>0.24781392254975998</c:v>
                </c:pt>
                <c:pt idx="1">
                  <c:v>7.6680143226254299E-2</c:v>
                </c:pt>
                <c:pt idx="2">
                  <c:v>1.1771677554897744E-2</c:v>
                </c:pt>
                <c:pt idx="3">
                  <c:v>9.3564275053518404</c:v>
                </c:pt>
                <c:pt idx="4">
                  <c:v>1.6500167700000001</c:v>
                </c:pt>
                <c:pt idx="5">
                  <c:v>2.9973004022252003</c:v>
                </c:pt>
                <c:pt idx="6">
                  <c:v>3.5028787622000006E-2</c:v>
                </c:pt>
                <c:pt idx="7">
                  <c:v>4.6232829607068676E-3</c:v>
                </c:pt>
                <c:pt idx="8">
                  <c:v>5.6292460000000002E-2</c:v>
                </c:pt>
                <c:pt idx="9">
                  <c:v>1.1364256014309999</c:v>
                </c:pt>
                <c:pt idx="10">
                  <c:v>0.48889779000000005</c:v>
                </c:pt>
                <c:pt idx="11">
                  <c:v>0.97986343769000006</c:v>
                </c:pt>
                <c:pt idx="12">
                  <c:v>0.20980732070745314</c:v>
                </c:pt>
                <c:pt idx="13">
                  <c:v>0.45499716839999998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7C2E-4A45-8C47-51712A05F4FC}"/>
            </c:ext>
          </c:extLst>
        </c:ser>
        <c:ser>
          <c:idx val="8"/>
          <c:order val="8"/>
          <c:tx>
            <c:v>2018</c:v>
          </c:tx>
          <c:spPr>
            <a:solidFill>
              <a:srgbClr val="A5A5A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'!$O$207:$O$284</c:f>
              <c:numCache>
                <c:formatCode>#,##0.0000</c:formatCode>
                <c:ptCount val="15"/>
                <c:pt idx="0">
                  <c:v>6.4340652089819983E-2</c:v>
                </c:pt>
                <c:pt idx="1">
                  <c:v>8.0857443540089502E-2</c:v>
                </c:pt>
                <c:pt idx="2">
                  <c:v>1.3036462955000005E-2</c:v>
                </c:pt>
                <c:pt idx="3">
                  <c:v>7.8752339030052596</c:v>
                </c:pt>
                <c:pt idx="4">
                  <c:v>1.50595736</c:v>
                </c:pt>
                <c:pt idx="5">
                  <c:v>2.51192250271012</c:v>
                </c:pt>
                <c:pt idx="6">
                  <c:v>2.5507092710500001E-2</c:v>
                </c:pt>
                <c:pt idx="7">
                  <c:v>1.3011316471616012E-2</c:v>
                </c:pt>
                <c:pt idx="8">
                  <c:v>6.205811E-2</c:v>
                </c:pt>
                <c:pt idx="9">
                  <c:v>1.1358975848035</c:v>
                </c:pt>
                <c:pt idx="10">
                  <c:v>0.35613556000000002</c:v>
                </c:pt>
                <c:pt idx="11">
                  <c:v>0.81041011424000009</c:v>
                </c:pt>
                <c:pt idx="12">
                  <c:v>0.18250613814913397</c:v>
                </c:pt>
                <c:pt idx="13">
                  <c:v>0.35244185919999993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7C2E-4A45-8C47-51712A05F4FC}"/>
            </c:ext>
          </c:extLst>
        </c:ser>
        <c:ser>
          <c:idx val="9"/>
          <c:order val="9"/>
          <c:tx>
            <c:v>2019</c:v>
          </c:tx>
          <c:spPr>
            <a:solidFill>
              <a:srgbClr val="FFC000"/>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'!$P$207:$P$284</c:f>
              <c:numCache>
                <c:formatCode>#,##0.0000</c:formatCode>
                <c:ptCount val="15"/>
                <c:pt idx="0">
                  <c:v>0.16104310482325079</c:v>
                </c:pt>
                <c:pt idx="1">
                  <c:v>8.2512694285325872E-2</c:v>
                </c:pt>
                <c:pt idx="2">
                  <c:v>1.1455800454000013E-2</c:v>
                </c:pt>
                <c:pt idx="3">
                  <c:v>10.058060403835071</c:v>
                </c:pt>
                <c:pt idx="4">
                  <c:v>1.65063659</c:v>
                </c:pt>
                <c:pt idx="5">
                  <c:v>2.1091796952468402</c:v>
                </c:pt>
                <c:pt idx="6">
                  <c:v>3.9510345079400003E-2</c:v>
                </c:pt>
                <c:pt idx="7">
                  <c:v>1.480502655650285E-2</c:v>
                </c:pt>
                <c:pt idx="8">
                  <c:v>7.0931419999999995E-2</c:v>
                </c:pt>
                <c:pt idx="9">
                  <c:v>1.1918002202970002</c:v>
                </c:pt>
                <c:pt idx="10">
                  <c:v>0.35728204999999996</c:v>
                </c:pt>
                <c:pt idx="11">
                  <c:v>0.94249586699999999</c:v>
                </c:pt>
                <c:pt idx="12">
                  <c:v>0.19112520351487278</c:v>
                </c:pt>
                <c:pt idx="13">
                  <c:v>0.3674134261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7C2E-4A45-8C47-51712A05F4FC}"/>
            </c:ext>
          </c:extLst>
        </c:ser>
        <c:ser>
          <c:idx val="10"/>
          <c:order val="10"/>
          <c:tx>
            <c:v>2020</c:v>
          </c:tx>
          <c:spPr>
            <a:solidFill>
              <a:srgbClr val="5B9BD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'!$Q$207:$Q$284</c:f>
              <c:numCache>
                <c:formatCode>#,##0.0000</c:formatCode>
                <c:ptCount val="15"/>
                <c:pt idx="0">
                  <c:v>4.5879808318369797E-2</c:v>
                </c:pt>
                <c:pt idx="1">
                  <c:v>8.4007297411843401E-2</c:v>
                </c:pt>
                <c:pt idx="2">
                  <c:v>1.1833009661200012E-2</c:v>
                </c:pt>
                <c:pt idx="3">
                  <c:v>11.383800597439361</c:v>
                </c:pt>
                <c:pt idx="4">
                  <c:v>1.5120563</c:v>
                </c:pt>
                <c:pt idx="5">
                  <c:v>2.2901977546689998</c:v>
                </c:pt>
                <c:pt idx="6">
                  <c:v>2.7237504999999999E-2</c:v>
                </c:pt>
                <c:pt idx="7">
                  <c:v>1.0287478899201868E-2</c:v>
                </c:pt>
                <c:pt idx="8">
                  <c:v>7.2699089999999994E-2</c:v>
                </c:pt>
                <c:pt idx="9">
                  <c:v>1.2854633564094</c:v>
                </c:pt>
                <c:pt idx="10">
                  <c:v>0.48066439999999999</c:v>
                </c:pt>
                <c:pt idx="11">
                  <c:v>0.91618988825000036</c:v>
                </c:pt>
                <c:pt idx="12">
                  <c:v>0.15689085289981208</c:v>
                </c:pt>
                <c:pt idx="13">
                  <c:v>0.2407493235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7C2E-4A45-8C47-51712A05F4FC}"/>
            </c:ext>
          </c:extLst>
        </c:ser>
        <c:ser>
          <c:idx val="11"/>
          <c:order val="11"/>
          <c:tx>
            <c:v>2021</c:v>
          </c:tx>
          <c:spPr>
            <a:solidFill>
              <a:srgbClr val="70AD47"/>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'!$R$207:$R$284</c:f>
              <c:numCache>
                <c:formatCode>#,##0.0000</c:formatCode>
                <c:ptCount val="15"/>
                <c:pt idx="0">
                  <c:v>0.12615682334746037</c:v>
                </c:pt>
                <c:pt idx="1">
                  <c:v>8.7444753199804687E-2</c:v>
                </c:pt>
                <c:pt idx="2">
                  <c:v>1.0036416577336411E-2</c:v>
                </c:pt>
                <c:pt idx="3">
                  <c:v>11.689188693991341</c:v>
                </c:pt>
                <c:pt idx="4">
                  <c:v>1.9016245300000001</c:v>
                </c:pt>
                <c:pt idx="5">
                  <c:v>2.3209891366443003</c:v>
                </c:pt>
                <c:pt idx="6">
                  <c:v>2.0068082921500002E-2</c:v>
                </c:pt>
                <c:pt idx="7">
                  <c:v>1.0681776222006889E-2</c:v>
                </c:pt>
                <c:pt idx="8">
                  <c:v>8.1058329999999998E-2</c:v>
                </c:pt>
                <c:pt idx="9">
                  <c:v>1.5159054211035998</c:v>
                </c:pt>
                <c:pt idx="10">
                  <c:v>0.35422895999999998</c:v>
                </c:pt>
                <c:pt idx="11">
                  <c:v>0.94511519049370374</c:v>
                </c:pt>
                <c:pt idx="12">
                  <c:v>0.14502291746577867</c:v>
                </c:pt>
                <c:pt idx="13">
                  <c:v>0.27267457750000001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7C2E-4A45-8C47-51712A05F4FC}"/>
            </c:ext>
          </c:extLst>
        </c:ser>
        <c:dLbls>
          <c:showLegendKey val="0"/>
          <c:showVal val="0"/>
          <c:showCatName val="0"/>
          <c:showSerName val="0"/>
          <c:showPercent val="0"/>
          <c:showBubbleSize val="0"/>
        </c:dLbls>
        <c:gapWidth val="150"/>
        <c:axId val="1608781249"/>
        <c:axId val="1493236006"/>
      </c:barChart>
      <c:catAx>
        <c:axId val="160878124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493236006"/>
        <c:crosses val="autoZero"/>
        <c:auto val="1"/>
        <c:lblAlgn val="ctr"/>
        <c:lblOffset val="100"/>
        <c:noMultiLvlLbl val="1"/>
      </c:catAx>
      <c:valAx>
        <c:axId val="1493236006"/>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Demanda local ]Mton]</a:t>
                </a:r>
              </a:p>
            </c:rich>
          </c:tx>
          <c:overlay val="0"/>
        </c:title>
        <c:numFmt formatCode="#,##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608781249"/>
        <c:crosses val="autoZero"/>
        <c:crossBetween val="between"/>
      </c:valAx>
    </c:plotArea>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'!$G$317:$G$321</c:f>
              <c:numCache>
                <c:formatCode>General</c:formatCode>
                <c:ptCount val="5"/>
                <c:pt idx="0">
                  <c:v>5253536</c:v>
                </c:pt>
                <c:pt idx="1">
                  <c:v>1088862</c:v>
                </c:pt>
                <c:pt idx="2" formatCode="0">
                  <c:v>367747.52</c:v>
                </c:pt>
                <c:pt idx="3" formatCode="0">
                  <c:v>1628596.16</c:v>
                </c:pt>
                <c:pt idx="4" formatCode="0">
                  <c:v>1943808.32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FE0-49B0-BA59-52FBFF374553}"/>
            </c:ext>
          </c:extLst>
        </c:ser>
        <c:ser>
          <c:idx val="1"/>
          <c:order val="1"/>
          <c:tx>
            <c:v>2011</c:v>
          </c:tx>
          <c:spPr>
            <a:solidFill>
              <a:srgbClr val="ED7D31"/>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'!$H$317:$H$321</c:f>
              <c:numCache>
                <c:formatCode>General</c:formatCode>
                <c:ptCount val="5"/>
                <c:pt idx="0">
                  <c:v>5358904</c:v>
                </c:pt>
                <c:pt idx="1">
                  <c:v>1127363</c:v>
                </c:pt>
                <c:pt idx="2" formatCode="0">
                  <c:v>375123.28</c:v>
                </c:pt>
                <c:pt idx="3" formatCode="0">
                  <c:v>1661260.24</c:v>
                </c:pt>
                <c:pt idx="4" formatCode="0">
                  <c:v>1982794.48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FE0-49B0-BA59-52FBFF374553}"/>
            </c:ext>
          </c:extLst>
        </c:ser>
        <c:ser>
          <c:idx val="2"/>
          <c:order val="2"/>
          <c:tx>
            <c:v>2012</c:v>
          </c:tx>
          <c:spPr>
            <a:solidFill>
              <a:srgbClr val="A5A5A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'!$I$317:$I$321</c:f>
              <c:numCache>
                <c:formatCode>General</c:formatCode>
                <c:ptCount val="5"/>
                <c:pt idx="0">
                  <c:v>5235550</c:v>
                </c:pt>
                <c:pt idx="1">
                  <c:v>1053311</c:v>
                </c:pt>
                <c:pt idx="2" formatCode="0">
                  <c:v>366488.50000000006</c:v>
                </c:pt>
                <c:pt idx="3" formatCode="0">
                  <c:v>1623020.5</c:v>
                </c:pt>
                <c:pt idx="4" formatCode="0">
                  <c:v>1937153.5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FE0-49B0-BA59-52FBFF374553}"/>
            </c:ext>
          </c:extLst>
        </c:ser>
        <c:ser>
          <c:idx val="3"/>
          <c:order val="3"/>
          <c:tx>
            <c:v>2013</c:v>
          </c:tx>
          <c:spPr>
            <a:solidFill>
              <a:srgbClr val="FFC000"/>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'!$J$317:$J$321</c:f>
              <c:numCache>
                <c:formatCode>General</c:formatCode>
                <c:ptCount val="5"/>
                <c:pt idx="0">
                  <c:v>5134122</c:v>
                </c:pt>
                <c:pt idx="1">
                  <c:v>1127627</c:v>
                </c:pt>
                <c:pt idx="2" formatCode="0">
                  <c:v>359388.54000000004</c:v>
                </c:pt>
                <c:pt idx="3" formatCode="0">
                  <c:v>1591577.82</c:v>
                </c:pt>
                <c:pt idx="4" formatCode="0">
                  <c:v>1899625.14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FE0-49B0-BA59-52FBFF374553}"/>
            </c:ext>
          </c:extLst>
        </c:ser>
        <c:ser>
          <c:idx val="4"/>
          <c:order val="4"/>
          <c:tx>
            <c:v>2014</c:v>
          </c:tx>
          <c:spPr>
            <a:solidFill>
              <a:srgbClr val="5B9BD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'!$K$317:$K$321</c:f>
              <c:numCache>
                <c:formatCode>General</c:formatCode>
                <c:ptCount val="5"/>
                <c:pt idx="0">
                  <c:v>4604624</c:v>
                </c:pt>
                <c:pt idx="1">
                  <c:v>999037</c:v>
                </c:pt>
                <c:pt idx="2" formatCode="0">
                  <c:v>322323.68000000005</c:v>
                </c:pt>
                <c:pt idx="3" formatCode="0">
                  <c:v>1427433.44</c:v>
                </c:pt>
                <c:pt idx="4" formatCode="0">
                  <c:v>1703710.88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FE0-49B0-BA59-52FBFF374553}"/>
            </c:ext>
          </c:extLst>
        </c:ser>
        <c:ser>
          <c:idx val="5"/>
          <c:order val="5"/>
          <c:tx>
            <c:v>2015</c:v>
          </c:tx>
          <c:spPr>
            <a:solidFill>
              <a:srgbClr val="70AD47"/>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'!$L$317:$L$321</c:f>
              <c:numCache>
                <c:formatCode>General</c:formatCode>
                <c:ptCount val="5"/>
                <c:pt idx="0">
                  <c:v>4115213</c:v>
                </c:pt>
                <c:pt idx="1">
                  <c:v>860886</c:v>
                </c:pt>
                <c:pt idx="2" formatCode="0">
                  <c:v>288064.91000000003</c:v>
                </c:pt>
                <c:pt idx="3" formatCode="0">
                  <c:v>1275716.03</c:v>
                </c:pt>
                <c:pt idx="4" formatCode="0">
                  <c:v>1522628.81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AFE0-49B0-BA59-52FBFF374553}"/>
            </c:ext>
          </c:extLst>
        </c:ser>
        <c:ser>
          <c:idx val="6"/>
          <c:order val="6"/>
          <c:tx>
            <c:v>2016</c:v>
          </c:tx>
          <c:spPr>
            <a:solidFill>
              <a:srgbClr val="4472C4"/>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'!$M$317:$M$321</c:f>
              <c:numCache>
                <c:formatCode>General</c:formatCode>
                <c:ptCount val="5"/>
                <c:pt idx="0">
                  <c:v>4127311</c:v>
                </c:pt>
                <c:pt idx="1">
                  <c:v>896170</c:v>
                </c:pt>
                <c:pt idx="2" formatCode="0">
                  <c:v>288911.77</c:v>
                </c:pt>
                <c:pt idx="3" formatCode="0">
                  <c:v>1279466.4099999999</c:v>
                </c:pt>
                <c:pt idx="4" formatCode="0">
                  <c:v>1527105.07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FE0-49B0-BA59-52FBFF374553}"/>
            </c:ext>
          </c:extLst>
        </c:ser>
        <c:ser>
          <c:idx val="7"/>
          <c:order val="7"/>
          <c:tx>
            <c:v>2017</c:v>
          </c:tx>
          <c:spPr>
            <a:solidFill>
              <a:srgbClr val="ED7D31"/>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'!$N$317:$N$321</c:f>
              <c:numCache>
                <c:formatCode>General</c:formatCode>
                <c:ptCount val="5"/>
                <c:pt idx="0">
                  <c:v>4190611</c:v>
                </c:pt>
                <c:pt idx="1">
                  <c:v>856164</c:v>
                </c:pt>
                <c:pt idx="2" formatCode="0">
                  <c:v>293342.77</c:v>
                </c:pt>
                <c:pt idx="3" formatCode="0">
                  <c:v>1299089.4099999999</c:v>
                </c:pt>
                <c:pt idx="4" formatCode="0">
                  <c:v>1550526.07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AFE0-49B0-BA59-52FBFF374553}"/>
            </c:ext>
          </c:extLst>
        </c:ser>
        <c:ser>
          <c:idx val="8"/>
          <c:order val="8"/>
          <c:tx>
            <c:v>2018</c:v>
          </c:tx>
          <c:spPr>
            <a:solidFill>
              <a:srgbClr val="A5A5A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'!$O$317:$O$321</c:f>
              <c:numCache>
                <c:formatCode>General</c:formatCode>
                <c:ptCount val="5"/>
                <c:pt idx="0">
                  <c:v>4056796</c:v>
                </c:pt>
                <c:pt idx="1">
                  <c:v>832528</c:v>
                </c:pt>
                <c:pt idx="2" formatCode="0">
                  <c:v>283975.72000000003</c:v>
                </c:pt>
                <c:pt idx="3" formatCode="0">
                  <c:v>1257606.76</c:v>
                </c:pt>
                <c:pt idx="4" formatCode="0">
                  <c:v>1501014.52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AFE0-49B0-BA59-52FBFF374553}"/>
            </c:ext>
          </c:extLst>
        </c:ser>
        <c:ser>
          <c:idx val="9"/>
          <c:order val="9"/>
          <c:tx>
            <c:v>2019</c:v>
          </c:tx>
          <c:spPr>
            <a:solidFill>
              <a:srgbClr val="FFC000"/>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'!$P$317:$P$321</c:f>
              <c:numCache>
                <c:formatCode>General</c:formatCode>
                <c:ptCount val="5"/>
                <c:pt idx="0">
                  <c:v>4306244</c:v>
                </c:pt>
                <c:pt idx="1">
                  <c:v>996503</c:v>
                </c:pt>
                <c:pt idx="2" formatCode="0">
                  <c:v>301437.08</c:v>
                </c:pt>
                <c:pt idx="3" formatCode="0">
                  <c:v>1334935.6399999999</c:v>
                </c:pt>
                <c:pt idx="4" formatCode="0">
                  <c:v>1593310.28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AFE0-49B0-BA59-52FBFF374553}"/>
            </c:ext>
          </c:extLst>
        </c:ser>
        <c:ser>
          <c:idx val="10"/>
          <c:order val="10"/>
          <c:tx>
            <c:v>2020</c:v>
          </c:tx>
          <c:spPr>
            <a:solidFill>
              <a:srgbClr val="5B9BD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'!$Q$317:$Q$321</c:f>
              <c:numCache>
                <c:formatCode>General</c:formatCode>
                <c:ptCount val="5"/>
                <c:pt idx="0">
                  <c:v>4335924</c:v>
                </c:pt>
                <c:pt idx="1">
                  <c:v>962520</c:v>
                </c:pt>
                <c:pt idx="2" formatCode="0">
                  <c:v>303514.68000000005</c:v>
                </c:pt>
                <c:pt idx="3" formatCode="0">
                  <c:v>1344136.44</c:v>
                </c:pt>
                <c:pt idx="4" formatCode="0">
                  <c:v>1604291.88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AFE0-49B0-BA59-52FBFF374553}"/>
            </c:ext>
          </c:extLst>
        </c:ser>
        <c:ser>
          <c:idx val="11"/>
          <c:order val="11"/>
          <c:tx>
            <c:v>2021</c:v>
          </c:tx>
          <c:spPr>
            <a:solidFill>
              <a:srgbClr val="70AD47"/>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'!$R$317:$R$321</c:f>
              <c:numCache>
                <c:formatCode>General</c:formatCode>
                <c:ptCount val="5"/>
                <c:pt idx="0">
                  <c:v>4066930</c:v>
                </c:pt>
                <c:pt idx="1">
                  <c:v>846715</c:v>
                </c:pt>
                <c:pt idx="2" formatCode="0">
                  <c:v>284685.10000000003</c:v>
                </c:pt>
                <c:pt idx="3" formatCode="0">
                  <c:v>1260748.3</c:v>
                </c:pt>
                <c:pt idx="4" formatCode="0">
                  <c:v>1504764.1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AFE0-49B0-BA59-52FBFF374553}"/>
            </c:ext>
          </c:extLst>
        </c:ser>
        <c:dLbls>
          <c:showLegendKey val="0"/>
          <c:showVal val="0"/>
          <c:showCatName val="0"/>
          <c:showSerName val="0"/>
          <c:showPercent val="0"/>
          <c:showBubbleSize val="0"/>
        </c:dLbls>
        <c:gapWidth val="150"/>
        <c:axId val="584259882"/>
        <c:axId val="1839409013"/>
      </c:barChart>
      <c:catAx>
        <c:axId val="58425988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839409013"/>
        <c:crosses val="autoZero"/>
        <c:auto val="1"/>
        <c:lblAlgn val="ctr"/>
        <c:lblOffset val="100"/>
        <c:noMultiLvlLbl val="1"/>
      </c:catAx>
      <c:valAx>
        <c:axId val="1839409013"/>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Población de vacuno </a:t>
                </a:r>
              </a:p>
            </c:rich>
          </c:tx>
          <c:overlay val="0"/>
        </c:title>
        <c:numFmt formatCode="General" sourceLinked="1"/>
        <c:majorTickMark val="out"/>
        <c:minorTickMark val="none"/>
        <c:tickLblPos val="nextTo"/>
        <c:spPr>
          <a:ln/>
        </c:spPr>
        <c:txPr>
          <a:bodyPr/>
          <a:lstStyle/>
          <a:p>
            <a:pPr lvl="0">
              <a:defRPr sz="900" b="0" i="0">
                <a:solidFill>
                  <a:srgbClr val="000000"/>
                </a:solidFill>
                <a:latin typeface="Calibri"/>
              </a:defRPr>
            </a:pPr>
            <a:endParaRPr lang="LID4096"/>
          </a:p>
        </c:txPr>
        <c:crossAx val="584259882"/>
        <c:crosses val="autoZero"/>
        <c:crossBetween val="between"/>
      </c:valAx>
    </c:plotArea>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Cobertura de suelo para ganadería [Mha]</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'!$G$345:$R$345</c:f>
              <c:numCache>
                <c:formatCode>#,##0.0000</c:formatCode>
                <c:ptCount val="12"/>
                <c:pt idx="0">
                  <c:v>4.9199240000000009</c:v>
                </c:pt>
                <c:pt idx="1">
                  <c:v>4.8109590000000004</c:v>
                </c:pt>
                <c:pt idx="2">
                  <c:v>4.9761220000000002</c:v>
                </c:pt>
                <c:pt idx="3">
                  <c:v>4.8506799999999997</c:v>
                </c:pt>
                <c:pt idx="4">
                  <c:v>3.0877800000000004</c:v>
                </c:pt>
                <c:pt idx="5">
                  <c:v>3.238219</c:v>
                </c:pt>
                <c:pt idx="6">
                  <c:v>3.101035</c:v>
                </c:pt>
                <c:pt idx="7">
                  <c:v>3.1255449999999998</c:v>
                </c:pt>
                <c:pt idx="8">
                  <c:v>3.0943149999999999</c:v>
                </c:pt>
                <c:pt idx="9">
                  <c:v>2.9013369999999998</c:v>
                </c:pt>
                <c:pt idx="10">
                  <c:v>2.9091149999999999</c:v>
                </c:pt>
                <c:pt idx="11">
                  <c:v>3.0226899999999999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26-44B1-A62A-2087BA55C922}"/>
            </c:ext>
          </c:extLst>
        </c:ser>
        <c:dLbls>
          <c:showLegendKey val="0"/>
          <c:showVal val="0"/>
          <c:showCatName val="0"/>
          <c:showSerName val="0"/>
          <c:showPercent val="0"/>
          <c:showBubbleSize val="0"/>
        </c:dLbls>
        <c:gapWidth val="150"/>
        <c:axId val="566044857"/>
        <c:axId val="1442290791"/>
      </c:barChart>
      <c:lineChart>
        <c:grouping val="standard"/>
        <c:varyColors val="0"/>
        <c:ser>
          <c:idx val="1"/>
          <c:order val="1"/>
          <c:tx>
            <c:v>Densidad [Cabezas/ha]</c:v>
          </c:tx>
          <c:spPr>
            <a:ln w="28575" cmpd="sng">
              <a:solidFill>
                <a:schemeClr val="accent2"/>
              </a:solidFill>
            </a:ln>
          </c:spPr>
          <c:marker>
            <c:symbol val="none"/>
          </c:marker>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'!$G$349:$R$349</c:f>
              <c:numCache>
                <c:formatCode>0.0000</c:formatCode>
                <c:ptCount val="12"/>
                <c:pt idx="0">
                  <c:v>1.0678083645194518</c:v>
                </c:pt>
                <c:pt idx="1">
                  <c:v>1.1138951714200849</c:v>
                </c:pt>
                <c:pt idx="2">
                  <c:v>1.0521345738709782</c:v>
                </c:pt>
                <c:pt idx="3">
                  <c:v>1.0584334567524554</c:v>
                </c:pt>
                <c:pt idx="4">
                  <c:v>1.4912409562857456</c:v>
                </c:pt>
                <c:pt idx="5">
                  <c:v>1.2708260312227184</c:v>
                </c:pt>
                <c:pt idx="6">
                  <c:v>1.3309462808384942</c:v>
                </c:pt>
                <c:pt idx="7">
                  <c:v>1.3407616911610616</c:v>
                </c:pt>
                <c:pt idx="8">
                  <c:v>1.3110481641332572</c:v>
                </c:pt>
                <c:pt idx="9">
                  <c:v>1.4842274441059415</c:v>
                </c:pt>
                <c:pt idx="10">
                  <c:v>1.4904615321154371</c:v>
                </c:pt>
                <c:pt idx="11">
                  <c:v>1.3454671170381349</c:v>
                </c:pt>
              </c:numCache>
            </c:numRef>
          </c:val>
          <c:smooth val="0"/>
          <c:extLst>
            <c:ext xmlns:c16="http://schemas.microsoft.com/office/drawing/2014/chart" uri="{C3380CC4-5D6E-409C-BE32-E72D297353CC}">
              <c16:uniqueId val="{00000001-EF26-44B1-A62A-2087BA55C922}"/>
            </c:ext>
          </c:extLst>
        </c:ser>
        <c:dLbls>
          <c:showLegendKey val="0"/>
          <c:showVal val="0"/>
          <c:showCatName val="0"/>
          <c:showSerName val="0"/>
          <c:showPercent val="0"/>
          <c:showBubbleSize val="0"/>
        </c:dLbls>
        <c:marker val="1"/>
        <c:smooth val="0"/>
        <c:axId val="566044857"/>
        <c:axId val="1442290791"/>
      </c:lineChart>
      <c:catAx>
        <c:axId val="566044857"/>
        <c:scaling>
          <c:orientation val="minMax"/>
        </c:scaling>
        <c:delete val="0"/>
        <c:axPos val="b"/>
        <c:title>
          <c:tx>
            <c:rich>
              <a:bodyPr/>
              <a:lstStyle/>
              <a:p>
                <a:pPr lvl="0">
                  <a:defRPr sz="1200" b="0" i="0">
                    <a:solidFill>
                      <a:srgbClr val="000000"/>
                    </a:solidFill>
                    <a:latin typeface="Calibri"/>
                  </a:defRPr>
                </a:pPr>
                <a:r>
                  <a:rPr lang="en-US" sz="1200" b="0" i="0">
                    <a:solidFill>
                      <a:srgbClr val="000000"/>
                    </a:solidFill>
                    <a:latin typeface="Calibri"/>
                  </a:rPr>
                  <a:t>Año de estudio</a:t>
                </a:r>
              </a:p>
            </c:rich>
          </c:tx>
          <c:overlay val="0"/>
        </c:title>
        <c:numFmt formatCode="General" sourceLinked="1"/>
        <c:majorTickMark val="none"/>
        <c:minorTickMark val="none"/>
        <c:tickLblPos val="nextTo"/>
        <c:txPr>
          <a:bodyPr/>
          <a:lstStyle/>
          <a:p>
            <a:pPr lvl="0">
              <a:defRPr sz="1200" b="0" i="0">
                <a:solidFill>
                  <a:srgbClr val="000000"/>
                </a:solidFill>
                <a:latin typeface="Calibri"/>
              </a:defRPr>
            </a:pPr>
            <a:endParaRPr lang="LID4096"/>
          </a:p>
        </c:txPr>
        <c:crossAx val="1442290791"/>
        <c:crosses val="autoZero"/>
        <c:auto val="1"/>
        <c:lblAlgn val="ctr"/>
        <c:lblOffset val="100"/>
        <c:noMultiLvlLbl val="1"/>
      </c:catAx>
      <c:valAx>
        <c:axId val="14422907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00" sourceLinked="1"/>
        <c:majorTickMark val="none"/>
        <c:minorTickMark val="none"/>
        <c:tickLblPos val="nextTo"/>
        <c:spPr>
          <a:ln/>
        </c:spPr>
        <c:txPr>
          <a:bodyPr/>
          <a:lstStyle/>
          <a:p>
            <a:pPr lvl="0">
              <a:defRPr sz="1200" b="0" i="0">
                <a:solidFill>
                  <a:srgbClr val="000000"/>
                </a:solidFill>
                <a:latin typeface="Calibri"/>
              </a:defRPr>
            </a:pPr>
            <a:endParaRPr lang="LID4096"/>
          </a:p>
        </c:txPr>
        <c:crossAx val="566044857"/>
        <c:crosses val="autoZero"/>
        <c:crossBetween val="between"/>
      </c:valAx>
    </c:plotArea>
    <c:legend>
      <c:legendPos val="b"/>
      <c:overlay val="0"/>
      <c:txPr>
        <a:bodyPr/>
        <a:lstStyle/>
        <a:p>
          <a:pPr lvl="0">
            <a:defRPr sz="12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Vacuno carne (Mton)</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'!$G$357:$R$357</c:f>
              <c:numCache>
                <c:formatCode>0.0000</c:formatCode>
                <c:ptCount val="12"/>
                <c:pt idx="0">
                  <c:v>0.26</c:v>
                </c:pt>
                <c:pt idx="1">
                  <c:v>0.26800000000000002</c:v>
                </c:pt>
                <c:pt idx="2">
                  <c:v>0.26500000000000001</c:v>
                </c:pt>
                <c:pt idx="3">
                  <c:v>0.26050000000000001</c:v>
                </c:pt>
                <c:pt idx="4">
                  <c:v>0.23157</c:v>
                </c:pt>
                <c:pt idx="5">
                  <c:v>0.21478800000000001</c:v>
                </c:pt>
                <c:pt idx="6">
                  <c:v>0.21424799999999999</c:v>
                </c:pt>
                <c:pt idx="7">
                  <c:v>0.21926599999999999</c:v>
                </c:pt>
                <c:pt idx="8">
                  <c:v>0.213424</c:v>
                </c:pt>
                <c:pt idx="9">
                  <c:v>0.228878</c:v>
                </c:pt>
                <c:pt idx="10">
                  <c:v>0.23342499999999999</c:v>
                </c:pt>
                <c:pt idx="11">
                  <c:v>0.24539855620000003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288-4C6B-A659-F0664C8ADDD4}"/>
            </c:ext>
          </c:extLst>
        </c:ser>
        <c:ser>
          <c:idx val="1"/>
          <c:order val="1"/>
          <c:tx>
            <c:v>Vacuno leche (Mton)</c:v>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'!#REF!</c:f>
              <c:numCache>
                <c:formatCode>General</c:formatCode>
                <c:ptCount val="1"/>
                <c:pt idx="0">
                  <c:v>1</c:v>
                </c:pt>
              </c:numCache>
            </c:numRef>
          </c:val>
          <c:extLst>
            <c:ext xmlns:c16="http://schemas.microsoft.com/office/drawing/2014/chart" uri="{C3380CC4-5D6E-409C-BE32-E72D297353CC}">
              <c16:uniqueId val="{00000001-5288-4C6B-A659-F0664C8ADDD4}"/>
            </c:ext>
          </c:extLst>
        </c:ser>
        <c:dLbls>
          <c:showLegendKey val="0"/>
          <c:showVal val="0"/>
          <c:showCatName val="0"/>
          <c:showSerName val="0"/>
          <c:showPercent val="0"/>
          <c:showBubbleSize val="0"/>
        </c:dLbls>
        <c:gapWidth val="150"/>
        <c:axId val="343723431"/>
        <c:axId val="495762948"/>
      </c:barChart>
      <c:catAx>
        <c:axId val="3437234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200" b="0" i="0">
                <a:solidFill>
                  <a:srgbClr val="000000"/>
                </a:solidFill>
                <a:latin typeface="Calibri"/>
              </a:defRPr>
            </a:pPr>
            <a:endParaRPr lang="LID4096"/>
          </a:p>
        </c:txPr>
        <c:crossAx val="495762948"/>
        <c:crosses val="autoZero"/>
        <c:auto val="1"/>
        <c:lblAlgn val="ctr"/>
        <c:lblOffset val="100"/>
        <c:noMultiLvlLbl val="1"/>
      </c:catAx>
      <c:valAx>
        <c:axId val="495762948"/>
        <c:scaling>
          <c:orientation val="minMax"/>
        </c:scaling>
        <c:delete val="0"/>
        <c:axPos val="l"/>
        <c:majorGridlines>
          <c:spPr>
            <a:ln>
              <a:solidFill>
                <a:srgbClr val="B7B7B7"/>
              </a:solidFill>
            </a:ln>
          </c:spPr>
        </c:majorGridlines>
        <c:title>
          <c:tx>
            <c:rich>
              <a:bodyPr/>
              <a:lstStyle/>
              <a:p>
                <a:pPr lvl="0">
                  <a:defRPr sz="1200" b="0" i="0">
                    <a:solidFill>
                      <a:srgbClr val="000000"/>
                    </a:solidFill>
                    <a:latin typeface="Calibri"/>
                  </a:defRPr>
                </a:pPr>
                <a:r>
                  <a:rPr lang="en-US" sz="1200" b="0" i="0">
                    <a:solidFill>
                      <a:srgbClr val="000000"/>
                    </a:solidFill>
                    <a:latin typeface="Calibri"/>
                  </a:rPr>
                  <a:t>Producto [Mton]</a:t>
                </a:r>
              </a:p>
            </c:rich>
          </c:tx>
          <c:overlay val="0"/>
        </c:title>
        <c:numFmt formatCode="0.0000" sourceLinked="1"/>
        <c:majorTickMark val="none"/>
        <c:minorTickMark val="none"/>
        <c:tickLblPos val="nextTo"/>
        <c:spPr>
          <a:ln/>
        </c:spPr>
        <c:txPr>
          <a:bodyPr/>
          <a:lstStyle/>
          <a:p>
            <a:pPr lvl="0">
              <a:defRPr sz="1200" b="0" i="0">
                <a:solidFill>
                  <a:srgbClr val="000000"/>
                </a:solidFill>
                <a:latin typeface="Calibri"/>
              </a:defRPr>
            </a:pPr>
            <a:endParaRPr lang="LID4096"/>
          </a:p>
        </c:txPr>
        <c:crossAx val="343723431"/>
        <c:crosses val="autoZero"/>
        <c:crossBetween val="between"/>
      </c:valAx>
    </c:plotArea>
    <c:legend>
      <c:legendPos val="b"/>
      <c:overlay val="0"/>
      <c:txPr>
        <a:bodyPr/>
        <a:lstStyle/>
        <a:p>
          <a:pPr lvl="0">
            <a:defRPr sz="12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'Calibración-BAU_Agricultura '!$F$376</c:f>
              <c:strCache>
                <c:ptCount val="1"/>
                <c:pt idx="0">
                  <c:v>Importaciones [ton]</c:v>
                </c:pt>
              </c:strCache>
            </c:strRef>
          </c:tx>
          <c:spPr>
            <a:solidFill>
              <a:srgbClr val="70AD47"/>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'!$G$376:$R$376</c:f>
              <c:numCache>
                <c:formatCode>General</c:formatCode>
                <c:ptCount val="12"/>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35E-4F6B-9ABB-7A888895573B}"/>
            </c:ext>
          </c:extLst>
        </c:ser>
        <c:ser>
          <c:idx val="1"/>
          <c:order val="1"/>
          <c:tx>
            <c:strRef>
              <c:f>'Calibración-BAU_Agricultura '!$F$377</c:f>
              <c:strCache>
                <c:ptCount val="1"/>
                <c:pt idx="0">
                  <c:v>Vacuno carne (ton)</c:v>
                </c:pt>
              </c:strCache>
            </c:strRef>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'!$G$377:$R$377</c:f>
              <c:numCache>
                <c:formatCode>0.0000</c:formatCode>
                <c:ptCount val="12"/>
                <c:pt idx="0">
                  <c:v>1203.5489999999998</c:v>
                </c:pt>
                <c:pt idx="1">
                  <c:v>1147.1089999999999</c:v>
                </c:pt>
                <c:pt idx="2">
                  <c:v>1121.2549999999999</c:v>
                </c:pt>
                <c:pt idx="3">
                  <c:v>1006.304</c:v>
                </c:pt>
                <c:pt idx="4">
                  <c:v>1050.048</c:v>
                </c:pt>
                <c:pt idx="5">
                  <c:v>1053.1539999999998</c:v>
                </c:pt>
                <c:pt idx="6">
                  <c:v>941.81799999999987</c:v>
                </c:pt>
                <c:pt idx="7">
                  <c:v>1035.35257</c:v>
                </c:pt>
                <c:pt idx="8">
                  <c:v>1422.06591</c:v>
                </c:pt>
                <c:pt idx="9">
                  <c:v>1615.844531</c:v>
                </c:pt>
                <c:pt idx="10">
                  <c:v>1679.1366089999999</c:v>
                </c:pt>
                <c:pt idx="11">
                  <c:v>2253.0822370000001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35E-4F6B-9ABB-7A888895573B}"/>
            </c:ext>
          </c:extLst>
        </c:ser>
        <c:ser>
          <c:idx val="2"/>
          <c:order val="2"/>
          <c:tx>
            <c:strRef>
              <c:f>'Calibración-BAU_Agricultura '!$F$378</c:f>
              <c:strCache>
                <c:ptCount val="1"/>
                <c:pt idx="0">
                  <c:v>Vacuno leche (ton)</c:v>
                </c:pt>
              </c:strCache>
            </c:strRef>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'!$G$378:$R$378</c:f>
              <c:numCache>
                <c:formatCode>0.0000</c:formatCode>
                <c:ptCount val="12"/>
                <c:pt idx="0">
                  <c:v>0</c:v>
                </c:pt>
                <c:pt idx="1">
                  <c:v>0</c:v>
                </c:pt>
                <c:pt idx="2">
                  <c:v>387.58500000000004</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5E-4F6B-9ABB-7A888895573B}"/>
            </c:ext>
          </c:extLst>
        </c:ser>
        <c:ser>
          <c:idx val="3"/>
          <c:order val="3"/>
          <c:tx>
            <c:v>Exportación carne</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'!$H$372:$R$372</c:f>
              <c:numCache>
                <c:formatCode>0.0000</c:formatCode>
                <c:ptCount val="11"/>
                <c:pt idx="0">
                  <c:v>0</c:v>
                </c:pt>
                <c:pt idx="1">
                  <c:v>0</c:v>
                </c:pt>
                <c:pt idx="2">
                  <c:v>0</c:v>
                </c:pt>
                <c:pt idx="3">
                  <c:v>1.6520000000000002E-6</c:v>
                </c:pt>
                <c:pt idx="4">
                  <c:v>5.0500000000000004E-7</c:v>
                </c:pt>
                <c:pt idx="5">
                  <c:v>0</c:v>
                </c:pt>
                <c:pt idx="6">
                  <c:v>2.6E-7</c:v>
                </c:pt>
                <c:pt idx="7">
                  <c:v>4.9999999999999998E-7</c:v>
                </c:pt>
                <c:pt idx="8">
                  <c:v>0</c:v>
                </c:pt>
                <c:pt idx="9">
                  <c:v>3E-9</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35E-4F6B-9ABB-7A888895573B}"/>
            </c:ext>
          </c:extLst>
        </c:ser>
        <c:ser>
          <c:idx val="4"/>
          <c:order val="4"/>
          <c:tx>
            <c:v>Exportación leche</c:v>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'!$H$373:$R$373</c:f>
              <c:numCache>
                <c:formatCode>0.0000</c:formatCode>
                <c:ptCount val="11"/>
                <c:pt idx="0">
                  <c:v>1.9429969999999994E-2</c:v>
                </c:pt>
                <c:pt idx="1">
                  <c:v>1.9693512999999999E-2</c:v>
                </c:pt>
                <c:pt idx="2">
                  <c:v>5.0475109999999993E-3</c:v>
                </c:pt>
                <c:pt idx="3">
                  <c:v>8.2855680000000001E-3</c:v>
                </c:pt>
                <c:pt idx="4">
                  <c:v>3.1212689999999994E-3</c:v>
                </c:pt>
                <c:pt idx="5">
                  <c:v>2.6787599999999995E-4</c:v>
                </c:pt>
                <c:pt idx="6">
                  <c:v>5.3983210000000002E-5</c:v>
                </c:pt>
                <c:pt idx="7">
                  <c:v>8.0000000000000003E-10</c:v>
                </c:pt>
                <c:pt idx="8">
                  <c:v>2.6648029999999998E-5</c:v>
                </c:pt>
                <c:pt idx="9">
                  <c:v>2.9999999999999997E-8</c:v>
                </c:pt>
                <c:pt idx="10">
                  <c:v>5.373601E-4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35E-4F6B-9ABB-7A888895573B}"/>
            </c:ext>
          </c:extLst>
        </c:ser>
        <c:ser>
          <c:idx val="5"/>
          <c:order val="5"/>
          <c:tx>
            <c:v>Importación carne</c:v>
          </c:tx>
          <c:spPr>
            <a:solidFill>
              <a:srgbClr val="A5A5A5"/>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'!$H$380:$R$380</c:f>
              <c:numCache>
                <c:formatCode>0.0000</c:formatCode>
                <c:ptCount val="11"/>
                <c:pt idx="0">
                  <c:v>1.1471089999999999E-3</c:v>
                </c:pt>
                <c:pt idx="1">
                  <c:v>1.1212549999999998E-3</c:v>
                </c:pt>
                <c:pt idx="2">
                  <c:v>1.006304E-3</c:v>
                </c:pt>
                <c:pt idx="3">
                  <c:v>1.050048E-3</c:v>
                </c:pt>
                <c:pt idx="4">
                  <c:v>1.0531539999999997E-3</c:v>
                </c:pt>
                <c:pt idx="5">
                  <c:v>9.4181799999999987E-4</c:v>
                </c:pt>
                <c:pt idx="6">
                  <c:v>1.0353525699999999E-3</c:v>
                </c:pt>
                <c:pt idx="7">
                  <c:v>1.42206591E-3</c:v>
                </c:pt>
                <c:pt idx="8">
                  <c:v>1.615844531E-3</c:v>
                </c:pt>
                <c:pt idx="9">
                  <c:v>1.6791366089999999E-3</c:v>
                </c:pt>
                <c:pt idx="10">
                  <c:v>2.2530822369999999E-3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635E-4F6B-9ABB-7A888895573B}"/>
            </c:ext>
          </c:extLst>
        </c:ser>
        <c:ser>
          <c:idx val="6"/>
          <c:order val="6"/>
          <c:tx>
            <c:strRef>
              <c:f>'Calibración-BAU_Agricultura '!$G$381</c:f>
              <c:strCache>
                <c:ptCount val="1"/>
                <c:pt idx="0">
                  <c:v>0.0000</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'!$H$381:$R$381</c:f>
              <c:numCache>
                <c:formatCode>0.0000</c:formatCode>
                <c:ptCount val="11"/>
                <c:pt idx="0">
                  <c:v>0</c:v>
                </c:pt>
                <c:pt idx="1">
                  <c:v>3.8758500000000002E-4</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635E-4F6B-9ABB-7A888895573B}"/>
            </c:ext>
          </c:extLst>
        </c:ser>
        <c:ser>
          <c:idx val="7"/>
          <c:order val="7"/>
          <c:tx>
            <c:strRef>
              <c:f>'Calibración-BAU_Agricultura '!$G$385</c:f>
              <c:strCache>
                <c:ptCount val="1"/>
                <c:pt idx="0">
                  <c:v>0.258796451</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'!$H$385:$R$385</c:f>
              <c:numCache>
                <c:formatCode>General</c:formatCode>
                <c:ptCount val="11"/>
                <c:pt idx="0">
                  <c:v>0.26685289100000004</c:v>
                </c:pt>
                <c:pt idx="1">
                  <c:v>0.26387874500000003</c:v>
                </c:pt>
                <c:pt idx="2">
                  <c:v>0.259493696</c:v>
                </c:pt>
                <c:pt idx="3">
                  <c:v>0.23052160399999999</c:v>
                </c:pt>
                <c:pt idx="4">
                  <c:v>0.21373535100000002</c:v>
                </c:pt>
                <c:pt idx="5">
                  <c:v>0.21330618199999998</c:v>
                </c:pt>
                <c:pt idx="6">
                  <c:v>0.21823090742999998</c:v>
                </c:pt>
                <c:pt idx="7" formatCode="0.0000">
                  <c:v>0.21484556591000001</c:v>
                </c:pt>
                <c:pt idx="8" formatCode="0.0000">
                  <c:v>0.230493844531</c:v>
                </c:pt>
                <c:pt idx="9" formatCode="0.0000">
                  <c:v>0.23510413360899998</c:v>
                </c:pt>
                <c:pt idx="10" formatCode="0.0000">
                  <c:v>0.24765163843700003</c:v>
                </c:pt>
              </c:numCache>
            </c:numRef>
          </c:val>
          <c:extLst>
            <c:ext xmlns:c16="http://schemas.microsoft.com/office/drawing/2014/chart" uri="{C3380CC4-5D6E-409C-BE32-E72D297353CC}">
              <c16:uniqueId val="{00000007-635E-4F6B-9ABB-7A888895573B}"/>
            </c:ext>
          </c:extLst>
        </c:ser>
        <c:ser>
          <c:idx val="8"/>
          <c:order val="8"/>
          <c:tx>
            <c:strRef>
              <c:f>'Calibración-BAU_Agricultura '!$G$386</c:f>
              <c:strCache>
                <c:ptCount val="1"/>
                <c:pt idx="0">
                  <c:v>2.1589</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'!$H$386:$R$386</c:f>
              <c:numCache>
                <c:formatCode>0.0000</c:formatCode>
                <c:ptCount val="11"/>
                <c:pt idx="0">
                  <c:v>2.4185589699999999</c:v>
                </c:pt>
                <c:pt idx="1">
                  <c:v>2.1549189280000003</c:v>
                </c:pt>
                <c:pt idx="2">
                  <c:v>2.3616855109999997</c:v>
                </c:pt>
                <c:pt idx="3">
                  <c:v>2.0743905679999997</c:v>
                </c:pt>
                <c:pt idx="4">
                  <c:v>1.8531212690000001</c:v>
                </c:pt>
                <c:pt idx="5">
                  <c:v>1.9002678759999998</c:v>
                </c:pt>
                <c:pt idx="6">
                  <c:v>1.85005398321</c:v>
                </c:pt>
                <c:pt idx="7">
                  <c:v>1.8666670008000001</c:v>
                </c:pt>
                <c:pt idx="8">
                  <c:v>1.85195164803</c:v>
                </c:pt>
                <c:pt idx="9">
                  <c:v>1.7874890300000001</c:v>
                </c:pt>
                <c:pt idx="10">
                  <c:v>1.9759376402367035</c:v>
                </c:pt>
              </c:numCache>
            </c:numRef>
          </c:val>
          <c:extLst>
            <c:ext xmlns:c16="http://schemas.microsoft.com/office/drawing/2014/chart" uri="{C3380CC4-5D6E-409C-BE32-E72D297353CC}">
              <c16:uniqueId val="{00000008-635E-4F6B-9ABB-7A888895573B}"/>
            </c:ext>
          </c:extLst>
        </c:ser>
        <c:dLbls>
          <c:showLegendKey val="0"/>
          <c:showVal val="0"/>
          <c:showCatName val="0"/>
          <c:showSerName val="0"/>
          <c:showPercent val="0"/>
          <c:showBubbleSize val="0"/>
        </c:dLbls>
        <c:gapWidth val="150"/>
        <c:axId val="944003945"/>
        <c:axId val="1746198804"/>
      </c:barChart>
      <c:catAx>
        <c:axId val="94400394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746198804"/>
        <c:crosses val="autoZero"/>
        <c:auto val="1"/>
        <c:lblAlgn val="ctr"/>
        <c:lblOffset val="100"/>
        <c:noMultiLvlLbl val="1"/>
      </c:catAx>
      <c:valAx>
        <c:axId val="174619880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Cantidad de producto [Mton]</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94400394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v>Criadas en campo (Cabezas)</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'!$G$395:$R$395</c:f>
              <c:numCache>
                <c:formatCode>General</c:formatCode>
                <c:ptCount val="12"/>
                <c:pt idx="0">
                  <c:v>5103324</c:v>
                </c:pt>
                <c:pt idx="1">
                  <c:v>4751549</c:v>
                </c:pt>
                <c:pt idx="2" formatCode="0">
                  <c:v>4720671.6523124119</c:v>
                </c:pt>
                <c:pt idx="3">
                  <c:v>5243671</c:v>
                </c:pt>
                <c:pt idx="4">
                  <c:v>5742914</c:v>
                </c:pt>
                <c:pt idx="5">
                  <c:v>2616788</c:v>
                </c:pt>
                <c:pt idx="6">
                  <c:v>3478581</c:v>
                </c:pt>
                <c:pt idx="7">
                  <c:v>3344602</c:v>
                </c:pt>
                <c:pt idx="8">
                  <c:v>3196303</c:v>
                </c:pt>
                <c:pt idx="9">
                  <c:v>4775794</c:v>
                </c:pt>
                <c:pt idx="10">
                  <c:v>3759096</c:v>
                </c:pt>
                <c:pt idx="11">
                  <c:v>4591351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F3-4C62-B94E-B178B2BE3ACF}"/>
            </c:ext>
          </c:extLst>
        </c:ser>
        <c:ser>
          <c:idx val="1"/>
          <c:order val="1"/>
          <c:tx>
            <c:v>Criadas en planteles avícolas (Cabezas)</c:v>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'!$G$396:$R$396</c:f>
              <c:numCache>
                <c:formatCode>General</c:formatCode>
                <c:ptCount val="12"/>
                <c:pt idx="0">
                  <c:v>13189288</c:v>
                </c:pt>
                <c:pt idx="1">
                  <c:v>8697936</c:v>
                </c:pt>
                <c:pt idx="2" formatCode="#,##0">
                  <c:v>10180560</c:v>
                </c:pt>
                <c:pt idx="3" formatCode="#,##0">
                  <c:v>11129097</c:v>
                </c:pt>
                <c:pt idx="4" formatCode="#,##0">
                  <c:v>10487005</c:v>
                </c:pt>
                <c:pt idx="5">
                  <c:v>12275062</c:v>
                </c:pt>
                <c:pt idx="6">
                  <c:v>10828280</c:v>
                </c:pt>
                <c:pt idx="7">
                  <c:v>10061652</c:v>
                </c:pt>
                <c:pt idx="8">
                  <c:v>9759176</c:v>
                </c:pt>
                <c:pt idx="9">
                  <c:v>11336435</c:v>
                </c:pt>
                <c:pt idx="10">
                  <c:v>13972704</c:v>
                </c:pt>
                <c:pt idx="11">
                  <c:v>16613863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4F3-4C62-B94E-B178B2BE3ACF}"/>
            </c:ext>
          </c:extLst>
        </c:ser>
        <c:dLbls>
          <c:showLegendKey val="0"/>
          <c:showVal val="0"/>
          <c:showCatName val="0"/>
          <c:showSerName val="0"/>
          <c:showPercent val="0"/>
          <c:showBubbleSize val="0"/>
        </c:dLbls>
        <c:gapWidth val="150"/>
        <c:overlap val="100"/>
        <c:axId val="1912413093"/>
        <c:axId val="398348028"/>
      </c:barChart>
      <c:lineChart>
        <c:grouping val="standard"/>
        <c:varyColors val="0"/>
        <c:ser>
          <c:idx val="2"/>
          <c:order val="2"/>
          <c:tx>
            <c:v># Huevos</c:v>
          </c:tx>
          <c:spPr>
            <a:ln w="28575" cmpd="sng">
              <a:solidFill>
                <a:schemeClr val="accent3"/>
              </a:solidFill>
            </a:ln>
          </c:spPr>
          <c:marker>
            <c:symbol val="none"/>
          </c:marker>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'!$H$400:$R$400</c:f>
              <c:numCache>
                <c:formatCode>0</c:formatCode>
                <c:ptCount val="11"/>
                <c:pt idx="0">
                  <c:v>48150091</c:v>
                </c:pt>
                <c:pt idx="1">
                  <c:v>47431058</c:v>
                </c:pt>
                <c:pt idx="2">
                  <c:v>42468054</c:v>
                </c:pt>
                <c:pt idx="3">
                  <c:v>55427095</c:v>
                </c:pt>
                <c:pt idx="4">
                  <c:v>64332941</c:v>
                </c:pt>
                <c:pt idx="5">
                  <c:v>59156593</c:v>
                </c:pt>
                <c:pt idx="6">
                  <c:v>47961551</c:v>
                </c:pt>
                <c:pt idx="7">
                  <c:v>44411748</c:v>
                </c:pt>
                <c:pt idx="8">
                  <c:v>89393421</c:v>
                </c:pt>
                <c:pt idx="9">
                  <c:v>86434176</c:v>
                </c:pt>
                <c:pt idx="10">
                  <c:v>85369879</c:v>
                </c:pt>
              </c:numCache>
            </c:numRef>
          </c:val>
          <c:smooth val="0"/>
          <c:extLst>
            <c:ext xmlns:c16="http://schemas.microsoft.com/office/drawing/2014/chart" uri="{C3380CC4-5D6E-409C-BE32-E72D297353CC}">
              <c16:uniqueId val="{00000002-D4F3-4C62-B94E-B178B2BE3ACF}"/>
            </c:ext>
          </c:extLst>
        </c:ser>
        <c:dLbls>
          <c:showLegendKey val="0"/>
          <c:showVal val="0"/>
          <c:showCatName val="0"/>
          <c:showSerName val="0"/>
          <c:showPercent val="0"/>
          <c:showBubbleSize val="0"/>
        </c:dLbls>
        <c:marker val="1"/>
        <c:smooth val="0"/>
        <c:axId val="1912413093"/>
        <c:axId val="398348028"/>
      </c:lineChart>
      <c:catAx>
        <c:axId val="19124130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398348028"/>
        <c:crosses val="autoZero"/>
        <c:auto val="1"/>
        <c:lblAlgn val="ctr"/>
        <c:lblOffset val="100"/>
        <c:noMultiLvlLbl val="1"/>
      </c:catAx>
      <c:valAx>
        <c:axId val="39834802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Aves [Cabezas]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912413093"/>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A5A5A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'Calibración-UTCUTS_Osemosys'!$I$17:$I$24</c:f>
              <c:numCache>
                <c:formatCode>#,##0.000</c:formatCode>
                <c:ptCount val="8"/>
                <c:pt idx="0">
                  <c:v>3.504127</c:v>
                </c:pt>
                <c:pt idx="1">
                  <c:v>1.3913789999999999</c:v>
                </c:pt>
                <c:pt idx="2">
                  <c:v>0.99236899999999995</c:v>
                </c:pt>
                <c:pt idx="3">
                  <c:v>0.19395699999999999</c:v>
                </c:pt>
                <c:pt idx="4">
                  <c:v>0.217058</c:v>
                </c:pt>
                <c:pt idx="5">
                  <c:v>0.53947500000000004</c:v>
                </c:pt>
                <c:pt idx="6">
                  <c:v>3.4099520000000001</c:v>
                </c:pt>
                <c:pt idx="7">
                  <c:v>1.5099720000000001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764-466D-A0F8-C6FAF0F25B9F}"/>
            </c:ext>
          </c:extLst>
        </c:ser>
        <c:ser>
          <c:idx val="1"/>
          <c:order val="1"/>
          <c:tx>
            <c:v>2011</c:v>
          </c:tx>
          <c:spPr>
            <a:solidFill>
              <a:srgbClr val="FFC000"/>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'Calibración-UTCUTS_Osemosys'!$J$17:$J$24</c:f>
              <c:numCache>
                <c:formatCode>#,##0.000</c:formatCode>
                <c:ptCount val="8"/>
                <c:pt idx="0">
                  <c:v>3.536454</c:v>
                </c:pt>
                <c:pt idx="1">
                  <c:v>1.3794729999999999</c:v>
                </c:pt>
                <c:pt idx="2">
                  <c:v>0.98231199999999996</c:v>
                </c:pt>
                <c:pt idx="3">
                  <c:v>0.17344200000000001</c:v>
                </c:pt>
                <c:pt idx="4">
                  <c:v>0.21058399999999999</c:v>
                </c:pt>
                <c:pt idx="5">
                  <c:v>0.56585700000000005</c:v>
                </c:pt>
                <c:pt idx="6">
                  <c:v>3.4254120000000001</c:v>
                </c:pt>
                <c:pt idx="7">
                  <c:v>1.3855470000000001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764-466D-A0F8-C6FAF0F25B9F}"/>
            </c:ext>
          </c:extLst>
        </c:ser>
        <c:ser>
          <c:idx val="2"/>
          <c:order val="2"/>
          <c:tx>
            <c:v>2012</c:v>
          </c:tx>
          <c:spPr>
            <a:solidFill>
              <a:srgbClr val="5B9BD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'Calibración-UTCUTS_Osemosys'!$K$17:$K$24</c:f>
              <c:numCache>
                <c:formatCode>#,##0.000</c:formatCode>
                <c:ptCount val="8"/>
                <c:pt idx="0">
                  <c:v>3.583056</c:v>
                </c:pt>
                <c:pt idx="1">
                  <c:v>1.3829180000000001</c:v>
                </c:pt>
                <c:pt idx="2">
                  <c:v>1.0208699999999999</c:v>
                </c:pt>
                <c:pt idx="3">
                  <c:v>0.12698200000000001</c:v>
                </c:pt>
                <c:pt idx="4">
                  <c:v>0.20565700000000001</c:v>
                </c:pt>
                <c:pt idx="5">
                  <c:v>0.60827200000000003</c:v>
                </c:pt>
                <c:pt idx="6">
                  <c:v>3.5530080000000002</c:v>
                </c:pt>
                <c:pt idx="7">
                  <c:v>1.423114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764-466D-A0F8-C6FAF0F25B9F}"/>
            </c:ext>
          </c:extLst>
        </c:ser>
        <c:ser>
          <c:idx val="3"/>
          <c:order val="3"/>
          <c:tx>
            <c:v>2013</c:v>
          </c:tx>
          <c:spPr>
            <a:solidFill>
              <a:srgbClr val="70AD47"/>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'Calibración-UTCUTS_Osemosys'!$L$17:$L$24</c:f>
              <c:numCache>
                <c:formatCode>#,##0.000</c:formatCode>
                <c:ptCount val="8"/>
                <c:pt idx="0">
                  <c:v>3.538424</c:v>
                </c:pt>
                <c:pt idx="1">
                  <c:v>1.469363</c:v>
                </c:pt>
                <c:pt idx="2">
                  <c:v>1.003271</c:v>
                </c:pt>
                <c:pt idx="3">
                  <c:v>0.191159</c:v>
                </c:pt>
                <c:pt idx="4">
                  <c:v>0.216225</c:v>
                </c:pt>
                <c:pt idx="5">
                  <c:v>0.49189100000000002</c:v>
                </c:pt>
                <c:pt idx="6">
                  <c:v>3.2273209999999999</c:v>
                </c:pt>
                <c:pt idx="7">
                  <c:v>1.623359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764-466D-A0F8-C6FAF0F25B9F}"/>
            </c:ext>
          </c:extLst>
        </c:ser>
        <c:ser>
          <c:idx val="4"/>
          <c:order val="4"/>
          <c:tx>
            <c:v>2014</c:v>
          </c:tx>
          <c:spPr>
            <a:solidFill>
              <a:srgbClr val="4472C4"/>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'Calibración-UTCUTS_Osemosys'!$M$17:$M$24</c:f>
              <c:numCache>
                <c:formatCode>#,##0.000</c:formatCode>
                <c:ptCount val="8"/>
                <c:pt idx="0">
                  <c:v>5.7588590000000002</c:v>
                </c:pt>
                <c:pt idx="1">
                  <c:v>1.4171039999999999</c:v>
                </c:pt>
                <c:pt idx="2">
                  <c:v>0.876498</c:v>
                </c:pt>
                <c:pt idx="3">
                  <c:v>9.3574000000000004E-2</c:v>
                </c:pt>
                <c:pt idx="4">
                  <c:v>0.46817999999999999</c:v>
                </c:pt>
                <c:pt idx="5">
                  <c:v>0.49925799999999998</c:v>
                </c:pt>
                <c:pt idx="6">
                  <c:v>2.2594470000000002</c:v>
                </c:pt>
                <c:pt idx="7">
                  <c:v>0.82833299999999999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764-466D-A0F8-C6FAF0F25B9F}"/>
            </c:ext>
          </c:extLst>
        </c:ser>
        <c:ser>
          <c:idx val="5"/>
          <c:order val="5"/>
          <c:tx>
            <c:v>2015</c:v>
          </c:tx>
          <c:spPr>
            <a:solidFill>
              <a:srgbClr val="ED7D31"/>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'Calibración-UTCUTS_Osemosys'!$N$17:$N$24</c:f>
              <c:numCache>
                <c:formatCode>#,##0.000</c:formatCode>
                <c:ptCount val="8"/>
                <c:pt idx="0">
                  <c:v>5.7297989999999999</c:v>
                </c:pt>
                <c:pt idx="1">
                  <c:v>1.483366</c:v>
                </c:pt>
                <c:pt idx="2">
                  <c:v>0.95064899999999997</c:v>
                </c:pt>
                <c:pt idx="3">
                  <c:v>0.11738999999999999</c:v>
                </c:pt>
                <c:pt idx="4">
                  <c:v>0.61209000000000002</c:v>
                </c:pt>
                <c:pt idx="5">
                  <c:v>0.454347</c:v>
                </c:pt>
                <c:pt idx="6">
                  <c:v>2.5314420000000002</c:v>
                </c:pt>
                <c:pt idx="7">
                  <c:v>0.70677699999999999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764-466D-A0F8-C6FAF0F25B9F}"/>
            </c:ext>
          </c:extLst>
        </c:ser>
        <c:ser>
          <c:idx val="6"/>
          <c:order val="6"/>
          <c:tx>
            <c:v>2016</c:v>
          </c:tx>
          <c:spPr>
            <a:solidFill>
              <a:srgbClr val="A5A5A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'Calibración-UTCUTS_Osemosys'!$O$17:$O$24</c:f>
              <c:numCache>
                <c:formatCode>#,##0.000</c:formatCode>
                <c:ptCount val="8"/>
                <c:pt idx="0">
                  <c:v>5.7732900000000003</c:v>
                </c:pt>
                <c:pt idx="1">
                  <c:v>1.439117</c:v>
                </c:pt>
                <c:pt idx="2">
                  <c:v>0.84968500000000002</c:v>
                </c:pt>
                <c:pt idx="3">
                  <c:v>0.125946</c:v>
                </c:pt>
                <c:pt idx="4">
                  <c:v>0.719109</c:v>
                </c:pt>
                <c:pt idx="5">
                  <c:v>0.37779099999999999</c:v>
                </c:pt>
                <c:pt idx="6">
                  <c:v>2.3005390000000001</c:v>
                </c:pt>
                <c:pt idx="7">
                  <c:v>0.80049599999999999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764-466D-A0F8-C6FAF0F25B9F}"/>
            </c:ext>
          </c:extLst>
        </c:ser>
        <c:ser>
          <c:idx val="7"/>
          <c:order val="7"/>
          <c:tx>
            <c:v>2017</c:v>
          </c:tx>
          <c:spPr>
            <a:solidFill>
              <a:srgbClr val="FFC000"/>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'Calibración-UTCUTS_Osemosys'!$P$17:$P$24</c:f>
              <c:numCache>
                <c:formatCode>#,##0.000</c:formatCode>
                <c:ptCount val="8"/>
                <c:pt idx="0">
                  <c:v>5.6754020000000001</c:v>
                </c:pt>
                <c:pt idx="1">
                  <c:v>1.4304969999999999</c:v>
                </c:pt>
                <c:pt idx="2">
                  <c:v>0.90422400000000003</c:v>
                </c:pt>
                <c:pt idx="3">
                  <c:v>0.12926799999999999</c:v>
                </c:pt>
                <c:pt idx="4">
                  <c:v>0.75779099999999999</c:v>
                </c:pt>
                <c:pt idx="5">
                  <c:v>0.33241799999999999</c:v>
                </c:pt>
                <c:pt idx="6">
                  <c:v>2.4476339999999999</c:v>
                </c:pt>
                <c:pt idx="7">
                  <c:v>0.67791100000000004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3764-466D-A0F8-C6FAF0F25B9F}"/>
            </c:ext>
          </c:extLst>
        </c:ser>
        <c:ser>
          <c:idx val="8"/>
          <c:order val="8"/>
          <c:tx>
            <c:v>2018</c:v>
          </c:tx>
          <c:spPr>
            <a:solidFill>
              <a:srgbClr val="5B9BD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'Calibración-UTCUTS_Osemosys'!$Q$17:$Q$24</c:f>
              <c:numCache>
                <c:formatCode>#,##0.000</c:formatCode>
                <c:ptCount val="8"/>
                <c:pt idx="0">
                  <c:v>5.7406410000000001</c:v>
                </c:pt>
                <c:pt idx="1">
                  <c:v>1.385805</c:v>
                </c:pt>
                <c:pt idx="2">
                  <c:v>0.79949400000000004</c:v>
                </c:pt>
                <c:pt idx="3">
                  <c:v>0.16844600000000001</c:v>
                </c:pt>
                <c:pt idx="4">
                  <c:v>0.79651799999999995</c:v>
                </c:pt>
                <c:pt idx="5">
                  <c:v>0.252612</c:v>
                </c:pt>
                <c:pt idx="6">
                  <c:v>2.3790420000000001</c:v>
                </c:pt>
                <c:pt idx="7">
                  <c:v>0.71527300000000005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3764-466D-A0F8-C6FAF0F25B9F}"/>
            </c:ext>
          </c:extLst>
        </c:ser>
        <c:ser>
          <c:idx val="9"/>
          <c:order val="9"/>
          <c:tx>
            <c:v>2019</c:v>
          </c:tx>
          <c:spPr>
            <a:solidFill>
              <a:srgbClr val="70AD47"/>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'Calibración-UTCUTS_Osemosys'!$R$17:$R$24</c:f>
              <c:numCache>
                <c:formatCode>#,##0.000</c:formatCode>
                <c:ptCount val="8"/>
                <c:pt idx="0">
                  <c:v>6.040896</c:v>
                </c:pt>
                <c:pt idx="1">
                  <c:v>1.4395039999999999</c:v>
                </c:pt>
                <c:pt idx="2">
                  <c:v>0.76970799999999995</c:v>
                </c:pt>
                <c:pt idx="3">
                  <c:v>0.21949199999999999</c:v>
                </c:pt>
                <c:pt idx="4">
                  <c:v>0.66230500000000003</c:v>
                </c:pt>
                <c:pt idx="5">
                  <c:v>0.270986</c:v>
                </c:pt>
                <c:pt idx="6">
                  <c:v>1.9854940000000001</c:v>
                </c:pt>
                <c:pt idx="7">
                  <c:v>0.91584299999999996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3764-466D-A0F8-C6FAF0F25B9F}"/>
            </c:ext>
          </c:extLst>
        </c:ser>
        <c:ser>
          <c:idx val="10"/>
          <c:order val="10"/>
          <c:tx>
            <c:v>2020</c:v>
          </c:tx>
          <c:spPr>
            <a:solidFill>
              <a:srgbClr val="4472C4"/>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'Calibración-UTCUTS_Osemosys'!$S$17:$S$24</c:f>
              <c:numCache>
                <c:formatCode>#,##0.000</c:formatCode>
                <c:ptCount val="8"/>
                <c:pt idx="0">
                  <c:v>6.1123240000000001</c:v>
                </c:pt>
                <c:pt idx="1">
                  <c:v>1.4429730000000001</c:v>
                </c:pt>
                <c:pt idx="2">
                  <c:v>0.82251600000000002</c:v>
                </c:pt>
                <c:pt idx="3">
                  <c:v>0.21501400000000001</c:v>
                </c:pt>
                <c:pt idx="4">
                  <c:v>0.68147599999999997</c:v>
                </c:pt>
                <c:pt idx="5">
                  <c:v>0.249139</c:v>
                </c:pt>
                <c:pt idx="6">
                  <c:v>2.0677949999999998</c:v>
                </c:pt>
                <c:pt idx="7">
                  <c:v>0.84131999999999996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3764-466D-A0F8-C6FAF0F25B9F}"/>
            </c:ext>
          </c:extLst>
        </c:ser>
        <c:ser>
          <c:idx val="11"/>
          <c:order val="11"/>
          <c:tx>
            <c:v>2021</c:v>
          </c:tx>
          <c:spPr>
            <a:solidFill>
              <a:srgbClr val="ED7D31"/>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'Calibración-UTCUTS_Osemosys'!$T$17:$T$24</c:f>
              <c:numCache>
                <c:formatCode>#,##0.000</c:formatCode>
                <c:ptCount val="8"/>
                <c:pt idx="0">
                  <c:v>5.9005599999999996</c:v>
                </c:pt>
                <c:pt idx="1">
                  <c:v>1.4233720000000001</c:v>
                </c:pt>
                <c:pt idx="2">
                  <c:v>0.84199400000000002</c:v>
                </c:pt>
                <c:pt idx="3">
                  <c:v>0.163017</c:v>
                </c:pt>
                <c:pt idx="4">
                  <c:v>0.71275699999999997</c:v>
                </c:pt>
                <c:pt idx="5">
                  <c:v>0.233074</c:v>
                </c:pt>
                <c:pt idx="6">
                  <c:v>2.3765510000000001</c:v>
                </c:pt>
                <c:pt idx="7">
                  <c:v>0.64613900000000002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3764-466D-A0F8-C6FAF0F25B9F}"/>
            </c:ext>
          </c:extLst>
        </c:ser>
        <c:dLbls>
          <c:showLegendKey val="0"/>
          <c:showVal val="0"/>
          <c:showCatName val="0"/>
          <c:showSerName val="0"/>
          <c:showPercent val="0"/>
          <c:showBubbleSize val="0"/>
        </c:dLbls>
        <c:gapWidth val="150"/>
        <c:axId val="183248101"/>
        <c:axId val="144859243"/>
      </c:barChart>
      <c:catAx>
        <c:axId val="18324810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44859243"/>
        <c:crosses val="autoZero"/>
        <c:auto val="1"/>
        <c:lblAlgn val="ctr"/>
        <c:lblOffset val="100"/>
        <c:noMultiLvlLbl val="1"/>
      </c:catAx>
      <c:valAx>
        <c:axId val="144859243"/>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Uso de suelo</a:t>
                </a:r>
              </a:p>
            </c:rich>
          </c:tx>
          <c:overlay val="0"/>
        </c:title>
        <c:numFmt formatCode="#,##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83248101"/>
        <c:crosses val="autoZero"/>
        <c:crossBetween val="between"/>
      </c:valAx>
    </c:plotArea>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Galápagos [Mha]</c:v>
          </c:tx>
          <c:spPr>
            <a:solidFill>
              <a:srgbClr val="4472C4"/>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'Calibración-UTCUTS_Osemosys'!$I$33:$T$33</c:f>
              <c:numCache>
                <c:formatCode>0.0000</c:formatCode>
                <c:ptCount val="12"/>
                <c:pt idx="0">
                  <c:v>0.79579217000000002</c:v>
                </c:pt>
                <c:pt idx="1">
                  <c:v>0.79579217000000002</c:v>
                </c:pt>
                <c:pt idx="2">
                  <c:v>0.79579217000000002</c:v>
                </c:pt>
                <c:pt idx="3">
                  <c:v>0.79579217000000002</c:v>
                </c:pt>
                <c:pt idx="4">
                  <c:v>0.79579217000000002</c:v>
                </c:pt>
                <c:pt idx="5">
                  <c:v>0.79579217000000002</c:v>
                </c:pt>
                <c:pt idx="6">
                  <c:v>0.79579217000000002</c:v>
                </c:pt>
                <c:pt idx="7">
                  <c:v>0.79579217000000002</c:v>
                </c:pt>
                <c:pt idx="8">
                  <c:v>0.79579217000000002</c:v>
                </c:pt>
                <c:pt idx="9">
                  <c:v>0.79579217000000002</c:v>
                </c:pt>
                <c:pt idx="10">
                  <c:v>0.79579217000000002</c:v>
                </c:pt>
                <c:pt idx="11">
                  <c:v>0.79579217000000002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55-41CD-89D7-D9543C68F404}"/>
            </c:ext>
          </c:extLst>
        </c:ser>
        <c:ser>
          <c:idx val="1"/>
          <c:order val="1"/>
          <c:tx>
            <c:v>Bosques protegidos/Protected forest [Mha]</c:v>
          </c:tx>
          <c:spPr>
            <a:solidFill>
              <a:srgbClr val="ED7D31"/>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'Calibración-UTCUTS_Osemosys'!$I$34:$T$34</c:f>
              <c:numCache>
                <c:formatCode>0.0000</c:formatCode>
                <c:ptCount val="12"/>
                <c:pt idx="0">
                  <c:v>2.2633933100000001</c:v>
                </c:pt>
                <c:pt idx="1">
                  <c:v>2.2794223700000003</c:v>
                </c:pt>
                <c:pt idx="2">
                  <c:v>2.2794223700000003</c:v>
                </c:pt>
                <c:pt idx="3">
                  <c:v>2.2794223700000003</c:v>
                </c:pt>
                <c:pt idx="4">
                  <c:v>2.3725856800000003</c:v>
                </c:pt>
                <c:pt idx="5">
                  <c:v>2.3725856800000003</c:v>
                </c:pt>
                <c:pt idx="6">
                  <c:v>2.37473125</c:v>
                </c:pt>
                <c:pt idx="7">
                  <c:v>2.37473125</c:v>
                </c:pt>
                <c:pt idx="8">
                  <c:v>2.4084734000000001</c:v>
                </c:pt>
                <c:pt idx="9">
                  <c:v>2.40882109</c:v>
                </c:pt>
                <c:pt idx="10">
                  <c:v>2.40882109</c:v>
                </c:pt>
                <c:pt idx="11">
                  <c:v>2.4117234999999999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B55-41CD-89D7-D9543C68F404}"/>
            </c:ext>
          </c:extLst>
        </c:ser>
        <c:ser>
          <c:idx val="2"/>
          <c:order val="2"/>
          <c:tx>
            <c:v>Pradera protegida/Protected grassland [Mha]</c:v>
          </c:tx>
          <c:spPr>
            <a:solidFill>
              <a:srgbClr val="A5A5A5"/>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'Calibración-UTCUTS_Osemosys'!$I$35:$T$35</c:f>
              <c:numCache>
                <c:formatCode>0.0000</c:formatCode>
                <c:ptCount val="12"/>
                <c:pt idx="0">
                  <c:v>1.8351788900000003</c:v>
                </c:pt>
                <c:pt idx="1">
                  <c:v>1.8351788900000003</c:v>
                </c:pt>
                <c:pt idx="2">
                  <c:v>1.8383960400000003</c:v>
                </c:pt>
                <c:pt idx="3">
                  <c:v>1.8383960400000003</c:v>
                </c:pt>
                <c:pt idx="4">
                  <c:v>1.8383960400000003</c:v>
                </c:pt>
                <c:pt idx="5">
                  <c:v>1.8383960400000003</c:v>
                </c:pt>
                <c:pt idx="6">
                  <c:v>1.8383960400000003</c:v>
                </c:pt>
                <c:pt idx="7">
                  <c:v>1.8914898600000003</c:v>
                </c:pt>
                <c:pt idx="8">
                  <c:v>1.8934445100000001</c:v>
                </c:pt>
                <c:pt idx="9">
                  <c:v>1.9224890200000002</c:v>
                </c:pt>
                <c:pt idx="10">
                  <c:v>1.9272791500000002</c:v>
                </c:pt>
                <c:pt idx="11">
                  <c:v>1.95791001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B55-41CD-89D7-D9543C68F404}"/>
            </c:ext>
          </c:extLst>
        </c:ser>
        <c:ser>
          <c:idx val="3"/>
          <c:order val="3"/>
          <c:tx>
            <c:v>Manglares  [Mha]</c:v>
          </c:tx>
          <c:spPr>
            <a:solidFill>
              <a:srgbClr val="FFC000"/>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'Calibración-UTCUTS_Osemosys'!$I$36:$T$36</c:f>
              <c:numCache>
                <c:formatCode>0.0000</c:formatCode>
                <c:ptCount val="12"/>
                <c:pt idx="0">
                  <c:v>0.37320953000000001</c:v>
                </c:pt>
                <c:pt idx="1">
                  <c:v>0.37568765999999998</c:v>
                </c:pt>
                <c:pt idx="2">
                  <c:v>0.38884295999999996</c:v>
                </c:pt>
                <c:pt idx="3">
                  <c:v>0.38884295999999996</c:v>
                </c:pt>
                <c:pt idx="4">
                  <c:v>0.38884295999999996</c:v>
                </c:pt>
                <c:pt idx="5">
                  <c:v>0.53110941</c:v>
                </c:pt>
                <c:pt idx="6">
                  <c:v>0.57106191000000006</c:v>
                </c:pt>
                <c:pt idx="7">
                  <c:v>0.57106191000000006</c:v>
                </c:pt>
                <c:pt idx="8">
                  <c:v>0.57106191000000006</c:v>
                </c:pt>
                <c:pt idx="9">
                  <c:v>0.57106191000000006</c:v>
                </c:pt>
                <c:pt idx="10">
                  <c:v>0.57106191000000006</c:v>
                </c:pt>
                <c:pt idx="11">
                  <c:v>0.57106191000000006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B55-41CD-89D7-D9543C68F404}"/>
            </c:ext>
          </c:extLst>
        </c:ser>
        <c:dLbls>
          <c:showLegendKey val="0"/>
          <c:showVal val="0"/>
          <c:showCatName val="0"/>
          <c:showSerName val="0"/>
          <c:showPercent val="0"/>
          <c:showBubbleSize val="0"/>
        </c:dLbls>
        <c:gapWidth val="150"/>
        <c:axId val="1423022255"/>
        <c:axId val="1881708647"/>
      </c:barChart>
      <c:catAx>
        <c:axId val="142302225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881708647"/>
        <c:crosses val="autoZero"/>
        <c:auto val="1"/>
        <c:lblAlgn val="ctr"/>
        <c:lblOffset val="100"/>
        <c:noMultiLvlLbl val="1"/>
      </c:catAx>
      <c:valAx>
        <c:axId val="1881708647"/>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Áreas protegidas</a:t>
                </a:r>
              </a:p>
            </c:rich>
          </c:tx>
          <c:overlay val="0"/>
        </c:title>
        <c:numFmt formatCode="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42302225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2008</c:v>
          </c:tx>
          <c:spPr>
            <a:solidFill>
              <a:srgbClr val="4472C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'Calibración-UTCUTS_Osemosys'!$F$70:$F$71</c:f>
              <c:numCache>
                <c:formatCode>General</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67-4C5C-B4B3-FE9A3380463F}"/>
            </c:ext>
          </c:extLst>
        </c:ser>
        <c:ser>
          <c:idx val="1"/>
          <c:order val="1"/>
          <c:tx>
            <c:v>2014</c:v>
          </c:tx>
          <c:spPr>
            <a:solidFill>
              <a:srgbClr val="4472C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'Calibración-UTCUTS_Osemosys'!$F$74</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67-4C5C-B4B3-FE9A3380463F}"/>
            </c:ext>
          </c:extLst>
        </c:ser>
        <c:ser>
          <c:idx val="2"/>
          <c:order val="2"/>
          <c:tx>
            <c:v>2016</c:v>
          </c:tx>
          <c:spPr>
            <a:solidFill>
              <a:srgbClr val="A5A5A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'Calibración-UTCUTS_Osemosys'!$F$76</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C67-4C5C-B4B3-FE9A3380463F}"/>
            </c:ext>
          </c:extLst>
        </c:ser>
        <c:ser>
          <c:idx val="3"/>
          <c:order val="3"/>
          <c:tx>
            <c:v>2018</c:v>
          </c:tx>
          <c:spPr>
            <a:solidFill>
              <a:srgbClr val="5B9BD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'Calibración-UTCUTS_Osemosys'!$F$78</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C67-4C5C-B4B3-FE9A3380463F}"/>
            </c:ext>
          </c:extLst>
        </c:ser>
        <c:ser>
          <c:idx val="4"/>
          <c:order val="4"/>
          <c:spPr>
            <a:solidFill>
              <a:srgbClr val="5B9BD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'Calibración-UTCUTS_Osemosys'!$G$64:$G$66</c:f>
              <c:numCache>
                <c:formatCode>#,##0.00000</c:formatCode>
                <c:ptCount val="3"/>
                <c:pt idx="0">
                  <c:v>13.038367320000001</c:v>
                </c:pt>
                <c:pt idx="1">
                  <c:v>6.2196929999999997E-2</c:v>
                </c:pt>
                <c:pt idx="2">
                  <c:v>7.3766819699999999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C67-4C5C-B4B3-FE9A3380463F}"/>
            </c:ext>
          </c:extLst>
        </c:ser>
        <c:ser>
          <c:idx val="5"/>
          <c:order val="5"/>
          <c:spPr>
            <a:solidFill>
              <a:srgbClr val="70AD47"/>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'Calibración-UTCUTS_Osemosys'!$G$70:$G$71</c:f>
              <c:numCache>
                <c:formatCode>General</c:formatCode>
                <c:ptCount val="2"/>
                <c:pt idx="0" formatCode="#,##0.00000">
                  <c:v>1.4548903200000001</c:v>
                </c:pt>
                <c:pt idx="1">
                  <c:v>2.1629636999999997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AC67-4C5C-B4B3-FE9A3380463F}"/>
            </c:ext>
          </c:extLst>
        </c:ser>
        <c:ser>
          <c:idx val="6"/>
          <c:order val="6"/>
          <c:spPr>
            <a:solidFill>
              <a:srgbClr val="B8CAE9"/>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'Calibración-UTCUTS_Osemosys'!$G$74</c:f>
              <c:numCache>
                <c:formatCode>#,##0.00000</c:formatCode>
                <c:ptCount val="1"/>
                <c:pt idx="0">
                  <c:v>0.50615019000000006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C67-4C5C-B4B3-FE9A3380463F}"/>
            </c:ext>
          </c:extLst>
        </c:ser>
        <c:ser>
          <c:idx val="7"/>
          <c:order val="7"/>
          <c:spPr>
            <a:solidFill>
              <a:srgbClr val="F9D6BE"/>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'Calibración-UTCUTS_Osemosys'!$G$76</c:f>
              <c:numCache>
                <c:formatCode>#,##0.00000</c:formatCode>
                <c:ptCount val="1"/>
                <c:pt idx="0">
                  <c:v>0.17715429000000002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AC67-4C5C-B4B3-FE9A3380463F}"/>
            </c:ext>
          </c:extLst>
        </c:ser>
        <c:ser>
          <c:idx val="8"/>
          <c:order val="8"/>
          <c:spPr>
            <a:solidFill>
              <a:srgbClr val="F1F1F1"/>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'Calibración-UTCUTS_Osemosys'!$G$78</c:f>
              <c:numCache>
                <c:formatCode>#,##0.00000</c:formatCode>
                <c:ptCount val="1"/>
                <c:pt idx="0">
                  <c:v>0.11965518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AC67-4C5C-B4B3-FE9A3380463F}"/>
            </c:ext>
          </c:extLst>
        </c:ser>
        <c:ser>
          <c:idx val="9"/>
          <c:order val="9"/>
          <c:spPr>
            <a:solidFill>
              <a:srgbClr val="FFE699"/>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'Calibración-UTCUTS_Osemosys'!$M$64:$M$66</c:f>
              <c:numCache>
                <c:formatCode>#,##0.00000</c:formatCode>
                <c:ptCount val="3"/>
                <c:pt idx="0">
                  <c:v>12.753386910000001</c:v>
                </c:pt>
                <c:pt idx="1">
                  <c:v>0.13007241000000003</c:v>
                </c:pt>
                <c:pt idx="2">
                  <c:v>3.7592181899999999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AC67-4C5C-B4B3-FE9A3380463F}"/>
            </c:ext>
          </c:extLst>
        </c:ser>
        <c:ser>
          <c:idx val="10"/>
          <c:order val="10"/>
          <c:spPr>
            <a:solidFill>
              <a:srgbClr val="D5E5F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'Calibración-UTCUTS_Osemosys'!$M$70:$M$71</c:f>
              <c:numCache>
                <c:formatCode>#,##0.00000</c:formatCode>
                <c:ptCount val="2"/>
                <c:pt idx="0">
                  <c:v>4.9599387000000004</c:v>
                </c:pt>
                <c:pt idx="1">
                  <c:v>2.4237641700000001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AC67-4C5C-B4B3-FE9A3380463F}"/>
            </c:ext>
          </c:extLst>
        </c:ser>
        <c:ser>
          <c:idx val="11"/>
          <c:order val="11"/>
          <c:spPr>
            <a:solidFill>
              <a:srgbClr val="C2DEA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'Calibración-UTCUTS_Osemosys'!$M$74</c:f>
              <c:numCache>
                <c:formatCode>#,##0.00000</c:formatCode>
                <c:ptCount val="1"/>
                <c:pt idx="0">
                  <c:v>0.50510348999999999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AC67-4C5C-B4B3-FE9A3380463F}"/>
            </c:ext>
          </c:extLst>
        </c:ser>
        <c:ser>
          <c:idx val="12"/>
          <c:order val="12"/>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'Calibración-UTCUTS_Osemosys'!$M$76</c:f>
              <c:numCache>
                <c:formatCode>#,##0.00000</c:formatCode>
                <c:ptCount val="1"/>
                <c:pt idx="0">
                  <c:v>0.24614217000000005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AC67-4C5C-B4B3-FE9A3380463F}"/>
            </c:ext>
          </c:extLst>
        </c:ser>
        <c:ser>
          <c:idx val="13"/>
          <c:order val="13"/>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'Calibración-UTCUTS_Osemosys'!$M$78</c:f>
              <c:numCache>
                <c:formatCode>#,##0.00000</c:formatCode>
                <c:ptCount val="1"/>
                <c:pt idx="0">
                  <c:v>0.12043377000000002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AC67-4C5C-B4B3-FE9A3380463F}"/>
            </c:ext>
          </c:extLst>
        </c:ser>
        <c:ser>
          <c:idx val="14"/>
          <c:order val="14"/>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'Calibración-UTCUTS_Osemosys'!$O$64:$O$66</c:f>
              <c:numCache>
                <c:formatCode>#,##0.00000</c:formatCode>
                <c:ptCount val="3"/>
                <c:pt idx="0">
                  <c:v>12.631197689999999</c:v>
                </c:pt>
                <c:pt idx="1">
                  <c:v>0.12371994</c:v>
                </c:pt>
                <c:pt idx="2">
                  <c:v>3.8522799999999999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AC67-4C5C-B4B3-FE9A3380463F}"/>
            </c:ext>
          </c:extLst>
        </c:ser>
        <c:ser>
          <c:idx val="15"/>
          <c:order val="15"/>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'Calibración-UTCUTS_Osemosys'!$O$70:$O$71</c:f>
              <c:numCache>
                <c:formatCode>#,##0.00000</c:formatCode>
                <c:ptCount val="2"/>
                <c:pt idx="0">
                  <c:v>5.0815799999999998</c:v>
                </c:pt>
                <c:pt idx="1">
                  <c:v>2.3614877700000001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AC67-4C5C-B4B3-FE9A3380463F}"/>
            </c:ext>
          </c:extLst>
        </c:ser>
        <c:ser>
          <c:idx val="16"/>
          <c:order val="16"/>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'Calibración-UTCUTS_Osemosys'!$O$74</c:f>
              <c:numCache>
                <c:formatCode>#,##0.00000</c:formatCode>
                <c:ptCount val="1"/>
                <c:pt idx="0">
                  <c:v>0.49476339000000003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AC67-4C5C-B4B3-FE9A3380463F}"/>
            </c:ext>
          </c:extLst>
        </c:ser>
        <c:ser>
          <c:idx val="17"/>
          <c:order val="17"/>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'Calibración-UTCUTS_Osemosys'!$O$76</c:f>
              <c:numCache>
                <c:formatCode>#,##0.00000</c:formatCode>
                <c:ptCount val="1"/>
                <c:pt idx="0">
                  <c:v>0.25306659000000004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AC67-4C5C-B4B3-FE9A3380463F}"/>
            </c:ext>
          </c:extLst>
        </c:ser>
        <c:ser>
          <c:idx val="18"/>
          <c:order val="18"/>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'Calibración-UTCUTS_Osemosys'!$O$78</c:f>
              <c:numCache>
                <c:formatCode>#,##0.00000</c:formatCode>
                <c:ptCount val="1"/>
                <c:pt idx="0">
                  <c:v>0.10012113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AC67-4C5C-B4B3-FE9A3380463F}"/>
            </c:ext>
          </c:extLst>
        </c:ser>
        <c:ser>
          <c:idx val="19"/>
          <c:order val="19"/>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'Calibración-UTCUTS_Osemosys'!$Q$64:$Q$66</c:f>
              <c:numCache>
                <c:formatCode>#,##0.00000</c:formatCode>
                <c:ptCount val="3"/>
                <c:pt idx="0">
                  <c:v>12.514339529999999</c:v>
                </c:pt>
                <c:pt idx="1">
                  <c:v>0.12199527</c:v>
                </c:pt>
                <c:pt idx="2">
                  <c:v>3.8806069999999999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AC67-4C5C-B4B3-FE9A3380463F}"/>
            </c:ext>
          </c:extLst>
        </c:ser>
        <c:ser>
          <c:idx val="20"/>
          <c:order val="20"/>
          <c:invertIfNegative val="1"/>
          <c:cat>
            <c:strRef>
              <c:f>'Calibración-UTCUTS_Osemosys'!$F$64:$F$66</c:f>
              <c:strCache>
                <c:ptCount val="3"/>
                <c:pt idx="0">
                  <c:v>Bosque nativo [Mha]</c:v>
                </c:pt>
                <c:pt idx="1">
                  <c:v>Plantación forestal [Mha]</c:v>
                </c:pt>
                <c:pt idx="2">
                  <c:v>Cultivos  [Mha]</c:v>
                </c:pt>
              </c:strCache>
            </c:strRef>
          </c:cat>
          <c:val>
            <c:numRef>
              <c:f>'Calibración-UTCUTS_Osemosys'!$Q$70:$Q$71</c:f>
              <c:numCache>
                <c:formatCode>#,##0.00000</c:formatCode>
                <c:ptCount val="2"/>
                <c:pt idx="0">
                  <c:v>5.1189450000000001</c:v>
                </c:pt>
                <c:pt idx="1">
                  <c:v>2.3758364699999999</c:v>
                </c:pt>
              </c:numCache>
            </c:numRef>
          </c:val>
          <c:extLst>
            <c:ext xmlns:c16="http://schemas.microsoft.com/office/drawing/2014/chart" uri="{C3380CC4-5D6E-409C-BE32-E72D297353CC}">
              <c16:uniqueId val="{00000014-AC67-4C5C-B4B3-FE9A3380463F}"/>
            </c:ext>
          </c:extLst>
        </c:ser>
        <c:ser>
          <c:idx val="21"/>
          <c:order val="21"/>
          <c:invertIfNegative val="1"/>
          <c:cat>
            <c:strRef>
              <c:f>'Calibración-UTCUTS_Osemosys'!$F$64:$F$66</c:f>
              <c:strCache>
                <c:ptCount val="3"/>
                <c:pt idx="0">
                  <c:v>Bosque nativo [Mha]</c:v>
                </c:pt>
                <c:pt idx="1">
                  <c:v>Plantación forestal [Mha]</c:v>
                </c:pt>
                <c:pt idx="2">
                  <c:v>Cultivos  [Mha]</c:v>
                </c:pt>
              </c:strCache>
            </c:strRef>
          </c:cat>
          <c:val>
            <c:numRef>
              <c:f>'Calibración-UTCUTS_Osemosys'!$Q$74</c:f>
              <c:numCache>
                <c:formatCode>#,##0.00000</c:formatCode>
                <c:ptCount val="1"/>
                <c:pt idx="0">
                  <c:v>0.49199787</c:v>
                </c:pt>
              </c:numCache>
            </c:numRef>
          </c:val>
          <c:extLst>
            <c:ext xmlns:c16="http://schemas.microsoft.com/office/drawing/2014/chart" uri="{C3380CC4-5D6E-409C-BE32-E72D297353CC}">
              <c16:uniqueId val="{00000015-AC67-4C5C-B4B3-FE9A3380463F}"/>
            </c:ext>
          </c:extLst>
        </c:ser>
        <c:ser>
          <c:idx val="22"/>
          <c:order val="22"/>
          <c:invertIfNegative val="1"/>
          <c:cat>
            <c:strRef>
              <c:f>'Calibración-UTCUTS_Osemosys'!$F$64:$F$66</c:f>
              <c:strCache>
                <c:ptCount val="3"/>
                <c:pt idx="0">
                  <c:v>Bosque nativo [Mha]</c:v>
                </c:pt>
                <c:pt idx="1">
                  <c:v>Plantación forestal [Mha]</c:v>
                </c:pt>
                <c:pt idx="2">
                  <c:v>Cultivos  [Mha]</c:v>
                </c:pt>
              </c:strCache>
            </c:strRef>
          </c:cat>
          <c:val>
            <c:numRef>
              <c:f>'Calibración-UTCUTS_Osemosys'!$Q$76</c:f>
              <c:numCache>
                <c:formatCode>#,##0.00000</c:formatCode>
                <c:ptCount val="1"/>
                <c:pt idx="0">
                  <c:v>0.28590821999999999</c:v>
                </c:pt>
              </c:numCache>
            </c:numRef>
          </c:val>
          <c:extLst>
            <c:ext xmlns:c16="http://schemas.microsoft.com/office/drawing/2014/chart" uri="{C3380CC4-5D6E-409C-BE32-E72D297353CC}">
              <c16:uniqueId val="{00000016-AC67-4C5C-B4B3-FE9A3380463F}"/>
            </c:ext>
          </c:extLst>
        </c:ser>
        <c:ser>
          <c:idx val="23"/>
          <c:order val="23"/>
          <c:invertIfNegative val="1"/>
          <c:cat>
            <c:strRef>
              <c:f>'Calibración-UTCUTS_Osemosys'!$F$64:$F$66</c:f>
              <c:strCache>
                <c:ptCount val="3"/>
                <c:pt idx="0">
                  <c:v>Bosque nativo [Mha]</c:v>
                </c:pt>
                <c:pt idx="1">
                  <c:v>Plantación forestal [Mha]</c:v>
                </c:pt>
                <c:pt idx="2">
                  <c:v>Cultivos  [Mha]</c:v>
                </c:pt>
              </c:strCache>
            </c:strRef>
          </c:cat>
          <c:val>
            <c:numRef>
              <c:f>'Calibración-UTCUTS_Osemosys'!$Q$78</c:f>
              <c:numCache>
                <c:formatCode>#,##0.00000</c:formatCode>
                <c:ptCount val="1"/>
                <c:pt idx="0">
                  <c:v>0.10859039999999999</c:v>
                </c:pt>
              </c:numCache>
            </c:numRef>
          </c:val>
          <c:extLst>
            <c:ext xmlns:c16="http://schemas.microsoft.com/office/drawing/2014/chart" uri="{C3380CC4-5D6E-409C-BE32-E72D297353CC}">
              <c16:uniqueId val="{00000017-AC67-4C5C-B4B3-FE9A3380463F}"/>
            </c:ext>
          </c:extLst>
        </c:ser>
        <c:dLbls>
          <c:showLegendKey val="0"/>
          <c:showVal val="0"/>
          <c:showCatName val="0"/>
          <c:showSerName val="0"/>
          <c:showPercent val="0"/>
          <c:showBubbleSize val="0"/>
        </c:dLbls>
        <c:gapWidth val="150"/>
        <c:axId val="720116924"/>
        <c:axId val="1940020978"/>
      </c:barChart>
      <c:catAx>
        <c:axId val="72011692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940020978"/>
        <c:crosses val="autoZero"/>
        <c:auto val="1"/>
        <c:lblAlgn val="ctr"/>
        <c:lblOffset val="100"/>
        <c:noMultiLvlLbl val="1"/>
      </c:catAx>
      <c:valAx>
        <c:axId val="194002097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Coberturas uso de suelo</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720116924"/>
        <c:crosses val="autoZero"/>
        <c:crossBetween val="between"/>
      </c:valAx>
    </c:plotArea>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A5-4920-8A07-98B76341C488}"/>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A5-4920-8A07-98B76341C488}"/>
            </c:ext>
          </c:extLst>
        </c:ser>
        <c:ser>
          <c:idx val="2"/>
          <c:order val="2"/>
          <c:tx>
            <c:v>Pastizal (grassland)</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A5-4920-8A07-98B76341C488}"/>
            </c:ext>
          </c:extLst>
        </c:ser>
        <c:ser>
          <c:idx val="3"/>
          <c:order val="3"/>
          <c:tx>
            <c:v>Humedales</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8A5-4920-8A07-98B76341C488}"/>
            </c:ext>
          </c:extLst>
        </c:ser>
        <c:ser>
          <c:idx val="4"/>
          <c:order val="4"/>
          <c:invertIfNegative val="1"/>
          <c:cat>
            <c:numRef>
              <c:f>'Calibración-UTCUTS_Osemosys'!$I$1</c:f>
              <c:numCache>
                <c:formatCode>General</c:formatCode>
                <c:ptCount val="1"/>
                <c:pt idx="0">
                  <c:v>2010</c:v>
                </c:pt>
              </c:numCache>
            </c:numRef>
          </c:cat>
          <c:val>
            <c:numRef>
              <c:f>'Calibración-UTCUTS_Osemosys'!$I$89</c:f>
              <c:numCache>
                <c:formatCode>#,##0.00000</c:formatCode>
                <c:ptCount val="1"/>
              </c:numCache>
            </c:numRef>
          </c:val>
          <c:extLst>
            <c:ext xmlns:c16="http://schemas.microsoft.com/office/drawing/2014/chart" uri="{C3380CC4-5D6E-409C-BE32-E72D297353CC}">
              <c16:uniqueId val="{00000004-98A5-4920-8A07-98B76341C488}"/>
            </c:ext>
          </c:extLst>
        </c:ser>
        <c:ser>
          <c:idx val="5"/>
          <c:order val="5"/>
          <c:invertIfNegative val="1"/>
          <c:cat>
            <c:numRef>
              <c:f>'Calibración-UTCUTS_Osemosys'!$I$1</c:f>
              <c:numCache>
                <c:formatCode>General</c:formatCode>
                <c:ptCount val="1"/>
                <c:pt idx="0">
                  <c:v>2010</c:v>
                </c:pt>
              </c:numCache>
            </c:numRef>
          </c:cat>
          <c:val>
            <c:numRef>
              <c:f>'Calibración-UTCUTS_Osemosys'!$K$89</c:f>
              <c:numCache>
                <c:formatCode>#,##0.00000</c:formatCode>
                <c:ptCount val="1"/>
              </c:numCache>
            </c:numRef>
          </c:val>
          <c:extLst>
            <c:ext xmlns:c16="http://schemas.microsoft.com/office/drawing/2014/chart" uri="{C3380CC4-5D6E-409C-BE32-E72D297353CC}">
              <c16:uniqueId val="{00000005-98A5-4920-8A07-98B76341C488}"/>
            </c:ext>
          </c:extLst>
        </c:ser>
        <c:ser>
          <c:idx val="6"/>
          <c:order val="6"/>
          <c:invertIfNegative val="1"/>
          <c:cat>
            <c:numRef>
              <c:f>'Calibración-UTCUTS_Osemosys'!$I$1</c:f>
              <c:numCache>
                <c:formatCode>General</c:formatCode>
                <c:ptCount val="1"/>
                <c:pt idx="0">
                  <c:v>2010</c:v>
                </c:pt>
              </c:numCache>
            </c:numRef>
          </c:cat>
          <c:val>
            <c:numRef>
              <c:f>'Calibración-UTCUTS_Osemosys'!$M$89</c:f>
              <c:numCache>
                <c:formatCode>#,##0.00000</c:formatCode>
                <c:ptCount val="1"/>
              </c:numCache>
            </c:numRef>
          </c:val>
          <c:extLst>
            <c:ext xmlns:c16="http://schemas.microsoft.com/office/drawing/2014/chart" uri="{C3380CC4-5D6E-409C-BE32-E72D297353CC}">
              <c16:uniqueId val="{00000006-98A5-4920-8A07-98B76341C488}"/>
            </c:ext>
          </c:extLst>
        </c:ser>
        <c:ser>
          <c:idx val="7"/>
          <c:order val="7"/>
          <c:invertIfNegative val="1"/>
          <c:cat>
            <c:numRef>
              <c:f>'Calibración-UTCUTS_Osemosys'!$I$1</c:f>
              <c:numCache>
                <c:formatCode>General</c:formatCode>
                <c:ptCount val="1"/>
                <c:pt idx="0">
                  <c:v>2010</c:v>
                </c:pt>
              </c:numCache>
            </c:numRef>
          </c:cat>
          <c:val>
            <c:numRef>
              <c:f>'Calibración-UTCUTS_Osemosys'!$O$89</c:f>
              <c:numCache>
                <c:formatCode>#,##0.00000</c:formatCode>
                <c:ptCount val="1"/>
              </c:numCache>
            </c:numRef>
          </c:val>
          <c:extLst>
            <c:ext xmlns:c16="http://schemas.microsoft.com/office/drawing/2014/chart" uri="{C3380CC4-5D6E-409C-BE32-E72D297353CC}">
              <c16:uniqueId val="{00000007-98A5-4920-8A07-98B76341C488}"/>
            </c:ext>
          </c:extLst>
        </c:ser>
        <c:ser>
          <c:idx val="8"/>
          <c:order val="8"/>
          <c:invertIfNegative val="1"/>
          <c:cat>
            <c:numRef>
              <c:f>'Calibración-UTCUTS_Osemosys'!$I$1</c:f>
              <c:numCache>
                <c:formatCode>General</c:formatCode>
                <c:ptCount val="1"/>
                <c:pt idx="0">
                  <c:v>2010</c:v>
                </c:pt>
              </c:numCache>
            </c:numRef>
          </c:cat>
          <c:val>
            <c:numRef>
              <c:f>'Calibración-UTCUTS_Osemosys'!$Q$89</c:f>
              <c:numCache>
                <c:formatCode>#,##0.00000</c:formatCode>
                <c:ptCount val="1"/>
              </c:numCache>
            </c:numRef>
          </c:val>
          <c:extLst>
            <c:ext xmlns:c16="http://schemas.microsoft.com/office/drawing/2014/chart" uri="{C3380CC4-5D6E-409C-BE32-E72D297353CC}">
              <c16:uniqueId val="{00000008-98A5-4920-8A07-98B76341C488}"/>
            </c:ext>
          </c:extLst>
        </c:ser>
        <c:ser>
          <c:idx val="9"/>
          <c:order val="9"/>
          <c:invertIfNegative val="1"/>
          <c:cat>
            <c:numRef>
              <c:f>'Calibración-UTCUTS_Osemosys'!$I$1</c:f>
              <c:numCache>
                <c:formatCode>General</c:formatCode>
                <c:ptCount val="1"/>
                <c:pt idx="0">
                  <c:v>2010</c:v>
                </c:pt>
              </c:numCache>
            </c:numRef>
          </c:cat>
          <c:val>
            <c:numRef>
              <c:f>'Calibración-UTCUTS_Osemosys'!$I$90</c:f>
              <c:numCache>
                <c:formatCode>#,##0.00000</c:formatCode>
                <c:ptCount val="1"/>
              </c:numCache>
            </c:numRef>
          </c:val>
          <c:extLst>
            <c:ext xmlns:c16="http://schemas.microsoft.com/office/drawing/2014/chart" uri="{C3380CC4-5D6E-409C-BE32-E72D297353CC}">
              <c16:uniqueId val="{00000009-98A5-4920-8A07-98B76341C488}"/>
            </c:ext>
          </c:extLst>
        </c:ser>
        <c:ser>
          <c:idx val="10"/>
          <c:order val="10"/>
          <c:invertIfNegative val="1"/>
          <c:cat>
            <c:numRef>
              <c:f>'Calibración-UTCUTS_Osemosys'!$I$1</c:f>
              <c:numCache>
                <c:formatCode>General</c:formatCode>
                <c:ptCount val="1"/>
                <c:pt idx="0">
                  <c:v>2010</c:v>
                </c:pt>
              </c:numCache>
            </c:numRef>
          </c:cat>
          <c:val>
            <c:numRef>
              <c:f>'Calibración-UTCUTS_Osemosys'!$K$90</c:f>
              <c:numCache>
                <c:formatCode>#,##0.00000</c:formatCode>
                <c:ptCount val="1"/>
              </c:numCache>
            </c:numRef>
          </c:val>
          <c:extLst>
            <c:ext xmlns:c16="http://schemas.microsoft.com/office/drawing/2014/chart" uri="{C3380CC4-5D6E-409C-BE32-E72D297353CC}">
              <c16:uniqueId val="{0000000A-98A5-4920-8A07-98B76341C488}"/>
            </c:ext>
          </c:extLst>
        </c:ser>
        <c:ser>
          <c:idx val="11"/>
          <c:order val="11"/>
          <c:invertIfNegative val="1"/>
          <c:cat>
            <c:numRef>
              <c:f>'Calibración-UTCUTS_Osemosys'!$I$1</c:f>
              <c:numCache>
                <c:formatCode>General</c:formatCode>
                <c:ptCount val="1"/>
                <c:pt idx="0">
                  <c:v>2010</c:v>
                </c:pt>
              </c:numCache>
            </c:numRef>
          </c:cat>
          <c:val>
            <c:numRef>
              <c:f>'Calibración-UTCUTS_Osemosys'!$M$90</c:f>
              <c:numCache>
                <c:formatCode>#,##0.00000</c:formatCode>
                <c:ptCount val="1"/>
              </c:numCache>
            </c:numRef>
          </c:val>
          <c:extLst>
            <c:ext xmlns:c16="http://schemas.microsoft.com/office/drawing/2014/chart" uri="{C3380CC4-5D6E-409C-BE32-E72D297353CC}">
              <c16:uniqueId val="{0000000B-98A5-4920-8A07-98B76341C488}"/>
            </c:ext>
          </c:extLst>
        </c:ser>
        <c:ser>
          <c:idx val="12"/>
          <c:order val="12"/>
          <c:invertIfNegative val="1"/>
          <c:cat>
            <c:numRef>
              <c:f>'Calibración-UTCUTS_Osemosys'!$I$1</c:f>
              <c:numCache>
                <c:formatCode>General</c:formatCode>
                <c:ptCount val="1"/>
                <c:pt idx="0">
                  <c:v>2010</c:v>
                </c:pt>
              </c:numCache>
            </c:numRef>
          </c:cat>
          <c:val>
            <c:numRef>
              <c:f>'Calibración-UTCUTS_Osemosys'!$O$90</c:f>
              <c:numCache>
                <c:formatCode>#,##0.00000</c:formatCode>
                <c:ptCount val="1"/>
              </c:numCache>
            </c:numRef>
          </c:val>
          <c:extLst>
            <c:ext xmlns:c16="http://schemas.microsoft.com/office/drawing/2014/chart" uri="{C3380CC4-5D6E-409C-BE32-E72D297353CC}">
              <c16:uniqueId val="{0000000C-98A5-4920-8A07-98B76341C488}"/>
            </c:ext>
          </c:extLst>
        </c:ser>
        <c:ser>
          <c:idx val="13"/>
          <c:order val="13"/>
          <c:invertIfNegative val="1"/>
          <c:cat>
            <c:numRef>
              <c:f>'Calibración-UTCUTS_Osemosys'!$I$1</c:f>
              <c:numCache>
                <c:formatCode>General</c:formatCode>
                <c:ptCount val="1"/>
                <c:pt idx="0">
                  <c:v>2010</c:v>
                </c:pt>
              </c:numCache>
            </c:numRef>
          </c:cat>
          <c:val>
            <c:numRef>
              <c:f>'Calibración-UTCUTS_Osemosys'!$Q$90</c:f>
              <c:numCache>
                <c:formatCode>#,##0.00000</c:formatCode>
                <c:ptCount val="1"/>
              </c:numCache>
            </c:numRef>
          </c:val>
          <c:extLst>
            <c:ext xmlns:c16="http://schemas.microsoft.com/office/drawing/2014/chart" uri="{C3380CC4-5D6E-409C-BE32-E72D297353CC}">
              <c16:uniqueId val="{0000000D-98A5-4920-8A07-98B76341C488}"/>
            </c:ext>
          </c:extLst>
        </c:ser>
        <c:ser>
          <c:idx val="14"/>
          <c:order val="14"/>
          <c:invertIfNegative val="1"/>
          <c:cat>
            <c:numRef>
              <c:f>'Calibración-UTCUTS_Osemosys'!$I$1</c:f>
              <c:numCache>
                <c:formatCode>General</c:formatCode>
                <c:ptCount val="1"/>
                <c:pt idx="0">
                  <c:v>2010</c:v>
                </c:pt>
              </c:numCache>
            </c:numRef>
          </c:cat>
          <c:val>
            <c:numRef>
              <c:f>'Calibración-UTCUTS_Osemosys'!$I$91</c:f>
              <c:numCache>
                <c:formatCode>General</c:formatCode>
                <c:ptCount val="1"/>
              </c:numCache>
            </c:numRef>
          </c:val>
          <c:extLst>
            <c:ext xmlns:c16="http://schemas.microsoft.com/office/drawing/2014/chart" uri="{C3380CC4-5D6E-409C-BE32-E72D297353CC}">
              <c16:uniqueId val="{0000000E-98A5-4920-8A07-98B76341C488}"/>
            </c:ext>
          </c:extLst>
        </c:ser>
        <c:ser>
          <c:idx val="15"/>
          <c:order val="15"/>
          <c:invertIfNegative val="1"/>
          <c:cat>
            <c:numRef>
              <c:f>'Calibración-UTCUTS_Osemosys'!$I$1</c:f>
              <c:numCache>
                <c:formatCode>General</c:formatCode>
                <c:ptCount val="1"/>
                <c:pt idx="0">
                  <c:v>2010</c:v>
                </c:pt>
              </c:numCache>
            </c:numRef>
          </c:cat>
          <c:val>
            <c:numRef>
              <c:f>'Calibración-UTCUTS_Osemosys'!$K$91</c:f>
              <c:numCache>
                <c:formatCode>General</c:formatCode>
                <c:ptCount val="1"/>
              </c:numCache>
            </c:numRef>
          </c:val>
          <c:extLst>
            <c:ext xmlns:c16="http://schemas.microsoft.com/office/drawing/2014/chart" uri="{C3380CC4-5D6E-409C-BE32-E72D297353CC}">
              <c16:uniqueId val="{0000000F-98A5-4920-8A07-98B76341C488}"/>
            </c:ext>
          </c:extLst>
        </c:ser>
        <c:ser>
          <c:idx val="16"/>
          <c:order val="16"/>
          <c:invertIfNegative val="1"/>
          <c:cat>
            <c:numRef>
              <c:f>'Calibración-UTCUTS_Osemosys'!$I$1</c:f>
              <c:numCache>
                <c:formatCode>General</c:formatCode>
                <c:ptCount val="1"/>
                <c:pt idx="0">
                  <c:v>2010</c:v>
                </c:pt>
              </c:numCache>
            </c:numRef>
          </c:cat>
          <c:val>
            <c:numRef>
              <c:f>'Calibración-UTCUTS_Osemosys'!$M$91</c:f>
              <c:numCache>
                <c:formatCode>General</c:formatCode>
                <c:ptCount val="1"/>
              </c:numCache>
            </c:numRef>
          </c:val>
          <c:extLst>
            <c:ext xmlns:c16="http://schemas.microsoft.com/office/drawing/2014/chart" uri="{C3380CC4-5D6E-409C-BE32-E72D297353CC}">
              <c16:uniqueId val="{00000010-98A5-4920-8A07-98B76341C488}"/>
            </c:ext>
          </c:extLst>
        </c:ser>
        <c:ser>
          <c:idx val="17"/>
          <c:order val="17"/>
          <c:invertIfNegative val="1"/>
          <c:cat>
            <c:numRef>
              <c:f>'Calibración-UTCUTS_Osemosys'!$I$1</c:f>
              <c:numCache>
                <c:formatCode>General</c:formatCode>
                <c:ptCount val="1"/>
                <c:pt idx="0">
                  <c:v>2010</c:v>
                </c:pt>
              </c:numCache>
            </c:numRef>
          </c:cat>
          <c:val>
            <c:numRef>
              <c:f>'Calibración-UTCUTS_Osemosys'!$O$91</c:f>
              <c:numCache>
                <c:formatCode>General</c:formatCode>
                <c:ptCount val="1"/>
              </c:numCache>
            </c:numRef>
          </c:val>
          <c:extLst>
            <c:ext xmlns:c16="http://schemas.microsoft.com/office/drawing/2014/chart" uri="{C3380CC4-5D6E-409C-BE32-E72D297353CC}">
              <c16:uniqueId val="{00000011-98A5-4920-8A07-98B76341C488}"/>
            </c:ext>
          </c:extLst>
        </c:ser>
        <c:ser>
          <c:idx val="18"/>
          <c:order val="18"/>
          <c:invertIfNegative val="1"/>
          <c:cat>
            <c:numRef>
              <c:f>'Calibración-UTCUTS_Osemosys'!$I$1</c:f>
              <c:numCache>
                <c:formatCode>General</c:formatCode>
                <c:ptCount val="1"/>
                <c:pt idx="0">
                  <c:v>2010</c:v>
                </c:pt>
              </c:numCache>
            </c:numRef>
          </c:cat>
          <c:val>
            <c:numRef>
              <c:f>'Calibración-UTCUTS_Osemosys'!$Q$91</c:f>
              <c:numCache>
                <c:formatCode>General</c:formatCode>
                <c:ptCount val="1"/>
              </c:numCache>
            </c:numRef>
          </c:val>
          <c:extLst>
            <c:ext xmlns:c16="http://schemas.microsoft.com/office/drawing/2014/chart" uri="{C3380CC4-5D6E-409C-BE32-E72D297353CC}">
              <c16:uniqueId val="{00000012-98A5-4920-8A07-98B76341C488}"/>
            </c:ext>
          </c:extLst>
        </c:ser>
        <c:ser>
          <c:idx val="19"/>
          <c:order val="19"/>
          <c:invertIfNegative val="1"/>
          <c:cat>
            <c:numRef>
              <c:f>'Calibración-UTCUTS_Osemosys'!$I$1</c:f>
              <c:numCache>
                <c:formatCode>General</c:formatCode>
                <c:ptCount val="1"/>
                <c:pt idx="0">
                  <c:v>2010</c:v>
                </c:pt>
              </c:numCache>
            </c:numRef>
          </c:cat>
          <c:val>
            <c:numRef>
              <c:f>'Calibración-UTCUTS_Osemosys'!$I$92</c:f>
              <c:numCache>
                <c:formatCode>#,##0.00000</c:formatCode>
                <c:ptCount val="1"/>
              </c:numCache>
            </c:numRef>
          </c:val>
          <c:extLst>
            <c:ext xmlns:c16="http://schemas.microsoft.com/office/drawing/2014/chart" uri="{C3380CC4-5D6E-409C-BE32-E72D297353CC}">
              <c16:uniqueId val="{00000013-98A5-4920-8A07-98B76341C488}"/>
            </c:ext>
          </c:extLst>
        </c:ser>
        <c:ser>
          <c:idx val="20"/>
          <c:order val="20"/>
          <c:invertIfNegative val="1"/>
          <c:cat>
            <c:numRef>
              <c:f>'Calibración-UTCUTS_Osemosys'!$I$1</c:f>
              <c:numCache>
                <c:formatCode>General</c:formatCode>
                <c:ptCount val="1"/>
                <c:pt idx="0">
                  <c:v>2010</c:v>
                </c:pt>
              </c:numCache>
            </c:numRef>
          </c:cat>
          <c:val>
            <c:numRef>
              <c:f>'Calibración-UTCUTS_Osemosys'!$K$92</c:f>
              <c:numCache>
                <c:formatCode>#,##0.00000</c:formatCode>
                <c:ptCount val="1"/>
              </c:numCache>
            </c:numRef>
          </c:val>
          <c:extLst>
            <c:ext xmlns:c16="http://schemas.microsoft.com/office/drawing/2014/chart" uri="{C3380CC4-5D6E-409C-BE32-E72D297353CC}">
              <c16:uniqueId val="{00000014-98A5-4920-8A07-98B76341C488}"/>
            </c:ext>
          </c:extLst>
        </c:ser>
        <c:ser>
          <c:idx val="21"/>
          <c:order val="21"/>
          <c:invertIfNegative val="1"/>
          <c:cat>
            <c:numRef>
              <c:f>'Calibración-UTCUTS_Osemosys'!$I$1</c:f>
              <c:numCache>
                <c:formatCode>General</c:formatCode>
                <c:ptCount val="1"/>
                <c:pt idx="0">
                  <c:v>2010</c:v>
                </c:pt>
              </c:numCache>
            </c:numRef>
          </c:cat>
          <c:val>
            <c:numRef>
              <c:f>'Calibración-UTCUTS_Osemosys'!$M$92</c:f>
              <c:numCache>
                <c:formatCode>#,##0.00000</c:formatCode>
                <c:ptCount val="1"/>
              </c:numCache>
            </c:numRef>
          </c:val>
          <c:extLst>
            <c:ext xmlns:c16="http://schemas.microsoft.com/office/drawing/2014/chart" uri="{C3380CC4-5D6E-409C-BE32-E72D297353CC}">
              <c16:uniqueId val="{00000015-98A5-4920-8A07-98B76341C488}"/>
            </c:ext>
          </c:extLst>
        </c:ser>
        <c:ser>
          <c:idx val="22"/>
          <c:order val="22"/>
          <c:invertIfNegative val="1"/>
          <c:cat>
            <c:numRef>
              <c:f>'Calibración-UTCUTS_Osemosys'!$I$1</c:f>
              <c:numCache>
                <c:formatCode>General</c:formatCode>
                <c:ptCount val="1"/>
                <c:pt idx="0">
                  <c:v>2010</c:v>
                </c:pt>
              </c:numCache>
            </c:numRef>
          </c:cat>
          <c:val>
            <c:numRef>
              <c:f>'Calibración-UTCUTS_Osemosys'!$O$92</c:f>
              <c:numCache>
                <c:formatCode>#,##0.00000</c:formatCode>
                <c:ptCount val="1"/>
              </c:numCache>
            </c:numRef>
          </c:val>
          <c:extLst>
            <c:ext xmlns:c16="http://schemas.microsoft.com/office/drawing/2014/chart" uri="{C3380CC4-5D6E-409C-BE32-E72D297353CC}">
              <c16:uniqueId val="{00000016-98A5-4920-8A07-98B76341C488}"/>
            </c:ext>
          </c:extLst>
        </c:ser>
        <c:ser>
          <c:idx val="23"/>
          <c:order val="23"/>
          <c:invertIfNegative val="1"/>
          <c:cat>
            <c:numRef>
              <c:f>'Calibración-UTCUTS_Osemosys'!$I$1</c:f>
              <c:numCache>
                <c:formatCode>General</c:formatCode>
                <c:ptCount val="1"/>
                <c:pt idx="0">
                  <c:v>2010</c:v>
                </c:pt>
              </c:numCache>
            </c:numRef>
          </c:cat>
          <c:val>
            <c:numRef>
              <c:f>'Calibración-UTCUTS_Osemosys'!$Q$92</c:f>
              <c:numCache>
                <c:formatCode>#,##0.00000</c:formatCode>
                <c:ptCount val="1"/>
              </c:numCache>
            </c:numRef>
          </c:val>
          <c:extLst>
            <c:ext xmlns:c16="http://schemas.microsoft.com/office/drawing/2014/chart" uri="{C3380CC4-5D6E-409C-BE32-E72D297353CC}">
              <c16:uniqueId val="{00000017-98A5-4920-8A07-98B76341C488}"/>
            </c:ext>
          </c:extLst>
        </c:ser>
        <c:ser>
          <c:idx val="24"/>
          <c:order val="24"/>
          <c:invertIfNegative val="1"/>
          <c:cat>
            <c:numRef>
              <c:f>'Calibración-UTCUTS_Osemosys'!$I$1</c:f>
              <c:numCache>
                <c:formatCode>General</c:formatCode>
                <c:ptCount val="1"/>
                <c:pt idx="0">
                  <c:v>2010</c:v>
                </c:pt>
              </c:numCache>
            </c:numRef>
          </c:cat>
          <c:val>
            <c:numRef>
              <c:f>'Calibración-UTCUTS_Osemosys'!$I$93</c:f>
              <c:numCache>
                <c:formatCode>#,##0.00000</c:formatCode>
                <c:ptCount val="1"/>
              </c:numCache>
            </c:numRef>
          </c:val>
          <c:extLst>
            <c:ext xmlns:c16="http://schemas.microsoft.com/office/drawing/2014/chart" uri="{C3380CC4-5D6E-409C-BE32-E72D297353CC}">
              <c16:uniqueId val="{00000018-98A5-4920-8A07-98B76341C488}"/>
            </c:ext>
          </c:extLst>
        </c:ser>
        <c:ser>
          <c:idx val="25"/>
          <c:order val="25"/>
          <c:invertIfNegative val="1"/>
          <c:cat>
            <c:numRef>
              <c:f>'Calibración-UTCUTS_Osemosys'!$I$1</c:f>
              <c:numCache>
                <c:formatCode>General</c:formatCode>
                <c:ptCount val="1"/>
                <c:pt idx="0">
                  <c:v>2010</c:v>
                </c:pt>
              </c:numCache>
            </c:numRef>
          </c:cat>
          <c:val>
            <c:numRef>
              <c:f>'Calibración-UTCUTS_Osemosys'!$K$93</c:f>
              <c:numCache>
                <c:formatCode>#,##0.00000</c:formatCode>
                <c:ptCount val="1"/>
              </c:numCache>
            </c:numRef>
          </c:val>
          <c:extLst>
            <c:ext xmlns:c16="http://schemas.microsoft.com/office/drawing/2014/chart" uri="{C3380CC4-5D6E-409C-BE32-E72D297353CC}">
              <c16:uniqueId val="{00000019-98A5-4920-8A07-98B76341C488}"/>
            </c:ext>
          </c:extLst>
        </c:ser>
        <c:ser>
          <c:idx val="26"/>
          <c:order val="26"/>
          <c:invertIfNegative val="1"/>
          <c:cat>
            <c:numRef>
              <c:f>'Calibración-UTCUTS_Osemosys'!$I$1</c:f>
              <c:numCache>
                <c:formatCode>General</c:formatCode>
                <c:ptCount val="1"/>
                <c:pt idx="0">
                  <c:v>2010</c:v>
                </c:pt>
              </c:numCache>
            </c:numRef>
          </c:cat>
          <c:val>
            <c:numRef>
              <c:f>'Calibración-UTCUTS_Osemosys'!$M$93</c:f>
              <c:numCache>
                <c:formatCode>#,##0.00000</c:formatCode>
                <c:ptCount val="1"/>
              </c:numCache>
            </c:numRef>
          </c:val>
          <c:extLst>
            <c:ext xmlns:c16="http://schemas.microsoft.com/office/drawing/2014/chart" uri="{C3380CC4-5D6E-409C-BE32-E72D297353CC}">
              <c16:uniqueId val="{0000001A-98A5-4920-8A07-98B76341C488}"/>
            </c:ext>
          </c:extLst>
        </c:ser>
        <c:ser>
          <c:idx val="27"/>
          <c:order val="27"/>
          <c:invertIfNegative val="1"/>
          <c:cat>
            <c:numRef>
              <c:f>'Calibración-UTCUTS_Osemosys'!$I$1</c:f>
              <c:numCache>
                <c:formatCode>General</c:formatCode>
                <c:ptCount val="1"/>
                <c:pt idx="0">
                  <c:v>2010</c:v>
                </c:pt>
              </c:numCache>
            </c:numRef>
          </c:cat>
          <c:val>
            <c:numRef>
              <c:f>'Calibración-UTCUTS_Osemosys'!$O$93</c:f>
              <c:numCache>
                <c:formatCode>#,##0.00000</c:formatCode>
                <c:ptCount val="1"/>
              </c:numCache>
            </c:numRef>
          </c:val>
          <c:extLst>
            <c:ext xmlns:c16="http://schemas.microsoft.com/office/drawing/2014/chart" uri="{C3380CC4-5D6E-409C-BE32-E72D297353CC}">
              <c16:uniqueId val="{0000001B-98A5-4920-8A07-98B76341C488}"/>
            </c:ext>
          </c:extLst>
        </c:ser>
        <c:ser>
          <c:idx val="28"/>
          <c:order val="28"/>
          <c:invertIfNegative val="1"/>
          <c:cat>
            <c:numRef>
              <c:f>'Calibración-UTCUTS_Osemosys'!$I$1</c:f>
              <c:numCache>
                <c:formatCode>General</c:formatCode>
                <c:ptCount val="1"/>
                <c:pt idx="0">
                  <c:v>2010</c:v>
                </c:pt>
              </c:numCache>
            </c:numRef>
          </c:cat>
          <c:val>
            <c:numRef>
              <c:f>'Calibración-UTCUTS_Osemosys'!$Q$93</c:f>
              <c:numCache>
                <c:formatCode>#,##0.00000</c:formatCode>
                <c:ptCount val="1"/>
              </c:numCache>
            </c:numRef>
          </c:val>
          <c:extLst>
            <c:ext xmlns:c16="http://schemas.microsoft.com/office/drawing/2014/chart" uri="{C3380CC4-5D6E-409C-BE32-E72D297353CC}">
              <c16:uniqueId val="{0000001C-98A5-4920-8A07-98B76341C488}"/>
            </c:ext>
          </c:extLst>
        </c:ser>
        <c:ser>
          <c:idx val="29"/>
          <c:order val="29"/>
          <c:invertIfNegative val="1"/>
          <c:cat>
            <c:numRef>
              <c:f>'Calibración-UTCUTS_Osemosys'!$I$1</c:f>
              <c:numCache>
                <c:formatCode>General</c:formatCode>
                <c:ptCount val="1"/>
                <c:pt idx="0">
                  <c:v>2010</c:v>
                </c:pt>
              </c:numCache>
            </c:numRef>
          </c:cat>
          <c:val>
            <c:numRef>
              <c:f>'Calibración-UTCUTS_Osemosys'!$I$94</c:f>
              <c:numCache>
                <c:formatCode>General</c:formatCode>
                <c:ptCount val="1"/>
              </c:numCache>
            </c:numRef>
          </c:val>
          <c:extLst>
            <c:ext xmlns:c16="http://schemas.microsoft.com/office/drawing/2014/chart" uri="{C3380CC4-5D6E-409C-BE32-E72D297353CC}">
              <c16:uniqueId val="{0000001D-98A5-4920-8A07-98B76341C488}"/>
            </c:ext>
          </c:extLst>
        </c:ser>
        <c:ser>
          <c:idx val="30"/>
          <c:order val="30"/>
          <c:invertIfNegative val="1"/>
          <c:cat>
            <c:numRef>
              <c:f>'Calibración-UTCUTS_Osemosys'!$I$1</c:f>
              <c:numCache>
                <c:formatCode>General</c:formatCode>
                <c:ptCount val="1"/>
                <c:pt idx="0">
                  <c:v>2010</c:v>
                </c:pt>
              </c:numCache>
            </c:numRef>
          </c:cat>
          <c:val>
            <c:numRef>
              <c:f>'Calibración-UTCUTS_Osemosys'!$K$94</c:f>
              <c:numCache>
                <c:formatCode>#,##0.00000</c:formatCode>
                <c:ptCount val="1"/>
              </c:numCache>
            </c:numRef>
          </c:val>
          <c:extLst>
            <c:ext xmlns:c16="http://schemas.microsoft.com/office/drawing/2014/chart" uri="{C3380CC4-5D6E-409C-BE32-E72D297353CC}">
              <c16:uniqueId val="{0000001E-98A5-4920-8A07-98B76341C488}"/>
            </c:ext>
          </c:extLst>
        </c:ser>
        <c:ser>
          <c:idx val="31"/>
          <c:order val="31"/>
          <c:invertIfNegative val="1"/>
          <c:cat>
            <c:numRef>
              <c:f>'Calibración-UTCUTS_Osemosys'!$I$1</c:f>
              <c:numCache>
                <c:formatCode>General</c:formatCode>
                <c:ptCount val="1"/>
                <c:pt idx="0">
                  <c:v>2010</c:v>
                </c:pt>
              </c:numCache>
            </c:numRef>
          </c:cat>
          <c:val>
            <c:numRef>
              <c:f>'Calibración-UTCUTS_Osemosys'!$M$94</c:f>
              <c:numCache>
                <c:formatCode>#,##0.00000</c:formatCode>
                <c:ptCount val="1"/>
              </c:numCache>
            </c:numRef>
          </c:val>
          <c:extLst>
            <c:ext xmlns:c16="http://schemas.microsoft.com/office/drawing/2014/chart" uri="{C3380CC4-5D6E-409C-BE32-E72D297353CC}">
              <c16:uniqueId val="{0000001F-98A5-4920-8A07-98B76341C488}"/>
            </c:ext>
          </c:extLst>
        </c:ser>
        <c:ser>
          <c:idx val="32"/>
          <c:order val="32"/>
          <c:invertIfNegative val="1"/>
          <c:cat>
            <c:numRef>
              <c:f>'Calibración-UTCUTS_Osemosys'!$I$1</c:f>
              <c:numCache>
                <c:formatCode>General</c:formatCode>
                <c:ptCount val="1"/>
                <c:pt idx="0">
                  <c:v>2010</c:v>
                </c:pt>
              </c:numCache>
            </c:numRef>
          </c:cat>
          <c:val>
            <c:numRef>
              <c:f>'Calibración-UTCUTS_Osemosys'!$O$94</c:f>
              <c:numCache>
                <c:formatCode>#,##0.00000</c:formatCode>
                <c:ptCount val="1"/>
              </c:numCache>
            </c:numRef>
          </c:val>
          <c:extLst>
            <c:ext xmlns:c16="http://schemas.microsoft.com/office/drawing/2014/chart" uri="{C3380CC4-5D6E-409C-BE32-E72D297353CC}">
              <c16:uniqueId val="{00000020-98A5-4920-8A07-98B76341C488}"/>
            </c:ext>
          </c:extLst>
        </c:ser>
        <c:ser>
          <c:idx val="33"/>
          <c:order val="33"/>
          <c:invertIfNegative val="1"/>
          <c:cat>
            <c:numRef>
              <c:f>'Calibración-UTCUTS_Osemosys'!$I$1</c:f>
              <c:numCache>
                <c:formatCode>General</c:formatCode>
                <c:ptCount val="1"/>
                <c:pt idx="0">
                  <c:v>2010</c:v>
                </c:pt>
              </c:numCache>
            </c:numRef>
          </c:cat>
          <c:val>
            <c:numRef>
              <c:f>'Calibración-UTCUTS_Osemosys'!$Q$94</c:f>
              <c:numCache>
                <c:formatCode>#,##0.00000</c:formatCode>
                <c:ptCount val="1"/>
              </c:numCache>
            </c:numRef>
          </c:val>
          <c:extLst>
            <c:ext xmlns:c16="http://schemas.microsoft.com/office/drawing/2014/chart" uri="{C3380CC4-5D6E-409C-BE32-E72D297353CC}">
              <c16:uniqueId val="{00000021-98A5-4920-8A07-98B76341C488}"/>
            </c:ext>
          </c:extLst>
        </c:ser>
        <c:dLbls>
          <c:showLegendKey val="0"/>
          <c:showVal val="0"/>
          <c:showCatName val="0"/>
          <c:showSerName val="0"/>
          <c:showPercent val="0"/>
          <c:showBubbleSize val="0"/>
        </c:dLbls>
        <c:gapWidth val="150"/>
        <c:axId val="1500105934"/>
        <c:axId val="1680804782"/>
      </c:barChart>
      <c:catAx>
        <c:axId val="150010593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680804782"/>
        <c:crosses val="autoZero"/>
        <c:auto val="1"/>
        <c:lblAlgn val="ctr"/>
        <c:lblOffset val="100"/>
        <c:noMultiLvlLbl val="1"/>
      </c:catAx>
      <c:valAx>
        <c:axId val="168080478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tierra de cultivo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500105934"/>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319-497A-90C2-0D0345D05EE6}"/>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319-497A-90C2-0D0345D05EE6}"/>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319-497A-90C2-0D0345D05EE6}"/>
            </c:ext>
          </c:extLst>
        </c:ser>
        <c:ser>
          <c:idx val="3"/>
          <c:order val="3"/>
          <c:tx>
            <c:v>Humedales</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319-497A-90C2-0D0345D05EE6}"/>
            </c:ext>
          </c:extLst>
        </c:ser>
        <c:ser>
          <c:idx val="4"/>
          <c:order val="4"/>
          <c:invertIfNegative val="1"/>
          <c:cat>
            <c:numRef>
              <c:f>'Calibración-UTCUTS_Osemosys'!$I$1</c:f>
              <c:numCache>
                <c:formatCode>General</c:formatCode>
                <c:ptCount val="1"/>
                <c:pt idx="0">
                  <c:v>2010</c:v>
                </c:pt>
              </c:numCache>
            </c:numRef>
          </c:cat>
          <c:val>
            <c:numRef>
              <c:f>'Calibración-UTCUTS_Osemosys'!$I$99</c:f>
              <c:numCache>
                <c:formatCode>General</c:formatCode>
                <c:ptCount val="1"/>
              </c:numCache>
            </c:numRef>
          </c:val>
          <c:extLst>
            <c:ext xmlns:c16="http://schemas.microsoft.com/office/drawing/2014/chart" uri="{C3380CC4-5D6E-409C-BE32-E72D297353CC}">
              <c16:uniqueId val="{00000004-9319-497A-90C2-0D0345D05EE6}"/>
            </c:ext>
          </c:extLst>
        </c:ser>
        <c:ser>
          <c:idx val="5"/>
          <c:order val="5"/>
          <c:invertIfNegative val="1"/>
          <c:cat>
            <c:numRef>
              <c:f>'Calibración-UTCUTS_Osemosys'!$I$1</c:f>
              <c:numCache>
                <c:formatCode>General</c:formatCode>
                <c:ptCount val="1"/>
                <c:pt idx="0">
                  <c:v>2010</c:v>
                </c:pt>
              </c:numCache>
            </c:numRef>
          </c:cat>
          <c:val>
            <c:numRef>
              <c:f>'Calibración-UTCUTS_Osemosys'!$K$99</c:f>
              <c:numCache>
                <c:formatCode>General</c:formatCode>
                <c:ptCount val="1"/>
              </c:numCache>
            </c:numRef>
          </c:val>
          <c:extLst>
            <c:ext xmlns:c16="http://schemas.microsoft.com/office/drawing/2014/chart" uri="{C3380CC4-5D6E-409C-BE32-E72D297353CC}">
              <c16:uniqueId val="{00000005-9319-497A-90C2-0D0345D05EE6}"/>
            </c:ext>
          </c:extLst>
        </c:ser>
        <c:ser>
          <c:idx val="6"/>
          <c:order val="6"/>
          <c:invertIfNegative val="1"/>
          <c:cat>
            <c:numRef>
              <c:f>'Calibración-UTCUTS_Osemosys'!$I$1</c:f>
              <c:numCache>
                <c:formatCode>General</c:formatCode>
                <c:ptCount val="1"/>
                <c:pt idx="0">
                  <c:v>2010</c:v>
                </c:pt>
              </c:numCache>
            </c:numRef>
          </c:cat>
          <c:val>
            <c:numRef>
              <c:f>'Calibración-UTCUTS_Osemosys'!$M$99</c:f>
              <c:numCache>
                <c:formatCode>General</c:formatCode>
                <c:ptCount val="1"/>
              </c:numCache>
            </c:numRef>
          </c:val>
          <c:extLst>
            <c:ext xmlns:c16="http://schemas.microsoft.com/office/drawing/2014/chart" uri="{C3380CC4-5D6E-409C-BE32-E72D297353CC}">
              <c16:uniqueId val="{00000006-9319-497A-90C2-0D0345D05EE6}"/>
            </c:ext>
          </c:extLst>
        </c:ser>
        <c:ser>
          <c:idx val="7"/>
          <c:order val="7"/>
          <c:invertIfNegative val="1"/>
          <c:cat>
            <c:numRef>
              <c:f>'Calibración-UTCUTS_Osemosys'!$I$1</c:f>
              <c:numCache>
                <c:formatCode>General</c:formatCode>
                <c:ptCount val="1"/>
                <c:pt idx="0">
                  <c:v>2010</c:v>
                </c:pt>
              </c:numCache>
            </c:numRef>
          </c:cat>
          <c:val>
            <c:numRef>
              <c:f>'Calibración-UTCUTS_Osemosys'!$O$99</c:f>
              <c:numCache>
                <c:formatCode>General</c:formatCode>
                <c:ptCount val="1"/>
              </c:numCache>
            </c:numRef>
          </c:val>
          <c:extLst>
            <c:ext xmlns:c16="http://schemas.microsoft.com/office/drawing/2014/chart" uri="{C3380CC4-5D6E-409C-BE32-E72D297353CC}">
              <c16:uniqueId val="{00000007-9319-497A-90C2-0D0345D05EE6}"/>
            </c:ext>
          </c:extLst>
        </c:ser>
        <c:ser>
          <c:idx val="8"/>
          <c:order val="8"/>
          <c:invertIfNegative val="1"/>
          <c:cat>
            <c:numRef>
              <c:f>'Calibración-UTCUTS_Osemosys'!$I$1</c:f>
              <c:numCache>
                <c:formatCode>General</c:formatCode>
                <c:ptCount val="1"/>
                <c:pt idx="0">
                  <c:v>2010</c:v>
                </c:pt>
              </c:numCache>
            </c:numRef>
          </c:cat>
          <c:val>
            <c:numRef>
              <c:f>'Calibración-UTCUTS_Osemosys'!$Q$99</c:f>
              <c:numCache>
                <c:formatCode>General</c:formatCode>
                <c:ptCount val="1"/>
              </c:numCache>
            </c:numRef>
          </c:val>
          <c:extLst>
            <c:ext xmlns:c16="http://schemas.microsoft.com/office/drawing/2014/chart" uri="{C3380CC4-5D6E-409C-BE32-E72D297353CC}">
              <c16:uniqueId val="{00000008-9319-497A-90C2-0D0345D05EE6}"/>
            </c:ext>
          </c:extLst>
        </c:ser>
        <c:ser>
          <c:idx val="9"/>
          <c:order val="9"/>
          <c:invertIfNegative val="1"/>
          <c:cat>
            <c:numRef>
              <c:f>'Calibración-UTCUTS_Osemosys'!$I$1</c:f>
              <c:numCache>
                <c:formatCode>General</c:formatCode>
                <c:ptCount val="1"/>
                <c:pt idx="0">
                  <c:v>2010</c:v>
                </c:pt>
              </c:numCache>
            </c:numRef>
          </c:cat>
          <c:val>
            <c:numRef>
              <c:f>'Calibración-UTCUTS_Osemosys'!$I$100</c:f>
              <c:numCache>
                <c:formatCode>General</c:formatCode>
                <c:ptCount val="1"/>
              </c:numCache>
            </c:numRef>
          </c:val>
          <c:extLst>
            <c:ext xmlns:c16="http://schemas.microsoft.com/office/drawing/2014/chart" uri="{C3380CC4-5D6E-409C-BE32-E72D297353CC}">
              <c16:uniqueId val="{00000009-9319-497A-90C2-0D0345D05EE6}"/>
            </c:ext>
          </c:extLst>
        </c:ser>
        <c:ser>
          <c:idx val="10"/>
          <c:order val="10"/>
          <c:invertIfNegative val="1"/>
          <c:cat>
            <c:numRef>
              <c:f>'Calibración-UTCUTS_Osemosys'!$I$1</c:f>
              <c:numCache>
                <c:formatCode>General</c:formatCode>
                <c:ptCount val="1"/>
                <c:pt idx="0">
                  <c:v>2010</c:v>
                </c:pt>
              </c:numCache>
            </c:numRef>
          </c:cat>
          <c:val>
            <c:numRef>
              <c:f>'Calibración-UTCUTS_Osemosys'!$K$100</c:f>
              <c:numCache>
                <c:formatCode>General</c:formatCode>
                <c:ptCount val="1"/>
              </c:numCache>
            </c:numRef>
          </c:val>
          <c:extLst>
            <c:ext xmlns:c16="http://schemas.microsoft.com/office/drawing/2014/chart" uri="{C3380CC4-5D6E-409C-BE32-E72D297353CC}">
              <c16:uniqueId val="{0000000A-9319-497A-90C2-0D0345D05EE6}"/>
            </c:ext>
          </c:extLst>
        </c:ser>
        <c:ser>
          <c:idx val="11"/>
          <c:order val="11"/>
          <c:invertIfNegative val="1"/>
          <c:cat>
            <c:numRef>
              <c:f>'Calibración-UTCUTS_Osemosys'!$I$1</c:f>
              <c:numCache>
                <c:formatCode>General</c:formatCode>
                <c:ptCount val="1"/>
                <c:pt idx="0">
                  <c:v>2010</c:v>
                </c:pt>
              </c:numCache>
            </c:numRef>
          </c:cat>
          <c:val>
            <c:numRef>
              <c:f>'Calibración-UTCUTS_Osemosys'!$M$100</c:f>
              <c:numCache>
                <c:formatCode>General</c:formatCode>
                <c:ptCount val="1"/>
              </c:numCache>
            </c:numRef>
          </c:val>
          <c:extLst>
            <c:ext xmlns:c16="http://schemas.microsoft.com/office/drawing/2014/chart" uri="{C3380CC4-5D6E-409C-BE32-E72D297353CC}">
              <c16:uniqueId val="{0000000B-9319-497A-90C2-0D0345D05EE6}"/>
            </c:ext>
          </c:extLst>
        </c:ser>
        <c:ser>
          <c:idx val="12"/>
          <c:order val="12"/>
          <c:invertIfNegative val="1"/>
          <c:cat>
            <c:numRef>
              <c:f>'Calibración-UTCUTS_Osemosys'!$I$1</c:f>
              <c:numCache>
                <c:formatCode>General</c:formatCode>
                <c:ptCount val="1"/>
                <c:pt idx="0">
                  <c:v>2010</c:v>
                </c:pt>
              </c:numCache>
            </c:numRef>
          </c:cat>
          <c:val>
            <c:numRef>
              <c:f>'Calibración-UTCUTS_Osemosys'!$O$100</c:f>
              <c:numCache>
                <c:formatCode>General</c:formatCode>
                <c:ptCount val="1"/>
              </c:numCache>
            </c:numRef>
          </c:val>
          <c:extLst>
            <c:ext xmlns:c16="http://schemas.microsoft.com/office/drawing/2014/chart" uri="{C3380CC4-5D6E-409C-BE32-E72D297353CC}">
              <c16:uniqueId val="{0000000C-9319-497A-90C2-0D0345D05EE6}"/>
            </c:ext>
          </c:extLst>
        </c:ser>
        <c:ser>
          <c:idx val="13"/>
          <c:order val="13"/>
          <c:invertIfNegative val="1"/>
          <c:cat>
            <c:numRef>
              <c:f>'Calibración-UTCUTS_Osemosys'!$I$1</c:f>
              <c:numCache>
                <c:formatCode>General</c:formatCode>
                <c:ptCount val="1"/>
                <c:pt idx="0">
                  <c:v>2010</c:v>
                </c:pt>
              </c:numCache>
            </c:numRef>
          </c:cat>
          <c:val>
            <c:numRef>
              <c:f>'Calibración-UTCUTS_Osemosys'!$Q$100</c:f>
              <c:numCache>
                <c:formatCode>General</c:formatCode>
                <c:ptCount val="1"/>
              </c:numCache>
            </c:numRef>
          </c:val>
          <c:extLst>
            <c:ext xmlns:c16="http://schemas.microsoft.com/office/drawing/2014/chart" uri="{C3380CC4-5D6E-409C-BE32-E72D297353CC}">
              <c16:uniqueId val="{0000000D-9319-497A-90C2-0D0345D05EE6}"/>
            </c:ext>
          </c:extLst>
        </c:ser>
        <c:ser>
          <c:idx val="14"/>
          <c:order val="14"/>
          <c:invertIfNegative val="1"/>
          <c:cat>
            <c:numRef>
              <c:f>'Calibración-UTCUTS_Osemosys'!$I$1</c:f>
              <c:numCache>
                <c:formatCode>General</c:formatCode>
                <c:ptCount val="1"/>
                <c:pt idx="0">
                  <c:v>2010</c:v>
                </c:pt>
              </c:numCache>
            </c:numRef>
          </c:cat>
          <c:val>
            <c:numRef>
              <c:f>'Calibración-UTCUTS_Osemosys'!$I$101</c:f>
              <c:numCache>
                <c:formatCode>General</c:formatCode>
                <c:ptCount val="1"/>
              </c:numCache>
            </c:numRef>
          </c:val>
          <c:extLst>
            <c:ext xmlns:c16="http://schemas.microsoft.com/office/drawing/2014/chart" uri="{C3380CC4-5D6E-409C-BE32-E72D297353CC}">
              <c16:uniqueId val="{0000000E-9319-497A-90C2-0D0345D05EE6}"/>
            </c:ext>
          </c:extLst>
        </c:ser>
        <c:ser>
          <c:idx val="15"/>
          <c:order val="15"/>
          <c:invertIfNegative val="1"/>
          <c:cat>
            <c:numRef>
              <c:f>'Calibración-UTCUTS_Osemosys'!$I$1</c:f>
              <c:numCache>
                <c:formatCode>General</c:formatCode>
                <c:ptCount val="1"/>
                <c:pt idx="0">
                  <c:v>2010</c:v>
                </c:pt>
              </c:numCache>
            </c:numRef>
          </c:cat>
          <c:val>
            <c:numRef>
              <c:f>'Calibración-UTCUTS_Osemosys'!$K$101</c:f>
              <c:numCache>
                <c:formatCode>General</c:formatCode>
                <c:ptCount val="1"/>
              </c:numCache>
            </c:numRef>
          </c:val>
          <c:extLst>
            <c:ext xmlns:c16="http://schemas.microsoft.com/office/drawing/2014/chart" uri="{C3380CC4-5D6E-409C-BE32-E72D297353CC}">
              <c16:uniqueId val="{0000000F-9319-497A-90C2-0D0345D05EE6}"/>
            </c:ext>
          </c:extLst>
        </c:ser>
        <c:ser>
          <c:idx val="16"/>
          <c:order val="16"/>
          <c:invertIfNegative val="1"/>
          <c:cat>
            <c:numRef>
              <c:f>'Calibración-UTCUTS_Osemosys'!$I$1</c:f>
              <c:numCache>
                <c:formatCode>General</c:formatCode>
                <c:ptCount val="1"/>
                <c:pt idx="0">
                  <c:v>2010</c:v>
                </c:pt>
              </c:numCache>
            </c:numRef>
          </c:cat>
          <c:val>
            <c:numRef>
              <c:f>'Calibración-UTCUTS_Osemosys'!$M$101</c:f>
              <c:numCache>
                <c:formatCode>General</c:formatCode>
                <c:ptCount val="1"/>
              </c:numCache>
            </c:numRef>
          </c:val>
          <c:extLst>
            <c:ext xmlns:c16="http://schemas.microsoft.com/office/drawing/2014/chart" uri="{C3380CC4-5D6E-409C-BE32-E72D297353CC}">
              <c16:uniqueId val="{00000010-9319-497A-90C2-0D0345D05EE6}"/>
            </c:ext>
          </c:extLst>
        </c:ser>
        <c:ser>
          <c:idx val="17"/>
          <c:order val="17"/>
          <c:invertIfNegative val="1"/>
          <c:cat>
            <c:numRef>
              <c:f>'Calibración-UTCUTS_Osemosys'!$I$1</c:f>
              <c:numCache>
                <c:formatCode>General</c:formatCode>
                <c:ptCount val="1"/>
                <c:pt idx="0">
                  <c:v>2010</c:v>
                </c:pt>
              </c:numCache>
            </c:numRef>
          </c:cat>
          <c:val>
            <c:numRef>
              <c:f>'Calibración-UTCUTS_Osemosys'!$O$101</c:f>
              <c:numCache>
                <c:formatCode>General</c:formatCode>
                <c:ptCount val="1"/>
              </c:numCache>
            </c:numRef>
          </c:val>
          <c:extLst>
            <c:ext xmlns:c16="http://schemas.microsoft.com/office/drawing/2014/chart" uri="{C3380CC4-5D6E-409C-BE32-E72D297353CC}">
              <c16:uniqueId val="{00000011-9319-497A-90C2-0D0345D05EE6}"/>
            </c:ext>
          </c:extLst>
        </c:ser>
        <c:ser>
          <c:idx val="18"/>
          <c:order val="18"/>
          <c:invertIfNegative val="1"/>
          <c:cat>
            <c:numRef>
              <c:f>'Calibración-UTCUTS_Osemosys'!$I$1</c:f>
              <c:numCache>
                <c:formatCode>General</c:formatCode>
                <c:ptCount val="1"/>
                <c:pt idx="0">
                  <c:v>2010</c:v>
                </c:pt>
              </c:numCache>
            </c:numRef>
          </c:cat>
          <c:val>
            <c:numRef>
              <c:f>'Calibración-UTCUTS_Osemosys'!$Q$101</c:f>
              <c:numCache>
                <c:formatCode>General</c:formatCode>
                <c:ptCount val="1"/>
              </c:numCache>
            </c:numRef>
          </c:val>
          <c:extLst>
            <c:ext xmlns:c16="http://schemas.microsoft.com/office/drawing/2014/chart" uri="{C3380CC4-5D6E-409C-BE32-E72D297353CC}">
              <c16:uniqueId val="{00000012-9319-497A-90C2-0D0345D05EE6}"/>
            </c:ext>
          </c:extLst>
        </c:ser>
        <c:ser>
          <c:idx val="19"/>
          <c:order val="19"/>
          <c:invertIfNegative val="1"/>
          <c:cat>
            <c:numRef>
              <c:f>'Calibración-UTCUTS_Osemosys'!$I$1</c:f>
              <c:numCache>
                <c:formatCode>General</c:formatCode>
                <c:ptCount val="1"/>
                <c:pt idx="0">
                  <c:v>2010</c:v>
                </c:pt>
              </c:numCache>
            </c:numRef>
          </c:cat>
          <c:val>
            <c:numRef>
              <c:f>'Calibración-UTCUTS_Osemosys'!$I$102</c:f>
              <c:numCache>
                <c:formatCode>General</c:formatCode>
                <c:ptCount val="1"/>
              </c:numCache>
            </c:numRef>
          </c:val>
          <c:extLst>
            <c:ext xmlns:c16="http://schemas.microsoft.com/office/drawing/2014/chart" uri="{C3380CC4-5D6E-409C-BE32-E72D297353CC}">
              <c16:uniqueId val="{00000013-9319-497A-90C2-0D0345D05EE6}"/>
            </c:ext>
          </c:extLst>
        </c:ser>
        <c:ser>
          <c:idx val="20"/>
          <c:order val="20"/>
          <c:invertIfNegative val="1"/>
          <c:cat>
            <c:numRef>
              <c:f>'Calibración-UTCUTS_Osemosys'!$I$1</c:f>
              <c:numCache>
                <c:formatCode>General</c:formatCode>
                <c:ptCount val="1"/>
                <c:pt idx="0">
                  <c:v>2010</c:v>
                </c:pt>
              </c:numCache>
            </c:numRef>
          </c:cat>
          <c:val>
            <c:numRef>
              <c:f>'Calibración-UTCUTS_Osemosys'!$K$102</c:f>
              <c:numCache>
                <c:formatCode>General</c:formatCode>
                <c:ptCount val="1"/>
              </c:numCache>
            </c:numRef>
          </c:val>
          <c:extLst>
            <c:ext xmlns:c16="http://schemas.microsoft.com/office/drawing/2014/chart" uri="{C3380CC4-5D6E-409C-BE32-E72D297353CC}">
              <c16:uniqueId val="{00000014-9319-497A-90C2-0D0345D05EE6}"/>
            </c:ext>
          </c:extLst>
        </c:ser>
        <c:ser>
          <c:idx val="21"/>
          <c:order val="21"/>
          <c:invertIfNegative val="1"/>
          <c:cat>
            <c:numRef>
              <c:f>'Calibración-UTCUTS_Osemosys'!$I$1</c:f>
              <c:numCache>
                <c:formatCode>General</c:formatCode>
                <c:ptCount val="1"/>
                <c:pt idx="0">
                  <c:v>2010</c:v>
                </c:pt>
              </c:numCache>
            </c:numRef>
          </c:cat>
          <c:val>
            <c:numRef>
              <c:f>'Calibración-UTCUTS_Osemosys'!$M$102</c:f>
              <c:numCache>
                <c:formatCode>General</c:formatCode>
                <c:ptCount val="1"/>
              </c:numCache>
            </c:numRef>
          </c:val>
          <c:extLst>
            <c:ext xmlns:c16="http://schemas.microsoft.com/office/drawing/2014/chart" uri="{C3380CC4-5D6E-409C-BE32-E72D297353CC}">
              <c16:uniqueId val="{00000015-9319-497A-90C2-0D0345D05EE6}"/>
            </c:ext>
          </c:extLst>
        </c:ser>
        <c:ser>
          <c:idx val="22"/>
          <c:order val="22"/>
          <c:invertIfNegative val="1"/>
          <c:cat>
            <c:numRef>
              <c:f>'Calibración-UTCUTS_Osemosys'!$I$1</c:f>
              <c:numCache>
                <c:formatCode>General</c:formatCode>
                <c:ptCount val="1"/>
                <c:pt idx="0">
                  <c:v>2010</c:v>
                </c:pt>
              </c:numCache>
            </c:numRef>
          </c:cat>
          <c:val>
            <c:numRef>
              <c:f>'Calibración-UTCUTS_Osemosys'!$O$102</c:f>
              <c:numCache>
                <c:formatCode>General</c:formatCode>
                <c:ptCount val="1"/>
              </c:numCache>
            </c:numRef>
          </c:val>
          <c:extLst>
            <c:ext xmlns:c16="http://schemas.microsoft.com/office/drawing/2014/chart" uri="{C3380CC4-5D6E-409C-BE32-E72D297353CC}">
              <c16:uniqueId val="{00000016-9319-497A-90C2-0D0345D05EE6}"/>
            </c:ext>
          </c:extLst>
        </c:ser>
        <c:ser>
          <c:idx val="23"/>
          <c:order val="23"/>
          <c:invertIfNegative val="1"/>
          <c:cat>
            <c:numRef>
              <c:f>'Calibración-UTCUTS_Osemosys'!$I$1</c:f>
              <c:numCache>
                <c:formatCode>General</c:formatCode>
                <c:ptCount val="1"/>
                <c:pt idx="0">
                  <c:v>2010</c:v>
                </c:pt>
              </c:numCache>
            </c:numRef>
          </c:cat>
          <c:val>
            <c:numRef>
              <c:f>'Calibración-UTCUTS_Osemosys'!$Q$102</c:f>
              <c:numCache>
                <c:formatCode>General</c:formatCode>
                <c:ptCount val="1"/>
              </c:numCache>
            </c:numRef>
          </c:val>
          <c:extLst>
            <c:ext xmlns:c16="http://schemas.microsoft.com/office/drawing/2014/chart" uri="{C3380CC4-5D6E-409C-BE32-E72D297353CC}">
              <c16:uniqueId val="{00000017-9319-497A-90C2-0D0345D05EE6}"/>
            </c:ext>
          </c:extLst>
        </c:ser>
        <c:ser>
          <c:idx val="24"/>
          <c:order val="24"/>
          <c:invertIfNegative val="1"/>
          <c:cat>
            <c:numRef>
              <c:f>'Calibración-UTCUTS_Osemosys'!$I$1</c:f>
              <c:numCache>
                <c:formatCode>General</c:formatCode>
                <c:ptCount val="1"/>
                <c:pt idx="0">
                  <c:v>2010</c:v>
                </c:pt>
              </c:numCache>
            </c:numRef>
          </c:cat>
          <c:val>
            <c:numRef>
              <c:f>'Calibración-UTCUTS_Osemosys'!$I$103</c:f>
              <c:numCache>
                <c:formatCode>General</c:formatCode>
                <c:ptCount val="1"/>
                <c:pt idx="0">
                  <c:v>0</c:v>
                </c:pt>
              </c:numCache>
            </c:numRef>
          </c:val>
          <c:extLst>
            <c:ext xmlns:c16="http://schemas.microsoft.com/office/drawing/2014/chart" uri="{C3380CC4-5D6E-409C-BE32-E72D297353CC}">
              <c16:uniqueId val="{00000018-9319-497A-90C2-0D0345D05EE6}"/>
            </c:ext>
          </c:extLst>
        </c:ser>
        <c:ser>
          <c:idx val="25"/>
          <c:order val="25"/>
          <c:invertIfNegative val="1"/>
          <c:cat>
            <c:numRef>
              <c:f>'Calibración-UTCUTS_Osemosys'!$I$1</c:f>
              <c:numCache>
                <c:formatCode>General</c:formatCode>
                <c:ptCount val="1"/>
                <c:pt idx="0">
                  <c:v>2010</c:v>
                </c:pt>
              </c:numCache>
            </c:numRef>
          </c:cat>
          <c:val>
            <c:numRef>
              <c:f>'Calibración-UTCUTS_Osemosys'!$K$103</c:f>
              <c:numCache>
                <c:formatCode>General</c:formatCode>
                <c:ptCount val="1"/>
                <c:pt idx="0">
                  <c:v>0</c:v>
                </c:pt>
              </c:numCache>
            </c:numRef>
          </c:val>
          <c:extLst>
            <c:ext xmlns:c16="http://schemas.microsoft.com/office/drawing/2014/chart" uri="{C3380CC4-5D6E-409C-BE32-E72D297353CC}">
              <c16:uniqueId val="{00000019-9319-497A-90C2-0D0345D05EE6}"/>
            </c:ext>
          </c:extLst>
        </c:ser>
        <c:ser>
          <c:idx val="26"/>
          <c:order val="26"/>
          <c:invertIfNegative val="1"/>
          <c:cat>
            <c:numRef>
              <c:f>'Calibración-UTCUTS_Osemosys'!$I$1</c:f>
              <c:numCache>
                <c:formatCode>General</c:formatCode>
                <c:ptCount val="1"/>
                <c:pt idx="0">
                  <c:v>2010</c:v>
                </c:pt>
              </c:numCache>
            </c:numRef>
          </c:cat>
          <c:val>
            <c:numRef>
              <c:f>'Calibración-UTCUTS_Osemosys'!$M$103</c:f>
              <c:numCache>
                <c:formatCode>General</c:formatCode>
                <c:ptCount val="1"/>
                <c:pt idx="0">
                  <c:v>0</c:v>
                </c:pt>
              </c:numCache>
            </c:numRef>
          </c:val>
          <c:extLst>
            <c:ext xmlns:c16="http://schemas.microsoft.com/office/drawing/2014/chart" uri="{C3380CC4-5D6E-409C-BE32-E72D297353CC}">
              <c16:uniqueId val="{0000001A-9319-497A-90C2-0D0345D05EE6}"/>
            </c:ext>
          </c:extLst>
        </c:ser>
        <c:ser>
          <c:idx val="27"/>
          <c:order val="27"/>
          <c:invertIfNegative val="1"/>
          <c:cat>
            <c:numRef>
              <c:f>'Calibración-UTCUTS_Osemosys'!$I$1</c:f>
              <c:numCache>
                <c:formatCode>General</c:formatCode>
                <c:ptCount val="1"/>
                <c:pt idx="0">
                  <c:v>2010</c:v>
                </c:pt>
              </c:numCache>
            </c:numRef>
          </c:cat>
          <c:val>
            <c:numRef>
              <c:f>'Calibración-UTCUTS_Osemosys'!$O$103</c:f>
              <c:numCache>
                <c:formatCode>General</c:formatCode>
                <c:ptCount val="1"/>
                <c:pt idx="0">
                  <c:v>0</c:v>
                </c:pt>
              </c:numCache>
            </c:numRef>
          </c:val>
          <c:extLst>
            <c:ext xmlns:c16="http://schemas.microsoft.com/office/drawing/2014/chart" uri="{C3380CC4-5D6E-409C-BE32-E72D297353CC}">
              <c16:uniqueId val="{0000001B-9319-497A-90C2-0D0345D05EE6}"/>
            </c:ext>
          </c:extLst>
        </c:ser>
        <c:ser>
          <c:idx val="28"/>
          <c:order val="28"/>
          <c:invertIfNegative val="1"/>
          <c:cat>
            <c:numRef>
              <c:f>'Calibración-UTCUTS_Osemosys'!$I$1</c:f>
              <c:numCache>
                <c:formatCode>General</c:formatCode>
                <c:ptCount val="1"/>
                <c:pt idx="0">
                  <c:v>2010</c:v>
                </c:pt>
              </c:numCache>
            </c:numRef>
          </c:cat>
          <c:val>
            <c:numRef>
              <c:f>'Calibración-UTCUTS_Osemosys'!$Q$103</c:f>
              <c:numCache>
                <c:formatCode>General</c:formatCode>
                <c:ptCount val="1"/>
                <c:pt idx="0">
                  <c:v>0</c:v>
                </c:pt>
              </c:numCache>
            </c:numRef>
          </c:val>
          <c:extLst>
            <c:ext xmlns:c16="http://schemas.microsoft.com/office/drawing/2014/chart" uri="{C3380CC4-5D6E-409C-BE32-E72D297353CC}">
              <c16:uniqueId val="{0000001C-9319-497A-90C2-0D0345D05EE6}"/>
            </c:ext>
          </c:extLst>
        </c:ser>
        <c:dLbls>
          <c:showLegendKey val="0"/>
          <c:showVal val="0"/>
          <c:showCatName val="0"/>
          <c:showSerName val="0"/>
          <c:showPercent val="0"/>
          <c:showBubbleSize val="0"/>
        </c:dLbls>
        <c:gapWidth val="150"/>
        <c:axId val="719941345"/>
        <c:axId val="340316068"/>
      </c:barChart>
      <c:catAx>
        <c:axId val="71994134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340316068"/>
        <c:crosses val="autoZero"/>
        <c:auto val="1"/>
        <c:lblAlgn val="ctr"/>
        <c:lblOffset val="100"/>
        <c:noMultiLvlLbl val="1"/>
      </c:catAx>
      <c:valAx>
        <c:axId val="34031606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pastizal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71994134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00-47E7-BE49-DA25D243061B}"/>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00-47E7-BE49-DA25D243061B}"/>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00-47E7-BE49-DA25D243061B}"/>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C00-47E7-BE49-DA25D243061B}"/>
            </c:ext>
          </c:extLst>
        </c:ser>
        <c:ser>
          <c:idx val="4"/>
          <c:order val="4"/>
          <c:tx>
            <c:v>Otras tierras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C00-47E7-BE49-DA25D243061B}"/>
            </c:ext>
          </c:extLst>
        </c:ser>
        <c:ser>
          <c:idx val="5"/>
          <c:order val="5"/>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5C00-47E7-BE49-DA25D243061B}"/>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5C00-47E7-BE49-DA25D243061B}"/>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'Calibración-UTCUTS_Osemosys'!$O$108</c:f>
              <c:numCache>
                <c:formatCode>General</c:formatCode>
                <c:ptCount val="1"/>
                <c:pt idx="0">
                  <c:v>5.355E-2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5C00-47E7-BE49-DA25D243061B}"/>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'Calibración-UTCUTS_Osemosys'!$Q$108</c:f>
              <c:numCache>
                <c:formatCode>General</c:formatCode>
                <c:ptCount val="1"/>
                <c:pt idx="0">
                  <c:v>1.486E-2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5C00-47E7-BE49-DA25D243061B}"/>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5C00-47E7-BE49-DA25D243061B}"/>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5C00-47E7-BE49-DA25D243061B}"/>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5C00-47E7-BE49-DA25D243061B}"/>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'Calibración-UTCUTS_Osemosys'!$O$109</c:f>
              <c:numCache>
                <c:formatCode>General</c:formatCode>
                <c:ptCount val="1"/>
                <c:pt idx="0">
                  <c:v>1.022E-2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5C00-47E7-BE49-DA25D243061B}"/>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'Calibración-UTCUTS_Osemosys'!$Q$109</c:f>
              <c:numCache>
                <c:formatCode>General</c:formatCode>
                <c:ptCount val="1"/>
                <c:pt idx="0">
                  <c:v>6.7299999999999999E-3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5C00-47E7-BE49-DA25D243061B}"/>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5C00-47E7-BE49-DA25D243061B}"/>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5C00-47E7-BE49-DA25D243061B}"/>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5C00-47E7-BE49-DA25D243061B}"/>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5C00-47E7-BE49-DA25D243061B}"/>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5C00-47E7-BE49-DA25D243061B}"/>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5C00-47E7-BE49-DA25D243061B}"/>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5C00-47E7-BE49-DA25D243061B}"/>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5C00-47E7-BE49-DA25D243061B}"/>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'Calibración-UTCUTS_Osemosys'!$O$111</c:f>
              <c:numCache>
                <c:formatCode>General</c:formatCode>
                <c:ptCount val="1"/>
                <c:pt idx="0">
                  <c:v>9.2300000000000004E-3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5C00-47E7-BE49-DA25D243061B}"/>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'Calibración-UTCUTS_Osemosys'!$Q$111</c:f>
              <c:numCache>
                <c:formatCode>General</c:formatCode>
                <c:ptCount val="1"/>
                <c:pt idx="0">
                  <c:v>1.5499999999999999E-3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5C00-47E7-BE49-DA25D243061B}"/>
            </c:ext>
          </c:extLst>
        </c:ser>
        <c:ser>
          <c:idx val="24"/>
          <c:order val="2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5C00-47E7-BE49-DA25D243061B}"/>
            </c:ext>
          </c:extLst>
        </c:ser>
        <c:ser>
          <c:idx val="25"/>
          <c:order val="2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5C00-47E7-BE49-DA25D243061B}"/>
            </c:ext>
          </c:extLst>
        </c:ser>
        <c:ser>
          <c:idx val="26"/>
          <c:order val="2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5C00-47E7-BE49-DA25D243061B}"/>
            </c:ext>
          </c:extLst>
        </c:ser>
        <c:ser>
          <c:idx val="27"/>
          <c:order val="2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'Calibración-UTCUTS_Osemosys'!$O$112</c:f>
              <c:numCache>
                <c:formatCode>General</c:formatCode>
                <c:ptCount val="1"/>
                <c:pt idx="0">
                  <c:v>0.1749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B-5C00-47E7-BE49-DA25D243061B}"/>
            </c:ext>
          </c:extLst>
        </c:ser>
        <c:ser>
          <c:idx val="28"/>
          <c:order val="2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'Calibración-UTCUTS_Osemosys'!$Q$112</c:f>
              <c:numCache>
                <c:formatCode>General</c:formatCode>
                <c:ptCount val="1"/>
                <c:pt idx="0">
                  <c:v>0.10920000000000001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C-5C00-47E7-BE49-DA25D243061B}"/>
            </c:ext>
          </c:extLst>
        </c:ser>
        <c:dLbls>
          <c:showLegendKey val="0"/>
          <c:showVal val="0"/>
          <c:showCatName val="0"/>
          <c:showSerName val="0"/>
          <c:showPercent val="0"/>
          <c:showBubbleSize val="0"/>
        </c:dLbls>
        <c:gapWidth val="150"/>
        <c:axId val="2033938547"/>
        <c:axId val="18356322"/>
      </c:barChart>
      <c:catAx>
        <c:axId val="203393854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8356322"/>
        <c:crosses val="autoZero"/>
        <c:auto val="1"/>
        <c:lblAlgn val="ctr"/>
        <c:lblOffset val="100"/>
        <c:noMultiLvlLbl val="1"/>
      </c:catAx>
      <c:valAx>
        <c:axId val="1835632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humedal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2033938547"/>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89E-4635-9B40-3B0DD6DEA4CB}"/>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89E-4635-9B40-3B0DD6DEA4CB}"/>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9E-4635-9B40-3B0DD6DEA4CB}"/>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9E-4635-9B40-3B0DD6DEA4CB}"/>
            </c:ext>
          </c:extLst>
        </c:ser>
        <c:ser>
          <c:idx val="4"/>
          <c:order val="4"/>
          <c:tx>
            <c:v>Humedales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9E-4635-9B40-3B0DD6DEA4CB}"/>
            </c:ext>
          </c:extLst>
        </c:ser>
        <c:ser>
          <c:idx val="5"/>
          <c:order val="5"/>
          <c:tx>
            <c:v>Otras tierras</c:v>
          </c:tx>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D89E-4635-9B40-3B0DD6DEA4CB}"/>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D89E-4635-9B40-3B0DD6DEA4CB}"/>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'Calibración-UTCUTS_Osemosys'!$O$117</c:f>
              <c:numCache>
                <c:formatCode>General</c:formatCode>
                <c:ptCount val="1"/>
                <c:pt idx="0">
                  <c:v>1.1E-4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D89E-4635-9B40-3B0DD6DEA4CB}"/>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'Calibración-UTCUTS_Osemosys'!$Q$117</c:f>
              <c:numCache>
                <c:formatCode>General</c:formatCode>
                <c:ptCount val="1"/>
                <c:pt idx="0">
                  <c:v>4.3699999999999998E-3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D89E-4635-9B40-3B0DD6DEA4CB}"/>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D89E-4635-9B40-3B0DD6DEA4CB}"/>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D89E-4635-9B40-3B0DD6DEA4CB}"/>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D89E-4635-9B40-3B0DD6DEA4CB}"/>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'Calibración-UTCUTS_Osemosys'!$O$118</c:f>
              <c:numCache>
                <c:formatCode>General</c:formatCode>
                <c:ptCount val="1"/>
                <c:pt idx="0">
                  <c:v>2.1950000000000001E-2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D89E-4635-9B40-3B0DD6DEA4CB}"/>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'Calibración-UTCUTS_Osemosys'!$Q$118</c:f>
              <c:numCache>
                <c:formatCode>General</c:formatCode>
                <c:ptCount val="1"/>
                <c:pt idx="0">
                  <c:v>1.6049999999999998E-2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D89E-4635-9B40-3B0DD6DEA4CB}"/>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D89E-4635-9B40-3B0DD6DEA4CB}"/>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D89E-4635-9B40-3B0DD6DEA4CB}"/>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D89E-4635-9B40-3B0DD6DEA4CB}"/>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'Calibración-UTCUTS_Osemosys'!$O$119</c:f>
              <c:numCache>
                <c:formatCode>General</c:formatCode>
                <c:ptCount val="1"/>
                <c:pt idx="0">
                  <c:v>2.7399999999999998E-3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D89E-4635-9B40-3B0DD6DEA4CB}"/>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'Calibración-UTCUTS_Osemosys'!$Q$119</c:f>
              <c:numCache>
                <c:formatCode>General</c:formatCode>
                <c:ptCount val="1"/>
                <c:pt idx="0">
                  <c:v>7.1000000000000002E-4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D89E-4635-9B40-3B0DD6DEA4CB}"/>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D89E-4635-9B40-3B0DD6DEA4CB}"/>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D89E-4635-9B40-3B0DD6DEA4CB}"/>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D89E-4635-9B40-3B0DD6DEA4CB}"/>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'Calibración-UTCUTS_Osemosys'!$O$120</c:f>
              <c:numCache>
                <c:formatCode>General</c:formatCode>
                <c:ptCount val="1"/>
                <c:pt idx="0">
                  <c:v>4.4400000000000004E-3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D89E-4635-9B40-3B0DD6DEA4CB}"/>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'Calibración-UTCUTS_Osemosys'!$Q$120</c:f>
              <c:numCache>
                <c:formatCode>General</c:formatCode>
                <c:ptCount val="1"/>
                <c:pt idx="0">
                  <c:v>3.3E-3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D89E-4635-9B40-3B0DD6DEA4CB}"/>
            </c:ext>
          </c:extLst>
        </c:ser>
        <c:ser>
          <c:idx val="24"/>
          <c:order val="2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D89E-4635-9B40-3B0DD6DEA4CB}"/>
            </c:ext>
          </c:extLst>
        </c:ser>
        <c:ser>
          <c:idx val="25"/>
          <c:order val="2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D89E-4635-9B40-3B0DD6DEA4CB}"/>
            </c:ext>
          </c:extLst>
        </c:ser>
        <c:ser>
          <c:idx val="26"/>
          <c:order val="2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D89E-4635-9B40-3B0DD6DEA4CB}"/>
            </c:ext>
          </c:extLst>
        </c:ser>
        <c:ser>
          <c:idx val="27"/>
          <c:order val="2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'Calibración-UTCUTS_Osemosys'!$O$121</c:f>
              <c:numCache>
                <c:formatCode>General</c:formatCode>
                <c:ptCount val="1"/>
                <c:pt idx="0">
                  <c:v>2.9239999999999999E-2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B-D89E-4635-9B40-3B0DD6DEA4CB}"/>
            </c:ext>
          </c:extLst>
        </c:ser>
        <c:ser>
          <c:idx val="28"/>
          <c:order val="2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'Calibración-UTCUTS_Osemosys'!$Q$121</c:f>
              <c:numCache>
                <c:formatCode>General</c:formatCode>
                <c:ptCount val="1"/>
                <c:pt idx="0">
                  <c:v>2.623E-2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C-D89E-4635-9B40-3B0DD6DEA4CB}"/>
            </c:ext>
          </c:extLst>
        </c:ser>
        <c:ser>
          <c:idx val="29"/>
          <c:order val="29"/>
          <c:invertIfNegative val="1"/>
          <c:cat>
            <c:numRef>
              <c:f>'Calibración-UTCUTS_Osemosys'!$I$1</c:f>
              <c:numCache>
                <c:formatCode>General</c:formatCode>
                <c:ptCount val="1"/>
                <c:pt idx="0">
                  <c:v>2010</c:v>
                </c:pt>
              </c:numCache>
            </c:numRef>
          </c:cat>
          <c:val>
            <c:numRef>
              <c:f>'Calibración-UTCUTS_Osemosys'!$I$122</c:f>
              <c:numCache>
                <c:formatCode>General</c:formatCode>
                <c:ptCount val="1"/>
                <c:pt idx="0">
                  <c:v>0</c:v>
                </c:pt>
              </c:numCache>
            </c:numRef>
          </c:val>
          <c:extLst>
            <c:ext xmlns:c16="http://schemas.microsoft.com/office/drawing/2014/chart" uri="{C3380CC4-5D6E-409C-BE32-E72D297353CC}">
              <c16:uniqueId val="{0000001D-D89E-4635-9B40-3B0DD6DEA4CB}"/>
            </c:ext>
          </c:extLst>
        </c:ser>
        <c:ser>
          <c:idx val="30"/>
          <c:order val="30"/>
          <c:invertIfNegative val="1"/>
          <c:cat>
            <c:numRef>
              <c:f>'Calibración-UTCUTS_Osemosys'!$I$1</c:f>
              <c:numCache>
                <c:formatCode>General</c:formatCode>
                <c:ptCount val="1"/>
                <c:pt idx="0">
                  <c:v>2010</c:v>
                </c:pt>
              </c:numCache>
            </c:numRef>
          </c:cat>
          <c:val>
            <c:numRef>
              <c:f>'Calibración-UTCUTS_Osemosys'!$K$122</c:f>
              <c:numCache>
                <c:formatCode>General</c:formatCode>
                <c:ptCount val="1"/>
                <c:pt idx="0">
                  <c:v>0</c:v>
                </c:pt>
              </c:numCache>
            </c:numRef>
          </c:val>
          <c:extLst>
            <c:ext xmlns:c16="http://schemas.microsoft.com/office/drawing/2014/chart" uri="{C3380CC4-5D6E-409C-BE32-E72D297353CC}">
              <c16:uniqueId val="{0000001E-D89E-4635-9B40-3B0DD6DEA4CB}"/>
            </c:ext>
          </c:extLst>
        </c:ser>
        <c:ser>
          <c:idx val="31"/>
          <c:order val="31"/>
          <c:invertIfNegative val="1"/>
          <c:cat>
            <c:numRef>
              <c:f>'Calibración-UTCUTS_Osemosys'!$I$1</c:f>
              <c:numCache>
                <c:formatCode>General</c:formatCode>
                <c:ptCount val="1"/>
                <c:pt idx="0">
                  <c:v>2010</c:v>
                </c:pt>
              </c:numCache>
            </c:numRef>
          </c:cat>
          <c:val>
            <c:numRef>
              <c:f>'Calibración-UTCUTS_Osemosys'!$M$122</c:f>
              <c:numCache>
                <c:formatCode>General</c:formatCode>
                <c:ptCount val="1"/>
                <c:pt idx="0">
                  <c:v>0</c:v>
                </c:pt>
              </c:numCache>
            </c:numRef>
          </c:val>
          <c:extLst>
            <c:ext xmlns:c16="http://schemas.microsoft.com/office/drawing/2014/chart" uri="{C3380CC4-5D6E-409C-BE32-E72D297353CC}">
              <c16:uniqueId val="{0000001F-D89E-4635-9B40-3B0DD6DEA4CB}"/>
            </c:ext>
          </c:extLst>
        </c:ser>
        <c:ser>
          <c:idx val="32"/>
          <c:order val="32"/>
          <c:invertIfNegative val="1"/>
          <c:cat>
            <c:numRef>
              <c:f>'Calibración-UTCUTS_Osemosys'!$I$1</c:f>
              <c:numCache>
                <c:formatCode>General</c:formatCode>
                <c:ptCount val="1"/>
                <c:pt idx="0">
                  <c:v>2010</c:v>
                </c:pt>
              </c:numCache>
            </c:numRef>
          </c:cat>
          <c:val>
            <c:numRef>
              <c:f>'Calibración-UTCUTS_Osemosys'!$O$122</c:f>
              <c:numCache>
                <c:formatCode>General</c:formatCode>
                <c:ptCount val="1"/>
                <c:pt idx="0">
                  <c:v>0</c:v>
                </c:pt>
              </c:numCache>
            </c:numRef>
          </c:val>
          <c:extLst>
            <c:ext xmlns:c16="http://schemas.microsoft.com/office/drawing/2014/chart" uri="{C3380CC4-5D6E-409C-BE32-E72D297353CC}">
              <c16:uniqueId val="{00000020-D89E-4635-9B40-3B0DD6DEA4CB}"/>
            </c:ext>
          </c:extLst>
        </c:ser>
        <c:ser>
          <c:idx val="33"/>
          <c:order val="33"/>
          <c:invertIfNegative val="1"/>
          <c:cat>
            <c:numRef>
              <c:f>'Calibración-UTCUTS_Osemosys'!$I$1</c:f>
              <c:numCache>
                <c:formatCode>General</c:formatCode>
                <c:ptCount val="1"/>
                <c:pt idx="0">
                  <c:v>2010</c:v>
                </c:pt>
              </c:numCache>
            </c:numRef>
          </c:cat>
          <c:val>
            <c:numRef>
              <c:f>'Calibración-UTCUTS_Osemosys'!$Q$122</c:f>
              <c:numCache>
                <c:formatCode>General</c:formatCode>
                <c:ptCount val="1"/>
                <c:pt idx="0">
                  <c:v>0</c:v>
                </c:pt>
              </c:numCache>
            </c:numRef>
          </c:val>
          <c:extLst>
            <c:ext xmlns:c16="http://schemas.microsoft.com/office/drawing/2014/chart" uri="{C3380CC4-5D6E-409C-BE32-E72D297353CC}">
              <c16:uniqueId val="{00000021-D89E-4635-9B40-3B0DD6DEA4CB}"/>
            </c:ext>
          </c:extLst>
        </c:ser>
        <c:dLbls>
          <c:showLegendKey val="0"/>
          <c:showVal val="0"/>
          <c:showCatName val="0"/>
          <c:showSerName val="0"/>
          <c:showPercent val="0"/>
          <c:showBubbleSize val="0"/>
        </c:dLbls>
        <c:gapWidth val="150"/>
        <c:axId val="1110824965"/>
        <c:axId val="1582081190"/>
      </c:barChart>
      <c:catAx>
        <c:axId val="111082496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582081190"/>
        <c:crosses val="autoZero"/>
        <c:auto val="1"/>
        <c:lblAlgn val="ctr"/>
        <c:lblOffset val="100"/>
        <c:noMultiLvlLbl val="1"/>
      </c:catAx>
      <c:valAx>
        <c:axId val="158208119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asentamientos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11082496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1E-4569-A6ED-D91C8B06C32F}"/>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A1E-4569-A6ED-D91C8B06C32F}"/>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A1E-4569-A6ED-D91C8B06C32F}"/>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A1E-4569-A6ED-D91C8B06C32F}"/>
            </c:ext>
          </c:extLst>
        </c:ser>
        <c:ser>
          <c:idx val="4"/>
          <c:order val="4"/>
          <c:tx>
            <c:v>Humedales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A1E-4569-A6ED-D91C8B06C32F}"/>
            </c:ext>
          </c:extLst>
        </c:ser>
        <c:ser>
          <c:idx val="5"/>
          <c:order val="5"/>
          <c:tx>
            <c:v>Otras tierras</c:v>
          </c:tx>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A1E-4569-A6ED-D91C8B06C32F}"/>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0A1E-4569-A6ED-D91C8B06C32F}"/>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'Calibración-UTCUTS_Osemosys'!$O$127</c:f>
              <c:numCache>
                <c:formatCode>General</c:formatCode>
                <c:ptCount val="1"/>
                <c:pt idx="0">
                  <c:v>7.5300000000000002E-3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0A1E-4569-A6ED-D91C8B06C32F}"/>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'Calibración-UTCUTS_Osemosys'!$Q$127</c:f>
              <c:numCache>
                <c:formatCode>General</c:formatCode>
                <c:ptCount val="1"/>
                <c:pt idx="0">
                  <c:v>8.3400000000000002E-3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0A1E-4569-A6ED-D91C8B06C32F}"/>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0A1E-4569-A6ED-D91C8B06C32F}"/>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0A1E-4569-A6ED-D91C8B06C32F}"/>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0A1E-4569-A6ED-D91C8B06C32F}"/>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'Calibración-UTCUTS_Osemosys'!$O$128</c:f>
              <c:numCache>
                <c:formatCode>General</c:formatCode>
                <c:ptCount val="1"/>
                <c:pt idx="0">
                  <c:v>8.8999999999999995E-4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0A1E-4569-A6ED-D91C8B06C32F}"/>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'Calibración-UTCUTS_Osemosys'!$Q$128</c:f>
              <c:numCache>
                <c:formatCode>General</c:formatCode>
                <c:ptCount val="1"/>
                <c:pt idx="0">
                  <c:v>1.7000000000000001E-4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0A1E-4569-A6ED-D91C8B06C32F}"/>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0A1E-4569-A6ED-D91C8B06C32F}"/>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0A1E-4569-A6ED-D91C8B06C32F}"/>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0A1E-4569-A6ED-D91C8B06C32F}"/>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'Calibración-UTCUTS_Osemosys'!$O$129</c:f>
              <c:numCache>
                <c:formatCode>General</c:formatCode>
                <c:ptCount val="1"/>
                <c:pt idx="0">
                  <c:v>3.64E-3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0A1E-4569-A6ED-D91C8B06C32F}"/>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'Calibración-UTCUTS_Osemosys'!$Q$129</c:f>
              <c:numCache>
                <c:formatCode>General</c:formatCode>
                <c:ptCount val="1"/>
                <c:pt idx="0">
                  <c:v>1.6900000000000001E-3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0A1E-4569-A6ED-D91C8B06C32F}"/>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0A1E-4569-A6ED-D91C8B06C32F}"/>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0A1E-4569-A6ED-D91C8B06C32F}"/>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0A1E-4569-A6ED-D91C8B06C32F}"/>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'Calibración-UTCUTS_Osemosys'!$O$130</c:f>
              <c:numCache>
                <c:formatCode>General</c:formatCode>
                <c:ptCount val="1"/>
                <c:pt idx="0">
                  <c:v>1.336E-2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0A1E-4569-A6ED-D91C8B06C32F}"/>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'Calibración-UTCUTS_Osemosys'!$Q$130</c:f>
              <c:numCache>
                <c:formatCode>General</c:formatCode>
                <c:ptCount val="1"/>
                <c:pt idx="0">
                  <c:v>1.133E-2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0A1E-4569-A6ED-D91C8B06C32F}"/>
            </c:ext>
          </c:extLst>
        </c:ser>
        <c:ser>
          <c:idx val="24"/>
          <c:order val="24"/>
          <c:invertIfNegative val="1"/>
          <c:cat>
            <c:numRef>
              <c:f>'Calibración-UTCUTS_Osemosys'!$I$1</c:f>
              <c:numCache>
                <c:formatCode>General</c:formatCode>
                <c:ptCount val="1"/>
                <c:pt idx="0">
                  <c:v>2010</c:v>
                </c:pt>
              </c:numCache>
            </c:numRef>
          </c:cat>
          <c:val>
            <c:numRef>
              <c:f>'Calibración-UTCUTS_Osemosys'!$I$131</c:f>
              <c:numCache>
                <c:formatCode>General</c:formatCode>
                <c:ptCount val="1"/>
                <c:pt idx="0">
                  <c:v>0</c:v>
                </c:pt>
              </c:numCache>
            </c:numRef>
          </c:val>
          <c:extLst>
            <c:ext xmlns:c16="http://schemas.microsoft.com/office/drawing/2014/chart" uri="{C3380CC4-5D6E-409C-BE32-E72D297353CC}">
              <c16:uniqueId val="{00000018-0A1E-4569-A6ED-D91C8B06C32F}"/>
            </c:ext>
          </c:extLst>
        </c:ser>
        <c:ser>
          <c:idx val="25"/>
          <c:order val="25"/>
          <c:invertIfNegative val="1"/>
          <c:cat>
            <c:numRef>
              <c:f>'Calibración-UTCUTS_Osemosys'!$I$1</c:f>
              <c:numCache>
                <c:formatCode>General</c:formatCode>
                <c:ptCount val="1"/>
                <c:pt idx="0">
                  <c:v>2010</c:v>
                </c:pt>
              </c:numCache>
            </c:numRef>
          </c:cat>
          <c:val>
            <c:numRef>
              <c:f>'Calibración-UTCUTS_Osemosys'!$K$131</c:f>
              <c:numCache>
                <c:formatCode>General</c:formatCode>
                <c:ptCount val="1"/>
                <c:pt idx="0">
                  <c:v>0</c:v>
                </c:pt>
              </c:numCache>
            </c:numRef>
          </c:val>
          <c:extLst>
            <c:ext xmlns:c16="http://schemas.microsoft.com/office/drawing/2014/chart" uri="{C3380CC4-5D6E-409C-BE32-E72D297353CC}">
              <c16:uniqueId val="{00000019-0A1E-4569-A6ED-D91C8B06C32F}"/>
            </c:ext>
          </c:extLst>
        </c:ser>
        <c:ser>
          <c:idx val="26"/>
          <c:order val="26"/>
          <c:invertIfNegative val="1"/>
          <c:cat>
            <c:numRef>
              <c:f>'Calibración-UTCUTS_Osemosys'!$I$1</c:f>
              <c:numCache>
                <c:formatCode>General</c:formatCode>
                <c:ptCount val="1"/>
                <c:pt idx="0">
                  <c:v>2010</c:v>
                </c:pt>
              </c:numCache>
            </c:numRef>
          </c:cat>
          <c:val>
            <c:numRef>
              <c:f>'Calibración-UTCUTS_Osemosys'!$M$131</c:f>
              <c:numCache>
                <c:formatCode>General</c:formatCode>
                <c:ptCount val="1"/>
                <c:pt idx="0">
                  <c:v>0</c:v>
                </c:pt>
              </c:numCache>
            </c:numRef>
          </c:val>
          <c:extLst>
            <c:ext xmlns:c16="http://schemas.microsoft.com/office/drawing/2014/chart" uri="{C3380CC4-5D6E-409C-BE32-E72D297353CC}">
              <c16:uniqueId val="{0000001A-0A1E-4569-A6ED-D91C8B06C32F}"/>
            </c:ext>
          </c:extLst>
        </c:ser>
        <c:ser>
          <c:idx val="27"/>
          <c:order val="27"/>
          <c:invertIfNegative val="1"/>
          <c:cat>
            <c:numRef>
              <c:f>'Calibración-UTCUTS_Osemosys'!$I$1</c:f>
              <c:numCache>
                <c:formatCode>General</c:formatCode>
                <c:ptCount val="1"/>
                <c:pt idx="0">
                  <c:v>2010</c:v>
                </c:pt>
              </c:numCache>
            </c:numRef>
          </c:cat>
          <c:val>
            <c:numRef>
              <c:f>'Calibración-UTCUTS_Osemosys'!$O$131</c:f>
              <c:numCache>
                <c:formatCode>General</c:formatCode>
                <c:ptCount val="1"/>
                <c:pt idx="0">
                  <c:v>0</c:v>
                </c:pt>
              </c:numCache>
            </c:numRef>
          </c:val>
          <c:extLst>
            <c:ext xmlns:c16="http://schemas.microsoft.com/office/drawing/2014/chart" uri="{C3380CC4-5D6E-409C-BE32-E72D297353CC}">
              <c16:uniqueId val="{0000001B-0A1E-4569-A6ED-D91C8B06C32F}"/>
            </c:ext>
          </c:extLst>
        </c:ser>
        <c:ser>
          <c:idx val="28"/>
          <c:order val="28"/>
          <c:invertIfNegative val="1"/>
          <c:cat>
            <c:numRef>
              <c:f>'Calibración-UTCUTS_Osemosys'!$I$1</c:f>
              <c:numCache>
                <c:formatCode>General</c:formatCode>
                <c:ptCount val="1"/>
                <c:pt idx="0">
                  <c:v>2010</c:v>
                </c:pt>
              </c:numCache>
            </c:numRef>
          </c:cat>
          <c:val>
            <c:numRef>
              <c:f>'Calibración-UTCUTS_Osemosys'!$Q$131</c:f>
              <c:numCache>
                <c:formatCode>General</c:formatCode>
                <c:ptCount val="1"/>
                <c:pt idx="0">
                  <c:v>0</c:v>
                </c:pt>
              </c:numCache>
            </c:numRef>
          </c:val>
          <c:extLst>
            <c:ext xmlns:c16="http://schemas.microsoft.com/office/drawing/2014/chart" uri="{C3380CC4-5D6E-409C-BE32-E72D297353CC}">
              <c16:uniqueId val="{0000001C-0A1E-4569-A6ED-D91C8B06C32F}"/>
            </c:ext>
          </c:extLst>
        </c:ser>
        <c:ser>
          <c:idx val="29"/>
          <c:order val="29"/>
          <c:invertIfNegative val="1"/>
          <c:cat>
            <c:numRef>
              <c:f>'Calibración-UTCUTS_Osemosys'!$I$1</c:f>
              <c:numCache>
                <c:formatCode>General</c:formatCode>
                <c:ptCount val="1"/>
                <c:pt idx="0">
                  <c:v>2010</c:v>
                </c:pt>
              </c:numCache>
            </c:numRef>
          </c:cat>
          <c:val>
            <c:numRef>
              <c:f>'Calibración-UTCUTS_Osemosys'!$I$132</c:f>
              <c:numCache>
                <c:formatCode>General</c:formatCode>
                <c:ptCount val="1"/>
              </c:numCache>
            </c:numRef>
          </c:val>
          <c:extLst>
            <c:ext xmlns:c16="http://schemas.microsoft.com/office/drawing/2014/chart" uri="{C3380CC4-5D6E-409C-BE32-E72D297353CC}">
              <c16:uniqueId val="{0000001D-0A1E-4569-A6ED-D91C8B06C32F}"/>
            </c:ext>
          </c:extLst>
        </c:ser>
        <c:ser>
          <c:idx val="30"/>
          <c:order val="30"/>
          <c:invertIfNegative val="1"/>
          <c:cat>
            <c:numRef>
              <c:f>'Calibración-UTCUTS_Osemosys'!$I$1</c:f>
              <c:numCache>
                <c:formatCode>General</c:formatCode>
                <c:ptCount val="1"/>
                <c:pt idx="0">
                  <c:v>2010</c:v>
                </c:pt>
              </c:numCache>
            </c:numRef>
          </c:cat>
          <c:val>
            <c:numRef>
              <c:f>'Calibración-UTCUTS_Osemosys'!$K$132</c:f>
              <c:numCache>
                <c:formatCode>General</c:formatCode>
                <c:ptCount val="1"/>
              </c:numCache>
            </c:numRef>
          </c:val>
          <c:extLst>
            <c:ext xmlns:c16="http://schemas.microsoft.com/office/drawing/2014/chart" uri="{C3380CC4-5D6E-409C-BE32-E72D297353CC}">
              <c16:uniqueId val="{0000001E-0A1E-4569-A6ED-D91C8B06C32F}"/>
            </c:ext>
          </c:extLst>
        </c:ser>
        <c:ser>
          <c:idx val="31"/>
          <c:order val="31"/>
          <c:invertIfNegative val="1"/>
          <c:cat>
            <c:numRef>
              <c:f>'Calibración-UTCUTS_Osemosys'!$I$1</c:f>
              <c:numCache>
                <c:formatCode>General</c:formatCode>
                <c:ptCount val="1"/>
                <c:pt idx="0">
                  <c:v>2010</c:v>
                </c:pt>
              </c:numCache>
            </c:numRef>
          </c:cat>
          <c:val>
            <c:numRef>
              <c:f>'Calibración-UTCUTS_Osemosys'!$M$132</c:f>
              <c:numCache>
                <c:formatCode>General</c:formatCode>
                <c:ptCount val="1"/>
              </c:numCache>
            </c:numRef>
          </c:val>
          <c:extLst>
            <c:ext xmlns:c16="http://schemas.microsoft.com/office/drawing/2014/chart" uri="{C3380CC4-5D6E-409C-BE32-E72D297353CC}">
              <c16:uniqueId val="{0000001F-0A1E-4569-A6ED-D91C8B06C32F}"/>
            </c:ext>
          </c:extLst>
        </c:ser>
        <c:ser>
          <c:idx val="32"/>
          <c:order val="32"/>
          <c:invertIfNegative val="1"/>
          <c:cat>
            <c:numRef>
              <c:f>'Calibración-UTCUTS_Osemosys'!$I$1</c:f>
              <c:numCache>
                <c:formatCode>General</c:formatCode>
                <c:ptCount val="1"/>
                <c:pt idx="0">
                  <c:v>2010</c:v>
                </c:pt>
              </c:numCache>
            </c:numRef>
          </c:cat>
          <c:val>
            <c:numRef>
              <c:f>'Calibración-UTCUTS_Osemosys'!$O$132</c:f>
              <c:numCache>
                <c:formatCode>General</c:formatCode>
                <c:ptCount val="1"/>
              </c:numCache>
            </c:numRef>
          </c:val>
          <c:extLst>
            <c:ext xmlns:c16="http://schemas.microsoft.com/office/drawing/2014/chart" uri="{C3380CC4-5D6E-409C-BE32-E72D297353CC}">
              <c16:uniqueId val="{00000020-0A1E-4569-A6ED-D91C8B06C32F}"/>
            </c:ext>
          </c:extLst>
        </c:ser>
        <c:ser>
          <c:idx val="33"/>
          <c:order val="33"/>
          <c:invertIfNegative val="1"/>
          <c:cat>
            <c:numRef>
              <c:f>'Calibración-UTCUTS_Osemosys'!$I$1</c:f>
              <c:numCache>
                <c:formatCode>General</c:formatCode>
                <c:ptCount val="1"/>
                <c:pt idx="0">
                  <c:v>2010</c:v>
                </c:pt>
              </c:numCache>
            </c:numRef>
          </c:cat>
          <c:val>
            <c:numRef>
              <c:f>'Calibración-UTCUTS_Osemosys'!$Q$132</c:f>
              <c:numCache>
                <c:formatCode>General</c:formatCode>
                <c:ptCount val="1"/>
              </c:numCache>
            </c:numRef>
          </c:val>
          <c:extLst>
            <c:ext xmlns:c16="http://schemas.microsoft.com/office/drawing/2014/chart" uri="{C3380CC4-5D6E-409C-BE32-E72D297353CC}">
              <c16:uniqueId val="{00000021-0A1E-4569-A6ED-D91C8B06C32F}"/>
            </c:ext>
          </c:extLst>
        </c:ser>
        <c:dLbls>
          <c:showLegendKey val="0"/>
          <c:showVal val="0"/>
          <c:showCatName val="0"/>
          <c:showSerName val="0"/>
          <c:showPercent val="0"/>
          <c:showBubbleSize val="0"/>
        </c:dLbls>
        <c:gapWidth val="150"/>
        <c:axId val="1696319814"/>
        <c:axId val="1989512135"/>
      </c:barChart>
      <c:catAx>
        <c:axId val="16963198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989512135"/>
        <c:crosses val="autoZero"/>
        <c:auto val="1"/>
        <c:lblAlgn val="ctr"/>
        <c:lblOffset val="100"/>
        <c:noMultiLvlLbl val="1"/>
      </c:catAx>
      <c:valAx>
        <c:axId val="1989512135"/>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otras tierras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696319814"/>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50</xdr:col>
      <xdr:colOff>285750</xdr:colOff>
      <xdr:row>30</xdr:row>
      <xdr:rowOff>0</xdr:rowOff>
    </xdr:from>
    <xdr:to>
      <xdr:col>54</xdr:col>
      <xdr:colOff>123825</xdr:colOff>
      <xdr:row>62</xdr:row>
      <xdr:rowOff>371475</xdr:rowOff>
    </xdr:to>
    <xdr:graphicFrame macro="">
      <xdr:nvGraphicFramePr>
        <xdr:cNvPr id="2" name="Gráfico 1">
          <a:extLst>
            <a:ext uri="{FF2B5EF4-FFF2-40B4-BE49-F238E27FC236}">
              <a16:creationId xmlns:a16="http://schemas.microsoft.com/office/drawing/2014/main" id="{DABAC7B9-70B3-A7A9-6500-F1F286888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266700</xdr:colOff>
      <xdr:row>63</xdr:row>
      <xdr:rowOff>152400</xdr:rowOff>
    </xdr:from>
    <xdr:to>
      <xdr:col>54</xdr:col>
      <xdr:colOff>104775</xdr:colOff>
      <xdr:row>78</xdr:row>
      <xdr:rowOff>38100</xdr:rowOff>
    </xdr:to>
    <xdr:graphicFrame macro="">
      <xdr:nvGraphicFramePr>
        <xdr:cNvPr id="5" name="Chart 4">
          <a:extLst>
            <a:ext uri="{FF2B5EF4-FFF2-40B4-BE49-F238E27FC236}">
              <a16:creationId xmlns:a16="http://schemas.microsoft.com/office/drawing/2014/main" id="{6997D207-BC12-D69B-167E-86B997F3D670}"/>
            </a:ext>
            <a:ext uri="{147F2762-F138-4A5C-976F-8EAC2B608ADB}">
              <a16:predDERef xmlns:a16="http://schemas.microsoft.com/office/drawing/2014/main" pred="{DABAC7B9-70B3-A7A9-6500-F1F286888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76</xdr:col>
      <xdr:colOff>638175</xdr:colOff>
      <xdr:row>61</xdr:row>
      <xdr:rowOff>171450</xdr:rowOff>
    </xdr:from>
    <xdr:to>
      <xdr:col>81</xdr:col>
      <xdr:colOff>19050</xdr:colOff>
      <xdr:row>75</xdr:row>
      <xdr:rowOff>133350</xdr:rowOff>
    </xdr:to>
    <xdr:graphicFrame macro="">
      <xdr:nvGraphicFramePr>
        <xdr:cNvPr id="4" name="Chart 5">
          <a:extLst>
            <a:ext uri="{FF2B5EF4-FFF2-40B4-BE49-F238E27FC236}">
              <a16:creationId xmlns:a16="http://schemas.microsoft.com/office/drawing/2014/main" id="{7B47ED12-4780-49CD-9A45-8137A422F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1019175</xdr:colOff>
      <xdr:row>62</xdr:row>
      <xdr:rowOff>142875</xdr:rowOff>
    </xdr:from>
    <xdr:to>
      <xdr:col>79</xdr:col>
      <xdr:colOff>400050</xdr:colOff>
      <xdr:row>76</xdr:row>
      <xdr:rowOff>161925</xdr:rowOff>
    </xdr:to>
    <xdr:graphicFrame macro="">
      <xdr:nvGraphicFramePr>
        <xdr:cNvPr id="2" name="Chart 1">
          <a:extLst>
            <a:ext uri="{FF2B5EF4-FFF2-40B4-BE49-F238E27FC236}">
              <a16:creationId xmlns:a16="http://schemas.microsoft.com/office/drawing/2014/main" id="{F7D69B10-8F58-C115-612D-5810881EF820}"/>
            </a:ext>
            <a:ext uri="{147F2762-F138-4A5C-976F-8EAC2B608ADB}">
              <a16:predDERef xmlns:a16="http://schemas.microsoft.com/office/drawing/2014/main" pred="{7B47ED12-4780-49CD-9A45-8137A422F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70</xdr:col>
      <xdr:colOff>171450</xdr:colOff>
      <xdr:row>77</xdr:row>
      <xdr:rowOff>0</xdr:rowOff>
    </xdr:from>
    <xdr:to>
      <xdr:col>74</xdr:col>
      <xdr:colOff>590550</xdr:colOff>
      <xdr:row>90</xdr:row>
      <xdr:rowOff>152400</xdr:rowOff>
    </xdr:to>
    <xdr:graphicFrame macro="">
      <xdr:nvGraphicFramePr>
        <xdr:cNvPr id="3" name="Chart 2">
          <a:extLst>
            <a:ext uri="{FF2B5EF4-FFF2-40B4-BE49-F238E27FC236}">
              <a16:creationId xmlns:a16="http://schemas.microsoft.com/office/drawing/2014/main" id="{68168F45-3067-18D5-165E-69297C787392}"/>
            </a:ext>
            <a:ext uri="{147F2762-F138-4A5C-976F-8EAC2B608ADB}">
              <a16:predDERef xmlns:a16="http://schemas.microsoft.com/office/drawing/2014/main" pred="{F7D69B10-8F58-C115-612D-5810881EF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188</xdr:row>
      <xdr:rowOff>142875</xdr:rowOff>
    </xdr:from>
    <xdr:to>
      <xdr:col>21</xdr:col>
      <xdr:colOff>66675</xdr:colOff>
      <xdr:row>205</xdr:row>
      <xdr:rowOff>66675</xdr:rowOff>
    </xdr:to>
    <xdr:graphicFrame macro="">
      <xdr:nvGraphicFramePr>
        <xdr:cNvPr id="5" name="Chart 3">
          <a:extLst>
            <a:ext uri="{FF2B5EF4-FFF2-40B4-BE49-F238E27FC236}">
              <a16:creationId xmlns:a16="http://schemas.microsoft.com/office/drawing/2014/main" id="{FB8C67E2-45E5-8BA0-6EDF-75C9C22C8DEA}"/>
            </a:ext>
            <a:ext uri="{147F2762-F138-4A5C-976F-8EAC2B608ADB}">
              <a16:predDERef xmlns:a16="http://schemas.microsoft.com/office/drawing/2014/main" pred="{0B03DD99-7C55-E224-1D47-F9A6CB5D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114300</xdr:colOff>
      <xdr:row>189</xdr:row>
      <xdr:rowOff>0</xdr:rowOff>
    </xdr:from>
    <xdr:to>
      <xdr:col>31</xdr:col>
      <xdr:colOff>266700</xdr:colOff>
      <xdr:row>205</xdr:row>
      <xdr:rowOff>104775</xdr:rowOff>
    </xdr:to>
    <xdr:graphicFrame macro="">
      <xdr:nvGraphicFramePr>
        <xdr:cNvPr id="12" name="Chart 4">
          <a:extLst>
            <a:ext uri="{FF2B5EF4-FFF2-40B4-BE49-F238E27FC236}">
              <a16:creationId xmlns:a16="http://schemas.microsoft.com/office/drawing/2014/main" id="{5912A889-17CA-4CF8-B7D0-3507CEB0A180}"/>
            </a:ext>
            <a:ext uri="{147F2762-F138-4A5C-976F-8EAC2B608ADB}">
              <a16:predDERef xmlns:a16="http://schemas.microsoft.com/office/drawing/2014/main" pred="{FB8C67E2-45E5-8BA0-6EDF-75C9C22C8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119062</xdr:colOff>
      <xdr:row>350</xdr:row>
      <xdr:rowOff>15478</xdr:rowOff>
    </xdr:from>
    <xdr:to>
      <xdr:col>16</xdr:col>
      <xdr:colOff>428625</xdr:colOff>
      <xdr:row>364</xdr:row>
      <xdr:rowOff>61913</xdr:rowOff>
    </xdr:to>
    <xdr:graphicFrame macro="">
      <xdr:nvGraphicFramePr>
        <xdr:cNvPr id="2" name="Chart 1">
          <a:extLst>
            <a:ext uri="{FF2B5EF4-FFF2-40B4-BE49-F238E27FC236}">
              <a16:creationId xmlns:a16="http://schemas.microsoft.com/office/drawing/2014/main" id="{D69E9D50-937A-3E64-8E34-9A862C6C8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7</xdr:col>
      <xdr:colOff>523875</xdr:colOff>
      <xdr:row>39</xdr:row>
      <xdr:rowOff>123825</xdr:rowOff>
    </xdr:from>
    <xdr:ext cx="7029450" cy="4124325"/>
    <xdr:graphicFrame macro="">
      <xdr:nvGraphicFramePr>
        <xdr:cNvPr id="993611163" name="Chart 1">
          <a:extLst>
            <a:ext uri="{FF2B5EF4-FFF2-40B4-BE49-F238E27FC236}">
              <a16:creationId xmlns:a16="http://schemas.microsoft.com/office/drawing/2014/main" id="{00000000-0008-0000-0300-00009B4D3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590550</xdr:colOff>
      <xdr:row>105</xdr:row>
      <xdr:rowOff>123825</xdr:rowOff>
    </xdr:from>
    <xdr:ext cx="6696075" cy="3838575"/>
    <xdr:graphicFrame macro="">
      <xdr:nvGraphicFramePr>
        <xdr:cNvPr id="1751882941" name="Chart 2">
          <a:extLst>
            <a:ext uri="{FF2B5EF4-FFF2-40B4-BE49-F238E27FC236}">
              <a16:creationId xmlns:a16="http://schemas.microsoft.com/office/drawing/2014/main" id="{00000000-0008-0000-0300-0000BD9C6B68}"/>
            </a:ext>
            <a:ext uri="{147F2762-F138-4A5C-976F-8EAC2B608ADB}">
              <a16:predDERef xmlns:a16="http://schemas.microsoft.com/office/drawing/2014/main" pred="{00000000-0008-0000-0300-00009B4D3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523876</xdr:colOff>
      <xdr:row>187</xdr:row>
      <xdr:rowOff>198120</xdr:rowOff>
    </xdr:from>
    <xdr:ext cx="7088504" cy="4164330"/>
    <xdr:graphicFrame macro="">
      <xdr:nvGraphicFramePr>
        <xdr:cNvPr id="1736215932" name="Chart 3">
          <a:extLst>
            <a:ext uri="{FF2B5EF4-FFF2-40B4-BE49-F238E27FC236}">
              <a16:creationId xmlns:a16="http://schemas.microsoft.com/office/drawing/2014/main" id="{00000000-0008-0000-0300-00007C8D7C67}"/>
            </a:ext>
            <a:ext uri="{147F2762-F138-4A5C-976F-8EAC2B608ADB}">
              <a16:predDERef xmlns:a16="http://schemas.microsoft.com/office/drawing/2014/main" pred="{00000000-0008-0000-0300-0000BD9C6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132</xdr:row>
      <xdr:rowOff>135255</xdr:rowOff>
    </xdr:from>
    <xdr:ext cx="8543925" cy="4572000"/>
    <xdr:graphicFrame macro="">
      <xdr:nvGraphicFramePr>
        <xdr:cNvPr id="2133949309" name="Chart 4">
          <a:extLst>
            <a:ext uri="{FF2B5EF4-FFF2-40B4-BE49-F238E27FC236}">
              <a16:creationId xmlns:a16="http://schemas.microsoft.com/office/drawing/2014/main" id="{00000000-0008-0000-0300-00007D7B317F}"/>
            </a:ext>
            <a:ext uri="{147F2762-F138-4A5C-976F-8EAC2B608ADB}">
              <a16:predDERef xmlns:a16="http://schemas.microsoft.com/office/drawing/2014/main" pred="{00000000-0008-0000-0300-00007C8D7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2781300</xdr:colOff>
      <xdr:row>263</xdr:row>
      <xdr:rowOff>114300</xdr:rowOff>
    </xdr:from>
    <xdr:ext cx="11763375" cy="3952875"/>
    <xdr:graphicFrame macro="">
      <xdr:nvGraphicFramePr>
        <xdr:cNvPr id="2141402517" name="Chart 5">
          <a:extLst>
            <a:ext uri="{FF2B5EF4-FFF2-40B4-BE49-F238E27FC236}">
              <a16:creationId xmlns:a16="http://schemas.microsoft.com/office/drawing/2014/main" id="{00000000-0008-0000-0300-00009535A37F}"/>
            </a:ext>
            <a:ext uri="{147F2762-F138-4A5C-976F-8EAC2B608ADB}">
              <a16:predDERef xmlns:a16="http://schemas.microsoft.com/office/drawing/2014/main" pred="{00000000-0008-0000-0300-00007D7B3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828675</xdr:colOff>
      <xdr:row>290</xdr:row>
      <xdr:rowOff>285750</xdr:rowOff>
    </xdr:from>
    <xdr:ext cx="6819900" cy="4791075"/>
    <xdr:graphicFrame macro="">
      <xdr:nvGraphicFramePr>
        <xdr:cNvPr id="1886178651" name="Chart 6">
          <a:extLst>
            <a:ext uri="{FF2B5EF4-FFF2-40B4-BE49-F238E27FC236}">
              <a16:creationId xmlns:a16="http://schemas.microsoft.com/office/drawing/2014/main" id="{00000000-0008-0000-0300-00005BCD6C70}"/>
            </a:ext>
            <a:ext uri="{147F2762-F138-4A5C-976F-8EAC2B608ADB}">
              <a16:predDERef xmlns:a16="http://schemas.microsoft.com/office/drawing/2014/main" pred="{00000000-0008-0000-0300-00009535A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847725</xdr:colOff>
      <xdr:row>311</xdr:row>
      <xdr:rowOff>47625</xdr:rowOff>
    </xdr:from>
    <xdr:ext cx="6810375" cy="3638550"/>
    <xdr:graphicFrame macro="">
      <xdr:nvGraphicFramePr>
        <xdr:cNvPr id="1728549079" name="Chart 7">
          <a:extLst>
            <a:ext uri="{FF2B5EF4-FFF2-40B4-BE49-F238E27FC236}">
              <a16:creationId xmlns:a16="http://schemas.microsoft.com/office/drawing/2014/main" id="{00000000-0008-0000-0300-0000D7900767}"/>
            </a:ext>
            <a:ext uri="{147F2762-F138-4A5C-976F-8EAC2B608ADB}">
              <a16:predDERef xmlns:a16="http://schemas.microsoft.com/office/drawing/2014/main" pred="{00000000-0008-0000-0300-00005BCD6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0</xdr:colOff>
      <xdr:row>333</xdr:row>
      <xdr:rowOff>85725</xdr:rowOff>
    </xdr:from>
    <xdr:ext cx="6819900" cy="3990975"/>
    <xdr:graphicFrame macro="">
      <xdr:nvGraphicFramePr>
        <xdr:cNvPr id="352969720" name="Chart 8">
          <a:extLst>
            <a:ext uri="{FF2B5EF4-FFF2-40B4-BE49-F238E27FC236}">
              <a16:creationId xmlns:a16="http://schemas.microsoft.com/office/drawing/2014/main" id="{00000000-0008-0000-0300-0000F8E30915}"/>
            </a:ext>
            <a:ext uri="{147F2762-F138-4A5C-976F-8EAC2B608ADB}">
              <a16:predDERef xmlns:a16="http://schemas.microsoft.com/office/drawing/2014/main" pred="{00000000-0008-0000-0300-0000D7900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5</xdr:row>
      <xdr:rowOff>0</xdr:rowOff>
    </xdr:from>
    <xdr:ext cx="6715125" cy="3743325"/>
    <xdr:graphicFrame macro="">
      <xdr:nvGraphicFramePr>
        <xdr:cNvPr id="2106399557" name="Chart 9">
          <a:extLst>
            <a:ext uri="{FF2B5EF4-FFF2-40B4-BE49-F238E27FC236}">
              <a16:creationId xmlns:a16="http://schemas.microsoft.com/office/drawing/2014/main" id="{00000000-0008-0000-0500-0000451B8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4</xdr:row>
      <xdr:rowOff>190500</xdr:rowOff>
    </xdr:from>
    <xdr:ext cx="6715125" cy="3752850"/>
    <xdr:graphicFrame macro="">
      <xdr:nvGraphicFramePr>
        <xdr:cNvPr id="401676529" name="Chart 10">
          <a:extLst>
            <a:ext uri="{FF2B5EF4-FFF2-40B4-BE49-F238E27FC236}">
              <a16:creationId xmlns:a16="http://schemas.microsoft.com/office/drawing/2014/main" id="{00000000-0008-0000-0500-0000F118F117}"/>
            </a:ext>
            <a:ext uri="{147F2762-F138-4A5C-976F-8EAC2B608ADB}">
              <a16:predDERef xmlns:a16="http://schemas.microsoft.com/office/drawing/2014/main" pred="{00000000-0008-0000-0500-0000451B8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19050</xdr:colOff>
      <xdr:row>4</xdr:row>
      <xdr:rowOff>200025</xdr:rowOff>
    </xdr:from>
    <xdr:ext cx="6686550" cy="3724275"/>
    <xdr:graphicFrame macro="">
      <xdr:nvGraphicFramePr>
        <xdr:cNvPr id="2103979893" name="Chart 11">
          <a:extLst>
            <a:ext uri="{FF2B5EF4-FFF2-40B4-BE49-F238E27FC236}">
              <a16:creationId xmlns:a16="http://schemas.microsoft.com/office/drawing/2014/main" id="{00000000-0008-0000-0500-0000752F687D}"/>
            </a:ext>
            <a:ext uri="{147F2762-F138-4A5C-976F-8EAC2B608ADB}">
              <a16:predDERef xmlns:a16="http://schemas.microsoft.com/office/drawing/2014/main" pred="{00000000-0008-0000-0500-0000F118F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0</xdr:colOff>
      <xdr:row>29</xdr:row>
      <xdr:rowOff>0</xdr:rowOff>
    </xdr:from>
    <xdr:ext cx="6724650" cy="3762375"/>
    <xdr:graphicFrame macro="">
      <xdr:nvGraphicFramePr>
        <xdr:cNvPr id="62115684" name="Chart 12">
          <a:extLst>
            <a:ext uri="{FF2B5EF4-FFF2-40B4-BE49-F238E27FC236}">
              <a16:creationId xmlns:a16="http://schemas.microsoft.com/office/drawing/2014/main" id="{00000000-0008-0000-0500-000064CFB303}"/>
            </a:ext>
            <a:ext uri="{147F2762-F138-4A5C-976F-8EAC2B608ADB}">
              <a16:predDERef xmlns:a16="http://schemas.microsoft.com/office/drawing/2014/main" pred="{00000000-0008-0000-0500-0000752F6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28</xdr:row>
      <xdr:rowOff>190500</xdr:rowOff>
    </xdr:from>
    <xdr:ext cx="6724650" cy="3752850"/>
    <xdr:graphicFrame macro="">
      <xdr:nvGraphicFramePr>
        <xdr:cNvPr id="510060047" name="Chart 13">
          <a:extLst>
            <a:ext uri="{FF2B5EF4-FFF2-40B4-BE49-F238E27FC236}">
              <a16:creationId xmlns:a16="http://schemas.microsoft.com/office/drawing/2014/main" id="{00000000-0008-0000-0500-00000FE6661E}"/>
            </a:ext>
            <a:ext uri="{147F2762-F138-4A5C-976F-8EAC2B608ADB}">
              <a16:predDERef xmlns:a16="http://schemas.microsoft.com/office/drawing/2014/main" pred="{00000000-0008-0000-0500-000064CFB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19050</xdr:colOff>
      <xdr:row>29</xdr:row>
      <xdr:rowOff>0</xdr:rowOff>
    </xdr:from>
    <xdr:ext cx="6686550" cy="3781425"/>
    <xdr:graphicFrame macro="">
      <xdr:nvGraphicFramePr>
        <xdr:cNvPr id="494658886" name="Chart 14">
          <a:extLst>
            <a:ext uri="{FF2B5EF4-FFF2-40B4-BE49-F238E27FC236}">
              <a16:creationId xmlns:a16="http://schemas.microsoft.com/office/drawing/2014/main" id="{00000000-0008-0000-0500-000046E57B1D}"/>
            </a:ext>
            <a:ext uri="{147F2762-F138-4A5C-976F-8EAC2B608ADB}">
              <a16:predDERef xmlns:a16="http://schemas.microsoft.com/office/drawing/2014/main" pred="{00000000-0008-0000-0500-00000FE66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19050</xdr:colOff>
      <xdr:row>52</xdr:row>
      <xdr:rowOff>171450</xdr:rowOff>
    </xdr:from>
    <xdr:ext cx="6686550" cy="3943350"/>
    <xdr:graphicFrame macro="">
      <xdr:nvGraphicFramePr>
        <xdr:cNvPr id="1683646662" name="Chart 15">
          <a:extLst>
            <a:ext uri="{FF2B5EF4-FFF2-40B4-BE49-F238E27FC236}">
              <a16:creationId xmlns:a16="http://schemas.microsoft.com/office/drawing/2014/main" id="{00000000-0008-0000-0500-0000C6685A64}"/>
            </a:ext>
            <a:ext uri="{147F2762-F138-4A5C-976F-8EAC2B608ADB}">
              <a16:predDERef xmlns:a16="http://schemas.microsoft.com/office/drawing/2014/main" pred="{00000000-0008-0000-0500-000046E57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10</xdr:col>
      <xdr:colOff>0</xdr:colOff>
      <xdr:row>53</xdr:row>
      <xdr:rowOff>0</xdr:rowOff>
    </xdr:from>
    <xdr:ext cx="6724650" cy="3943350"/>
    <xdr:graphicFrame macro="">
      <xdr:nvGraphicFramePr>
        <xdr:cNvPr id="1501467228" name="Chart 16">
          <a:extLst>
            <a:ext uri="{FF2B5EF4-FFF2-40B4-BE49-F238E27FC236}">
              <a16:creationId xmlns:a16="http://schemas.microsoft.com/office/drawing/2014/main" id="{00000000-0008-0000-0500-00005C927E59}"/>
            </a:ext>
            <a:ext uri="{147F2762-F138-4A5C-976F-8EAC2B608ADB}">
              <a16:predDERef xmlns:a16="http://schemas.microsoft.com/office/drawing/2014/main" pred="{00000000-0008-0000-0500-0000C6685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19</xdr:col>
      <xdr:colOff>0</xdr:colOff>
      <xdr:row>52</xdr:row>
      <xdr:rowOff>200025</xdr:rowOff>
    </xdr:from>
    <xdr:ext cx="6715125" cy="3933825"/>
    <xdr:graphicFrame macro="">
      <xdr:nvGraphicFramePr>
        <xdr:cNvPr id="1874772650" name="Chart 17">
          <a:extLst>
            <a:ext uri="{FF2B5EF4-FFF2-40B4-BE49-F238E27FC236}">
              <a16:creationId xmlns:a16="http://schemas.microsoft.com/office/drawing/2014/main" id="{00000000-0008-0000-0500-0000AAC2BE6F}"/>
            </a:ext>
            <a:ext uri="{147F2762-F138-4A5C-976F-8EAC2B608ADB}">
              <a16:predDERef xmlns:a16="http://schemas.microsoft.com/office/drawing/2014/main" pred="{00000000-0008-0000-0500-00005C927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xdr:col>
      <xdr:colOff>0</xdr:colOff>
      <xdr:row>77</xdr:row>
      <xdr:rowOff>190500</xdr:rowOff>
    </xdr:from>
    <xdr:ext cx="6715125" cy="3914775"/>
    <xdr:graphicFrame macro="">
      <xdr:nvGraphicFramePr>
        <xdr:cNvPr id="316847818" name="Chart 18">
          <a:extLst>
            <a:ext uri="{FF2B5EF4-FFF2-40B4-BE49-F238E27FC236}">
              <a16:creationId xmlns:a16="http://schemas.microsoft.com/office/drawing/2014/main" id="{00000000-0008-0000-0500-0000CAB6E212}"/>
            </a:ext>
            <a:ext uri="{147F2762-F138-4A5C-976F-8EAC2B608ADB}">
              <a16:predDERef xmlns:a16="http://schemas.microsoft.com/office/drawing/2014/main" pred="{00000000-0008-0000-0500-0000AAC2B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9</xdr:col>
      <xdr:colOff>314325</xdr:colOff>
      <xdr:row>78</xdr:row>
      <xdr:rowOff>0</xdr:rowOff>
    </xdr:from>
    <xdr:ext cx="6724650" cy="3943350"/>
    <xdr:graphicFrame macro="">
      <xdr:nvGraphicFramePr>
        <xdr:cNvPr id="1068400640" name="Chart 19">
          <a:extLst>
            <a:ext uri="{FF2B5EF4-FFF2-40B4-BE49-F238E27FC236}">
              <a16:creationId xmlns:a16="http://schemas.microsoft.com/office/drawing/2014/main" id="{00000000-0008-0000-0500-00000080AE3F}"/>
            </a:ext>
            <a:ext uri="{147F2762-F138-4A5C-976F-8EAC2B608ADB}">
              <a16:predDERef xmlns:a16="http://schemas.microsoft.com/office/drawing/2014/main" pred="{00000000-0008-0000-0500-0000CAB6E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19</xdr:col>
      <xdr:colOff>19050</xdr:colOff>
      <xdr:row>77</xdr:row>
      <xdr:rowOff>200025</xdr:rowOff>
    </xdr:from>
    <xdr:ext cx="6705600" cy="3914775"/>
    <xdr:graphicFrame macro="">
      <xdr:nvGraphicFramePr>
        <xdr:cNvPr id="296672561" name="Chart 20">
          <a:extLst>
            <a:ext uri="{FF2B5EF4-FFF2-40B4-BE49-F238E27FC236}">
              <a16:creationId xmlns:a16="http://schemas.microsoft.com/office/drawing/2014/main" id="{00000000-0008-0000-0500-000031DDAE11}"/>
            </a:ext>
            <a:ext uri="{147F2762-F138-4A5C-976F-8EAC2B608ADB}">
              <a16:predDERef xmlns:a16="http://schemas.microsoft.com/office/drawing/2014/main" pred="{00000000-0008-0000-0500-00000080A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19050</xdr:colOff>
      <xdr:row>5</xdr:row>
      <xdr:rowOff>0</xdr:rowOff>
    </xdr:from>
    <xdr:ext cx="6686550" cy="3781425"/>
    <xdr:graphicFrame macro="">
      <xdr:nvGraphicFramePr>
        <xdr:cNvPr id="1330966417" name="Chart 21">
          <a:extLst>
            <a:ext uri="{FF2B5EF4-FFF2-40B4-BE49-F238E27FC236}">
              <a16:creationId xmlns:a16="http://schemas.microsoft.com/office/drawing/2014/main" id="{00000000-0008-0000-0600-000091EF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5</xdr:row>
      <xdr:rowOff>0</xdr:rowOff>
    </xdr:from>
    <xdr:ext cx="6705600" cy="3790950"/>
    <xdr:graphicFrame macro="">
      <xdr:nvGraphicFramePr>
        <xdr:cNvPr id="367536496" name="Chart 22">
          <a:extLst>
            <a:ext uri="{FF2B5EF4-FFF2-40B4-BE49-F238E27FC236}">
              <a16:creationId xmlns:a16="http://schemas.microsoft.com/office/drawing/2014/main" id="{00000000-0008-0000-0600-00007029E815}"/>
            </a:ext>
            <a:ext uri="{147F2762-F138-4A5C-976F-8EAC2B608ADB}">
              <a16:predDERef xmlns:a16="http://schemas.microsoft.com/office/drawing/2014/main" pred="{00000000-0008-0000-0600-000091EF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0</xdr:colOff>
      <xdr:row>4</xdr:row>
      <xdr:rowOff>200025</xdr:rowOff>
    </xdr:from>
    <xdr:ext cx="6705600" cy="3743325"/>
    <xdr:graphicFrame macro="">
      <xdr:nvGraphicFramePr>
        <xdr:cNvPr id="699720759" name="Chart 23">
          <a:extLst>
            <a:ext uri="{FF2B5EF4-FFF2-40B4-BE49-F238E27FC236}">
              <a16:creationId xmlns:a16="http://schemas.microsoft.com/office/drawing/2014/main" id="{00000000-0008-0000-0600-000037E4B429}"/>
            </a:ext>
            <a:ext uri="{147F2762-F138-4A5C-976F-8EAC2B608ADB}">
              <a16:predDERef xmlns:a16="http://schemas.microsoft.com/office/drawing/2014/main" pred="{00000000-0008-0000-0600-00007029E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0</xdr:colOff>
      <xdr:row>28</xdr:row>
      <xdr:rowOff>200025</xdr:rowOff>
    </xdr:from>
    <xdr:ext cx="6705600" cy="3743325"/>
    <xdr:graphicFrame macro="">
      <xdr:nvGraphicFramePr>
        <xdr:cNvPr id="74442575" name="Chart 24">
          <a:extLst>
            <a:ext uri="{FF2B5EF4-FFF2-40B4-BE49-F238E27FC236}">
              <a16:creationId xmlns:a16="http://schemas.microsoft.com/office/drawing/2014/main" id="{00000000-0008-0000-0600-00004FE76F04}"/>
            </a:ext>
            <a:ext uri="{147F2762-F138-4A5C-976F-8EAC2B608ADB}">
              <a16:predDERef xmlns:a16="http://schemas.microsoft.com/office/drawing/2014/main" pred="{00000000-0008-0000-0600-000037E4B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29</xdr:row>
      <xdr:rowOff>0</xdr:rowOff>
    </xdr:from>
    <xdr:ext cx="6696075" cy="3752850"/>
    <xdr:graphicFrame macro="">
      <xdr:nvGraphicFramePr>
        <xdr:cNvPr id="1926626091" name="Chart 25">
          <a:extLst>
            <a:ext uri="{FF2B5EF4-FFF2-40B4-BE49-F238E27FC236}">
              <a16:creationId xmlns:a16="http://schemas.microsoft.com/office/drawing/2014/main" id="{00000000-0008-0000-0600-00002BFBD572}"/>
            </a:ext>
            <a:ext uri="{147F2762-F138-4A5C-976F-8EAC2B608ADB}">
              <a16:predDERef xmlns:a16="http://schemas.microsoft.com/office/drawing/2014/main" pred="{00000000-0008-0000-0600-00004FE7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0</xdr:colOff>
      <xdr:row>28</xdr:row>
      <xdr:rowOff>200025</xdr:rowOff>
    </xdr:from>
    <xdr:ext cx="6705600" cy="3724275"/>
    <xdr:graphicFrame macro="">
      <xdr:nvGraphicFramePr>
        <xdr:cNvPr id="1209436563" name="Chart 26">
          <a:extLst>
            <a:ext uri="{FF2B5EF4-FFF2-40B4-BE49-F238E27FC236}">
              <a16:creationId xmlns:a16="http://schemas.microsoft.com/office/drawing/2014/main" id="{00000000-0008-0000-0600-000093891648}"/>
            </a:ext>
            <a:ext uri="{147F2762-F138-4A5C-976F-8EAC2B608ADB}">
              <a16:predDERef xmlns:a16="http://schemas.microsoft.com/office/drawing/2014/main" pred="{00000000-0008-0000-0600-00002BFBD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314325</xdr:colOff>
      <xdr:row>52</xdr:row>
      <xdr:rowOff>200025</xdr:rowOff>
    </xdr:from>
    <xdr:ext cx="6705600" cy="3924300"/>
    <xdr:graphicFrame macro="">
      <xdr:nvGraphicFramePr>
        <xdr:cNvPr id="1565035003" name="Chart 27">
          <a:extLst>
            <a:ext uri="{FF2B5EF4-FFF2-40B4-BE49-F238E27FC236}">
              <a16:creationId xmlns:a16="http://schemas.microsoft.com/office/drawing/2014/main" id="{00000000-0008-0000-0600-0000FB89485D}"/>
            </a:ext>
            <a:ext uri="{147F2762-F138-4A5C-976F-8EAC2B608ADB}">
              <a16:predDERef xmlns:a16="http://schemas.microsoft.com/office/drawing/2014/main" pred="{00000000-0008-0000-0600-000093891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10</xdr:col>
      <xdr:colOff>0</xdr:colOff>
      <xdr:row>53</xdr:row>
      <xdr:rowOff>0</xdr:rowOff>
    </xdr:from>
    <xdr:ext cx="6715125" cy="3924300"/>
    <xdr:graphicFrame macro="">
      <xdr:nvGraphicFramePr>
        <xdr:cNvPr id="1354107965" name="Chart 28">
          <a:extLst>
            <a:ext uri="{FF2B5EF4-FFF2-40B4-BE49-F238E27FC236}">
              <a16:creationId xmlns:a16="http://schemas.microsoft.com/office/drawing/2014/main" id="{00000000-0008-0000-0600-00003D0CB650}"/>
            </a:ext>
            <a:ext uri="{147F2762-F138-4A5C-976F-8EAC2B608ADB}">
              <a16:predDERef xmlns:a16="http://schemas.microsoft.com/office/drawing/2014/main" pred="{00000000-0008-0000-0600-0000FB894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ROSA ISABEL SORIA PENAFIEL" id="{E00C09FA-9C4C-415E-A788-D4EC4E093E3E}"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4" dT="2024-03-19T01:09:52.26" personId="{E00C09FA-9C4C-415E-A788-D4EC4E093E3E}" id="{E8C9FCAA-990D-4926-8D2E-61C16F45AC08}">
    <text>Jam aqui se realizo el cambio del driver porque salieron las nuevas tasas de deforestacion para los periodos 2018-2020 y 2020-2022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C177" dT="2023-05-05T03:37:35.36" personId="{E00C09FA-9C4C-415E-A788-D4EC4E093E3E}" id="{A914E550-F040-4F66-9840-B93B0EE36EBB}">
    <text>Luego del taller y de conversaciones con FIAS y MAATE se decide considerar únicamente las absorciones de las áreas de  bosque bajo régimen de protección legal (se mantienen constantes las áreas reportadas en 2018) y las áreas regeneradas anulamente se les considera en cero</text>
  </threadedComment>
  <threadedComment ref="M177" dT="2023-05-11T18:13:43.47" personId="{E00C09FA-9C4C-415E-A788-D4EC4E093E3E}" id="{278CCD5B-1C56-4228-BBB4-1512D17B52DF}">
    <text>Se considerara que las absorciones son cero por sugerencia del MAATE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59" dT="2023-05-31T02:42:37.54" personId="{E00C09FA-9C4C-415E-A788-D4EC4E093E3E}" id="{29CB6550-837A-4732-A323-F6BF3A2A1F17}">
    <text>Se considera los costos hasta el año 7 para que las areas plantadas puedan tener mantenimiento hasta que estén establecidas.</text>
  </threadedComment>
  <threadedComment ref="E88" dT="2023-07-06T05:06:34.60" personId="{E00C09FA-9C4C-415E-A788-D4EC4E093E3E}" id="{EB04FB12-2416-4A27-B35C-E7FCC5C5ED60}">
    <text>Calculé la edad promedio de las plantaciones forestales previa a su cosecha y es de 11 años. Así que durante ese periodo de tiempo se realiza el mantenimiento.</text>
  </threadedComment>
</ThreadedComments>
</file>

<file path=xl/threadedComments/threadedComment4.xml><?xml version="1.0" encoding="utf-8"?>
<ThreadedComments xmlns="http://schemas.microsoft.com/office/spreadsheetml/2018/threadedcomments" xmlns:x="http://schemas.openxmlformats.org/spreadsheetml/2006/main">
  <threadedComment ref="E35" dT="2023-07-06T05:18:56.11" personId="{E00C09FA-9C4C-415E-A788-D4EC4E093E3E}" id="{26CDEB13-1E98-411A-9E09-0FF079210503}">
    <text>no existe un rango de valores alto</text>
  </threadedComment>
  <threadedComment ref="B43" dT="2023-05-31T04:31:31.78" personId="{E00C09FA-9C4C-415E-A788-D4EC4E093E3E}" id="{A82EA6C4-F30C-42AE-887E-0EBAEE0B4678}">
    <text>Esto lo recomienda Miguel en el word pero no me queda claro si es para USCUSS o para otro sector puesto que a continuación habla de transporte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2EFD9"/>
  </sheetPr>
  <dimension ref="A1:BI1000"/>
  <sheetViews>
    <sheetView workbookViewId="0">
      <pane xSplit="6" ySplit="1" topLeftCell="G2" activePane="bottomRight" state="frozen"/>
      <selection pane="topRight" activeCell="F1" sqref="F1"/>
      <selection pane="bottomLeft" activeCell="A2" sqref="A2"/>
      <selection pane="bottomRight" activeCell="A66" sqref="A66:A69"/>
    </sheetView>
  </sheetViews>
  <sheetFormatPr defaultColWidth="12.58203125" defaultRowHeight="15" customHeight="1" x14ac:dyDescent="0.3"/>
  <cols>
    <col min="1" max="1" width="36.58203125" bestFit="1" customWidth="1"/>
    <col min="2" max="2" width="13.1640625" customWidth="1"/>
    <col min="3" max="3" width="15.08203125" customWidth="1"/>
    <col min="4" max="4" width="3.6640625" customWidth="1"/>
    <col min="5" max="5" width="20.08203125" customWidth="1"/>
    <col min="6" max="6" width="35" customWidth="1"/>
    <col min="7" max="7" width="9" customWidth="1"/>
    <col min="8" max="8" width="11" customWidth="1"/>
    <col min="9" max="9" width="10" customWidth="1"/>
    <col min="10" max="10" width="11.6640625" customWidth="1"/>
    <col min="11" max="11" width="10.58203125" customWidth="1"/>
    <col min="12" max="12" width="10.4140625" customWidth="1"/>
    <col min="13" max="13" width="12.6640625" customWidth="1"/>
    <col min="14" max="14" width="9.6640625" customWidth="1"/>
    <col min="15" max="15" width="11.9140625" customWidth="1"/>
    <col min="16" max="16" width="10.4140625" customWidth="1"/>
    <col min="17" max="17" width="9" customWidth="1"/>
    <col min="18" max="49" width="10.4140625" customWidth="1"/>
    <col min="50" max="50" width="3" customWidth="1"/>
    <col min="51" max="51" width="21.1640625" customWidth="1"/>
    <col min="52" max="61" width="13.58203125" customWidth="1"/>
  </cols>
  <sheetData>
    <row r="1" spans="2:61" ht="18.5" x14ac:dyDescent="0.4">
      <c r="B1" s="1" t="s">
        <v>0</v>
      </c>
      <c r="C1" s="1"/>
      <c r="D1" s="2"/>
      <c r="E1" s="3"/>
      <c r="F1" s="4" t="s">
        <v>1</v>
      </c>
      <c r="G1" s="121">
        <v>2008</v>
      </c>
      <c r="H1" s="121">
        <v>2009</v>
      </c>
      <c r="I1" s="121">
        <v>2010</v>
      </c>
      <c r="J1" s="121">
        <v>2011</v>
      </c>
      <c r="K1" s="122">
        <v>2012</v>
      </c>
      <c r="L1" s="122">
        <v>2013</v>
      </c>
      <c r="M1" s="5">
        <v>2014</v>
      </c>
      <c r="N1" s="5">
        <v>2015</v>
      </c>
      <c r="O1" s="5">
        <v>2016</v>
      </c>
      <c r="P1" s="5">
        <v>2017</v>
      </c>
      <c r="Q1" s="5">
        <v>2018</v>
      </c>
      <c r="R1" s="5">
        <v>2019</v>
      </c>
      <c r="S1" s="5">
        <v>2020</v>
      </c>
      <c r="T1" s="5">
        <v>2021</v>
      </c>
      <c r="U1" s="5">
        <v>2022</v>
      </c>
      <c r="V1" s="5">
        <v>2023</v>
      </c>
      <c r="W1" s="5">
        <v>2024</v>
      </c>
      <c r="X1" s="5">
        <v>2025</v>
      </c>
      <c r="Y1" s="5">
        <v>2026</v>
      </c>
      <c r="Z1" s="5">
        <v>2027</v>
      </c>
      <c r="AA1" s="5">
        <v>2028</v>
      </c>
      <c r="AB1" s="5">
        <v>2029</v>
      </c>
      <c r="AC1" s="5">
        <v>2030</v>
      </c>
      <c r="AD1" s="5">
        <v>2031</v>
      </c>
      <c r="AE1" s="5">
        <v>2032</v>
      </c>
      <c r="AF1" s="5">
        <v>2033</v>
      </c>
      <c r="AG1" s="5">
        <v>2034</v>
      </c>
      <c r="AH1" s="5">
        <v>2035</v>
      </c>
      <c r="AI1" s="5">
        <v>2036</v>
      </c>
      <c r="AJ1" s="5">
        <v>2037</v>
      </c>
      <c r="AK1" s="5">
        <v>2038</v>
      </c>
      <c r="AL1" s="5">
        <v>2039</v>
      </c>
      <c r="AM1" s="5">
        <v>2040</v>
      </c>
      <c r="AN1" s="5">
        <v>2041</v>
      </c>
      <c r="AO1" s="5">
        <v>2042</v>
      </c>
      <c r="AP1" s="5">
        <v>2043</v>
      </c>
      <c r="AQ1" s="5">
        <v>2044</v>
      </c>
      <c r="AR1" s="5">
        <v>2045</v>
      </c>
      <c r="AS1" s="5">
        <v>2046</v>
      </c>
      <c r="AT1" s="5">
        <v>2047</v>
      </c>
      <c r="AU1" s="5">
        <v>2048</v>
      </c>
      <c r="AV1" s="5">
        <v>2049</v>
      </c>
      <c r="AW1" s="5">
        <v>2050</v>
      </c>
      <c r="AX1" s="6"/>
      <c r="AY1" s="7"/>
      <c r="AZ1" s="7"/>
      <c r="BA1" s="7"/>
      <c r="BB1" s="7"/>
      <c r="BC1" s="7"/>
      <c r="BD1" s="7"/>
      <c r="BE1" s="7"/>
      <c r="BF1" s="7"/>
      <c r="BG1" s="7"/>
      <c r="BH1" s="7"/>
      <c r="BI1" s="7"/>
    </row>
    <row r="2" spans="2:61" ht="14.25" customHeight="1" x14ac:dyDescent="0.3">
      <c r="B2" s="944"/>
      <c r="C2" s="944"/>
      <c r="D2" s="944"/>
      <c r="E2" s="94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row>
    <row r="3" spans="2:61" ht="25.5" customHeight="1" x14ac:dyDescent="0.3">
      <c r="B3" s="944"/>
      <c r="C3" s="944"/>
      <c r="D3" s="981" t="s">
        <v>2</v>
      </c>
      <c r="E3" s="982"/>
      <c r="F3" s="982"/>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row>
    <row r="4" spans="2:61" ht="14.25" customHeight="1" x14ac:dyDescent="0.3">
      <c r="B4" s="944"/>
      <c r="C4" s="944"/>
      <c r="D4" s="944"/>
      <c r="E4" s="944"/>
      <c r="F4" s="45"/>
      <c r="G4" s="45"/>
      <c r="H4" s="45"/>
      <c r="I4" s="8"/>
      <c r="J4" s="8"/>
      <c r="K4" s="8"/>
      <c r="L4" s="8"/>
      <c r="M4" s="8"/>
      <c r="N4" s="8"/>
      <c r="O4" s="8"/>
      <c r="P4" s="8"/>
      <c r="Q4" s="8"/>
      <c r="R4" s="8"/>
      <c r="S4" s="8"/>
      <c r="T4" s="8"/>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row>
    <row r="5" spans="2:61" ht="14.25" customHeight="1" x14ac:dyDescent="0.3">
      <c r="B5" s="944"/>
      <c r="C5" s="944"/>
      <c r="D5" s="9"/>
      <c r="E5" s="123"/>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0"/>
    </row>
    <row r="6" spans="2:61" ht="14.25" customHeight="1" x14ac:dyDescent="0.3">
      <c r="B6" s="944"/>
      <c r="C6" s="944"/>
      <c r="D6" s="125"/>
      <c r="E6" s="126" t="s">
        <v>3</v>
      </c>
      <c r="F6" s="127" t="s">
        <v>4</v>
      </c>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9"/>
    </row>
    <row r="7" spans="2:61" ht="14.25" hidden="1" customHeight="1" x14ac:dyDescent="0.3">
      <c r="B7" s="944"/>
      <c r="C7" s="944"/>
      <c r="D7" s="125"/>
      <c r="E7" s="130"/>
      <c r="F7" s="131" t="s">
        <v>5</v>
      </c>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9"/>
    </row>
    <row r="8" spans="2:61" ht="14.25" hidden="1" customHeight="1" x14ac:dyDescent="0.35">
      <c r="B8" s="983" t="s">
        <v>6</v>
      </c>
      <c r="C8" s="944"/>
      <c r="D8" s="125"/>
      <c r="E8" s="130"/>
      <c r="F8" s="128" t="s">
        <v>7</v>
      </c>
      <c r="G8" s="128"/>
      <c r="H8" s="128"/>
      <c r="I8" s="132">
        <v>3504127</v>
      </c>
      <c r="J8" s="132">
        <v>3536454</v>
      </c>
      <c r="K8" s="132">
        <v>3583056</v>
      </c>
      <c r="L8" s="132">
        <v>3538424</v>
      </c>
      <c r="M8" s="132">
        <v>5758859</v>
      </c>
      <c r="N8" s="947">
        <v>5729799</v>
      </c>
      <c r="O8" s="947">
        <v>5773290</v>
      </c>
      <c r="P8" s="947">
        <v>5675402</v>
      </c>
      <c r="Q8" s="947">
        <v>5740641</v>
      </c>
      <c r="R8" s="947">
        <v>6040896</v>
      </c>
      <c r="S8" s="947">
        <v>6112324</v>
      </c>
      <c r="T8" s="947">
        <v>5900560</v>
      </c>
      <c r="U8" s="133">
        <v>5900560</v>
      </c>
      <c r="V8" s="133">
        <v>5900560</v>
      </c>
      <c r="W8" s="133">
        <v>5900560</v>
      </c>
      <c r="X8" s="133">
        <v>5900560</v>
      </c>
      <c r="Y8" s="133">
        <v>5900560</v>
      </c>
      <c r="Z8" s="133">
        <v>5900560</v>
      </c>
      <c r="AA8" s="133">
        <v>5900560</v>
      </c>
      <c r="AB8" s="133">
        <v>5900560</v>
      </c>
      <c r="AC8" s="133">
        <v>5900560</v>
      </c>
      <c r="AD8" s="133">
        <v>5900560</v>
      </c>
      <c r="AE8" s="133">
        <v>5900560</v>
      </c>
      <c r="AF8" s="133">
        <v>5900560</v>
      </c>
      <c r="AG8" s="133">
        <v>5900560</v>
      </c>
      <c r="AH8" s="133">
        <v>5900560</v>
      </c>
      <c r="AI8" s="133">
        <v>5900560</v>
      </c>
      <c r="AJ8" s="133">
        <v>5900560</v>
      </c>
      <c r="AK8" s="133">
        <v>5900560</v>
      </c>
      <c r="AL8" s="133">
        <v>5900560</v>
      </c>
      <c r="AM8" s="133">
        <v>5900560</v>
      </c>
      <c r="AN8" s="133">
        <v>5900560</v>
      </c>
      <c r="AO8" s="133">
        <v>5900560</v>
      </c>
      <c r="AP8" s="133">
        <v>5900560</v>
      </c>
      <c r="AQ8" s="133">
        <v>5900560</v>
      </c>
      <c r="AR8" s="133">
        <v>5900560</v>
      </c>
      <c r="AS8" s="133">
        <v>5900560</v>
      </c>
      <c r="AT8" s="133">
        <v>5900560</v>
      </c>
      <c r="AU8" s="133">
        <v>5900560</v>
      </c>
      <c r="AV8" s="133">
        <v>5900560</v>
      </c>
      <c r="AW8" s="133">
        <v>5900560</v>
      </c>
      <c r="AX8" s="129"/>
      <c r="AY8" s="11"/>
      <c r="AZ8" s="11"/>
      <c r="BA8" s="11"/>
      <c r="BB8" s="11"/>
      <c r="BC8" s="11"/>
      <c r="BD8" s="11"/>
      <c r="BE8" s="11"/>
      <c r="BF8" s="11"/>
      <c r="BG8" s="11"/>
      <c r="BH8" s="11"/>
      <c r="BI8" s="11"/>
    </row>
    <row r="9" spans="2:61" ht="14.25" hidden="1" customHeight="1" x14ac:dyDescent="0.35">
      <c r="B9" s="982"/>
      <c r="C9" s="944"/>
      <c r="D9" s="125"/>
      <c r="E9" s="130"/>
      <c r="F9" s="128" t="s">
        <v>8</v>
      </c>
      <c r="G9" s="128"/>
      <c r="H9" s="128"/>
      <c r="I9" s="132">
        <v>1391379</v>
      </c>
      <c r="J9" s="132">
        <v>1379473</v>
      </c>
      <c r="K9" s="132">
        <v>1382918</v>
      </c>
      <c r="L9" s="132">
        <v>1469363</v>
      </c>
      <c r="M9" s="132">
        <v>1417104</v>
      </c>
      <c r="N9" s="947">
        <v>1483366</v>
      </c>
      <c r="O9" s="947">
        <v>1439117</v>
      </c>
      <c r="P9" s="947">
        <v>1430497</v>
      </c>
      <c r="Q9" s="947">
        <v>1385805</v>
      </c>
      <c r="R9" s="947">
        <v>1439504</v>
      </c>
      <c r="S9" s="947">
        <v>1442973</v>
      </c>
      <c r="T9" s="947">
        <v>1423372</v>
      </c>
      <c r="U9" s="133">
        <v>1423372</v>
      </c>
      <c r="V9" s="133">
        <v>1423372</v>
      </c>
      <c r="W9" s="133">
        <v>1423372</v>
      </c>
      <c r="X9" s="133">
        <v>1423372</v>
      </c>
      <c r="Y9" s="133">
        <v>1423372</v>
      </c>
      <c r="Z9" s="133">
        <v>1423372</v>
      </c>
      <c r="AA9" s="133">
        <v>1423372</v>
      </c>
      <c r="AB9" s="133">
        <v>1423372</v>
      </c>
      <c r="AC9" s="133">
        <v>1423372</v>
      </c>
      <c r="AD9" s="133">
        <v>1423372</v>
      </c>
      <c r="AE9" s="133">
        <v>1423372</v>
      </c>
      <c r="AF9" s="133">
        <v>1423372</v>
      </c>
      <c r="AG9" s="133">
        <v>1423372</v>
      </c>
      <c r="AH9" s="133">
        <v>1423372</v>
      </c>
      <c r="AI9" s="133">
        <v>1423372</v>
      </c>
      <c r="AJ9" s="133">
        <v>1423372</v>
      </c>
      <c r="AK9" s="133">
        <v>1423372</v>
      </c>
      <c r="AL9" s="133">
        <v>1423372</v>
      </c>
      <c r="AM9" s="133">
        <v>1423372</v>
      </c>
      <c r="AN9" s="133">
        <v>1423372</v>
      </c>
      <c r="AO9" s="133">
        <v>1423372</v>
      </c>
      <c r="AP9" s="133">
        <v>1423372</v>
      </c>
      <c r="AQ9" s="133">
        <v>1423372</v>
      </c>
      <c r="AR9" s="133">
        <v>1423372</v>
      </c>
      <c r="AS9" s="133">
        <v>1423372</v>
      </c>
      <c r="AT9" s="133">
        <v>1423372</v>
      </c>
      <c r="AU9" s="133">
        <v>1423372</v>
      </c>
      <c r="AV9" s="133">
        <v>1423372</v>
      </c>
      <c r="AW9" s="133">
        <v>1423372</v>
      </c>
      <c r="AX9" s="129"/>
      <c r="AY9" s="11"/>
      <c r="AZ9" s="11"/>
      <c r="BA9" s="11"/>
      <c r="BB9" s="11"/>
      <c r="BC9" s="11"/>
      <c r="BD9" s="11"/>
      <c r="BE9" s="11"/>
      <c r="BF9" s="11"/>
      <c r="BG9" s="11"/>
      <c r="BH9" s="11"/>
      <c r="BI9" s="11"/>
    </row>
    <row r="10" spans="2:61" ht="14.25" hidden="1" customHeight="1" x14ac:dyDescent="0.3">
      <c r="B10" s="982"/>
      <c r="C10" s="944"/>
      <c r="D10" s="125"/>
      <c r="E10" s="130"/>
      <c r="F10" s="128" t="s">
        <v>9</v>
      </c>
      <c r="G10" s="128"/>
      <c r="H10" s="128"/>
      <c r="I10" s="947">
        <v>992369</v>
      </c>
      <c r="J10" s="947">
        <v>982312</v>
      </c>
      <c r="K10" s="947">
        <v>1020870</v>
      </c>
      <c r="L10" s="947">
        <v>1003271</v>
      </c>
      <c r="M10" s="947">
        <v>876498</v>
      </c>
      <c r="N10" s="947">
        <v>950649</v>
      </c>
      <c r="O10" s="947">
        <v>849685</v>
      </c>
      <c r="P10" s="947">
        <v>904224</v>
      </c>
      <c r="Q10" s="947">
        <v>799494</v>
      </c>
      <c r="R10" s="947">
        <v>769708</v>
      </c>
      <c r="S10" s="947">
        <v>822516</v>
      </c>
      <c r="T10" s="947">
        <v>841994</v>
      </c>
      <c r="U10" s="133">
        <v>841994</v>
      </c>
      <c r="V10" s="133">
        <v>841994</v>
      </c>
      <c r="W10" s="133">
        <v>841994</v>
      </c>
      <c r="X10" s="133">
        <v>841994</v>
      </c>
      <c r="Y10" s="133">
        <v>841994</v>
      </c>
      <c r="Z10" s="133">
        <v>841994</v>
      </c>
      <c r="AA10" s="133">
        <v>841994</v>
      </c>
      <c r="AB10" s="133">
        <v>841994</v>
      </c>
      <c r="AC10" s="133">
        <v>841994</v>
      </c>
      <c r="AD10" s="133">
        <v>841994</v>
      </c>
      <c r="AE10" s="133">
        <v>841994</v>
      </c>
      <c r="AF10" s="133">
        <v>841994</v>
      </c>
      <c r="AG10" s="133">
        <v>841994</v>
      </c>
      <c r="AH10" s="133">
        <v>841994</v>
      </c>
      <c r="AI10" s="133">
        <v>841994</v>
      </c>
      <c r="AJ10" s="133">
        <v>841994</v>
      </c>
      <c r="AK10" s="133">
        <v>841994</v>
      </c>
      <c r="AL10" s="133">
        <v>841994</v>
      </c>
      <c r="AM10" s="133">
        <v>841994</v>
      </c>
      <c r="AN10" s="133">
        <v>841994</v>
      </c>
      <c r="AO10" s="133">
        <v>841994</v>
      </c>
      <c r="AP10" s="133">
        <v>841994</v>
      </c>
      <c r="AQ10" s="133">
        <v>841994</v>
      </c>
      <c r="AR10" s="133">
        <v>841994</v>
      </c>
      <c r="AS10" s="133">
        <v>841994</v>
      </c>
      <c r="AT10" s="133">
        <v>841994</v>
      </c>
      <c r="AU10" s="133">
        <v>841994</v>
      </c>
      <c r="AV10" s="133">
        <v>841994</v>
      </c>
      <c r="AW10" s="133">
        <v>841994</v>
      </c>
      <c r="AX10" s="129"/>
    </row>
    <row r="11" spans="2:61" ht="14.25" hidden="1" customHeight="1" x14ac:dyDescent="0.3">
      <c r="B11" s="982"/>
      <c r="C11" s="944"/>
      <c r="D11" s="125"/>
      <c r="E11" s="130"/>
      <c r="F11" s="128" t="s">
        <v>10</v>
      </c>
      <c r="G11" s="128"/>
      <c r="H11" s="128"/>
      <c r="I11" s="947">
        <v>193957</v>
      </c>
      <c r="J11" s="947">
        <v>173442</v>
      </c>
      <c r="K11" s="947">
        <v>126982</v>
      </c>
      <c r="L11" s="947">
        <v>191159</v>
      </c>
      <c r="M11" s="947">
        <v>93574</v>
      </c>
      <c r="N11" s="947">
        <v>117390</v>
      </c>
      <c r="O11" s="947">
        <v>125946</v>
      </c>
      <c r="P11" s="947">
        <v>129268</v>
      </c>
      <c r="Q11" s="947">
        <v>168446</v>
      </c>
      <c r="R11" s="947">
        <v>219492</v>
      </c>
      <c r="S11" s="947">
        <v>215014</v>
      </c>
      <c r="T11" s="947">
        <v>163017</v>
      </c>
      <c r="U11" s="133">
        <v>163017</v>
      </c>
      <c r="V11" s="133">
        <v>163017</v>
      </c>
      <c r="W11" s="133">
        <v>163017</v>
      </c>
      <c r="X11" s="133">
        <v>163017</v>
      </c>
      <c r="Y11" s="133">
        <v>163017</v>
      </c>
      <c r="Z11" s="133">
        <v>163017</v>
      </c>
      <c r="AA11" s="133">
        <v>163017</v>
      </c>
      <c r="AB11" s="133">
        <v>163017</v>
      </c>
      <c r="AC11" s="133">
        <v>163017</v>
      </c>
      <c r="AD11" s="133">
        <v>163017</v>
      </c>
      <c r="AE11" s="133">
        <v>163017</v>
      </c>
      <c r="AF11" s="133">
        <v>163017</v>
      </c>
      <c r="AG11" s="133">
        <v>163017</v>
      </c>
      <c r="AH11" s="133">
        <v>163017</v>
      </c>
      <c r="AI11" s="133">
        <v>163017</v>
      </c>
      <c r="AJ11" s="133">
        <v>163017</v>
      </c>
      <c r="AK11" s="133">
        <v>163017</v>
      </c>
      <c r="AL11" s="133">
        <v>163017</v>
      </c>
      <c r="AM11" s="133">
        <v>163017</v>
      </c>
      <c r="AN11" s="133">
        <v>163017</v>
      </c>
      <c r="AO11" s="133">
        <v>163017</v>
      </c>
      <c r="AP11" s="133">
        <v>163017</v>
      </c>
      <c r="AQ11" s="133">
        <v>163017</v>
      </c>
      <c r="AR11" s="133">
        <v>163017</v>
      </c>
      <c r="AS11" s="133">
        <v>163017</v>
      </c>
      <c r="AT11" s="133">
        <v>163017</v>
      </c>
      <c r="AU11" s="133">
        <v>163017</v>
      </c>
      <c r="AV11" s="133">
        <v>163017</v>
      </c>
      <c r="AW11" s="133">
        <v>163017</v>
      </c>
      <c r="AX11" s="129"/>
    </row>
    <row r="12" spans="2:61" ht="14.25" hidden="1" customHeight="1" x14ac:dyDescent="0.3">
      <c r="B12" s="982"/>
      <c r="C12" s="944"/>
      <c r="D12" s="125"/>
      <c r="E12" s="130"/>
      <c r="F12" s="128" t="s">
        <v>11</v>
      </c>
      <c r="G12" s="128"/>
      <c r="H12" s="128"/>
      <c r="I12" s="947">
        <v>217058</v>
      </c>
      <c r="J12" s="947">
        <v>210584</v>
      </c>
      <c r="K12" s="947">
        <v>205657</v>
      </c>
      <c r="L12" s="947">
        <v>216225</v>
      </c>
      <c r="M12" s="947">
        <v>468180</v>
      </c>
      <c r="N12" s="947">
        <v>612090</v>
      </c>
      <c r="O12" s="947">
        <v>719109</v>
      </c>
      <c r="P12" s="947">
        <v>757791</v>
      </c>
      <c r="Q12" s="947">
        <v>796518</v>
      </c>
      <c r="R12" s="947">
        <v>662305</v>
      </c>
      <c r="S12" s="947">
        <v>681476</v>
      </c>
      <c r="T12" s="947">
        <v>712757</v>
      </c>
      <c r="U12" s="133">
        <v>712757</v>
      </c>
      <c r="V12" s="133">
        <v>712757</v>
      </c>
      <c r="W12" s="133">
        <v>712757</v>
      </c>
      <c r="X12" s="133">
        <v>712757</v>
      </c>
      <c r="Y12" s="133">
        <v>712757</v>
      </c>
      <c r="Z12" s="133">
        <v>712757</v>
      </c>
      <c r="AA12" s="133">
        <v>712757</v>
      </c>
      <c r="AB12" s="133">
        <v>712757</v>
      </c>
      <c r="AC12" s="133">
        <v>712757</v>
      </c>
      <c r="AD12" s="133">
        <v>712757</v>
      </c>
      <c r="AE12" s="133">
        <v>712757</v>
      </c>
      <c r="AF12" s="133">
        <v>712757</v>
      </c>
      <c r="AG12" s="133">
        <v>712757</v>
      </c>
      <c r="AH12" s="133">
        <v>712757</v>
      </c>
      <c r="AI12" s="133">
        <v>712757</v>
      </c>
      <c r="AJ12" s="133">
        <v>712757</v>
      </c>
      <c r="AK12" s="133">
        <v>712757</v>
      </c>
      <c r="AL12" s="133">
        <v>712757</v>
      </c>
      <c r="AM12" s="133">
        <v>712757</v>
      </c>
      <c r="AN12" s="133">
        <v>712757</v>
      </c>
      <c r="AO12" s="133">
        <v>712757</v>
      </c>
      <c r="AP12" s="133">
        <v>712757</v>
      </c>
      <c r="AQ12" s="133">
        <v>712757</v>
      </c>
      <c r="AR12" s="133">
        <v>712757</v>
      </c>
      <c r="AS12" s="133">
        <v>712757</v>
      </c>
      <c r="AT12" s="133">
        <v>712757</v>
      </c>
      <c r="AU12" s="133">
        <v>712757</v>
      </c>
      <c r="AV12" s="133">
        <v>712757</v>
      </c>
      <c r="AW12" s="133">
        <v>712757</v>
      </c>
      <c r="AX12" s="129"/>
      <c r="AY12" s="12"/>
      <c r="AZ12" s="12"/>
      <c r="BA12" s="12"/>
      <c r="BB12" s="12"/>
      <c r="BC12" s="12"/>
      <c r="BD12" s="12"/>
      <c r="BE12" s="12"/>
      <c r="BF12" s="12"/>
      <c r="BG12" s="12"/>
      <c r="BH12" s="12"/>
      <c r="BI12" s="12"/>
    </row>
    <row r="13" spans="2:61" ht="14.25" hidden="1" customHeight="1" x14ac:dyDescent="0.35">
      <c r="B13" s="982"/>
      <c r="C13" s="944"/>
      <c r="D13" s="125"/>
      <c r="E13" s="130"/>
      <c r="F13" s="128" t="s">
        <v>12</v>
      </c>
      <c r="G13" s="128"/>
      <c r="H13" s="128"/>
      <c r="I13" s="947">
        <v>539475</v>
      </c>
      <c r="J13" s="947">
        <v>565857</v>
      </c>
      <c r="K13" s="947">
        <v>608272</v>
      </c>
      <c r="L13" s="947">
        <v>491891</v>
      </c>
      <c r="M13" s="947">
        <v>499258</v>
      </c>
      <c r="N13" s="947">
        <v>454347</v>
      </c>
      <c r="O13" s="134">
        <v>377791</v>
      </c>
      <c r="P13" s="947">
        <v>332418</v>
      </c>
      <c r="Q13" s="947">
        <v>252612</v>
      </c>
      <c r="R13" s="947">
        <v>270986</v>
      </c>
      <c r="S13" s="947">
        <v>249139</v>
      </c>
      <c r="T13" s="947">
        <v>233074</v>
      </c>
      <c r="U13" s="133">
        <v>233074</v>
      </c>
      <c r="V13" s="133">
        <v>233074</v>
      </c>
      <c r="W13" s="133">
        <v>233074</v>
      </c>
      <c r="X13" s="133">
        <v>233074</v>
      </c>
      <c r="Y13" s="133">
        <v>233074</v>
      </c>
      <c r="Z13" s="133">
        <v>233074</v>
      </c>
      <c r="AA13" s="133">
        <v>233074</v>
      </c>
      <c r="AB13" s="133">
        <v>233074</v>
      </c>
      <c r="AC13" s="133">
        <v>233074</v>
      </c>
      <c r="AD13" s="133">
        <v>233074</v>
      </c>
      <c r="AE13" s="133">
        <v>233074</v>
      </c>
      <c r="AF13" s="133">
        <v>233074</v>
      </c>
      <c r="AG13" s="133">
        <v>233074</v>
      </c>
      <c r="AH13" s="133">
        <v>233074</v>
      </c>
      <c r="AI13" s="133">
        <v>233074</v>
      </c>
      <c r="AJ13" s="133">
        <v>233074</v>
      </c>
      <c r="AK13" s="133">
        <v>233074</v>
      </c>
      <c r="AL13" s="133">
        <v>233074</v>
      </c>
      <c r="AM13" s="133">
        <v>233074</v>
      </c>
      <c r="AN13" s="133">
        <v>233074</v>
      </c>
      <c r="AO13" s="133">
        <v>233074</v>
      </c>
      <c r="AP13" s="133">
        <v>233074</v>
      </c>
      <c r="AQ13" s="133">
        <v>233074</v>
      </c>
      <c r="AR13" s="133">
        <v>233074</v>
      </c>
      <c r="AS13" s="133">
        <v>233074</v>
      </c>
      <c r="AT13" s="133">
        <v>233074</v>
      </c>
      <c r="AU13" s="133">
        <v>233074</v>
      </c>
      <c r="AV13" s="133">
        <v>233074</v>
      </c>
      <c r="AW13" s="133">
        <v>233074</v>
      </c>
      <c r="AX13" s="129"/>
    </row>
    <row r="14" spans="2:61" ht="14.25" hidden="1" customHeight="1" x14ac:dyDescent="0.3">
      <c r="B14" s="982"/>
      <c r="C14" s="944"/>
      <c r="D14" s="125"/>
      <c r="E14" s="130"/>
      <c r="F14" s="128" t="s">
        <v>13</v>
      </c>
      <c r="G14" s="128"/>
      <c r="H14" s="128"/>
      <c r="I14" s="947">
        <v>3409952</v>
      </c>
      <c r="J14" s="947">
        <v>3425412</v>
      </c>
      <c r="K14" s="947">
        <v>3553008</v>
      </c>
      <c r="L14" s="947">
        <v>3227321</v>
      </c>
      <c r="M14" s="947">
        <v>2259447</v>
      </c>
      <c r="N14" s="947">
        <v>2531442</v>
      </c>
      <c r="O14" s="947">
        <v>2300539</v>
      </c>
      <c r="P14" s="947">
        <v>2447634</v>
      </c>
      <c r="Q14" s="947">
        <v>2379042</v>
      </c>
      <c r="R14" s="947">
        <v>1985494</v>
      </c>
      <c r="S14" s="947">
        <v>2067795</v>
      </c>
      <c r="T14" s="947">
        <v>2376551</v>
      </c>
      <c r="U14" s="133">
        <v>2376551</v>
      </c>
      <c r="V14" s="133">
        <v>2376551</v>
      </c>
      <c r="W14" s="133">
        <v>2376551</v>
      </c>
      <c r="X14" s="133">
        <v>2376551</v>
      </c>
      <c r="Y14" s="133">
        <v>2376551</v>
      </c>
      <c r="Z14" s="133">
        <v>2376551</v>
      </c>
      <c r="AA14" s="133">
        <v>2376551</v>
      </c>
      <c r="AB14" s="133">
        <v>2376551</v>
      </c>
      <c r="AC14" s="133">
        <v>2376551</v>
      </c>
      <c r="AD14" s="133">
        <v>2376551</v>
      </c>
      <c r="AE14" s="133">
        <v>2376551</v>
      </c>
      <c r="AF14" s="133">
        <v>2376551</v>
      </c>
      <c r="AG14" s="133">
        <v>2376551</v>
      </c>
      <c r="AH14" s="133">
        <v>2376551</v>
      </c>
      <c r="AI14" s="133">
        <v>2376551</v>
      </c>
      <c r="AJ14" s="133">
        <v>2376551</v>
      </c>
      <c r="AK14" s="133">
        <v>2376551</v>
      </c>
      <c r="AL14" s="133">
        <v>2376551</v>
      </c>
      <c r="AM14" s="133">
        <v>2376551</v>
      </c>
      <c r="AN14" s="133">
        <v>2376551</v>
      </c>
      <c r="AO14" s="133">
        <v>2376551</v>
      </c>
      <c r="AP14" s="133">
        <v>2376551</v>
      </c>
      <c r="AQ14" s="133">
        <v>2376551</v>
      </c>
      <c r="AR14" s="133">
        <v>2376551</v>
      </c>
      <c r="AS14" s="133">
        <v>2376551</v>
      </c>
      <c r="AT14" s="133">
        <v>2376551</v>
      </c>
      <c r="AU14" s="133">
        <v>2376551</v>
      </c>
      <c r="AV14" s="133">
        <v>2376551</v>
      </c>
      <c r="AW14" s="133">
        <v>2376551</v>
      </c>
      <c r="AX14" s="129"/>
    </row>
    <row r="15" spans="2:61" ht="14.25" hidden="1" customHeight="1" x14ac:dyDescent="0.3">
      <c r="B15" s="982"/>
      <c r="C15" s="944"/>
      <c r="D15" s="125"/>
      <c r="E15" s="130"/>
      <c r="F15" s="128" t="s">
        <v>14</v>
      </c>
      <c r="G15" s="128"/>
      <c r="H15" s="128"/>
      <c r="I15" s="947">
        <v>1509972</v>
      </c>
      <c r="J15" s="947">
        <v>1385547</v>
      </c>
      <c r="K15" s="947">
        <v>1423114</v>
      </c>
      <c r="L15" s="947">
        <v>1623359</v>
      </c>
      <c r="M15" s="947">
        <v>828333</v>
      </c>
      <c r="N15" s="947">
        <v>706777</v>
      </c>
      <c r="O15" s="947">
        <v>800496</v>
      </c>
      <c r="P15" s="947">
        <v>677911</v>
      </c>
      <c r="Q15" s="947">
        <v>715273</v>
      </c>
      <c r="R15" s="947">
        <v>915843</v>
      </c>
      <c r="S15" s="947">
        <v>841320</v>
      </c>
      <c r="T15" s="947">
        <v>646139</v>
      </c>
      <c r="U15" s="133">
        <v>646139</v>
      </c>
      <c r="V15" s="133">
        <v>646139</v>
      </c>
      <c r="W15" s="133">
        <v>646139</v>
      </c>
      <c r="X15" s="133">
        <v>646139</v>
      </c>
      <c r="Y15" s="133">
        <v>646139</v>
      </c>
      <c r="Z15" s="133">
        <v>646139</v>
      </c>
      <c r="AA15" s="133">
        <v>646139</v>
      </c>
      <c r="AB15" s="133">
        <v>646139</v>
      </c>
      <c r="AC15" s="133">
        <v>646139</v>
      </c>
      <c r="AD15" s="133">
        <v>646139</v>
      </c>
      <c r="AE15" s="133">
        <v>646139</v>
      </c>
      <c r="AF15" s="133">
        <v>646139</v>
      </c>
      <c r="AG15" s="133">
        <v>646139</v>
      </c>
      <c r="AH15" s="133">
        <v>646139</v>
      </c>
      <c r="AI15" s="133">
        <v>646139</v>
      </c>
      <c r="AJ15" s="133">
        <v>646139</v>
      </c>
      <c r="AK15" s="133">
        <v>646139</v>
      </c>
      <c r="AL15" s="133">
        <v>646139</v>
      </c>
      <c r="AM15" s="133">
        <v>646139</v>
      </c>
      <c r="AN15" s="133">
        <v>646139</v>
      </c>
      <c r="AO15" s="133">
        <v>646139</v>
      </c>
      <c r="AP15" s="133">
        <v>646139</v>
      </c>
      <c r="AQ15" s="133">
        <v>646139</v>
      </c>
      <c r="AR15" s="133">
        <v>646139</v>
      </c>
      <c r="AS15" s="133">
        <v>646139</v>
      </c>
      <c r="AT15" s="133">
        <v>646139</v>
      </c>
      <c r="AU15" s="133">
        <v>646139</v>
      </c>
      <c r="AV15" s="133">
        <v>646139</v>
      </c>
      <c r="AW15" s="133">
        <v>646139</v>
      </c>
      <c r="AX15" s="129"/>
    </row>
    <row r="16" spans="2:61" ht="14.25" customHeight="1" x14ac:dyDescent="0.3">
      <c r="B16" s="944"/>
      <c r="C16" s="944"/>
      <c r="D16" s="125"/>
      <c r="E16" s="130"/>
      <c r="F16" s="131" t="s">
        <v>15</v>
      </c>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9"/>
    </row>
    <row r="17" spans="2:61" ht="14.25" customHeight="1" x14ac:dyDescent="0.35">
      <c r="B17" s="983" t="s">
        <v>6</v>
      </c>
      <c r="C17" s="944"/>
      <c r="D17" s="125"/>
      <c r="E17" s="130"/>
      <c r="F17" s="128" t="s">
        <v>16</v>
      </c>
      <c r="G17" s="128"/>
      <c r="H17" s="128"/>
      <c r="I17" s="135">
        <f t="shared" ref="I17:AW17" si="0">I8/1000000</f>
        <v>3.504127</v>
      </c>
      <c r="J17" s="135">
        <f t="shared" si="0"/>
        <v>3.536454</v>
      </c>
      <c r="K17" s="135">
        <f t="shared" si="0"/>
        <v>3.583056</v>
      </c>
      <c r="L17" s="135">
        <f t="shared" si="0"/>
        <v>3.538424</v>
      </c>
      <c r="M17" s="135">
        <f t="shared" si="0"/>
        <v>5.7588590000000002</v>
      </c>
      <c r="N17" s="135">
        <f t="shared" si="0"/>
        <v>5.7297989999999999</v>
      </c>
      <c r="O17" s="135">
        <f t="shared" si="0"/>
        <v>5.7732900000000003</v>
      </c>
      <c r="P17" s="135">
        <f t="shared" si="0"/>
        <v>5.6754020000000001</v>
      </c>
      <c r="Q17" s="135">
        <f t="shared" si="0"/>
        <v>5.7406410000000001</v>
      </c>
      <c r="R17" s="135">
        <f t="shared" si="0"/>
        <v>6.040896</v>
      </c>
      <c r="S17" s="135">
        <f t="shared" si="0"/>
        <v>6.1123240000000001</v>
      </c>
      <c r="T17" s="135">
        <f t="shared" si="0"/>
        <v>5.9005599999999996</v>
      </c>
      <c r="U17" s="136">
        <f t="shared" si="0"/>
        <v>5.9005599999999996</v>
      </c>
      <c r="V17" s="136">
        <f t="shared" si="0"/>
        <v>5.9005599999999996</v>
      </c>
      <c r="W17" s="136">
        <f t="shared" si="0"/>
        <v>5.9005599999999996</v>
      </c>
      <c r="X17" s="136">
        <f t="shared" si="0"/>
        <v>5.9005599999999996</v>
      </c>
      <c r="Y17" s="136">
        <f t="shared" si="0"/>
        <v>5.9005599999999996</v>
      </c>
      <c r="Z17" s="136">
        <f t="shared" si="0"/>
        <v>5.9005599999999996</v>
      </c>
      <c r="AA17" s="136">
        <f t="shared" si="0"/>
        <v>5.9005599999999996</v>
      </c>
      <c r="AB17" s="136">
        <f t="shared" si="0"/>
        <v>5.9005599999999996</v>
      </c>
      <c r="AC17" s="136">
        <f t="shared" si="0"/>
        <v>5.9005599999999996</v>
      </c>
      <c r="AD17" s="136">
        <f t="shared" si="0"/>
        <v>5.9005599999999996</v>
      </c>
      <c r="AE17" s="136">
        <f t="shared" si="0"/>
        <v>5.9005599999999996</v>
      </c>
      <c r="AF17" s="136">
        <f t="shared" si="0"/>
        <v>5.9005599999999996</v>
      </c>
      <c r="AG17" s="136">
        <f t="shared" si="0"/>
        <v>5.9005599999999996</v>
      </c>
      <c r="AH17" s="136">
        <f t="shared" si="0"/>
        <v>5.9005599999999996</v>
      </c>
      <c r="AI17" s="136">
        <f t="shared" si="0"/>
        <v>5.9005599999999996</v>
      </c>
      <c r="AJ17" s="136">
        <f t="shared" si="0"/>
        <v>5.9005599999999996</v>
      </c>
      <c r="AK17" s="136">
        <f t="shared" si="0"/>
        <v>5.9005599999999996</v>
      </c>
      <c r="AL17" s="136">
        <f t="shared" si="0"/>
        <v>5.9005599999999996</v>
      </c>
      <c r="AM17" s="136">
        <f t="shared" si="0"/>
        <v>5.9005599999999996</v>
      </c>
      <c r="AN17" s="136">
        <f t="shared" si="0"/>
        <v>5.9005599999999996</v>
      </c>
      <c r="AO17" s="136">
        <f t="shared" si="0"/>
        <v>5.9005599999999996</v>
      </c>
      <c r="AP17" s="136">
        <f t="shared" si="0"/>
        <v>5.9005599999999996</v>
      </c>
      <c r="AQ17" s="136">
        <f t="shared" si="0"/>
        <v>5.9005599999999996</v>
      </c>
      <c r="AR17" s="136">
        <f t="shared" si="0"/>
        <v>5.9005599999999996</v>
      </c>
      <c r="AS17" s="136">
        <f t="shared" si="0"/>
        <v>5.9005599999999996</v>
      </c>
      <c r="AT17" s="136">
        <f t="shared" si="0"/>
        <v>5.9005599999999996</v>
      </c>
      <c r="AU17" s="136">
        <f t="shared" si="0"/>
        <v>5.9005599999999996</v>
      </c>
      <c r="AV17" s="136">
        <f t="shared" si="0"/>
        <v>5.9005599999999996</v>
      </c>
      <c r="AW17" s="136">
        <f t="shared" si="0"/>
        <v>5.9005599999999996</v>
      </c>
      <c r="AX17" s="129"/>
      <c r="AY17" s="11"/>
      <c r="AZ17" s="11"/>
      <c r="BA17" s="11"/>
      <c r="BB17" s="11"/>
      <c r="BC17" s="11"/>
      <c r="BD17" s="11"/>
      <c r="BE17" s="11"/>
      <c r="BF17" s="11"/>
      <c r="BG17" s="11"/>
      <c r="BH17" s="11"/>
      <c r="BI17" s="11"/>
    </row>
    <row r="18" spans="2:61" ht="14.25" customHeight="1" x14ac:dyDescent="0.35">
      <c r="B18" s="982"/>
      <c r="C18" s="944"/>
      <c r="D18" s="125"/>
      <c r="E18" s="130"/>
      <c r="F18" s="128" t="s">
        <v>17</v>
      </c>
      <c r="G18" s="128"/>
      <c r="H18" s="128"/>
      <c r="I18" s="135">
        <f t="shared" ref="I18:AW18" si="1">I9/1000000</f>
        <v>1.3913789999999999</v>
      </c>
      <c r="J18" s="135">
        <f t="shared" si="1"/>
        <v>1.3794729999999999</v>
      </c>
      <c r="K18" s="135">
        <f t="shared" si="1"/>
        <v>1.3829180000000001</v>
      </c>
      <c r="L18" s="135">
        <f t="shared" si="1"/>
        <v>1.469363</v>
      </c>
      <c r="M18" s="135">
        <f t="shared" si="1"/>
        <v>1.4171039999999999</v>
      </c>
      <c r="N18" s="135">
        <f t="shared" si="1"/>
        <v>1.483366</v>
      </c>
      <c r="O18" s="135">
        <f t="shared" si="1"/>
        <v>1.439117</v>
      </c>
      <c r="P18" s="135">
        <f t="shared" si="1"/>
        <v>1.4304969999999999</v>
      </c>
      <c r="Q18" s="135">
        <f t="shared" si="1"/>
        <v>1.385805</v>
      </c>
      <c r="R18" s="135">
        <f t="shared" si="1"/>
        <v>1.4395039999999999</v>
      </c>
      <c r="S18" s="135">
        <f t="shared" si="1"/>
        <v>1.4429730000000001</v>
      </c>
      <c r="T18" s="135">
        <f t="shared" si="1"/>
        <v>1.4233720000000001</v>
      </c>
      <c r="U18" s="136">
        <f t="shared" si="1"/>
        <v>1.4233720000000001</v>
      </c>
      <c r="V18" s="136">
        <f t="shared" si="1"/>
        <v>1.4233720000000001</v>
      </c>
      <c r="W18" s="136">
        <f t="shared" si="1"/>
        <v>1.4233720000000001</v>
      </c>
      <c r="X18" s="136">
        <f t="shared" si="1"/>
        <v>1.4233720000000001</v>
      </c>
      <c r="Y18" s="136">
        <f t="shared" si="1"/>
        <v>1.4233720000000001</v>
      </c>
      <c r="Z18" s="136">
        <f t="shared" si="1"/>
        <v>1.4233720000000001</v>
      </c>
      <c r="AA18" s="136">
        <f t="shared" si="1"/>
        <v>1.4233720000000001</v>
      </c>
      <c r="AB18" s="136">
        <f t="shared" si="1"/>
        <v>1.4233720000000001</v>
      </c>
      <c r="AC18" s="136">
        <f t="shared" si="1"/>
        <v>1.4233720000000001</v>
      </c>
      <c r="AD18" s="136">
        <f t="shared" si="1"/>
        <v>1.4233720000000001</v>
      </c>
      <c r="AE18" s="136">
        <f t="shared" si="1"/>
        <v>1.4233720000000001</v>
      </c>
      <c r="AF18" s="136">
        <f t="shared" si="1"/>
        <v>1.4233720000000001</v>
      </c>
      <c r="AG18" s="136">
        <f t="shared" si="1"/>
        <v>1.4233720000000001</v>
      </c>
      <c r="AH18" s="136">
        <f t="shared" si="1"/>
        <v>1.4233720000000001</v>
      </c>
      <c r="AI18" s="136">
        <f t="shared" si="1"/>
        <v>1.4233720000000001</v>
      </c>
      <c r="AJ18" s="136">
        <f t="shared" si="1"/>
        <v>1.4233720000000001</v>
      </c>
      <c r="AK18" s="136">
        <f t="shared" si="1"/>
        <v>1.4233720000000001</v>
      </c>
      <c r="AL18" s="136">
        <f t="shared" si="1"/>
        <v>1.4233720000000001</v>
      </c>
      <c r="AM18" s="136">
        <f t="shared" si="1"/>
        <v>1.4233720000000001</v>
      </c>
      <c r="AN18" s="136">
        <f t="shared" si="1"/>
        <v>1.4233720000000001</v>
      </c>
      <c r="AO18" s="136">
        <f t="shared" si="1"/>
        <v>1.4233720000000001</v>
      </c>
      <c r="AP18" s="136">
        <f t="shared" si="1"/>
        <v>1.4233720000000001</v>
      </c>
      <c r="AQ18" s="136">
        <f t="shared" si="1"/>
        <v>1.4233720000000001</v>
      </c>
      <c r="AR18" s="136">
        <f t="shared" si="1"/>
        <v>1.4233720000000001</v>
      </c>
      <c r="AS18" s="136">
        <f t="shared" si="1"/>
        <v>1.4233720000000001</v>
      </c>
      <c r="AT18" s="136">
        <f t="shared" si="1"/>
        <v>1.4233720000000001</v>
      </c>
      <c r="AU18" s="136">
        <f t="shared" si="1"/>
        <v>1.4233720000000001</v>
      </c>
      <c r="AV18" s="136">
        <f t="shared" si="1"/>
        <v>1.4233720000000001</v>
      </c>
      <c r="AW18" s="136">
        <f t="shared" si="1"/>
        <v>1.4233720000000001</v>
      </c>
      <c r="AX18" s="129"/>
      <c r="AY18" s="11"/>
      <c r="AZ18" s="11"/>
      <c r="BA18" s="11"/>
      <c r="BB18" s="11"/>
      <c r="BC18" s="11"/>
      <c r="BD18" s="11"/>
      <c r="BE18" s="11"/>
      <c r="BF18" s="11"/>
      <c r="BG18" s="11"/>
      <c r="BH18" s="11"/>
      <c r="BI18" s="11"/>
    </row>
    <row r="19" spans="2:61" ht="14.25" customHeight="1" x14ac:dyDescent="0.3">
      <c r="B19" s="982"/>
      <c r="C19" s="944"/>
      <c r="D19" s="125"/>
      <c r="E19" s="130"/>
      <c r="F19" s="128" t="s">
        <v>18</v>
      </c>
      <c r="G19" s="128"/>
      <c r="H19" s="128"/>
      <c r="I19" s="135">
        <f t="shared" ref="I19:AW19" si="2">I10/1000000</f>
        <v>0.99236899999999995</v>
      </c>
      <c r="J19" s="135">
        <f t="shared" si="2"/>
        <v>0.98231199999999996</v>
      </c>
      <c r="K19" s="135">
        <f t="shared" si="2"/>
        <v>1.0208699999999999</v>
      </c>
      <c r="L19" s="135">
        <f t="shared" si="2"/>
        <v>1.003271</v>
      </c>
      <c r="M19" s="135">
        <f t="shared" si="2"/>
        <v>0.876498</v>
      </c>
      <c r="N19" s="135">
        <f t="shared" si="2"/>
        <v>0.95064899999999997</v>
      </c>
      <c r="O19" s="135">
        <f t="shared" si="2"/>
        <v>0.84968500000000002</v>
      </c>
      <c r="P19" s="135">
        <f t="shared" si="2"/>
        <v>0.90422400000000003</v>
      </c>
      <c r="Q19" s="135">
        <f t="shared" si="2"/>
        <v>0.79949400000000004</v>
      </c>
      <c r="R19" s="135">
        <f t="shared" si="2"/>
        <v>0.76970799999999995</v>
      </c>
      <c r="S19" s="135">
        <f t="shared" si="2"/>
        <v>0.82251600000000002</v>
      </c>
      <c r="T19" s="135">
        <f t="shared" si="2"/>
        <v>0.84199400000000002</v>
      </c>
      <c r="U19" s="136">
        <f t="shared" si="2"/>
        <v>0.84199400000000002</v>
      </c>
      <c r="V19" s="136">
        <f t="shared" si="2"/>
        <v>0.84199400000000002</v>
      </c>
      <c r="W19" s="136">
        <f t="shared" si="2"/>
        <v>0.84199400000000002</v>
      </c>
      <c r="X19" s="136">
        <f t="shared" si="2"/>
        <v>0.84199400000000002</v>
      </c>
      <c r="Y19" s="136">
        <f t="shared" si="2"/>
        <v>0.84199400000000002</v>
      </c>
      <c r="Z19" s="136">
        <f t="shared" si="2"/>
        <v>0.84199400000000002</v>
      </c>
      <c r="AA19" s="136">
        <f t="shared" si="2"/>
        <v>0.84199400000000002</v>
      </c>
      <c r="AB19" s="136">
        <f t="shared" si="2"/>
        <v>0.84199400000000002</v>
      </c>
      <c r="AC19" s="136">
        <f t="shared" si="2"/>
        <v>0.84199400000000002</v>
      </c>
      <c r="AD19" s="136">
        <f t="shared" si="2"/>
        <v>0.84199400000000002</v>
      </c>
      <c r="AE19" s="136">
        <f t="shared" si="2"/>
        <v>0.84199400000000002</v>
      </c>
      <c r="AF19" s="136">
        <f t="shared" si="2"/>
        <v>0.84199400000000002</v>
      </c>
      <c r="AG19" s="136">
        <f t="shared" si="2"/>
        <v>0.84199400000000002</v>
      </c>
      <c r="AH19" s="136">
        <f t="shared" si="2"/>
        <v>0.84199400000000002</v>
      </c>
      <c r="AI19" s="136">
        <f t="shared" si="2"/>
        <v>0.84199400000000002</v>
      </c>
      <c r="AJ19" s="136">
        <f t="shared" si="2"/>
        <v>0.84199400000000002</v>
      </c>
      <c r="AK19" s="136">
        <f t="shared" si="2"/>
        <v>0.84199400000000002</v>
      </c>
      <c r="AL19" s="136">
        <f t="shared" si="2"/>
        <v>0.84199400000000002</v>
      </c>
      <c r="AM19" s="136">
        <f t="shared" si="2"/>
        <v>0.84199400000000002</v>
      </c>
      <c r="AN19" s="136">
        <f t="shared" si="2"/>
        <v>0.84199400000000002</v>
      </c>
      <c r="AO19" s="136">
        <f t="shared" si="2"/>
        <v>0.84199400000000002</v>
      </c>
      <c r="AP19" s="136">
        <f t="shared" si="2"/>
        <v>0.84199400000000002</v>
      </c>
      <c r="AQ19" s="136">
        <f t="shared" si="2"/>
        <v>0.84199400000000002</v>
      </c>
      <c r="AR19" s="136">
        <f t="shared" si="2"/>
        <v>0.84199400000000002</v>
      </c>
      <c r="AS19" s="136">
        <f t="shared" si="2"/>
        <v>0.84199400000000002</v>
      </c>
      <c r="AT19" s="136">
        <f t="shared" si="2"/>
        <v>0.84199400000000002</v>
      </c>
      <c r="AU19" s="136">
        <f t="shared" si="2"/>
        <v>0.84199400000000002</v>
      </c>
      <c r="AV19" s="136">
        <f t="shared" si="2"/>
        <v>0.84199400000000002</v>
      </c>
      <c r="AW19" s="136">
        <f t="shared" si="2"/>
        <v>0.84199400000000002</v>
      </c>
      <c r="AX19" s="129"/>
    </row>
    <row r="20" spans="2:61" ht="14.25" customHeight="1" x14ac:dyDescent="0.3">
      <c r="B20" s="982"/>
      <c r="C20" s="944"/>
      <c r="D20" s="125"/>
      <c r="E20" s="130"/>
      <c r="F20" s="128" t="s">
        <v>19</v>
      </c>
      <c r="G20" s="128"/>
      <c r="H20" s="128"/>
      <c r="I20" s="135">
        <f t="shared" ref="I20:AW20" si="3">I11/1000000</f>
        <v>0.19395699999999999</v>
      </c>
      <c r="J20" s="135">
        <f t="shared" si="3"/>
        <v>0.17344200000000001</v>
      </c>
      <c r="K20" s="135">
        <f t="shared" si="3"/>
        <v>0.12698200000000001</v>
      </c>
      <c r="L20" s="135">
        <f t="shared" si="3"/>
        <v>0.191159</v>
      </c>
      <c r="M20" s="135">
        <f t="shared" si="3"/>
        <v>9.3574000000000004E-2</v>
      </c>
      <c r="N20" s="135">
        <f t="shared" si="3"/>
        <v>0.11738999999999999</v>
      </c>
      <c r="O20" s="135">
        <f t="shared" si="3"/>
        <v>0.125946</v>
      </c>
      <c r="P20" s="135">
        <f t="shared" si="3"/>
        <v>0.12926799999999999</v>
      </c>
      <c r="Q20" s="135">
        <f t="shared" si="3"/>
        <v>0.16844600000000001</v>
      </c>
      <c r="R20" s="135">
        <f t="shared" si="3"/>
        <v>0.21949199999999999</v>
      </c>
      <c r="S20" s="135">
        <f t="shared" si="3"/>
        <v>0.21501400000000001</v>
      </c>
      <c r="T20" s="135">
        <f t="shared" si="3"/>
        <v>0.163017</v>
      </c>
      <c r="U20" s="136">
        <f t="shared" si="3"/>
        <v>0.163017</v>
      </c>
      <c r="V20" s="136">
        <f t="shared" si="3"/>
        <v>0.163017</v>
      </c>
      <c r="W20" s="136">
        <f t="shared" si="3"/>
        <v>0.163017</v>
      </c>
      <c r="X20" s="136">
        <f t="shared" si="3"/>
        <v>0.163017</v>
      </c>
      <c r="Y20" s="136">
        <f t="shared" si="3"/>
        <v>0.163017</v>
      </c>
      <c r="Z20" s="136">
        <f t="shared" si="3"/>
        <v>0.163017</v>
      </c>
      <c r="AA20" s="136">
        <f t="shared" si="3"/>
        <v>0.163017</v>
      </c>
      <c r="AB20" s="136">
        <f t="shared" si="3"/>
        <v>0.163017</v>
      </c>
      <c r="AC20" s="136">
        <f t="shared" si="3"/>
        <v>0.163017</v>
      </c>
      <c r="AD20" s="136">
        <f t="shared" si="3"/>
        <v>0.163017</v>
      </c>
      <c r="AE20" s="136">
        <f t="shared" si="3"/>
        <v>0.163017</v>
      </c>
      <c r="AF20" s="136">
        <f t="shared" si="3"/>
        <v>0.163017</v>
      </c>
      <c r="AG20" s="136">
        <f t="shared" si="3"/>
        <v>0.163017</v>
      </c>
      <c r="AH20" s="136">
        <f t="shared" si="3"/>
        <v>0.163017</v>
      </c>
      <c r="AI20" s="136">
        <f t="shared" si="3"/>
        <v>0.163017</v>
      </c>
      <c r="AJ20" s="136">
        <f t="shared" si="3"/>
        <v>0.163017</v>
      </c>
      <c r="AK20" s="136">
        <f t="shared" si="3"/>
        <v>0.163017</v>
      </c>
      <c r="AL20" s="136">
        <f t="shared" si="3"/>
        <v>0.163017</v>
      </c>
      <c r="AM20" s="136">
        <f t="shared" si="3"/>
        <v>0.163017</v>
      </c>
      <c r="AN20" s="136">
        <f t="shared" si="3"/>
        <v>0.163017</v>
      </c>
      <c r="AO20" s="136">
        <f t="shared" si="3"/>
        <v>0.163017</v>
      </c>
      <c r="AP20" s="136">
        <f t="shared" si="3"/>
        <v>0.163017</v>
      </c>
      <c r="AQ20" s="136">
        <f t="shared" si="3"/>
        <v>0.163017</v>
      </c>
      <c r="AR20" s="136">
        <f t="shared" si="3"/>
        <v>0.163017</v>
      </c>
      <c r="AS20" s="136">
        <f t="shared" si="3"/>
        <v>0.163017</v>
      </c>
      <c r="AT20" s="136">
        <f t="shared" si="3"/>
        <v>0.163017</v>
      </c>
      <c r="AU20" s="136">
        <f t="shared" si="3"/>
        <v>0.163017</v>
      </c>
      <c r="AV20" s="136">
        <f t="shared" si="3"/>
        <v>0.163017</v>
      </c>
      <c r="AW20" s="136">
        <f t="shared" si="3"/>
        <v>0.163017</v>
      </c>
      <c r="AX20" s="129"/>
    </row>
    <row r="21" spans="2:61" ht="14.25" customHeight="1" x14ac:dyDescent="0.3">
      <c r="B21" s="982"/>
      <c r="C21" s="944"/>
      <c r="D21" s="125"/>
      <c r="E21" s="130"/>
      <c r="F21" s="128" t="s">
        <v>20</v>
      </c>
      <c r="G21" s="128"/>
      <c r="H21" s="128"/>
      <c r="I21" s="135">
        <f t="shared" ref="I21:AW21" si="4">I12/1000000</f>
        <v>0.217058</v>
      </c>
      <c r="J21" s="135">
        <f t="shared" si="4"/>
        <v>0.21058399999999999</v>
      </c>
      <c r="K21" s="135">
        <f t="shared" si="4"/>
        <v>0.20565700000000001</v>
      </c>
      <c r="L21" s="135">
        <f t="shared" si="4"/>
        <v>0.216225</v>
      </c>
      <c r="M21" s="135">
        <f t="shared" si="4"/>
        <v>0.46817999999999999</v>
      </c>
      <c r="N21" s="135">
        <f t="shared" si="4"/>
        <v>0.61209000000000002</v>
      </c>
      <c r="O21" s="135">
        <f t="shared" si="4"/>
        <v>0.719109</v>
      </c>
      <c r="P21" s="135">
        <f t="shared" si="4"/>
        <v>0.75779099999999999</v>
      </c>
      <c r="Q21" s="135">
        <f t="shared" si="4"/>
        <v>0.79651799999999995</v>
      </c>
      <c r="R21" s="135">
        <f t="shared" si="4"/>
        <v>0.66230500000000003</v>
      </c>
      <c r="S21" s="135">
        <f t="shared" si="4"/>
        <v>0.68147599999999997</v>
      </c>
      <c r="T21" s="135">
        <f t="shared" si="4"/>
        <v>0.71275699999999997</v>
      </c>
      <c r="U21" s="136">
        <f t="shared" si="4"/>
        <v>0.71275699999999997</v>
      </c>
      <c r="V21" s="136">
        <f t="shared" si="4"/>
        <v>0.71275699999999997</v>
      </c>
      <c r="W21" s="136">
        <f t="shared" si="4"/>
        <v>0.71275699999999997</v>
      </c>
      <c r="X21" s="136">
        <f t="shared" si="4"/>
        <v>0.71275699999999997</v>
      </c>
      <c r="Y21" s="136">
        <f t="shared" si="4"/>
        <v>0.71275699999999997</v>
      </c>
      <c r="Z21" s="136">
        <f t="shared" si="4"/>
        <v>0.71275699999999997</v>
      </c>
      <c r="AA21" s="136">
        <f t="shared" si="4"/>
        <v>0.71275699999999997</v>
      </c>
      <c r="AB21" s="136">
        <f t="shared" si="4"/>
        <v>0.71275699999999997</v>
      </c>
      <c r="AC21" s="136">
        <f t="shared" si="4"/>
        <v>0.71275699999999997</v>
      </c>
      <c r="AD21" s="136">
        <f t="shared" si="4"/>
        <v>0.71275699999999997</v>
      </c>
      <c r="AE21" s="136">
        <f t="shared" si="4"/>
        <v>0.71275699999999997</v>
      </c>
      <c r="AF21" s="136">
        <f t="shared" si="4"/>
        <v>0.71275699999999997</v>
      </c>
      <c r="AG21" s="136">
        <f t="shared" si="4"/>
        <v>0.71275699999999997</v>
      </c>
      <c r="AH21" s="136">
        <f t="shared" si="4"/>
        <v>0.71275699999999997</v>
      </c>
      <c r="AI21" s="136">
        <f t="shared" si="4"/>
        <v>0.71275699999999997</v>
      </c>
      <c r="AJ21" s="136">
        <f t="shared" si="4"/>
        <v>0.71275699999999997</v>
      </c>
      <c r="AK21" s="136">
        <f t="shared" si="4"/>
        <v>0.71275699999999997</v>
      </c>
      <c r="AL21" s="136">
        <f t="shared" si="4"/>
        <v>0.71275699999999997</v>
      </c>
      <c r="AM21" s="136">
        <f t="shared" si="4"/>
        <v>0.71275699999999997</v>
      </c>
      <c r="AN21" s="136">
        <f t="shared" si="4"/>
        <v>0.71275699999999997</v>
      </c>
      <c r="AO21" s="136">
        <f t="shared" si="4"/>
        <v>0.71275699999999997</v>
      </c>
      <c r="AP21" s="136">
        <f t="shared" si="4"/>
        <v>0.71275699999999997</v>
      </c>
      <c r="AQ21" s="136">
        <f t="shared" si="4"/>
        <v>0.71275699999999997</v>
      </c>
      <c r="AR21" s="136">
        <f t="shared" si="4"/>
        <v>0.71275699999999997</v>
      </c>
      <c r="AS21" s="136">
        <f t="shared" si="4"/>
        <v>0.71275699999999997</v>
      </c>
      <c r="AT21" s="136">
        <f t="shared" si="4"/>
        <v>0.71275699999999997</v>
      </c>
      <c r="AU21" s="136">
        <f t="shared" si="4"/>
        <v>0.71275699999999997</v>
      </c>
      <c r="AV21" s="136">
        <f t="shared" si="4"/>
        <v>0.71275699999999997</v>
      </c>
      <c r="AW21" s="136">
        <f t="shared" si="4"/>
        <v>0.71275699999999997</v>
      </c>
      <c r="AX21" s="129"/>
      <c r="AY21" s="12"/>
      <c r="AZ21" s="12"/>
      <c r="BA21" s="12"/>
      <c r="BB21" s="12"/>
      <c r="BC21" s="12"/>
      <c r="BD21" s="12"/>
      <c r="BE21" s="12"/>
      <c r="BF21" s="12"/>
      <c r="BG21" s="12"/>
      <c r="BH21" s="12"/>
      <c r="BI21" s="12"/>
    </row>
    <row r="22" spans="2:61" ht="14.25" customHeight="1" x14ac:dyDescent="0.3">
      <c r="B22" s="982"/>
      <c r="C22" s="944"/>
      <c r="D22" s="125"/>
      <c r="E22" s="130"/>
      <c r="F22" s="128" t="s">
        <v>21</v>
      </c>
      <c r="G22" s="128"/>
      <c r="H22" s="128"/>
      <c r="I22" s="135">
        <f t="shared" ref="I22:AW22" si="5">I13/1000000</f>
        <v>0.53947500000000004</v>
      </c>
      <c r="J22" s="135">
        <f t="shared" si="5"/>
        <v>0.56585700000000005</v>
      </c>
      <c r="K22" s="135">
        <f t="shared" si="5"/>
        <v>0.60827200000000003</v>
      </c>
      <c r="L22" s="135">
        <f t="shared" si="5"/>
        <v>0.49189100000000002</v>
      </c>
      <c r="M22" s="135">
        <f t="shared" si="5"/>
        <v>0.49925799999999998</v>
      </c>
      <c r="N22" s="135">
        <f t="shared" si="5"/>
        <v>0.454347</v>
      </c>
      <c r="O22" s="135">
        <f t="shared" si="5"/>
        <v>0.37779099999999999</v>
      </c>
      <c r="P22" s="135">
        <f t="shared" si="5"/>
        <v>0.33241799999999999</v>
      </c>
      <c r="Q22" s="135">
        <f t="shared" si="5"/>
        <v>0.252612</v>
      </c>
      <c r="R22" s="135">
        <f t="shared" si="5"/>
        <v>0.270986</v>
      </c>
      <c r="S22" s="135">
        <f t="shared" si="5"/>
        <v>0.249139</v>
      </c>
      <c r="T22" s="135">
        <f t="shared" si="5"/>
        <v>0.233074</v>
      </c>
      <c r="U22" s="136">
        <f t="shared" si="5"/>
        <v>0.233074</v>
      </c>
      <c r="V22" s="136">
        <f t="shared" si="5"/>
        <v>0.233074</v>
      </c>
      <c r="W22" s="136">
        <f t="shared" si="5"/>
        <v>0.233074</v>
      </c>
      <c r="X22" s="136">
        <f t="shared" si="5"/>
        <v>0.233074</v>
      </c>
      <c r="Y22" s="136">
        <f t="shared" si="5"/>
        <v>0.233074</v>
      </c>
      <c r="Z22" s="136">
        <f t="shared" si="5"/>
        <v>0.233074</v>
      </c>
      <c r="AA22" s="136">
        <f t="shared" si="5"/>
        <v>0.233074</v>
      </c>
      <c r="AB22" s="136">
        <f t="shared" si="5"/>
        <v>0.233074</v>
      </c>
      <c r="AC22" s="136">
        <f t="shared" si="5"/>
        <v>0.233074</v>
      </c>
      <c r="AD22" s="136">
        <f t="shared" si="5"/>
        <v>0.233074</v>
      </c>
      <c r="AE22" s="136">
        <f t="shared" si="5"/>
        <v>0.233074</v>
      </c>
      <c r="AF22" s="136">
        <f t="shared" si="5"/>
        <v>0.233074</v>
      </c>
      <c r="AG22" s="136">
        <f t="shared" si="5"/>
        <v>0.233074</v>
      </c>
      <c r="AH22" s="136">
        <f t="shared" si="5"/>
        <v>0.233074</v>
      </c>
      <c r="AI22" s="136">
        <f t="shared" si="5"/>
        <v>0.233074</v>
      </c>
      <c r="AJ22" s="136">
        <f t="shared" si="5"/>
        <v>0.233074</v>
      </c>
      <c r="AK22" s="136">
        <f t="shared" si="5"/>
        <v>0.233074</v>
      </c>
      <c r="AL22" s="136">
        <f t="shared" si="5"/>
        <v>0.233074</v>
      </c>
      <c r="AM22" s="136">
        <f t="shared" si="5"/>
        <v>0.233074</v>
      </c>
      <c r="AN22" s="136">
        <f t="shared" si="5"/>
        <v>0.233074</v>
      </c>
      <c r="AO22" s="136">
        <f t="shared" si="5"/>
        <v>0.233074</v>
      </c>
      <c r="AP22" s="136">
        <f t="shared" si="5"/>
        <v>0.233074</v>
      </c>
      <c r="AQ22" s="136">
        <f t="shared" si="5"/>
        <v>0.233074</v>
      </c>
      <c r="AR22" s="136">
        <f t="shared" si="5"/>
        <v>0.233074</v>
      </c>
      <c r="AS22" s="136">
        <f t="shared" si="5"/>
        <v>0.233074</v>
      </c>
      <c r="AT22" s="136">
        <f t="shared" si="5"/>
        <v>0.233074</v>
      </c>
      <c r="AU22" s="136">
        <f t="shared" si="5"/>
        <v>0.233074</v>
      </c>
      <c r="AV22" s="136">
        <f t="shared" si="5"/>
        <v>0.233074</v>
      </c>
      <c r="AW22" s="136">
        <f t="shared" si="5"/>
        <v>0.233074</v>
      </c>
      <c r="AX22" s="129"/>
    </row>
    <row r="23" spans="2:61" ht="14.25" customHeight="1" x14ac:dyDescent="0.3">
      <c r="B23" s="982"/>
      <c r="C23" s="944"/>
      <c r="D23" s="125"/>
      <c r="E23" s="130"/>
      <c r="F23" s="128" t="s">
        <v>22</v>
      </c>
      <c r="G23" s="128"/>
      <c r="H23" s="128"/>
      <c r="I23" s="135">
        <f t="shared" ref="I23:AW23" si="6">I14/1000000</f>
        <v>3.4099520000000001</v>
      </c>
      <c r="J23" s="135">
        <f t="shared" si="6"/>
        <v>3.4254120000000001</v>
      </c>
      <c r="K23" s="135">
        <f t="shared" si="6"/>
        <v>3.5530080000000002</v>
      </c>
      <c r="L23" s="135">
        <f t="shared" si="6"/>
        <v>3.2273209999999999</v>
      </c>
      <c r="M23" s="135">
        <f t="shared" si="6"/>
        <v>2.2594470000000002</v>
      </c>
      <c r="N23" s="135">
        <f t="shared" si="6"/>
        <v>2.5314420000000002</v>
      </c>
      <c r="O23" s="135">
        <f t="shared" si="6"/>
        <v>2.3005390000000001</v>
      </c>
      <c r="P23" s="135">
        <f t="shared" si="6"/>
        <v>2.4476339999999999</v>
      </c>
      <c r="Q23" s="135">
        <f t="shared" si="6"/>
        <v>2.3790420000000001</v>
      </c>
      <c r="R23" s="135">
        <f t="shared" si="6"/>
        <v>1.9854940000000001</v>
      </c>
      <c r="S23" s="135">
        <f t="shared" si="6"/>
        <v>2.0677949999999998</v>
      </c>
      <c r="T23" s="135">
        <f t="shared" si="6"/>
        <v>2.3765510000000001</v>
      </c>
      <c r="U23" s="136">
        <f t="shared" si="6"/>
        <v>2.3765510000000001</v>
      </c>
      <c r="V23" s="136">
        <f t="shared" si="6"/>
        <v>2.3765510000000001</v>
      </c>
      <c r="W23" s="136">
        <f t="shared" si="6"/>
        <v>2.3765510000000001</v>
      </c>
      <c r="X23" s="136">
        <f t="shared" si="6"/>
        <v>2.3765510000000001</v>
      </c>
      <c r="Y23" s="136">
        <f t="shared" si="6"/>
        <v>2.3765510000000001</v>
      </c>
      <c r="Z23" s="136">
        <f t="shared" si="6"/>
        <v>2.3765510000000001</v>
      </c>
      <c r="AA23" s="136">
        <f t="shared" si="6"/>
        <v>2.3765510000000001</v>
      </c>
      <c r="AB23" s="136">
        <f t="shared" si="6"/>
        <v>2.3765510000000001</v>
      </c>
      <c r="AC23" s="136">
        <f t="shared" si="6"/>
        <v>2.3765510000000001</v>
      </c>
      <c r="AD23" s="136">
        <f t="shared" si="6"/>
        <v>2.3765510000000001</v>
      </c>
      <c r="AE23" s="136">
        <f t="shared" si="6"/>
        <v>2.3765510000000001</v>
      </c>
      <c r="AF23" s="136">
        <f t="shared" si="6"/>
        <v>2.3765510000000001</v>
      </c>
      <c r="AG23" s="136">
        <f t="shared" si="6"/>
        <v>2.3765510000000001</v>
      </c>
      <c r="AH23" s="136">
        <f t="shared" si="6"/>
        <v>2.3765510000000001</v>
      </c>
      <c r="AI23" s="136">
        <f t="shared" si="6"/>
        <v>2.3765510000000001</v>
      </c>
      <c r="AJ23" s="136">
        <f t="shared" si="6"/>
        <v>2.3765510000000001</v>
      </c>
      <c r="AK23" s="136">
        <f t="shared" si="6"/>
        <v>2.3765510000000001</v>
      </c>
      <c r="AL23" s="136">
        <f t="shared" si="6"/>
        <v>2.3765510000000001</v>
      </c>
      <c r="AM23" s="136">
        <f t="shared" si="6"/>
        <v>2.3765510000000001</v>
      </c>
      <c r="AN23" s="136">
        <f t="shared" si="6"/>
        <v>2.3765510000000001</v>
      </c>
      <c r="AO23" s="136">
        <f t="shared" si="6"/>
        <v>2.3765510000000001</v>
      </c>
      <c r="AP23" s="136">
        <f t="shared" si="6"/>
        <v>2.3765510000000001</v>
      </c>
      <c r="AQ23" s="136">
        <f t="shared" si="6"/>
        <v>2.3765510000000001</v>
      </c>
      <c r="AR23" s="136">
        <f t="shared" si="6"/>
        <v>2.3765510000000001</v>
      </c>
      <c r="AS23" s="136">
        <f t="shared" si="6"/>
        <v>2.3765510000000001</v>
      </c>
      <c r="AT23" s="136">
        <f t="shared" si="6"/>
        <v>2.3765510000000001</v>
      </c>
      <c r="AU23" s="136">
        <f t="shared" si="6"/>
        <v>2.3765510000000001</v>
      </c>
      <c r="AV23" s="136">
        <f t="shared" si="6"/>
        <v>2.3765510000000001</v>
      </c>
      <c r="AW23" s="136">
        <f t="shared" si="6"/>
        <v>2.3765510000000001</v>
      </c>
      <c r="AX23" s="129"/>
    </row>
    <row r="24" spans="2:61" ht="14.25" customHeight="1" x14ac:dyDescent="0.3">
      <c r="B24" s="982"/>
      <c r="C24" s="944"/>
      <c r="D24" s="125"/>
      <c r="E24" s="130"/>
      <c r="F24" s="128" t="s">
        <v>23</v>
      </c>
      <c r="G24" s="128"/>
      <c r="H24" s="128"/>
      <c r="I24" s="135">
        <f t="shared" ref="I24:AW24" si="7">I15/1000000</f>
        <v>1.5099720000000001</v>
      </c>
      <c r="J24" s="135">
        <f t="shared" si="7"/>
        <v>1.3855470000000001</v>
      </c>
      <c r="K24" s="135">
        <f t="shared" si="7"/>
        <v>1.423114</v>
      </c>
      <c r="L24" s="135">
        <f t="shared" si="7"/>
        <v>1.623359</v>
      </c>
      <c r="M24" s="135">
        <f t="shared" si="7"/>
        <v>0.82833299999999999</v>
      </c>
      <c r="N24" s="135">
        <f t="shared" si="7"/>
        <v>0.70677699999999999</v>
      </c>
      <c r="O24" s="135">
        <f t="shared" si="7"/>
        <v>0.80049599999999999</v>
      </c>
      <c r="P24" s="135">
        <f t="shared" si="7"/>
        <v>0.67791100000000004</v>
      </c>
      <c r="Q24" s="135">
        <f t="shared" si="7"/>
        <v>0.71527300000000005</v>
      </c>
      <c r="R24" s="135">
        <f t="shared" si="7"/>
        <v>0.91584299999999996</v>
      </c>
      <c r="S24" s="135">
        <f t="shared" si="7"/>
        <v>0.84131999999999996</v>
      </c>
      <c r="T24" s="135">
        <f t="shared" si="7"/>
        <v>0.64613900000000002</v>
      </c>
      <c r="U24" s="136">
        <f t="shared" si="7"/>
        <v>0.64613900000000002</v>
      </c>
      <c r="V24" s="136">
        <f t="shared" si="7"/>
        <v>0.64613900000000002</v>
      </c>
      <c r="W24" s="136">
        <f t="shared" si="7"/>
        <v>0.64613900000000002</v>
      </c>
      <c r="X24" s="136">
        <f t="shared" si="7"/>
        <v>0.64613900000000002</v>
      </c>
      <c r="Y24" s="136">
        <f t="shared" si="7"/>
        <v>0.64613900000000002</v>
      </c>
      <c r="Z24" s="136">
        <f t="shared" si="7"/>
        <v>0.64613900000000002</v>
      </c>
      <c r="AA24" s="136">
        <f t="shared" si="7"/>
        <v>0.64613900000000002</v>
      </c>
      <c r="AB24" s="136">
        <f t="shared" si="7"/>
        <v>0.64613900000000002</v>
      </c>
      <c r="AC24" s="136">
        <f t="shared" si="7"/>
        <v>0.64613900000000002</v>
      </c>
      <c r="AD24" s="136">
        <f t="shared" si="7"/>
        <v>0.64613900000000002</v>
      </c>
      <c r="AE24" s="136">
        <f t="shared" si="7"/>
        <v>0.64613900000000002</v>
      </c>
      <c r="AF24" s="136">
        <f t="shared" si="7"/>
        <v>0.64613900000000002</v>
      </c>
      <c r="AG24" s="136">
        <f t="shared" si="7"/>
        <v>0.64613900000000002</v>
      </c>
      <c r="AH24" s="136">
        <f t="shared" si="7"/>
        <v>0.64613900000000002</v>
      </c>
      <c r="AI24" s="136">
        <f t="shared" si="7"/>
        <v>0.64613900000000002</v>
      </c>
      <c r="AJ24" s="136">
        <f t="shared" si="7"/>
        <v>0.64613900000000002</v>
      </c>
      <c r="AK24" s="136">
        <f t="shared" si="7"/>
        <v>0.64613900000000002</v>
      </c>
      <c r="AL24" s="136">
        <f t="shared" si="7"/>
        <v>0.64613900000000002</v>
      </c>
      <c r="AM24" s="136">
        <f t="shared" si="7"/>
        <v>0.64613900000000002</v>
      </c>
      <c r="AN24" s="136">
        <f t="shared" si="7"/>
        <v>0.64613900000000002</v>
      </c>
      <c r="AO24" s="136">
        <f t="shared" si="7"/>
        <v>0.64613900000000002</v>
      </c>
      <c r="AP24" s="136">
        <f t="shared" si="7"/>
        <v>0.64613900000000002</v>
      </c>
      <c r="AQ24" s="136">
        <f t="shared" si="7"/>
        <v>0.64613900000000002</v>
      </c>
      <c r="AR24" s="136">
        <f t="shared" si="7"/>
        <v>0.64613900000000002</v>
      </c>
      <c r="AS24" s="136">
        <f t="shared" si="7"/>
        <v>0.64613900000000002</v>
      </c>
      <c r="AT24" s="136">
        <f t="shared" si="7"/>
        <v>0.64613900000000002</v>
      </c>
      <c r="AU24" s="136">
        <f t="shared" si="7"/>
        <v>0.64613900000000002</v>
      </c>
      <c r="AV24" s="136">
        <f t="shared" si="7"/>
        <v>0.64613900000000002</v>
      </c>
      <c r="AW24" s="136">
        <f t="shared" si="7"/>
        <v>0.64613900000000002</v>
      </c>
      <c r="AX24" s="129"/>
    </row>
    <row r="25" spans="2:61" ht="14.25" customHeight="1" x14ac:dyDescent="0.3">
      <c r="B25" s="13"/>
      <c r="C25" s="13"/>
      <c r="D25" s="137"/>
      <c r="E25" s="138"/>
      <c r="F25" s="139" t="s">
        <v>24</v>
      </c>
      <c r="G25" s="139"/>
      <c r="H25" s="139"/>
      <c r="I25" s="140">
        <f t="shared" ref="I25:AW25" si="8">SUM(I17:I24)</f>
        <v>11.758289</v>
      </c>
      <c r="J25" s="140">
        <f t="shared" si="8"/>
        <v>11.659081</v>
      </c>
      <c r="K25" s="140">
        <f t="shared" si="8"/>
        <v>11.903877</v>
      </c>
      <c r="L25" s="140">
        <f t="shared" si="8"/>
        <v>11.761013</v>
      </c>
      <c r="M25" s="140">
        <f t="shared" si="8"/>
        <v>12.201253000000001</v>
      </c>
      <c r="N25" s="140">
        <f t="shared" si="8"/>
        <v>12.585860000000002</v>
      </c>
      <c r="O25" s="140">
        <f t="shared" si="8"/>
        <v>12.385973000000002</v>
      </c>
      <c r="P25" s="140">
        <f t="shared" si="8"/>
        <v>12.355144999999998</v>
      </c>
      <c r="Q25" s="140">
        <f t="shared" si="8"/>
        <v>12.237831</v>
      </c>
      <c r="R25" s="140">
        <f t="shared" si="8"/>
        <v>12.304228</v>
      </c>
      <c r="S25" s="140">
        <f t="shared" si="8"/>
        <v>12.432556999999999</v>
      </c>
      <c r="T25" s="140">
        <f t="shared" si="8"/>
        <v>12.297464</v>
      </c>
      <c r="U25" s="141">
        <f t="shared" si="8"/>
        <v>12.297464</v>
      </c>
      <c r="V25" s="141">
        <f t="shared" si="8"/>
        <v>12.297464</v>
      </c>
      <c r="W25" s="141">
        <f t="shared" si="8"/>
        <v>12.297464</v>
      </c>
      <c r="X25" s="141">
        <f t="shared" si="8"/>
        <v>12.297464</v>
      </c>
      <c r="Y25" s="141">
        <f t="shared" si="8"/>
        <v>12.297464</v>
      </c>
      <c r="Z25" s="141">
        <f t="shared" si="8"/>
        <v>12.297464</v>
      </c>
      <c r="AA25" s="141">
        <f t="shared" si="8"/>
        <v>12.297464</v>
      </c>
      <c r="AB25" s="141">
        <f t="shared" si="8"/>
        <v>12.297464</v>
      </c>
      <c r="AC25" s="141">
        <f t="shared" si="8"/>
        <v>12.297464</v>
      </c>
      <c r="AD25" s="141">
        <f t="shared" si="8"/>
        <v>12.297464</v>
      </c>
      <c r="AE25" s="141">
        <f t="shared" si="8"/>
        <v>12.297464</v>
      </c>
      <c r="AF25" s="141">
        <f t="shared" si="8"/>
        <v>12.297464</v>
      </c>
      <c r="AG25" s="141">
        <f t="shared" si="8"/>
        <v>12.297464</v>
      </c>
      <c r="AH25" s="141">
        <f t="shared" si="8"/>
        <v>12.297464</v>
      </c>
      <c r="AI25" s="141">
        <f t="shared" si="8"/>
        <v>12.297464</v>
      </c>
      <c r="AJ25" s="141">
        <f t="shared" si="8"/>
        <v>12.297464</v>
      </c>
      <c r="AK25" s="141">
        <f t="shared" si="8"/>
        <v>12.297464</v>
      </c>
      <c r="AL25" s="141">
        <f t="shared" si="8"/>
        <v>12.297464</v>
      </c>
      <c r="AM25" s="141">
        <f t="shared" si="8"/>
        <v>12.297464</v>
      </c>
      <c r="AN25" s="141">
        <f t="shared" si="8"/>
        <v>12.297464</v>
      </c>
      <c r="AO25" s="141">
        <f t="shared" si="8"/>
        <v>12.297464</v>
      </c>
      <c r="AP25" s="141">
        <f t="shared" si="8"/>
        <v>12.297464</v>
      </c>
      <c r="AQ25" s="141">
        <f t="shared" si="8"/>
        <v>12.297464</v>
      </c>
      <c r="AR25" s="141">
        <f t="shared" si="8"/>
        <v>12.297464</v>
      </c>
      <c r="AS25" s="141">
        <f t="shared" si="8"/>
        <v>12.297464</v>
      </c>
      <c r="AT25" s="141">
        <f t="shared" si="8"/>
        <v>12.297464</v>
      </c>
      <c r="AU25" s="141">
        <f t="shared" si="8"/>
        <v>12.297464</v>
      </c>
      <c r="AV25" s="141">
        <f t="shared" si="8"/>
        <v>12.297464</v>
      </c>
      <c r="AW25" s="141">
        <f t="shared" si="8"/>
        <v>12.297464</v>
      </c>
      <c r="AX25" s="142"/>
      <c r="AY25" s="14"/>
      <c r="AZ25" s="14"/>
      <c r="BA25" s="14"/>
      <c r="BB25" s="14"/>
      <c r="BC25" s="14"/>
      <c r="BD25" s="14"/>
      <c r="BE25" s="14"/>
      <c r="BF25" s="14"/>
      <c r="BG25" s="14"/>
      <c r="BH25" s="14"/>
      <c r="BI25" s="14"/>
    </row>
    <row r="26" spans="2:61" ht="14.25" customHeight="1" x14ac:dyDescent="0.3">
      <c r="B26" s="944"/>
      <c r="C26" s="944"/>
      <c r="D26" s="15"/>
      <c r="E26" s="143"/>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6"/>
    </row>
    <row r="27" spans="2:61" ht="14.25" customHeight="1" x14ac:dyDescent="0.3">
      <c r="B27" s="944"/>
      <c r="C27" s="944"/>
      <c r="D27" s="944"/>
      <c r="E27" s="944"/>
      <c r="F27" s="45"/>
      <c r="G27" s="45"/>
      <c r="H27" s="45"/>
      <c r="I27" s="8"/>
      <c r="J27" s="8"/>
      <c r="K27" s="8"/>
      <c r="L27" s="8"/>
      <c r="M27" s="8"/>
      <c r="N27" s="8"/>
      <c r="O27" s="8"/>
      <c r="P27" s="8"/>
      <c r="Q27" s="8"/>
      <c r="R27" s="8"/>
      <c r="S27" s="8"/>
      <c r="T27" s="8"/>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row>
    <row r="28" spans="2:61" ht="15.75" customHeight="1" x14ac:dyDescent="0.3">
      <c r="B28" s="944"/>
      <c r="C28" s="944"/>
      <c r="D28" s="981" t="s">
        <v>25</v>
      </c>
      <c r="E28" s="982"/>
      <c r="F28" s="982"/>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row>
    <row r="29" spans="2:61" ht="14.25" customHeight="1" x14ac:dyDescent="0.3">
      <c r="B29" s="944"/>
      <c r="C29" s="944"/>
      <c r="D29" s="17"/>
      <c r="E29" s="17"/>
      <c r="F29" s="18"/>
      <c r="G29" s="45"/>
      <c r="H29" s="45"/>
      <c r="I29" s="8"/>
      <c r="J29" s="8"/>
      <c r="K29" s="8"/>
      <c r="L29" s="8"/>
      <c r="M29" s="8"/>
      <c r="N29" s="8"/>
      <c r="O29" s="8"/>
      <c r="P29" s="8"/>
      <c r="Q29" s="8"/>
      <c r="R29" s="8"/>
      <c r="S29" s="8"/>
      <c r="T29" s="8"/>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row>
    <row r="30" spans="2:61" ht="14.25" customHeight="1" x14ac:dyDescent="0.3">
      <c r="B30" s="944"/>
      <c r="C30" s="944"/>
      <c r="D30" s="9"/>
      <c r="E30" s="123"/>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0"/>
    </row>
    <row r="31" spans="2:61" ht="14.25" customHeight="1" x14ac:dyDescent="0.3">
      <c r="B31" s="944"/>
      <c r="C31" s="944"/>
      <c r="D31" s="125"/>
      <c r="E31" s="126" t="s">
        <v>3</v>
      </c>
      <c r="F31" s="127" t="s">
        <v>26</v>
      </c>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9"/>
    </row>
    <row r="32" spans="2:61" ht="14.25" customHeight="1" x14ac:dyDescent="0.3">
      <c r="B32" s="944"/>
      <c r="C32" s="944"/>
      <c r="D32" s="125"/>
      <c r="E32" s="130"/>
      <c r="F32" s="131" t="s">
        <v>27</v>
      </c>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9"/>
    </row>
    <row r="33" spans="1:61" ht="14.25" customHeight="1" x14ac:dyDescent="0.3">
      <c r="B33" s="983" t="s">
        <v>28</v>
      </c>
      <c r="C33" s="944"/>
      <c r="D33" s="125"/>
      <c r="E33" s="130"/>
      <c r="F33" s="128" t="s">
        <v>29</v>
      </c>
      <c r="G33" s="128"/>
      <c r="H33" s="128"/>
      <c r="I33" s="145">
        <v>0.79579217000000002</v>
      </c>
      <c r="J33" s="145">
        <v>0.79579217000000002</v>
      </c>
      <c r="K33" s="145">
        <v>0.79579217000000002</v>
      </c>
      <c r="L33" s="145">
        <v>0.79579217000000002</v>
      </c>
      <c r="M33" s="145">
        <v>0.79579217000000002</v>
      </c>
      <c r="N33" s="145">
        <v>0.79579217000000002</v>
      </c>
      <c r="O33" s="145">
        <v>0.79579217000000002</v>
      </c>
      <c r="P33" s="145">
        <v>0.79579217000000002</v>
      </c>
      <c r="Q33" s="145">
        <v>0.79579217000000002</v>
      </c>
      <c r="R33" s="145">
        <v>0.79579217000000002</v>
      </c>
      <c r="S33" s="145">
        <v>0.79579217000000002</v>
      </c>
      <c r="T33" s="145">
        <v>0.79579217000000002</v>
      </c>
      <c r="U33" s="146">
        <v>0.79579217000000002</v>
      </c>
      <c r="V33" s="146">
        <v>0.79579217000000002</v>
      </c>
      <c r="W33" s="146">
        <v>0.79579217000000002</v>
      </c>
      <c r="X33" s="146">
        <v>0.79579217000000002</v>
      </c>
      <c r="Y33" s="146">
        <v>0.79579217000000002</v>
      </c>
      <c r="Z33" s="146">
        <v>0.79579217000000002</v>
      </c>
      <c r="AA33" s="146">
        <v>0.79579217000000002</v>
      </c>
      <c r="AB33" s="146">
        <v>0.79579217000000002</v>
      </c>
      <c r="AC33" s="146">
        <v>0.79579217000000002</v>
      </c>
      <c r="AD33" s="146">
        <v>0.79579217000000002</v>
      </c>
      <c r="AE33" s="146">
        <v>0.79579217000000002</v>
      </c>
      <c r="AF33" s="146">
        <v>0.79579217000000002</v>
      </c>
      <c r="AG33" s="146">
        <v>0.79579217000000002</v>
      </c>
      <c r="AH33" s="146">
        <v>0.79579217000000002</v>
      </c>
      <c r="AI33" s="146">
        <v>0.79579217000000002</v>
      </c>
      <c r="AJ33" s="146">
        <v>0.79579217000000002</v>
      </c>
      <c r="AK33" s="146">
        <v>0.79579217000000002</v>
      </c>
      <c r="AL33" s="146">
        <v>0.79579217000000002</v>
      </c>
      <c r="AM33" s="146">
        <v>0.79579217000000002</v>
      </c>
      <c r="AN33" s="146">
        <v>0.79579217000000002</v>
      </c>
      <c r="AO33" s="146">
        <v>0.79579217000000002</v>
      </c>
      <c r="AP33" s="146">
        <v>0.79579217000000002</v>
      </c>
      <c r="AQ33" s="146">
        <v>0.79579217000000002</v>
      </c>
      <c r="AR33" s="146">
        <v>0.79579217000000002</v>
      </c>
      <c r="AS33" s="146">
        <v>0.79579217000000002</v>
      </c>
      <c r="AT33" s="146">
        <v>0.79579217000000002</v>
      </c>
      <c r="AU33" s="146">
        <v>0.79579217000000002</v>
      </c>
      <c r="AV33" s="146">
        <v>0.79579217000000002</v>
      </c>
      <c r="AW33" s="146">
        <v>0.79579217000000002</v>
      </c>
      <c r="AX33" s="129"/>
    </row>
    <row r="34" spans="1:61" ht="14.25" customHeight="1" x14ac:dyDescent="0.3">
      <c r="B34" s="982"/>
      <c r="C34" s="944"/>
      <c r="D34" s="125"/>
      <c r="E34" s="130"/>
      <c r="F34" s="128" t="s">
        <v>30</v>
      </c>
      <c r="G34" s="128"/>
      <c r="H34" s="128"/>
      <c r="I34" s="145">
        <v>2.2633933100000001</v>
      </c>
      <c r="J34" s="145">
        <v>2.2794223700000003</v>
      </c>
      <c r="K34" s="145">
        <v>2.2794223700000003</v>
      </c>
      <c r="L34" s="145">
        <v>2.2794223700000003</v>
      </c>
      <c r="M34" s="145">
        <v>2.3725856800000003</v>
      </c>
      <c r="N34" s="145">
        <v>2.3725856800000003</v>
      </c>
      <c r="O34" s="145">
        <v>2.37473125</v>
      </c>
      <c r="P34" s="145">
        <v>2.37473125</v>
      </c>
      <c r="Q34" s="145">
        <v>2.4084734000000001</v>
      </c>
      <c r="R34" s="145">
        <v>2.40882109</v>
      </c>
      <c r="S34" s="145">
        <v>2.40882109</v>
      </c>
      <c r="T34" s="145">
        <v>2.4117234999999999</v>
      </c>
      <c r="U34" s="146">
        <v>2.4117234999999999</v>
      </c>
      <c r="V34" s="146">
        <v>2.4117234999999999</v>
      </c>
      <c r="W34" s="146">
        <v>2.4117234999999999</v>
      </c>
      <c r="X34" s="146">
        <v>2.4117234999999999</v>
      </c>
      <c r="Y34" s="146">
        <v>2.4117234999999999</v>
      </c>
      <c r="Z34" s="146">
        <v>2.4117234999999999</v>
      </c>
      <c r="AA34" s="146">
        <v>2.4117234999999999</v>
      </c>
      <c r="AB34" s="146">
        <v>2.4117234999999999</v>
      </c>
      <c r="AC34" s="146">
        <v>2.4117234999999999</v>
      </c>
      <c r="AD34" s="146">
        <v>2.4117234999999999</v>
      </c>
      <c r="AE34" s="146">
        <v>2.4117234999999999</v>
      </c>
      <c r="AF34" s="146">
        <v>2.4117234999999999</v>
      </c>
      <c r="AG34" s="146">
        <v>2.4117234999999999</v>
      </c>
      <c r="AH34" s="146">
        <v>2.4117234999999999</v>
      </c>
      <c r="AI34" s="146">
        <v>2.4117234999999999</v>
      </c>
      <c r="AJ34" s="146">
        <v>2.4117234999999999</v>
      </c>
      <c r="AK34" s="146">
        <v>2.4117234999999999</v>
      </c>
      <c r="AL34" s="146">
        <v>2.4117234999999999</v>
      </c>
      <c r="AM34" s="146">
        <v>2.4117234999999999</v>
      </c>
      <c r="AN34" s="146">
        <v>2.4117234999999999</v>
      </c>
      <c r="AO34" s="146">
        <v>2.4117234999999999</v>
      </c>
      <c r="AP34" s="146">
        <v>2.4117234999999999</v>
      </c>
      <c r="AQ34" s="146">
        <v>2.4117234999999999</v>
      </c>
      <c r="AR34" s="146">
        <v>2.4117234999999999</v>
      </c>
      <c r="AS34" s="146">
        <v>2.4117234999999999</v>
      </c>
      <c r="AT34" s="146">
        <v>2.4117234999999999</v>
      </c>
      <c r="AU34" s="146">
        <v>2.4117234999999999</v>
      </c>
      <c r="AV34" s="146">
        <v>2.4117234999999999</v>
      </c>
      <c r="AW34" s="146">
        <v>2.4117234999999999</v>
      </c>
      <c r="AX34" s="129"/>
    </row>
    <row r="35" spans="1:61" ht="14.25" customHeight="1" x14ac:dyDescent="0.3">
      <c r="B35" s="982"/>
      <c r="C35" s="944"/>
      <c r="D35" s="125"/>
      <c r="E35" s="130"/>
      <c r="F35" s="128" t="s">
        <v>31</v>
      </c>
      <c r="G35" s="128"/>
      <c r="H35" s="128"/>
      <c r="I35" s="145">
        <v>1.8351788900000003</v>
      </c>
      <c r="J35" s="145">
        <v>1.8351788900000003</v>
      </c>
      <c r="K35" s="145">
        <v>1.8383960400000003</v>
      </c>
      <c r="L35" s="145">
        <v>1.8383960400000003</v>
      </c>
      <c r="M35" s="145">
        <v>1.8383960400000003</v>
      </c>
      <c r="N35" s="145">
        <v>1.8383960400000003</v>
      </c>
      <c r="O35" s="145">
        <v>1.8383960400000003</v>
      </c>
      <c r="P35" s="145">
        <v>1.8914898600000003</v>
      </c>
      <c r="Q35" s="145">
        <v>1.8934445100000001</v>
      </c>
      <c r="R35" s="145">
        <v>1.9224890200000002</v>
      </c>
      <c r="S35" s="145">
        <v>1.9272791500000002</v>
      </c>
      <c r="T35" s="145">
        <v>1.95791001</v>
      </c>
      <c r="U35" s="146">
        <v>1.95791001</v>
      </c>
      <c r="V35" s="146">
        <v>1.95791001</v>
      </c>
      <c r="W35" s="146">
        <v>1.95791001</v>
      </c>
      <c r="X35" s="146">
        <v>1.95791001</v>
      </c>
      <c r="Y35" s="146">
        <v>1.95791001</v>
      </c>
      <c r="Z35" s="146">
        <v>1.95791001</v>
      </c>
      <c r="AA35" s="146">
        <v>1.95791001</v>
      </c>
      <c r="AB35" s="146">
        <v>1.95791001</v>
      </c>
      <c r="AC35" s="146">
        <v>1.95791001</v>
      </c>
      <c r="AD35" s="146">
        <v>1.95791001</v>
      </c>
      <c r="AE35" s="146">
        <v>1.95791001</v>
      </c>
      <c r="AF35" s="146">
        <v>1.95791001</v>
      </c>
      <c r="AG35" s="146">
        <v>1.95791001</v>
      </c>
      <c r="AH35" s="146">
        <v>1.95791001</v>
      </c>
      <c r="AI35" s="146">
        <v>1.95791001</v>
      </c>
      <c r="AJ35" s="146">
        <v>1.95791001</v>
      </c>
      <c r="AK35" s="146">
        <v>1.95791001</v>
      </c>
      <c r="AL35" s="146">
        <v>1.95791001</v>
      </c>
      <c r="AM35" s="146">
        <v>1.95791001</v>
      </c>
      <c r="AN35" s="146">
        <v>1.95791001</v>
      </c>
      <c r="AO35" s="146">
        <v>1.95791001</v>
      </c>
      <c r="AP35" s="146">
        <v>1.95791001</v>
      </c>
      <c r="AQ35" s="146">
        <v>1.95791001</v>
      </c>
      <c r="AR35" s="146">
        <v>1.95791001</v>
      </c>
      <c r="AS35" s="146">
        <v>1.95791001</v>
      </c>
      <c r="AT35" s="146">
        <v>1.95791001</v>
      </c>
      <c r="AU35" s="146">
        <v>1.95791001</v>
      </c>
      <c r="AV35" s="146">
        <v>1.95791001</v>
      </c>
      <c r="AW35" s="146">
        <v>1.95791001</v>
      </c>
      <c r="AX35" s="129"/>
    </row>
    <row r="36" spans="1:61" ht="14.25" customHeight="1" x14ac:dyDescent="0.3">
      <c r="B36" s="982"/>
      <c r="C36" s="944"/>
      <c r="D36" s="125"/>
      <c r="E36" s="130"/>
      <c r="F36" s="128" t="s">
        <v>32</v>
      </c>
      <c r="G36" s="128"/>
      <c r="H36" s="128"/>
      <c r="I36" s="145">
        <v>0.37320953000000001</v>
      </c>
      <c r="J36" s="145">
        <v>0.37568765999999998</v>
      </c>
      <c r="K36" s="145">
        <v>0.38884295999999996</v>
      </c>
      <c r="L36" s="145">
        <v>0.38884295999999996</v>
      </c>
      <c r="M36" s="145">
        <v>0.38884295999999996</v>
      </c>
      <c r="N36" s="145">
        <v>0.53110941</v>
      </c>
      <c r="O36" s="145">
        <v>0.57106191000000006</v>
      </c>
      <c r="P36" s="145">
        <v>0.57106191000000006</v>
      </c>
      <c r="Q36" s="145">
        <v>0.57106191000000006</v>
      </c>
      <c r="R36" s="145">
        <v>0.57106191000000006</v>
      </c>
      <c r="S36" s="145">
        <v>0.57106191000000006</v>
      </c>
      <c r="T36" s="145">
        <v>0.57106191000000006</v>
      </c>
      <c r="U36" s="146">
        <v>0.57106191000000006</v>
      </c>
      <c r="V36" s="146">
        <v>0.57106191000000006</v>
      </c>
      <c r="W36" s="146">
        <v>0.57106191000000006</v>
      </c>
      <c r="X36" s="146">
        <v>0.57106191000000006</v>
      </c>
      <c r="Y36" s="146">
        <v>0.57106191000000006</v>
      </c>
      <c r="Z36" s="146">
        <v>0.57106191000000006</v>
      </c>
      <c r="AA36" s="146">
        <v>0.57106191000000006</v>
      </c>
      <c r="AB36" s="146">
        <v>0.57106191000000006</v>
      </c>
      <c r="AC36" s="146">
        <v>0.57106191000000006</v>
      </c>
      <c r="AD36" s="146">
        <v>0.57106191000000006</v>
      </c>
      <c r="AE36" s="146">
        <v>0.57106191000000006</v>
      </c>
      <c r="AF36" s="146">
        <v>0.57106191000000006</v>
      </c>
      <c r="AG36" s="146">
        <v>0.57106191000000006</v>
      </c>
      <c r="AH36" s="146">
        <v>0.57106191000000006</v>
      </c>
      <c r="AI36" s="146">
        <v>0.57106191000000006</v>
      </c>
      <c r="AJ36" s="146">
        <v>0.57106191000000006</v>
      </c>
      <c r="AK36" s="146">
        <v>0.57106191000000006</v>
      </c>
      <c r="AL36" s="146">
        <v>0.57106191000000006</v>
      </c>
      <c r="AM36" s="146">
        <v>0.57106191000000006</v>
      </c>
      <c r="AN36" s="146">
        <v>0.57106191000000006</v>
      </c>
      <c r="AO36" s="146">
        <v>0.57106191000000006</v>
      </c>
      <c r="AP36" s="146">
        <v>0.57106191000000006</v>
      </c>
      <c r="AQ36" s="146">
        <v>0.57106191000000006</v>
      </c>
      <c r="AR36" s="146">
        <v>0.57106191000000006</v>
      </c>
      <c r="AS36" s="146">
        <v>0.57106191000000006</v>
      </c>
      <c r="AT36" s="146">
        <v>0.57106191000000006</v>
      </c>
      <c r="AU36" s="146">
        <v>0.57106191000000006</v>
      </c>
      <c r="AV36" s="146">
        <v>0.57106191000000006</v>
      </c>
      <c r="AW36" s="146">
        <v>0.57106191000000006</v>
      </c>
      <c r="AX36" s="129"/>
    </row>
    <row r="37" spans="1:61" ht="14.25" customHeight="1" x14ac:dyDescent="0.3">
      <c r="B37" s="944"/>
      <c r="C37" s="944"/>
      <c r="D37" s="15"/>
      <c r="E37" s="143"/>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6"/>
    </row>
    <row r="38" spans="1:61" ht="14.25" customHeight="1" x14ac:dyDescent="0.3">
      <c r="B38" s="944"/>
      <c r="C38" s="944"/>
      <c r="D38" s="944"/>
      <c r="E38" s="944"/>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row>
    <row r="39" spans="1:61" ht="15.75" customHeight="1" x14ac:dyDescent="0.3">
      <c r="B39" s="944"/>
      <c r="C39" s="944"/>
      <c r="D39" s="981" t="s">
        <v>33</v>
      </c>
      <c r="E39" s="982"/>
      <c r="F39" s="982"/>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row>
    <row r="40" spans="1:61" ht="14.25" customHeight="1" x14ac:dyDescent="0.3">
      <c r="B40" s="944"/>
      <c r="C40" s="944"/>
      <c r="D40" s="17"/>
      <c r="E40" s="17"/>
      <c r="F40" s="18"/>
      <c r="G40" s="45"/>
      <c r="H40" s="45"/>
      <c r="I40" s="8"/>
      <c r="J40" s="8"/>
      <c r="K40" s="8"/>
      <c r="L40" s="8"/>
      <c r="M40" s="8"/>
      <c r="N40" s="8"/>
      <c r="O40" s="8"/>
      <c r="P40" s="8"/>
      <c r="Q40" s="8"/>
      <c r="R40" s="8"/>
      <c r="S40" s="8"/>
      <c r="T40" s="8"/>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row>
    <row r="41" spans="1:61" ht="14.25" customHeight="1" x14ac:dyDescent="0.3">
      <c r="A41" s="147" t="s">
        <v>34</v>
      </c>
      <c r="B41" s="944"/>
      <c r="C41" s="984"/>
      <c r="D41" s="123"/>
      <c r="E41" s="123"/>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0"/>
    </row>
    <row r="42" spans="1:61" ht="14.25" customHeight="1" x14ac:dyDescent="0.3">
      <c r="B42" s="944"/>
      <c r="C42" s="985"/>
      <c r="D42" s="125"/>
      <c r="E42" s="126" t="s">
        <v>3</v>
      </c>
      <c r="F42" s="127" t="s">
        <v>35</v>
      </c>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9"/>
    </row>
    <row r="43" spans="1:61" ht="14.25" hidden="1" customHeight="1" x14ac:dyDescent="0.3">
      <c r="B43" s="944"/>
      <c r="C43" s="985"/>
      <c r="D43" s="125"/>
      <c r="E43" s="130"/>
      <c r="F43" s="131" t="s">
        <v>36</v>
      </c>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9"/>
    </row>
    <row r="44" spans="1:61" ht="14.25" hidden="1" customHeight="1" x14ac:dyDescent="0.35">
      <c r="B44" s="983" t="s">
        <v>37</v>
      </c>
      <c r="C44" s="19"/>
      <c r="D44" s="986" t="s">
        <v>38</v>
      </c>
      <c r="E44" s="976"/>
      <c r="F44" s="128" t="s">
        <v>39</v>
      </c>
      <c r="G44" s="132">
        <v>13038367.32</v>
      </c>
      <c r="H44" s="128"/>
      <c r="I44" s="132"/>
      <c r="J44" s="132"/>
      <c r="K44" s="132"/>
      <c r="L44" s="132"/>
      <c r="M44" s="132">
        <v>12753386.910000002</v>
      </c>
      <c r="N44" s="947"/>
      <c r="O44" s="947">
        <v>12631197.689999999</v>
      </c>
      <c r="P44" s="947"/>
      <c r="Q44" s="947">
        <v>12514339.529999999</v>
      </c>
      <c r="R44" s="947"/>
      <c r="S44" s="947"/>
      <c r="T44" s="947"/>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29"/>
      <c r="AY44" s="11"/>
      <c r="AZ44" s="11"/>
      <c r="BA44" s="11"/>
      <c r="BB44" s="11"/>
      <c r="BC44" s="11"/>
      <c r="BD44" s="11"/>
      <c r="BE44" s="11"/>
      <c r="BF44" s="11"/>
      <c r="BG44" s="11"/>
      <c r="BH44" s="11"/>
      <c r="BI44" s="11"/>
    </row>
    <row r="45" spans="1:61" ht="14.25" hidden="1" customHeight="1" x14ac:dyDescent="0.35">
      <c r="B45" s="982"/>
      <c r="C45" s="948"/>
      <c r="D45" s="979"/>
      <c r="E45" s="980"/>
      <c r="F45" s="128" t="s">
        <v>40</v>
      </c>
      <c r="G45" s="132">
        <v>62196.93</v>
      </c>
      <c r="H45" s="128"/>
      <c r="I45" s="132"/>
      <c r="J45" s="132"/>
      <c r="K45" s="132"/>
      <c r="L45" s="132"/>
      <c r="M45" s="132">
        <v>130072.41000000002</v>
      </c>
      <c r="N45" s="947"/>
      <c r="O45" s="947">
        <v>123719.94</v>
      </c>
      <c r="P45" s="947"/>
      <c r="Q45" s="947">
        <v>121995.27</v>
      </c>
      <c r="R45" s="947"/>
      <c r="S45" s="947"/>
      <c r="T45" s="947"/>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29"/>
      <c r="AY45" s="11"/>
      <c r="AZ45" s="11"/>
      <c r="BA45" s="11"/>
      <c r="BB45" s="11"/>
      <c r="BC45" s="11"/>
      <c r="BD45" s="11"/>
      <c r="BE45" s="11"/>
      <c r="BF45" s="11"/>
      <c r="BG45" s="11"/>
      <c r="BH45" s="11"/>
      <c r="BI45" s="11"/>
    </row>
    <row r="46" spans="1:61" ht="14.25" hidden="1" customHeight="1" x14ac:dyDescent="0.3">
      <c r="B46" s="982"/>
      <c r="C46" s="987"/>
      <c r="D46" s="975" t="s">
        <v>41</v>
      </c>
      <c r="E46" s="976"/>
      <c r="F46" s="128" t="s">
        <v>42</v>
      </c>
      <c r="G46" s="132">
        <v>611941.94999999995</v>
      </c>
      <c r="H46" s="128"/>
      <c r="I46" s="132"/>
      <c r="J46" s="947"/>
      <c r="K46" s="947"/>
      <c r="L46" s="947"/>
      <c r="M46" s="132">
        <v>1094904.6299999997</v>
      </c>
      <c r="N46" s="947"/>
      <c r="O46" s="993">
        <v>8933864.4900000002</v>
      </c>
      <c r="P46" s="947"/>
      <c r="Q46" s="992">
        <v>8999553.2400000002</v>
      </c>
      <c r="R46" s="947"/>
      <c r="S46" s="947"/>
      <c r="T46" s="947"/>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29"/>
    </row>
    <row r="47" spans="1:61" ht="14.25" hidden="1" customHeight="1" x14ac:dyDescent="0.3">
      <c r="B47" s="982"/>
      <c r="C47" s="985"/>
      <c r="D47" s="977"/>
      <c r="E47" s="978"/>
      <c r="F47" s="128" t="s">
        <v>43</v>
      </c>
      <c r="G47" s="132">
        <v>260389.08</v>
      </c>
      <c r="H47" s="128"/>
      <c r="I47" s="132"/>
      <c r="J47" s="947"/>
      <c r="K47" s="947"/>
      <c r="L47" s="947"/>
      <c r="M47" s="132">
        <v>480131.91000000009</v>
      </c>
      <c r="N47" s="947"/>
      <c r="O47" s="977"/>
      <c r="P47" s="947"/>
      <c r="Q47" s="977"/>
      <c r="R47" s="947"/>
      <c r="S47" s="947"/>
      <c r="T47" s="947"/>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29"/>
    </row>
    <row r="48" spans="1:61" ht="14.25" hidden="1" customHeight="1" x14ac:dyDescent="0.3">
      <c r="B48" s="982"/>
      <c r="C48" s="985"/>
      <c r="D48" s="977"/>
      <c r="E48" s="978"/>
      <c r="F48" s="128" t="s">
        <v>44</v>
      </c>
      <c r="G48" s="132">
        <v>167305.59</v>
      </c>
      <c r="H48" s="128"/>
      <c r="I48" s="132"/>
      <c r="J48" s="947"/>
      <c r="K48" s="947"/>
      <c r="L48" s="947"/>
      <c r="M48" s="132">
        <v>917407.35000000009</v>
      </c>
      <c r="N48" s="947"/>
      <c r="O48" s="977"/>
      <c r="P48" s="947"/>
      <c r="Q48" s="977"/>
      <c r="R48" s="947"/>
      <c r="S48" s="947"/>
      <c r="T48" s="947"/>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29"/>
      <c r="AY48" s="12"/>
      <c r="AZ48" s="12"/>
      <c r="BA48" s="12"/>
      <c r="BB48" s="12"/>
      <c r="BC48" s="12"/>
      <c r="BD48" s="12"/>
      <c r="BE48" s="12"/>
      <c r="BF48" s="12"/>
      <c r="BG48" s="12"/>
      <c r="BH48" s="12"/>
      <c r="BI48" s="12"/>
    </row>
    <row r="49" spans="1:61" ht="14.25" hidden="1" customHeight="1" x14ac:dyDescent="0.3">
      <c r="B49" s="982"/>
      <c r="C49" s="985"/>
      <c r="D49" s="977"/>
      <c r="E49" s="978"/>
      <c r="F49" s="128" t="s">
        <v>45</v>
      </c>
      <c r="G49" s="132">
        <v>1454890.32</v>
      </c>
      <c r="H49" s="128"/>
      <c r="I49" s="132"/>
      <c r="J49" s="947"/>
      <c r="K49" s="947"/>
      <c r="L49" s="947"/>
      <c r="M49" s="132">
        <v>4959938.7</v>
      </c>
      <c r="N49" s="947"/>
      <c r="O49" s="977"/>
      <c r="P49" s="947"/>
      <c r="Q49" s="977"/>
      <c r="R49" s="947"/>
      <c r="S49" s="947"/>
      <c r="T49" s="947"/>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29"/>
    </row>
    <row r="50" spans="1:61" ht="14.25" hidden="1" customHeight="1" x14ac:dyDescent="0.35">
      <c r="B50" s="982"/>
      <c r="C50" s="985"/>
      <c r="D50" s="979"/>
      <c r="E50" s="980"/>
      <c r="F50" s="128" t="s">
        <v>46</v>
      </c>
      <c r="G50" s="132">
        <v>6337045.3499999996</v>
      </c>
      <c r="H50" s="128"/>
      <c r="I50" s="132"/>
      <c r="J50" s="132"/>
      <c r="K50" s="132"/>
      <c r="L50" s="132"/>
      <c r="M50" s="132">
        <v>1266774.3000000003</v>
      </c>
      <c r="N50" s="947"/>
      <c r="O50" s="977"/>
      <c r="P50" s="947"/>
      <c r="Q50" s="977"/>
      <c r="R50" s="947"/>
      <c r="S50" s="947"/>
      <c r="T50" s="947"/>
      <c r="U50" s="12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29"/>
      <c r="AY50" s="11"/>
      <c r="AZ50" s="11"/>
      <c r="BA50" s="11"/>
      <c r="BB50" s="11"/>
      <c r="BC50" s="11"/>
      <c r="BD50" s="11"/>
      <c r="BE50" s="11"/>
      <c r="BF50" s="11"/>
      <c r="BG50" s="11"/>
      <c r="BH50" s="11"/>
      <c r="BI50" s="11"/>
    </row>
    <row r="51" spans="1:61" ht="14.25" hidden="1" customHeight="1" x14ac:dyDescent="0.35">
      <c r="B51" s="982"/>
      <c r="C51" s="948"/>
      <c r="D51" s="975" t="s">
        <v>47</v>
      </c>
      <c r="E51" s="976"/>
      <c r="F51" s="128" t="s">
        <v>48</v>
      </c>
      <c r="G51" s="132">
        <v>587499.84</v>
      </c>
      <c r="H51" s="128"/>
      <c r="I51" s="132"/>
      <c r="J51" s="135"/>
      <c r="K51" s="135"/>
      <c r="L51" s="135"/>
      <c r="M51" s="132">
        <v>810626.93999999983</v>
      </c>
      <c r="N51" s="135"/>
      <c r="O51" s="947">
        <v>763180.11</v>
      </c>
      <c r="P51" s="135"/>
      <c r="Q51" s="947">
        <v>768908.61</v>
      </c>
      <c r="R51" s="135"/>
      <c r="S51" s="135"/>
      <c r="T51" s="135"/>
      <c r="U51" s="128"/>
      <c r="V51" s="12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8"/>
      <c r="AX51" s="129"/>
      <c r="AY51" s="11"/>
      <c r="AZ51" s="11"/>
      <c r="BA51" s="11"/>
      <c r="BB51" s="11"/>
      <c r="BC51" s="11"/>
      <c r="BD51" s="11"/>
      <c r="BE51" s="11"/>
      <c r="BF51" s="11"/>
      <c r="BG51" s="11"/>
      <c r="BH51" s="11"/>
      <c r="BI51" s="11"/>
    </row>
    <row r="52" spans="1:61" ht="14.25" hidden="1" customHeight="1" x14ac:dyDescent="0.35">
      <c r="B52" s="982"/>
      <c r="C52" s="948"/>
      <c r="D52" s="977"/>
      <c r="E52" s="978"/>
      <c r="F52" s="128" t="s">
        <v>49</v>
      </c>
      <c r="G52" s="132">
        <v>109528.02</v>
      </c>
      <c r="H52" s="128"/>
      <c r="I52" s="132"/>
      <c r="J52" s="135"/>
      <c r="K52" s="135"/>
      <c r="L52" s="135"/>
      <c r="M52" s="132">
        <v>89167.14</v>
      </c>
      <c r="N52" s="135"/>
      <c r="O52" s="947">
        <v>83035.17</v>
      </c>
      <c r="P52" s="135"/>
      <c r="Q52" s="947">
        <v>85768.2</v>
      </c>
      <c r="R52" s="135"/>
      <c r="S52" s="135"/>
      <c r="T52" s="135"/>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29"/>
      <c r="AY52" s="11"/>
      <c r="AZ52" s="11"/>
      <c r="BA52" s="11"/>
      <c r="BB52" s="11"/>
      <c r="BC52" s="11"/>
      <c r="BD52" s="11"/>
      <c r="BE52" s="11"/>
      <c r="BF52" s="11"/>
      <c r="BG52" s="11"/>
      <c r="BH52" s="11"/>
      <c r="BI52" s="11"/>
    </row>
    <row r="53" spans="1:61" ht="14.25" hidden="1" customHeight="1" x14ac:dyDescent="0.3">
      <c r="B53" s="982"/>
      <c r="C53" s="948"/>
      <c r="D53" s="979"/>
      <c r="E53" s="980"/>
      <c r="F53" s="128" t="s">
        <v>50</v>
      </c>
      <c r="G53" s="132">
        <v>1465935.84</v>
      </c>
      <c r="H53" s="128"/>
      <c r="I53" s="132"/>
      <c r="J53" s="135"/>
      <c r="K53" s="135"/>
      <c r="L53" s="135"/>
      <c r="M53" s="132">
        <v>1523970.09</v>
      </c>
      <c r="N53" s="135"/>
      <c r="O53" s="947">
        <v>1515272.49</v>
      </c>
      <c r="P53" s="135"/>
      <c r="Q53" s="947">
        <v>1521159.66</v>
      </c>
      <c r="R53" s="135"/>
      <c r="S53" s="135"/>
      <c r="T53" s="13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29"/>
    </row>
    <row r="54" spans="1:61" ht="14.25" hidden="1" customHeight="1" x14ac:dyDescent="0.3">
      <c r="B54" s="982"/>
      <c r="C54" s="948"/>
      <c r="D54" s="975" t="s">
        <v>51</v>
      </c>
      <c r="E54" s="976"/>
      <c r="F54" s="128" t="s">
        <v>52</v>
      </c>
      <c r="G54" s="132">
        <v>348472.62</v>
      </c>
      <c r="H54" s="128"/>
      <c r="I54" s="132"/>
      <c r="J54" s="135"/>
      <c r="K54" s="135"/>
      <c r="L54" s="135"/>
      <c r="M54" s="132">
        <v>305169.38999999996</v>
      </c>
      <c r="N54" s="135"/>
      <c r="O54" s="947">
        <v>295476.12</v>
      </c>
      <c r="P54" s="135"/>
      <c r="Q54" s="947">
        <v>291292.2</v>
      </c>
      <c r="R54" s="135"/>
      <c r="S54" s="135"/>
      <c r="T54" s="13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29"/>
    </row>
    <row r="55" spans="1:61" ht="14.25" hidden="1" customHeight="1" x14ac:dyDescent="0.3">
      <c r="B55" s="982"/>
      <c r="C55" s="948"/>
      <c r="D55" s="979"/>
      <c r="E55" s="980"/>
      <c r="F55" s="128" t="s">
        <v>53</v>
      </c>
      <c r="G55" s="132">
        <v>157677.57</v>
      </c>
      <c r="H55" s="128"/>
      <c r="I55" s="132"/>
      <c r="J55" s="135"/>
      <c r="K55" s="135"/>
      <c r="L55" s="135"/>
      <c r="M55" s="132">
        <v>199934.1</v>
      </c>
      <c r="N55" s="135"/>
      <c r="O55" s="947">
        <v>199287.27</v>
      </c>
      <c r="P55" s="135"/>
      <c r="Q55" s="947">
        <v>200705.67</v>
      </c>
      <c r="R55" s="135"/>
      <c r="S55" s="135"/>
      <c r="T55" s="13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29"/>
      <c r="AY55" s="12"/>
      <c r="AZ55" s="12"/>
      <c r="BA55" s="12"/>
      <c r="BB55" s="12"/>
      <c r="BC55" s="12"/>
      <c r="BD55" s="12"/>
      <c r="BE55" s="12"/>
      <c r="BF55" s="12"/>
      <c r="BG55" s="12"/>
      <c r="BH55" s="12"/>
      <c r="BI55" s="12"/>
    </row>
    <row r="56" spans="1:61" ht="14.25" hidden="1" customHeight="1" x14ac:dyDescent="0.3">
      <c r="B56" s="982"/>
      <c r="C56" s="948"/>
      <c r="D56" s="975" t="s">
        <v>54</v>
      </c>
      <c r="E56" s="976"/>
      <c r="F56" s="128" t="s">
        <v>55</v>
      </c>
      <c r="G56" s="132">
        <v>165538.44</v>
      </c>
      <c r="H56" s="128"/>
      <c r="I56" s="132"/>
      <c r="J56" s="135"/>
      <c r="K56" s="135"/>
      <c r="L56" s="135"/>
      <c r="M56" s="132">
        <v>224935.38000000003</v>
      </c>
      <c r="N56" s="135"/>
      <c r="O56" s="947">
        <v>229182.39</v>
      </c>
      <c r="P56" s="135"/>
      <c r="Q56" s="947">
        <v>255251.97</v>
      </c>
      <c r="R56" s="135"/>
      <c r="S56" s="135"/>
      <c r="T56" s="13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29"/>
    </row>
    <row r="57" spans="1:61" ht="14.25" hidden="1" customHeight="1" x14ac:dyDescent="0.3">
      <c r="B57" s="982"/>
      <c r="C57" s="948"/>
      <c r="D57" s="979"/>
      <c r="E57" s="980"/>
      <c r="F57" s="128" t="s">
        <v>56</v>
      </c>
      <c r="G57" s="132">
        <v>11615.85</v>
      </c>
      <c r="H57" s="128"/>
      <c r="I57" s="132"/>
      <c r="J57" s="145"/>
      <c r="K57" s="145"/>
      <c r="L57" s="145"/>
      <c r="M57" s="132">
        <v>21206.79</v>
      </c>
      <c r="N57" s="145"/>
      <c r="O57" s="947">
        <v>23884.2</v>
      </c>
      <c r="P57" s="145"/>
      <c r="Q57" s="947">
        <v>30656.25</v>
      </c>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29"/>
    </row>
    <row r="58" spans="1:61" ht="14.25" hidden="1" customHeight="1" x14ac:dyDescent="0.3">
      <c r="B58" s="982"/>
      <c r="C58" s="948"/>
      <c r="D58" s="986" t="s">
        <v>57</v>
      </c>
      <c r="E58" s="976"/>
      <c r="F58" s="128" t="s">
        <v>58</v>
      </c>
      <c r="G58" s="132">
        <v>109686.69</v>
      </c>
      <c r="H58" s="128"/>
      <c r="I58" s="132"/>
      <c r="J58" s="135"/>
      <c r="K58" s="135"/>
      <c r="L58" s="135"/>
      <c r="M58" s="132">
        <v>112568.04000000002</v>
      </c>
      <c r="N58" s="135"/>
      <c r="O58" s="947">
        <v>93841.919999999998</v>
      </c>
      <c r="P58" s="135"/>
      <c r="Q58" s="947">
        <v>102446.37</v>
      </c>
      <c r="R58" s="135"/>
      <c r="S58" s="135"/>
      <c r="T58" s="13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29"/>
      <c r="AY58" s="12"/>
      <c r="AZ58" s="12"/>
      <c r="BA58" s="12"/>
      <c r="BB58" s="12"/>
      <c r="BC58" s="12"/>
      <c r="BD58" s="12"/>
      <c r="BE58" s="12"/>
      <c r="BF58" s="12"/>
      <c r="BG58" s="12"/>
      <c r="BH58" s="12"/>
      <c r="BI58" s="12"/>
    </row>
    <row r="59" spans="1:61" ht="14.25" hidden="1" customHeight="1" x14ac:dyDescent="0.3">
      <c r="B59" s="982"/>
      <c r="C59" s="948"/>
      <c r="D59" s="977"/>
      <c r="E59" s="978"/>
      <c r="F59" s="128" t="s">
        <v>59</v>
      </c>
      <c r="G59" s="132">
        <v>9968.49</v>
      </c>
      <c r="H59" s="128"/>
      <c r="I59" s="132"/>
      <c r="J59" s="135"/>
      <c r="K59" s="135"/>
      <c r="L59" s="135"/>
      <c r="M59" s="132">
        <v>7865.73</v>
      </c>
      <c r="N59" s="135"/>
      <c r="O59" s="947">
        <v>6279.21</v>
      </c>
      <c r="P59" s="135"/>
      <c r="Q59" s="947">
        <v>6144.03</v>
      </c>
      <c r="R59" s="135"/>
      <c r="S59" s="135"/>
      <c r="T59" s="13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29"/>
    </row>
    <row r="60" spans="1:61" ht="14.25" hidden="1" customHeight="1" x14ac:dyDescent="0.3">
      <c r="B60" s="982"/>
      <c r="C60" s="948"/>
      <c r="D60" s="979"/>
      <c r="E60" s="980"/>
      <c r="F60" s="128" t="s">
        <v>60</v>
      </c>
      <c r="G60" s="132">
        <v>0</v>
      </c>
      <c r="H60" s="128"/>
      <c r="I60" s="132"/>
      <c r="J60" s="145"/>
      <c r="K60" s="145"/>
      <c r="L60" s="145"/>
      <c r="M60" s="132">
        <v>0</v>
      </c>
      <c r="N60" s="145"/>
      <c r="O60" s="947">
        <v>0</v>
      </c>
      <c r="P60" s="145"/>
      <c r="Q60" s="947">
        <v>0</v>
      </c>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29"/>
    </row>
    <row r="61" spans="1:61" ht="14.25" hidden="1" customHeight="1" x14ac:dyDescent="0.3">
      <c r="B61" s="13"/>
      <c r="C61" s="149"/>
      <c r="D61" s="138"/>
      <c r="E61" s="138"/>
      <c r="F61" s="139" t="s">
        <v>61</v>
      </c>
      <c r="G61" s="150">
        <f>SUM(G44:G60)</f>
        <v>24898059.900000002</v>
      </c>
      <c r="H61" s="150"/>
      <c r="I61" s="150"/>
      <c r="J61" s="150"/>
      <c r="K61" s="150"/>
      <c r="L61" s="150"/>
      <c r="M61" s="150">
        <f>SUM(M44:M60)</f>
        <v>24898059.810000002</v>
      </c>
      <c r="N61" s="150"/>
      <c r="O61" s="150">
        <f>SUM(O44:O60)</f>
        <v>24898221</v>
      </c>
      <c r="P61" s="150"/>
      <c r="Q61" s="150">
        <f>SUM(Q44:Q60)</f>
        <v>24898221</v>
      </c>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2"/>
      <c r="AY61" s="14"/>
      <c r="AZ61" s="14"/>
      <c r="BA61" s="14"/>
      <c r="BB61" s="14"/>
      <c r="BC61" s="14"/>
      <c r="BD61" s="14"/>
      <c r="BE61" s="14"/>
      <c r="BF61" s="14"/>
      <c r="BG61" s="14"/>
      <c r="BH61" s="14"/>
      <c r="BI61" s="14"/>
    </row>
    <row r="62" spans="1:61" ht="14.25" customHeight="1" x14ac:dyDescent="0.3">
      <c r="B62" s="944"/>
      <c r="C62" s="151"/>
      <c r="D62" s="125"/>
      <c r="E62" s="130"/>
      <c r="F62" s="131" t="s">
        <v>62</v>
      </c>
      <c r="G62" s="128"/>
      <c r="H62" s="128"/>
      <c r="I62" s="128"/>
      <c r="J62" s="128"/>
      <c r="K62" s="128"/>
      <c r="L62" s="128"/>
      <c r="M62" s="128"/>
      <c r="N62" s="128"/>
      <c r="O62" s="943"/>
      <c r="P62" s="128"/>
      <c r="Q62" s="943"/>
      <c r="R62" s="943"/>
      <c r="S62" s="943"/>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28"/>
      <c r="AQ62" s="128"/>
      <c r="AR62" s="128"/>
      <c r="AS62" s="128"/>
      <c r="AT62" s="128"/>
      <c r="AU62" s="128"/>
      <c r="AV62" s="128"/>
      <c r="AW62" s="128"/>
      <c r="AX62" s="129"/>
    </row>
    <row r="63" spans="1:61" ht="32.25" customHeight="1" x14ac:dyDescent="0.3">
      <c r="B63" s="944"/>
      <c r="C63" s="152" t="s">
        <v>63</v>
      </c>
      <c r="D63" s="1005" t="s">
        <v>64</v>
      </c>
      <c r="E63" s="1006"/>
      <c r="F63" s="20" t="s">
        <v>65</v>
      </c>
      <c r="G63" s="128"/>
      <c r="H63" s="128"/>
      <c r="I63" s="132"/>
      <c r="J63" s="145"/>
      <c r="K63" s="145"/>
      <c r="L63" s="145"/>
      <c r="M63" s="145"/>
      <c r="N63" s="145"/>
      <c r="O63" s="145"/>
      <c r="P63" s="145"/>
      <c r="Q63" s="947"/>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29"/>
    </row>
    <row r="64" spans="1:61" ht="14.25" customHeight="1" x14ac:dyDescent="0.35">
      <c r="A64" t="s">
        <v>66</v>
      </c>
      <c r="B64" s="983" t="s">
        <v>37</v>
      </c>
      <c r="C64" s="984" t="s">
        <v>67</v>
      </c>
      <c r="D64" s="1010" t="s">
        <v>38</v>
      </c>
      <c r="E64" s="978"/>
      <c r="F64" s="128" t="s">
        <v>68</v>
      </c>
      <c r="G64" s="943">
        <f t="shared" ref="G64:G65" si="9">G44/1000000</f>
        <v>13.038367320000001</v>
      </c>
      <c r="H64" s="943"/>
      <c r="I64" s="943"/>
      <c r="J64" s="943"/>
      <c r="K64" s="943"/>
      <c r="L64" s="943"/>
      <c r="M64" s="943">
        <f t="shared" ref="M64:M65" si="10">M44/1000000</f>
        <v>12.753386910000001</v>
      </c>
      <c r="N64" s="943"/>
      <c r="O64" s="943">
        <f t="shared" ref="O64:O65" si="11">O44/1000000</f>
        <v>12.631197689999999</v>
      </c>
      <c r="P64" s="943"/>
      <c r="Q64" s="943">
        <f t="shared" ref="Q64:Q65" si="12">Q44/1000000</f>
        <v>12.514339529999999</v>
      </c>
      <c r="R64" s="943">
        <f>Q64*(1-0.0046)</f>
        <v>12.456773568161999</v>
      </c>
      <c r="S64" s="943">
        <f t="shared" ref="S64:AW64" si="13">R64*(1-0.0046)</f>
        <v>12.399472409748453</v>
      </c>
      <c r="T64" s="943">
        <f t="shared" si="13"/>
        <v>12.34243483666361</v>
      </c>
      <c r="U64" s="943">
        <f t="shared" si="13"/>
        <v>12.285659636414957</v>
      </c>
      <c r="V64" s="943">
        <f t="shared" si="13"/>
        <v>12.229145602087447</v>
      </c>
      <c r="W64" s="943">
        <f t="shared" si="13"/>
        <v>12.172891532317845</v>
      </c>
      <c r="X64" s="943">
        <f t="shared" si="13"/>
        <v>12.116896231269182</v>
      </c>
      <c r="Y64" s="943">
        <f t="shared" si="13"/>
        <v>12.061158508605343</v>
      </c>
      <c r="Z64" s="943">
        <f t="shared" si="13"/>
        <v>12.005677179465758</v>
      </c>
      <c r="AA64" s="943">
        <f t="shared" si="13"/>
        <v>11.950451064440216</v>
      </c>
      <c r="AB64" s="943">
        <f t="shared" si="13"/>
        <v>11.89547898954379</v>
      </c>
      <c r="AC64" s="943">
        <f t="shared" si="13"/>
        <v>11.840759786191887</v>
      </c>
      <c r="AD64" s="943">
        <f t="shared" si="13"/>
        <v>11.786292291175403</v>
      </c>
      <c r="AE64" s="943">
        <f t="shared" si="13"/>
        <v>11.732075346635996</v>
      </c>
      <c r="AF64" s="943">
        <f t="shared" si="13"/>
        <v>11.67810780004147</v>
      </c>
      <c r="AG64" s="943">
        <f t="shared" si="13"/>
        <v>11.62438850416128</v>
      </c>
      <c r="AH64" s="943">
        <f t="shared" si="13"/>
        <v>11.570916317042137</v>
      </c>
      <c r="AI64" s="943">
        <f t="shared" si="13"/>
        <v>11.517690101983742</v>
      </c>
      <c r="AJ64" s="943">
        <f t="shared" si="13"/>
        <v>11.464708727514617</v>
      </c>
      <c r="AK64" s="943">
        <f t="shared" si="13"/>
        <v>11.41197106736805</v>
      </c>
      <c r="AL64" s="943">
        <f t="shared" si="13"/>
        <v>11.359476000458157</v>
      </c>
      <c r="AM64" s="943">
        <f t="shared" si="13"/>
        <v>11.307222410856049</v>
      </c>
      <c r="AN64" s="943">
        <f t="shared" si="13"/>
        <v>11.255209187766111</v>
      </c>
      <c r="AO64" s="943">
        <f t="shared" si="13"/>
        <v>11.203435225502385</v>
      </c>
      <c r="AP64" s="943">
        <f t="shared" si="13"/>
        <v>11.151899423465075</v>
      </c>
      <c r="AQ64" s="943">
        <f t="shared" si="13"/>
        <v>11.100600686117135</v>
      </c>
      <c r="AR64" s="943">
        <f t="shared" si="13"/>
        <v>11.049537922960996</v>
      </c>
      <c r="AS64" s="943">
        <f t="shared" si="13"/>
        <v>10.998710048515374</v>
      </c>
      <c r="AT64" s="943">
        <f t="shared" si="13"/>
        <v>10.948115982292203</v>
      </c>
      <c r="AU64" s="943">
        <f t="shared" si="13"/>
        <v>10.897754648773658</v>
      </c>
      <c r="AV64" s="943">
        <f t="shared" si="13"/>
        <v>10.847624977389298</v>
      </c>
      <c r="AW64" s="943">
        <f t="shared" si="13"/>
        <v>10.797725902493307</v>
      </c>
      <c r="AX64" s="129"/>
      <c r="AY64" s="11"/>
      <c r="AZ64" s="11"/>
      <c r="BA64" s="11"/>
      <c r="BB64" s="11"/>
      <c r="BC64" s="11"/>
      <c r="BD64" s="11"/>
      <c r="BE64" s="11"/>
      <c r="BF64" s="11"/>
      <c r="BG64" s="11"/>
      <c r="BH64" s="11"/>
      <c r="BI64" s="11"/>
    </row>
    <row r="65" spans="1:61" ht="14.25" customHeight="1" x14ac:dyDescent="0.35">
      <c r="A65" t="s">
        <v>69</v>
      </c>
      <c r="B65" s="982"/>
      <c r="C65" s="1003"/>
      <c r="D65" s="979"/>
      <c r="E65" s="980"/>
      <c r="F65" s="128" t="s">
        <v>70</v>
      </c>
      <c r="G65" s="943">
        <f t="shared" si="9"/>
        <v>6.2196929999999997E-2</v>
      </c>
      <c r="H65" s="128"/>
      <c r="I65" s="943"/>
      <c r="J65" s="943"/>
      <c r="K65" s="943"/>
      <c r="L65" s="943"/>
      <c r="M65" s="943">
        <f t="shared" si="10"/>
        <v>0.13007241000000003</v>
      </c>
      <c r="N65" s="943"/>
      <c r="O65" s="943">
        <f t="shared" si="11"/>
        <v>0.12371994</v>
      </c>
      <c r="P65" s="943"/>
      <c r="Q65" s="943">
        <f t="shared" si="12"/>
        <v>0.12199527</v>
      </c>
      <c r="R65" s="943" t="e">
        <f>Q65*(1+(#REF!+5/100))</f>
        <v>#REF!</v>
      </c>
      <c r="S65" s="943" t="e">
        <f>R65*(1+(#REF!+5/100))</f>
        <v>#REF!</v>
      </c>
      <c r="T65" s="943" t="e">
        <f>S65*(1+(#REF!+5/100))</f>
        <v>#REF!</v>
      </c>
      <c r="U65" s="943" t="e">
        <f>T65*(1+(#REF!+5/100))</f>
        <v>#REF!</v>
      </c>
      <c r="V65" s="943" t="e">
        <f>U65*(1+(#REF!+5/100))</f>
        <v>#REF!</v>
      </c>
      <c r="W65" s="943" t="e">
        <f>V65*(1+(#REF!+5/100))</f>
        <v>#REF!</v>
      </c>
      <c r="X65" s="943" t="e">
        <f>W65*(1+(#REF!+5/100))</f>
        <v>#REF!</v>
      </c>
      <c r="Y65" s="943" t="e">
        <f>X65*(1+(#REF!+5/100))</f>
        <v>#REF!</v>
      </c>
      <c r="Z65" s="943" t="e">
        <f>Y65*(1+(#REF!+5/100))</f>
        <v>#REF!</v>
      </c>
      <c r="AA65" s="943" t="e">
        <f>Z65*(1+(#REF!+5/100))</f>
        <v>#REF!</v>
      </c>
      <c r="AB65" s="943" t="e">
        <f>AA65*(1+(#REF!+5/100))</f>
        <v>#REF!</v>
      </c>
      <c r="AC65" s="943" t="e">
        <f>AB65*(1+(#REF!+5/100))</f>
        <v>#REF!</v>
      </c>
      <c r="AD65" s="943" t="e">
        <f>AC65*(1+(#REF!+5/100))</f>
        <v>#REF!</v>
      </c>
      <c r="AE65" s="943" t="e">
        <f>AD65*(1+(#REF!+5/100))</f>
        <v>#REF!</v>
      </c>
      <c r="AF65" s="943" t="e">
        <f>AE65*(1+(#REF!+5/100))</f>
        <v>#REF!</v>
      </c>
      <c r="AG65" s="943" t="e">
        <f>AF65*(1+(#REF!+5/100))</f>
        <v>#REF!</v>
      </c>
      <c r="AH65" s="943" t="e">
        <f>AG65*(1+(#REF!+5/100))</f>
        <v>#REF!</v>
      </c>
      <c r="AI65" s="943" t="e">
        <f>AH65*(1+(#REF!+5/100))</f>
        <v>#REF!</v>
      </c>
      <c r="AJ65" s="943" t="e">
        <f>AI65*(1+(#REF!+5/100))</f>
        <v>#REF!</v>
      </c>
      <c r="AK65" s="943" t="e">
        <f>AJ65*(1+(#REF!+5/100))</f>
        <v>#REF!</v>
      </c>
      <c r="AL65" s="943" t="e">
        <f>AK65*(1+(#REF!+5/100))</f>
        <v>#REF!</v>
      </c>
      <c r="AM65" s="943" t="e">
        <f>AL65*(1+(#REF!+5/100))</f>
        <v>#REF!</v>
      </c>
      <c r="AN65" s="943" t="e">
        <f>AM65*(1+(#REF!+5/100))</f>
        <v>#REF!</v>
      </c>
      <c r="AO65" s="943" t="e">
        <f>AN65*(1+(#REF!+5/100))</f>
        <v>#REF!</v>
      </c>
      <c r="AP65" s="943" t="e">
        <f>AO65*(1+(#REF!+5/100))</f>
        <v>#REF!</v>
      </c>
      <c r="AQ65" s="943" t="e">
        <f>AP65*(1+(#REF!+5/100))</f>
        <v>#REF!</v>
      </c>
      <c r="AR65" s="943" t="e">
        <f>AQ65*(1+(#REF!+5/100))</f>
        <v>#REF!</v>
      </c>
      <c r="AS65" s="943" t="e">
        <f>AR65*(1+(#REF!+5/100))</f>
        <v>#REF!</v>
      </c>
      <c r="AT65" s="943" t="e">
        <f>AS65*(1+(#REF!+5/100))</f>
        <v>#REF!</v>
      </c>
      <c r="AU65" s="943" t="e">
        <f>AT65*(1+(#REF!+5/100))</f>
        <v>#REF!</v>
      </c>
      <c r="AV65" s="943" t="e">
        <f>AU65*(1+(#REF!+5/100))</f>
        <v>#REF!</v>
      </c>
      <c r="AW65" s="943" t="e">
        <f>AV65*(1+(#REF!+5/100))</f>
        <v>#REF!</v>
      </c>
      <c r="AX65" s="129"/>
      <c r="AY65" s="11"/>
      <c r="AZ65" s="11"/>
      <c r="BA65" s="11"/>
      <c r="BB65" s="11"/>
      <c r="BC65" s="11"/>
      <c r="BD65" s="11"/>
      <c r="BE65" s="11"/>
      <c r="BF65" s="11"/>
      <c r="BG65" s="11"/>
      <c r="BH65" s="11"/>
      <c r="BI65" s="11"/>
    </row>
    <row r="66" spans="1:61" ht="25.5" customHeight="1" x14ac:dyDescent="0.3">
      <c r="A66" s="974"/>
      <c r="B66" s="982"/>
      <c r="C66" s="984" t="s">
        <v>71</v>
      </c>
      <c r="D66" s="975" t="s">
        <v>41</v>
      </c>
      <c r="E66" s="976"/>
      <c r="F66" s="988" t="s">
        <v>72</v>
      </c>
      <c r="G66" s="990">
        <v>7.3766819699999999</v>
      </c>
      <c r="H66" s="128"/>
      <c r="I66" s="943"/>
      <c r="J66" s="943"/>
      <c r="K66" s="943"/>
      <c r="L66" s="943"/>
      <c r="M66" s="990">
        <v>3.7592181899999999</v>
      </c>
      <c r="N66" s="943"/>
      <c r="O66" s="991">
        <v>3.8522799999999999</v>
      </c>
      <c r="P66" s="943"/>
      <c r="Q66" s="990">
        <v>3.8806069999999999</v>
      </c>
      <c r="R66" s="943"/>
      <c r="S66" s="943"/>
      <c r="T66" s="943"/>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29"/>
    </row>
    <row r="67" spans="1:61" ht="14.25" customHeight="1" x14ac:dyDescent="0.3">
      <c r="A67" s="974"/>
      <c r="B67" s="982"/>
      <c r="C67" s="985"/>
      <c r="D67" s="977"/>
      <c r="E67" s="978"/>
      <c r="F67" s="989"/>
      <c r="G67" s="977"/>
      <c r="H67" s="128"/>
      <c r="I67" s="943"/>
      <c r="J67" s="943"/>
      <c r="K67" s="943"/>
      <c r="L67" s="943"/>
      <c r="M67" s="977"/>
      <c r="N67" s="943"/>
      <c r="O67" s="977"/>
      <c r="P67" s="943"/>
      <c r="Q67" s="977"/>
      <c r="R67" s="943"/>
      <c r="S67" s="943"/>
      <c r="T67" s="94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29"/>
    </row>
    <row r="68" spans="1:61" ht="14.25" customHeight="1" x14ac:dyDescent="0.3">
      <c r="A68" s="974"/>
      <c r="B68" s="982"/>
      <c r="C68" s="985"/>
      <c r="D68" s="977"/>
      <c r="E68" s="978"/>
      <c r="F68" s="989"/>
      <c r="G68" s="977"/>
      <c r="H68" s="128"/>
      <c r="I68" s="943"/>
      <c r="J68" s="943"/>
      <c r="K68" s="943"/>
      <c r="L68" s="943"/>
      <c r="M68" s="977"/>
      <c r="N68" s="943"/>
      <c r="O68" s="977"/>
      <c r="P68" s="943"/>
      <c r="Q68" s="977"/>
      <c r="R68" s="943"/>
      <c r="S68" s="943"/>
      <c r="T68" s="943"/>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29"/>
      <c r="AY68" s="12"/>
      <c r="AZ68" s="12"/>
      <c r="BA68" s="12"/>
      <c r="BB68" s="12"/>
      <c r="BC68" s="12"/>
      <c r="BD68" s="12"/>
      <c r="BE68" s="12"/>
      <c r="BF68" s="12"/>
      <c r="BG68" s="12"/>
      <c r="BH68" s="12"/>
      <c r="BI68" s="12"/>
    </row>
    <row r="69" spans="1:61" ht="14.25" customHeight="1" x14ac:dyDescent="0.3">
      <c r="A69" s="974"/>
      <c r="B69" s="982"/>
      <c r="C69" s="985"/>
      <c r="D69" s="977"/>
      <c r="E69" s="978"/>
      <c r="F69" s="989"/>
      <c r="G69" s="977"/>
      <c r="H69" s="943"/>
      <c r="I69" s="943"/>
      <c r="J69" s="943"/>
      <c r="K69" s="943"/>
      <c r="L69" s="943"/>
      <c r="M69" s="977"/>
      <c r="N69" s="943"/>
      <c r="O69" s="977"/>
      <c r="P69" s="943"/>
      <c r="Q69" s="977"/>
      <c r="R69" s="943"/>
      <c r="S69" s="943"/>
      <c r="T69" s="943"/>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29"/>
    </row>
    <row r="70" spans="1:61" ht="14.25" customHeight="1" x14ac:dyDescent="0.35">
      <c r="B70" s="982"/>
      <c r="C70" s="1003"/>
      <c r="D70" s="977"/>
      <c r="E70" s="978"/>
      <c r="F70" s="128" t="s">
        <v>73</v>
      </c>
      <c r="G70" s="943">
        <f>G49/1000000</f>
        <v>1.4548903200000001</v>
      </c>
      <c r="H70" s="943"/>
      <c r="I70" s="943"/>
      <c r="J70" s="943"/>
      <c r="K70" s="943"/>
      <c r="L70" s="943"/>
      <c r="M70" s="943">
        <f>M49/1000000</f>
        <v>4.9599387000000004</v>
      </c>
      <c r="N70" s="943"/>
      <c r="O70" s="943">
        <v>5.0815799999999998</v>
      </c>
      <c r="P70" s="943"/>
      <c r="Q70" s="943">
        <v>5.1189450000000001</v>
      </c>
      <c r="R70" s="153"/>
      <c r="S70" s="943"/>
      <c r="T70" s="943"/>
      <c r="U70" s="12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29"/>
      <c r="AY70" s="11"/>
      <c r="AZ70" s="11"/>
      <c r="BA70" s="11"/>
      <c r="BB70" s="11"/>
      <c r="BC70" s="11"/>
      <c r="BD70" s="11"/>
      <c r="BE70" s="11"/>
      <c r="BF70" s="11"/>
      <c r="BG70" s="11"/>
      <c r="BH70" s="11"/>
      <c r="BI70" s="11"/>
    </row>
    <row r="71" spans="1:61" ht="14.25" customHeight="1" x14ac:dyDescent="0.35">
      <c r="B71" s="982"/>
      <c r="C71" s="994" t="s">
        <v>74</v>
      </c>
      <c r="D71" s="997" t="s">
        <v>75</v>
      </c>
      <c r="E71" s="976"/>
      <c r="F71" s="999" t="s">
        <v>76</v>
      </c>
      <c r="G71" s="1000">
        <v>2.1629636999999997</v>
      </c>
      <c r="H71" s="128"/>
      <c r="I71" s="943"/>
      <c r="J71" s="943"/>
      <c r="K71" s="943"/>
      <c r="L71" s="943"/>
      <c r="M71" s="990">
        <v>2.4237641700000001</v>
      </c>
      <c r="N71" s="943"/>
      <c r="O71" s="990">
        <v>2.3614877700000001</v>
      </c>
      <c r="P71" s="943"/>
      <c r="Q71" s="990">
        <v>2.3758364699999999</v>
      </c>
      <c r="R71" s="943"/>
      <c r="S71" s="943"/>
      <c r="T71" s="943"/>
      <c r="U71" s="128"/>
      <c r="V71" s="12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29"/>
      <c r="AY71" s="11"/>
      <c r="AZ71" s="11"/>
      <c r="BA71" s="11"/>
      <c r="BB71" s="11"/>
      <c r="BC71" s="11"/>
      <c r="BD71" s="11"/>
      <c r="BE71" s="11"/>
      <c r="BF71" s="11"/>
      <c r="BG71" s="11"/>
      <c r="BH71" s="11"/>
      <c r="BI71" s="11"/>
    </row>
    <row r="72" spans="1:61" ht="14.25" customHeight="1" x14ac:dyDescent="0.35">
      <c r="B72" s="982"/>
      <c r="C72" s="995"/>
      <c r="D72" s="989"/>
      <c r="E72" s="978"/>
      <c r="F72" s="977"/>
      <c r="G72" s="977"/>
      <c r="H72" s="128"/>
      <c r="I72" s="943"/>
      <c r="J72" s="943"/>
      <c r="K72" s="943"/>
      <c r="L72" s="943"/>
      <c r="M72" s="977"/>
      <c r="N72" s="943"/>
      <c r="O72" s="977"/>
      <c r="P72" s="943"/>
      <c r="Q72" s="977"/>
      <c r="R72" s="943"/>
      <c r="S72" s="943"/>
      <c r="T72" s="943"/>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29"/>
      <c r="AY72" s="11"/>
      <c r="AZ72" s="11"/>
      <c r="BA72" s="11"/>
      <c r="BB72" s="11"/>
      <c r="BC72" s="11"/>
      <c r="BD72" s="11"/>
      <c r="BE72" s="11"/>
      <c r="BF72" s="11"/>
      <c r="BG72" s="11"/>
      <c r="BH72" s="11"/>
      <c r="BI72" s="11"/>
    </row>
    <row r="73" spans="1:61" ht="14.25" customHeight="1" x14ac:dyDescent="0.3">
      <c r="B73" s="982"/>
      <c r="C73" s="996"/>
      <c r="D73" s="998"/>
      <c r="E73" s="980"/>
      <c r="F73" s="977"/>
      <c r="G73" s="977"/>
      <c r="H73" s="943"/>
      <c r="I73" s="943"/>
      <c r="J73" s="943"/>
      <c r="K73" s="943"/>
      <c r="L73" s="943"/>
      <c r="M73" s="977"/>
      <c r="N73" s="943"/>
      <c r="O73" s="977"/>
      <c r="P73" s="943"/>
      <c r="Q73" s="977"/>
      <c r="R73" s="943"/>
      <c r="S73" s="943"/>
      <c r="T73" s="943"/>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29"/>
    </row>
    <row r="74" spans="1:61" ht="14.25" customHeight="1" x14ac:dyDescent="0.3">
      <c r="B74" s="982"/>
      <c r="C74" s="1011" t="s">
        <v>77</v>
      </c>
      <c r="D74" s="1007" t="s">
        <v>78</v>
      </c>
      <c r="E74" s="978"/>
      <c r="F74" s="988" t="s">
        <v>79</v>
      </c>
      <c r="G74" s="990">
        <v>0.50615019000000006</v>
      </c>
      <c r="H74" s="128"/>
      <c r="I74" s="943"/>
      <c r="J74" s="943"/>
      <c r="K74" s="943"/>
      <c r="L74" s="943"/>
      <c r="M74" s="990">
        <v>0.50510348999999999</v>
      </c>
      <c r="N74" s="943"/>
      <c r="O74" s="990">
        <v>0.49476339000000003</v>
      </c>
      <c r="P74" s="943"/>
      <c r="Q74" s="990">
        <v>0.49199787</v>
      </c>
      <c r="R74" s="943"/>
      <c r="S74" s="943"/>
      <c r="T74" s="943"/>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29"/>
    </row>
    <row r="75" spans="1:61" ht="14.25" customHeight="1" x14ac:dyDescent="0.3">
      <c r="B75" s="982"/>
      <c r="C75" s="1003"/>
      <c r="D75" s="979"/>
      <c r="E75" s="980"/>
      <c r="F75" s="989"/>
      <c r="G75" s="977"/>
      <c r="H75" s="943"/>
      <c r="I75" s="943"/>
      <c r="J75" s="943"/>
      <c r="K75" s="943"/>
      <c r="L75" s="943"/>
      <c r="M75" s="977"/>
      <c r="N75" s="943"/>
      <c r="O75" s="977"/>
      <c r="P75" s="943"/>
      <c r="Q75" s="977"/>
      <c r="R75" s="943"/>
      <c r="S75" s="943"/>
      <c r="T75" s="943"/>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29"/>
      <c r="AY75" s="12"/>
      <c r="AZ75" s="12"/>
      <c r="BA75" s="12"/>
      <c r="BB75" s="12"/>
      <c r="BC75" s="12"/>
      <c r="BD75" s="12"/>
      <c r="BE75" s="12"/>
      <c r="BF75" s="12"/>
      <c r="BG75" s="12"/>
      <c r="BH75" s="12"/>
      <c r="BI75" s="12"/>
    </row>
    <row r="76" spans="1:61" ht="14.25" customHeight="1" x14ac:dyDescent="0.3">
      <c r="B76" s="982"/>
      <c r="C76" s="984" t="s">
        <v>80</v>
      </c>
      <c r="D76" s="975" t="s">
        <v>54</v>
      </c>
      <c r="E76" s="976"/>
      <c r="F76" s="988" t="s">
        <v>81</v>
      </c>
      <c r="G76" s="990">
        <v>0.17715429000000002</v>
      </c>
      <c r="H76" s="128"/>
      <c r="I76" s="943"/>
      <c r="J76" s="943"/>
      <c r="K76" s="943"/>
      <c r="L76" s="943"/>
      <c r="M76" s="990">
        <v>0.24614217000000005</v>
      </c>
      <c r="N76" s="943"/>
      <c r="O76" s="990">
        <v>0.25306659000000004</v>
      </c>
      <c r="P76" s="943"/>
      <c r="Q76" s="990">
        <v>0.28590821999999999</v>
      </c>
      <c r="R76" s="943"/>
      <c r="S76" s="943"/>
      <c r="T76" s="943"/>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29"/>
    </row>
    <row r="77" spans="1:61" ht="14.25" customHeight="1" x14ac:dyDescent="0.3">
      <c r="B77" s="982"/>
      <c r="C77" s="1003"/>
      <c r="D77" s="979"/>
      <c r="E77" s="980"/>
      <c r="F77" s="989"/>
      <c r="G77" s="977"/>
      <c r="H77" s="943"/>
      <c r="I77" s="943"/>
      <c r="J77" s="943"/>
      <c r="K77" s="943"/>
      <c r="L77" s="943"/>
      <c r="M77" s="977"/>
      <c r="N77" s="943"/>
      <c r="O77" s="977"/>
      <c r="P77" s="943"/>
      <c r="Q77" s="977"/>
      <c r="R77" s="943"/>
      <c r="S77" s="943"/>
      <c r="T77" s="943"/>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29"/>
    </row>
    <row r="78" spans="1:61" ht="14.25" customHeight="1" x14ac:dyDescent="0.3">
      <c r="B78" s="982"/>
      <c r="C78" s="984" t="s">
        <v>57</v>
      </c>
      <c r="D78" s="986" t="s">
        <v>57</v>
      </c>
      <c r="E78" s="976"/>
      <c r="F78" s="988" t="s">
        <v>82</v>
      </c>
      <c r="G78" s="990">
        <v>0.11965518</v>
      </c>
      <c r="H78" s="128"/>
      <c r="I78" s="943"/>
      <c r="J78" s="943"/>
      <c r="K78" s="943"/>
      <c r="L78" s="943"/>
      <c r="M78" s="990">
        <v>0.12043377000000002</v>
      </c>
      <c r="N78" s="943"/>
      <c r="O78" s="990">
        <v>0.10012113</v>
      </c>
      <c r="P78" s="943"/>
      <c r="Q78" s="990">
        <v>0.10859039999999999</v>
      </c>
      <c r="R78" s="943"/>
      <c r="S78" s="943"/>
      <c r="T78" s="943"/>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29"/>
      <c r="AY78" s="12"/>
      <c r="AZ78" s="12"/>
      <c r="BA78" s="12"/>
      <c r="BB78" s="12"/>
      <c r="BC78" s="12"/>
      <c r="BD78" s="12"/>
      <c r="BE78" s="12"/>
      <c r="BF78" s="12"/>
      <c r="BG78" s="12"/>
      <c r="BH78" s="12"/>
      <c r="BI78" s="12"/>
    </row>
    <row r="79" spans="1:61" ht="14.25" customHeight="1" x14ac:dyDescent="0.3">
      <c r="B79" s="982"/>
      <c r="C79" s="985"/>
      <c r="D79" s="977"/>
      <c r="E79" s="978"/>
      <c r="F79" s="989"/>
      <c r="G79" s="977"/>
      <c r="H79" s="128"/>
      <c r="I79" s="943"/>
      <c r="J79" s="943"/>
      <c r="K79" s="943"/>
      <c r="L79" s="943"/>
      <c r="M79" s="977"/>
      <c r="N79" s="943"/>
      <c r="O79" s="977"/>
      <c r="P79" s="943"/>
      <c r="Q79" s="977"/>
      <c r="R79" s="943"/>
      <c r="S79" s="943"/>
      <c r="T79" s="943"/>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29"/>
    </row>
    <row r="80" spans="1:61" ht="14.25" customHeight="1" x14ac:dyDescent="0.3">
      <c r="B80" s="982"/>
      <c r="C80" s="1003"/>
      <c r="D80" s="979"/>
      <c r="E80" s="980"/>
      <c r="F80" s="989"/>
      <c r="G80" s="977"/>
      <c r="H80" s="943"/>
      <c r="I80" s="943"/>
      <c r="J80" s="943"/>
      <c r="K80" s="943"/>
      <c r="L80" s="943"/>
      <c r="M80" s="977"/>
      <c r="N80" s="943"/>
      <c r="O80" s="977"/>
      <c r="P80" s="943"/>
      <c r="Q80" s="977"/>
      <c r="R80" s="943"/>
      <c r="S80" s="943"/>
      <c r="T80" s="943"/>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29"/>
    </row>
    <row r="81" spans="2:61" ht="14.25" customHeight="1" x14ac:dyDescent="0.3">
      <c r="B81" s="13"/>
      <c r="C81" s="13"/>
      <c r="D81" s="137"/>
      <c r="E81" s="138"/>
      <c r="F81" s="139" t="s">
        <v>24</v>
      </c>
      <c r="G81" s="140">
        <f>SUM(G64:G80)</f>
        <v>24.8980599</v>
      </c>
      <c r="H81" s="140"/>
      <c r="I81" s="140"/>
      <c r="J81" s="140"/>
      <c r="K81" s="140"/>
      <c r="L81" s="140"/>
      <c r="M81" s="140">
        <f>SUM(M64:M80)</f>
        <v>24.898059809999999</v>
      </c>
      <c r="N81" s="140"/>
      <c r="O81" s="140">
        <f>SUM(O64:O80)</f>
        <v>24.898216509999997</v>
      </c>
      <c r="P81" s="140"/>
      <c r="Q81" s="140">
        <f>SUM(Q64:Q80)</f>
        <v>24.898219759999996</v>
      </c>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2"/>
      <c r="AY81" s="14"/>
      <c r="AZ81" s="14"/>
      <c r="BA81" s="14"/>
      <c r="BB81" s="14"/>
      <c r="BC81" s="14"/>
      <c r="BD81" s="14"/>
      <c r="BE81" s="14"/>
      <c r="BF81" s="14"/>
      <c r="BG81" s="14"/>
      <c r="BH81" s="14"/>
      <c r="BI81" s="14"/>
    </row>
    <row r="82" spans="2:61" ht="14.25" customHeight="1" x14ac:dyDescent="0.3">
      <c r="B82" s="944"/>
      <c r="C82" s="944"/>
      <c r="D82" s="15"/>
      <c r="E82" s="143"/>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6"/>
    </row>
    <row r="83" spans="2:61" ht="14.25" customHeight="1" x14ac:dyDescent="0.3">
      <c r="B83" s="944"/>
      <c r="C83" s="944"/>
      <c r="D83" s="944"/>
      <c r="E83" s="944"/>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row>
    <row r="84" spans="2:61" ht="14.25" customHeight="1" x14ac:dyDescent="0.3">
      <c r="B84" s="944"/>
      <c r="C84" s="944"/>
      <c r="D84" s="944"/>
      <c r="E84" s="944"/>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row>
    <row r="85" spans="2:61" ht="14.25" customHeight="1" x14ac:dyDescent="0.3">
      <c r="B85" s="944"/>
      <c r="C85" s="944"/>
      <c r="D85" s="944"/>
      <c r="E85" s="944"/>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row>
    <row r="86" spans="2:61" ht="23.25" customHeight="1" x14ac:dyDescent="0.3">
      <c r="B86" s="944"/>
      <c r="C86" s="944"/>
      <c r="D86" s="981" t="s">
        <v>83</v>
      </c>
      <c r="E86" s="982"/>
      <c r="F86" s="982"/>
      <c r="G86" s="45"/>
      <c r="H86" s="21"/>
      <c r="I86" s="22"/>
      <c r="J86" s="45"/>
      <c r="K86" s="45"/>
      <c r="L86" s="21"/>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row>
    <row r="87" spans="2:61" ht="46.5" customHeight="1" x14ac:dyDescent="0.3">
      <c r="B87" s="983" t="s">
        <v>84</v>
      </c>
      <c r="C87" s="944"/>
      <c r="D87" s="1008" t="s">
        <v>85</v>
      </c>
      <c r="E87" s="1009"/>
      <c r="F87" s="23" t="s">
        <v>86</v>
      </c>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24"/>
      <c r="AY87" s="22"/>
    </row>
    <row r="88" spans="2:61" ht="14.25" customHeight="1" x14ac:dyDescent="0.3">
      <c r="B88" s="982"/>
      <c r="C88" s="944"/>
      <c r="D88" s="1014" t="s">
        <v>87</v>
      </c>
      <c r="E88" s="1002"/>
      <c r="F88" s="943"/>
      <c r="G88" s="943"/>
      <c r="H88" s="943"/>
      <c r="I88" s="943"/>
      <c r="J88" s="943"/>
      <c r="K88" s="943"/>
      <c r="L88" s="943"/>
      <c r="M88" s="943"/>
      <c r="N88" s="943"/>
      <c r="O88" s="943"/>
      <c r="P88" s="943"/>
      <c r="Q88" s="943"/>
      <c r="R88" s="943"/>
      <c r="S88" s="943"/>
      <c r="T88" s="943">
        <v>1.959779E-2</v>
      </c>
      <c r="U88" s="943"/>
      <c r="V88" s="943"/>
      <c r="W88" s="943"/>
      <c r="X88" s="943"/>
      <c r="Y88" s="943"/>
      <c r="Z88" s="943"/>
      <c r="AA88" s="943"/>
      <c r="AB88" s="943"/>
      <c r="AC88" s="943"/>
      <c r="AD88" s="943"/>
      <c r="AE88" s="943"/>
      <c r="AF88" s="943"/>
      <c r="AG88" s="943"/>
      <c r="AH88" s="943"/>
      <c r="AI88" s="943"/>
      <c r="AJ88" s="943"/>
      <c r="AK88" s="943"/>
      <c r="AL88" s="943"/>
      <c r="AM88" s="943"/>
      <c r="AN88" s="943"/>
      <c r="AO88" s="943"/>
      <c r="AP88" s="943"/>
      <c r="AQ88" s="943"/>
      <c r="AR88" s="943"/>
      <c r="AS88" s="943"/>
      <c r="AT88" s="943"/>
      <c r="AU88" s="943"/>
      <c r="AV88" s="943"/>
      <c r="AW88" s="943"/>
      <c r="AX88" s="154"/>
      <c r="AY88" s="22"/>
    </row>
    <row r="89" spans="2:61" ht="14.25" customHeight="1" x14ac:dyDescent="0.3">
      <c r="B89" s="982"/>
      <c r="C89" s="944"/>
      <c r="D89" s="1014" t="s">
        <v>88</v>
      </c>
      <c r="E89" s="1002"/>
      <c r="F89" s="943"/>
      <c r="G89" s="943"/>
      <c r="H89" s="943"/>
      <c r="I89" s="943"/>
      <c r="J89" s="943"/>
      <c r="K89" s="943"/>
      <c r="L89" s="943"/>
      <c r="M89" s="943"/>
      <c r="N89" s="943"/>
      <c r="O89" s="943"/>
      <c r="P89" s="943"/>
      <c r="Q89" s="943"/>
      <c r="R89" s="943"/>
      <c r="S89" s="943"/>
      <c r="T89" s="943">
        <v>15.487761259999999</v>
      </c>
      <c r="U89" s="943"/>
      <c r="V89" s="943"/>
      <c r="W89" s="943"/>
      <c r="X89" s="943"/>
      <c r="Y89" s="943"/>
      <c r="Z89" s="943"/>
      <c r="AA89" s="943"/>
      <c r="AB89" s="943"/>
      <c r="AC89" s="943"/>
      <c r="AD89" s="943"/>
      <c r="AE89" s="943"/>
      <c r="AF89" s="943"/>
      <c r="AG89" s="943"/>
      <c r="AH89" s="943"/>
      <c r="AI89" s="943"/>
      <c r="AJ89" s="943"/>
      <c r="AK89" s="943"/>
      <c r="AL89" s="943"/>
      <c r="AM89" s="943"/>
      <c r="AN89" s="943"/>
      <c r="AO89" s="943"/>
      <c r="AP89" s="943"/>
      <c r="AQ89" s="943"/>
      <c r="AR89" s="943"/>
      <c r="AS89" s="943"/>
      <c r="AT89" s="943"/>
      <c r="AU89" s="943"/>
      <c r="AV89" s="943"/>
      <c r="AW89" s="943"/>
      <c r="AX89" s="154"/>
      <c r="AY89" s="22"/>
    </row>
    <row r="90" spans="2:61" ht="14.25" customHeight="1" x14ac:dyDescent="0.3">
      <c r="B90" s="944"/>
      <c r="C90" s="944"/>
      <c r="D90" s="125"/>
      <c r="E90" s="130"/>
      <c r="F90" s="139" t="s">
        <v>89</v>
      </c>
      <c r="G90" s="139"/>
      <c r="H90" s="943"/>
      <c r="I90" s="943"/>
      <c r="J90" s="943"/>
      <c r="K90" s="943"/>
      <c r="L90" s="943"/>
      <c r="M90" s="943"/>
      <c r="N90" s="943"/>
      <c r="O90" s="943"/>
      <c r="P90" s="943"/>
      <c r="Q90" s="943"/>
      <c r="R90" s="943"/>
      <c r="S90" s="943"/>
      <c r="T90" s="140">
        <f>SUM(T88:T89)</f>
        <v>15.50735905</v>
      </c>
      <c r="U90" s="140"/>
      <c r="V90" s="943"/>
      <c r="W90" s="943"/>
      <c r="X90" s="943"/>
      <c r="Y90" s="943"/>
      <c r="Z90" s="943"/>
      <c r="AA90" s="943"/>
      <c r="AB90" s="943"/>
      <c r="AC90" s="943"/>
      <c r="AD90" s="943"/>
      <c r="AE90" s="943"/>
      <c r="AF90" s="943"/>
      <c r="AG90" s="943"/>
      <c r="AH90" s="943"/>
      <c r="AI90" s="943"/>
      <c r="AJ90" s="943"/>
      <c r="AK90" s="943"/>
      <c r="AL90" s="943"/>
      <c r="AM90" s="943"/>
      <c r="AN90" s="943"/>
      <c r="AO90" s="943"/>
      <c r="AP90" s="943"/>
      <c r="AQ90" s="943"/>
      <c r="AR90" s="943"/>
      <c r="AS90" s="943"/>
      <c r="AT90" s="943"/>
      <c r="AU90" s="943"/>
      <c r="AV90" s="943"/>
      <c r="AW90" s="943"/>
      <c r="AX90" s="154"/>
      <c r="AY90" s="22"/>
      <c r="AZ90" s="22"/>
      <c r="BA90" s="22"/>
      <c r="BB90" s="22"/>
      <c r="BC90" s="22"/>
      <c r="BD90" s="22"/>
      <c r="BE90" s="22"/>
      <c r="BF90" s="22"/>
      <c r="BG90" s="22"/>
      <c r="BH90" s="22"/>
      <c r="BI90" s="22"/>
    </row>
    <row r="91" spans="2:61" ht="14.25" customHeight="1" x14ac:dyDescent="0.3">
      <c r="B91" s="944"/>
      <c r="C91" s="944"/>
      <c r="D91" s="15"/>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25"/>
      <c r="AY91" s="944"/>
      <c r="AZ91" s="944"/>
      <c r="BA91" s="944"/>
      <c r="BB91" s="944"/>
      <c r="BC91" s="944"/>
      <c r="BD91" s="944"/>
      <c r="BE91" s="944"/>
      <c r="BF91" s="944"/>
      <c r="BG91" s="944"/>
      <c r="BH91" s="944"/>
      <c r="BI91" s="944"/>
    </row>
    <row r="92" spans="2:61" ht="14.25" customHeight="1" x14ac:dyDescent="0.3">
      <c r="B92" s="944"/>
      <c r="C92" s="944"/>
      <c r="D92" s="26"/>
      <c r="E92" s="26"/>
      <c r="F92" s="27"/>
      <c r="G92" s="27"/>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2"/>
      <c r="AZ92" s="22"/>
      <c r="BA92" s="22"/>
      <c r="BB92" s="22"/>
      <c r="BC92" s="22"/>
      <c r="BD92" s="22"/>
      <c r="BE92" s="22"/>
      <c r="BF92" s="22"/>
      <c r="BG92" s="22"/>
      <c r="BH92" s="22"/>
      <c r="BI92" s="22"/>
    </row>
    <row r="93" spans="2:61" ht="14.25" customHeight="1" x14ac:dyDescent="0.3">
      <c r="B93" s="944"/>
      <c r="C93" s="944"/>
      <c r="D93" s="26"/>
      <c r="E93" s="26"/>
      <c r="F93" s="27"/>
      <c r="G93" s="27"/>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2"/>
      <c r="AZ93" s="22"/>
      <c r="BA93" s="22"/>
      <c r="BB93" s="22"/>
      <c r="BC93" s="22"/>
      <c r="BD93" s="22"/>
      <c r="BE93" s="22"/>
      <c r="BF93" s="22"/>
      <c r="BG93" s="22"/>
      <c r="BH93" s="22"/>
      <c r="BI93" s="22"/>
    </row>
    <row r="94" spans="2:61" ht="14.25" customHeight="1" x14ac:dyDescent="0.3">
      <c r="B94" s="944"/>
      <c r="C94" s="944"/>
      <c r="D94" s="981" t="s">
        <v>90</v>
      </c>
      <c r="E94" s="982"/>
      <c r="F94" s="982"/>
      <c r="G94" s="45"/>
      <c r="H94" s="21"/>
      <c r="I94" s="22"/>
      <c r="J94" s="45"/>
      <c r="K94" s="28"/>
      <c r="L94" s="28"/>
      <c r="M94" s="28"/>
      <c r="N94" s="28"/>
      <c r="O94" s="28"/>
      <c r="P94" s="28"/>
      <c r="Q94" s="28"/>
      <c r="R94" s="28"/>
      <c r="S94" s="28"/>
      <c r="T94" s="22"/>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944"/>
    </row>
    <row r="95" spans="2:61" ht="39.75" customHeight="1" x14ac:dyDescent="0.3">
      <c r="B95" s="1012" t="s">
        <v>91</v>
      </c>
      <c r="C95" s="944"/>
      <c r="D95" s="1008" t="s">
        <v>85</v>
      </c>
      <c r="E95" s="1015"/>
      <c r="F95" s="29" t="s">
        <v>92</v>
      </c>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24"/>
      <c r="AY95" s="22"/>
    </row>
    <row r="96" spans="2:61" ht="14.25" customHeight="1" x14ac:dyDescent="0.3">
      <c r="B96" s="982"/>
      <c r="C96" s="944"/>
      <c r="D96" s="1014" t="s">
        <v>87</v>
      </c>
      <c r="E96" s="1002"/>
      <c r="F96" s="943"/>
      <c r="G96" s="943"/>
      <c r="H96" s="943"/>
      <c r="I96" s="943"/>
      <c r="J96" s="943"/>
      <c r="K96" s="943"/>
      <c r="L96" s="943"/>
      <c r="M96" s="943"/>
      <c r="N96" s="943"/>
      <c r="O96" s="943"/>
      <c r="P96" s="943"/>
      <c r="Q96" s="943"/>
      <c r="R96" s="943"/>
      <c r="S96" s="943">
        <v>0.21000466600000001</v>
      </c>
      <c r="T96" s="943"/>
      <c r="U96" s="943"/>
      <c r="V96" s="943"/>
      <c r="W96" s="943"/>
      <c r="X96" s="943"/>
      <c r="Y96" s="943"/>
      <c r="Z96" s="943"/>
      <c r="AA96" s="943"/>
      <c r="AB96" s="943"/>
      <c r="AC96" s="943"/>
      <c r="AD96" s="943"/>
      <c r="AE96" s="943"/>
      <c r="AF96" s="943"/>
      <c r="AG96" s="943"/>
      <c r="AH96" s="943"/>
      <c r="AI96" s="943"/>
      <c r="AJ96" s="943"/>
      <c r="AK96" s="943"/>
      <c r="AL96" s="943"/>
      <c r="AM96" s="943"/>
      <c r="AN96" s="943"/>
      <c r="AO96" s="943"/>
      <c r="AP96" s="943"/>
      <c r="AQ96" s="943"/>
      <c r="AR96" s="943"/>
      <c r="AS96" s="943"/>
      <c r="AT96" s="943"/>
      <c r="AU96" s="943"/>
      <c r="AV96" s="943"/>
      <c r="AW96" s="943"/>
      <c r="AX96" s="154"/>
      <c r="AY96" s="22"/>
    </row>
    <row r="97" spans="2:61" ht="14.25" customHeight="1" x14ac:dyDescent="0.3">
      <c r="B97" s="982"/>
      <c r="C97" s="944"/>
      <c r="D97" s="1014" t="s">
        <v>88</v>
      </c>
      <c r="E97" s="1002"/>
      <c r="F97" s="943"/>
      <c r="G97" s="943"/>
      <c r="H97" s="943"/>
      <c r="I97" s="943"/>
      <c r="J97" s="943"/>
      <c r="K97" s="943"/>
      <c r="L97" s="943"/>
      <c r="M97" s="943"/>
      <c r="N97" s="943"/>
      <c r="O97" s="943"/>
      <c r="P97" s="943"/>
      <c r="Q97" s="943"/>
      <c r="R97" s="943"/>
      <c r="S97" s="943">
        <v>0</v>
      </c>
      <c r="T97" s="943"/>
      <c r="U97" s="943"/>
      <c r="V97" s="943"/>
      <c r="W97" s="943"/>
      <c r="X97" s="943"/>
      <c r="Y97" s="943"/>
      <c r="Z97" s="943"/>
      <c r="AA97" s="943"/>
      <c r="AB97" s="943"/>
      <c r="AC97" s="943"/>
      <c r="AD97" s="943"/>
      <c r="AE97" s="943"/>
      <c r="AF97" s="943"/>
      <c r="AG97" s="943"/>
      <c r="AH97" s="943"/>
      <c r="AI97" s="943"/>
      <c r="AJ97" s="943"/>
      <c r="AK97" s="943"/>
      <c r="AL97" s="943"/>
      <c r="AM97" s="943"/>
      <c r="AN97" s="943"/>
      <c r="AO97" s="943"/>
      <c r="AP97" s="943"/>
      <c r="AQ97" s="943"/>
      <c r="AR97" s="943"/>
      <c r="AS97" s="943"/>
      <c r="AT97" s="943"/>
      <c r="AU97" s="943"/>
      <c r="AV97" s="943"/>
      <c r="AW97" s="943"/>
      <c r="AX97" s="154"/>
      <c r="AY97" s="22"/>
    </row>
    <row r="98" spans="2:61" ht="14.25" customHeight="1" x14ac:dyDescent="0.3">
      <c r="B98" s="982"/>
      <c r="C98" s="944"/>
      <c r="D98" s="125"/>
      <c r="E98" s="130"/>
      <c r="F98" s="139" t="s">
        <v>93</v>
      </c>
      <c r="G98" s="139"/>
      <c r="H98" s="943"/>
      <c r="I98" s="943"/>
      <c r="J98" s="943"/>
      <c r="K98" s="943"/>
      <c r="L98" s="943"/>
      <c r="M98" s="943"/>
      <c r="N98" s="943"/>
      <c r="O98" s="943"/>
      <c r="P98" s="943"/>
      <c r="Q98" s="943"/>
      <c r="R98" s="943"/>
      <c r="S98" s="140">
        <f>SUM(S96:S97)</f>
        <v>0.21000466600000001</v>
      </c>
      <c r="T98" s="943"/>
      <c r="U98" s="943"/>
      <c r="V98" s="943"/>
      <c r="W98" s="943"/>
      <c r="X98" s="943"/>
      <c r="Y98" s="943"/>
      <c r="Z98" s="943"/>
      <c r="AA98" s="943"/>
      <c r="AB98" s="943"/>
      <c r="AC98" s="943"/>
      <c r="AD98" s="943"/>
      <c r="AE98" s="943"/>
      <c r="AF98" s="943"/>
      <c r="AG98" s="943"/>
      <c r="AH98" s="943"/>
      <c r="AI98" s="943"/>
      <c r="AJ98" s="943"/>
      <c r="AK98" s="943"/>
      <c r="AL98" s="943"/>
      <c r="AM98" s="943"/>
      <c r="AN98" s="943"/>
      <c r="AO98" s="943"/>
      <c r="AP98" s="943"/>
      <c r="AQ98" s="943"/>
      <c r="AR98" s="943"/>
      <c r="AS98" s="943"/>
      <c r="AT98" s="943"/>
      <c r="AU98" s="943"/>
      <c r="AV98" s="943"/>
      <c r="AW98" s="943"/>
      <c r="AX98" s="154"/>
      <c r="AY98" s="22"/>
    </row>
    <row r="99" spans="2:61" ht="14.25" customHeight="1" x14ac:dyDescent="0.3">
      <c r="B99" s="942"/>
      <c r="C99" s="944"/>
      <c r="D99" s="15"/>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25"/>
      <c r="AY99" s="22"/>
    </row>
    <row r="100" spans="2:61" ht="14.25" customHeight="1" x14ac:dyDescent="0.3">
      <c r="B100" s="944"/>
      <c r="C100" s="944"/>
      <c r="D100" s="944"/>
      <c r="E100" s="944"/>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row>
    <row r="101" spans="2:61" ht="15.75" customHeight="1" x14ac:dyDescent="0.3">
      <c r="B101" s="944"/>
      <c r="C101" s="944"/>
      <c r="D101" s="981" t="s">
        <v>94</v>
      </c>
      <c r="E101" s="982"/>
      <c r="F101" s="982"/>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row>
    <row r="102" spans="2:61" ht="14.25" customHeight="1" x14ac:dyDescent="0.3">
      <c r="B102" s="944"/>
      <c r="C102" s="944"/>
      <c r="D102" s="944"/>
      <c r="E102" s="944"/>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row>
    <row r="103" spans="2:61" ht="14.25" customHeight="1" x14ac:dyDescent="0.35">
      <c r="B103" s="30"/>
      <c r="C103" s="30"/>
      <c r="D103" s="31" t="s">
        <v>95</v>
      </c>
      <c r="E103" s="155" t="s">
        <v>95</v>
      </c>
      <c r="F103" s="155" t="s">
        <v>95</v>
      </c>
      <c r="G103" s="155" t="s">
        <v>95</v>
      </c>
      <c r="H103" s="155" t="s">
        <v>95</v>
      </c>
      <c r="I103" s="155" t="s">
        <v>95</v>
      </c>
      <c r="J103" s="155" t="s">
        <v>95</v>
      </c>
      <c r="K103" s="155" t="s">
        <v>95</v>
      </c>
      <c r="L103" s="155" t="s">
        <v>95</v>
      </c>
      <c r="M103" s="155" t="s">
        <v>95</v>
      </c>
      <c r="N103" s="155" t="s">
        <v>95</v>
      </c>
      <c r="O103" s="155" t="s">
        <v>95</v>
      </c>
      <c r="P103" s="155" t="s">
        <v>95</v>
      </c>
      <c r="Q103" s="155" t="s">
        <v>95</v>
      </c>
      <c r="R103" s="155" t="s">
        <v>95</v>
      </c>
      <c r="S103" s="155" t="s">
        <v>95</v>
      </c>
      <c r="T103" s="155" t="s">
        <v>95</v>
      </c>
      <c r="U103" s="155" t="s">
        <v>95</v>
      </c>
      <c r="V103" s="155" t="s">
        <v>95</v>
      </c>
      <c r="W103" s="155" t="s">
        <v>95</v>
      </c>
      <c r="X103" s="155" t="s">
        <v>95</v>
      </c>
      <c r="Y103" s="155" t="s">
        <v>95</v>
      </c>
      <c r="Z103" s="155" t="s">
        <v>95</v>
      </c>
      <c r="AA103" s="155" t="s">
        <v>95</v>
      </c>
      <c r="AB103" s="155" t="s">
        <v>95</v>
      </c>
      <c r="AC103" s="155" t="s">
        <v>95</v>
      </c>
      <c r="AD103" s="155" t="s">
        <v>95</v>
      </c>
      <c r="AE103" s="155" t="s">
        <v>95</v>
      </c>
      <c r="AF103" s="155" t="s">
        <v>95</v>
      </c>
      <c r="AG103" s="155" t="s">
        <v>95</v>
      </c>
      <c r="AH103" s="155" t="s">
        <v>95</v>
      </c>
      <c r="AI103" s="155" t="s">
        <v>95</v>
      </c>
      <c r="AJ103" s="155" t="s">
        <v>95</v>
      </c>
      <c r="AK103" s="155" t="s">
        <v>95</v>
      </c>
      <c r="AL103" s="155" t="s">
        <v>95</v>
      </c>
      <c r="AM103" s="155" t="s">
        <v>95</v>
      </c>
      <c r="AN103" s="155" t="s">
        <v>95</v>
      </c>
      <c r="AO103" s="155" t="s">
        <v>95</v>
      </c>
      <c r="AP103" s="155" t="s">
        <v>95</v>
      </c>
      <c r="AQ103" s="155" t="s">
        <v>95</v>
      </c>
      <c r="AR103" s="155" t="s">
        <v>95</v>
      </c>
      <c r="AS103" s="155" t="s">
        <v>95</v>
      </c>
      <c r="AT103" s="155" t="s">
        <v>95</v>
      </c>
      <c r="AU103" s="155" t="s">
        <v>95</v>
      </c>
      <c r="AV103" s="155" t="s">
        <v>95</v>
      </c>
      <c r="AW103" s="155" t="s">
        <v>95</v>
      </c>
      <c r="AX103" s="32" t="s">
        <v>95</v>
      </c>
      <c r="AY103" s="33"/>
      <c r="AZ103" s="33"/>
      <c r="BA103" s="33"/>
      <c r="BB103" s="33"/>
      <c r="BC103" s="33"/>
      <c r="BD103" s="33"/>
      <c r="BE103" s="33"/>
      <c r="BF103" s="33"/>
      <c r="BG103" s="33"/>
      <c r="BH103" s="33"/>
      <c r="BI103" s="33"/>
    </row>
    <row r="104" spans="2:61" ht="14.25" customHeight="1" x14ac:dyDescent="0.35">
      <c r="B104" s="944"/>
      <c r="C104" s="30"/>
      <c r="D104" s="125"/>
      <c r="E104" s="126" t="s">
        <v>3</v>
      </c>
      <c r="F104" s="127" t="s">
        <v>96</v>
      </c>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9"/>
    </row>
    <row r="105" spans="2:61" ht="14.25" customHeight="1" x14ac:dyDescent="0.3">
      <c r="B105" s="944"/>
      <c r="C105" s="13"/>
      <c r="D105" s="125"/>
      <c r="E105" s="130"/>
      <c r="F105" s="131" t="s">
        <v>97</v>
      </c>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9"/>
    </row>
    <row r="106" spans="2:61" ht="14.25" customHeight="1" x14ac:dyDescent="0.35">
      <c r="B106" s="1013" t="s">
        <v>98</v>
      </c>
      <c r="C106" s="30"/>
      <c r="D106" s="1004" t="s">
        <v>99</v>
      </c>
      <c r="E106" s="976"/>
      <c r="F106" s="156" t="s">
        <v>100</v>
      </c>
      <c r="G106" s="156" t="s">
        <v>95</v>
      </c>
      <c r="H106" s="156" t="s">
        <v>95</v>
      </c>
      <c r="I106" s="157">
        <v>9.4719999999999999E-2</v>
      </c>
      <c r="J106" s="158" t="s">
        <v>95</v>
      </c>
      <c r="K106" s="157">
        <v>9.4719999999999999E-2</v>
      </c>
      <c r="L106" s="158" t="s">
        <v>95</v>
      </c>
      <c r="M106" s="157">
        <v>9.4719999999999999E-2</v>
      </c>
      <c r="N106" s="158" t="s">
        <v>95</v>
      </c>
      <c r="O106" s="157">
        <v>9.0789999999999982E-2</v>
      </c>
      <c r="P106" s="158" t="s">
        <v>95</v>
      </c>
      <c r="Q106" s="157">
        <v>7.7460000000000001E-2</v>
      </c>
      <c r="R106" s="156" t="s">
        <v>95</v>
      </c>
      <c r="S106" s="156" t="s">
        <v>95</v>
      </c>
      <c r="T106" s="156" t="s">
        <v>95</v>
      </c>
      <c r="U106" s="156" t="s">
        <v>95</v>
      </c>
      <c r="V106" s="156" t="s">
        <v>95</v>
      </c>
      <c r="W106" s="156" t="s">
        <v>95</v>
      </c>
      <c r="X106" s="156" t="s">
        <v>95</v>
      </c>
      <c r="Y106" s="156" t="s">
        <v>95</v>
      </c>
      <c r="Z106" s="156" t="s">
        <v>95</v>
      </c>
      <c r="AA106" s="156" t="s">
        <v>95</v>
      </c>
      <c r="AB106" s="156" t="s">
        <v>95</v>
      </c>
      <c r="AC106" s="156" t="s">
        <v>95</v>
      </c>
      <c r="AD106" s="156" t="s">
        <v>95</v>
      </c>
      <c r="AE106" s="156" t="s">
        <v>95</v>
      </c>
      <c r="AF106" s="156" t="s">
        <v>95</v>
      </c>
      <c r="AG106" s="156" t="s">
        <v>95</v>
      </c>
      <c r="AH106" s="156" t="s">
        <v>95</v>
      </c>
      <c r="AI106" s="156" t="s">
        <v>95</v>
      </c>
      <c r="AJ106" s="156" t="s">
        <v>95</v>
      </c>
      <c r="AK106" s="156" t="s">
        <v>95</v>
      </c>
      <c r="AL106" s="156" t="s">
        <v>95</v>
      </c>
      <c r="AM106" s="156" t="s">
        <v>95</v>
      </c>
      <c r="AN106" s="156" t="s">
        <v>95</v>
      </c>
      <c r="AO106" s="156" t="s">
        <v>95</v>
      </c>
      <c r="AP106" s="156" t="s">
        <v>95</v>
      </c>
      <c r="AQ106" s="156" t="s">
        <v>95</v>
      </c>
      <c r="AR106" s="156" t="s">
        <v>95</v>
      </c>
      <c r="AS106" s="156" t="s">
        <v>95</v>
      </c>
      <c r="AT106" s="156" t="s">
        <v>95</v>
      </c>
      <c r="AU106" s="156" t="s">
        <v>95</v>
      </c>
      <c r="AV106" s="156" t="s">
        <v>95</v>
      </c>
      <c r="AW106" s="156" t="s">
        <v>95</v>
      </c>
      <c r="AX106" s="159" t="s">
        <v>95</v>
      </c>
      <c r="AY106" s="30"/>
      <c r="AZ106" s="30"/>
      <c r="BA106" s="30"/>
      <c r="BB106" s="30"/>
      <c r="BC106" s="30"/>
      <c r="BD106" s="30"/>
      <c r="BE106" s="30"/>
      <c r="BF106" s="30"/>
      <c r="BG106" s="30"/>
      <c r="BH106" s="30"/>
      <c r="BI106" s="30"/>
    </row>
    <row r="107" spans="2:61" ht="14.25" customHeight="1" x14ac:dyDescent="0.35">
      <c r="B107" s="982"/>
      <c r="C107" s="30"/>
      <c r="D107" s="1001" t="s">
        <v>101</v>
      </c>
      <c r="E107" s="1002"/>
      <c r="F107" s="156" t="s">
        <v>100</v>
      </c>
      <c r="G107" s="156" t="s">
        <v>95</v>
      </c>
      <c r="H107" s="156" t="s">
        <v>95</v>
      </c>
      <c r="I107" s="156">
        <v>2.3E-3</v>
      </c>
      <c r="J107" s="156" t="s">
        <v>95</v>
      </c>
      <c r="K107" s="156">
        <v>2.3E-3</v>
      </c>
      <c r="L107" s="156" t="s">
        <v>95</v>
      </c>
      <c r="M107" s="156">
        <v>2.3E-3</v>
      </c>
      <c r="N107" s="156" t="s">
        <v>95</v>
      </c>
      <c r="O107" s="156">
        <v>1.1140000000000001E-2</v>
      </c>
      <c r="P107" s="156" t="s">
        <v>95</v>
      </c>
      <c r="Q107" s="156">
        <v>8.6E-3</v>
      </c>
      <c r="R107" s="156" t="s">
        <v>95</v>
      </c>
      <c r="S107" s="156" t="s">
        <v>95</v>
      </c>
      <c r="T107" s="156" t="s">
        <v>95</v>
      </c>
      <c r="U107" s="156" t="s">
        <v>95</v>
      </c>
      <c r="V107" s="156" t="s">
        <v>95</v>
      </c>
      <c r="W107" s="156" t="s">
        <v>95</v>
      </c>
      <c r="X107" s="156" t="s">
        <v>95</v>
      </c>
      <c r="Y107" s="156" t="s">
        <v>95</v>
      </c>
      <c r="Z107" s="156" t="s">
        <v>95</v>
      </c>
      <c r="AA107" s="156" t="s">
        <v>95</v>
      </c>
      <c r="AB107" s="156" t="s">
        <v>95</v>
      </c>
      <c r="AC107" s="156" t="s">
        <v>95</v>
      </c>
      <c r="AD107" s="156" t="s">
        <v>95</v>
      </c>
      <c r="AE107" s="156" t="s">
        <v>95</v>
      </c>
      <c r="AF107" s="156" t="s">
        <v>95</v>
      </c>
      <c r="AG107" s="156" t="s">
        <v>95</v>
      </c>
      <c r="AH107" s="156" t="s">
        <v>95</v>
      </c>
      <c r="AI107" s="156" t="s">
        <v>95</v>
      </c>
      <c r="AJ107" s="156" t="s">
        <v>95</v>
      </c>
      <c r="AK107" s="156" t="s">
        <v>95</v>
      </c>
      <c r="AL107" s="156" t="s">
        <v>95</v>
      </c>
      <c r="AM107" s="156" t="s">
        <v>95</v>
      </c>
      <c r="AN107" s="156" t="s">
        <v>95</v>
      </c>
      <c r="AO107" s="156" t="s">
        <v>95</v>
      </c>
      <c r="AP107" s="156" t="s">
        <v>95</v>
      </c>
      <c r="AQ107" s="156" t="s">
        <v>95</v>
      </c>
      <c r="AR107" s="156" t="s">
        <v>95</v>
      </c>
      <c r="AS107" s="156" t="s">
        <v>95</v>
      </c>
      <c r="AT107" s="156" t="s">
        <v>95</v>
      </c>
      <c r="AU107" s="156" t="s">
        <v>95</v>
      </c>
      <c r="AV107" s="156" t="s">
        <v>95</v>
      </c>
      <c r="AW107" s="156" t="s">
        <v>95</v>
      </c>
      <c r="AX107" s="159" t="s">
        <v>95</v>
      </c>
      <c r="AY107" s="33"/>
      <c r="AZ107" s="33"/>
      <c r="BA107" s="33"/>
      <c r="BB107" s="33"/>
      <c r="BC107" s="33"/>
      <c r="BD107" s="33"/>
      <c r="BE107" s="33"/>
      <c r="BF107" s="33"/>
      <c r="BG107" s="33"/>
      <c r="BH107" s="33"/>
      <c r="BI107" s="33"/>
    </row>
    <row r="108" spans="2:61" ht="14.25" customHeight="1" x14ac:dyDescent="0.35">
      <c r="B108" s="982"/>
      <c r="C108" s="30"/>
      <c r="D108" s="1001" t="s">
        <v>102</v>
      </c>
      <c r="E108" s="1002"/>
      <c r="F108" s="156" t="s">
        <v>100</v>
      </c>
      <c r="G108" s="156" t="s">
        <v>95</v>
      </c>
      <c r="H108" s="156" t="s">
        <v>95</v>
      </c>
      <c r="I108" s="156">
        <v>2.4389999999999998E-2</v>
      </c>
      <c r="J108" s="156" t="s">
        <v>95</v>
      </c>
      <c r="K108" s="156">
        <v>2.4389999999999998E-2</v>
      </c>
      <c r="L108" s="156" t="s">
        <v>95</v>
      </c>
      <c r="M108" s="156">
        <v>2.4389999999999998E-2</v>
      </c>
      <c r="N108" s="156" t="s">
        <v>95</v>
      </c>
      <c r="O108" s="156">
        <v>5.355E-2</v>
      </c>
      <c r="P108" s="156" t="s">
        <v>95</v>
      </c>
      <c r="Q108" s="156">
        <v>1.486E-2</v>
      </c>
      <c r="R108" s="156" t="s">
        <v>95</v>
      </c>
      <c r="S108" s="156" t="s">
        <v>95</v>
      </c>
      <c r="T108" s="156" t="s">
        <v>95</v>
      </c>
      <c r="U108" s="156" t="s">
        <v>95</v>
      </c>
      <c r="V108" s="156" t="s">
        <v>95</v>
      </c>
      <c r="W108" s="156" t="s">
        <v>95</v>
      </c>
      <c r="X108" s="156" t="s">
        <v>95</v>
      </c>
      <c r="Y108" s="156" t="s">
        <v>95</v>
      </c>
      <c r="Z108" s="156" t="s">
        <v>95</v>
      </c>
      <c r="AA108" s="156" t="s">
        <v>95</v>
      </c>
      <c r="AB108" s="156" t="s">
        <v>95</v>
      </c>
      <c r="AC108" s="156" t="s">
        <v>95</v>
      </c>
      <c r="AD108" s="156" t="s">
        <v>95</v>
      </c>
      <c r="AE108" s="156" t="s">
        <v>95</v>
      </c>
      <c r="AF108" s="156" t="s">
        <v>95</v>
      </c>
      <c r="AG108" s="156" t="s">
        <v>95</v>
      </c>
      <c r="AH108" s="156" t="s">
        <v>95</v>
      </c>
      <c r="AI108" s="156" t="s">
        <v>95</v>
      </c>
      <c r="AJ108" s="156" t="s">
        <v>95</v>
      </c>
      <c r="AK108" s="156" t="s">
        <v>95</v>
      </c>
      <c r="AL108" s="156" t="s">
        <v>95</v>
      </c>
      <c r="AM108" s="156" t="s">
        <v>95</v>
      </c>
      <c r="AN108" s="156" t="s">
        <v>95</v>
      </c>
      <c r="AO108" s="156" t="s">
        <v>95</v>
      </c>
      <c r="AP108" s="156" t="s">
        <v>95</v>
      </c>
      <c r="AQ108" s="156" t="s">
        <v>95</v>
      </c>
      <c r="AR108" s="156" t="s">
        <v>95</v>
      </c>
      <c r="AS108" s="156" t="s">
        <v>95</v>
      </c>
      <c r="AT108" s="156" t="s">
        <v>95</v>
      </c>
      <c r="AU108" s="156" t="s">
        <v>95</v>
      </c>
      <c r="AV108" s="156" t="s">
        <v>95</v>
      </c>
      <c r="AW108" s="156" t="s">
        <v>95</v>
      </c>
      <c r="AX108" s="159" t="s">
        <v>95</v>
      </c>
      <c r="AY108" s="33"/>
      <c r="AZ108" s="33"/>
      <c r="BA108" s="33"/>
      <c r="BB108" s="33"/>
      <c r="BC108" s="33"/>
      <c r="BD108" s="33"/>
      <c r="BE108" s="33"/>
      <c r="BF108" s="33"/>
      <c r="BG108" s="33"/>
      <c r="BH108" s="33"/>
      <c r="BI108" s="33"/>
    </row>
    <row r="109" spans="2:61" ht="14.25" customHeight="1" x14ac:dyDescent="0.35">
      <c r="B109" s="982"/>
      <c r="C109" s="30"/>
      <c r="D109" s="1001" t="s">
        <v>103</v>
      </c>
      <c r="E109" s="1002"/>
      <c r="F109" s="156" t="s">
        <v>100</v>
      </c>
      <c r="G109" s="156" t="s">
        <v>95</v>
      </c>
      <c r="H109" s="156" t="s">
        <v>95</v>
      </c>
      <c r="I109" s="156">
        <v>8.3199999999999993E-3</v>
      </c>
      <c r="J109" s="156" t="s">
        <v>95</v>
      </c>
      <c r="K109" s="156">
        <v>8.3199999999999993E-3</v>
      </c>
      <c r="L109" s="156" t="s">
        <v>95</v>
      </c>
      <c r="M109" s="156">
        <v>8.3199999999999993E-3</v>
      </c>
      <c r="N109" s="156" t="s">
        <v>95</v>
      </c>
      <c r="O109" s="156">
        <v>1.022E-2</v>
      </c>
      <c r="P109" s="156" t="s">
        <v>95</v>
      </c>
      <c r="Q109" s="156">
        <v>6.7299999999999999E-3</v>
      </c>
      <c r="R109" s="156" t="s">
        <v>95</v>
      </c>
      <c r="S109" s="156" t="s">
        <v>95</v>
      </c>
      <c r="T109" s="156" t="s">
        <v>95</v>
      </c>
      <c r="U109" s="156" t="s">
        <v>95</v>
      </c>
      <c r="V109" s="156" t="s">
        <v>95</v>
      </c>
      <c r="W109" s="156" t="s">
        <v>95</v>
      </c>
      <c r="X109" s="156" t="s">
        <v>95</v>
      </c>
      <c r="Y109" s="156" t="s">
        <v>95</v>
      </c>
      <c r="Z109" s="156" t="s">
        <v>95</v>
      </c>
      <c r="AA109" s="156" t="s">
        <v>95</v>
      </c>
      <c r="AB109" s="156" t="s">
        <v>95</v>
      </c>
      <c r="AC109" s="156" t="s">
        <v>95</v>
      </c>
      <c r="AD109" s="156" t="s">
        <v>95</v>
      </c>
      <c r="AE109" s="156" t="s">
        <v>95</v>
      </c>
      <c r="AF109" s="156" t="s">
        <v>95</v>
      </c>
      <c r="AG109" s="156" t="s">
        <v>95</v>
      </c>
      <c r="AH109" s="156" t="s">
        <v>95</v>
      </c>
      <c r="AI109" s="156" t="s">
        <v>95</v>
      </c>
      <c r="AJ109" s="156" t="s">
        <v>95</v>
      </c>
      <c r="AK109" s="156" t="s">
        <v>95</v>
      </c>
      <c r="AL109" s="156" t="s">
        <v>95</v>
      </c>
      <c r="AM109" s="156" t="s">
        <v>95</v>
      </c>
      <c r="AN109" s="156" t="s">
        <v>95</v>
      </c>
      <c r="AO109" s="156" t="s">
        <v>95</v>
      </c>
      <c r="AP109" s="156" t="s">
        <v>95</v>
      </c>
      <c r="AQ109" s="156" t="s">
        <v>95</v>
      </c>
      <c r="AR109" s="156" t="s">
        <v>95</v>
      </c>
      <c r="AS109" s="156" t="s">
        <v>95</v>
      </c>
      <c r="AT109" s="156" t="s">
        <v>95</v>
      </c>
      <c r="AU109" s="156" t="s">
        <v>95</v>
      </c>
      <c r="AV109" s="156" t="s">
        <v>95</v>
      </c>
      <c r="AW109" s="156" t="s">
        <v>95</v>
      </c>
      <c r="AX109" s="159" t="s">
        <v>95</v>
      </c>
      <c r="AY109" s="33"/>
      <c r="AZ109" s="33"/>
      <c r="BA109" s="33"/>
      <c r="BB109" s="33"/>
      <c r="BC109" s="33"/>
      <c r="BD109" s="33"/>
      <c r="BE109" s="33"/>
      <c r="BF109" s="33"/>
      <c r="BG109" s="33"/>
      <c r="BH109" s="33"/>
      <c r="BI109" s="33"/>
    </row>
    <row r="110" spans="2:61" ht="14.25" customHeight="1" x14ac:dyDescent="0.35">
      <c r="B110" s="982"/>
      <c r="C110" s="30"/>
      <c r="D110" s="1001" t="s">
        <v>80</v>
      </c>
      <c r="E110" s="1002"/>
      <c r="F110" s="156" t="s">
        <v>100</v>
      </c>
      <c r="G110" s="156" t="s">
        <v>95</v>
      </c>
      <c r="H110" s="156" t="s">
        <v>95</v>
      </c>
      <c r="I110" s="156">
        <v>0</v>
      </c>
      <c r="J110" s="156" t="s">
        <v>95</v>
      </c>
      <c r="K110" s="156">
        <v>0</v>
      </c>
      <c r="L110" s="156" t="s">
        <v>95</v>
      </c>
      <c r="M110" s="156">
        <v>0</v>
      </c>
      <c r="N110" s="156" t="s">
        <v>95</v>
      </c>
      <c r="O110" s="156">
        <v>0</v>
      </c>
      <c r="P110" s="156" t="s">
        <v>95</v>
      </c>
      <c r="Q110" s="156">
        <v>0</v>
      </c>
      <c r="R110" s="156" t="s">
        <v>95</v>
      </c>
      <c r="S110" s="156" t="s">
        <v>95</v>
      </c>
      <c r="T110" s="156" t="s">
        <v>95</v>
      </c>
      <c r="U110" s="156" t="s">
        <v>95</v>
      </c>
      <c r="V110" s="156" t="s">
        <v>95</v>
      </c>
      <c r="W110" s="156" t="s">
        <v>95</v>
      </c>
      <c r="X110" s="156" t="s">
        <v>95</v>
      </c>
      <c r="Y110" s="156" t="s">
        <v>95</v>
      </c>
      <c r="Z110" s="156" t="s">
        <v>95</v>
      </c>
      <c r="AA110" s="156" t="s">
        <v>95</v>
      </c>
      <c r="AB110" s="156" t="s">
        <v>95</v>
      </c>
      <c r="AC110" s="156" t="s">
        <v>95</v>
      </c>
      <c r="AD110" s="156" t="s">
        <v>95</v>
      </c>
      <c r="AE110" s="156" t="s">
        <v>95</v>
      </c>
      <c r="AF110" s="156" t="s">
        <v>95</v>
      </c>
      <c r="AG110" s="156" t="s">
        <v>95</v>
      </c>
      <c r="AH110" s="156" t="s">
        <v>95</v>
      </c>
      <c r="AI110" s="156" t="s">
        <v>95</v>
      </c>
      <c r="AJ110" s="156" t="s">
        <v>95</v>
      </c>
      <c r="AK110" s="156" t="s">
        <v>95</v>
      </c>
      <c r="AL110" s="156" t="s">
        <v>95</v>
      </c>
      <c r="AM110" s="156" t="s">
        <v>95</v>
      </c>
      <c r="AN110" s="156" t="s">
        <v>95</v>
      </c>
      <c r="AO110" s="156" t="s">
        <v>95</v>
      </c>
      <c r="AP110" s="156" t="s">
        <v>95</v>
      </c>
      <c r="AQ110" s="156" t="s">
        <v>95</v>
      </c>
      <c r="AR110" s="156" t="s">
        <v>95</v>
      </c>
      <c r="AS110" s="156" t="s">
        <v>95</v>
      </c>
      <c r="AT110" s="156" t="s">
        <v>95</v>
      </c>
      <c r="AU110" s="156" t="s">
        <v>95</v>
      </c>
      <c r="AV110" s="156" t="s">
        <v>95</v>
      </c>
      <c r="AW110" s="156" t="s">
        <v>95</v>
      </c>
      <c r="AX110" s="159" t="s">
        <v>95</v>
      </c>
      <c r="AY110" s="33"/>
      <c r="AZ110" s="33"/>
      <c r="BA110" s="33"/>
      <c r="BB110" s="33"/>
      <c r="BC110" s="33"/>
      <c r="BD110" s="33"/>
      <c r="BE110" s="33"/>
      <c r="BF110" s="33"/>
      <c r="BG110" s="33"/>
      <c r="BH110" s="33"/>
      <c r="BI110" s="33"/>
    </row>
    <row r="111" spans="2:61" ht="14.25" customHeight="1" x14ac:dyDescent="0.35">
      <c r="B111" s="982"/>
      <c r="C111" s="30"/>
      <c r="D111" s="1001" t="s">
        <v>57</v>
      </c>
      <c r="E111" s="1002"/>
      <c r="F111" s="156" t="s">
        <v>100</v>
      </c>
      <c r="G111" s="156" t="s">
        <v>95</v>
      </c>
      <c r="H111" s="156" t="s">
        <v>95</v>
      </c>
      <c r="I111" s="156">
        <v>1.2800000000000001E-3</v>
      </c>
      <c r="J111" s="156" t="s">
        <v>95</v>
      </c>
      <c r="K111" s="156">
        <v>1.2800000000000001E-3</v>
      </c>
      <c r="L111" s="156" t="s">
        <v>95</v>
      </c>
      <c r="M111" s="156">
        <v>1.2800000000000001E-3</v>
      </c>
      <c r="N111" s="156" t="s">
        <v>95</v>
      </c>
      <c r="O111" s="156">
        <v>9.2300000000000004E-3</v>
      </c>
      <c r="P111" s="156" t="s">
        <v>95</v>
      </c>
      <c r="Q111" s="156">
        <v>1.5499999999999999E-3</v>
      </c>
      <c r="R111" s="156" t="s">
        <v>95</v>
      </c>
      <c r="S111" s="156" t="s">
        <v>95</v>
      </c>
      <c r="T111" s="156" t="s">
        <v>95</v>
      </c>
      <c r="U111" s="156" t="s">
        <v>95</v>
      </c>
      <c r="V111" s="156" t="s">
        <v>95</v>
      </c>
      <c r="W111" s="156" t="s">
        <v>95</v>
      </c>
      <c r="X111" s="156" t="s">
        <v>95</v>
      </c>
      <c r="Y111" s="156" t="s">
        <v>95</v>
      </c>
      <c r="Z111" s="156" t="s">
        <v>95</v>
      </c>
      <c r="AA111" s="156" t="s">
        <v>95</v>
      </c>
      <c r="AB111" s="156" t="s">
        <v>95</v>
      </c>
      <c r="AC111" s="156" t="s">
        <v>95</v>
      </c>
      <c r="AD111" s="156" t="s">
        <v>95</v>
      </c>
      <c r="AE111" s="156" t="s">
        <v>95</v>
      </c>
      <c r="AF111" s="156" t="s">
        <v>95</v>
      </c>
      <c r="AG111" s="156" t="s">
        <v>95</v>
      </c>
      <c r="AH111" s="156" t="s">
        <v>95</v>
      </c>
      <c r="AI111" s="156" t="s">
        <v>95</v>
      </c>
      <c r="AJ111" s="156" t="s">
        <v>95</v>
      </c>
      <c r="AK111" s="156" t="s">
        <v>95</v>
      </c>
      <c r="AL111" s="156" t="s">
        <v>95</v>
      </c>
      <c r="AM111" s="156" t="s">
        <v>95</v>
      </c>
      <c r="AN111" s="156" t="s">
        <v>95</v>
      </c>
      <c r="AO111" s="156" t="s">
        <v>95</v>
      </c>
      <c r="AP111" s="156" t="s">
        <v>95</v>
      </c>
      <c r="AQ111" s="156" t="s">
        <v>95</v>
      </c>
      <c r="AR111" s="156" t="s">
        <v>95</v>
      </c>
      <c r="AS111" s="156" t="s">
        <v>95</v>
      </c>
      <c r="AT111" s="156" t="s">
        <v>95</v>
      </c>
      <c r="AU111" s="156" t="s">
        <v>95</v>
      </c>
      <c r="AV111" s="156" t="s">
        <v>95</v>
      </c>
      <c r="AW111" s="156" t="s">
        <v>95</v>
      </c>
      <c r="AX111" s="159" t="s">
        <v>95</v>
      </c>
      <c r="AY111" s="33"/>
      <c r="AZ111" s="33"/>
      <c r="BA111" s="33"/>
      <c r="BB111" s="33"/>
      <c r="BC111" s="33"/>
      <c r="BD111" s="33"/>
      <c r="BE111" s="33"/>
      <c r="BF111" s="33"/>
      <c r="BG111" s="33"/>
      <c r="BH111" s="33"/>
      <c r="BI111" s="33"/>
    </row>
    <row r="112" spans="2:61" ht="14.25" customHeight="1" x14ac:dyDescent="0.35">
      <c r="B112" s="34" t="s">
        <v>95</v>
      </c>
      <c r="C112" s="34"/>
      <c r="D112" s="160" t="s">
        <v>95</v>
      </c>
      <c r="E112" s="161" t="s">
        <v>95</v>
      </c>
      <c r="F112" s="162" t="s">
        <v>24</v>
      </c>
      <c r="G112" s="162" t="s">
        <v>95</v>
      </c>
      <c r="H112" s="162" t="s">
        <v>95</v>
      </c>
      <c r="I112" s="162">
        <v>0.13102</v>
      </c>
      <c r="J112" s="162" t="s">
        <v>95</v>
      </c>
      <c r="K112" s="162">
        <v>0.13102</v>
      </c>
      <c r="L112" s="162" t="s">
        <v>95</v>
      </c>
      <c r="M112" s="162">
        <v>0.13102</v>
      </c>
      <c r="N112" s="162" t="s">
        <v>95</v>
      </c>
      <c r="O112" s="162">
        <v>0.1749</v>
      </c>
      <c r="P112" s="162" t="s">
        <v>95</v>
      </c>
      <c r="Q112" s="162">
        <v>0.10920000000000001</v>
      </c>
      <c r="R112" s="162" t="s">
        <v>95</v>
      </c>
      <c r="S112" s="162" t="s">
        <v>95</v>
      </c>
      <c r="T112" s="162" t="s">
        <v>95</v>
      </c>
      <c r="U112" s="162" t="s">
        <v>95</v>
      </c>
      <c r="V112" s="162" t="s">
        <v>95</v>
      </c>
      <c r="W112" s="162" t="s">
        <v>95</v>
      </c>
      <c r="X112" s="162" t="s">
        <v>95</v>
      </c>
      <c r="Y112" s="162" t="s">
        <v>95</v>
      </c>
      <c r="Z112" s="162" t="s">
        <v>95</v>
      </c>
      <c r="AA112" s="162" t="s">
        <v>95</v>
      </c>
      <c r="AB112" s="162" t="s">
        <v>95</v>
      </c>
      <c r="AC112" s="162" t="s">
        <v>95</v>
      </c>
      <c r="AD112" s="162" t="s">
        <v>95</v>
      </c>
      <c r="AE112" s="162" t="s">
        <v>95</v>
      </c>
      <c r="AF112" s="162" t="s">
        <v>95</v>
      </c>
      <c r="AG112" s="162" t="s">
        <v>95</v>
      </c>
      <c r="AH112" s="162" t="s">
        <v>95</v>
      </c>
      <c r="AI112" s="162" t="s">
        <v>95</v>
      </c>
      <c r="AJ112" s="162" t="s">
        <v>95</v>
      </c>
      <c r="AK112" s="162" t="s">
        <v>95</v>
      </c>
      <c r="AL112" s="162" t="s">
        <v>95</v>
      </c>
      <c r="AM112" s="162" t="s">
        <v>95</v>
      </c>
      <c r="AN112" s="162" t="s">
        <v>95</v>
      </c>
      <c r="AO112" s="162" t="s">
        <v>95</v>
      </c>
      <c r="AP112" s="162" t="s">
        <v>95</v>
      </c>
      <c r="AQ112" s="162" t="s">
        <v>95</v>
      </c>
      <c r="AR112" s="162" t="s">
        <v>95</v>
      </c>
      <c r="AS112" s="162" t="s">
        <v>95</v>
      </c>
      <c r="AT112" s="162" t="s">
        <v>95</v>
      </c>
      <c r="AU112" s="162" t="s">
        <v>95</v>
      </c>
      <c r="AV112" s="162" t="s">
        <v>95</v>
      </c>
      <c r="AW112" s="162" t="s">
        <v>95</v>
      </c>
      <c r="AX112" s="163" t="s">
        <v>95</v>
      </c>
      <c r="AY112" s="14"/>
      <c r="AZ112" s="14"/>
      <c r="BA112" s="14"/>
      <c r="BB112" s="14"/>
      <c r="BC112" s="14"/>
      <c r="BD112" s="14"/>
      <c r="BE112" s="14"/>
      <c r="BF112" s="14"/>
      <c r="BG112" s="14"/>
      <c r="BH112" s="14"/>
      <c r="BI112" s="14"/>
    </row>
    <row r="113" spans="2:61" ht="14.25" customHeight="1" x14ac:dyDescent="0.35">
      <c r="B113" s="34"/>
      <c r="C113" s="34"/>
      <c r="D113" s="160"/>
      <c r="E113" s="161"/>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62"/>
      <c r="AD113" s="162"/>
      <c r="AE113" s="162"/>
      <c r="AF113" s="162"/>
      <c r="AG113" s="162"/>
      <c r="AH113" s="162"/>
      <c r="AI113" s="162"/>
      <c r="AJ113" s="162"/>
      <c r="AK113" s="162"/>
      <c r="AL113" s="162"/>
      <c r="AM113" s="162"/>
      <c r="AN113" s="162"/>
      <c r="AO113" s="162"/>
      <c r="AP113" s="162"/>
      <c r="AQ113" s="162"/>
      <c r="AR113" s="162"/>
      <c r="AS113" s="162"/>
      <c r="AT113" s="162"/>
      <c r="AU113" s="162"/>
      <c r="AV113" s="162"/>
      <c r="AW113" s="162"/>
      <c r="AX113" s="163"/>
      <c r="AY113" s="14"/>
      <c r="AZ113" s="14"/>
      <c r="BA113" s="14"/>
      <c r="BB113" s="14"/>
      <c r="BC113" s="14"/>
      <c r="BD113" s="14"/>
      <c r="BE113" s="14"/>
      <c r="BF113" s="14"/>
      <c r="BG113" s="14"/>
      <c r="BH113" s="14"/>
      <c r="BI113" s="14"/>
    </row>
    <row r="114" spans="2:61" ht="14.25" customHeight="1" x14ac:dyDescent="0.3">
      <c r="B114" s="944"/>
      <c r="C114" s="13"/>
      <c r="D114" s="125"/>
      <c r="E114" s="126" t="s">
        <v>3</v>
      </c>
      <c r="F114" s="131" t="s">
        <v>104</v>
      </c>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9"/>
    </row>
    <row r="115" spans="2:61" ht="14.25" customHeight="1" x14ac:dyDescent="0.3">
      <c r="B115" s="944"/>
      <c r="C115" s="13"/>
      <c r="D115" s="130"/>
      <c r="E115" s="126"/>
      <c r="F115" s="131"/>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9"/>
    </row>
    <row r="116" spans="2:61" ht="14.25" customHeight="1" x14ac:dyDescent="0.35">
      <c r="B116" s="1013" t="s">
        <v>98</v>
      </c>
      <c r="C116" s="30"/>
      <c r="D116" s="1016" t="s">
        <v>99</v>
      </c>
      <c r="E116" s="1002"/>
      <c r="F116" s="156" t="s">
        <v>105</v>
      </c>
      <c r="G116" s="156" t="s">
        <v>95</v>
      </c>
      <c r="H116" s="156" t="s">
        <v>95</v>
      </c>
      <c r="I116" s="156">
        <v>0</v>
      </c>
      <c r="J116" s="156" t="s">
        <v>95</v>
      </c>
      <c r="K116" s="156">
        <v>0</v>
      </c>
      <c r="L116" s="156" t="s">
        <v>95</v>
      </c>
      <c r="M116" s="156">
        <v>0</v>
      </c>
      <c r="N116" s="156" t="s">
        <v>95</v>
      </c>
      <c r="O116" s="156">
        <v>0</v>
      </c>
      <c r="P116" s="156" t="s">
        <v>95</v>
      </c>
      <c r="Q116" s="157">
        <v>1.8E-3</v>
      </c>
      <c r="R116" s="156" t="s">
        <v>95</v>
      </c>
      <c r="S116" s="156" t="s">
        <v>95</v>
      </c>
      <c r="T116" s="156" t="s">
        <v>95</v>
      </c>
      <c r="U116" s="156" t="s">
        <v>95</v>
      </c>
      <c r="V116" s="156" t="s">
        <v>95</v>
      </c>
      <c r="W116" s="156" t="s">
        <v>95</v>
      </c>
      <c r="X116" s="156" t="s">
        <v>95</v>
      </c>
      <c r="Y116" s="156" t="s">
        <v>95</v>
      </c>
      <c r="Z116" s="156" t="s">
        <v>95</v>
      </c>
      <c r="AA116" s="156" t="s">
        <v>95</v>
      </c>
      <c r="AB116" s="156" t="s">
        <v>95</v>
      </c>
      <c r="AC116" s="156" t="s">
        <v>95</v>
      </c>
      <c r="AD116" s="156" t="s">
        <v>95</v>
      </c>
      <c r="AE116" s="156" t="s">
        <v>95</v>
      </c>
      <c r="AF116" s="156" t="s">
        <v>95</v>
      </c>
      <c r="AG116" s="156" t="s">
        <v>95</v>
      </c>
      <c r="AH116" s="156" t="s">
        <v>95</v>
      </c>
      <c r="AI116" s="156" t="s">
        <v>95</v>
      </c>
      <c r="AJ116" s="156" t="s">
        <v>95</v>
      </c>
      <c r="AK116" s="156" t="s">
        <v>95</v>
      </c>
      <c r="AL116" s="156" t="s">
        <v>95</v>
      </c>
      <c r="AM116" s="156" t="s">
        <v>95</v>
      </c>
      <c r="AN116" s="156" t="s">
        <v>95</v>
      </c>
      <c r="AO116" s="156" t="s">
        <v>95</v>
      </c>
      <c r="AP116" s="156" t="s">
        <v>95</v>
      </c>
      <c r="AQ116" s="156" t="s">
        <v>95</v>
      </c>
      <c r="AR116" s="156" t="s">
        <v>95</v>
      </c>
      <c r="AS116" s="156" t="s">
        <v>95</v>
      </c>
      <c r="AT116" s="156" t="s">
        <v>95</v>
      </c>
      <c r="AU116" s="156" t="s">
        <v>95</v>
      </c>
      <c r="AV116" s="156" t="s">
        <v>95</v>
      </c>
      <c r="AW116" s="156" t="s">
        <v>95</v>
      </c>
      <c r="AX116" s="159" t="s">
        <v>95</v>
      </c>
      <c r="AY116" s="30"/>
      <c r="AZ116" s="30"/>
      <c r="BA116" s="30"/>
      <c r="BB116" s="30"/>
      <c r="BC116" s="30"/>
      <c r="BD116" s="30"/>
      <c r="BE116" s="30"/>
      <c r="BF116" s="30"/>
      <c r="BG116" s="30"/>
      <c r="BH116" s="30"/>
      <c r="BI116" s="30"/>
    </row>
    <row r="117" spans="2:61" ht="14.25" customHeight="1" x14ac:dyDescent="0.35">
      <c r="B117" s="982"/>
      <c r="C117" s="30"/>
      <c r="D117" s="1001" t="s">
        <v>101</v>
      </c>
      <c r="E117" s="1002"/>
      <c r="F117" s="156" t="s">
        <v>105</v>
      </c>
      <c r="G117" s="156" t="s">
        <v>95</v>
      </c>
      <c r="H117" s="156" t="s">
        <v>95</v>
      </c>
      <c r="I117" s="156">
        <v>1.6299999999999999E-3</v>
      </c>
      <c r="J117" s="156" t="s">
        <v>95</v>
      </c>
      <c r="K117" s="156">
        <v>1.6299999999999999E-3</v>
      </c>
      <c r="L117" s="156" t="s">
        <v>95</v>
      </c>
      <c r="M117" s="156">
        <v>1.6299999999999999E-3</v>
      </c>
      <c r="N117" s="156" t="s">
        <v>95</v>
      </c>
      <c r="O117" s="156">
        <v>1.1E-4</v>
      </c>
      <c r="P117" s="156" t="s">
        <v>95</v>
      </c>
      <c r="Q117" s="156">
        <v>4.3699999999999998E-3</v>
      </c>
      <c r="R117" s="156" t="s">
        <v>95</v>
      </c>
      <c r="S117" s="156" t="s">
        <v>95</v>
      </c>
      <c r="T117" s="156" t="s">
        <v>95</v>
      </c>
      <c r="U117" s="156" t="s">
        <v>95</v>
      </c>
      <c r="V117" s="156" t="s">
        <v>95</v>
      </c>
      <c r="W117" s="156" t="s">
        <v>95</v>
      </c>
      <c r="X117" s="156" t="s">
        <v>95</v>
      </c>
      <c r="Y117" s="156" t="s">
        <v>95</v>
      </c>
      <c r="Z117" s="156" t="s">
        <v>95</v>
      </c>
      <c r="AA117" s="156" t="s">
        <v>95</v>
      </c>
      <c r="AB117" s="156" t="s">
        <v>95</v>
      </c>
      <c r="AC117" s="156" t="s">
        <v>95</v>
      </c>
      <c r="AD117" s="156" t="s">
        <v>95</v>
      </c>
      <c r="AE117" s="156" t="s">
        <v>95</v>
      </c>
      <c r="AF117" s="156" t="s">
        <v>95</v>
      </c>
      <c r="AG117" s="156" t="s">
        <v>95</v>
      </c>
      <c r="AH117" s="156" t="s">
        <v>95</v>
      </c>
      <c r="AI117" s="156" t="s">
        <v>95</v>
      </c>
      <c r="AJ117" s="156" t="s">
        <v>95</v>
      </c>
      <c r="AK117" s="156" t="s">
        <v>95</v>
      </c>
      <c r="AL117" s="156" t="s">
        <v>95</v>
      </c>
      <c r="AM117" s="156" t="s">
        <v>95</v>
      </c>
      <c r="AN117" s="156" t="s">
        <v>95</v>
      </c>
      <c r="AO117" s="156" t="s">
        <v>95</v>
      </c>
      <c r="AP117" s="156" t="s">
        <v>95</v>
      </c>
      <c r="AQ117" s="156" t="s">
        <v>95</v>
      </c>
      <c r="AR117" s="156" t="s">
        <v>95</v>
      </c>
      <c r="AS117" s="156" t="s">
        <v>95</v>
      </c>
      <c r="AT117" s="156" t="s">
        <v>95</v>
      </c>
      <c r="AU117" s="156" t="s">
        <v>95</v>
      </c>
      <c r="AV117" s="156" t="s">
        <v>95</v>
      </c>
      <c r="AW117" s="156" t="s">
        <v>95</v>
      </c>
      <c r="AX117" s="159" t="s">
        <v>95</v>
      </c>
      <c r="AY117" s="33"/>
      <c r="AZ117" s="33"/>
      <c r="BA117" s="33"/>
      <c r="BB117" s="33"/>
      <c r="BC117" s="33"/>
      <c r="BD117" s="33"/>
      <c r="BE117" s="33"/>
      <c r="BF117" s="33"/>
      <c r="BG117" s="33"/>
      <c r="BH117" s="33"/>
      <c r="BI117" s="33"/>
    </row>
    <row r="118" spans="2:61" ht="14.25" customHeight="1" x14ac:dyDescent="0.35">
      <c r="B118" s="982"/>
      <c r="C118" s="30"/>
      <c r="D118" s="1001" t="s">
        <v>106</v>
      </c>
      <c r="E118" s="1002"/>
      <c r="F118" s="156" t="s">
        <v>105</v>
      </c>
      <c r="G118" s="156" t="s">
        <v>95</v>
      </c>
      <c r="H118" s="156" t="s">
        <v>95</v>
      </c>
      <c r="I118" s="156">
        <v>6.6530000000000006E-2</v>
      </c>
      <c r="J118" s="156" t="s">
        <v>95</v>
      </c>
      <c r="K118" s="156">
        <v>6.6530000000000006E-2</v>
      </c>
      <c r="L118" s="156" t="s">
        <v>95</v>
      </c>
      <c r="M118" s="156">
        <v>6.6530000000000006E-2</v>
      </c>
      <c r="N118" s="156" t="s">
        <v>95</v>
      </c>
      <c r="O118" s="156">
        <v>2.1950000000000001E-2</v>
      </c>
      <c r="P118" s="156" t="s">
        <v>95</v>
      </c>
      <c r="Q118" s="156">
        <v>1.6049999999999998E-2</v>
      </c>
      <c r="R118" s="156" t="s">
        <v>95</v>
      </c>
      <c r="S118" s="156" t="s">
        <v>95</v>
      </c>
      <c r="T118" s="156" t="s">
        <v>95</v>
      </c>
      <c r="U118" s="156" t="s">
        <v>95</v>
      </c>
      <c r="V118" s="156" t="s">
        <v>95</v>
      </c>
      <c r="W118" s="156" t="s">
        <v>95</v>
      </c>
      <c r="X118" s="156" t="s">
        <v>95</v>
      </c>
      <c r="Y118" s="156" t="s">
        <v>95</v>
      </c>
      <c r="Z118" s="156" t="s">
        <v>95</v>
      </c>
      <c r="AA118" s="156" t="s">
        <v>95</v>
      </c>
      <c r="AB118" s="156" t="s">
        <v>95</v>
      </c>
      <c r="AC118" s="156" t="s">
        <v>95</v>
      </c>
      <c r="AD118" s="156" t="s">
        <v>95</v>
      </c>
      <c r="AE118" s="156" t="s">
        <v>95</v>
      </c>
      <c r="AF118" s="156" t="s">
        <v>95</v>
      </c>
      <c r="AG118" s="156" t="s">
        <v>95</v>
      </c>
      <c r="AH118" s="156" t="s">
        <v>95</v>
      </c>
      <c r="AI118" s="156" t="s">
        <v>95</v>
      </c>
      <c r="AJ118" s="156" t="s">
        <v>95</v>
      </c>
      <c r="AK118" s="156" t="s">
        <v>95</v>
      </c>
      <c r="AL118" s="156" t="s">
        <v>95</v>
      </c>
      <c r="AM118" s="156" t="s">
        <v>95</v>
      </c>
      <c r="AN118" s="156" t="s">
        <v>95</v>
      </c>
      <c r="AO118" s="156" t="s">
        <v>95</v>
      </c>
      <c r="AP118" s="156" t="s">
        <v>95</v>
      </c>
      <c r="AQ118" s="156" t="s">
        <v>95</v>
      </c>
      <c r="AR118" s="156" t="s">
        <v>95</v>
      </c>
      <c r="AS118" s="156" t="s">
        <v>95</v>
      </c>
      <c r="AT118" s="156" t="s">
        <v>95</v>
      </c>
      <c r="AU118" s="156" t="s">
        <v>95</v>
      </c>
      <c r="AV118" s="156" t="s">
        <v>95</v>
      </c>
      <c r="AW118" s="156" t="s">
        <v>95</v>
      </c>
      <c r="AX118" s="159" t="s">
        <v>95</v>
      </c>
      <c r="AY118" s="33"/>
      <c r="AZ118" s="33"/>
      <c r="BA118" s="33"/>
      <c r="BB118" s="33"/>
      <c r="BC118" s="33"/>
      <c r="BD118" s="33"/>
      <c r="BE118" s="33"/>
      <c r="BF118" s="33"/>
      <c r="BG118" s="33"/>
      <c r="BH118" s="33"/>
      <c r="BI118" s="33"/>
    </row>
    <row r="119" spans="2:61" ht="14.25" customHeight="1" x14ac:dyDescent="0.35">
      <c r="B119" s="982"/>
      <c r="C119" s="30"/>
      <c r="D119" s="1001" t="s">
        <v>103</v>
      </c>
      <c r="E119" s="1002"/>
      <c r="F119" s="156" t="s">
        <v>105</v>
      </c>
      <c r="G119" s="156" t="s">
        <v>95</v>
      </c>
      <c r="H119" s="156" t="s">
        <v>95</v>
      </c>
      <c r="I119" s="156">
        <v>1.0000000000000001E-5</v>
      </c>
      <c r="J119" s="156" t="s">
        <v>95</v>
      </c>
      <c r="K119" s="156">
        <v>1.0000000000000001E-5</v>
      </c>
      <c r="L119" s="156" t="s">
        <v>95</v>
      </c>
      <c r="M119" s="156">
        <v>1.0000000000000001E-5</v>
      </c>
      <c r="N119" s="156" t="s">
        <v>95</v>
      </c>
      <c r="O119" s="156">
        <v>2.7399999999999998E-3</v>
      </c>
      <c r="P119" s="156" t="s">
        <v>95</v>
      </c>
      <c r="Q119" s="156">
        <v>7.1000000000000002E-4</v>
      </c>
      <c r="R119" s="156" t="s">
        <v>95</v>
      </c>
      <c r="S119" s="156" t="s">
        <v>95</v>
      </c>
      <c r="T119" s="156" t="s">
        <v>95</v>
      </c>
      <c r="U119" s="156" t="s">
        <v>95</v>
      </c>
      <c r="V119" s="156" t="s">
        <v>95</v>
      </c>
      <c r="W119" s="156" t="s">
        <v>95</v>
      </c>
      <c r="X119" s="156" t="s">
        <v>95</v>
      </c>
      <c r="Y119" s="156" t="s">
        <v>95</v>
      </c>
      <c r="Z119" s="156" t="s">
        <v>95</v>
      </c>
      <c r="AA119" s="156" t="s">
        <v>95</v>
      </c>
      <c r="AB119" s="156" t="s">
        <v>95</v>
      </c>
      <c r="AC119" s="156" t="s">
        <v>95</v>
      </c>
      <c r="AD119" s="156" t="s">
        <v>95</v>
      </c>
      <c r="AE119" s="156" t="s">
        <v>95</v>
      </c>
      <c r="AF119" s="156" t="s">
        <v>95</v>
      </c>
      <c r="AG119" s="156" t="s">
        <v>95</v>
      </c>
      <c r="AH119" s="156" t="s">
        <v>95</v>
      </c>
      <c r="AI119" s="156" t="s">
        <v>95</v>
      </c>
      <c r="AJ119" s="156" t="s">
        <v>95</v>
      </c>
      <c r="AK119" s="156" t="s">
        <v>95</v>
      </c>
      <c r="AL119" s="156" t="s">
        <v>95</v>
      </c>
      <c r="AM119" s="156" t="s">
        <v>95</v>
      </c>
      <c r="AN119" s="156" t="s">
        <v>95</v>
      </c>
      <c r="AO119" s="156" t="s">
        <v>95</v>
      </c>
      <c r="AP119" s="156" t="s">
        <v>95</v>
      </c>
      <c r="AQ119" s="156" t="s">
        <v>95</v>
      </c>
      <c r="AR119" s="156" t="s">
        <v>95</v>
      </c>
      <c r="AS119" s="156" t="s">
        <v>95</v>
      </c>
      <c r="AT119" s="156" t="s">
        <v>95</v>
      </c>
      <c r="AU119" s="156" t="s">
        <v>95</v>
      </c>
      <c r="AV119" s="156" t="s">
        <v>95</v>
      </c>
      <c r="AW119" s="156" t="s">
        <v>95</v>
      </c>
      <c r="AX119" s="159" t="s">
        <v>95</v>
      </c>
      <c r="AY119" s="33"/>
      <c r="AZ119" s="33"/>
      <c r="BA119" s="33"/>
      <c r="BB119" s="33"/>
      <c r="BC119" s="33"/>
      <c r="BD119" s="33"/>
      <c r="BE119" s="33"/>
      <c r="BF119" s="33"/>
      <c r="BG119" s="33"/>
      <c r="BH119" s="33"/>
      <c r="BI119" s="33"/>
    </row>
    <row r="120" spans="2:61" ht="14.25" customHeight="1" x14ac:dyDescent="0.35">
      <c r="B120" s="982"/>
      <c r="C120" s="30"/>
      <c r="D120" s="1001" t="s">
        <v>57</v>
      </c>
      <c r="E120" s="1002"/>
      <c r="F120" s="156" t="s">
        <v>105</v>
      </c>
      <c r="G120" s="156" t="s">
        <v>95</v>
      </c>
      <c r="H120" s="156" t="s">
        <v>95</v>
      </c>
      <c r="I120" s="156">
        <v>3.6900000000000001E-3</v>
      </c>
      <c r="J120" s="156" t="s">
        <v>95</v>
      </c>
      <c r="K120" s="156">
        <v>3.6900000000000001E-3</v>
      </c>
      <c r="L120" s="156" t="s">
        <v>95</v>
      </c>
      <c r="M120" s="156">
        <v>3.6900000000000001E-3</v>
      </c>
      <c r="N120" s="156" t="s">
        <v>95</v>
      </c>
      <c r="O120" s="156">
        <v>4.4400000000000004E-3</v>
      </c>
      <c r="P120" s="156" t="s">
        <v>95</v>
      </c>
      <c r="Q120" s="156">
        <v>3.3E-3</v>
      </c>
      <c r="R120" s="156" t="s">
        <v>95</v>
      </c>
      <c r="S120" s="156" t="s">
        <v>95</v>
      </c>
      <c r="T120" s="156" t="s">
        <v>95</v>
      </c>
      <c r="U120" s="156" t="s">
        <v>95</v>
      </c>
      <c r="V120" s="156" t="s">
        <v>95</v>
      </c>
      <c r="W120" s="156" t="s">
        <v>95</v>
      </c>
      <c r="X120" s="156" t="s">
        <v>95</v>
      </c>
      <c r="Y120" s="156" t="s">
        <v>95</v>
      </c>
      <c r="Z120" s="156" t="s">
        <v>95</v>
      </c>
      <c r="AA120" s="156" t="s">
        <v>95</v>
      </c>
      <c r="AB120" s="156" t="s">
        <v>95</v>
      </c>
      <c r="AC120" s="156" t="s">
        <v>95</v>
      </c>
      <c r="AD120" s="156" t="s">
        <v>95</v>
      </c>
      <c r="AE120" s="156" t="s">
        <v>95</v>
      </c>
      <c r="AF120" s="156" t="s">
        <v>95</v>
      </c>
      <c r="AG120" s="156" t="s">
        <v>95</v>
      </c>
      <c r="AH120" s="156" t="s">
        <v>95</v>
      </c>
      <c r="AI120" s="156" t="s">
        <v>95</v>
      </c>
      <c r="AJ120" s="156" t="s">
        <v>95</v>
      </c>
      <c r="AK120" s="156" t="s">
        <v>95</v>
      </c>
      <c r="AL120" s="156" t="s">
        <v>95</v>
      </c>
      <c r="AM120" s="156" t="s">
        <v>95</v>
      </c>
      <c r="AN120" s="156" t="s">
        <v>95</v>
      </c>
      <c r="AO120" s="156" t="s">
        <v>95</v>
      </c>
      <c r="AP120" s="156" t="s">
        <v>95</v>
      </c>
      <c r="AQ120" s="156" t="s">
        <v>95</v>
      </c>
      <c r="AR120" s="156" t="s">
        <v>95</v>
      </c>
      <c r="AS120" s="156" t="s">
        <v>95</v>
      </c>
      <c r="AT120" s="156" t="s">
        <v>95</v>
      </c>
      <c r="AU120" s="156" t="s">
        <v>95</v>
      </c>
      <c r="AV120" s="156" t="s">
        <v>95</v>
      </c>
      <c r="AW120" s="156" t="s">
        <v>95</v>
      </c>
      <c r="AX120" s="159" t="s">
        <v>95</v>
      </c>
      <c r="AY120" s="33"/>
      <c r="AZ120" s="33"/>
      <c r="BA120" s="33"/>
      <c r="BB120" s="33"/>
      <c r="BC120" s="33"/>
      <c r="BD120" s="33"/>
      <c r="BE120" s="33"/>
      <c r="BF120" s="33"/>
      <c r="BG120" s="33"/>
      <c r="BH120" s="33"/>
      <c r="BI120" s="33"/>
    </row>
    <row r="121" spans="2:61" ht="14.25" customHeight="1" x14ac:dyDescent="0.35">
      <c r="B121" s="34" t="s">
        <v>95</v>
      </c>
      <c r="C121" s="34"/>
      <c r="D121" s="160" t="s">
        <v>95</v>
      </c>
      <c r="E121" s="161" t="s">
        <v>95</v>
      </c>
      <c r="F121" s="162" t="s">
        <v>24</v>
      </c>
      <c r="G121" s="162" t="s">
        <v>95</v>
      </c>
      <c r="H121" s="162" t="s">
        <v>95</v>
      </c>
      <c r="I121" s="162">
        <v>7.1859999999999993E-2</v>
      </c>
      <c r="J121" s="162" t="s">
        <v>95</v>
      </c>
      <c r="K121" s="162">
        <v>7.1859999999999993E-2</v>
      </c>
      <c r="L121" s="162" t="s">
        <v>95</v>
      </c>
      <c r="M121" s="162">
        <v>7.1859999999999993E-2</v>
      </c>
      <c r="N121" s="162" t="s">
        <v>95</v>
      </c>
      <c r="O121" s="162">
        <v>2.9239999999999999E-2</v>
      </c>
      <c r="P121" s="162" t="s">
        <v>95</v>
      </c>
      <c r="Q121" s="162">
        <v>2.623E-2</v>
      </c>
      <c r="R121" s="162" t="s">
        <v>95</v>
      </c>
      <c r="S121" s="162" t="s">
        <v>95</v>
      </c>
      <c r="T121" s="162" t="s">
        <v>95</v>
      </c>
      <c r="U121" s="162" t="s">
        <v>95</v>
      </c>
      <c r="V121" s="162" t="s">
        <v>95</v>
      </c>
      <c r="W121" s="162" t="s">
        <v>95</v>
      </c>
      <c r="X121" s="162" t="s">
        <v>95</v>
      </c>
      <c r="Y121" s="162" t="s">
        <v>95</v>
      </c>
      <c r="Z121" s="162" t="s">
        <v>95</v>
      </c>
      <c r="AA121" s="162" t="s">
        <v>95</v>
      </c>
      <c r="AB121" s="162" t="s">
        <v>95</v>
      </c>
      <c r="AC121" s="162" t="s">
        <v>95</v>
      </c>
      <c r="AD121" s="162" t="s">
        <v>95</v>
      </c>
      <c r="AE121" s="162" t="s">
        <v>95</v>
      </c>
      <c r="AF121" s="162" t="s">
        <v>95</v>
      </c>
      <c r="AG121" s="162" t="s">
        <v>95</v>
      </c>
      <c r="AH121" s="162" t="s">
        <v>95</v>
      </c>
      <c r="AI121" s="162" t="s">
        <v>95</v>
      </c>
      <c r="AJ121" s="162" t="s">
        <v>95</v>
      </c>
      <c r="AK121" s="162" t="s">
        <v>95</v>
      </c>
      <c r="AL121" s="162" t="s">
        <v>95</v>
      </c>
      <c r="AM121" s="162" t="s">
        <v>95</v>
      </c>
      <c r="AN121" s="162" t="s">
        <v>95</v>
      </c>
      <c r="AO121" s="162" t="s">
        <v>95</v>
      </c>
      <c r="AP121" s="162" t="s">
        <v>95</v>
      </c>
      <c r="AQ121" s="162" t="s">
        <v>95</v>
      </c>
      <c r="AR121" s="162" t="s">
        <v>95</v>
      </c>
      <c r="AS121" s="162" t="s">
        <v>95</v>
      </c>
      <c r="AT121" s="162" t="s">
        <v>95</v>
      </c>
      <c r="AU121" s="162" t="s">
        <v>95</v>
      </c>
      <c r="AV121" s="162" t="s">
        <v>95</v>
      </c>
      <c r="AW121" s="162" t="s">
        <v>95</v>
      </c>
      <c r="AX121" s="163" t="s">
        <v>95</v>
      </c>
      <c r="AY121" s="14"/>
      <c r="AZ121" s="14"/>
      <c r="BA121" s="14"/>
      <c r="BB121" s="14"/>
      <c r="BC121" s="14"/>
      <c r="BD121" s="14"/>
      <c r="BE121" s="14"/>
      <c r="BF121" s="14"/>
      <c r="BG121" s="14"/>
      <c r="BH121" s="14"/>
      <c r="BI121" s="14"/>
    </row>
    <row r="122" spans="2:61" ht="14.25" customHeight="1" x14ac:dyDescent="0.35">
      <c r="B122" s="34" t="s">
        <v>95</v>
      </c>
      <c r="C122" s="34"/>
      <c r="D122" s="160" t="s">
        <v>95</v>
      </c>
      <c r="E122" s="161" t="s">
        <v>95</v>
      </c>
      <c r="F122" s="162" t="s">
        <v>95</v>
      </c>
      <c r="G122" s="162" t="s">
        <v>95</v>
      </c>
      <c r="H122" s="162" t="s">
        <v>95</v>
      </c>
      <c r="I122" s="162" t="s">
        <v>95</v>
      </c>
      <c r="J122" s="162" t="s">
        <v>95</v>
      </c>
      <c r="K122" s="162" t="s">
        <v>95</v>
      </c>
      <c r="L122" s="162" t="s">
        <v>95</v>
      </c>
      <c r="M122" s="162" t="s">
        <v>95</v>
      </c>
      <c r="N122" s="162" t="s">
        <v>95</v>
      </c>
      <c r="O122" s="162" t="s">
        <v>95</v>
      </c>
      <c r="P122" s="162" t="s">
        <v>95</v>
      </c>
      <c r="Q122" s="162" t="s">
        <v>95</v>
      </c>
      <c r="R122" s="162" t="s">
        <v>95</v>
      </c>
      <c r="S122" s="162" t="s">
        <v>95</v>
      </c>
      <c r="T122" s="162" t="s">
        <v>95</v>
      </c>
      <c r="U122" s="162" t="s">
        <v>95</v>
      </c>
      <c r="V122" s="162" t="s">
        <v>95</v>
      </c>
      <c r="W122" s="162" t="s">
        <v>95</v>
      </c>
      <c r="X122" s="162" t="s">
        <v>95</v>
      </c>
      <c r="Y122" s="162" t="s">
        <v>95</v>
      </c>
      <c r="Z122" s="162" t="s">
        <v>95</v>
      </c>
      <c r="AA122" s="162" t="s">
        <v>95</v>
      </c>
      <c r="AB122" s="162" t="s">
        <v>95</v>
      </c>
      <c r="AC122" s="162" t="s">
        <v>95</v>
      </c>
      <c r="AD122" s="162" t="s">
        <v>95</v>
      </c>
      <c r="AE122" s="162" t="s">
        <v>95</v>
      </c>
      <c r="AF122" s="162" t="s">
        <v>95</v>
      </c>
      <c r="AG122" s="162" t="s">
        <v>95</v>
      </c>
      <c r="AH122" s="162" t="s">
        <v>95</v>
      </c>
      <c r="AI122" s="162" t="s">
        <v>95</v>
      </c>
      <c r="AJ122" s="162" t="s">
        <v>95</v>
      </c>
      <c r="AK122" s="162" t="s">
        <v>95</v>
      </c>
      <c r="AL122" s="162" t="s">
        <v>95</v>
      </c>
      <c r="AM122" s="162" t="s">
        <v>95</v>
      </c>
      <c r="AN122" s="162" t="s">
        <v>95</v>
      </c>
      <c r="AO122" s="162" t="s">
        <v>95</v>
      </c>
      <c r="AP122" s="162" t="s">
        <v>95</v>
      </c>
      <c r="AQ122" s="162" t="s">
        <v>95</v>
      </c>
      <c r="AR122" s="162" t="s">
        <v>95</v>
      </c>
      <c r="AS122" s="162" t="s">
        <v>95</v>
      </c>
      <c r="AT122" s="162" t="s">
        <v>95</v>
      </c>
      <c r="AU122" s="162" t="s">
        <v>95</v>
      </c>
      <c r="AV122" s="162" t="s">
        <v>95</v>
      </c>
      <c r="AW122" s="162" t="s">
        <v>95</v>
      </c>
      <c r="AX122" s="163" t="s">
        <v>95</v>
      </c>
      <c r="AY122" s="14"/>
      <c r="AZ122" s="14"/>
      <c r="BA122" s="14"/>
      <c r="BB122" s="14"/>
      <c r="BC122" s="14"/>
      <c r="BD122" s="14"/>
      <c r="BE122" s="14"/>
      <c r="BF122" s="14"/>
      <c r="BG122" s="14"/>
      <c r="BH122" s="14"/>
      <c r="BI122" s="14"/>
    </row>
    <row r="123" spans="2:61" ht="14.25" customHeight="1" x14ac:dyDescent="0.3">
      <c r="B123" s="944"/>
      <c r="C123" s="13"/>
      <c r="D123" s="125"/>
      <c r="E123" s="126" t="s">
        <v>3</v>
      </c>
      <c r="F123" s="131" t="s">
        <v>107</v>
      </c>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9"/>
    </row>
    <row r="124" spans="2:61" ht="14.25" customHeight="1" x14ac:dyDescent="0.35">
      <c r="B124" s="30" t="s">
        <v>95</v>
      </c>
      <c r="C124" s="30"/>
      <c r="D124" s="164" t="s">
        <v>95</v>
      </c>
      <c r="E124" s="165" t="s">
        <v>95</v>
      </c>
      <c r="F124" s="156" t="s">
        <v>95</v>
      </c>
      <c r="G124" s="156" t="s">
        <v>95</v>
      </c>
      <c r="H124" s="156" t="s">
        <v>95</v>
      </c>
      <c r="I124" s="156" t="s">
        <v>95</v>
      </c>
      <c r="J124" s="156" t="s">
        <v>95</v>
      </c>
      <c r="K124" s="156" t="s">
        <v>95</v>
      </c>
      <c r="L124" s="156" t="s">
        <v>95</v>
      </c>
      <c r="M124" s="156" t="s">
        <v>95</v>
      </c>
      <c r="N124" s="156" t="s">
        <v>95</v>
      </c>
      <c r="O124" s="156" t="s">
        <v>95</v>
      </c>
      <c r="P124" s="156" t="s">
        <v>95</v>
      </c>
      <c r="Q124" s="156" t="s">
        <v>95</v>
      </c>
      <c r="R124" s="156" t="s">
        <v>95</v>
      </c>
      <c r="S124" s="156" t="s">
        <v>95</v>
      </c>
      <c r="T124" s="156" t="s">
        <v>95</v>
      </c>
      <c r="U124" s="156" t="s">
        <v>95</v>
      </c>
      <c r="V124" s="156" t="s">
        <v>95</v>
      </c>
      <c r="W124" s="156" t="s">
        <v>95</v>
      </c>
      <c r="X124" s="156" t="s">
        <v>95</v>
      </c>
      <c r="Y124" s="156" t="s">
        <v>95</v>
      </c>
      <c r="Z124" s="156" t="s">
        <v>95</v>
      </c>
      <c r="AA124" s="156" t="s">
        <v>95</v>
      </c>
      <c r="AB124" s="156" t="s">
        <v>95</v>
      </c>
      <c r="AC124" s="156" t="s">
        <v>95</v>
      </c>
      <c r="AD124" s="156" t="s">
        <v>95</v>
      </c>
      <c r="AE124" s="156" t="s">
        <v>95</v>
      </c>
      <c r="AF124" s="156" t="s">
        <v>95</v>
      </c>
      <c r="AG124" s="156" t="s">
        <v>95</v>
      </c>
      <c r="AH124" s="156" t="s">
        <v>95</v>
      </c>
      <c r="AI124" s="156" t="s">
        <v>95</v>
      </c>
      <c r="AJ124" s="156" t="s">
        <v>95</v>
      </c>
      <c r="AK124" s="156" t="s">
        <v>95</v>
      </c>
      <c r="AL124" s="156" t="s">
        <v>95</v>
      </c>
      <c r="AM124" s="156" t="s">
        <v>95</v>
      </c>
      <c r="AN124" s="156" t="s">
        <v>95</v>
      </c>
      <c r="AO124" s="156" t="s">
        <v>95</v>
      </c>
      <c r="AP124" s="156" t="s">
        <v>95</v>
      </c>
      <c r="AQ124" s="156" t="s">
        <v>95</v>
      </c>
      <c r="AR124" s="156" t="s">
        <v>95</v>
      </c>
      <c r="AS124" s="156" t="s">
        <v>95</v>
      </c>
      <c r="AT124" s="156" t="s">
        <v>95</v>
      </c>
      <c r="AU124" s="156" t="s">
        <v>95</v>
      </c>
      <c r="AV124" s="156" t="s">
        <v>95</v>
      </c>
      <c r="AW124" s="156" t="s">
        <v>95</v>
      </c>
      <c r="AX124" s="159" t="s">
        <v>95</v>
      </c>
      <c r="AY124" s="33"/>
      <c r="AZ124" s="33"/>
      <c r="BA124" s="33"/>
      <c r="BB124" s="33"/>
      <c r="BC124" s="33"/>
      <c r="BD124" s="33"/>
      <c r="BE124" s="33"/>
      <c r="BF124" s="33"/>
      <c r="BG124" s="33"/>
      <c r="BH124" s="33"/>
      <c r="BI124" s="33"/>
    </row>
    <row r="125" spans="2:61" ht="14.25" customHeight="1" x14ac:dyDescent="0.35">
      <c r="B125" s="1013" t="s">
        <v>98</v>
      </c>
      <c r="C125" s="30"/>
      <c r="D125" s="1004" t="s">
        <v>99</v>
      </c>
      <c r="E125" s="976"/>
      <c r="F125" s="156" t="s">
        <v>108</v>
      </c>
      <c r="G125" s="156" t="s">
        <v>95</v>
      </c>
      <c r="H125" s="156" t="s">
        <v>95</v>
      </c>
      <c r="I125" s="157">
        <v>9.2000000000000003E-4</v>
      </c>
      <c r="J125" s="156" t="s">
        <v>95</v>
      </c>
      <c r="K125" s="158">
        <v>9.2000000000000003E-4</v>
      </c>
      <c r="L125" s="156" t="s">
        <v>95</v>
      </c>
      <c r="M125" s="158">
        <v>9.2000000000000003E-4</v>
      </c>
      <c r="N125" s="156" t="s">
        <v>95</v>
      </c>
      <c r="O125" s="158">
        <v>1.1900000000000001E-3</v>
      </c>
      <c r="P125" s="156" t="s">
        <v>95</v>
      </c>
      <c r="Q125" s="158">
        <v>1.1100000000000001E-3</v>
      </c>
      <c r="R125" s="156" t="s">
        <v>95</v>
      </c>
      <c r="S125" s="156" t="s">
        <v>95</v>
      </c>
      <c r="T125" s="156" t="s">
        <v>95</v>
      </c>
      <c r="U125" s="156" t="s">
        <v>95</v>
      </c>
      <c r="V125" s="156" t="s">
        <v>95</v>
      </c>
      <c r="W125" s="156" t="s">
        <v>95</v>
      </c>
      <c r="X125" s="156" t="s">
        <v>95</v>
      </c>
      <c r="Y125" s="156" t="s">
        <v>95</v>
      </c>
      <c r="Z125" s="156" t="s">
        <v>95</v>
      </c>
      <c r="AA125" s="156" t="s">
        <v>95</v>
      </c>
      <c r="AB125" s="156" t="s">
        <v>95</v>
      </c>
      <c r="AC125" s="156" t="s">
        <v>95</v>
      </c>
      <c r="AD125" s="156" t="s">
        <v>95</v>
      </c>
      <c r="AE125" s="156" t="s">
        <v>95</v>
      </c>
      <c r="AF125" s="156" t="s">
        <v>95</v>
      </c>
      <c r="AG125" s="156" t="s">
        <v>95</v>
      </c>
      <c r="AH125" s="156" t="s">
        <v>95</v>
      </c>
      <c r="AI125" s="156" t="s">
        <v>95</v>
      </c>
      <c r="AJ125" s="156" t="s">
        <v>95</v>
      </c>
      <c r="AK125" s="156" t="s">
        <v>95</v>
      </c>
      <c r="AL125" s="156" t="s">
        <v>95</v>
      </c>
      <c r="AM125" s="156" t="s">
        <v>95</v>
      </c>
      <c r="AN125" s="156" t="s">
        <v>95</v>
      </c>
      <c r="AO125" s="156" t="s">
        <v>95</v>
      </c>
      <c r="AP125" s="156" t="s">
        <v>95</v>
      </c>
      <c r="AQ125" s="156" t="s">
        <v>95</v>
      </c>
      <c r="AR125" s="156" t="s">
        <v>95</v>
      </c>
      <c r="AS125" s="156" t="s">
        <v>95</v>
      </c>
      <c r="AT125" s="156" t="s">
        <v>95</v>
      </c>
      <c r="AU125" s="156" t="s">
        <v>95</v>
      </c>
      <c r="AV125" s="156" t="s">
        <v>95</v>
      </c>
      <c r="AW125" s="156" t="s">
        <v>95</v>
      </c>
      <c r="AX125" s="159" t="s">
        <v>95</v>
      </c>
      <c r="AY125" s="30"/>
      <c r="AZ125" s="30"/>
      <c r="BA125" s="30"/>
      <c r="BB125" s="30"/>
      <c r="BC125" s="30"/>
      <c r="BD125" s="30"/>
      <c r="BE125" s="30"/>
      <c r="BF125" s="30"/>
      <c r="BG125" s="30"/>
      <c r="BH125" s="30"/>
      <c r="BI125" s="30"/>
    </row>
    <row r="126" spans="2:61" ht="14.25" customHeight="1" x14ac:dyDescent="0.35">
      <c r="B126" s="982"/>
      <c r="C126" s="30"/>
      <c r="D126" s="1001" t="s">
        <v>101</v>
      </c>
      <c r="E126" s="1002"/>
      <c r="F126" s="156" t="s">
        <v>108</v>
      </c>
      <c r="G126" s="156" t="s">
        <v>95</v>
      </c>
      <c r="H126" s="156" t="s">
        <v>95</v>
      </c>
      <c r="I126" s="156">
        <v>0</v>
      </c>
      <c r="J126" s="156" t="s">
        <v>95</v>
      </c>
      <c r="K126" s="156">
        <v>0</v>
      </c>
      <c r="L126" s="156" t="s">
        <v>95</v>
      </c>
      <c r="M126" s="156">
        <v>0</v>
      </c>
      <c r="N126" s="156" t="s">
        <v>95</v>
      </c>
      <c r="O126" s="156">
        <v>1.1E-4</v>
      </c>
      <c r="P126" s="156" t="s">
        <v>95</v>
      </c>
      <c r="Q126" s="156">
        <v>2.0000000000000002E-5</v>
      </c>
      <c r="R126" s="156" t="s">
        <v>95</v>
      </c>
      <c r="S126" s="156" t="s">
        <v>95</v>
      </c>
      <c r="T126" s="156" t="s">
        <v>95</v>
      </c>
      <c r="U126" s="156" t="s">
        <v>95</v>
      </c>
      <c r="V126" s="156" t="s">
        <v>95</v>
      </c>
      <c r="W126" s="156" t="s">
        <v>95</v>
      </c>
      <c r="X126" s="156" t="s">
        <v>95</v>
      </c>
      <c r="Y126" s="156" t="s">
        <v>95</v>
      </c>
      <c r="Z126" s="156" t="s">
        <v>95</v>
      </c>
      <c r="AA126" s="156" t="s">
        <v>95</v>
      </c>
      <c r="AB126" s="156" t="s">
        <v>95</v>
      </c>
      <c r="AC126" s="156" t="s">
        <v>95</v>
      </c>
      <c r="AD126" s="156" t="s">
        <v>95</v>
      </c>
      <c r="AE126" s="156" t="s">
        <v>95</v>
      </c>
      <c r="AF126" s="156" t="s">
        <v>95</v>
      </c>
      <c r="AG126" s="156" t="s">
        <v>95</v>
      </c>
      <c r="AH126" s="156" t="s">
        <v>95</v>
      </c>
      <c r="AI126" s="156" t="s">
        <v>95</v>
      </c>
      <c r="AJ126" s="156" t="s">
        <v>95</v>
      </c>
      <c r="AK126" s="156" t="s">
        <v>95</v>
      </c>
      <c r="AL126" s="156" t="s">
        <v>95</v>
      </c>
      <c r="AM126" s="156" t="s">
        <v>95</v>
      </c>
      <c r="AN126" s="156" t="s">
        <v>95</v>
      </c>
      <c r="AO126" s="156" t="s">
        <v>95</v>
      </c>
      <c r="AP126" s="156" t="s">
        <v>95</v>
      </c>
      <c r="AQ126" s="156" t="s">
        <v>95</v>
      </c>
      <c r="AR126" s="156" t="s">
        <v>95</v>
      </c>
      <c r="AS126" s="156" t="s">
        <v>95</v>
      </c>
      <c r="AT126" s="156" t="s">
        <v>95</v>
      </c>
      <c r="AU126" s="156" t="s">
        <v>95</v>
      </c>
      <c r="AV126" s="156" t="s">
        <v>95</v>
      </c>
      <c r="AW126" s="156" t="s">
        <v>95</v>
      </c>
      <c r="AX126" s="159" t="s">
        <v>95</v>
      </c>
      <c r="AY126" s="33"/>
      <c r="AZ126" s="33"/>
      <c r="BA126" s="33"/>
      <c r="BB126" s="33"/>
      <c r="BC126" s="33"/>
      <c r="BD126" s="33"/>
      <c r="BE126" s="33"/>
      <c r="BF126" s="33"/>
      <c r="BG126" s="33"/>
      <c r="BH126" s="33"/>
      <c r="BI126" s="33"/>
    </row>
    <row r="127" spans="2:61" ht="14.25" customHeight="1" x14ac:dyDescent="0.35">
      <c r="B127" s="982"/>
      <c r="C127" s="30"/>
      <c r="D127" s="1001" t="s">
        <v>106</v>
      </c>
      <c r="E127" s="1002"/>
      <c r="F127" s="156" t="s">
        <v>108</v>
      </c>
      <c r="G127" s="156" t="s">
        <v>95</v>
      </c>
      <c r="H127" s="156" t="s">
        <v>95</v>
      </c>
      <c r="I127" s="156">
        <v>7.7400000000000004E-3</v>
      </c>
      <c r="J127" s="156" t="s">
        <v>95</v>
      </c>
      <c r="K127" s="156">
        <v>7.7400000000000004E-3</v>
      </c>
      <c r="L127" s="156" t="s">
        <v>95</v>
      </c>
      <c r="M127" s="156">
        <v>7.7400000000000004E-3</v>
      </c>
      <c r="N127" s="156" t="s">
        <v>95</v>
      </c>
      <c r="O127" s="156">
        <v>7.5300000000000002E-3</v>
      </c>
      <c r="P127" s="156" t="s">
        <v>95</v>
      </c>
      <c r="Q127" s="156">
        <v>8.3400000000000002E-3</v>
      </c>
      <c r="R127" s="156" t="s">
        <v>95</v>
      </c>
      <c r="S127" s="156" t="s">
        <v>95</v>
      </c>
      <c r="T127" s="156" t="s">
        <v>95</v>
      </c>
      <c r="U127" s="156" t="s">
        <v>95</v>
      </c>
      <c r="V127" s="156" t="s">
        <v>95</v>
      </c>
      <c r="W127" s="156" t="s">
        <v>95</v>
      </c>
      <c r="X127" s="156" t="s">
        <v>95</v>
      </c>
      <c r="Y127" s="156" t="s">
        <v>95</v>
      </c>
      <c r="Z127" s="156" t="s">
        <v>95</v>
      </c>
      <c r="AA127" s="156" t="s">
        <v>95</v>
      </c>
      <c r="AB127" s="156" t="s">
        <v>95</v>
      </c>
      <c r="AC127" s="156" t="s">
        <v>95</v>
      </c>
      <c r="AD127" s="156" t="s">
        <v>95</v>
      </c>
      <c r="AE127" s="156" t="s">
        <v>95</v>
      </c>
      <c r="AF127" s="156" t="s">
        <v>95</v>
      </c>
      <c r="AG127" s="156" t="s">
        <v>95</v>
      </c>
      <c r="AH127" s="156" t="s">
        <v>95</v>
      </c>
      <c r="AI127" s="156" t="s">
        <v>95</v>
      </c>
      <c r="AJ127" s="156" t="s">
        <v>95</v>
      </c>
      <c r="AK127" s="156" t="s">
        <v>95</v>
      </c>
      <c r="AL127" s="156" t="s">
        <v>95</v>
      </c>
      <c r="AM127" s="156" t="s">
        <v>95</v>
      </c>
      <c r="AN127" s="156" t="s">
        <v>95</v>
      </c>
      <c r="AO127" s="156" t="s">
        <v>95</v>
      </c>
      <c r="AP127" s="156" t="s">
        <v>95</v>
      </c>
      <c r="AQ127" s="156" t="s">
        <v>95</v>
      </c>
      <c r="AR127" s="156" t="s">
        <v>95</v>
      </c>
      <c r="AS127" s="156" t="s">
        <v>95</v>
      </c>
      <c r="AT127" s="156" t="s">
        <v>95</v>
      </c>
      <c r="AU127" s="156" t="s">
        <v>95</v>
      </c>
      <c r="AV127" s="156" t="s">
        <v>95</v>
      </c>
      <c r="AW127" s="156" t="s">
        <v>95</v>
      </c>
      <c r="AX127" s="159" t="s">
        <v>95</v>
      </c>
      <c r="AY127" s="33"/>
      <c r="AZ127" s="33"/>
      <c r="BA127" s="33"/>
      <c r="BB127" s="33"/>
      <c r="BC127" s="33"/>
      <c r="BD127" s="33"/>
      <c r="BE127" s="33"/>
      <c r="BF127" s="33"/>
      <c r="BG127" s="33"/>
      <c r="BH127" s="33"/>
      <c r="BI127" s="33"/>
    </row>
    <row r="128" spans="2:61" ht="14.25" customHeight="1" x14ac:dyDescent="0.35">
      <c r="B128" s="982"/>
      <c r="C128" s="30"/>
      <c r="D128" s="1001" t="s">
        <v>102</v>
      </c>
      <c r="E128" s="1002"/>
      <c r="F128" s="156" t="s">
        <v>108</v>
      </c>
      <c r="G128" s="156" t="s">
        <v>95</v>
      </c>
      <c r="H128" s="156" t="s">
        <v>95</v>
      </c>
      <c r="I128" s="156">
        <v>4.2000000000000002E-4</v>
      </c>
      <c r="J128" s="156" t="s">
        <v>95</v>
      </c>
      <c r="K128" s="156">
        <v>4.2000000000000002E-4</v>
      </c>
      <c r="L128" s="156" t="s">
        <v>95</v>
      </c>
      <c r="M128" s="156">
        <v>4.2000000000000002E-4</v>
      </c>
      <c r="N128" s="156" t="s">
        <v>95</v>
      </c>
      <c r="O128" s="156">
        <v>8.8999999999999995E-4</v>
      </c>
      <c r="P128" s="156" t="s">
        <v>95</v>
      </c>
      <c r="Q128" s="156">
        <v>1.7000000000000001E-4</v>
      </c>
      <c r="R128" s="156" t="s">
        <v>95</v>
      </c>
      <c r="S128" s="156" t="s">
        <v>95</v>
      </c>
      <c r="T128" s="156" t="s">
        <v>95</v>
      </c>
      <c r="U128" s="156" t="s">
        <v>95</v>
      </c>
      <c r="V128" s="156" t="s">
        <v>95</v>
      </c>
      <c r="W128" s="156" t="s">
        <v>95</v>
      </c>
      <c r="X128" s="156" t="s">
        <v>95</v>
      </c>
      <c r="Y128" s="156" t="s">
        <v>95</v>
      </c>
      <c r="Z128" s="156" t="s">
        <v>95</v>
      </c>
      <c r="AA128" s="156" t="s">
        <v>95</v>
      </c>
      <c r="AB128" s="156" t="s">
        <v>95</v>
      </c>
      <c r="AC128" s="156" t="s">
        <v>95</v>
      </c>
      <c r="AD128" s="156" t="s">
        <v>95</v>
      </c>
      <c r="AE128" s="156" t="s">
        <v>95</v>
      </c>
      <c r="AF128" s="156" t="s">
        <v>95</v>
      </c>
      <c r="AG128" s="156" t="s">
        <v>95</v>
      </c>
      <c r="AH128" s="156" t="s">
        <v>95</v>
      </c>
      <c r="AI128" s="156" t="s">
        <v>95</v>
      </c>
      <c r="AJ128" s="156" t="s">
        <v>95</v>
      </c>
      <c r="AK128" s="156" t="s">
        <v>95</v>
      </c>
      <c r="AL128" s="156" t="s">
        <v>95</v>
      </c>
      <c r="AM128" s="156" t="s">
        <v>95</v>
      </c>
      <c r="AN128" s="156" t="s">
        <v>95</v>
      </c>
      <c r="AO128" s="156" t="s">
        <v>95</v>
      </c>
      <c r="AP128" s="156" t="s">
        <v>95</v>
      </c>
      <c r="AQ128" s="156" t="s">
        <v>95</v>
      </c>
      <c r="AR128" s="156" t="s">
        <v>95</v>
      </c>
      <c r="AS128" s="156" t="s">
        <v>95</v>
      </c>
      <c r="AT128" s="156" t="s">
        <v>95</v>
      </c>
      <c r="AU128" s="156" t="s">
        <v>95</v>
      </c>
      <c r="AV128" s="156" t="s">
        <v>95</v>
      </c>
      <c r="AW128" s="156" t="s">
        <v>95</v>
      </c>
      <c r="AX128" s="159" t="s">
        <v>95</v>
      </c>
      <c r="AY128" s="33"/>
      <c r="AZ128" s="33"/>
      <c r="BA128" s="33"/>
      <c r="BB128" s="33"/>
      <c r="BC128" s="33"/>
      <c r="BD128" s="33"/>
      <c r="BE128" s="33"/>
      <c r="BF128" s="33"/>
      <c r="BG128" s="33"/>
      <c r="BH128" s="33"/>
      <c r="BI128" s="33"/>
    </row>
    <row r="129" spans="2:61" ht="14.25" customHeight="1" x14ac:dyDescent="0.35">
      <c r="B129" s="982"/>
      <c r="C129" s="30"/>
      <c r="D129" s="1001" t="s">
        <v>57</v>
      </c>
      <c r="E129" s="1002"/>
      <c r="F129" s="156" t="s">
        <v>108</v>
      </c>
      <c r="G129" s="156" t="s">
        <v>95</v>
      </c>
      <c r="H129" s="156" t="s">
        <v>95</v>
      </c>
      <c r="I129" s="156">
        <v>1.8500000000000001E-3</v>
      </c>
      <c r="J129" s="156" t="s">
        <v>95</v>
      </c>
      <c r="K129" s="156">
        <v>1.8500000000000001E-3</v>
      </c>
      <c r="L129" s="156" t="s">
        <v>95</v>
      </c>
      <c r="M129" s="156">
        <v>1.8500000000000001E-3</v>
      </c>
      <c r="N129" s="156" t="s">
        <v>95</v>
      </c>
      <c r="O129" s="156">
        <v>3.64E-3</v>
      </c>
      <c r="P129" s="156" t="s">
        <v>95</v>
      </c>
      <c r="Q129" s="156">
        <v>1.6900000000000001E-3</v>
      </c>
      <c r="R129" s="156" t="s">
        <v>95</v>
      </c>
      <c r="S129" s="156" t="s">
        <v>95</v>
      </c>
      <c r="T129" s="156" t="s">
        <v>95</v>
      </c>
      <c r="U129" s="156" t="s">
        <v>95</v>
      </c>
      <c r="V129" s="156" t="s">
        <v>95</v>
      </c>
      <c r="W129" s="156" t="s">
        <v>95</v>
      </c>
      <c r="X129" s="156" t="s">
        <v>95</v>
      </c>
      <c r="Y129" s="156" t="s">
        <v>95</v>
      </c>
      <c r="Z129" s="156" t="s">
        <v>95</v>
      </c>
      <c r="AA129" s="156" t="s">
        <v>95</v>
      </c>
      <c r="AB129" s="156" t="s">
        <v>95</v>
      </c>
      <c r="AC129" s="156" t="s">
        <v>95</v>
      </c>
      <c r="AD129" s="156" t="s">
        <v>95</v>
      </c>
      <c r="AE129" s="156" t="s">
        <v>95</v>
      </c>
      <c r="AF129" s="156" t="s">
        <v>95</v>
      </c>
      <c r="AG129" s="156" t="s">
        <v>95</v>
      </c>
      <c r="AH129" s="156" t="s">
        <v>95</v>
      </c>
      <c r="AI129" s="156" t="s">
        <v>95</v>
      </c>
      <c r="AJ129" s="156" t="s">
        <v>95</v>
      </c>
      <c r="AK129" s="156" t="s">
        <v>95</v>
      </c>
      <c r="AL129" s="156" t="s">
        <v>95</v>
      </c>
      <c r="AM129" s="156" t="s">
        <v>95</v>
      </c>
      <c r="AN129" s="156" t="s">
        <v>95</v>
      </c>
      <c r="AO129" s="156" t="s">
        <v>95</v>
      </c>
      <c r="AP129" s="156" t="s">
        <v>95</v>
      </c>
      <c r="AQ129" s="156" t="s">
        <v>95</v>
      </c>
      <c r="AR129" s="156" t="s">
        <v>95</v>
      </c>
      <c r="AS129" s="156" t="s">
        <v>95</v>
      </c>
      <c r="AT129" s="156" t="s">
        <v>95</v>
      </c>
      <c r="AU129" s="156" t="s">
        <v>95</v>
      </c>
      <c r="AV129" s="156" t="s">
        <v>95</v>
      </c>
      <c r="AW129" s="156" t="s">
        <v>95</v>
      </c>
      <c r="AX129" s="159" t="s">
        <v>95</v>
      </c>
      <c r="AY129" s="33"/>
      <c r="AZ129" s="33"/>
      <c r="BA129" s="33"/>
      <c r="BB129" s="33"/>
      <c r="BC129" s="33"/>
      <c r="BD129" s="33"/>
      <c r="BE129" s="33"/>
      <c r="BF129" s="33"/>
      <c r="BG129" s="33"/>
      <c r="BH129" s="33"/>
      <c r="BI129" s="33"/>
    </row>
    <row r="130" spans="2:61" ht="14.25" customHeight="1" x14ac:dyDescent="0.35">
      <c r="B130" s="34" t="s">
        <v>95</v>
      </c>
      <c r="C130" s="34"/>
      <c r="D130" s="160" t="s">
        <v>95</v>
      </c>
      <c r="E130" s="161" t="s">
        <v>95</v>
      </c>
      <c r="F130" s="162" t="s">
        <v>24</v>
      </c>
      <c r="G130" s="162" t="s">
        <v>95</v>
      </c>
      <c r="H130" s="162" t="s">
        <v>95</v>
      </c>
      <c r="I130" s="162">
        <v>1.0919999999999999E-2</v>
      </c>
      <c r="J130" s="162" t="s">
        <v>95</v>
      </c>
      <c r="K130" s="162">
        <v>1.0919999999999999E-2</v>
      </c>
      <c r="L130" s="162" t="s">
        <v>95</v>
      </c>
      <c r="M130" s="162">
        <v>1.0919999999999999E-2</v>
      </c>
      <c r="N130" s="162" t="s">
        <v>95</v>
      </c>
      <c r="O130" s="162">
        <v>1.336E-2</v>
      </c>
      <c r="P130" s="162" t="s">
        <v>95</v>
      </c>
      <c r="Q130" s="162">
        <v>1.133E-2</v>
      </c>
      <c r="R130" s="162" t="s">
        <v>95</v>
      </c>
      <c r="S130" s="162" t="s">
        <v>95</v>
      </c>
      <c r="T130" s="162" t="s">
        <v>95</v>
      </c>
      <c r="U130" s="162" t="s">
        <v>95</v>
      </c>
      <c r="V130" s="162" t="s">
        <v>95</v>
      </c>
      <c r="W130" s="162" t="s">
        <v>95</v>
      </c>
      <c r="X130" s="162" t="s">
        <v>95</v>
      </c>
      <c r="Y130" s="162" t="s">
        <v>95</v>
      </c>
      <c r="Z130" s="162" t="s">
        <v>95</v>
      </c>
      <c r="AA130" s="162" t="s">
        <v>95</v>
      </c>
      <c r="AB130" s="162" t="s">
        <v>95</v>
      </c>
      <c r="AC130" s="162" t="s">
        <v>95</v>
      </c>
      <c r="AD130" s="162" t="s">
        <v>95</v>
      </c>
      <c r="AE130" s="162" t="s">
        <v>95</v>
      </c>
      <c r="AF130" s="162" t="s">
        <v>95</v>
      </c>
      <c r="AG130" s="162" t="s">
        <v>95</v>
      </c>
      <c r="AH130" s="162" t="s">
        <v>95</v>
      </c>
      <c r="AI130" s="162" t="s">
        <v>95</v>
      </c>
      <c r="AJ130" s="162" t="s">
        <v>95</v>
      </c>
      <c r="AK130" s="162" t="s">
        <v>95</v>
      </c>
      <c r="AL130" s="162" t="s">
        <v>95</v>
      </c>
      <c r="AM130" s="162" t="s">
        <v>95</v>
      </c>
      <c r="AN130" s="162" t="s">
        <v>95</v>
      </c>
      <c r="AO130" s="162" t="s">
        <v>95</v>
      </c>
      <c r="AP130" s="162" t="s">
        <v>95</v>
      </c>
      <c r="AQ130" s="162" t="s">
        <v>95</v>
      </c>
      <c r="AR130" s="162" t="s">
        <v>95</v>
      </c>
      <c r="AS130" s="162" t="s">
        <v>95</v>
      </c>
      <c r="AT130" s="162" t="s">
        <v>95</v>
      </c>
      <c r="AU130" s="162" t="s">
        <v>95</v>
      </c>
      <c r="AV130" s="162" t="s">
        <v>95</v>
      </c>
      <c r="AW130" s="162" t="s">
        <v>95</v>
      </c>
      <c r="AX130" s="163" t="s">
        <v>95</v>
      </c>
      <c r="AY130" s="14"/>
      <c r="AZ130" s="14"/>
      <c r="BA130" s="14"/>
      <c r="BB130" s="14"/>
      <c r="BC130" s="14"/>
      <c r="BD130" s="14"/>
      <c r="BE130" s="14"/>
      <c r="BF130" s="14"/>
      <c r="BG130" s="14"/>
      <c r="BH130" s="14"/>
      <c r="BI130" s="14"/>
    </row>
    <row r="131" spans="2:61" ht="14.25" customHeight="1" x14ac:dyDescent="0.35">
      <c r="B131" s="34" t="s">
        <v>95</v>
      </c>
      <c r="C131" s="34"/>
      <c r="D131" s="160" t="s">
        <v>95</v>
      </c>
      <c r="E131" s="161" t="s">
        <v>95</v>
      </c>
      <c r="F131" s="162" t="s">
        <v>95</v>
      </c>
      <c r="G131" s="162" t="s">
        <v>95</v>
      </c>
      <c r="H131" s="162" t="s">
        <v>95</v>
      </c>
      <c r="I131" s="162" t="s">
        <v>95</v>
      </c>
      <c r="J131" s="162" t="s">
        <v>95</v>
      </c>
      <c r="K131" s="162" t="s">
        <v>95</v>
      </c>
      <c r="L131" s="162" t="s">
        <v>95</v>
      </c>
      <c r="M131" s="162" t="s">
        <v>95</v>
      </c>
      <c r="N131" s="162" t="s">
        <v>95</v>
      </c>
      <c r="O131" s="162" t="s">
        <v>95</v>
      </c>
      <c r="P131" s="162" t="s">
        <v>95</v>
      </c>
      <c r="Q131" s="162" t="s">
        <v>95</v>
      </c>
      <c r="R131" s="162" t="s">
        <v>95</v>
      </c>
      <c r="S131" s="162" t="s">
        <v>95</v>
      </c>
      <c r="T131" s="162" t="s">
        <v>95</v>
      </c>
      <c r="U131" s="162" t="s">
        <v>95</v>
      </c>
      <c r="V131" s="162" t="s">
        <v>95</v>
      </c>
      <c r="W131" s="162" t="s">
        <v>95</v>
      </c>
      <c r="X131" s="162" t="s">
        <v>95</v>
      </c>
      <c r="Y131" s="162" t="s">
        <v>95</v>
      </c>
      <c r="Z131" s="162" t="s">
        <v>95</v>
      </c>
      <c r="AA131" s="162" t="s">
        <v>95</v>
      </c>
      <c r="AB131" s="162" t="s">
        <v>95</v>
      </c>
      <c r="AC131" s="162" t="s">
        <v>95</v>
      </c>
      <c r="AD131" s="162" t="s">
        <v>95</v>
      </c>
      <c r="AE131" s="162" t="s">
        <v>95</v>
      </c>
      <c r="AF131" s="162" t="s">
        <v>95</v>
      </c>
      <c r="AG131" s="162" t="s">
        <v>95</v>
      </c>
      <c r="AH131" s="162" t="s">
        <v>95</v>
      </c>
      <c r="AI131" s="162" t="s">
        <v>95</v>
      </c>
      <c r="AJ131" s="162" t="s">
        <v>95</v>
      </c>
      <c r="AK131" s="162" t="s">
        <v>95</v>
      </c>
      <c r="AL131" s="162" t="s">
        <v>95</v>
      </c>
      <c r="AM131" s="162" t="s">
        <v>95</v>
      </c>
      <c r="AN131" s="162" t="s">
        <v>95</v>
      </c>
      <c r="AO131" s="162" t="s">
        <v>95</v>
      </c>
      <c r="AP131" s="162" t="s">
        <v>95</v>
      </c>
      <c r="AQ131" s="162" t="s">
        <v>95</v>
      </c>
      <c r="AR131" s="162" t="s">
        <v>95</v>
      </c>
      <c r="AS131" s="162" t="s">
        <v>95</v>
      </c>
      <c r="AT131" s="162" t="s">
        <v>95</v>
      </c>
      <c r="AU131" s="162" t="s">
        <v>95</v>
      </c>
      <c r="AV131" s="162" t="s">
        <v>95</v>
      </c>
      <c r="AW131" s="162" t="s">
        <v>95</v>
      </c>
      <c r="AX131" s="163" t="s">
        <v>95</v>
      </c>
      <c r="AY131" s="14"/>
      <c r="AZ131" s="14"/>
      <c r="BA131" s="14"/>
      <c r="BB131" s="14"/>
      <c r="BC131" s="14"/>
      <c r="BD131" s="14"/>
      <c r="BE131" s="14"/>
      <c r="BF131" s="14"/>
      <c r="BG131" s="14"/>
      <c r="BH131" s="14"/>
      <c r="BI131" s="14"/>
    </row>
    <row r="132" spans="2:61" ht="14.25" customHeight="1" x14ac:dyDescent="0.3">
      <c r="B132" s="944"/>
      <c r="C132" s="13"/>
      <c r="D132" s="125"/>
      <c r="E132" s="126" t="s">
        <v>3</v>
      </c>
      <c r="F132" s="131" t="s">
        <v>109</v>
      </c>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9"/>
    </row>
    <row r="133" spans="2:61" ht="14.25" customHeight="1" x14ac:dyDescent="0.35">
      <c r="B133" s="30" t="s">
        <v>95</v>
      </c>
      <c r="C133" s="30"/>
      <c r="D133" s="164" t="s">
        <v>95</v>
      </c>
      <c r="E133" s="165" t="s">
        <v>95</v>
      </c>
      <c r="F133" s="156" t="s">
        <v>95</v>
      </c>
      <c r="G133" s="156" t="s">
        <v>95</v>
      </c>
      <c r="H133" s="156" t="s">
        <v>95</v>
      </c>
      <c r="I133" s="156" t="s">
        <v>95</v>
      </c>
      <c r="J133" s="156" t="s">
        <v>95</v>
      </c>
      <c r="K133" s="156" t="s">
        <v>95</v>
      </c>
      <c r="L133" s="156" t="s">
        <v>95</v>
      </c>
      <c r="M133" s="156" t="s">
        <v>95</v>
      </c>
      <c r="N133" s="156" t="s">
        <v>95</v>
      </c>
      <c r="O133" s="156" t="s">
        <v>95</v>
      </c>
      <c r="P133" s="156" t="s">
        <v>95</v>
      </c>
      <c r="Q133" s="156" t="s">
        <v>95</v>
      </c>
      <c r="R133" s="156" t="s">
        <v>95</v>
      </c>
      <c r="S133" s="156" t="s">
        <v>95</v>
      </c>
      <c r="T133" s="156" t="s">
        <v>95</v>
      </c>
      <c r="U133" s="156" t="s">
        <v>95</v>
      </c>
      <c r="V133" s="156" t="s">
        <v>95</v>
      </c>
      <c r="W133" s="156" t="s">
        <v>95</v>
      </c>
      <c r="X133" s="156" t="s">
        <v>95</v>
      </c>
      <c r="Y133" s="156" t="s">
        <v>95</v>
      </c>
      <c r="Z133" s="156" t="s">
        <v>95</v>
      </c>
      <c r="AA133" s="156" t="s">
        <v>95</v>
      </c>
      <c r="AB133" s="156" t="s">
        <v>95</v>
      </c>
      <c r="AC133" s="156" t="s">
        <v>95</v>
      </c>
      <c r="AD133" s="156" t="s">
        <v>95</v>
      </c>
      <c r="AE133" s="156" t="s">
        <v>95</v>
      </c>
      <c r="AF133" s="156" t="s">
        <v>95</v>
      </c>
      <c r="AG133" s="156" t="s">
        <v>95</v>
      </c>
      <c r="AH133" s="156" t="s">
        <v>95</v>
      </c>
      <c r="AI133" s="156" t="s">
        <v>95</v>
      </c>
      <c r="AJ133" s="156" t="s">
        <v>95</v>
      </c>
      <c r="AK133" s="156" t="s">
        <v>95</v>
      </c>
      <c r="AL133" s="156" t="s">
        <v>95</v>
      </c>
      <c r="AM133" s="156" t="s">
        <v>95</v>
      </c>
      <c r="AN133" s="156" t="s">
        <v>95</v>
      </c>
      <c r="AO133" s="156" t="s">
        <v>95</v>
      </c>
      <c r="AP133" s="156" t="s">
        <v>95</v>
      </c>
      <c r="AQ133" s="156" t="s">
        <v>95</v>
      </c>
      <c r="AR133" s="156" t="s">
        <v>95</v>
      </c>
      <c r="AS133" s="156" t="s">
        <v>95</v>
      </c>
      <c r="AT133" s="156" t="s">
        <v>95</v>
      </c>
      <c r="AU133" s="156" t="s">
        <v>95</v>
      </c>
      <c r="AV133" s="156" t="s">
        <v>95</v>
      </c>
      <c r="AW133" s="156" t="s">
        <v>95</v>
      </c>
      <c r="AX133" s="159" t="s">
        <v>95</v>
      </c>
      <c r="AY133" s="33"/>
      <c r="AZ133" s="33"/>
      <c r="BA133" s="33"/>
      <c r="BB133" s="33"/>
      <c r="BC133" s="33"/>
      <c r="BD133" s="33"/>
      <c r="BE133" s="33"/>
      <c r="BF133" s="33"/>
      <c r="BG133" s="33"/>
      <c r="BH133" s="33"/>
      <c r="BI133" s="33"/>
    </row>
    <row r="134" spans="2:61" ht="14.25" customHeight="1" x14ac:dyDescent="0.35">
      <c r="B134" s="1013" t="s">
        <v>98</v>
      </c>
      <c r="C134" s="30"/>
      <c r="D134" s="35" t="s">
        <v>99</v>
      </c>
      <c r="E134" s="36"/>
      <c r="F134" s="156" t="s">
        <v>81</v>
      </c>
      <c r="G134" s="156" t="s">
        <v>95</v>
      </c>
      <c r="H134" s="156" t="s">
        <v>95</v>
      </c>
      <c r="I134" s="156">
        <v>0</v>
      </c>
      <c r="J134" s="156" t="s">
        <v>95</v>
      </c>
      <c r="K134" s="156">
        <v>6.6E-4</v>
      </c>
      <c r="L134" s="156"/>
      <c r="M134" s="156">
        <v>6.6E-4</v>
      </c>
      <c r="N134" s="156"/>
      <c r="O134" s="156">
        <v>3.5000000000000005E-4</v>
      </c>
      <c r="P134" s="156"/>
      <c r="Q134" s="156">
        <v>5.6000000000000017E-4</v>
      </c>
      <c r="R134" s="156"/>
      <c r="S134" s="156" t="s">
        <v>95</v>
      </c>
      <c r="T134" s="156" t="s">
        <v>95</v>
      </c>
      <c r="U134" s="156" t="s">
        <v>95</v>
      </c>
      <c r="V134" s="156" t="s">
        <v>95</v>
      </c>
      <c r="W134" s="156" t="s">
        <v>95</v>
      </c>
      <c r="X134" s="156" t="s">
        <v>95</v>
      </c>
      <c r="Y134" s="156" t="s">
        <v>95</v>
      </c>
      <c r="Z134" s="156" t="s">
        <v>95</v>
      </c>
      <c r="AA134" s="156" t="s">
        <v>95</v>
      </c>
      <c r="AB134" s="156" t="s">
        <v>95</v>
      </c>
      <c r="AC134" s="156" t="s">
        <v>95</v>
      </c>
      <c r="AD134" s="156" t="s">
        <v>95</v>
      </c>
      <c r="AE134" s="156" t="s">
        <v>95</v>
      </c>
      <c r="AF134" s="156" t="s">
        <v>95</v>
      </c>
      <c r="AG134" s="156" t="s">
        <v>95</v>
      </c>
      <c r="AH134" s="156" t="s">
        <v>95</v>
      </c>
      <c r="AI134" s="156" t="s">
        <v>95</v>
      </c>
      <c r="AJ134" s="156" t="s">
        <v>95</v>
      </c>
      <c r="AK134" s="156" t="s">
        <v>95</v>
      </c>
      <c r="AL134" s="156" t="s">
        <v>95</v>
      </c>
      <c r="AM134" s="156" t="s">
        <v>95</v>
      </c>
      <c r="AN134" s="156" t="s">
        <v>95</v>
      </c>
      <c r="AO134" s="156" t="s">
        <v>95</v>
      </c>
      <c r="AP134" s="156" t="s">
        <v>95</v>
      </c>
      <c r="AQ134" s="156" t="s">
        <v>95</v>
      </c>
      <c r="AR134" s="156" t="s">
        <v>95</v>
      </c>
      <c r="AS134" s="156" t="s">
        <v>95</v>
      </c>
      <c r="AT134" s="156" t="s">
        <v>95</v>
      </c>
      <c r="AU134" s="156" t="s">
        <v>95</v>
      </c>
      <c r="AV134" s="156" t="s">
        <v>95</v>
      </c>
      <c r="AW134" s="156" t="s">
        <v>95</v>
      </c>
      <c r="AX134" s="159" t="s">
        <v>95</v>
      </c>
      <c r="AY134" s="30"/>
      <c r="AZ134" s="30"/>
      <c r="BA134" s="30"/>
      <c r="BB134" s="30"/>
      <c r="BC134" s="30"/>
      <c r="BD134" s="30"/>
      <c r="BE134" s="30"/>
      <c r="BF134" s="30"/>
      <c r="BG134" s="30"/>
      <c r="BH134" s="30"/>
      <c r="BI134" s="30"/>
    </row>
    <row r="135" spans="2:61" ht="14.25" customHeight="1" x14ac:dyDescent="0.35">
      <c r="B135" s="982"/>
      <c r="C135" s="30"/>
      <c r="D135" s="1001" t="s">
        <v>101</v>
      </c>
      <c r="E135" s="1002"/>
      <c r="F135" s="156" t="s">
        <v>81</v>
      </c>
      <c r="G135" s="156" t="s">
        <v>95</v>
      </c>
      <c r="H135" s="156" t="s">
        <v>95</v>
      </c>
      <c r="I135" s="156">
        <v>2.0000000000000002E-5</v>
      </c>
      <c r="J135" s="156" t="s">
        <v>95</v>
      </c>
      <c r="K135" s="156">
        <v>2.0000000000000002E-5</v>
      </c>
      <c r="L135" s="156" t="s">
        <v>95</v>
      </c>
      <c r="M135" s="156">
        <v>2.0000000000000002E-5</v>
      </c>
      <c r="N135" s="156" t="s">
        <v>95</v>
      </c>
      <c r="O135" s="156">
        <v>6.9999999999999994E-5</v>
      </c>
      <c r="P135" s="156" t="s">
        <v>95</v>
      </c>
      <c r="Q135" s="156">
        <v>1.8000000000000001E-4</v>
      </c>
      <c r="R135" s="156" t="s">
        <v>95</v>
      </c>
      <c r="S135" s="156" t="s">
        <v>95</v>
      </c>
      <c r="T135" s="156" t="s">
        <v>95</v>
      </c>
      <c r="U135" s="156" t="s">
        <v>95</v>
      </c>
      <c r="V135" s="156" t="s">
        <v>95</v>
      </c>
      <c r="W135" s="156" t="s">
        <v>95</v>
      </c>
      <c r="X135" s="156" t="s">
        <v>95</v>
      </c>
      <c r="Y135" s="156" t="s">
        <v>95</v>
      </c>
      <c r="Z135" s="156" t="s">
        <v>95</v>
      </c>
      <c r="AA135" s="156" t="s">
        <v>95</v>
      </c>
      <c r="AB135" s="156" t="s">
        <v>95</v>
      </c>
      <c r="AC135" s="156" t="s">
        <v>95</v>
      </c>
      <c r="AD135" s="156" t="s">
        <v>95</v>
      </c>
      <c r="AE135" s="156" t="s">
        <v>95</v>
      </c>
      <c r="AF135" s="156" t="s">
        <v>95</v>
      </c>
      <c r="AG135" s="156" t="s">
        <v>95</v>
      </c>
      <c r="AH135" s="156" t="s">
        <v>95</v>
      </c>
      <c r="AI135" s="156" t="s">
        <v>95</v>
      </c>
      <c r="AJ135" s="156" t="s">
        <v>95</v>
      </c>
      <c r="AK135" s="156" t="s">
        <v>95</v>
      </c>
      <c r="AL135" s="156" t="s">
        <v>95</v>
      </c>
      <c r="AM135" s="156" t="s">
        <v>95</v>
      </c>
      <c r="AN135" s="156" t="s">
        <v>95</v>
      </c>
      <c r="AO135" s="156" t="s">
        <v>95</v>
      </c>
      <c r="AP135" s="156" t="s">
        <v>95</v>
      </c>
      <c r="AQ135" s="156" t="s">
        <v>95</v>
      </c>
      <c r="AR135" s="156" t="s">
        <v>95</v>
      </c>
      <c r="AS135" s="156" t="s">
        <v>95</v>
      </c>
      <c r="AT135" s="156" t="s">
        <v>95</v>
      </c>
      <c r="AU135" s="156" t="s">
        <v>95</v>
      </c>
      <c r="AV135" s="156" t="s">
        <v>95</v>
      </c>
      <c r="AW135" s="156" t="s">
        <v>95</v>
      </c>
      <c r="AX135" s="159" t="s">
        <v>95</v>
      </c>
      <c r="AY135" s="33"/>
      <c r="AZ135" s="33"/>
      <c r="BA135" s="33"/>
      <c r="BB135" s="33"/>
      <c r="BC135" s="33"/>
      <c r="BD135" s="33"/>
      <c r="BE135" s="33"/>
      <c r="BF135" s="33"/>
      <c r="BG135" s="33"/>
      <c r="BH135" s="33"/>
      <c r="BI135" s="33"/>
    </row>
    <row r="136" spans="2:61" ht="14.25" customHeight="1" x14ac:dyDescent="0.35">
      <c r="B136" s="982"/>
      <c r="C136" s="30"/>
      <c r="D136" s="1001" t="s">
        <v>106</v>
      </c>
      <c r="E136" s="1002"/>
      <c r="F136" s="156" t="s">
        <v>81</v>
      </c>
      <c r="G136" s="156" t="s">
        <v>95</v>
      </c>
      <c r="H136" s="156" t="s">
        <v>95</v>
      </c>
      <c r="I136" s="156">
        <v>9.6900000000000007E-3</v>
      </c>
      <c r="J136" s="156" t="s">
        <v>95</v>
      </c>
      <c r="K136" s="156">
        <v>9.6900000000000007E-3</v>
      </c>
      <c r="L136" s="156" t="s">
        <v>95</v>
      </c>
      <c r="M136" s="156">
        <v>9.6900000000000007E-3</v>
      </c>
      <c r="N136" s="156" t="s">
        <v>95</v>
      </c>
      <c r="O136" s="156">
        <v>2.32E-3</v>
      </c>
      <c r="P136" s="156" t="s">
        <v>95</v>
      </c>
      <c r="Q136" s="156">
        <v>1.422E-2</v>
      </c>
      <c r="R136" s="156" t="s">
        <v>95</v>
      </c>
      <c r="S136" s="156" t="s">
        <v>95</v>
      </c>
      <c r="T136" s="156" t="s">
        <v>95</v>
      </c>
      <c r="U136" s="156" t="s">
        <v>95</v>
      </c>
      <c r="V136" s="156" t="s">
        <v>95</v>
      </c>
      <c r="W136" s="156" t="s">
        <v>95</v>
      </c>
      <c r="X136" s="156" t="s">
        <v>95</v>
      </c>
      <c r="Y136" s="156" t="s">
        <v>95</v>
      </c>
      <c r="Z136" s="156" t="s">
        <v>95</v>
      </c>
      <c r="AA136" s="156" t="s">
        <v>95</v>
      </c>
      <c r="AB136" s="156" t="s">
        <v>95</v>
      </c>
      <c r="AC136" s="156" t="s">
        <v>95</v>
      </c>
      <c r="AD136" s="156" t="s">
        <v>95</v>
      </c>
      <c r="AE136" s="156" t="s">
        <v>95</v>
      </c>
      <c r="AF136" s="156" t="s">
        <v>95</v>
      </c>
      <c r="AG136" s="156" t="s">
        <v>95</v>
      </c>
      <c r="AH136" s="156" t="s">
        <v>95</v>
      </c>
      <c r="AI136" s="156" t="s">
        <v>95</v>
      </c>
      <c r="AJ136" s="156" t="s">
        <v>95</v>
      </c>
      <c r="AK136" s="156" t="s">
        <v>95</v>
      </c>
      <c r="AL136" s="156" t="s">
        <v>95</v>
      </c>
      <c r="AM136" s="156" t="s">
        <v>95</v>
      </c>
      <c r="AN136" s="156" t="s">
        <v>95</v>
      </c>
      <c r="AO136" s="156" t="s">
        <v>95</v>
      </c>
      <c r="AP136" s="156" t="s">
        <v>95</v>
      </c>
      <c r="AQ136" s="156" t="s">
        <v>95</v>
      </c>
      <c r="AR136" s="156" t="s">
        <v>95</v>
      </c>
      <c r="AS136" s="156" t="s">
        <v>95</v>
      </c>
      <c r="AT136" s="156" t="s">
        <v>95</v>
      </c>
      <c r="AU136" s="156" t="s">
        <v>95</v>
      </c>
      <c r="AV136" s="156" t="s">
        <v>95</v>
      </c>
      <c r="AW136" s="156" t="s">
        <v>95</v>
      </c>
      <c r="AX136" s="159" t="s">
        <v>95</v>
      </c>
      <c r="AY136" s="33"/>
      <c r="AZ136" s="33"/>
      <c r="BA136" s="33"/>
      <c r="BB136" s="33"/>
      <c r="BC136" s="33"/>
      <c r="BD136" s="33"/>
      <c r="BE136" s="33"/>
      <c r="BF136" s="33"/>
      <c r="BG136" s="33"/>
      <c r="BH136" s="33"/>
      <c r="BI136" s="33"/>
    </row>
    <row r="137" spans="2:61" ht="14.25" customHeight="1" x14ac:dyDescent="0.35">
      <c r="B137" s="982"/>
      <c r="C137" s="30"/>
      <c r="D137" s="1001" t="s">
        <v>102</v>
      </c>
      <c r="E137" s="1002"/>
      <c r="F137" s="156" t="s">
        <v>81</v>
      </c>
      <c r="G137" s="156" t="s">
        <v>95</v>
      </c>
      <c r="H137" s="156" t="s">
        <v>95</v>
      </c>
      <c r="I137" s="156">
        <v>6.0999999999999997E-4</v>
      </c>
      <c r="J137" s="156" t="s">
        <v>95</v>
      </c>
      <c r="K137" s="156">
        <v>6.0999999999999997E-4</v>
      </c>
      <c r="L137" s="156" t="s">
        <v>95</v>
      </c>
      <c r="M137" s="156">
        <v>6.0999999999999997E-4</v>
      </c>
      <c r="N137" s="156" t="s">
        <v>95</v>
      </c>
      <c r="O137" s="156">
        <v>3.5E-4</v>
      </c>
      <c r="P137" s="156" t="s">
        <v>95</v>
      </c>
      <c r="Q137" s="156">
        <v>2.7999999999999998E-4</v>
      </c>
      <c r="R137" s="156" t="s">
        <v>95</v>
      </c>
      <c r="S137" s="156" t="s">
        <v>95</v>
      </c>
      <c r="T137" s="156" t="s">
        <v>95</v>
      </c>
      <c r="U137" s="156" t="s">
        <v>95</v>
      </c>
      <c r="V137" s="156" t="s">
        <v>95</v>
      </c>
      <c r="W137" s="156" t="s">
        <v>95</v>
      </c>
      <c r="X137" s="156" t="s">
        <v>95</v>
      </c>
      <c r="Y137" s="156" t="s">
        <v>95</v>
      </c>
      <c r="Z137" s="156" t="s">
        <v>95</v>
      </c>
      <c r="AA137" s="156" t="s">
        <v>95</v>
      </c>
      <c r="AB137" s="156" t="s">
        <v>95</v>
      </c>
      <c r="AC137" s="156" t="s">
        <v>95</v>
      </c>
      <c r="AD137" s="156" t="s">
        <v>95</v>
      </c>
      <c r="AE137" s="156" t="s">
        <v>95</v>
      </c>
      <c r="AF137" s="156" t="s">
        <v>95</v>
      </c>
      <c r="AG137" s="156" t="s">
        <v>95</v>
      </c>
      <c r="AH137" s="156" t="s">
        <v>95</v>
      </c>
      <c r="AI137" s="156" t="s">
        <v>95</v>
      </c>
      <c r="AJ137" s="156" t="s">
        <v>95</v>
      </c>
      <c r="AK137" s="156" t="s">
        <v>95</v>
      </c>
      <c r="AL137" s="156" t="s">
        <v>95</v>
      </c>
      <c r="AM137" s="156" t="s">
        <v>95</v>
      </c>
      <c r="AN137" s="156" t="s">
        <v>95</v>
      </c>
      <c r="AO137" s="156" t="s">
        <v>95</v>
      </c>
      <c r="AP137" s="156" t="s">
        <v>95</v>
      </c>
      <c r="AQ137" s="156" t="s">
        <v>95</v>
      </c>
      <c r="AR137" s="156" t="s">
        <v>95</v>
      </c>
      <c r="AS137" s="156" t="s">
        <v>95</v>
      </c>
      <c r="AT137" s="156" t="s">
        <v>95</v>
      </c>
      <c r="AU137" s="156" t="s">
        <v>95</v>
      </c>
      <c r="AV137" s="156" t="s">
        <v>95</v>
      </c>
      <c r="AW137" s="156" t="s">
        <v>95</v>
      </c>
      <c r="AX137" s="159" t="s">
        <v>95</v>
      </c>
      <c r="AY137" s="33"/>
      <c r="AZ137" s="33"/>
      <c r="BA137" s="33"/>
      <c r="BB137" s="33"/>
      <c r="BC137" s="33"/>
      <c r="BD137" s="33"/>
      <c r="BE137" s="33"/>
      <c r="BF137" s="33"/>
      <c r="BG137" s="33"/>
      <c r="BH137" s="33"/>
      <c r="BI137" s="33"/>
    </row>
    <row r="138" spans="2:61" ht="14.25" customHeight="1" x14ac:dyDescent="0.35">
      <c r="B138" s="982"/>
      <c r="C138" s="30"/>
      <c r="D138" s="1001" t="s">
        <v>103</v>
      </c>
      <c r="E138" s="1002"/>
      <c r="F138" s="156" t="s">
        <v>81</v>
      </c>
      <c r="G138" s="156" t="s">
        <v>95</v>
      </c>
      <c r="H138" s="156" t="s">
        <v>95</v>
      </c>
      <c r="I138" s="156">
        <v>2.7999999999999998E-4</v>
      </c>
      <c r="J138" s="156" t="s">
        <v>95</v>
      </c>
      <c r="K138" s="156">
        <v>2.7999999999999998E-4</v>
      </c>
      <c r="L138" s="156" t="s">
        <v>95</v>
      </c>
      <c r="M138" s="156">
        <v>2.7999999999999998E-4</v>
      </c>
      <c r="N138" s="156" t="s">
        <v>95</v>
      </c>
      <c r="O138" s="156">
        <v>2.5000000000000001E-4</v>
      </c>
      <c r="P138" s="156" t="s">
        <v>95</v>
      </c>
      <c r="Q138" s="156">
        <v>4.4000000000000002E-4</v>
      </c>
      <c r="R138" s="156" t="s">
        <v>95</v>
      </c>
      <c r="S138" s="156" t="s">
        <v>95</v>
      </c>
      <c r="T138" s="156" t="s">
        <v>95</v>
      </c>
      <c r="U138" s="156" t="s">
        <v>95</v>
      </c>
      <c r="V138" s="156" t="s">
        <v>95</v>
      </c>
      <c r="W138" s="156" t="s">
        <v>95</v>
      </c>
      <c r="X138" s="156" t="s">
        <v>95</v>
      </c>
      <c r="Y138" s="156" t="s">
        <v>95</v>
      </c>
      <c r="Z138" s="156" t="s">
        <v>95</v>
      </c>
      <c r="AA138" s="156" t="s">
        <v>95</v>
      </c>
      <c r="AB138" s="156" t="s">
        <v>95</v>
      </c>
      <c r="AC138" s="156" t="s">
        <v>95</v>
      </c>
      <c r="AD138" s="156" t="s">
        <v>95</v>
      </c>
      <c r="AE138" s="156" t="s">
        <v>95</v>
      </c>
      <c r="AF138" s="156" t="s">
        <v>95</v>
      </c>
      <c r="AG138" s="156" t="s">
        <v>95</v>
      </c>
      <c r="AH138" s="156" t="s">
        <v>95</v>
      </c>
      <c r="AI138" s="156" t="s">
        <v>95</v>
      </c>
      <c r="AJ138" s="156" t="s">
        <v>95</v>
      </c>
      <c r="AK138" s="156" t="s">
        <v>95</v>
      </c>
      <c r="AL138" s="156" t="s">
        <v>95</v>
      </c>
      <c r="AM138" s="156" t="s">
        <v>95</v>
      </c>
      <c r="AN138" s="156" t="s">
        <v>95</v>
      </c>
      <c r="AO138" s="156" t="s">
        <v>95</v>
      </c>
      <c r="AP138" s="156" t="s">
        <v>95</v>
      </c>
      <c r="AQ138" s="156" t="s">
        <v>95</v>
      </c>
      <c r="AR138" s="156" t="s">
        <v>95</v>
      </c>
      <c r="AS138" s="156" t="s">
        <v>95</v>
      </c>
      <c r="AT138" s="156" t="s">
        <v>95</v>
      </c>
      <c r="AU138" s="156" t="s">
        <v>95</v>
      </c>
      <c r="AV138" s="156" t="s">
        <v>95</v>
      </c>
      <c r="AW138" s="156" t="s">
        <v>95</v>
      </c>
      <c r="AX138" s="159" t="s">
        <v>95</v>
      </c>
      <c r="AY138" s="33"/>
      <c r="AZ138" s="33"/>
      <c r="BA138" s="33"/>
      <c r="BB138" s="33"/>
      <c r="BC138" s="33"/>
      <c r="BD138" s="33"/>
      <c r="BE138" s="33"/>
      <c r="BF138" s="33"/>
      <c r="BG138" s="33"/>
      <c r="BH138" s="33"/>
      <c r="BI138" s="33"/>
    </row>
    <row r="139" spans="2:61" ht="14.25" customHeight="1" x14ac:dyDescent="0.35">
      <c r="B139" s="982"/>
      <c r="C139" s="30"/>
      <c r="D139" s="1001" t="s">
        <v>57</v>
      </c>
      <c r="E139" s="1002"/>
      <c r="F139" s="156" t="s">
        <v>81</v>
      </c>
      <c r="G139" s="156" t="s">
        <v>95</v>
      </c>
      <c r="H139" s="156" t="s">
        <v>95</v>
      </c>
      <c r="I139" s="156">
        <v>2.2000000000000001E-4</v>
      </c>
      <c r="J139" s="156" t="s">
        <v>95</v>
      </c>
      <c r="K139" s="156">
        <v>2.2000000000000001E-4</v>
      </c>
      <c r="L139" s="156" t="s">
        <v>95</v>
      </c>
      <c r="M139" s="156">
        <v>2.2000000000000001E-4</v>
      </c>
      <c r="N139" s="156" t="s">
        <v>95</v>
      </c>
      <c r="O139" s="156">
        <v>1.2E-4</v>
      </c>
      <c r="P139" s="156" t="s">
        <v>95</v>
      </c>
      <c r="Q139" s="156">
        <v>7.5000000000000002E-4</v>
      </c>
      <c r="R139" s="156" t="s">
        <v>95</v>
      </c>
      <c r="S139" s="156" t="s">
        <v>95</v>
      </c>
      <c r="T139" s="156" t="s">
        <v>95</v>
      </c>
      <c r="U139" s="156" t="s">
        <v>95</v>
      </c>
      <c r="V139" s="156" t="s">
        <v>95</v>
      </c>
      <c r="W139" s="156" t="s">
        <v>95</v>
      </c>
      <c r="X139" s="156" t="s">
        <v>95</v>
      </c>
      <c r="Y139" s="156" t="s">
        <v>95</v>
      </c>
      <c r="Z139" s="156" t="s">
        <v>95</v>
      </c>
      <c r="AA139" s="156" t="s">
        <v>95</v>
      </c>
      <c r="AB139" s="156" t="s">
        <v>95</v>
      </c>
      <c r="AC139" s="156" t="s">
        <v>95</v>
      </c>
      <c r="AD139" s="156" t="s">
        <v>95</v>
      </c>
      <c r="AE139" s="156" t="s">
        <v>95</v>
      </c>
      <c r="AF139" s="156" t="s">
        <v>95</v>
      </c>
      <c r="AG139" s="156" t="s">
        <v>95</v>
      </c>
      <c r="AH139" s="156" t="s">
        <v>95</v>
      </c>
      <c r="AI139" s="156" t="s">
        <v>95</v>
      </c>
      <c r="AJ139" s="156" t="s">
        <v>95</v>
      </c>
      <c r="AK139" s="156" t="s">
        <v>95</v>
      </c>
      <c r="AL139" s="156" t="s">
        <v>95</v>
      </c>
      <c r="AM139" s="156" t="s">
        <v>95</v>
      </c>
      <c r="AN139" s="156" t="s">
        <v>95</v>
      </c>
      <c r="AO139" s="156" t="s">
        <v>95</v>
      </c>
      <c r="AP139" s="156" t="s">
        <v>95</v>
      </c>
      <c r="AQ139" s="156" t="s">
        <v>95</v>
      </c>
      <c r="AR139" s="156" t="s">
        <v>95</v>
      </c>
      <c r="AS139" s="156" t="s">
        <v>95</v>
      </c>
      <c r="AT139" s="156" t="s">
        <v>95</v>
      </c>
      <c r="AU139" s="156" t="s">
        <v>95</v>
      </c>
      <c r="AV139" s="156" t="s">
        <v>95</v>
      </c>
      <c r="AW139" s="156" t="s">
        <v>95</v>
      </c>
      <c r="AX139" s="159" t="s">
        <v>95</v>
      </c>
      <c r="AY139" s="33"/>
      <c r="AZ139" s="33"/>
      <c r="BA139" s="33"/>
      <c r="BB139" s="33"/>
      <c r="BC139" s="33"/>
      <c r="BD139" s="33"/>
      <c r="BE139" s="33"/>
      <c r="BF139" s="33"/>
      <c r="BG139" s="33"/>
      <c r="BH139" s="33"/>
      <c r="BI139" s="33"/>
    </row>
    <row r="140" spans="2:61" ht="14.25" customHeight="1" x14ac:dyDescent="0.35">
      <c r="B140" s="34" t="s">
        <v>95</v>
      </c>
      <c r="C140" s="34"/>
      <c r="D140" s="160" t="s">
        <v>95</v>
      </c>
      <c r="E140" s="161" t="s">
        <v>95</v>
      </c>
      <c r="F140" s="162" t="s">
        <v>24</v>
      </c>
      <c r="G140" s="162" t="s">
        <v>95</v>
      </c>
      <c r="H140" s="162" t="s">
        <v>95</v>
      </c>
      <c r="I140" s="162">
        <v>1.15E-2</v>
      </c>
      <c r="J140" s="162" t="s">
        <v>95</v>
      </c>
      <c r="K140" s="162">
        <v>1.15E-2</v>
      </c>
      <c r="L140" s="162" t="s">
        <v>95</v>
      </c>
      <c r="M140" s="162">
        <v>1.15E-2</v>
      </c>
      <c r="N140" s="162" t="s">
        <v>95</v>
      </c>
      <c r="O140" s="162">
        <v>3.46E-3</v>
      </c>
      <c r="P140" s="162" t="s">
        <v>95</v>
      </c>
      <c r="Q140" s="162">
        <v>1.6420000000000001E-2</v>
      </c>
      <c r="R140" s="162" t="s">
        <v>95</v>
      </c>
      <c r="S140" s="162" t="s">
        <v>95</v>
      </c>
      <c r="T140" s="162" t="s">
        <v>95</v>
      </c>
      <c r="U140" s="162" t="s">
        <v>95</v>
      </c>
      <c r="V140" s="162" t="s">
        <v>95</v>
      </c>
      <c r="W140" s="162" t="s">
        <v>95</v>
      </c>
      <c r="X140" s="162" t="s">
        <v>95</v>
      </c>
      <c r="Y140" s="162" t="s">
        <v>95</v>
      </c>
      <c r="Z140" s="162" t="s">
        <v>95</v>
      </c>
      <c r="AA140" s="162" t="s">
        <v>95</v>
      </c>
      <c r="AB140" s="162" t="s">
        <v>95</v>
      </c>
      <c r="AC140" s="162" t="s">
        <v>95</v>
      </c>
      <c r="AD140" s="162" t="s">
        <v>95</v>
      </c>
      <c r="AE140" s="162" t="s">
        <v>95</v>
      </c>
      <c r="AF140" s="162" t="s">
        <v>95</v>
      </c>
      <c r="AG140" s="162" t="s">
        <v>95</v>
      </c>
      <c r="AH140" s="162" t="s">
        <v>95</v>
      </c>
      <c r="AI140" s="162" t="s">
        <v>95</v>
      </c>
      <c r="AJ140" s="162" t="s">
        <v>95</v>
      </c>
      <c r="AK140" s="162" t="s">
        <v>95</v>
      </c>
      <c r="AL140" s="162" t="s">
        <v>95</v>
      </c>
      <c r="AM140" s="162" t="s">
        <v>95</v>
      </c>
      <c r="AN140" s="162" t="s">
        <v>95</v>
      </c>
      <c r="AO140" s="162" t="s">
        <v>95</v>
      </c>
      <c r="AP140" s="162" t="s">
        <v>95</v>
      </c>
      <c r="AQ140" s="162" t="s">
        <v>95</v>
      </c>
      <c r="AR140" s="162" t="s">
        <v>95</v>
      </c>
      <c r="AS140" s="162" t="s">
        <v>95</v>
      </c>
      <c r="AT140" s="162" t="s">
        <v>95</v>
      </c>
      <c r="AU140" s="162" t="s">
        <v>95</v>
      </c>
      <c r="AV140" s="162" t="s">
        <v>95</v>
      </c>
      <c r="AW140" s="162" t="s">
        <v>95</v>
      </c>
      <c r="AX140" s="163" t="s">
        <v>95</v>
      </c>
      <c r="AY140" s="14"/>
      <c r="AZ140" s="14"/>
      <c r="BA140" s="14"/>
      <c r="BB140" s="14"/>
      <c r="BC140" s="14"/>
      <c r="BD140" s="14"/>
      <c r="BE140" s="14"/>
      <c r="BF140" s="14"/>
      <c r="BG140" s="14"/>
      <c r="BH140" s="14"/>
      <c r="BI140" s="14"/>
    </row>
    <row r="141" spans="2:61" ht="14.25" customHeight="1" x14ac:dyDescent="0.35">
      <c r="B141" s="34" t="s">
        <v>95</v>
      </c>
      <c r="C141" s="34"/>
      <c r="D141" s="160" t="s">
        <v>95</v>
      </c>
      <c r="E141" s="161" t="s">
        <v>95</v>
      </c>
      <c r="F141" s="162" t="s">
        <v>95</v>
      </c>
      <c r="G141" s="162" t="s">
        <v>95</v>
      </c>
      <c r="H141" s="162" t="s">
        <v>95</v>
      </c>
      <c r="I141" s="162" t="s">
        <v>95</v>
      </c>
      <c r="J141" s="162" t="s">
        <v>95</v>
      </c>
      <c r="K141" s="162" t="s">
        <v>95</v>
      </c>
      <c r="L141" s="162" t="s">
        <v>95</v>
      </c>
      <c r="M141" s="162" t="s">
        <v>95</v>
      </c>
      <c r="N141" s="162" t="s">
        <v>95</v>
      </c>
      <c r="O141" s="162" t="s">
        <v>95</v>
      </c>
      <c r="P141" s="162" t="s">
        <v>95</v>
      </c>
      <c r="Q141" s="162" t="s">
        <v>95</v>
      </c>
      <c r="R141" s="162" t="s">
        <v>95</v>
      </c>
      <c r="S141" s="162" t="s">
        <v>95</v>
      </c>
      <c r="T141" s="162" t="s">
        <v>95</v>
      </c>
      <c r="U141" s="162" t="s">
        <v>95</v>
      </c>
      <c r="V141" s="162" t="s">
        <v>95</v>
      </c>
      <c r="W141" s="162" t="s">
        <v>95</v>
      </c>
      <c r="X141" s="162" t="s">
        <v>95</v>
      </c>
      <c r="Y141" s="162" t="s">
        <v>95</v>
      </c>
      <c r="Z141" s="162" t="s">
        <v>95</v>
      </c>
      <c r="AA141" s="162" t="s">
        <v>95</v>
      </c>
      <c r="AB141" s="162" t="s">
        <v>95</v>
      </c>
      <c r="AC141" s="162" t="s">
        <v>95</v>
      </c>
      <c r="AD141" s="162" t="s">
        <v>95</v>
      </c>
      <c r="AE141" s="162" t="s">
        <v>95</v>
      </c>
      <c r="AF141" s="162" t="s">
        <v>95</v>
      </c>
      <c r="AG141" s="162" t="s">
        <v>95</v>
      </c>
      <c r="AH141" s="162" t="s">
        <v>95</v>
      </c>
      <c r="AI141" s="162" t="s">
        <v>95</v>
      </c>
      <c r="AJ141" s="162" t="s">
        <v>95</v>
      </c>
      <c r="AK141" s="162" t="s">
        <v>95</v>
      </c>
      <c r="AL141" s="162" t="s">
        <v>95</v>
      </c>
      <c r="AM141" s="162" t="s">
        <v>95</v>
      </c>
      <c r="AN141" s="162" t="s">
        <v>95</v>
      </c>
      <c r="AO141" s="162" t="s">
        <v>95</v>
      </c>
      <c r="AP141" s="162" t="s">
        <v>95</v>
      </c>
      <c r="AQ141" s="162" t="s">
        <v>95</v>
      </c>
      <c r="AR141" s="162" t="s">
        <v>95</v>
      </c>
      <c r="AS141" s="162" t="s">
        <v>95</v>
      </c>
      <c r="AT141" s="162" t="s">
        <v>95</v>
      </c>
      <c r="AU141" s="162" t="s">
        <v>95</v>
      </c>
      <c r="AV141" s="162" t="s">
        <v>95</v>
      </c>
      <c r="AW141" s="162" t="s">
        <v>95</v>
      </c>
      <c r="AX141" s="163" t="s">
        <v>95</v>
      </c>
      <c r="AY141" s="14"/>
      <c r="AZ141" s="14"/>
      <c r="BA141" s="14"/>
      <c r="BB141" s="14"/>
      <c r="BC141" s="14"/>
      <c r="BD141" s="14"/>
      <c r="BE141" s="14"/>
      <c r="BF141" s="14"/>
      <c r="BG141" s="14"/>
      <c r="BH141" s="14"/>
      <c r="BI141" s="14"/>
    </row>
    <row r="142" spans="2:61" ht="14.25" customHeight="1" x14ac:dyDescent="0.3">
      <c r="B142" s="944"/>
      <c r="C142" s="13"/>
      <c r="D142" s="125"/>
      <c r="E142" s="126" t="s">
        <v>3</v>
      </c>
      <c r="F142" s="131" t="s">
        <v>110</v>
      </c>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9"/>
    </row>
    <row r="143" spans="2:61" ht="14.25" customHeight="1" x14ac:dyDescent="0.35">
      <c r="B143" s="30" t="s">
        <v>95</v>
      </c>
      <c r="C143" s="30"/>
      <c r="D143" s="164" t="s">
        <v>95</v>
      </c>
      <c r="E143" s="165" t="s">
        <v>95</v>
      </c>
      <c r="F143" s="156" t="s">
        <v>95</v>
      </c>
      <c r="G143" s="156" t="s">
        <v>95</v>
      </c>
      <c r="H143" s="156" t="s">
        <v>95</v>
      </c>
      <c r="I143" s="156" t="s">
        <v>95</v>
      </c>
      <c r="J143" s="156" t="s">
        <v>95</v>
      </c>
      <c r="K143" s="156" t="s">
        <v>95</v>
      </c>
      <c r="L143" s="156" t="s">
        <v>95</v>
      </c>
      <c r="M143" s="156" t="s">
        <v>95</v>
      </c>
      <c r="N143" s="156" t="s">
        <v>95</v>
      </c>
      <c r="O143" s="156" t="s">
        <v>95</v>
      </c>
      <c r="P143" s="156" t="s">
        <v>95</v>
      </c>
      <c r="Q143" s="156" t="s">
        <v>95</v>
      </c>
      <c r="R143" s="156" t="s">
        <v>95</v>
      </c>
      <c r="S143" s="156" t="s">
        <v>95</v>
      </c>
      <c r="T143" s="156" t="s">
        <v>95</v>
      </c>
      <c r="U143" s="156" t="s">
        <v>95</v>
      </c>
      <c r="V143" s="156" t="s">
        <v>95</v>
      </c>
      <c r="W143" s="156" t="s">
        <v>95</v>
      </c>
      <c r="X143" s="156" t="s">
        <v>95</v>
      </c>
      <c r="Y143" s="156" t="s">
        <v>95</v>
      </c>
      <c r="Z143" s="156" t="s">
        <v>95</v>
      </c>
      <c r="AA143" s="156" t="s">
        <v>95</v>
      </c>
      <c r="AB143" s="156" t="s">
        <v>95</v>
      </c>
      <c r="AC143" s="156" t="s">
        <v>95</v>
      </c>
      <c r="AD143" s="156" t="s">
        <v>95</v>
      </c>
      <c r="AE143" s="156" t="s">
        <v>95</v>
      </c>
      <c r="AF143" s="156" t="s">
        <v>95</v>
      </c>
      <c r="AG143" s="156" t="s">
        <v>95</v>
      </c>
      <c r="AH143" s="156" t="s">
        <v>95</v>
      </c>
      <c r="AI143" s="156" t="s">
        <v>95</v>
      </c>
      <c r="AJ143" s="156" t="s">
        <v>95</v>
      </c>
      <c r="AK143" s="156" t="s">
        <v>95</v>
      </c>
      <c r="AL143" s="156" t="s">
        <v>95</v>
      </c>
      <c r="AM143" s="156" t="s">
        <v>95</v>
      </c>
      <c r="AN143" s="156" t="s">
        <v>95</v>
      </c>
      <c r="AO143" s="156" t="s">
        <v>95</v>
      </c>
      <c r="AP143" s="156" t="s">
        <v>95</v>
      </c>
      <c r="AQ143" s="156" t="s">
        <v>95</v>
      </c>
      <c r="AR143" s="156" t="s">
        <v>95</v>
      </c>
      <c r="AS143" s="156" t="s">
        <v>95</v>
      </c>
      <c r="AT143" s="156" t="s">
        <v>95</v>
      </c>
      <c r="AU143" s="156" t="s">
        <v>95</v>
      </c>
      <c r="AV143" s="156" t="s">
        <v>95</v>
      </c>
      <c r="AW143" s="156" t="s">
        <v>95</v>
      </c>
      <c r="AX143" s="159" t="s">
        <v>95</v>
      </c>
      <c r="AY143" s="33"/>
      <c r="AZ143" s="33"/>
      <c r="BA143" s="33"/>
      <c r="BB143" s="33"/>
      <c r="BC143" s="33"/>
      <c r="BD143" s="33"/>
      <c r="BE143" s="33"/>
      <c r="BF143" s="33"/>
      <c r="BG143" s="33"/>
      <c r="BH143" s="33"/>
      <c r="BI143" s="33"/>
    </row>
    <row r="144" spans="2:61" ht="14.25" customHeight="1" x14ac:dyDescent="0.35">
      <c r="B144" s="1013" t="s">
        <v>98</v>
      </c>
      <c r="C144" s="30"/>
      <c r="D144" s="1001" t="s">
        <v>99</v>
      </c>
      <c r="E144" s="1002"/>
      <c r="F144" s="156" t="s">
        <v>82</v>
      </c>
      <c r="G144" s="156" t="s">
        <v>95</v>
      </c>
      <c r="H144" s="156" t="s">
        <v>95</v>
      </c>
      <c r="I144" s="156">
        <v>0</v>
      </c>
      <c r="J144" s="156" t="s">
        <v>95</v>
      </c>
      <c r="K144" s="156">
        <v>8.0000000000000015E-4</v>
      </c>
      <c r="L144" s="156"/>
      <c r="M144" s="156">
        <v>8.0000000000000015E-4</v>
      </c>
      <c r="N144" s="156"/>
      <c r="O144" s="156">
        <v>2.0500000000000002E-3</v>
      </c>
      <c r="P144" s="156"/>
      <c r="Q144" s="156">
        <v>1.6100000000000001E-3</v>
      </c>
      <c r="R144" s="156"/>
      <c r="S144" s="156" t="s">
        <v>95</v>
      </c>
      <c r="T144" s="156" t="s">
        <v>95</v>
      </c>
      <c r="U144" s="156" t="s">
        <v>95</v>
      </c>
      <c r="V144" s="156" t="s">
        <v>95</v>
      </c>
      <c r="W144" s="156" t="s">
        <v>95</v>
      </c>
      <c r="X144" s="156" t="s">
        <v>95</v>
      </c>
      <c r="Y144" s="156" t="s">
        <v>95</v>
      </c>
      <c r="Z144" s="156" t="s">
        <v>95</v>
      </c>
      <c r="AA144" s="156" t="s">
        <v>95</v>
      </c>
      <c r="AB144" s="156" t="s">
        <v>95</v>
      </c>
      <c r="AC144" s="156" t="s">
        <v>95</v>
      </c>
      <c r="AD144" s="156" t="s">
        <v>95</v>
      </c>
      <c r="AE144" s="156" t="s">
        <v>95</v>
      </c>
      <c r="AF144" s="156" t="s">
        <v>95</v>
      </c>
      <c r="AG144" s="156" t="s">
        <v>95</v>
      </c>
      <c r="AH144" s="156" t="s">
        <v>95</v>
      </c>
      <c r="AI144" s="156" t="s">
        <v>95</v>
      </c>
      <c r="AJ144" s="156" t="s">
        <v>95</v>
      </c>
      <c r="AK144" s="156" t="s">
        <v>95</v>
      </c>
      <c r="AL144" s="156" t="s">
        <v>95</v>
      </c>
      <c r="AM144" s="156" t="s">
        <v>95</v>
      </c>
      <c r="AN144" s="156" t="s">
        <v>95</v>
      </c>
      <c r="AO144" s="156" t="s">
        <v>95</v>
      </c>
      <c r="AP144" s="156" t="s">
        <v>95</v>
      </c>
      <c r="AQ144" s="156" t="s">
        <v>95</v>
      </c>
      <c r="AR144" s="156" t="s">
        <v>95</v>
      </c>
      <c r="AS144" s="156" t="s">
        <v>95</v>
      </c>
      <c r="AT144" s="156" t="s">
        <v>95</v>
      </c>
      <c r="AU144" s="156" t="s">
        <v>95</v>
      </c>
      <c r="AV144" s="156" t="s">
        <v>95</v>
      </c>
      <c r="AW144" s="156" t="s">
        <v>95</v>
      </c>
      <c r="AX144" s="159" t="s">
        <v>95</v>
      </c>
      <c r="AY144" s="30"/>
      <c r="AZ144" s="30"/>
      <c r="BA144" s="30"/>
      <c r="BB144" s="30"/>
      <c r="BC144" s="30"/>
      <c r="BD144" s="30"/>
      <c r="BE144" s="30"/>
      <c r="BF144" s="30"/>
      <c r="BG144" s="30"/>
      <c r="BH144" s="30"/>
      <c r="BI144" s="30"/>
    </row>
    <row r="145" spans="2:61" ht="14.25" customHeight="1" x14ac:dyDescent="0.35">
      <c r="B145" s="982"/>
      <c r="C145" s="30"/>
      <c r="D145" s="1001" t="s">
        <v>101</v>
      </c>
      <c r="E145" s="1002"/>
      <c r="F145" s="156" t="s">
        <v>82</v>
      </c>
      <c r="G145" s="156" t="s">
        <v>95</v>
      </c>
      <c r="H145" s="156" t="s">
        <v>95</v>
      </c>
      <c r="I145" s="156">
        <v>3.0000000000000001E-5</v>
      </c>
      <c r="J145" s="156" t="s">
        <v>95</v>
      </c>
      <c r="K145" s="156">
        <v>3.0000000000000001E-5</v>
      </c>
      <c r="L145" s="156" t="s">
        <v>95</v>
      </c>
      <c r="M145" s="156">
        <v>3.0000000000000001E-5</v>
      </c>
      <c r="N145" s="156" t="s">
        <v>95</v>
      </c>
      <c r="O145" s="156">
        <v>1.8000000000000001E-4</v>
      </c>
      <c r="P145" s="156" t="s">
        <v>95</v>
      </c>
      <c r="Q145" s="156">
        <v>1.8000000000000001E-4</v>
      </c>
      <c r="R145" s="156" t="s">
        <v>95</v>
      </c>
      <c r="S145" s="156" t="s">
        <v>95</v>
      </c>
      <c r="T145" s="156" t="s">
        <v>95</v>
      </c>
      <c r="U145" s="156" t="s">
        <v>95</v>
      </c>
      <c r="V145" s="156" t="s">
        <v>95</v>
      </c>
      <c r="W145" s="156" t="s">
        <v>95</v>
      </c>
      <c r="X145" s="156" t="s">
        <v>95</v>
      </c>
      <c r="Y145" s="156" t="s">
        <v>95</v>
      </c>
      <c r="Z145" s="156" t="s">
        <v>95</v>
      </c>
      <c r="AA145" s="156" t="s">
        <v>95</v>
      </c>
      <c r="AB145" s="156" t="s">
        <v>95</v>
      </c>
      <c r="AC145" s="156" t="s">
        <v>95</v>
      </c>
      <c r="AD145" s="156" t="s">
        <v>95</v>
      </c>
      <c r="AE145" s="156" t="s">
        <v>95</v>
      </c>
      <c r="AF145" s="156" t="s">
        <v>95</v>
      </c>
      <c r="AG145" s="156" t="s">
        <v>95</v>
      </c>
      <c r="AH145" s="156" t="s">
        <v>95</v>
      </c>
      <c r="AI145" s="156" t="s">
        <v>95</v>
      </c>
      <c r="AJ145" s="156" t="s">
        <v>95</v>
      </c>
      <c r="AK145" s="156" t="s">
        <v>95</v>
      </c>
      <c r="AL145" s="156" t="s">
        <v>95</v>
      </c>
      <c r="AM145" s="156" t="s">
        <v>95</v>
      </c>
      <c r="AN145" s="156" t="s">
        <v>95</v>
      </c>
      <c r="AO145" s="156" t="s">
        <v>95</v>
      </c>
      <c r="AP145" s="156" t="s">
        <v>95</v>
      </c>
      <c r="AQ145" s="156" t="s">
        <v>95</v>
      </c>
      <c r="AR145" s="156" t="s">
        <v>95</v>
      </c>
      <c r="AS145" s="156" t="s">
        <v>95</v>
      </c>
      <c r="AT145" s="156" t="s">
        <v>95</v>
      </c>
      <c r="AU145" s="156" t="s">
        <v>95</v>
      </c>
      <c r="AV145" s="156" t="s">
        <v>95</v>
      </c>
      <c r="AW145" s="156" t="s">
        <v>95</v>
      </c>
      <c r="AX145" s="159" t="s">
        <v>95</v>
      </c>
      <c r="AY145" s="33"/>
      <c r="AZ145" s="33"/>
      <c r="BA145" s="33"/>
      <c r="BB145" s="33"/>
      <c r="BC145" s="33"/>
      <c r="BD145" s="33"/>
      <c r="BE145" s="33"/>
      <c r="BF145" s="33"/>
      <c r="BG145" s="33"/>
      <c r="BH145" s="33"/>
      <c r="BI145" s="33"/>
    </row>
    <row r="146" spans="2:61" ht="14.25" customHeight="1" x14ac:dyDescent="0.35">
      <c r="B146" s="982"/>
      <c r="C146" s="30"/>
      <c r="D146" s="1001" t="s">
        <v>106</v>
      </c>
      <c r="E146" s="1002"/>
      <c r="F146" s="156" t="s">
        <v>82</v>
      </c>
      <c r="G146" s="156" t="s">
        <v>95</v>
      </c>
      <c r="H146" s="156" t="s">
        <v>95</v>
      </c>
      <c r="I146" s="156">
        <v>3.3800000000000002E-3</v>
      </c>
      <c r="J146" s="156" t="s">
        <v>95</v>
      </c>
      <c r="K146" s="156">
        <v>3.3800000000000002E-3</v>
      </c>
      <c r="L146" s="156" t="s">
        <v>95</v>
      </c>
      <c r="M146" s="156">
        <v>3.3800000000000002E-3</v>
      </c>
      <c r="N146" s="156" t="s">
        <v>95</v>
      </c>
      <c r="O146" s="156">
        <v>2.14E-3</v>
      </c>
      <c r="P146" s="156" t="s">
        <v>95</v>
      </c>
      <c r="Q146" s="156">
        <v>5.3200000000000001E-3</v>
      </c>
      <c r="R146" s="156" t="s">
        <v>95</v>
      </c>
      <c r="S146" s="156" t="s">
        <v>95</v>
      </c>
      <c r="T146" s="156" t="s">
        <v>95</v>
      </c>
      <c r="U146" s="156" t="s">
        <v>95</v>
      </c>
      <c r="V146" s="156" t="s">
        <v>95</v>
      </c>
      <c r="W146" s="156" t="s">
        <v>95</v>
      </c>
      <c r="X146" s="156" t="s">
        <v>95</v>
      </c>
      <c r="Y146" s="156" t="s">
        <v>95</v>
      </c>
      <c r="Z146" s="156" t="s">
        <v>95</v>
      </c>
      <c r="AA146" s="156" t="s">
        <v>95</v>
      </c>
      <c r="AB146" s="156" t="s">
        <v>95</v>
      </c>
      <c r="AC146" s="156" t="s">
        <v>95</v>
      </c>
      <c r="AD146" s="156" t="s">
        <v>95</v>
      </c>
      <c r="AE146" s="156" t="s">
        <v>95</v>
      </c>
      <c r="AF146" s="156" t="s">
        <v>95</v>
      </c>
      <c r="AG146" s="156" t="s">
        <v>95</v>
      </c>
      <c r="AH146" s="156" t="s">
        <v>95</v>
      </c>
      <c r="AI146" s="156" t="s">
        <v>95</v>
      </c>
      <c r="AJ146" s="156" t="s">
        <v>95</v>
      </c>
      <c r="AK146" s="156" t="s">
        <v>95</v>
      </c>
      <c r="AL146" s="156" t="s">
        <v>95</v>
      </c>
      <c r="AM146" s="156" t="s">
        <v>95</v>
      </c>
      <c r="AN146" s="156" t="s">
        <v>95</v>
      </c>
      <c r="AO146" s="156" t="s">
        <v>95</v>
      </c>
      <c r="AP146" s="156" t="s">
        <v>95</v>
      </c>
      <c r="AQ146" s="156" t="s">
        <v>95</v>
      </c>
      <c r="AR146" s="156" t="s">
        <v>95</v>
      </c>
      <c r="AS146" s="156" t="s">
        <v>95</v>
      </c>
      <c r="AT146" s="156" t="s">
        <v>95</v>
      </c>
      <c r="AU146" s="156" t="s">
        <v>95</v>
      </c>
      <c r="AV146" s="156" t="s">
        <v>95</v>
      </c>
      <c r="AW146" s="156" t="s">
        <v>95</v>
      </c>
      <c r="AX146" s="159" t="s">
        <v>95</v>
      </c>
      <c r="AY146" s="33"/>
      <c r="AZ146" s="33"/>
      <c r="BA146" s="33"/>
      <c r="BB146" s="33"/>
      <c r="BC146" s="33"/>
      <c r="BD146" s="33"/>
      <c r="BE146" s="33"/>
      <c r="BF146" s="33"/>
      <c r="BG146" s="33"/>
      <c r="BH146" s="33"/>
      <c r="BI146" s="33"/>
    </row>
    <row r="147" spans="2:61" ht="14.25" customHeight="1" x14ac:dyDescent="0.35">
      <c r="B147" s="982"/>
      <c r="C147" s="30"/>
      <c r="D147" s="1001" t="s">
        <v>102</v>
      </c>
      <c r="E147" s="1002"/>
      <c r="F147" s="156" t="s">
        <v>82</v>
      </c>
      <c r="G147" s="156" t="s">
        <v>95</v>
      </c>
      <c r="H147" s="156" t="s">
        <v>95</v>
      </c>
      <c r="I147" s="156">
        <v>1.16E-3</v>
      </c>
      <c r="J147" s="156" t="s">
        <v>95</v>
      </c>
      <c r="K147" s="156">
        <v>1.16E-3</v>
      </c>
      <c r="L147" s="156" t="s">
        <v>95</v>
      </c>
      <c r="M147" s="156">
        <v>1.16E-3</v>
      </c>
      <c r="N147" s="156" t="s">
        <v>95</v>
      </c>
      <c r="O147" s="156">
        <v>2.4199999999999998E-3</v>
      </c>
      <c r="P147" s="156" t="s">
        <v>95</v>
      </c>
      <c r="Q147" s="156">
        <v>9.7000000000000005E-4</v>
      </c>
      <c r="R147" s="156" t="s">
        <v>95</v>
      </c>
      <c r="S147" s="156" t="s">
        <v>95</v>
      </c>
      <c r="T147" s="156" t="s">
        <v>95</v>
      </c>
      <c r="U147" s="156" t="s">
        <v>95</v>
      </c>
      <c r="V147" s="156" t="s">
        <v>95</v>
      </c>
      <c r="W147" s="156" t="s">
        <v>95</v>
      </c>
      <c r="X147" s="156" t="s">
        <v>95</v>
      </c>
      <c r="Y147" s="156" t="s">
        <v>95</v>
      </c>
      <c r="Z147" s="156" t="s">
        <v>95</v>
      </c>
      <c r="AA147" s="156" t="s">
        <v>95</v>
      </c>
      <c r="AB147" s="156" t="s">
        <v>95</v>
      </c>
      <c r="AC147" s="156" t="s">
        <v>95</v>
      </c>
      <c r="AD147" s="156" t="s">
        <v>95</v>
      </c>
      <c r="AE147" s="156" t="s">
        <v>95</v>
      </c>
      <c r="AF147" s="156" t="s">
        <v>95</v>
      </c>
      <c r="AG147" s="156" t="s">
        <v>95</v>
      </c>
      <c r="AH147" s="156" t="s">
        <v>95</v>
      </c>
      <c r="AI147" s="156" t="s">
        <v>95</v>
      </c>
      <c r="AJ147" s="156" t="s">
        <v>95</v>
      </c>
      <c r="AK147" s="156" t="s">
        <v>95</v>
      </c>
      <c r="AL147" s="156" t="s">
        <v>95</v>
      </c>
      <c r="AM147" s="156" t="s">
        <v>95</v>
      </c>
      <c r="AN147" s="156" t="s">
        <v>95</v>
      </c>
      <c r="AO147" s="156" t="s">
        <v>95</v>
      </c>
      <c r="AP147" s="156" t="s">
        <v>95</v>
      </c>
      <c r="AQ147" s="156" t="s">
        <v>95</v>
      </c>
      <c r="AR147" s="156" t="s">
        <v>95</v>
      </c>
      <c r="AS147" s="156" t="s">
        <v>95</v>
      </c>
      <c r="AT147" s="156" t="s">
        <v>95</v>
      </c>
      <c r="AU147" s="156" t="s">
        <v>95</v>
      </c>
      <c r="AV147" s="156" t="s">
        <v>95</v>
      </c>
      <c r="AW147" s="156" t="s">
        <v>95</v>
      </c>
      <c r="AX147" s="159" t="s">
        <v>95</v>
      </c>
      <c r="AY147" s="33"/>
      <c r="AZ147" s="33"/>
      <c r="BA147" s="33"/>
      <c r="BB147" s="33"/>
      <c r="BC147" s="33"/>
      <c r="BD147" s="33"/>
      <c r="BE147" s="33"/>
      <c r="BF147" s="33"/>
      <c r="BG147" s="33"/>
      <c r="BH147" s="33"/>
      <c r="BI147" s="33"/>
    </row>
    <row r="148" spans="2:61" ht="14.25" customHeight="1" x14ac:dyDescent="0.35">
      <c r="B148" s="982"/>
      <c r="C148" s="30"/>
      <c r="D148" s="1001" t="s">
        <v>103</v>
      </c>
      <c r="E148" s="1002"/>
      <c r="F148" s="156" t="s">
        <v>82</v>
      </c>
      <c r="G148" s="156" t="s">
        <v>95</v>
      </c>
      <c r="H148" s="156" t="s">
        <v>95</v>
      </c>
      <c r="I148" s="156">
        <v>1.8E-3</v>
      </c>
      <c r="J148" s="156" t="s">
        <v>95</v>
      </c>
      <c r="K148" s="156">
        <v>1.8E-3</v>
      </c>
      <c r="L148" s="156" t="s">
        <v>95</v>
      </c>
      <c r="M148" s="156">
        <v>1.8E-3</v>
      </c>
      <c r="N148" s="156" t="s">
        <v>95</v>
      </c>
      <c r="O148" s="156">
        <v>1.0300000000000001E-3</v>
      </c>
      <c r="P148" s="156" t="s">
        <v>95</v>
      </c>
      <c r="Q148" s="156">
        <v>4.2100000000000002E-3</v>
      </c>
      <c r="R148" s="156" t="s">
        <v>95</v>
      </c>
      <c r="S148" s="156" t="s">
        <v>95</v>
      </c>
      <c r="T148" s="156" t="s">
        <v>95</v>
      </c>
      <c r="U148" s="156" t="s">
        <v>95</v>
      </c>
      <c r="V148" s="156" t="s">
        <v>95</v>
      </c>
      <c r="W148" s="156" t="s">
        <v>95</v>
      </c>
      <c r="X148" s="156" t="s">
        <v>95</v>
      </c>
      <c r="Y148" s="156" t="s">
        <v>95</v>
      </c>
      <c r="Z148" s="156" t="s">
        <v>95</v>
      </c>
      <c r="AA148" s="156" t="s">
        <v>95</v>
      </c>
      <c r="AB148" s="156" t="s">
        <v>95</v>
      </c>
      <c r="AC148" s="156" t="s">
        <v>95</v>
      </c>
      <c r="AD148" s="156" t="s">
        <v>95</v>
      </c>
      <c r="AE148" s="156" t="s">
        <v>95</v>
      </c>
      <c r="AF148" s="156" t="s">
        <v>95</v>
      </c>
      <c r="AG148" s="156" t="s">
        <v>95</v>
      </c>
      <c r="AH148" s="156" t="s">
        <v>95</v>
      </c>
      <c r="AI148" s="156" t="s">
        <v>95</v>
      </c>
      <c r="AJ148" s="156" t="s">
        <v>95</v>
      </c>
      <c r="AK148" s="156" t="s">
        <v>95</v>
      </c>
      <c r="AL148" s="156" t="s">
        <v>95</v>
      </c>
      <c r="AM148" s="156" t="s">
        <v>95</v>
      </c>
      <c r="AN148" s="156" t="s">
        <v>95</v>
      </c>
      <c r="AO148" s="156" t="s">
        <v>95</v>
      </c>
      <c r="AP148" s="156" t="s">
        <v>95</v>
      </c>
      <c r="AQ148" s="156" t="s">
        <v>95</v>
      </c>
      <c r="AR148" s="156" t="s">
        <v>95</v>
      </c>
      <c r="AS148" s="156" t="s">
        <v>95</v>
      </c>
      <c r="AT148" s="156" t="s">
        <v>95</v>
      </c>
      <c r="AU148" s="156" t="s">
        <v>95</v>
      </c>
      <c r="AV148" s="156" t="s">
        <v>95</v>
      </c>
      <c r="AW148" s="156" t="s">
        <v>95</v>
      </c>
      <c r="AX148" s="159" t="s">
        <v>95</v>
      </c>
      <c r="AY148" s="33"/>
      <c r="AZ148" s="33"/>
      <c r="BA148" s="33"/>
      <c r="BB148" s="33"/>
      <c r="BC148" s="33"/>
      <c r="BD148" s="33"/>
      <c r="BE148" s="33"/>
      <c r="BF148" s="33"/>
      <c r="BG148" s="33"/>
      <c r="BH148" s="33"/>
      <c r="BI148" s="33"/>
    </row>
    <row r="149" spans="2:61" ht="14.25" customHeight="1" x14ac:dyDescent="0.35">
      <c r="B149" s="30"/>
      <c r="C149" s="30"/>
      <c r="D149" s="1001" t="s">
        <v>57</v>
      </c>
      <c r="E149" s="1002"/>
      <c r="F149" s="156" t="s">
        <v>82</v>
      </c>
      <c r="G149" s="156" t="s">
        <v>95</v>
      </c>
      <c r="H149" s="156" t="s">
        <v>95</v>
      </c>
      <c r="I149" s="156">
        <v>0</v>
      </c>
      <c r="J149" s="156" t="s">
        <v>95</v>
      </c>
      <c r="K149" s="156">
        <v>0</v>
      </c>
      <c r="L149" s="156" t="s">
        <v>95</v>
      </c>
      <c r="M149" s="156">
        <v>0</v>
      </c>
      <c r="N149" s="156" t="s">
        <v>95</v>
      </c>
      <c r="O149" s="156">
        <v>0</v>
      </c>
      <c r="P149" s="156" t="s">
        <v>95</v>
      </c>
      <c r="Q149" s="156">
        <v>0</v>
      </c>
      <c r="R149" s="156" t="s">
        <v>95</v>
      </c>
      <c r="S149" s="156" t="s">
        <v>95</v>
      </c>
      <c r="T149" s="156" t="s">
        <v>95</v>
      </c>
      <c r="U149" s="156" t="s">
        <v>95</v>
      </c>
      <c r="V149" s="156" t="s">
        <v>95</v>
      </c>
      <c r="W149" s="156" t="s">
        <v>95</v>
      </c>
      <c r="X149" s="156" t="s">
        <v>95</v>
      </c>
      <c r="Y149" s="156" t="s">
        <v>95</v>
      </c>
      <c r="Z149" s="156" t="s">
        <v>95</v>
      </c>
      <c r="AA149" s="156" t="s">
        <v>95</v>
      </c>
      <c r="AB149" s="156" t="s">
        <v>95</v>
      </c>
      <c r="AC149" s="156" t="s">
        <v>95</v>
      </c>
      <c r="AD149" s="156" t="s">
        <v>95</v>
      </c>
      <c r="AE149" s="156" t="s">
        <v>95</v>
      </c>
      <c r="AF149" s="156" t="s">
        <v>95</v>
      </c>
      <c r="AG149" s="156" t="s">
        <v>95</v>
      </c>
      <c r="AH149" s="156" t="s">
        <v>95</v>
      </c>
      <c r="AI149" s="156" t="s">
        <v>95</v>
      </c>
      <c r="AJ149" s="156" t="s">
        <v>95</v>
      </c>
      <c r="AK149" s="156" t="s">
        <v>95</v>
      </c>
      <c r="AL149" s="156" t="s">
        <v>95</v>
      </c>
      <c r="AM149" s="156" t="s">
        <v>95</v>
      </c>
      <c r="AN149" s="156" t="s">
        <v>95</v>
      </c>
      <c r="AO149" s="156" t="s">
        <v>95</v>
      </c>
      <c r="AP149" s="156" t="s">
        <v>95</v>
      </c>
      <c r="AQ149" s="156" t="s">
        <v>95</v>
      </c>
      <c r="AR149" s="156" t="s">
        <v>95</v>
      </c>
      <c r="AS149" s="156" t="s">
        <v>95</v>
      </c>
      <c r="AT149" s="156" t="s">
        <v>95</v>
      </c>
      <c r="AU149" s="156" t="s">
        <v>95</v>
      </c>
      <c r="AV149" s="156" t="s">
        <v>95</v>
      </c>
      <c r="AW149" s="156" t="s">
        <v>95</v>
      </c>
      <c r="AX149" s="159" t="s">
        <v>95</v>
      </c>
      <c r="AY149" s="33"/>
      <c r="AZ149" s="33"/>
      <c r="BA149" s="33"/>
      <c r="BB149" s="33"/>
      <c r="BC149" s="33"/>
      <c r="BD149" s="33"/>
      <c r="BE149" s="33"/>
      <c r="BF149" s="33"/>
      <c r="BG149" s="33"/>
      <c r="BH149" s="33"/>
      <c r="BI149" s="33"/>
    </row>
    <row r="150" spans="2:61" ht="14.25" customHeight="1" x14ac:dyDescent="0.35">
      <c r="B150" s="34" t="s">
        <v>95</v>
      </c>
      <c r="C150" s="34"/>
      <c r="D150" s="160" t="s">
        <v>95</v>
      </c>
      <c r="E150" s="161" t="s">
        <v>95</v>
      </c>
      <c r="F150" s="162" t="s">
        <v>24</v>
      </c>
      <c r="G150" s="162" t="s">
        <v>95</v>
      </c>
      <c r="H150" s="162" t="s">
        <v>95</v>
      </c>
      <c r="I150" s="162">
        <v>7.1799999999999998E-3</v>
      </c>
      <c r="J150" s="162" t="s">
        <v>95</v>
      </c>
      <c r="K150" s="162">
        <v>7.1799999999999998E-3</v>
      </c>
      <c r="L150" s="162" t="s">
        <v>95</v>
      </c>
      <c r="M150" s="162">
        <v>7.1799999999999998E-3</v>
      </c>
      <c r="N150" s="162" t="s">
        <v>95</v>
      </c>
      <c r="O150" s="162">
        <v>7.7999999999999996E-3</v>
      </c>
      <c r="P150" s="162" t="s">
        <v>95</v>
      </c>
      <c r="Q150" s="162">
        <v>1.2279999999999999E-2</v>
      </c>
      <c r="R150" s="162" t="s">
        <v>95</v>
      </c>
      <c r="S150" s="162" t="s">
        <v>95</v>
      </c>
      <c r="T150" s="162" t="s">
        <v>95</v>
      </c>
      <c r="U150" s="162" t="s">
        <v>95</v>
      </c>
      <c r="V150" s="162" t="s">
        <v>95</v>
      </c>
      <c r="W150" s="162" t="s">
        <v>95</v>
      </c>
      <c r="X150" s="162" t="s">
        <v>95</v>
      </c>
      <c r="Y150" s="162" t="s">
        <v>95</v>
      </c>
      <c r="Z150" s="162" t="s">
        <v>95</v>
      </c>
      <c r="AA150" s="162" t="s">
        <v>95</v>
      </c>
      <c r="AB150" s="162" t="s">
        <v>95</v>
      </c>
      <c r="AC150" s="162" t="s">
        <v>95</v>
      </c>
      <c r="AD150" s="162" t="s">
        <v>95</v>
      </c>
      <c r="AE150" s="162" t="s">
        <v>95</v>
      </c>
      <c r="AF150" s="162" t="s">
        <v>95</v>
      </c>
      <c r="AG150" s="162" t="s">
        <v>95</v>
      </c>
      <c r="AH150" s="162" t="s">
        <v>95</v>
      </c>
      <c r="AI150" s="162" t="s">
        <v>95</v>
      </c>
      <c r="AJ150" s="162" t="s">
        <v>95</v>
      </c>
      <c r="AK150" s="162" t="s">
        <v>95</v>
      </c>
      <c r="AL150" s="162" t="s">
        <v>95</v>
      </c>
      <c r="AM150" s="162" t="s">
        <v>95</v>
      </c>
      <c r="AN150" s="162" t="s">
        <v>95</v>
      </c>
      <c r="AO150" s="162" t="s">
        <v>95</v>
      </c>
      <c r="AP150" s="162" t="s">
        <v>95</v>
      </c>
      <c r="AQ150" s="162" t="s">
        <v>95</v>
      </c>
      <c r="AR150" s="162" t="s">
        <v>95</v>
      </c>
      <c r="AS150" s="162" t="s">
        <v>95</v>
      </c>
      <c r="AT150" s="162" t="s">
        <v>95</v>
      </c>
      <c r="AU150" s="162" t="s">
        <v>95</v>
      </c>
      <c r="AV150" s="162" t="s">
        <v>95</v>
      </c>
      <c r="AW150" s="162" t="s">
        <v>95</v>
      </c>
      <c r="AX150" s="163" t="s">
        <v>95</v>
      </c>
      <c r="AY150" s="14"/>
      <c r="AZ150" s="14"/>
      <c r="BA150" s="14"/>
      <c r="BB150" s="14"/>
      <c r="BC150" s="14"/>
      <c r="BD150" s="14"/>
      <c r="BE150" s="14"/>
      <c r="BF150" s="14"/>
      <c r="BG150" s="14"/>
      <c r="BH150" s="14"/>
      <c r="BI150" s="14"/>
    </row>
    <row r="151" spans="2:61" ht="14.25" customHeight="1" x14ac:dyDescent="0.35">
      <c r="B151" s="30"/>
      <c r="C151" s="30"/>
      <c r="D151" s="37" t="s">
        <v>95</v>
      </c>
      <c r="E151" s="166" t="s">
        <v>95</v>
      </c>
      <c r="F151" s="166" t="s">
        <v>95</v>
      </c>
      <c r="G151" s="166" t="s">
        <v>95</v>
      </c>
      <c r="H151" s="166" t="s">
        <v>95</v>
      </c>
      <c r="I151" s="166" t="s">
        <v>95</v>
      </c>
      <c r="J151" s="166" t="s">
        <v>95</v>
      </c>
      <c r="K151" s="166" t="s">
        <v>95</v>
      </c>
      <c r="L151" s="166" t="s">
        <v>95</v>
      </c>
      <c r="M151" s="166" t="s">
        <v>95</v>
      </c>
      <c r="N151" s="166" t="s">
        <v>95</v>
      </c>
      <c r="O151" s="166" t="s">
        <v>95</v>
      </c>
      <c r="P151" s="166" t="s">
        <v>95</v>
      </c>
      <c r="Q151" s="166" t="s">
        <v>95</v>
      </c>
      <c r="R151" s="166" t="s">
        <v>95</v>
      </c>
      <c r="S151" s="166" t="s">
        <v>95</v>
      </c>
      <c r="T151" s="166" t="s">
        <v>95</v>
      </c>
      <c r="U151" s="166" t="s">
        <v>95</v>
      </c>
      <c r="V151" s="166" t="s">
        <v>95</v>
      </c>
      <c r="W151" s="166" t="s">
        <v>95</v>
      </c>
      <c r="X151" s="166" t="s">
        <v>95</v>
      </c>
      <c r="Y151" s="166" t="s">
        <v>95</v>
      </c>
      <c r="Z151" s="166" t="s">
        <v>95</v>
      </c>
      <c r="AA151" s="166" t="s">
        <v>95</v>
      </c>
      <c r="AB151" s="166" t="s">
        <v>95</v>
      </c>
      <c r="AC151" s="166" t="s">
        <v>95</v>
      </c>
      <c r="AD151" s="166" t="s">
        <v>95</v>
      </c>
      <c r="AE151" s="166" t="s">
        <v>95</v>
      </c>
      <c r="AF151" s="166" t="s">
        <v>95</v>
      </c>
      <c r="AG151" s="166" t="s">
        <v>95</v>
      </c>
      <c r="AH151" s="166" t="s">
        <v>95</v>
      </c>
      <c r="AI151" s="166" t="s">
        <v>95</v>
      </c>
      <c r="AJ151" s="166" t="s">
        <v>95</v>
      </c>
      <c r="AK151" s="166" t="s">
        <v>95</v>
      </c>
      <c r="AL151" s="166" t="s">
        <v>95</v>
      </c>
      <c r="AM151" s="166" t="s">
        <v>95</v>
      </c>
      <c r="AN151" s="166" t="s">
        <v>95</v>
      </c>
      <c r="AO151" s="166" t="s">
        <v>95</v>
      </c>
      <c r="AP151" s="166" t="s">
        <v>95</v>
      </c>
      <c r="AQ151" s="166" t="s">
        <v>95</v>
      </c>
      <c r="AR151" s="166" t="s">
        <v>95</v>
      </c>
      <c r="AS151" s="166" t="s">
        <v>95</v>
      </c>
      <c r="AT151" s="166" t="s">
        <v>95</v>
      </c>
      <c r="AU151" s="166" t="s">
        <v>95</v>
      </c>
      <c r="AV151" s="166" t="s">
        <v>95</v>
      </c>
      <c r="AW151" s="166" t="s">
        <v>95</v>
      </c>
      <c r="AX151" s="38" t="s">
        <v>95</v>
      </c>
      <c r="AY151" s="33"/>
      <c r="AZ151" s="33"/>
      <c r="BA151" s="33"/>
      <c r="BB151" s="33"/>
      <c r="BC151" s="33"/>
      <c r="BD151" s="33"/>
      <c r="BE151" s="33"/>
      <c r="BF151" s="33"/>
      <c r="BG151" s="33"/>
      <c r="BH151" s="33"/>
      <c r="BI151" s="33"/>
    </row>
    <row r="152" spans="2:61" ht="14.25" customHeight="1" x14ac:dyDescent="0.35">
      <c r="B152" s="30"/>
      <c r="C152" s="30"/>
      <c r="D152" s="30" t="s">
        <v>95</v>
      </c>
      <c r="E152" s="30" t="s">
        <v>95</v>
      </c>
      <c r="F152" s="30" t="s">
        <v>95</v>
      </c>
      <c r="G152" s="30" t="s">
        <v>95</v>
      </c>
      <c r="H152" s="30" t="s">
        <v>95</v>
      </c>
      <c r="I152" s="30" t="s">
        <v>95</v>
      </c>
      <c r="J152" s="30" t="s">
        <v>95</v>
      </c>
      <c r="K152" s="30" t="s">
        <v>95</v>
      </c>
      <c r="L152" s="30" t="s">
        <v>95</v>
      </c>
      <c r="M152" s="30" t="s">
        <v>95</v>
      </c>
      <c r="N152" s="30" t="s">
        <v>95</v>
      </c>
      <c r="O152" s="30" t="s">
        <v>95</v>
      </c>
      <c r="P152" s="30" t="s">
        <v>95</v>
      </c>
      <c r="Q152" s="30" t="s">
        <v>95</v>
      </c>
      <c r="R152" s="30" t="s">
        <v>95</v>
      </c>
      <c r="S152" s="30" t="s">
        <v>95</v>
      </c>
      <c r="T152" s="30" t="s">
        <v>95</v>
      </c>
      <c r="U152" s="30" t="s">
        <v>95</v>
      </c>
      <c r="V152" s="30" t="s">
        <v>95</v>
      </c>
      <c r="W152" s="30" t="s">
        <v>95</v>
      </c>
      <c r="X152" s="30" t="s">
        <v>95</v>
      </c>
      <c r="Y152" s="30" t="s">
        <v>95</v>
      </c>
      <c r="Z152" s="30" t="s">
        <v>95</v>
      </c>
      <c r="AA152" s="30" t="s">
        <v>95</v>
      </c>
      <c r="AB152" s="30" t="s">
        <v>95</v>
      </c>
      <c r="AC152" s="30" t="s">
        <v>95</v>
      </c>
      <c r="AD152" s="30" t="s">
        <v>95</v>
      </c>
      <c r="AE152" s="30" t="s">
        <v>95</v>
      </c>
      <c r="AF152" s="30" t="s">
        <v>95</v>
      </c>
      <c r="AG152" s="30" t="s">
        <v>95</v>
      </c>
      <c r="AH152" s="30" t="s">
        <v>95</v>
      </c>
      <c r="AI152" s="30" t="s">
        <v>95</v>
      </c>
      <c r="AJ152" s="30" t="s">
        <v>95</v>
      </c>
      <c r="AK152" s="30" t="s">
        <v>95</v>
      </c>
      <c r="AL152" s="30" t="s">
        <v>95</v>
      </c>
      <c r="AM152" s="30" t="s">
        <v>95</v>
      </c>
      <c r="AN152" s="30" t="s">
        <v>95</v>
      </c>
      <c r="AO152" s="30" t="s">
        <v>95</v>
      </c>
      <c r="AP152" s="30" t="s">
        <v>95</v>
      </c>
      <c r="AQ152" s="30" t="s">
        <v>95</v>
      </c>
      <c r="AR152" s="30" t="s">
        <v>95</v>
      </c>
      <c r="AS152" s="30" t="s">
        <v>95</v>
      </c>
      <c r="AT152" s="30" t="s">
        <v>95</v>
      </c>
      <c r="AU152" s="30" t="s">
        <v>95</v>
      </c>
      <c r="AV152" s="30" t="s">
        <v>95</v>
      </c>
      <c r="AW152" s="30" t="s">
        <v>95</v>
      </c>
      <c r="AX152" s="30" t="s">
        <v>95</v>
      </c>
      <c r="AY152" s="33"/>
      <c r="AZ152" s="33"/>
      <c r="BA152" s="33"/>
      <c r="BB152" s="33"/>
      <c r="BC152" s="33"/>
      <c r="BD152" s="33"/>
      <c r="BE152" s="33"/>
      <c r="BF152" s="33"/>
      <c r="BG152" s="33"/>
      <c r="BH152" s="33"/>
      <c r="BI152" s="33"/>
    </row>
    <row r="153" spans="2:61" ht="14.25" customHeight="1" x14ac:dyDescent="0.35">
      <c r="B153" s="30"/>
      <c r="C153" s="30"/>
      <c r="D153" s="39" t="s">
        <v>95</v>
      </c>
      <c r="E153" s="167" t="s">
        <v>95</v>
      </c>
      <c r="F153" s="167" t="s">
        <v>95</v>
      </c>
      <c r="G153" s="167" t="s">
        <v>95</v>
      </c>
      <c r="H153" s="167" t="s">
        <v>95</v>
      </c>
      <c r="I153" s="167" t="s">
        <v>95</v>
      </c>
      <c r="J153" s="167" t="s">
        <v>95</v>
      </c>
      <c r="K153" s="167" t="s">
        <v>95</v>
      </c>
      <c r="L153" s="167" t="s">
        <v>95</v>
      </c>
      <c r="M153" s="167" t="s">
        <v>95</v>
      </c>
      <c r="N153" s="167" t="s">
        <v>95</v>
      </c>
      <c r="O153" s="167" t="s">
        <v>95</v>
      </c>
      <c r="P153" s="167" t="s">
        <v>95</v>
      </c>
      <c r="Q153" s="167" t="s">
        <v>95</v>
      </c>
      <c r="R153" s="167" t="s">
        <v>95</v>
      </c>
      <c r="S153" s="167" t="s">
        <v>95</v>
      </c>
      <c r="T153" s="167" t="s">
        <v>95</v>
      </c>
      <c r="U153" s="167" t="s">
        <v>95</v>
      </c>
      <c r="V153" s="167" t="s">
        <v>95</v>
      </c>
      <c r="W153" s="167" t="s">
        <v>95</v>
      </c>
      <c r="X153" s="167" t="s">
        <v>95</v>
      </c>
      <c r="Y153" s="167" t="s">
        <v>95</v>
      </c>
      <c r="Z153" s="167" t="s">
        <v>95</v>
      </c>
      <c r="AA153" s="167" t="s">
        <v>95</v>
      </c>
      <c r="AB153" s="167" t="s">
        <v>95</v>
      </c>
      <c r="AC153" s="167" t="s">
        <v>95</v>
      </c>
      <c r="AD153" s="167" t="s">
        <v>95</v>
      </c>
      <c r="AE153" s="167" t="s">
        <v>95</v>
      </c>
      <c r="AF153" s="167" t="s">
        <v>95</v>
      </c>
      <c r="AG153" s="167" t="s">
        <v>95</v>
      </c>
      <c r="AH153" s="167" t="s">
        <v>95</v>
      </c>
      <c r="AI153" s="167" t="s">
        <v>95</v>
      </c>
      <c r="AJ153" s="167" t="s">
        <v>95</v>
      </c>
      <c r="AK153" s="167" t="s">
        <v>95</v>
      </c>
      <c r="AL153" s="167" t="s">
        <v>95</v>
      </c>
      <c r="AM153" s="167" t="s">
        <v>95</v>
      </c>
      <c r="AN153" s="167" t="s">
        <v>95</v>
      </c>
      <c r="AO153" s="167" t="s">
        <v>95</v>
      </c>
      <c r="AP153" s="167" t="s">
        <v>95</v>
      </c>
      <c r="AQ153" s="167" t="s">
        <v>95</v>
      </c>
      <c r="AR153" s="167" t="s">
        <v>95</v>
      </c>
      <c r="AS153" s="167" t="s">
        <v>95</v>
      </c>
      <c r="AT153" s="167" t="s">
        <v>95</v>
      </c>
      <c r="AU153" s="167" t="s">
        <v>95</v>
      </c>
      <c r="AV153" s="167" t="s">
        <v>95</v>
      </c>
      <c r="AW153" s="167" t="s">
        <v>95</v>
      </c>
      <c r="AX153" s="40" t="s">
        <v>95</v>
      </c>
      <c r="AY153" s="33"/>
      <c r="AZ153" s="33"/>
      <c r="BA153" s="33"/>
      <c r="BB153" s="33"/>
      <c r="BC153" s="33"/>
      <c r="BD153" s="33"/>
      <c r="BE153" s="33"/>
      <c r="BF153" s="33"/>
      <c r="BG153" s="33"/>
      <c r="BH153" s="33"/>
      <c r="BI153" s="33"/>
    </row>
    <row r="154" spans="2:61" ht="14.25" customHeight="1" x14ac:dyDescent="0.4">
      <c r="B154" s="30"/>
      <c r="C154" s="30"/>
      <c r="D154" s="168" t="s">
        <v>95</v>
      </c>
      <c r="E154" s="169" t="s">
        <v>95</v>
      </c>
      <c r="F154" s="170" t="s">
        <v>111</v>
      </c>
      <c r="G154" s="170" t="s">
        <v>95</v>
      </c>
      <c r="H154" s="170" t="s">
        <v>95</v>
      </c>
      <c r="I154" s="170" t="s">
        <v>95</v>
      </c>
      <c r="J154" s="170" t="s">
        <v>95</v>
      </c>
      <c r="K154" s="170" t="s">
        <v>95</v>
      </c>
      <c r="L154" s="170" t="s">
        <v>95</v>
      </c>
      <c r="M154" s="170" t="s">
        <v>95</v>
      </c>
      <c r="N154" s="170" t="s">
        <v>95</v>
      </c>
      <c r="O154" s="170" t="s">
        <v>95</v>
      </c>
      <c r="P154" s="170" t="s">
        <v>95</v>
      </c>
      <c r="Q154" s="171" t="s">
        <v>95</v>
      </c>
      <c r="R154" s="171" t="s">
        <v>95</v>
      </c>
      <c r="S154" s="171" t="s">
        <v>95</v>
      </c>
      <c r="T154" s="171" t="s">
        <v>95</v>
      </c>
      <c r="U154" s="171" t="s">
        <v>95</v>
      </c>
      <c r="V154" s="171" t="s">
        <v>95</v>
      </c>
      <c r="W154" s="171" t="s">
        <v>95</v>
      </c>
      <c r="X154" s="171" t="s">
        <v>95</v>
      </c>
      <c r="Y154" s="171" t="s">
        <v>95</v>
      </c>
      <c r="Z154" s="171" t="s">
        <v>95</v>
      </c>
      <c r="AA154" s="171" t="s">
        <v>95</v>
      </c>
      <c r="AB154" s="171" t="s">
        <v>95</v>
      </c>
      <c r="AC154" s="171" t="s">
        <v>95</v>
      </c>
      <c r="AD154" s="171" t="s">
        <v>95</v>
      </c>
      <c r="AE154" s="171" t="s">
        <v>95</v>
      </c>
      <c r="AF154" s="171" t="s">
        <v>95</v>
      </c>
      <c r="AG154" s="171" t="s">
        <v>95</v>
      </c>
      <c r="AH154" s="171" t="s">
        <v>95</v>
      </c>
      <c r="AI154" s="171" t="s">
        <v>95</v>
      </c>
      <c r="AJ154" s="171" t="s">
        <v>95</v>
      </c>
      <c r="AK154" s="171" t="s">
        <v>95</v>
      </c>
      <c r="AL154" s="171" t="s">
        <v>95</v>
      </c>
      <c r="AM154" s="171" t="s">
        <v>95</v>
      </c>
      <c r="AN154" s="171" t="s">
        <v>95</v>
      </c>
      <c r="AO154" s="171" t="s">
        <v>95</v>
      </c>
      <c r="AP154" s="171" t="s">
        <v>95</v>
      </c>
      <c r="AQ154" s="171" t="s">
        <v>95</v>
      </c>
      <c r="AR154" s="171" t="s">
        <v>95</v>
      </c>
      <c r="AS154" s="171" t="s">
        <v>95</v>
      </c>
      <c r="AT154" s="171" t="s">
        <v>95</v>
      </c>
      <c r="AU154" s="171" t="s">
        <v>95</v>
      </c>
      <c r="AV154" s="171" t="s">
        <v>95</v>
      </c>
      <c r="AW154" s="171" t="s">
        <v>95</v>
      </c>
      <c r="AX154" s="172" t="s">
        <v>95</v>
      </c>
      <c r="AY154" s="33"/>
      <c r="AZ154" s="33"/>
      <c r="BA154" s="33"/>
      <c r="BB154" s="33"/>
      <c r="BC154" s="33"/>
      <c r="BD154" s="33"/>
      <c r="BE154" s="33"/>
      <c r="BF154" s="33"/>
      <c r="BG154" s="33"/>
      <c r="BH154" s="33"/>
      <c r="BI154" s="33"/>
    </row>
    <row r="155" spans="2:61" ht="14.25" customHeight="1" x14ac:dyDescent="0.35">
      <c r="B155" s="30"/>
      <c r="C155" s="30"/>
      <c r="D155" s="168" t="s">
        <v>95</v>
      </c>
      <c r="E155" s="169" t="s">
        <v>95</v>
      </c>
      <c r="F155" s="173" t="s">
        <v>112</v>
      </c>
      <c r="G155" s="173" t="s">
        <v>95</v>
      </c>
      <c r="H155" s="173" t="s">
        <v>95</v>
      </c>
      <c r="I155" s="171" t="s">
        <v>95</v>
      </c>
      <c r="J155" s="171" t="s">
        <v>95</v>
      </c>
      <c r="K155" s="171" t="s">
        <v>95</v>
      </c>
      <c r="L155" s="171" t="s">
        <v>95</v>
      </c>
      <c r="M155" s="171" t="s">
        <v>95</v>
      </c>
      <c r="N155" s="171" t="s">
        <v>95</v>
      </c>
      <c r="O155" s="171" t="s">
        <v>95</v>
      </c>
      <c r="P155" s="171" t="s">
        <v>95</v>
      </c>
      <c r="Q155" s="171" t="s">
        <v>95</v>
      </c>
      <c r="R155" s="171" t="s">
        <v>95</v>
      </c>
      <c r="S155" s="171" t="s">
        <v>95</v>
      </c>
      <c r="T155" s="171" t="s">
        <v>95</v>
      </c>
      <c r="U155" s="171" t="s">
        <v>95</v>
      </c>
      <c r="V155" s="171" t="s">
        <v>95</v>
      </c>
      <c r="W155" s="171" t="s">
        <v>95</v>
      </c>
      <c r="X155" s="171" t="s">
        <v>95</v>
      </c>
      <c r="Y155" s="171" t="s">
        <v>95</v>
      </c>
      <c r="Z155" s="171" t="s">
        <v>95</v>
      </c>
      <c r="AA155" s="171" t="s">
        <v>95</v>
      </c>
      <c r="AB155" s="171" t="s">
        <v>95</v>
      </c>
      <c r="AC155" s="171" t="s">
        <v>95</v>
      </c>
      <c r="AD155" s="171" t="s">
        <v>95</v>
      </c>
      <c r="AE155" s="171" t="s">
        <v>95</v>
      </c>
      <c r="AF155" s="171" t="s">
        <v>95</v>
      </c>
      <c r="AG155" s="171" t="s">
        <v>95</v>
      </c>
      <c r="AH155" s="171" t="s">
        <v>95</v>
      </c>
      <c r="AI155" s="171" t="s">
        <v>95</v>
      </c>
      <c r="AJ155" s="171" t="s">
        <v>95</v>
      </c>
      <c r="AK155" s="171" t="s">
        <v>95</v>
      </c>
      <c r="AL155" s="171" t="s">
        <v>95</v>
      </c>
      <c r="AM155" s="171" t="s">
        <v>95</v>
      </c>
      <c r="AN155" s="171" t="s">
        <v>95</v>
      </c>
      <c r="AO155" s="171" t="s">
        <v>95</v>
      </c>
      <c r="AP155" s="171" t="s">
        <v>95</v>
      </c>
      <c r="AQ155" s="171" t="s">
        <v>95</v>
      </c>
      <c r="AR155" s="171" t="s">
        <v>95</v>
      </c>
      <c r="AS155" s="171" t="s">
        <v>95</v>
      </c>
      <c r="AT155" s="171" t="s">
        <v>95</v>
      </c>
      <c r="AU155" s="171" t="s">
        <v>95</v>
      </c>
      <c r="AV155" s="171" t="s">
        <v>95</v>
      </c>
      <c r="AW155" s="171" t="s">
        <v>95</v>
      </c>
      <c r="AX155" s="172" t="s">
        <v>95</v>
      </c>
      <c r="AY155" s="33"/>
      <c r="AZ155" s="33"/>
      <c r="BA155" s="33"/>
      <c r="BB155" s="33"/>
      <c r="BC155" s="33"/>
      <c r="BD155" s="33"/>
      <c r="BE155" s="33"/>
      <c r="BF155" s="33"/>
      <c r="BG155" s="33"/>
      <c r="BH155" s="33"/>
      <c r="BI155" s="33"/>
    </row>
    <row r="156" spans="2:61" ht="14.25" customHeight="1" x14ac:dyDescent="0.35">
      <c r="B156" s="30"/>
      <c r="C156" s="30"/>
      <c r="D156" s="168" t="s">
        <v>95</v>
      </c>
      <c r="E156" s="169" t="s">
        <v>95</v>
      </c>
      <c r="F156" s="173" t="s">
        <v>113</v>
      </c>
      <c r="G156" s="173" t="s">
        <v>95</v>
      </c>
      <c r="H156" s="173" t="s">
        <v>95</v>
      </c>
      <c r="I156" s="173" t="s">
        <v>95</v>
      </c>
      <c r="J156" s="173" t="s">
        <v>95</v>
      </c>
      <c r="K156" s="173" t="s">
        <v>95</v>
      </c>
      <c r="L156" s="173" t="s">
        <v>95</v>
      </c>
      <c r="M156" s="173" t="s">
        <v>95</v>
      </c>
      <c r="N156" s="173" t="s">
        <v>95</v>
      </c>
      <c r="O156" s="173" t="s">
        <v>95</v>
      </c>
      <c r="P156" s="173" t="s">
        <v>95</v>
      </c>
      <c r="Q156" s="173" t="s">
        <v>95</v>
      </c>
      <c r="R156" s="173" t="s">
        <v>95</v>
      </c>
      <c r="S156" s="173" t="s">
        <v>95</v>
      </c>
      <c r="T156" s="173" t="s">
        <v>95</v>
      </c>
      <c r="U156" s="173" t="s">
        <v>95</v>
      </c>
      <c r="V156" s="173" t="s">
        <v>95</v>
      </c>
      <c r="W156" s="173" t="s">
        <v>95</v>
      </c>
      <c r="X156" s="173" t="s">
        <v>95</v>
      </c>
      <c r="Y156" s="173" t="s">
        <v>95</v>
      </c>
      <c r="Z156" s="173" t="s">
        <v>95</v>
      </c>
      <c r="AA156" s="173" t="s">
        <v>95</v>
      </c>
      <c r="AB156" s="173" t="s">
        <v>95</v>
      </c>
      <c r="AC156" s="173" t="s">
        <v>95</v>
      </c>
      <c r="AD156" s="173" t="s">
        <v>95</v>
      </c>
      <c r="AE156" s="173" t="s">
        <v>95</v>
      </c>
      <c r="AF156" s="173" t="s">
        <v>95</v>
      </c>
      <c r="AG156" s="173" t="s">
        <v>95</v>
      </c>
      <c r="AH156" s="173" t="s">
        <v>95</v>
      </c>
      <c r="AI156" s="173" t="s">
        <v>95</v>
      </c>
      <c r="AJ156" s="173" t="s">
        <v>95</v>
      </c>
      <c r="AK156" s="173" t="s">
        <v>95</v>
      </c>
      <c r="AL156" s="173" t="s">
        <v>95</v>
      </c>
      <c r="AM156" s="173" t="s">
        <v>95</v>
      </c>
      <c r="AN156" s="173" t="s">
        <v>95</v>
      </c>
      <c r="AO156" s="173" t="s">
        <v>95</v>
      </c>
      <c r="AP156" s="173" t="s">
        <v>95</v>
      </c>
      <c r="AQ156" s="173" t="s">
        <v>95</v>
      </c>
      <c r="AR156" s="173" t="s">
        <v>95</v>
      </c>
      <c r="AS156" s="173" t="s">
        <v>95</v>
      </c>
      <c r="AT156" s="173" t="s">
        <v>95</v>
      </c>
      <c r="AU156" s="173" t="s">
        <v>95</v>
      </c>
      <c r="AV156" s="173" t="s">
        <v>95</v>
      </c>
      <c r="AW156" s="173" t="s">
        <v>95</v>
      </c>
      <c r="AX156" s="172" t="s">
        <v>95</v>
      </c>
      <c r="AY156" s="33"/>
      <c r="AZ156" s="33"/>
      <c r="BA156" s="33"/>
      <c r="BB156" s="33"/>
      <c r="BC156" s="33"/>
      <c r="BD156" s="33"/>
      <c r="BE156" s="33"/>
      <c r="BF156" s="33"/>
      <c r="BG156" s="33"/>
      <c r="BH156" s="33"/>
      <c r="BI156" s="33"/>
    </row>
    <row r="157" spans="2:61" ht="14.25" customHeight="1" x14ac:dyDescent="0.35">
      <c r="B157" s="30"/>
      <c r="C157" s="30"/>
      <c r="D157" s="41" t="s">
        <v>95</v>
      </c>
      <c r="E157" s="174" t="s">
        <v>95</v>
      </c>
      <c r="F157" s="174" t="s">
        <v>95</v>
      </c>
      <c r="G157" s="174" t="s">
        <v>95</v>
      </c>
      <c r="H157" s="174" t="s">
        <v>95</v>
      </c>
      <c r="I157" s="174" t="s">
        <v>95</v>
      </c>
      <c r="J157" s="174" t="s">
        <v>95</v>
      </c>
      <c r="K157" s="174" t="s">
        <v>95</v>
      </c>
      <c r="L157" s="174" t="s">
        <v>95</v>
      </c>
      <c r="M157" s="174" t="s">
        <v>95</v>
      </c>
      <c r="N157" s="174" t="s">
        <v>95</v>
      </c>
      <c r="O157" s="174" t="s">
        <v>95</v>
      </c>
      <c r="P157" s="174" t="s">
        <v>95</v>
      </c>
      <c r="Q157" s="174" t="s">
        <v>95</v>
      </c>
      <c r="R157" s="174" t="s">
        <v>95</v>
      </c>
      <c r="S157" s="174" t="s">
        <v>95</v>
      </c>
      <c r="T157" s="174" t="s">
        <v>95</v>
      </c>
      <c r="U157" s="174" t="s">
        <v>95</v>
      </c>
      <c r="V157" s="174" t="s">
        <v>95</v>
      </c>
      <c r="W157" s="174" t="s">
        <v>95</v>
      </c>
      <c r="X157" s="174" t="s">
        <v>95</v>
      </c>
      <c r="Y157" s="174" t="s">
        <v>95</v>
      </c>
      <c r="Z157" s="174" t="s">
        <v>95</v>
      </c>
      <c r="AA157" s="174" t="s">
        <v>95</v>
      </c>
      <c r="AB157" s="174" t="s">
        <v>95</v>
      </c>
      <c r="AC157" s="174" t="s">
        <v>95</v>
      </c>
      <c r="AD157" s="174" t="s">
        <v>95</v>
      </c>
      <c r="AE157" s="174" t="s">
        <v>95</v>
      </c>
      <c r="AF157" s="174" t="s">
        <v>95</v>
      </c>
      <c r="AG157" s="174" t="s">
        <v>95</v>
      </c>
      <c r="AH157" s="174" t="s">
        <v>95</v>
      </c>
      <c r="AI157" s="174" t="s">
        <v>95</v>
      </c>
      <c r="AJ157" s="174" t="s">
        <v>95</v>
      </c>
      <c r="AK157" s="174" t="s">
        <v>95</v>
      </c>
      <c r="AL157" s="174" t="s">
        <v>95</v>
      </c>
      <c r="AM157" s="174" t="s">
        <v>95</v>
      </c>
      <c r="AN157" s="174" t="s">
        <v>95</v>
      </c>
      <c r="AO157" s="174" t="s">
        <v>95</v>
      </c>
      <c r="AP157" s="174" t="s">
        <v>95</v>
      </c>
      <c r="AQ157" s="174" t="s">
        <v>95</v>
      </c>
      <c r="AR157" s="174" t="s">
        <v>95</v>
      </c>
      <c r="AS157" s="174" t="s">
        <v>95</v>
      </c>
      <c r="AT157" s="174" t="s">
        <v>95</v>
      </c>
      <c r="AU157" s="174" t="s">
        <v>95</v>
      </c>
      <c r="AV157" s="174" t="s">
        <v>95</v>
      </c>
      <c r="AW157" s="174" t="s">
        <v>95</v>
      </c>
      <c r="AX157" s="42" t="s">
        <v>95</v>
      </c>
      <c r="AY157" s="33"/>
      <c r="AZ157" s="33"/>
      <c r="BA157" s="33"/>
      <c r="BB157" s="33"/>
      <c r="BC157" s="33"/>
      <c r="BD157" s="33"/>
      <c r="BE157" s="33"/>
      <c r="BF157" s="33"/>
      <c r="BG157" s="33"/>
      <c r="BH157" s="33"/>
      <c r="BI157" s="33"/>
    </row>
    <row r="158" spans="2:61" ht="14.25" customHeight="1" x14ac:dyDescent="0.35">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3"/>
      <c r="AZ158" s="33"/>
      <c r="BA158" s="33"/>
      <c r="BB158" s="33"/>
      <c r="BC158" s="33"/>
      <c r="BD158" s="33"/>
      <c r="BE158" s="33"/>
      <c r="BF158" s="33"/>
      <c r="BG158" s="33"/>
      <c r="BH158" s="33"/>
      <c r="BI158" s="33"/>
    </row>
    <row r="159" spans="2:61" ht="14.25" customHeight="1" x14ac:dyDescent="0.35">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3"/>
      <c r="AZ159" s="33"/>
      <c r="BA159" s="33"/>
      <c r="BB159" s="33"/>
      <c r="BC159" s="33"/>
      <c r="BD159" s="33"/>
      <c r="BE159" s="33"/>
      <c r="BF159" s="33"/>
      <c r="BG159" s="33"/>
      <c r="BH159" s="33"/>
      <c r="BI159" s="33"/>
    </row>
    <row r="160" spans="2:61" ht="14.25" customHeight="1" x14ac:dyDescent="0.35">
      <c r="B160" s="30"/>
      <c r="C160" s="30"/>
      <c r="D160" s="30"/>
      <c r="E160" s="30"/>
      <c r="F160" s="30" t="s">
        <v>114</v>
      </c>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3"/>
      <c r="AZ160" s="33"/>
      <c r="BA160" s="33"/>
      <c r="BB160" s="33"/>
      <c r="BC160" s="33"/>
      <c r="BD160" s="33"/>
      <c r="BE160" s="33"/>
      <c r="BF160" s="33"/>
      <c r="BG160" s="33"/>
      <c r="BH160" s="33"/>
      <c r="BI160" s="33"/>
    </row>
    <row r="161" spans="2:61" ht="14.25" customHeight="1" x14ac:dyDescent="0.35">
      <c r="B161" s="30"/>
      <c r="C161" s="30">
        <v>1</v>
      </c>
      <c r="D161" s="30"/>
      <c r="E161" s="30"/>
      <c r="F161" s="30" t="s">
        <v>115</v>
      </c>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3"/>
      <c r="AZ161" s="33"/>
      <c r="BA161" s="33"/>
      <c r="BB161" s="33"/>
      <c r="BC161" s="33"/>
      <c r="BD161" s="33"/>
      <c r="BE161" s="33"/>
      <c r="BF161" s="33"/>
      <c r="BG161" s="33"/>
      <c r="BH161" s="33"/>
      <c r="BI161" s="33"/>
    </row>
    <row r="162" spans="2:61" ht="14.25" customHeight="1" x14ac:dyDescent="0.35">
      <c r="B162" s="30"/>
      <c r="C162" s="30">
        <v>2</v>
      </c>
      <c r="D162" s="30"/>
      <c r="E162" s="30"/>
      <c r="F162" s="30" t="s">
        <v>116</v>
      </c>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3"/>
      <c r="AZ162" s="33"/>
      <c r="BA162" s="33"/>
      <c r="BB162" s="33"/>
      <c r="BC162" s="33"/>
      <c r="BD162" s="33"/>
      <c r="BE162" s="33"/>
      <c r="BF162" s="33"/>
      <c r="BG162" s="33"/>
      <c r="BH162" s="33"/>
      <c r="BI162" s="33"/>
    </row>
    <row r="163" spans="2:61" ht="14.25" customHeight="1" x14ac:dyDescent="0.35">
      <c r="B163" s="30"/>
      <c r="C163" s="30">
        <v>3</v>
      </c>
      <c r="D163" s="30"/>
      <c r="E163" s="30"/>
      <c r="F163" s="30" t="s">
        <v>117</v>
      </c>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3"/>
      <c r="AZ163" s="33"/>
      <c r="BA163" s="33"/>
      <c r="BB163" s="33"/>
      <c r="BC163" s="33"/>
      <c r="BD163" s="33"/>
      <c r="BE163" s="33"/>
      <c r="BF163" s="33"/>
      <c r="BG163" s="33"/>
      <c r="BH163" s="33"/>
      <c r="BI163" s="33"/>
    </row>
    <row r="164" spans="2:61" ht="14.25" customHeight="1" x14ac:dyDescent="0.35">
      <c r="B164" s="30"/>
      <c r="C164" s="30">
        <v>4</v>
      </c>
      <c r="D164" s="30"/>
      <c r="E164" s="30"/>
      <c r="F164" s="30" t="s">
        <v>118</v>
      </c>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3"/>
      <c r="AZ164" s="33"/>
      <c r="BA164" s="33"/>
      <c r="BB164" s="33"/>
      <c r="BC164" s="33"/>
      <c r="BD164" s="33"/>
      <c r="BE164" s="33"/>
      <c r="BF164" s="33"/>
      <c r="BG164" s="33"/>
      <c r="BH164" s="33"/>
      <c r="BI164" s="33"/>
    </row>
    <row r="165" spans="2:61" ht="14.25" customHeight="1" x14ac:dyDescent="0.35">
      <c r="B165" s="30"/>
      <c r="C165" s="30">
        <v>5</v>
      </c>
      <c r="D165" s="30"/>
      <c r="E165" s="30"/>
      <c r="F165" s="30" t="s">
        <v>119</v>
      </c>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3"/>
      <c r="AZ165" s="33"/>
      <c r="BA165" s="33"/>
      <c r="BB165" s="33"/>
      <c r="BC165" s="33"/>
      <c r="BD165" s="33"/>
      <c r="BE165" s="33"/>
      <c r="BF165" s="33"/>
      <c r="BG165" s="33"/>
      <c r="BH165" s="33"/>
      <c r="BI165" s="33"/>
    </row>
    <row r="166" spans="2:61" ht="14.25" customHeight="1" x14ac:dyDescent="0.35">
      <c r="B166" s="30"/>
      <c r="C166" s="30">
        <v>6</v>
      </c>
      <c r="D166" s="30"/>
      <c r="E166" s="30"/>
      <c r="F166" s="30" t="s">
        <v>120</v>
      </c>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3"/>
      <c r="AZ166" s="33"/>
      <c r="BA166" s="33"/>
      <c r="BB166" s="33"/>
      <c r="BC166" s="33"/>
      <c r="BD166" s="33"/>
      <c r="BE166" s="33"/>
      <c r="BF166" s="33"/>
      <c r="BG166" s="33"/>
      <c r="BH166" s="33"/>
      <c r="BI166" s="33"/>
    </row>
    <row r="167" spans="2:61" ht="14.25" customHeight="1" x14ac:dyDescent="0.35">
      <c r="B167" s="30"/>
      <c r="C167" s="30">
        <v>7</v>
      </c>
      <c r="D167" s="30"/>
      <c r="E167" s="30"/>
      <c r="F167" s="30" t="s">
        <v>121</v>
      </c>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3"/>
      <c r="AZ167" s="33"/>
      <c r="BA167" s="33"/>
      <c r="BB167" s="33"/>
      <c r="BC167" s="33"/>
      <c r="BD167" s="33"/>
      <c r="BE167" s="33"/>
      <c r="BF167" s="33"/>
      <c r="BG167" s="33"/>
      <c r="BH167" s="33"/>
      <c r="BI167" s="33"/>
    </row>
    <row r="168" spans="2:61" ht="14.25" customHeight="1" x14ac:dyDescent="0.35">
      <c r="B168" s="30"/>
      <c r="C168" s="30">
        <v>8</v>
      </c>
      <c r="D168" s="30"/>
      <c r="E168" s="30"/>
      <c r="F168" s="30" t="s">
        <v>122</v>
      </c>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3"/>
      <c r="AZ168" s="33"/>
      <c r="BA168" s="33"/>
      <c r="BB168" s="33"/>
      <c r="BC168" s="33"/>
      <c r="BD168" s="33"/>
      <c r="BE168" s="33"/>
      <c r="BF168" s="33"/>
      <c r="BG168" s="33"/>
      <c r="BH168" s="33"/>
      <c r="BI168" s="33"/>
    </row>
    <row r="169" spans="2:61" ht="14.25" customHeight="1" x14ac:dyDescent="0.35">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3"/>
      <c r="AZ169" s="33"/>
      <c r="BA169" s="33"/>
      <c r="BB169" s="33"/>
      <c r="BC169" s="33"/>
      <c r="BD169" s="33"/>
      <c r="BE169" s="33"/>
      <c r="BF169" s="33"/>
      <c r="BG169" s="33"/>
      <c r="BH169" s="33"/>
      <c r="BI169" s="33"/>
    </row>
    <row r="170" spans="2:61" ht="14.25" customHeight="1" x14ac:dyDescent="0.3">
      <c r="B170" s="944"/>
      <c r="C170" s="944"/>
      <c r="D170" s="944"/>
      <c r="E170" s="944"/>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row>
    <row r="171" spans="2:61" ht="14.25" customHeight="1" x14ac:dyDescent="0.3">
      <c r="B171" s="944"/>
      <c r="C171" s="944"/>
      <c r="D171" s="944"/>
      <c r="E171" s="944"/>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row>
    <row r="172" spans="2:61" ht="14.25" customHeight="1" x14ac:dyDescent="0.3">
      <c r="B172" s="944"/>
      <c r="C172" s="944"/>
      <c r="D172" s="944"/>
      <c r="E172" s="944"/>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row>
    <row r="173" spans="2:61" ht="14.25" customHeight="1" x14ac:dyDescent="0.3">
      <c r="B173" s="944"/>
      <c r="C173" s="944"/>
      <c r="D173" s="944"/>
      <c r="E173" s="944"/>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row>
    <row r="174" spans="2:61" ht="14.25" customHeight="1" x14ac:dyDescent="0.3">
      <c r="B174" s="944"/>
      <c r="C174" s="944"/>
      <c r="D174" s="944"/>
      <c r="E174" s="944"/>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row>
    <row r="175" spans="2:61" ht="14.25" customHeight="1" x14ac:dyDescent="0.3">
      <c r="B175" s="944"/>
      <c r="C175" s="944"/>
      <c r="D175" s="944"/>
      <c r="E175" s="944"/>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row>
    <row r="176" spans="2:61" ht="14.25" customHeight="1" x14ac:dyDescent="0.3">
      <c r="B176" s="944"/>
      <c r="C176" s="944"/>
      <c r="D176" s="944"/>
      <c r="E176" s="944"/>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row>
    <row r="177" spans="2:50" ht="14.25" customHeight="1" x14ac:dyDescent="0.3">
      <c r="B177" s="944"/>
      <c r="C177" s="944"/>
      <c r="D177" s="944"/>
      <c r="E177" s="944"/>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row>
    <row r="178" spans="2:50" ht="14.25" customHeight="1" x14ac:dyDescent="0.3">
      <c r="B178" s="944"/>
      <c r="C178" s="944"/>
      <c r="D178" s="944"/>
      <c r="E178" s="944"/>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row>
    <row r="179" spans="2:50" ht="14.25" customHeight="1" x14ac:dyDescent="0.3">
      <c r="B179" s="944"/>
      <c r="C179" s="944"/>
      <c r="D179" s="944"/>
      <c r="E179" s="944"/>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row>
    <row r="180" spans="2:50" ht="14.25" customHeight="1" x14ac:dyDescent="0.3">
      <c r="B180" s="944"/>
      <c r="C180" s="944"/>
      <c r="D180" s="944"/>
      <c r="E180" s="944"/>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row>
    <row r="181" spans="2:50" ht="14.25" customHeight="1" x14ac:dyDescent="0.3">
      <c r="B181" s="944"/>
      <c r="C181" s="944"/>
      <c r="D181" s="944"/>
      <c r="E181" s="944"/>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row>
    <row r="182" spans="2:50" ht="14.25" customHeight="1" x14ac:dyDescent="0.3">
      <c r="B182" s="944"/>
      <c r="C182" s="944"/>
      <c r="D182" s="944"/>
      <c r="E182" s="944"/>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row>
    <row r="183" spans="2:50" ht="14.25" customHeight="1" x14ac:dyDescent="0.3">
      <c r="B183" s="944"/>
      <c r="C183" s="944"/>
      <c r="D183" s="944"/>
      <c r="E183" s="944"/>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row>
    <row r="184" spans="2:50" ht="14.25" customHeight="1" x14ac:dyDescent="0.3">
      <c r="B184" s="944"/>
      <c r="C184" s="944"/>
      <c r="D184" s="944"/>
      <c r="E184" s="944"/>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row>
    <row r="185" spans="2:50" ht="14.25" customHeight="1" x14ac:dyDescent="0.3">
      <c r="B185" s="944"/>
      <c r="C185" s="944"/>
      <c r="D185" s="944"/>
      <c r="E185" s="944"/>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row>
    <row r="186" spans="2:50" ht="14.25" customHeight="1" x14ac:dyDescent="0.3">
      <c r="B186" s="944"/>
      <c r="C186" s="944"/>
      <c r="D186" s="944"/>
      <c r="E186" s="944"/>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row>
    <row r="187" spans="2:50" ht="14.25" customHeight="1" x14ac:dyDescent="0.3">
      <c r="B187" s="944"/>
      <c r="C187" s="944"/>
      <c r="D187" s="944"/>
      <c r="E187" s="944"/>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row>
    <row r="188" spans="2:50" ht="14.25" customHeight="1" x14ac:dyDescent="0.3">
      <c r="B188" s="944"/>
      <c r="C188" s="944"/>
      <c r="D188" s="944"/>
      <c r="E188" s="944"/>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row>
    <row r="189" spans="2:50" ht="14.25" customHeight="1" x14ac:dyDescent="0.3">
      <c r="B189" s="944"/>
      <c r="C189" s="944"/>
      <c r="D189" s="944"/>
      <c r="E189" s="944"/>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row>
    <row r="190" spans="2:50" ht="14.25" customHeight="1" x14ac:dyDescent="0.3">
      <c r="B190" s="944"/>
      <c r="C190" s="944"/>
      <c r="D190" s="944"/>
      <c r="E190" s="944"/>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row>
    <row r="191" spans="2:50" ht="14.25" customHeight="1" x14ac:dyDescent="0.3">
      <c r="B191" s="944"/>
      <c r="C191" s="944"/>
      <c r="D191" s="944"/>
      <c r="E191" s="944"/>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row>
    <row r="192" spans="2:50" ht="14.25" customHeight="1" x14ac:dyDescent="0.3">
      <c r="B192" s="944"/>
      <c r="C192" s="944"/>
      <c r="D192" s="944"/>
      <c r="E192" s="944"/>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row>
    <row r="193" spans="2:50" ht="14.25" customHeight="1" x14ac:dyDescent="0.3">
      <c r="B193" s="944"/>
      <c r="C193" s="944"/>
      <c r="D193" s="944"/>
      <c r="E193" s="944"/>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row>
    <row r="194" spans="2:50" ht="14.25" customHeight="1" x14ac:dyDescent="0.3">
      <c r="B194" s="944"/>
      <c r="C194" s="944"/>
      <c r="D194" s="944"/>
      <c r="E194" s="944"/>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row>
    <row r="195" spans="2:50" ht="14.25" customHeight="1" x14ac:dyDescent="0.3">
      <c r="B195" s="944"/>
      <c r="C195" s="944"/>
      <c r="D195" s="944"/>
      <c r="E195" s="944"/>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row>
    <row r="196" spans="2:50" ht="14.25" customHeight="1" x14ac:dyDescent="0.3">
      <c r="B196" s="944"/>
      <c r="C196" s="944"/>
      <c r="D196" s="944"/>
      <c r="E196" s="944"/>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row>
    <row r="197" spans="2:50" ht="14.25" customHeight="1" x14ac:dyDescent="0.3">
      <c r="B197" s="944"/>
      <c r="C197" s="944"/>
      <c r="D197" s="944"/>
      <c r="E197" s="944"/>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row>
    <row r="198" spans="2:50" ht="14.25" customHeight="1" x14ac:dyDescent="0.3">
      <c r="B198" s="944"/>
      <c r="C198" s="944"/>
      <c r="D198" s="944"/>
      <c r="E198" s="944"/>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row>
    <row r="199" spans="2:50" ht="14.25" customHeight="1" x14ac:dyDescent="0.3">
      <c r="B199" s="944"/>
      <c r="C199" s="944"/>
      <c r="D199" s="944"/>
      <c r="E199" s="944"/>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row>
    <row r="200" spans="2:50" ht="14.25" customHeight="1" x14ac:dyDescent="0.3">
      <c r="B200" s="944"/>
      <c r="C200" s="944"/>
      <c r="D200" s="944"/>
      <c r="E200" s="944"/>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row>
    <row r="201" spans="2:50" ht="14.25" customHeight="1" x14ac:dyDescent="0.3">
      <c r="B201" s="944"/>
      <c r="C201" s="944"/>
      <c r="D201" s="944"/>
      <c r="E201" s="944"/>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row>
    <row r="202" spans="2:50" ht="14.25" customHeight="1" x14ac:dyDescent="0.3">
      <c r="B202" s="944"/>
      <c r="C202" s="944"/>
      <c r="D202" s="944"/>
      <c r="E202" s="944"/>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row>
    <row r="203" spans="2:50" ht="14.25" customHeight="1" x14ac:dyDescent="0.3">
      <c r="B203" s="944"/>
      <c r="C203" s="944"/>
      <c r="D203" s="944"/>
      <c r="E203" s="944"/>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row>
    <row r="204" spans="2:50" ht="14.25" customHeight="1" x14ac:dyDescent="0.3">
      <c r="B204" s="944"/>
      <c r="C204" s="944"/>
      <c r="D204" s="944"/>
      <c r="E204" s="944"/>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row>
    <row r="205" spans="2:50" ht="14.25" customHeight="1" x14ac:dyDescent="0.3">
      <c r="B205" s="944"/>
      <c r="C205" s="944"/>
      <c r="D205" s="944"/>
      <c r="E205" s="944"/>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row>
    <row r="206" spans="2:50" ht="14.25" customHeight="1" x14ac:dyDescent="0.3">
      <c r="B206" s="944"/>
      <c r="C206" s="944"/>
      <c r="D206" s="944"/>
      <c r="E206" s="944"/>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row>
    <row r="207" spans="2:50" ht="14.25" customHeight="1" x14ac:dyDescent="0.3">
      <c r="B207" s="944"/>
      <c r="C207" s="944"/>
      <c r="D207" s="944"/>
      <c r="E207" s="944"/>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row>
    <row r="208" spans="2:50" ht="14.25" customHeight="1" x14ac:dyDescent="0.3">
      <c r="B208" s="944"/>
      <c r="C208" s="944"/>
      <c r="D208" s="944"/>
      <c r="E208" s="944"/>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row>
    <row r="209" spans="2:50" ht="14.25" customHeight="1" x14ac:dyDescent="0.3">
      <c r="B209" s="944"/>
      <c r="C209" s="944"/>
      <c r="D209" s="944"/>
      <c r="E209" s="944"/>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row>
    <row r="210" spans="2:50" ht="14.25" customHeight="1" x14ac:dyDescent="0.3">
      <c r="B210" s="944"/>
      <c r="C210" s="944"/>
      <c r="D210" s="944"/>
      <c r="E210" s="944"/>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row>
    <row r="211" spans="2:50" ht="14.25" customHeight="1" x14ac:dyDescent="0.3">
      <c r="B211" s="944"/>
      <c r="C211" s="944"/>
      <c r="D211" s="944"/>
      <c r="E211" s="944"/>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row>
    <row r="212" spans="2:50" ht="14.25" customHeight="1" x14ac:dyDescent="0.3">
      <c r="B212" s="944"/>
      <c r="C212" s="944"/>
      <c r="D212" s="944"/>
      <c r="E212" s="944"/>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row>
    <row r="213" spans="2:50" ht="14.25" customHeight="1" x14ac:dyDescent="0.3">
      <c r="B213" s="944"/>
      <c r="C213" s="944"/>
      <c r="D213" s="944"/>
      <c r="E213" s="944"/>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row>
    <row r="214" spans="2:50" ht="14.25" customHeight="1" x14ac:dyDescent="0.3">
      <c r="B214" s="944"/>
      <c r="C214" s="944"/>
      <c r="D214" s="944"/>
      <c r="E214" s="944"/>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row>
    <row r="215" spans="2:50" ht="14.25" customHeight="1" x14ac:dyDescent="0.3">
      <c r="B215" s="944"/>
      <c r="C215" s="944"/>
      <c r="D215" s="944"/>
      <c r="E215" s="944"/>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row>
    <row r="216" spans="2:50" ht="14.25" customHeight="1" x14ac:dyDescent="0.3">
      <c r="B216" s="944"/>
      <c r="C216" s="944"/>
      <c r="D216" s="944"/>
      <c r="E216" s="944"/>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row>
    <row r="217" spans="2:50" ht="14.25" customHeight="1" x14ac:dyDescent="0.3">
      <c r="B217" s="944"/>
      <c r="C217" s="944"/>
      <c r="D217" s="944"/>
      <c r="E217" s="944"/>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row>
    <row r="218" spans="2:50" ht="14.25" customHeight="1" x14ac:dyDescent="0.3">
      <c r="B218" s="944"/>
      <c r="C218" s="944"/>
      <c r="D218" s="944"/>
      <c r="E218" s="944"/>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row>
    <row r="219" spans="2:50" ht="14.25" customHeight="1" x14ac:dyDescent="0.3">
      <c r="B219" s="944"/>
      <c r="C219" s="944"/>
      <c r="D219" s="944"/>
      <c r="E219" s="944"/>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row>
    <row r="220" spans="2:50" ht="14.25" customHeight="1" x14ac:dyDescent="0.3">
      <c r="B220" s="944"/>
      <c r="C220" s="944"/>
      <c r="D220" s="944"/>
      <c r="E220" s="944"/>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row>
    <row r="221" spans="2:50" ht="14.25" customHeight="1" x14ac:dyDescent="0.3">
      <c r="B221" s="944"/>
      <c r="C221" s="944"/>
      <c r="D221" s="944"/>
      <c r="E221" s="944"/>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row>
    <row r="222" spans="2:50" ht="14.25" customHeight="1" x14ac:dyDescent="0.3">
      <c r="B222" s="944"/>
      <c r="C222" s="944"/>
      <c r="D222" s="944"/>
      <c r="E222" s="944"/>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row>
    <row r="223" spans="2:50" ht="14.25" customHeight="1" x14ac:dyDescent="0.3">
      <c r="B223" s="944"/>
      <c r="C223" s="944"/>
      <c r="D223" s="944"/>
      <c r="E223" s="944"/>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row>
    <row r="224" spans="2:50" ht="14.25" customHeight="1" x14ac:dyDescent="0.3">
      <c r="B224" s="944"/>
      <c r="C224" s="944"/>
      <c r="D224" s="944"/>
      <c r="E224" s="944"/>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row>
    <row r="225" spans="2:50" ht="14.25" customHeight="1" x14ac:dyDescent="0.3">
      <c r="B225" s="944"/>
      <c r="C225" s="944"/>
      <c r="D225" s="944"/>
      <c r="E225" s="944"/>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row>
    <row r="226" spans="2:50" ht="14.25" customHeight="1" x14ac:dyDescent="0.3">
      <c r="B226" s="944"/>
      <c r="C226" s="944"/>
      <c r="D226" s="944"/>
      <c r="E226" s="944"/>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row>
    <row r="227" spans="2:50" ht="14.25" customHeight="1" x14ac:dyDescent="0.3">
      <c r="B227" s="944"/>
      <c r="C227" s="944"/>
      <c r="D227" s="944"/>
      <c r="E227" s="944"/>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row>
    <row r="228" spans="2:50" ht="14.25" customHeight="1" x14ac:dyDescent="0.3">
      <c r="B228" s="944"/>
      <c r="C228" s="944"/>
      <c r="D228" s="944"/>
      <c r="E228" s="944"/>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row>
    <row r="229" spans="2:50" ht="14.25" customHeight="1" x14ac:dyDescent="0.3">
      <c r="B229" s="944"/>
      <c r="C229" s="944"/>
      <c r="D229" s="944"/>
      <c r="E229" s="944"/>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row>
    <row r="230" spans="2:50" ht="14.25" customHeight="1" x14ac:dyDescent="0.3">
      <c r="B230" s="944"/>
      <c r="C230" s="944"/>
      <c r="D230" s="944"/>
      <c r="E230" s="944"/>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row>
    <row r="231" spans="2:50" ht="14.25" customHeight="1" x14ac:dyDescent="0.3">
      <c r="B231" s="944"/>
      <c r="C231" s="944"/>
      <c r="D231" s="944"/>
      <c r="E231" s="944"/>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row>
    <row r="232" spans="2:50" ht="14.25" customHeight="1" x14ac:dyDescent="0.3">
      <c r="B232" s="944"/>
      <c r="C232" s="944"/>
      <c r="D232" s="944"/>
      <c r="E232" s="944"/>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row>
    <row r="233" spans="2:50" ht="14.25" customHeight="1" x14ac:dyDescent="0.3">
      <c r="B233" s="944"/>
      <c r="C233" s="944"/>
      <c r="D233" s="944"/>
      <c r="E233" s="944"/>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row>
    <row r="234" spans="2:50" ht="14.25" customHeight="1" x14ac:dyDescent="0.3">
      <c r="B234" s="944"/>
      <c r="C234" s="944"/>
      <c r="D234" s="944"/>
      <c r="E234" s="944"/>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row>
    <row r="235" spans="2:50" ht="14.25" customHeight="1" x14ac:dyDescent="0.3">
      <c r="B235" s="944"/>
      <c r="C235" s="944"/>
      <c r="D235" s="944"/>
      <c r="E235" s="944"/>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row>
    <row r="236" spans="2:50" ht="14.25" customHeight="1" x14ac:dyDescent="0.3">
      <c r="B236" s="944"/>
      <c r="C236" s="944"/>
      <c r="D236" s="944"/>
      <c r="E236" s="944"/>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row>
    <row r="237" spans="2:50" ht="14.25" customHeight="1" x14ac:dyDescent="0.3">
      <c r="B237" s="944"/>
      <c r="C237" s="944"/>
      <c r="D237" s="944"/>
      <c r="E237" s="944"/>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row>
    <row r="238" spans="2:50" ht="14.25" customHeight="1" x14ac:dyDescent="0.3">
      <c r="B238" s="944"/>
      <c r="C238" s="944"/>
      <c r="D238" s="944"/>
      <c r="E238" s="944"/>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row>
    <row r="239" spans="2:50" ht="14.25" customHeight="1" x14ac:dyDescent="0.3">
      <c r="B239" s="944"/>
      <c r="C239" s="944"/>
      <c r="D239" s="944"/>
      <c r="E239" s="944"/>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row>
    <row r="240" spans="2:50" ht="14.25" customHeight="1" x14ac:dyDescent="0.3">
      <c r="B240" s="944"/>
      <c r="C240" s="944"/>
      <c r="D240" s="944"/>
      <c r="E240" s="944"/>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row>
    <row r="241" spans="2:50" ht="14.25" customHeight="1" x14ac:dyDescent="0.3">
      <c r="B241" s="944"/>
      <c r="C241" s="944"/>
      <c r="D241" s="944"/>
      <c r="E241" s="944"/>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row>
    <row r="242" spans="2:50" ht="14.25" customHeight="1" x14ac:dyDescent="0.3">
      <c r="B242" s="944"/>
      <c r="C242" s="944"/>
      <c r="D242" s="944"/>
      <c r="E242" s="944"/>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row>
    <row r="243" spans="2:50" ht="14.25" customHeight="1" x14ac:dyDescent="0.3">
      <c r="B243" s="944"/>
      <c r="C243" s="944"/>
      <c r="D243" s="944"/>
      <c r="E243" s="944"/>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row>
    <row r="244" spans="2:50" ht="14.25" customHeight="1" x14ac:dyDescent="0.3">
      <c r="B244" s="944"/>
      <c r="C244" s="944"/>
      <c r="D244" s="944"/>
      <c r="E244" s="944"/>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row>
    <row r="245" spans="2:50" ht="14.25" customHeight="1" x14ac:dyDescent="0.3">
      <c r="B245" s="944"/>
      <c r="C245" s="944"/>
      <c r="D245" s="944"/>
      <c r="E245" s="944"/>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row>
    <row r="246" spans="2:50" ht="14.25" customHeight="1" x14ac:dyDescent="0.3">
      <c r="B246" s="944"/>
      <c r="C246" s="944"/>
      <c r="D246" s="944"/>
      <c r="E246" s="944"/>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row>
    <row r="247" spans="2:50" ht="14.25" customHeight="1" x14ac:dyDescent="0.3">
      <c r="B247" s="944"/>
      <c r="C247" s="944"/>
      <c r="D247" s="944"/>
      <c r="E247" s="944"/>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row>
    <row r="248" spans="2:50" ht="14.25" customHeight="1" x14ac:dyDescent="0.3">
      <c r="B248" s="944"/>
      <c r="C248" s="944"/>
      <c r="D248" s="944"/>
      <c r="E248" s="944"/>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row>
    <row r="249" spans="2:50" ht="14.25" customHeight="1" x14ac:dyDescent="0.3">
      <c r="B249" s="944"/>
      <c r="C249" s="944"/>
      <c r="D249" s="944"/>
      <c r="E249" s="944"/>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row>
    <row r="250" spans="2:50" ht="14.25" customHeight="1" x14ac:dyDescent="0.3">
      <c r="B250" s="944"/>
      <c r="C250" s="944"/>
      <c r="D250" s="944"/>
      <c r="E250" s="944"/>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row>
    <row r="251" spans="2:50" ht="14.25" customHeight="1" x14ac:dyDescent="0.3">
      <c r="B251" s="944"/>
      <c r="C251" s="944"/>
      <c r="D251" s="944"/>
      <c r="E251" s="944"/>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row>
    <row r="252" spans="2:50" ht="14.25" customHeight="1" x14ac:dyDescent="0.3">
      <c r="B252" s="944"/>
      <c r="C252" s="944"/>
      <c r="D252" s="944"/>
      <c r="E252" s="944"/>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row>
    <row r="253" spans="2:50" ht="14.25" customHeight="1" x14ac:dyDescent="0.3">
      <c r="B253" s="944"/>
      <c r="C253" s="944"/>
      <c r="D253" s="944"/>
      <c r="E253" s="944"/>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row>
    <row r="254" spans="2:50" ht="14.25" customHeight="1" x14ac:dyDescent="0.3">
      <c r="B254" s="944"/>
      <c r="C254" s="944"/>
      <c r="D254" s="944"/>
      <c r="E254" s="944"/>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row>
    <row r="255" spans="2:50" ht="14.25" customHeight="1" x14ac:dyDescent="0.3">
      <c r="B255" s="944"/>
      <c r="C255" s="944"/>
      <c r="D255" s="944"/>
      <c r="E255" s="944"/>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row>
    <row r="256" spans="2:50" ht="14.25" customHeight="1" x14ac:dyDescent="0.3">
      <c r="B256" s="944"/>
      <c r="C256" s="944"/>
      <c r="D256" s="944"/>
      <c r="E256" s="944"/>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row>
    <row r="257" spans="2:50" ht="14.25" customHeight="1" x14ac:dyDescent="0.3">
      <c r="B257" s="944"/>
      <c r="C257" s="944"/>
      <c r="D257" s="944"/>
      <c r="E257" s="944"/>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row>
    <row r="258" spans="2:50" ht="14.25" customHeight="1" x14ac:dyDescent="0.3">
      <c r="B258" s="944"/>
      <c r="C258" s="944"/>
      <c r="D258" s="944"/>
      <c r="E258" s="944"/>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row>
    <row r="259" spans="2:50" ht="14.25" customHeight="1" x14ac:dyDescent="0.3">
      <c r="B259" s="944"/>
      <c r="C259" s="944"/>
      <c r="D259" s="944"/>
      <c r="E259" s="944"/>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row>
    <row r="260" spans="2:50" ht="14.25" customHeight="1" x14ac:dyDescent="0.3">
      <c r="B260" s="944"/>
      <c r="C260" s="944"/>
      <c r="D260" s="944"/>
      <c r="E260" s="944"/>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row>
    <row r="261" spans="2:50" ht="14.25" customHeight="1" x14ac:dyDescent="0.3">
      <c r="B261" s="944"/>
      <c r="C261" s="944"/>
      <c r="D261" s="944"/>
      <c r="E261" s="944"/>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row>
    <row r="262" spans="2:50" ht="14.25" customHeight="1" x14ac:dyDescent="0.3">
      <c r="B262" s="944"/>
      <c r="C262" s="944"/>
      <c r="D262" s="944"/>
      <c r="E262" s="944"/>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row>
    <row r="263" spans="2:50" ht="14.25" customHeight="1" x14ac:dyDescent="0.3">
      <c r="B263" s="944"/>
      <c r="C263" s="944"/>
      <c r="D263" s="944"/>
      <c r="E263" s="944"/>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row>
    <row r="264" spans="2:50" ht="14.25" customHeight="1" x14ac:dyDescent="0.3">
      <c r="B264" s="944"/>
      <c r="C264" s="944"/>
      <c r="D264" s="944"/>
      <c r="E264" s="944"/>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row>
    <row r="265" spans="2:50" ht="14.25" customHeight="1" x14ac:dyDescent="0.3">
      <c r="B265" s="944"/>
      <c r="C265" s="944"/>
      <c r="D265" s="944"/>
      <c r="E265" s="944"/>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row>
    <row r="266" spans="2:50" ht="14.25" customHeight="1" x14ac:dyDescent="0.3">
      <c r="B266" s="944"/>
      <c r="C266" s="944"/>
      <c r="D266" s="944"/>
      <c r="E266" s="944"/>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row>
    <row r="267" spans="2:50" ht="14.25" customHeight="1" x14ac:dyDescent="0.3">
      <c r="B267" s="944"/>
      <c r="C267" s="944"/>
      <c r="D267" s="944"/>
      <c r="E267" s="944"/>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row>
    <row r="268" spans="2:50" ht="14.25" customHeight="1" x14ac:dyDescent="0.3">
      <c r="B268" s="944"/>
      <c r="C268" s="944"/>
      <c r="D268" s="944"/>
      <c r="E268" s="944"/>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row>
    <row r="269" spans="2:50" ht="14.25" customHeight="1" x14ac:dyDescent="0.3">
      <c r="B269" s="944"/>
      <c r="C269" s="944"/>
      <c r="D269" s="944"/>
      <c r="E269" s="944"/>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row>
    <row r="270" spans="2:50" ht="14.25" customHeight="1" x14ac:dyDescent="0.3">
      <c r="B270" s="944"/>
      <c r="C270" s="944"/>
      <c r="D270" s="944"/>
      <c r="E270" s="944"/>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row>
    <row r="271" spans="2:50" ht="14.25" customHeight="1" x14ac:dyDescent="0.3">
      <c r="B271" s="944"/>
      <c r="C271" s="944"/>
      <c r="D271" s="944"/>
      <c r="E271" s="944"/>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row>
    <row r="272" spans="2:50" ht="14.25" customHeight="1" x14ac:dyDescent="0.3">
      <c r="B272" s="944"/>
      <c r="C272" s="944"/>
      <c r="D272" s="944"/>
      <c r="E272" s="944"/>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row>
    <row r="273" spans="2:50" ht="14.25" customHeight="1" x14ac:dyDescent="0.3">
      <c r="B273" s="944"/>
      <c r="C273" s="944"/>
      <c r="D273" s="944"/>
      <c r="E273" s="944"/>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row>
    <row r="274" spans="2:50" ht="14.25" customHeight="1" x14ac:dyDescent="0.3">
      <c r="B274" s="944"/>
      <c r="C274" s="944"/>
      <c r="D274" s="944"/>
      <c r="E274" s="944"/>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row>
    <row r="275" spans="2:50" ht="14.25" customHeight="1" x14ac:dyDescent="0.3">
      <c r="B275" s="944"/>
      <c r="C275" s="944"/>
      <c r="D275" s="944"/>
      <c r="E275" s="944"/>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row>
    <row r="276" spans="2:50" ht="14.25" customHeight="1" x14ac:dyDescent="0.3">
      <c r="B276" s="944"/>
      <c r="C276" s="944"/>
      <c r="D276" s="944"/>
      <c r="E276" s="944"/>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row>
    <row r="277" spans="2:50" ht="14.25" customHeight="1" x14ac:dyDescent="0.3">
      <c r="B277" s="944"/>
      <c r="C277" s="944"/>
      <c r="D277" s="944"/>
      <c r="E277" s="944"/>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row>
    <row r="278" spans="2:50" ht="14.25" customHeight="1" x14ac:dyDescent="0.3">
      <c r="B278" s="944"/>
      <c r="C278" s="944"/>
      <c r="D278" s="944"/>
      <c r="E278" s="944"/>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row>
    <row r="279" spans="2:50" ht="14.25" customHeight="1" x14ac:dyDescent="0.3">
      <c r="B279" s="944"/>
      <c r="C279" s="944"/>
      <c r="D279" s="944"/>
      <c r="E279" s="944"/>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row>
    <row r="280" spans="2:50" ht="14.25" customHeight="1" x14ac:dyDescent="0.3">
      <c r="B280" s="944"/>
      <c r="C280" s="944"/>
      <c r="D280" s="944"/>
      <c r="E280" s="944"/>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row>
    <row r="281" spans="2:50" ht="14.25" customHeight="1" x14ac:dyDescent="0.3">
      <c r="B281" s="944"/>
      <c r="C281" s="944"/>
      <c r="D281" s="944"/>
      <c r="E281" s="944"/>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row>
    <row r="282" spans="2:50" ht="14.25" customHeight="1" x14ac:dyDescent="0.3">
      <c r="B282" s="944"/>
      <c r="C282" s="944"/>
      <c r="D282" s="944"/>
      <c r="E282" s="944"/>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row>
    <row r="283" spans="2:50" ht="14.25" customHeight="1" x14ac:dyDescent="0.3">
      <c r="B283" s="944"/>
      <c r="C283" s="944"/>
      <c r="D283" s="944"/>
      <c r="E283" s="944"/>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row>
    <row r="284" spans="2:50" ht="14.25" customHeight="1" x14ac:dyDescent="0.3">
      <c r="B284" s="944"/>
      <c r="C284" s="944"/>
      <c r="D284" s="944"/>
      <c r="E284" s="944"/>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row>
    <row r="285" spans="2:50" ht="14.25" customHeight="1" x14ac:dyDescent="0.3">
      <c r="B285" s="944"/>
      <c r="C285" s="944"/>
      <c r="D285" s="944"/>
      <c r="E285" s="944"/>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row>
    <row r="286" spans="2:50" ht="14.25" customHeight="1" x14ac:dyDescent="0.3">
      <c r="B286" s="944"/>
      <c r="C286" s="944"/>
      <c r="D286" s="944"/>
      <c r="E286" s="944"/>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row>
    <row r="287" spans="2:50" ht="14.25" customHeight="1" x14ac:dyDescent="0.3">
      <c r="B287" s="944"/>
      <c r="C287" s="944"/>
      <c r="D287" s="944"/>
      <c r="E287" s="944"/>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row>
    <row r="288" spans="2:50" ht="14.25" customHeight="1" x14ac:dyDescent="0.3">
      <c r="B288" s="944"/>
      <c r="C288" s="944"/>
      <c r="D288" s="944"/>
      <c r="E288" s="944"/>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row>
    <row r="289" spans="2:50" ht="14.25" customHeight="1" x14ac:dyDescent="0.3">
      <c r="B289" s="944"/>
      <c r="C289" s="944"/>
      <c r="D289" s="944"/>
      <c r="E289" s="944"/>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row>
    <row r="290" spans="2:50" ht="14.25" customHeight="1" x14ac:dyDescent="0.3">
      <c r="B290" s="944"/>
      <c r="C290" s="944"/>
      <c r="D290" s="944"/>
      <c r="E290" s="944"/>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row>
    <row r="291" spans="2:50" ht="14.25" customHeight="1" x14ac:dyDescent="0.3">
      <c r="B291" s="944"/>
      <c r="C291" s="944"/>
      <c r="D291" s="944"/>
      <c r="E291" s="944"/>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row>
    <row r="292" spans="2:50" ht="14.25" customHeight="1" x14ac:dyDescent="0.3">
      <c r="B292" s="944"/>
      <c r="C292" s="944"/>
      <c r="D292" s="944"/>
      <c r="E292" s="944"/>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row>
    <row r="293" spans="2:50" ht="14.25" customHeight="1" x14ac:dyDescent="0.3">
      <c r="B293" s="944"/>
      <c r="C293" s="944"/>
      <c r="D293" s="944"/>
      <c r="E293" s="944"/>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row>
    <row r="294" spans="2:50" ht="14.25" customHeight="1" x14ac:dyDescent="0.3">
      <c r="B294" s="944"/>
      <c r="C294" s="944"/>
      <c r="D294" s="944"/>
      <c r="E294" s="944"/>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row>
    <row r="295" spans="2:50" ht="14.25" customHeight="1" x14ac:dyDescent="0.3">
      <c r="B295" s="944"/>
      <c r="C295" s="944"/>
      <c r="D295" s="944"/>
      <c r="E295" s="944"/>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row>
    <row r="296" spans="2:50" ht="14.25" customHeight="1" x14ac:dyDescent="0.3">
      <c r="B296" s="944"/>
      <c r="C296" s="944"/>
      <c r="D296" s="944"/>
      <c r="E296" s="944"/>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row>
    <row r="297" spans="2:50" ht="14.25" customHeight="1" x14ac:dyDescent="0.3">
      <c r="B297" s="944"/>
      <c r="C297" s="944"/>
      <c r="D297" s="944"/>
      <c r="E297" s="944"/>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row>
    <row r="298" spans="2:50" ht="14.25" customHeight="1" x14ac:dyDescent="0.3">
      <c r="B298" s="944"/>
      <c r="C298" s="944"/>
      <c r="D298" s="944"/>
      <c r="E298" s="944"/>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row>
    <row r="299" spans="2:50" ht="14.25" customHeight="1" x14ac:dyDescent="0.3">
      <c r="B299" s="944"/>
      <c r="C299" s="944"/>
      <c r="D299" s="944"/>
      <c r="E299" s="944"/>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row>
    <row r="300" spans="2:50" ht="14.25" customHeight="1" x14ac:dyDescent="0.3">
      <c r="B300" s="944"/>
      <c r="C300" s="944"/>
      <c r="D300" s="944"/>
      <c r="E300" s="944"/>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row>
    <row r="301" spans="2:50" ht="14.25" customHeight="1" x14ac:dyDescent="0.3">
      <c r="B301" s="944"/>
      <c r="C301" s="944"/>
      <c r="D301" s="944"/>
      <c r="E301" s="944"/>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row>
    <row r="302" spans="2:50" ht="14.25" customHeight="1" x14ac:dyDescent="0.3">
      <c r="B302" s="944"/>
      <c r="C302" s="944"/>
      <c r="D302" s="944"/>
      <c r="E302" s="944"/>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row>
    <row r="303" spans="2:50" ht="14.25" customHeight="1" x14ac:dyDescent="0.3">
      <c r="B303" s="944"/>
      <c r="C303" s="944"/>
      <c r="D303" s="944"/>
      <c r="E303" s="944"/>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row>
    <row r="304" spans="2:50" ht="14.25" customHeight="1" x14ac:dyDescent="0.3">
      <c r="B304" s="944"/>
      <c r="C304" s="944"/>
      <c r="D304" s="944"/>
      <c r="E304" s="944"/>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row>
    <row r="305" spans="2:50" ht="14.25" customHeight="1" x14ac:dyDescent="0.3">
      <c r="B305" s="944"/>
      <c r="C305" s="944"/>
      <c r="D305" s="944"/>
      <c r="E305" s="944"/>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row>
    <row r="306" spans="2:50" ht="14.25" customHeight="1" x14ac:dyDescent="0.3">
      <c r="B306" s="944"/>
      <c r="C306" s="944"/>
      <c r="D306" s="944"/>
      <c r="E306" s="944"/>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row>
    <row r="307" spans="2:50" ht="14.25" customHeight="1" x14ac:dyDescent="0.3">
      <c r="B307" s="944"/>
      <c r="C307" s="944"/>
      <c r="D307" s="944"/>
      <c r="E307" s="944"/>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row>
    <row r="308" spans="2:50" ht="14.25" customHeight="1" x14ac:dyDescent="0.3">
      <c r="B308" s="944"/>
      <c r="C308" s="944"/>
      <c r="D308" s="944"/>
      <c r="E308" s="944"/>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row>
    <row r="309" spans="2:50" ht="14.25" customHeight="1" x14ac:dyDescent="0.3">
      <c r="B309" s="944"/>
      <c r="C309" s="944"/>
      <c r="D309" s="944"/>
      <c r="E309" s="944"/>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row>
    <row r="310" spans="2:50" ht="14.25" customHeight="1" x14ac:dyDescent="0.3">
      <c r="B310" s="944"/>
      <c r="C310" s="944"/>
      <c r="D310" s="944"/>
      <c r="E310" s="944"/>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row>
    <row r="311" spans="2:50" ht="14.25" customHeight="1" x14ac:dyDescent="0.3">
      <c r="B311" s="944"/>
      <c r="C311" s="944"/>
      <c r="D311" s="944"/>
      <c r="E311" s="944"/>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row>
    <row r="312" spans="2:50" ht="14.25" customHeight="1" x14ac:dyDescent="0.3">
      <c r="B312" s="944"/>
      <c r="C312" s="944"/>
      <c r="D312" s="944"/>
      <c r="E312" s="944"/>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row>
    <row r="313" spans="2:50" ht="14.25" customHeight="1" x14ac:dyDescent="0.3">
      <c r="B313" s="944"/>
      <c r="C313" s="944"/>
      <c r="D313" s="944"/>
      <c r="E313" s="944"/>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row>
    <row r="314" spans="2:50" ht="14.25" customHeight="1" x14ac:dyDescent="0.3">
      <c r="B314" s="944"/>
      <c r="C314" s="944"/>
      <c r="D314" s="944"/>
      <c r="E314" s="944"/>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row>
    <row r="315" spans="2:50" ht="14.25" customHeight="1" x14ac:dyDescent="0.3">
      <c r="B315" s="944"/>
      <c r="C315" s="944"/>
      <c r="D315" s="944"/>
      <c r="E315" s="944"/>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row>
    <row r="316" spans="2:50" ht="14.25" customHeight="1" x14ac:dyDescent="0.3">
      <c r="B316" s="944"/>
      <c r="C316" s="944"/>
      <c r="D316" s="944"/>
      <c r="E316" s="944"/>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row>
    <row r="317" spans="2:50" ht="14.25" customHeight="1" x14ac:dyDescent="0.3">
      <c r="B317" s="944"/>
      <c r="C317" s="944"/>
      <c r="D317" s="944"/>
      <c r="E317" s="944"/>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row>
    <row r="318" spans="2:50" ht="14.25" customHeight="1" x14ac:dyDescent="0.3">
      <c r="B318" s="944"/>
      <c r="C318" s="944"/>
      <c r="D318" s="944"/>
      <c r="E318" s="944"/>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row>
    <row r="319" spans="2:50" ht="14.25" customHeight="1" x14ac:dyDescent="0.3">
      <c r="B319" s="944"/>
      <c r="C319" s="944"/>
      <c r="D319" s="944"/>
      <c r="E319" s="944"/>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row>
    <row r="320" spans="2:50" ht="14.25" customHeight="1" x14ac:dyDescent="0.3">
      <c r="B320" s="944"/>
      <c r="C320" s="944"/>
      <c r="D320" s="944"/>
      <c r="E320" s="944"/>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row>
    <row r="321" spans="2:50" ht="14.25" customHeight="1" x14ac:dyDescent="0.3">
      <c r="B321" s="944"/>
      <c r="C321" s="944"/>
      <c r="D321" s="944"/>
      <c r="E321" s="944"/>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row>
    <row r="322" spans="2:50" ht="14.25" customHeight="1" x14ac:dyDescent="0.3">
      <c r="B322" s="944"/>
      <c r="C322" s="944"/>
      <c r="D322" s="944"/>
      <c r="E322" s="944"/>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row>
    <row r="323" spans="2:50" ht="14.25" customHeight="1" x14ac:dyDescent="0.3">
      <c r="B323" s="944"/>
      <c r="C323" s="944"/>
      <c r="D323" s="944"/>
      <c r="E323" s="944"/>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row>
    <row r="324" spans="2:50" ht="14.25" customHeight="1" x14ac:dyDescent="0.3">
      <c r="B324" s="944"/>
      <c r="C324" s="944"/>
      <c r="D324" s="944"/>
      <c r="E324" s="944"/>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row>
    <row r="325" spans="2:50" ht="14.25" customHeight="1" x14ac:dyDescent="0.3">
      <c r="B325" s="944"/>
      <c r="C325" s="944"/>
      <c r="D325" s="944"/>
      <c r="E325" s="944"/>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row>
    <row r="326" spans="2:50" ht="14.25" customHeight="1" x14ac:dyDescent="0.3">
      <c r="B326" s="944"/>
      <c r="C326" s="944"/>
      <c r="D326" s="944"/>
      <c r="E326" s="944"/>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row>
    <row r="327" spans="2:50" ht="14.25" customHeight="1" x14ac:dyDescent="0.3">
      <c r="B327" s="944"/>
      <c r="C327" s="944"/>
      <c r="D327" s="944"/>
      <c r="E327" s="944"/>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row>
    <row r="328" spans="2:50" ht="14.25" customHeight="1" x14ac:dyDescent="0.3">
      <c r="B328" s="944"/>
      <c r="C328" s="944"/>
      <c r="D328" s="944"/>
      <c r="E328" s="944"/>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row>
    <row r="329" spans="2:50" ht="14.25" customHeight="1" x14ac:dyDescent="0.3">
      <c r="B329" s="944"/>
      <c r="C329" s="944"/>
      <c r="D329" s="944"/>
      <c r="E329" s="944"/>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row>
    <row r="330" spans="2:50" ht="14.25" customHeight="1" x14ac:dyDescent="0.3">
      <c r="B330" s="944"/>
      <c r="C330" s="944"/>
      <c r="D330" s="944"/>
      <c r="E330" s="944"/>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row>
    <row r="331" spans="2:50" ht="14.25" customHeight="1" x14ac:dyDescent="0.3">
      <c r="B331" s="944"/>
      <c r="C331" s="944"/>
      <c r="D331" s="944"/>
      <c r="E331" s="944"/>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row>
    <row r="332" spans="2:50" ht="14.25" customHeight="1" x14ac:dyDescent="0.3">
      <c r="B332" s="944"/>
      <c r="C332" s="944"/>
      <c r="D332" s="944"/>
      <c r="E332" s="944"/>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row>
    <row r="333" spans="2:50" ht="14.25" customHeight="1" x14ac:dyDescent="0.3">
      <c r="B333" s="944"/>
      <c r="C333" s="944"/>
      <c r="D333" s="944"/>
      <c r="E333" s="944"/>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row>
    <row r="334" spans="2:50" ht="14.25" customHeight="1" x14ac:dyDescent="0.3">
      <c r="B334" s="944"/>
      <c r="C334" s="944"/>
      <c r="D334" s="944"/>
      <c r="E334" s="944"/>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row>
    <row r="335" spans="2:50" ht="14.25" customHeight="1" x14ac:dyDescent="0.3">
      <c r="B335" s="944"/>
      <c r="C335" s="944"/>
      <c r="D335" s="944"/>
      <c r="E335" s="944"/>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row>
    <row r="336" spans="2:50" ht="14.25" customHeight="1" x14ac:dyDescent="0.3">
      <c r="B336" s="944"/>
      <c r="C336" s="944"/>
      <c r="D336" s="944"/>
      <c r="E336" s="944"/>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row>
    <row r="337" spans="2:50" ht="14.25" customHeight="1" x14ac:dyDescent="0.3">
      <c r="B337" s="944"/>
      <c r="C337" s="944"/>
      <c r="D337" s="944"/>
      <c r="E337" s="944"/>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row>
    <row r="338" spans="2:50" ht="14.25" customHeight="1" x14ac:dyDescent="0.3">
      <c r="B338" s="944"/>
      <c r="C338" s="944"/>
      <c r="D338" s="944"/>
      <c r="E338" s="944"/>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row>
    <row r="339" spans="2:50" ht="14.25" customHeight="1" x14ac:dyDescent="0.3">
      <c r="B339" s="944"/>
      <c r="C339" s="944"/>
      <c r="D339" s="944"/>
      <c r="E339" s="944"/>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row>
    <row r="340" spans="2:50" ht="14.25" customHeight="1" x14ac:dyDescent="0.3">
      <c r="B340" s="944"/>
      <c r="C340" s="944"/>
      <c r="D340" s="944"/>
      <c r="E340" s="944"/>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row>
    <row r="341" spans="2:50" ht="14.25" customHeight="1" x14ac:dyDescent="0.3">
      <c r="B341" s="944"/>
      <c r="C341" s="944"/>
      <c r="D341" s="944"/>
      <c r="E341" s="944"/>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row>
    <row r="342" spans="2:50" ht="14.25" customHeight="1" x14ac:dyDescent="0.3">
      <c r="B342" s="944"/>
      <c r="C342" s="944"/>
      <c r="D342" s="944"/>
      <c r="E342" s="944"/>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row>
    <row r="343" spans="2:50" ht="14.25" customHeight="1" x14ac:dyDescent="0.3">
      <c r="B343" s="944"/>
      <c r="C343" s="944"/>
      <c r="D343" s="944"/>
      <c r="E343" s="944"/>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row>
    <row r="344" spans="2:50" ht="14.25" customHeight="1" x14ac:dyDescent="0.3">
      <c r="B344" s="944"/>
      <c r="C344" s="944"/>
      <c r="D344" s="944"/>
      <c r="E344" s="944"/>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row>
    <row r="345" spans="2:50" ht="14.25" customHeight="1" x14ac:dyDescent="0.3">
      <c r="B345" s="944"/>
      <c r="C345" s="944"/>
      <c r="D345" s="944"/>
      <c r="E345" s="944"/>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row>
    <row r="346" spans="2:50" ht="14.25" customHeight="1" x14ac:dyDescent="0.3">
      <c r="B346" s="944"/>
      <c r="C346" s="944"/>
      <c r="D346" s="944"/>
      <c r="E346" s="944"/>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row>
    <row r="347" spans="2:50" ht="14.25" customHeight="1" x14ac:dyDescent="0.3">
      <c r="B347" s="944"/>
      <c r="C347" s="944"/>
      <c r="D347" s="944"/>
      <c r="E347" s="944"/>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row>
    <row r="348" spans="2:50" ht="14.25" customHeight="1" x14ac:dyDescent="0.3">
      <c r="B348" s="944"/>
      <c r="C348" s="944"/>
      <c r="D348" s="944"/>
      <c r="E348" s="944"/>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row>
    <row r="349" spans="2:50" ht="14.25" customHeight="1" x14ac:dyDescent="0.3">
      <c r="B349" s="944"/>
      <c r="C349" s="944"/>
      <c r="D349" s="944"/>
      <c r="E349" s="944"/>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row>
    <row r="350" spans="2:50" ht="14.25" customHeight="1" x14ac:dyDescent="0.3">
      <c r="B350" s="944"/>
      <c r="C350" s="944"/>
      <c r="D350" s="944"/>
      <c r="E350" s="944"/>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row>
    <row r="351" spans="2:50" ht="14.25" customHeight="1" x14ac:dyDescent="0.3">
      <c r="B351" s="944"/>
      <c r="C351" s="944"/>
      <c r="D351" s="944"/>
      <c r="E351" s="944"/>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row>
    <row r="352" spans="2:50" ht="14.25" customHeight="1" x14ac:dyDescent="0.3">
      <c r="B352" s="944"/>
      <c r="C352" s="944"/>
      <c r="D352" s="944"/>
      <c r="E352" s="944"/>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row>
    <row r="353" spans="2:50" ht="14.25" customHeight="1" x14ac:dyDescent="0.3">
      <c r="B353" s="944"/>
      <c r="C353" s="944"/>
      <c r="D353" s="944"/>
      <c r="E353" s="944"/>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row>
    <row r="354" spans="2:50" ht="14.25" customHeight="1" x14ac:dyDescent="0.3">
      <c r="B354" s="944"/>
      <c r="C354" s="944"/>
      <c r="D354" s="944"/>
      <c r="E354" s="944"/>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row>
    <row r="355" spans="2:50" ht="14.25" customHeight="1" x14ac:dyDescent="0.3">
      <c r="B355" s="944"/>
      <c r="C355" s="944"/>
      <c r="D355" s="944"/>
      <c r="E355" s="944"/>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row>
    <row r="356" spans="2:50" ht="14.25" customHeight="1" x14ac:dyDescent="0.3">
      <c r="B356" s="944"/>
      <c r="C356" s="944"/>
      <c r="D356" s="944"/>
      <c r="E356" s="944"/>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row>
    <row r="357" spans="2:50" ht="14.25" customHeight="1" x14ac:dyDescent="0.3">
      <c r="B357" s="944"/>
      <c r="C357" s="944"/>
      <c r="D357" s="944"/>
      <c r="E357" s="944"/>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row>
    <row r="358" spans="2:50" ht="14.25" customHeight="1" x14ac:dyDescent="0.3">
      <c r="B358" s="944"/>
      <c r="C358" s="944"/>
      <c r="D358" s="944"/>
      <c r="E358" s="944"/>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row>
    <row r="359" spans="2:50" ht="14.25" customHeight="1" x14ac:dyDescent="0.3">
      <c r="B359" s="944"/>
      <c r="C359" s="944"/>
      <c r="D359" s="944"/>
      <c r="E359" s="944"/>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row>
    <row r="360" spans="2:50" ht="14.25" customHeight="1" x14ac:dyDescent="0.3">
      <c r="B360" s="944"/>
      <c r="C360" s="944"/>
      <c r="D360" s="944"/>
      <c r="E360" s="944"/>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row>
    <row r="361" spans="2:50" ht="14.25" customHeight="1" x14ac:dyDescent="0.3">
      <c r="B361" s="944"/>
      <c r="C361" s="944"/>
      <c r="D361" s="944"/>
      <c r="E361" s="944"/>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row>
    <row r="362" spans="2:50" ht="14.25" customHeight="1" x14ac:dyDescent="0.3">
      <c r="B362" s="944"/>
      <c r="C362" s="944"/>
      <c r="D362" s="944"/>
      <c r="E362" s="944"/>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row>
    <row r="363" spans="2:50" ht="14.25" customHeight="1" x14ac:dyDescent="0.3">
      <c r="B363" s="944"/>
      <c r="C363" s="944"/>
      <c r="D363" s="944"/>
      <c r="E363" s="944"/>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row>
    <row r="364" spans="2:50" ht="14.25" customHeight="1" x14ac:dyDescent="0.3">
      <c r="B364" s="944"/>
      <c r="C364" s="944"/>
      <c r="D364" s="944"/>
      <c r="E364" s="944"/>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row>
    <row r="365" spans="2:50" ht="14.25" customHeight="1" x14ac:dyDescent="0.3">
      <c r="B365" s="944"/>
      <c r="C365" s="944"/>
      <c r="D365" s="944"/>
      <c r="E365" s="944"/>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row>
    <row r="366" spans="2:50" ht="14.25" customHeight="1" x14ac:dyDescent="0.3">
      <c r="B366" s="944"/>
      <c r="C366" s="944"/>
      <c r="D366" s="944"/>
      <c r="E366" s="944"/>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row>
    <row r="367" spans="2:50" ht="14.25" customHeight="1" x14ac:dyDescent="0.3">
      <c r="B367" s="944"/>
      <c r="C367" s="944"/>
      <c r="D367" s="944"/>
      <c r="E367" s="944"/>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row>
    <row r="368" spans="2:50" ht="14.25" customHeight="1" x14ac:dyDescent="0.3">
      <c r="B368" s="944"/>
      <c r="C368" s="944"/>
      <c r="D368" s="944"/>
      <c r="E368" s="944"/>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row>
    <row r="369" spans="2:5" ht="15.75" customHeight="1" x14ac:dyDescent="0.3">
      <c r="B369" s="944"/>
      <c r="C369" s="26"/>
      <c r="D369" s="26"/>
      <c r="E369" s="26"/>
    </row>
    <row r="370" spans="2:5" ht="15.75" customHeight="1" x14ac:dyDescent="0.3">
      <c r="B370" s="944"/>
      <c r="C370" s="26"/>
      <c r="D370" s="26"/>
      <c r="E370" s="26"/>
    </row>
    <row r="371" spans="2:5" ht="15.75" customHeight="1" x14ac:dyDescent="0.3">
      <c r="B371" s="944"/>
      <c r="C371" s="26"/>
      <c r="D371" s="26"/>
      <c r="E371" s="26"/>
    </row>
    <row r="372" spans="2:5" ht="15.75" customHeight="1" x14ac:dyDescent="0.3">
      <c r="B372" s="944"/>
      <c r="C372" s="26"/>
      <c r="D372" s="26"/>
      <c r="E372" s="26"/>
    </row>
    <row r="373" spans="2:5" ht="15.75" customHeight="1" x14ac:dyDescent="0.3">
      <c r="B373" s="944"/>
      <c r="C373" s="26"/>
      <c r="D373" s="26"/>
      <c r="E373" s="26"/>
    </row>
    <row r="374" spans="2:5" ht="15.75" customHeight="1" x14ac:dyDescent="0.3">
      <c r="B374" s="944"/>
      <c r="C374" s="26"/>
      <c r="D374" s="26"/>
      <c r="E374" s="26"/>
    </row>
    <row r="375" spans="2:5" ht="15.75" customHeight="1" x14ac:dyDescent="0.3">
      <c r="B375" s="944"/>
      <c r="C375" s="26"/>
      <c r="D375" s="26"/>
      <c r="E375" s="26"/>
    </row>
    <row r="376" spans="2:5" ht="15.75" customHeight="1" x14ac:dyDescent="0.3">
      <c r="B376" s="944"/>
      <c r="C376" s="26"/>
      <c r="D376" s="26"/>
      <c r="E376" s="26"/>
    </row>
    <row r="377" spans="2:5" ht="15.75" customHeight="1" x14ac:dyDescent="0.3">
      <c r="B377" s="944"/>
      <c r="C377" s="26"/>
      <c r="D377" s="26"/>
      <c r="E377" s="26"/>
    </row>
    <row r="378" spans="2:5" ht="15.75" customHeight="1" x14ac:dyDescent="0.3">
      <c r="B378" s="944"/>
      <c r="C378" s="26"/>
      <c r="D378" s="26"/>
      <c r="E378" s="26"/>
    </row>
    <row r="379" spans="2:5" ht="15.75" customHeight="1" x14ac:dyDescent="0.3">
      <c r="B379" s="944"/>
      <c r="C379" s="26"/>
      <c r="D379" s="26"/>
      <c r="E379" s="26"/>
    </row>
    <row r="380" spans="2:5" ht="15.75" customHeight="1" x14ac:dyDescent="0.3">
      <c r="B380" s="944"/>
      <c r="C380" s="26"/>
      <c r="D380" s="26"/>
      <c r="E380" s="26"/>
    </row>
    <row r="381" spans="2:5" ht="15.75" customHeight="1" x14ac:dyDescent="0.3">
      <c r="B381" s="944"/>
      <c r="C381" s="26"/>
      <c r="D381" s="26"/>
      <c r="E381" s="26"/>
    </row>
    <row r="382" spans="2:5" ht="15.75" customHeight="1" x14ac:dyDescent="0.3">
      <c r="B382" s="944"/>
      <c r="C382" s="26"/>
      <c r="D382" s="26"/>
      <c r="E382" s="26"/>
    </row>
    <row r="383" spans="2:5" ht="15.75" customHeight="1" x14ac:dyDescent="0.3">
      <c r="B383" s="944"/>
      <c r="C383" s="26"/>
      <c r="D383" s="26"/>
      <c r="E383" s="26"/>
    </row>
    <row r="384" spans="2:5" ht="15.75" customHeight="1" x14ac:dyDescent="0.3">
      <c r="B384" s="944"/>
      <c r="C384" s="26"/>
      <c r="D384" s="26"/>
      <c r="E384" s="26"/>
    </row>
    <row r="385" spans="2:5" ht="15.75" customHeight="1" x14ac:dyDescent="0.3">
      <c r="B385" s="944"/>
      <c r="C385" s="26"/>
      <c r="D385" s="26"/>
      <c r="E385" s="26"/>
    </row>
    <row r="386" spans="2:5" ht="15.75" customHeight="1" x14ac:dyDescent="0.3">
      <c r="B386" s="944"/>
      <c r="C386" s="26"/>
      <c r="D386" s="26"/>
      <c r="E386" s="26"/>
    </row>
    <row r="387" spans="2:5" ht="15.75" customHeight="1" x14ac:dyDescent="0.3">
      <c r="B387" s="944"/>
      <c r="C387" s="26"/>
      <c r="D387" s="26"/>
      <c r="E387" s="26"/>
    </row>
    <row r="388" spans="2:5" ht="15.75" customHeight="1" x14ac:dyDescent="0.3">
      <c r="B388" s="944"/>
      <c r="C388" s="26"/>
      <c r="D388" s="26"/>
      <c r="E388" s="26"/>
    </row>
    <row r="389" spans="2:5" ht="15.75" customHeight="1" x14ac:dyDescent="0.3">
      <c r="B389" s="944"/>
      <c r="C389" s="26"/>
      <c r="D389" s="26"/>
      <c r="E389" s="26"/>
    </row>
    <row r="390" spans="2:5" ht="15.75" customHeight="1" x14ac:dyDescent="0.3">
      <c r="B390" s="944"/>
      <c r="C390" s="26"/>
      <c r="D390" s="26"/>
      <c r="E390" s="26"/>
    </row>
    <row r="391" spans="2:5" ht="15.75" customHeight="1" x14ac:dyDescent="0.3">
      <c r="B391" s="944"/>
      <c r="C391" s="26"/>
      <c r="D391" s="26"/>
      <c r="E391" s="26"/>
    </row>
    <row r="392" spans="2:5" ht="15.75" customHeight="1" x14ac:dyDescent="0.3">
      <c r="B392" s="944"/>
      <c r="C392" s="26"/>
      <c r="D392" s="26"/>
      <c r="E392" s="26"/>
    </row>
    <row r="393" spans="2:5" ht="15.75" customHeight="1" x14ac:dyDescent="0.3">
      <c r="B393" s="944"/>
      <c r="C393" s="26"/>
      <c r="D393" s="26"/>
      <c r="E393" s="26"/>
    </row>
    <row r="394" spans="2:5" ht="15.75" customHeight="1" x14ac:dyDescent="0.3">
      <c r="B394" s="944"/>
      <c r="C394" s="26"/>
      <c r="D394" s="26"/>
      <c r="E394" s="26"/>
    </row>
    <row r="395" spans="2:5" ht="15.75" customHeight="1" x14ac:dyDescent="0.3">
      <c r="B395" s="944"/>
      <c r="C395" s="26"/>
      <c r="D395" s="26"/>
      <c r="E395" s="26"/>
    </row>
    <row r="396" spans="2:5" ht="15.75" customHeight="1" x14ac:dyDescent="0.3">
      <c r="B396" s="944"/>
      <c r="C396" s="26"/>
      <c r="D396" s="26"/>
      <c r="E396" s="26"/>
    </row>
    <row r="397" spans="2:5" ht="15.75" customHeight="1" x14ac:dyDescent="0.3">
      <c r="B397" s="944"/>
      <c r="C397" s="26"/>
      <c r="D397" s="26"/>
      <c r="E397" s="26"/>
    </row>
    <row r="398" spans="2:5" ht="15.75" customHeight="1" x14ac:dyDescent="0.3">
      <c r="B398" s="944"/>
      <c r="C398" s="26"/>
      <c r="D398" s="26"/>
      <c r="E398" s="26"/>
    </row>
    <row r="399" spans="2:5" ht="15.75" customHeight="1" x14ac:dyDescent="0.3">
      <c r="B399" s="944"/>
      <c r="C399" s="26"/>
      <c r="D399" s="26"/>
      <c r="E399" s="26"/>
    </row>
    <row r="400" spans="2:5" ht="15.75" customHeight="1" x14ac:dyDescent="0.3">
      <c r="B400" s="944"/>
      <c r="C400" s="26"/>
      <c r="D400" s="26"/>
      <c r="E400" s="26"/>
    </row>
    <row r="401" spans="2:5" ht="15.75" customHeight="1" x14ac:dyDescent="0.3">
      <c r="B401" s="944"/>
      <c r="C401" s="26"/>
      <c r="D401" s="26"/>
      <c r="E401" s="26"/>
    </row>
    <row r="402" spans="2:5" ht="15.75" customHeight="1" x14ac:dyDescent="0.3">
      <c r="B402" s="944"/>
      <c r="C402" s="26"/>
      <c r="D402" s="26"/>
      <c r="E402" s="26"/>
    </row>
    <row r="403" spans="2:5" ht="15.75" customHeight="1" x14ac:dyDescent="0.3">
      <c r="B403" s="944"/>
      <c r="C403" s="26"/>
      <c r="D403" s="26"/>
      <c r="E403" s="26"/>
    </row>
    <row r="404" spans="2:5" ht="15.75" customHeight="1" x14ac:dyDescent="0.3">
      <c r="B404" s="944"/>
      <c r="C404" s="26"/>
      <c r="D404" s="26"/>
      <c r="E404" s="26"/>
    </row>
    <row r="405" spans="2:5" ht="15.75" customHeight="1" x14ac:dyDescent="0.3">
      <c r="B405" s="944"/>
      <c r="C405" s="26"/>
      <c r="D405" s="26"/>
      <c r="E405" s="26"/>
    </row>
    <row r="406" spans="2:5" ht="15.75" customHeight="1" x14ac:dyDescent="0.3">
      <c r="B406" s="944"/>
      <c r="C406" s="26"/>
      <c r="D406" s="26"/>
      <c r="E406" s="26"/>
    </row>
    <row r="407" spans="2:5" ht="15.75" customHeight="1" x14ac:dyDescent="0.3">
      <c r="B407" s="944"/>
      <c r="C407" s="26"/>
      <c r="D407" s="26"/>
      <c r="E407" s="26"/>
    </row>
    <row r="408" spans="2:5" ht="15.75" customHeight="1" x14ac:dyDescent="0.3">
      <c r="B408" s="944"/>
      <c r="C408" s="26"/>
      <c r="D408" s="26"/>
      <c r="E408" s="26"/>
    </row>
    <row r="409" spans="2:5" ht="15.75" customHeight="1" x14ac:dyDescent="0.3">
      <c r="B409" s="944"/>
      <c r="C409" s="26"/>
      <c r="D409" s="26"/>
      <c r="E409" s="26"/>
    </row>
    <row r="410" spans="2:5" ht="15.75" customHeight="1" x14ac:dyDescent="0.3">
      <c r="B410" s="944"/>
      <c r="C410" s="26"/>
      <c r="D410" s="26"/>
      <c r="E410" s="26"/>
    </row>
    <row r="411" spans="2:5" ht="15.75" customHeight="1" x14ac:dyDescent="0.3">
      <c r="B411" s="944"/>
      <c r="C411" s="26"/>
      <c r="D411" s="26"/>
      <c r="E411" s="26"/>
    </row>
    <row r="412" spans="2:5" ht="15.75" customHeight="1" x14ac:dyDescent="0.3">
      <c r="B412" s="944"/>
      <c r="C412" s="26"/>
      <c r="D412" s="26"/>
      <c r="E412" s="26"/>
    </row>
    <row r="413" spans="2:5" ht="15.75" customHeight="1" x14ac:dyDescent="0.3">
      <c r="B413" s="944"/>
      <c r="C413" s="26"/>
      <c r="D413" s="26"/>
      <c r="E413" s="26"/>
    </row>
    <row r="414" spans="2:5" ht="15.75" customHeight="1" x14ac:dyDescent="0.3">
      <c r="B414" s="944"/>
      <c r="C414" s="26"/>
      <c r="D414" s="26"/>
      <c r="E414" s="26"/>
    </row>
    <row r="415" spans="2:5" ht="15.75" customHeight="1" x14ac:dyDescent="0.3">
      <c r="B415" s="944"/>
      <c r="C415" s="26"/>
      <c r="D415" s="26"/>
      <c r="E415" s="26"/>
    </row>
    <row r="416" spans="2:5" ht="15.75" customHeight="1" x14ac:dyDescent="0.3">
      <c r="B416" s="944"/>
      <c r="C416" s="26"/>
      <c r="D416" s="26"/>
      <c r="E416" s="26"/>
    </row>
    <row r="417" spans="2:5" ht="15.75" customHeight="1" x14ac:dyDescent="0.3">
      <c r="B417" s="944"/>
      <c r="C417" s="26"/>
      <c r="D417" s="26"/>
      <c r="E417" s="26"/>
    </row>
    <row r="418" spans="2:5" ht="15.75" customHeight="1" x14ac:dyDescent="0.3">
      <c r="B418" s="944"/>
      <c r="C418" s="26"/>
      <c r="D418" s="26"/>
      <c r="E418" s="26"/>
    </row>
    <row r="419" spans="2:5" ht="15.75" customHeight="1" x14ac:dyDescent="0.3">
      <c r="B419" s="944"/>
      <c r="C419" s="26"/>
      <c r="D419" s="26"/>
      <c r="E419" s="26"/>
    </row>
    <row r="420" spans="2:5" ht="15.75" customHeight="1" x14ac:dyDescent="0.3">
      <c r="B420" s="944"/>
      <c r="C420" s="26"/>
      <c r="D420" s="26"/>
      <c r="E420" s="26"/>
    </row>
    <row r="421" spans="2:5" ht="15.75" customHeight="1" x14ac:dyDescent="0.3">
      <c r="B421" s="944"/>
      <c r="C421" s="26"/>
      <c r="D421" s="26"/>
      <c r="E421" s="26"/>
    </row>
    <row r="422" spans="2:5" ht="15.75" customHeight="1" x14ac:dyDescent="0.3">
      <c r="B422" s="944"/>
      <c r="C422" s="26"/>
      <c r="D422" s="26"/>
      <c r="E422" s="26"/>
    </row>
    <row r="423" spans="2:5" ht="15.75" customHeight="1" x14ac:dyDescent="0.3">
      <c r="B423" s="944"/>
      <c r="C423" s="26"/>
      <c r="D423" s="26"/>
      <c r="E423" s="26"/>
    </row>
    <row r="424" spans="2:5" ht="15.75" customHeight="1" x14ac:dyDescent="0.3">
      <c r="B424" s="944"/>
      <c r="C424" s="26"/>
      <c r="D424" s="26"/>
      <c r="E424" s="26"/>
    </row>
    <row r="425" spans="2:5" ht="15.75" customHeight="1" x14ac:dyDescent="0.3">
      <c r="B425" s="944"/>
      <c r="C425" s="26"/>
      <c r="D425" s="26"/>
      <c r="E425" s="26"/>
    </row>
    <row r="426" spans="2:5" ht="15.75" customHeight="1" x14ac:dyDescent="0.3">
      <c r="B426" s="944"/>
      <c r="C426" s="26"/>
      <c r="D426" s="26"/>
      <c r="E426" s="26"/>
    </row>
    <row r="427" spans="2:5" ht="15.75" customHeight="1" x14ac:dyDescent="0.3">
      <c r="B427" s="944"/>
      <c r="C427" s="26"/>
      <c r="D427" s="26"/>
      <c r="E427" s="26"/>
    </row>
    <row r="428" spans="2:5" ht="15.75" customHeight="1" x14ac:dyDescent="0.3">
      <c r="B428" s="944"/>
      <c r="C428" s="26"/>
      <c r="D428" s="26"/>
      <c r="E428" s="26"/>
    </row>
    <row r="429" spans="2:5" ht="15.75" customHeight="1" x14ac:dyDescent="0.3">
      <c r="B429" s="944"/>
      <c r="C429" s="26"/>
      <c r="D429" s="26"/>
      <c r="E429" s="26"/>
    </row>
    <row r="430" spans="2:5" ht="15.75" customHeight="1" x14ac:dyDescent="0.3">
      <c r="B430" s="944"/>
      <c r="C430" s="26"/>
      <c r="D430" s="26"/>
      <c r="E430" s="26"/>
    </row>
    <row r="431" spans="2:5" ht="15.75" customHeight="1" x14ac:dyDescent="0.3">
      <c r="B431" s="944"/>
      <c r="C431" s="26"/>
      <c r="D431" s="26"/>
      <c r="E431" s="26"/>
    </row>
    <row r="432" spans="2:5" ht="15.75" customHeight="1" x14ac:dyDescent="0.3">
      <c r="B432" s="944"/>
      <c r="C432" s="26"/>
      <c r="D432" s="26"/>
      <c r="E432" s="26"/>
    </row>
    <row r="433" spans="2:5" ht="15.75" customHeight="1" x14ac:dyDescent="0.3">
      <c r="B433" s="944"/>
      <c r="C433" s="26"/>
      <c r="D433" s="26"/>
      <c r="E433" s="26"/>
    </row>
    <row r="434" spans="2:5" ht="15.75" customHeight="1" x14ac:dyDescent="0.3">
      <c r="B434" s="944"/>
      <c r="C434" s="26"/>
      <c r="D434" s="26"/>
      <c r="E434" s="26"/>
    </row>
    <row r="435" spans="2:5" ht="15.75" customHeight="1" x14ac:dyDescent="0.3">
      <c r="B435" s="944"/>
      <c r="C435" s="26"/>
      <c r="D435" s="26"/>
      <c r="E435" s="26"/>
    </row>
    <row r="436" spans="2:5" ht="15.75" customHeight="1" x14ac:dyDescent="0.3">
      <c r="B436" s="944"/>
      <c r="C436" s="26"/>
      <c r="D436" s="26"/>
      <c r="E436" s="26"/>
    </row>
    <row r="437" spans="2:5" ht="15.75" customHeight="1" x14ac:dyDescent="0.3">
      <c r="B437" s="944"/>
      <c r="C437" s="26"/>
      <c r="D437" s="26"/>
      <c r="E437" s="26"/>
    </row>
    <row r="438" spans="2:5" ht="15.75" customHeight="1" x14ac:dyDescent="0.3">
      <c r="B438" s="944"/>
      <c r="C438" s="26"/>
      <c r="D438" s="26"/>
      <c r="E438" s="26"/>
    </row>
    <row r="439" spans="2:5" ht="15.75" customHeight="1" x14ac:dyDescent="0.3">
      <c r="B439" s="944"/>
      <c r="C439" s="26"/>
      <c r="D439" s="26"/>
      <c r="E439" s="26"/>
    </row>
    <row r="440" spans="2:5" ht="15.75" customHeight="1" x14ac:dyDescent="0.3">
      <c r="B440" s="944"/>
      <c r="C440" s="26"/>
      <c r="D440" s="26"/>
      <c r="E440" s="26"/>
    </row>
    <row r="441" spans="2:5" ht="15.75" customHeight="1" x14ac:dyDescent="0.3">
      <c r="B441" s="944"/>
      <c r="C441" s="26"/>
      <c r="D441" s="26"/>
      <c r="E441" s="26"/>
    </row>
    <row r="442" spans="2:5" ht="15.75" customHeight="1" x14ac:dyDescent="0.3">
      <c r="B442" s="944"/>
      <c r="C442" s="26"/>
      <c r="D442" s="26"/>
      <c r="E442" s="26"/>
    </row>
    <row r="443" spans="2:5" ht="15.75" customHeight="1" x14ac:dyDescent="0.3">
      <c r="B443" s="944"/>
      <c r="C443" s="26"/>
      <c r="D443" s="26"/>
      <c r="E443" s="26"/>
    </row>
    <row r="444" spans="2:5" ht="15.75" customHeight="1" x14ac:dyDescent="0.3">
      <c r="B444" s="944"/>
      <c r="C444" s="26"/>
      <c r="D444" s="26"/>
      <c r="E444" s="26"/>
    </row>
    <row r="445" spans="2:5" ht="15.75" customHeight="1" x14ac:dyDescent="0.3">
      <c r="B445" s="944"/>
      <c r="C445" s="26"/>
      <c r="D445" s="26"/>
      <c r="E445" s="26"/>
    </row>
    <row r="446" spans="2:5" ht="15.75" customHeight="1" x14ac:dyDescent="0.3">
      <c r="B446" s="944"/>
      <c r="C446" s="26"/>
      <c r="D446" s="26"/>
      <c r="E446" s="26"/>
    </row>
    <row r="447" spans="2:5" ht="15.75" customHeight="1" x14ac:dyDescent="0.3">
      <c r="B447" s="944"/>
      <c r="C447" s="26"/>
      <c r="D447" s="26"/>
      <c r="E447" s="26"/>
    </row>
    <row r="448" spans="2:5" ht="15.75" customHeight="1" x14ac:dyDescent="0.3">
      <c r="B448" s="944"/>
      <c r="C448" s="26"/>
      <c r="D448" s="26"/>
      <c r="E448" s="26"/>
    </row>
    <row r="449" spans="2:5" ht="15.75" customHeight="1" x14ac:dyDescent="0.3">
      <c r="B449" s="944"/>
      <c r="C449" s="26"/>
      <c r="D449" s="26"/>
      <c r="E449" s="26"/>
    </row>
    <row r="450" spans="2:5" ht="15.75" customHeight="1" x14ac:dyDescent="0.3">
      <c r="B450" s="944"/>
      <c r="C450" s="26"/>
      <c r="D450" s="26"/>
      <c r="E450" s="26"/>
    </row>
    <row r="451" spans="2:5" ht="15.75" customHeight="1" x14ac:dyDescent="0.3">
      <c r="B451" s="944"/>
      <c r="C451" s="26"/>
      <c r="D451" s="26"/>
      <c r="E451" s="26"/>
    </row>
    <row r="452" spans="2:5" ht="15.75" customHeight="1" x14ac:dyDescent="0.3">
      <c r="B452" s="944"/>
      <c r="C452" s="26"/>
      <c r="D452" s="26"/>
      <c r="E452" s="26"/>
    </row>
    <row r="453" spans="2:5" ht="15.75" customHeight="1" x14ac:dyDescent="0.3">
      <c r="B453" s="944"/>
      <c r="C453" s="26"/>
      <c r="D453" s="26"/>
      <c r="E453" s="26"/>
    </row>
    <row r="454" spans="2:5" ht="15.75" customHeight="1" x14ac:dyDescent="0.3">
      <c r="B454" s="944"/>
      <c r="C454" s="26"/>
      <c r="D454" s="26"/>
      <c r="E454" s="26"/>
    </row>
    <row r="455" spans="2:5" ht="15.75" customHeight="1" x14ac:dyDescent="0.3">
      <c r="B455" s="944"/>
      <c r="C455" s="26"/>
      <c r="D455" s="26"/>
      <c r="E455" s="26"/>
    </row>
    <row r="456" spans="2:5" ht="15.75" customHeight="1" x14ac:dyDescent="0.3">
      <c r="B456" s="944"/>
      <c r="C456" s="26"/>
      <c r="D456" s="26"/>
      <c r="E456" s="26"/>
    </row>
    <row r="457" spans="2:5" ht="15.75" customHeight="1" x14ac:dyDescent="0.3">
      <c r="B457" s="944"/>
      <c r="C457" s="26"/>
      <c r="D457" s="26"/>
      <c r="E457" s="26"/>
    </row>
    <row r="458" spans="2:5" ht="15.75" customHeight="1" x14ac:dyDescent="0.3">
      <c r="B458" s="944"/>
      <c r="C458" s="26"/>
      <c r="D458" s="26"/>
      <c r="E458" s="26"/>
    </row>
    <row r="459" spans="2:5" ht="15.75" customHeight="1" x14ac:dyDescent="0.3">
      <c r="B459" s="944"/>
      <c r="C459" s="26"/>
      <c r="D459" s="26"/>
      <c r="E459" s="26"/>
    </row>
    <row r="460" spans="2:5" ht="15.75" customHeight="1" x14ac:dyDescent="0.3">
      <c r="B460" s="944"/>
      <c r="C460" s="26"/>
      <c r="D460" s="26"/>
      <c r="E460" s="26"/>
    </row>
    <row r="461" spans="2:5" ht="15.75" customHeight="1" x14ac:dyDescent="0.3">
      <c r="B461" s="944"/>
      <c r="C461" s="26"/>
      <c r="D461" s="26"/>
      <c r="E461" s="26"/>
    </row>
    <row r="462" spans="2:5" ht="15.75" customHeight="1" x14ac:dyDescent="0.3">
      <c r="B462" s="944"/>
      <c r="C462" s="26"/>
      <c r="D462" s="26"/>
      <c r="E462" s="26"/>
    </row>
    <row r="463" spans="2:5" ht="15.75" customHeight="1" x14ac:dyDescent="0.3">
      <c r="B463" s="944"/>
      <c r="C463" s="26"/>
      <c r="D463" s="26"/>
      <c r="E463" s="26"/>
    </row>
    <row r="464" spans="2:5" ht="15.75" customHeight="1" x14ac:dyDescent="0.3">
      <c r="B464" s="944"/>
      <c r="C464" s="26"/>
      <c r="D464" s="26"/>
      <c r="E464" s="26"/>
    </row>
    <row r="465" spans="2:5" ht="15.75" customHeight="1" x14ac:dyDescent="0.3">
      <c r="B465" s="944"/>
      <c r="C465" s="26"/>
      <c r="D465" s="26"/>
      <c r="E465" s="26"/>
    </row>
    <row r="466" spans="2:5" ht="15.75" customHeight="1" x14ac:dyDescent="0.3">
      <c r="B466" s="944"/>
      <c r="C466" s="26"/>
      <c r="D466" s="26"/>
      <c r="E466" s="26"/>
    </row>
    <row r="467" spans="2:5" ht="15.75" customHeight="1" x14ac:dyDescent="0.3">
      <c r="B467" s="944"/>
      <c r="C467" s="26"/>
      <c r="D467" s="26"/>
      <c r="E467" s="26"/>
    </row>
    <row r="468" spans="2:5" ht="15.75" customHeight="1" x14ac:dyDescent="0.3">
      <c r="B468" s="944"/>
      <c r="C468" s="26"/>
      <c r="D468" s="26"/>
      <c r="E468" s="26"/>
    </row>
    <row r="469" spans="2:5" ht="15.75" customHeight="1" x14ac:dyDescent="0.3">
      <c r="B469" s="944"/>
      <c r="C469" s="26"/>
      <c r="D469" s="26"/>
      <c r="E469" s="26"/>
    </row>
    <row r="470" spans="2:5" ht="15.75" customHeight="1" x14ac:dyDescent="0.3">
      <c r="B470" s="944"/>
      <c r="C470" s="26"/>
      <c r="D470" s="26"/>
      <c r="E470" s="26"/>
    </row>
    <row r="471" spans="2:5" ht="15.75" customHeight="1" x14ac:dyDescent="0.3">
      <c r="B471" s="944"/>
      <c r="C471" s="26"/>
      <c r="D471" s="26"/>
      <c r="E471" s="26"/>
    </row>
    <row r="472" spans="2:5" ht="15.75" customHeight="1" x14ac:dyDescent="0.3">
      <c r="B472" s="944"/>
      <c r="C472" s="26"/>
      <c r="D472" s="26"/>
      <c r="E472" s="26"/>
    </row>
    <row r="473" spans="2:5" ht="15.75" customHeight="1" x14ac:dyDescent="0.3">
      <c r="B473" s="944"/>
      <c r="C473" s="26"/>
      <c r="D473" s="26"/>
      <c r="E473" s="26"/>
    </row>
    <row r="474" spans="2:5" ht="15.75" customHeight="1" x14ac:dyDescent="0.3">
      <c r="B474" s="944"/>
      <c r="C474" s="26"/>
      <c r="D474" s="26"/>
      <c r="E474" s="26"/>
    </row>
    <row r="475" spans="2:5" ht="15.75" customHeight="1" x14ac:dyDescent="0.3">
      <c r="B475" s="944"/>
      <c r="C475" s="26"/>
      <c r="D475" s="26"/>
      <c r="E475" s="26"/>
    </row>
    <row r="476" spans="2:5" ht="15.75" customHeight="1" x14ac:dyDescent="0.3">
      <c r="B476" s="944"/>
      <c r="C476" s="26"/>
      <c r="D476" s="26"/>
      <c r="E476" s="26"/>
    </row>
    <row r="477" spans="2:5" ht="15.75" customHeight="1" x14ac:dyDescent="0.3">
      <c r="B477" s="944"/>
      <c r="C477" s="26"/>
      <c r="D477" s="26"/>
      <c r="E477" s="26"/>
    </row>
    <row r="478" spans="2:5" ht="15.75" customHeight="1" x14ac:dyDescent="0.3">
      <c r="B478" s="944"/>
      <c r="C478" s="26"/>
      <c r="D478" s="26"/>
      <c r="E478" s="26"/>
    </row>
    <row r="479" spans="2:5" ht="15.75" customHeight="1" x14ac:dyDescent="0.3">
      <c r="B479" s="944"/>
      <c r="C479" s="26"/>
      <c r="D479" s="26"/>
      <c r="E479" s="26"/>
    </row>
    <row r="480" spans="2:5" ht="15.75" customHeight="1" x14ac:dyDescent="0.3">
      <c r="B480" s="944"/>
      <c r="C480" s="26"/>
      <c r="D480" s="26"/>
      <c r="E480" s="26"/>
    </row>
    <row r="481" spans="2:5" ht="15.75" customHeight="1" x14ac:dyDescent="0.3">
      <c r="B481" s="944"/>
      <c r="C481" s="26"/>
      <c r="D481" s="26"/>
      <c r="E481" s="26"/>
    </row>
    <row r="482" spans="2:5" ht="15.75" customHeight="1" x14ac:dyDescent="0.3">
      <c r="B482" s="944"/>
      <c r="C482" s="26"/>
      <c r="D482" s="26"/>
      <c r="E482" s="26"/>
    </row>
    <row r="483" spans="2:5" ht="15.75" customHeight="1" x14ac:dyDescent="0.3">
      <c r="B483" s="944"/>
      <c r="C483" s="26"/>
      <c r="D483" s="26"/>
      <c r="E483" s="26"/>
    </row>
    <row r="484" spans="2:5" ht="15.75" customHeight="1" x14ac:dyDescent="0.3">
      <c r="B484" s="944"/>
      <c r="C484" s="26"/>
      <c r="D484" s="26"/>
      <c r="E484" s="26"/>
    </row>
    <row r="485" spans="2:5" ht="15.75" customHeight="1" x14ac:dyDescent="0.3">
      <c r="B485" s="944"/>
      <c r="C485" s="26"/>
      <c r="D485" s="26"/>
      <c r="E485" s="26"/>
    </row>
    <row r="486" spans="2:5" ht="15.75" customHeight="1" x14ac:dyDescent="0.3">
      <c r="B486" s="944"/>
      <c r="C486" s="26"/>
      <c r="D486" s="26"/>
      <c r="E486" s="26"/>
    </row>
    <row r="487" spans="2:5" ht="15.75" customHeight="1" x14ac:dyDescent="0.3">
      <c r="B487" s="944"/>
      <c r="C487" s="26"/>
      <c r="D487" s="26"/>
      <c r="E487" s="26"/>
    </row>
    <row r="488" spans="2:5" ht="15.75" customHeight="1" x14ac:dyDescent="0.3">
      <c r="B488" s="944"/>
      <c r="C488" s="26"/>
      <c r="D488" s="26"/>
      <c r="E488" s="26"/>
    </row>
    <row r="489" spans="2:5" ht="15.75" customHeight="1" x14ac:dyDescent="0.3">
      <c r="B489" s="944"/>
      <c r="C489" s="26"/>
      <c r="D489" s="26"/>
      <c r="E489" s="26"/>
    </row>
    <row r="490" spans="2:5" ht="15.75" customHeight="1" x14ac:dyDescent="0.3">
      <c r="B490" s="944"/>
      <c r="C490" s="26"/>
      <c r="D490" s="26"/>
      <c r="E490" s="26"/>
    </row>
    <row r="491" spans="2:5" ht="15.75" customHeight="1" x14ac:dyDescent="0.3">
      <c r="B491" s="944"/>
      <c r="C491" s="26"/>
      <c r="D491" s="26"/>
      <c r="E491" s="26"/>
    </row>
    <row r="492" spans="2:5" ht="15.75" customHeight="1" x14ac:dyDescent="0.3">
      <c r="B492" s="944"/>
      <c r="C492" s="26"/>
      <c r="D492" s="26"/>
      <c r="E492" s="26"/>
    </row>
    <row r="493" spans="2:5" ht="15.75" customHeight="1" x14ac:dyDescent="0.3">
      <c r="B493" s="944"/>
      <c r="C493" s="26"/>
      <c r="D493" s="26"/>
      <c r="E493" s="26"/>
    </row>
    <row r="494" spans="2:5" ht="15.75" customHeight="1" x14ac:dyDescent="0.3">
      <c r="B494" s="944"/>
      <c r="C494" s="26"/>
      <c r="D494" s="26"/>
      <c r="E494" s="26"/>
    </row>
    <row r="495" spans="2:5" ht="15.75" customHeight="1" x14ac:dyDescent="0.3">
      <c r="B495" s="944"/>
      <c r="C495" s="26"/>
      <c r="D495" s="26"/>
      <c r="E495" s="26"/>
    </row>
    <row r="496" spans="2:5" ht="15.75" customHeight="1" x14ac:dyDescent="0.3">
      <c r="B496" s="944"/>
      <c r="C496" s="26"/>
      <c r="D496" s="26"/>
      <c r="E496" s="26"/>
    </row>
    <row r="497" spans="2:5" ht="15.75" customHeight="1" x14ac:dyDescent="0.3">
      <c r="B497" s="944"/>
      <c r="C497" s="26"/>
      <c r="D497" s="26"/>
      <c r="E497" s="26"/>
    </row>
    <row r="498" spans="2:5" ht="15.75" customHeight="1" x14ac:dyDescent="0.3">
      <c r="B498" s="944"/>
      <c r="C498" s="26"/>
      <c r="D498" s="26"/>
      <c r="E498" s="26"/>
    </row>
    <row r="499" spans="2:5" ht="15.75" customHeight="1" x14ac:dyDescent="0.3">
      <c r="B499" s="944"/>
      <c r="C499" s="26"/>
      <c r="D499" s="26"/>
      <c r="E499" s="26"/>
    </row>
    <row r="500" spans="2:5" ht="15.75" customHeight="1" x14ac:dyDescent="0.3">
      <c r="B500" s="944"/>
      <c r="C500" s="26"/>
      <c r="D500" s="26"/>
      <c r="E500" s="26"/>
    </row>
    <row r="501" spans="2:5" ht="15.75" customHeight="1" x14ac:dyDescent="0.3">
      <c r="B501" s="944"/>
      <c r="C501" s="26"/>
      <c r="D501" s="26"/>
      <c r="E501" s="26"/>
    </row>
    <row r="502" spans="2:5" ht="15.75" customHeight="1" x14ac:dyDescent="0.3">
      <c r="B502" s="944"/>
      <c r="C502" s="26"/>
      <c r="D502" s="26"/>
      <c r="E502" s="26"/>
    </row>
    <row r="503" spans="2:5" ht="15.75" customHeight="1" x14ac:dyDescent="0.3">
      <c r="B503" s="944"/>
      <c r="C503" s="26"/>
      <c r="D503" s="26"/>
      <c r="E503" s="26"/>
    </row>
    <row r="504" spans="2:5" ht="15.75" customHeight="1" x14ac:dyDescent="0.3">
      <c r="B504" s="944"/>
      <c r="C504" s="26"/>
      <c r="D504" s="26"/>
      <c r="E504" s="26"/>
    </row>
    <row r="505" spans="2:5" ht="15.75" customHeight="1" x14ac:dyDescent="0.3">
      <c r="B505" s="944"/>
      <c r="C505" s="26"/>
      <c r="D505" s="26"/>
      <c r="E505" s="26"/>
    </row>
    <row r="506" spans="2:5" ht="15.75" customHeight="1" x14ac:dyDescent="0.3">
      <c r="B506" s="944"/>
      <c r="C506" s="26"/>
      <c r="D506" s="26"/>
      <c r="E506" s="26"/>
    </row>
    <row r="507" spans="2:5" ht="15.75" customHeight="1" x14ac:dyDescent="0.3">
      <c r="B507" s="944"/>
      <c r="C507" s="26"/>
      <c r="D507" s="26"/>
      <c r="E507" s="26"/>
    </row>
    <row r="508" spans="2:5" ht="15.75" customHeight="1" x14ac:dyDescent="0.3">
      <c r="B508" s="944"/>
      <c r="C508" s="26"/>
      <c r="D508" s="26"/>
      <c r="E508" s="26"/>
    </row>
    <row r="509" spans="2:5" ht="15.75" customHeight="1" x14ac:dyDescent="0.3">
      <c r="B509" s="944"/>
      <c r="C509" s="26"/>
      <c r="D509" s="26"/>
      <c r="E509" s="26"/>
    </row>
    <row r="510" spans="2:5" ht="15.75" customHeight="1" x14ac:dyDescent="0.3">
      <c r="B510" s="944"/>
      <c r="C510" s="26"/>
      <c r="D510" s="26"/>
      <c r="E510" s="26"/>
    </row>
    <row r="511" spans="2:5" ht="15.75" customHeight="1" x14ac:dyDescent="0.3">
      <c r="B511" s="944"/>
      <c r="C511" s="26"/>
      <c r="D511" s="26"/>
      <c r="E511" s="26"/>
    </row>
    <row r="512" spans="2:5" ht="15.75" customHeight="1" x14ac:dyDescent="0.3">
      <c r="B512" s="944"/>
      <c r="C512" s="26"/>
      <c r="D512" s="26"/>
      <c r="E512" s="26"/>
    </row>
    <row r="513" spans="2:5" ht="15.75" customHeight="1" x14ac:dyDescent="0.3">
      <c r="B513" s="944"/>
      <c r="C513" s="26"/>
      <c r="D513" s="26"/>
      <c r="E513" s="26"/>
    </row>
    <row r="514" spans="2:5" ht="15.75" customHeight="1" x14ac:dyDescent="0.3">
      <c r="B514" s="944"/>
      <c r="C514" s="26"/>
      <c r="D514" s="26"/>
      <c r="E514" s="26"/>
    </row>
    <row r="515" spans="2:5" ht="15.75" customHeight="1" x14ac:dyDescent="0.3">
      <c r="B515" s="944"/>
      <c r="C515" s="26"/>
      <c r="D515" s="26"/>
      <c r="E515" s="26"/>
    </row>
    <row r="516" spans="2:5" ht="15.75" customHeight="1" x14ac:dyDescent="0.3">
      <c r="B516" s="944"/>
      <c r="C516" s="26"/>
      <c r="D516" s="26"/>
      <c r="E516" s="26"/>
    </row>
    <row r="517" spans="2:5" ht="15.75" customHeight="1" x14ac:dyDescent="0.3">
      <c r="B517" s="944"/>
      <c r="C517" s="26"/>
      <c r="D517" s="26"/>
      <c r="E517" s="26"/>
    </row>
    <row r="518" spans="2:5" ht="15.75" customHeight="1" x14ac:dyDescent="0.3">
      <c r="B518" s="944"/>
      <c r="C518" s="26"/>
      <c r="D518" s="26"/>
      <c r="E518" s="26"/>
    </row>
    <row r="519" spans="2:5" ht="15.75" customHeight="1" x14ac:dyDescent="0.3">
      <c r="B519" s="944"/>
      <c r="C519" s="26"/>
      <c r="D519" s="26"/>
      <c r="E519" s="26"/>
    </row>
    <row r="520" spans="2:5" ht="15.75" customHeight="1" x14ac:dyDescent="0.3">
      <c r="B520" s="944"/>
      <c r="C520" s="26"/>
      <c r="D520" s="26"/>
      <c r="E520" s="26"/>
    </row>
    <row r="521" spans="2:5" ht="15.75" customHeight="1" x14ac:dyDescent="0.3">
      <c r="B521" s="944"/>
      <c r="C521" s="26"/>
      <c r="D521" s="26"/>
      <c r="E521" s="26"/>
    </row>
    <row r="522" spans="2:5" ht="15.75" customHeight="1" x14ac:dyDescent="0.3">
      <c r="B522" s="944"/>
      <c r="C522" s="26"/>
      <c r="D522" s="26"/>
      <c r="E522" s="26"/>
    </row>
    <row r="523" spans="2:5" ht="15.75" customHeight="1" x14ac:dyDescent="0.3">
      <c r="B523" s="944"/>
      <c r="C523" s="26"/>
      <c r="D523" s="26"/>
      <c r="E523" s="26"/>
    </row>
    <row r="524" spans="2:5" ht="15.75" customHeight="1" x14ac:dyDescent="0.3">
      <c r="B524" s="944"/>
      <c r="C524" s="26"/>
      <c r="D524" s="26"/>
      <c r="E524" s="26"/>
    </row>
    <row r="525" spans="2:5" ht="15.75" customHeight="1" x14ac:dyDescent="0.3">
      <c r="B525" s="944"/>
      <c r="C525" s="26"/>
      <c r="D525" s="26"/>
      <c r="E525" s="26"/>
    </row>
    <row r="526" spans="2:5" ht="15.75" customHeight="1" x14ac:dyDescent="0.3">
      <c r="B526" s="944"/>
      <c r="C526" s="26"/>
      <c r="D526" s="26"/>
      <c r="E526" s="26"/>
    </row>
    <row r="527" spans="2:5" ht="15.75" customHeight="1" x14ac:dyDescent="0.3">
      <c r="B527" s="944"/>
      <c r="C527" s="26"/>
      <c r="D527" s="26"/>
      <c r="E527" s="26"/>
    </row>
    <row r="528" spans="2:5" ht="15.75" customHeight="1" x14ac:dyDescent="0.3">
      <c r="B528" s="944"/>
      <c r="C528" s="26"/>
      <c r="D528" s="26"/>
      <c r="E528" s="26"/>
    </row>
    <row r="529" spans="2:5" ht="15.75" customHeight="1" x14ac:dyDescent="0.3">
      <c r="B529" s="944"/>
      <c r="C529" s="26"/>
      <c r="D529" s="26"/>
      <c r="E529" s="26"/>
    </row>
    <row r="530" spans="2:5" ht="15.75" customHeight="1" x14ac:dyDescent="0.3">
      <c r="B530" s="944"/>
      <c r="C530" s="26"/>
      <c r="D530" s="26"/>
      <c r="E530" s="26"/>
    </row>
    <row r="531" spans="2:5" ht="15.75" customHeight="1" x14ac:dyDescent="0.3">
      <c r="B531" s="944"/>
      <c r="C531" s="26"/>
      <c r="D531" s="26"/>
      <c r="E531" s="26"/>
    </row>
    <row r="532" spans="2:5" ht="15.75" customHeight="1" x14ac:dyDescent="0.3">
      <c r="B532" s="944"/>
      <c r="C532" s="26"/>
      <c r="D532" s="26"/>
      <c r="E532" s="26"/>
    </row>
    <row r="533" spans="2:5" ht="15.75" customHeight="1" x14ac:dyDescent="0.3">
      <c r="B533" s="944"/>
      <c r="C533" s="26"/>
      <c r="D533" s="26"/>
      <c r="E533" s="26"/>
    </row>
    <row r="534" spans="2:5" ht="15.75" customHeight="1" x14ac:dyDescent="0.3">
      <c r="B534" s="944"/>
      <c r="C534" s="26"/>
      <c r="D534" s="26"/>
      <c r="E534" s="26"/>
    </row>
    <row r="535" spans="2:5" ht="15.75" customHeight="1" x14ac:dyDescent="0.3">
      <c r="B535" s="944"/>
      <c r="C535" s="26"/>
      <c r="D535" s="26"/>
      <c r="E535" s="26"/>
    </row>
    <row r="536" spans="2:5" ht="15.75" customHeight="1" x14ac:dyDescent="0.3">
      <c r="B536" s="944"/>
      <c r="C536" s="26"/>
      <c r="D536" s="26"/>
      <c r="E536" s="26"/>
    </row>
    <row r="537" spans="2:5" ht="15.75" customHeight="1" x14ac:dyDescent="0.3">
      <c r="B537" s="944"/>
      <c r="C537" s="26"/>
      <c r="D537" s="26"/>
      <c r="E537" s="26"/>
    </row>
    <row r="538" spans="2:5" ht="15.75" customHeight="1" x14ac:dyDescent="0.3">
      <c r="B538" s="944"/>
      <c r="C538" s="26"/>
      <c r="D538" s="26"/>
      <c r="E538" s="26"/>
    </row>
    <row r="539" spans="2:5" ht="15.75" customHeight="1" x14ac:dyDescent="0.3">
      <c r="B539" s="944"/>
      <c r="C539" s="26"/>
      <c r="D539" s="26"/>
      <c r="E539" s="26"/>
    </row>
    <row r="540" spans="2:5" ht="15.75" customHeight="1" x14ac:dyDescent="0.3">
      <c r="B540" s="944"/>
      <c r="C540" s="26"/>
      <c r="D540" s="26"/>
      <c r="E540" s="26"/>
    </row>
    <row r="541" spans="2:5" ht="15.75" customHeight="1" x14ac:dyDescent="0.3">
      <c r="B541" s="944"/>
      <c r="C541" s="26"/>
      <c r="D541" s="26"/>
      <c r="E541" s="26"/>
    </row>
    <row r="542" spans="2:5" ht="15.75" customHeight="1" x14ac:dyDescent="0.3">
      <c r="B542" s="944"/>
      <c r="C542" s="26"/>
      <c r="D542" s="26"/>
      <c r="E542" s="26"/>
    </row>
    <row r="543" spans="2:5" ht="15.75" customHeight="1" x14ac:dyDescent="0.3">
      <c r="B543" s="944"/>
      <c r="C543" s="26"/>
      <c r="D543" s="26"/>
      <c r="E543" s="26"/>
    </row>
    <row r="544" spans="2:5" ht="15.75" customHeight="1" x14ac:dyDescent="0.3">
      <c r="B544" s="944"/>
      <c r="C544" s="26"/>
      <c r="D544" s="26"/>
      <c r="E544" s="26"/>
    </row>
    <row r="545" spans="2:5" ht="15.75" customHeight="1" x14ac:dyDescent="0.3">
      <c r="B545" s="944"/>
      <c r="C545" s="26"/>
      <c r="D545" s="26"/>
      <c r="E545" s="26"/>
    </row>
    <row r="546" spans="2:5" ht="15.75" customHeight="1" x14ac:dyDescent="0.3">
      <c r="B546" s="944"/>
      <c r="C546" s="26"/>
      <c r="D546" s="26"/>
      <c r="E546" s="26"/>
    </row>
    <row r="547" spans="2:5" ht="15.75" customHeight="1" x14ac:dyDescent="0.3">
      <c r="B547" s="944"/>
      <c r="C547" s="26"/>
      <c r="D547" s="26"/>
      <c r="E547" s="26"/>
    </row>
    <row r="548" spans="2:5" ht="15.75" customHeight="1" x14ac:dyDescent="0.3">
      <c r="B548" s="944"/>
      <c r="C548" s="26"/>
      <c r="D548" s="26"/>
      <c r="E548" s="26"/>
    </row>
    <row r="549" spans="2:5" ht="15.75" customHeight="1" x14ac:dyDescent="0.3">
      <c r="B549" s="944"/>
      <c r="C549" s="26"/>
      <c r="D549" s="26"/>
      <c r="E549" s="26"/>
    </row>
    <row r="550" spans="2:5" ht="15.75" customHeight="1" x14ac:dyDescent="0.3">
      <c r="B550" s="944"/>
      <c r="C550" s="26"/>
      <c r="D550" s="26"/>
      <c r="E550" s="26"/>
    </row>
    <row r="551" spans="2:5" ht="15.75" customHeight="1" x14ac:dyDescent="0.3">
      <c r="B551" s="944"/>
      <c r="C551" s="26"/>
      <c r="D551" s="26"/>
      <c r="E551" s="26"/>
    </row>
    <row r="552" spans="2:5" ht="15.75" customHeight="1" x14ac:dyDescent="0.3">
      <c r="B552" s="944"/>
      <c r="C552" s="26"/>
      <c r="D552" s="26"/>
      <c r="E552" s="26"/>
    </row>
    <row r="553" spans="2:5" ht="15.75" customHeight="1" x14ac:dyDescent="0.3">
      <c r="B553" s="944"/>
      <c r="C553" s="26"/>
      <c r="D553" s="26"/>
      <c r="E553" s="26"/>
    </row>
    <row r="554" spans="2:5" ht="15.75" customHeight="1" x14ac:dyDescent="0.3">
      <c r="B554" s="944"/>
      <c r="C554" s="26"/>
      <c r="D554" s="26"/>
      <c r="E554" s="26"/>
    </row>
    <row r="555" spans="2:5" ht="15.75" customHeight="1" x14ac:dyDescent="0.3">
      <c r="B555" s="944"/>
      <c r="C555" s="26"/>
      <c r="D555" s="26"/>
      <c r="E555" s="26"/>
    </row>
    <row r="556" spans="2:5" ht="15.75" customHeight="1" x14ac:dyDescent="0.3">
      <c r="B556" s="944"/>
      <c r="C556" s="26"/>
      <c r="D556" s="26"/>
      <c r="E556" s="26"/>
    </row>
    <row r="557" spans="2:5" ht="15.75" customHeight="1" x14ac:dyDescent="0.3">
      <c r="B557" s="944"/>
      <c r="C557" s="26"/>
      <c r="D557" s="26"/>
      <c r="E557" s="26"/>
    </row>
    <row r="558" spans="2:5" ht="15.75" customHeight="1" x14ac:dyDescent="0.3">
      <c r="B558" s="944"/>
      <c r="C558" s="26"/>
      <c r="D558" s="26"/>
      <c r="E558" s="26"/>
    </row>
    <row r="559" spans="2:5" ht="15.75" customHeight="1" x14ac:dyDescent="0.3">
      <c r="B559" s="944"/>
      <c r="C559" s="26"/>
      <c r="D559" s="26"/>
      <c r="E559" s="26"/>
    </row>
    <row r="560" spans="2:5" ht="15.75" customHeight="1" x14ac:dyDescent="0.3">
      <c r="B560" s="944"/>
      <c r="C560" s="26"/>
      <c r="D560" s="26"/>
      <c r="E560" s="26"/>
    </row>
    <row r="561" spans="2:5" ht="15.75" customHeight="1" x14ac:dyDescent="0.3">
      <c r="B561" s="944"/>
      <c r="C561" s="26"/>
      <c r="D561" s="26"/>
      <c r="E561" s="26"/>
    </row>
    <row r="562" spans="2:5" ht="15.75" customHeight="1" x14ac:dyDescent="0.3">
      <c r="B562" s="944"/>
      <c r="C562" s="26"/>
      <c r="D562" s="26"/>
      <c r="E562" s="26"/>
    </row>
    <row r="563" spans="2:5" ht="15.75" customHeight="1" x14ac:dyDescent="0.3">
      <c r="B563" s="944"/>
      <c r="C563" s="26"/>
      <c r="D563" s="26"/>
      <c r="E563" s="26"/>
    </row>
    <row r="564" spans="2:5" ht="15.75" customHeight="1" x14ac:dyDescent="0.3">
      <c r="B564" s="944"/>
      <c r="C564" s="26"/>
      <c r="D564" s="26"/>
      <c r="E564" s="26"/>
    </row>
    <row r="565" spans="2:5" ht="15.75" customHeight="1" x14ac:dyDescent="0.3">
      <c r="B565" s="944"/>
      <c r="C565" s="26"/>
      <c r="D565" s="26"/>
      <c r="E565" s="26"/>
    </row>
    <row r="566" spans="2:5" ht="15.75" customHeight="1" x14ac:dyDescent="0.3">
      <c r="B566" s="944"/>
      <c r="C566" s="26"/>
      <c r="D566" s="26"/>
      <c r="E566" s="26"/>
    </row>
    <row r="567" spans="2:5" ht="15.75" customHeight="1" x14ac:dyDescent="0.3">
      <c r="B567" s="944"/>
      <c r="C567" s="26"/>
      <c r="D567" s="26"/>
      <c r="E567" s="26"/>
    </row>
    <row r="568" spans="2:5" ht="15.75" customHeight="1" x14ac:dyDescent="0.3">
      <c r="B568" s="944"/>
      <c r="C568" s="26"/>
      <c r="D568" s="26"/>
      <c r="E568" s="26"/>
    </row>
    <row r="569" spans="2:5" ht="15.75" customHeight="1" x14ac:dyDescent="0.3">
      <c r="B569" s="944"/>
      <c r="C569" s="26"/>
      <c r="D569" s="26"/>
      <c r="E569" s="26"/>
    </row>
    <row r="570" spans="2:5" ht="15.75" customHeight="1" x14ac:dyDescent="0.3">
      <c r="B570" s="944"/>
      <c r="C570" s="26"/>
      <c r="D570" s="26"/>
      <c r="E570" s="26"/>
    </row>
    <row r="571" spans="2:5" ht="15.75" customHeight="1" x14ac:dyDescent="0.3">
      <c r="B571" s="944"/>
      <c r="C571" s="26"/>
      <c r="D571" s="26"/>
      <c r="E571" s="26"/>
    </row>
    <row r="572" spans="2:5" ht="15.75" customHeight="1" x14ac:dyDescent="0.3">
      <c r="B572" s="944"/>
      <c r="C572" s="26"/>
      <c r="D572" s="26"/>
      <c r="E572" s="26"/>
    </row>
    <row r="573" spans="2:5" ht="15.75" customHeight="1" x14ac:dyDescent="0.3">
      <c r="B573" s="944"/>
      <c r="C573" s="26"/>
      <c r="D573" s="26"/>
      <c r="E573" s="26"/>
    </row>
    <row r="574" spans="2:5" ht="15.75" customHeight="1" x14ac:dyDescent="0.3">
      <c r="B574" s="944"/>
      <c r="C574" s="26"/>
      <c r="D574" s="26"/>
      <c r="E574" s="26"/>
    </row>
    <row r="575" spans="2:5" ht="15.75" customHeight="1" x14ac:dyDescent="0.3">
      <c r="B575" s="944"/>
      <c r="C575" s="26"/>
      <c r="D575" s="26"/>
      <c r="E575" s="26"/>
    </row>
    <row r="576" spans="2:5" ht="15.75" customHeight="1" x14ac:dyDescent="0.3">
      <c r="B576" s="944"/>
      <c r="C576" s="26"/>
      <c r="D576" s="26"/>
      <c r="E576" s="26"/>
    </row>
    <row r="577" spans="2:5" ht="15.75" customHeight="1" x14ac:dyDescent="0.3">
      <c r="B577" s="944"/>
      <c r="C577" s="26"/>
      <c r="D577" s="26"/>
      <c r="E577" s="26"/>
    </row>
    <row r="578" spans="2:5" ht="15.75" customHeight="1" x14ac:dyDescent="0.3">
      <c r="B578" s="944"/>
      <c r="C578" s="26"/>
      <c r="D578" s="26"/>
      <c r="E578" s="26"/>
    </row>
    <row r="579" spans="2:5" ht="15.75" customHeight="1" x14ac:dyDescent="0.3">
      <c r="B579" s="944"/>
      <c r="C579" s="26"/>
      <c r="D579" s="26"/>
      <c r="E579" s="26"/>
    </row>
    <row r="580" spans="2:5" ht="15.75" customHeight="1" x14ac:dyDescent="0.3">
      <c r="B580" s="944"/>
      <c r="C580" s="26"/>
      <c r="D580" s="26"/>
      <c r="E580" s="26"/>
    </row>
    <row r="581" spans="2:5" ht="15.75" customHeight="1" x14ac:dyDescent="0.3">
      <c r="B581" s="944"/>
      <c r="C581" s="26"/>
      <c r="D581" s="26"/>
      <c r="E581" s="26"/>
    </row>
    <row r="582" spans="2:5" ht="15.75" customHeight="1" x14ac:dyDescent="0.3">
      <c r="B582" s="944"/>
      <c r="C582" s="26"/>
      <c r="D582" s="26"/>
      <c r="E582" s="26"/>
    </row>
    <row r="583" spans="2:5" ht="15.75" customHeight="1" x14ac:dyDescent="0.3">
      <c r="B583" s="944"/>
      <c r="C583" s="26"/>
      <c r="D583" s="26"/>
      <c r="E583" s="26"/>
    </row>
    <row r="584" spans="2:5" ht="15.75" customHeight="1" x14ac:dyDescent="0.3">
      <c r="B584" s="944"/>
      <c r="C584" s="26"/>
      <c r="D584" s="26"/>
      <c r="E584" s="26"/>
    </row>
    <row r="585" spans="2:5" ht="15.75" customHeight="1" x14ac:dyDescent="0.3">
      <c r="B585" s="944"/>
      <c r="C585" s="26"/>
      <c r="D585" s="26"/>
      <c r="E585" s="26"/>
    </row>
    <row r="586" spans="2:5" ht="15.75" customHeight="1" x14ac:dyDescent="0.3">
      <c r="B586" s="944"/>
      <c r="C586" s="26"/>
      <c r="D586" s="26"/>
      <c r="E586" s="26"/>
    </row>
    <row r="587" spans="2:5" ht="15.75" customHeight="1" x14ac:dyDescent="0.3">
      <c r="B587" s="944"/>
      <c r="C587" s="26"/>
      <c r="D587" s="26"/>
      <c r="E587" s="26"/>
    </row>
    <row r="588" spans="2:5" ht="15.75" customHeight="1" x14ac:dyDescent="0.3">
      <c r="B588" s="944"/>
      <c r="C588" s="26"/>
      <c r="D588" s="26"/>
      <c r="E588" s="26"/>
    </row>
    <row r="589" spans="2:5" ht="15.75" customHeight="1" x14ac:dyDescent="0.3">
      <c r="B589" s="944"/>
      <c r="C589" s="26"/>
      <c r="D589" s="26"/>
      <c r="E589" s="26"/>
    </row>
    <row r="590" spans="2:5" ht="15.75" customHeight="1" x14ac:dyDescent="0.3">
      <c r="B590" s="944"/>
      <c r="C590" s="26"/>
      <c r="D590" s="26"/>
      <c r="E590" s="26"/>
    </row>
    <row r="591" spans="2:5" ht="15.75" customHeight="1" x14ac:dyDescent="0.3">
      <c r="B591" s="944"/>
      <c r="C591" s="26"/>
      <c r="D591" s="26"/>
      <c r="E591" s="26"/>
    </row>
    <row r="592" spans="2:5" ht="15.75" customHeight="1" x14ac:dyDescent="0.3">
      <c r="B592" s="944"/>
      <c r="C592" s="26"/>
      <c r="D592" s="26"/>
      <c r="E592" s="26"/>
    </row>
    <row r="593" spans="2:5" ht="15.75" customHeight="1" x14ac:dyDescent="0.3">
      <c r="B593" s="944"/>
      <c r="C593" s="26"/>
      <c r="D593" s="26"/>
      <c r="E593" s="26"/>
    </row>
    <row r="594" spans="2:5" ht="15.75" customHeight="1" x14ac:dyDescent="0.3">
      <c r="B594" s="944"/>
      <c r="C594" s="26"/>
      <c r="D594" s="26"/>
      <c r="E594" s="26"/>
    </row>
    <row r="595" spans="2:5" ht="15.75" customHeight="1" x14ac:dyDescent="0.3">
      <c r="B595" s="944"/>
      <c r="C595" s="26"/>
      <c r="D595" s="26"/>
      <c r="E595" s="26"/>
    </row>
    <row r="596" spans="2:5" ht="15.75" customHeight="1" x14ac:dyDescent="0.3">
      <c r="B596" s="944"/>
      <c r="C596" s="26"/>
      <c r="D596" s="26"/>
      <c r="E596" s="26"/>
    </row>
    <row r="597" spans="2:5" ht="15.75" customHeight="1" x14ac:dyDescent="0.3">
      <c r="B597" s="944"/>
      <c r="C597" s="26"/>
      <c r="D597" s="26"/>
      <c r="E597" s="26"/>
    </row>
    <row r="598" spans="2:5" ht="15.75" customHeight="1" x14ac:dyDescent="0.3">
      <c r="B598" s="944"/>
      <c r="C598" s="26"/>
      <c r="D598" s="26"/>
      <c r="E598" s="26"/>
    </row>
    <row r="599" spans="2:5" ht="15.75" customHeight="1" x14ac:dyDescent="0.3">
      <c r="B599" s="944"/>
      <c r="C599" s="26"/>
      <c r="D599" s="26"/>
      <c r="E599" s="26"/>
    </row>
    <row r="600" spans="2:5" ht="15.75" customHeight="1" x14ac:dyDescent="0.3">
      <c r="B600" s="944"/>
      <c r="C600" s="26"/>
      <c r="D600" s="26"/>
      <c r="E600" s="26"/>
    </row>
    <row r="601" spans="2:5" ht="15.75" customHeight="1" x14ac:dyDescent="0.3">
      <c r="B601" s="944"/>
      <c r="C601" s="26"/>
      <c r="D601" s="26"/>
      <c r="E601" s="26"/>
    </row>
    <row r="602" spans="2:5" ht="15.75" customHeight="1" x14ac:dyDescent="0.3">
      <c r="B602" s="944"/>
      <c r="C602" s="26"/>
      <c r="D602" s="26"/>
      <c r="E602" s="26"/>
    </row>
    <row r="603" spans="2:5" ht="15.75" customHeight="1" x14ac:dyDescent="0.3">
      <c r="B603" s="944"/>
      <c r="C603" s="26"/>
      <c r="D603" s="26"/>
      <c r="E603" s="26"/>
    </row>
    <row r="604" spans="2:5" ht="15.75" customHeight="1" x14ac:dyDescent="0.3">
      <c r="B604" s="944"/>
      <c r="C604" s="26"/>
      <c r="D604" s="26"/>
      <c r="E604" s="26"/>
    </row>
    <row r="605" spans="2:5" ht="15.75" customHeight="1" x14ac:dyDescent="0.3">
      <c r="B605" s="944"/>
      <c r="C605" s="26"/>
      <c r="D605" s="26"/>
      <c r="E605" s="26"/>
    </row>
    <row r="606" spans="2:5" ht="15.75" customHeight="1" x14ac:dyDescent="0.3">
      <c r="B606" s="944"/>
      <c r="C606" s="26"/>
      <c r="D606" s="26"/>
      <c r="E606" s="26"/>
    </row>
    <row r="607" spans="2:5" ht="15.75" customHeight="1" x14ac:dyDescent="0.3">
      <c r="B607" s="944"/>
      <c r="C607" s="26"/>
      <c r="D607" s="26"/>
      <c r="E607" s="26"/>
    </row>
    <row r="608" spans="2:5" ht="15.75" customHeight="1" x14ac:dyDescent="0.3">
      <c r="B608" s="944"/>
      <c r="C608" s="26"/>
      <c r="D608" s="26"/>
      <c r="E608" s="26"/>
    </row>
    <row r="609" spans="2:5" ht="15.75" customHeight="1" x14ac:dyDescent="0.3">
      <c r="B609" s="944"/>
      <c r="C609" s="26"/>
      <c r="D609" s="26"/>
      <c r="E609" s="26"/>
    </row>
    <row r="610" spans="2:5" ht="15.75" customHeight="1" x14ac:dyDescent="0.3">
      <c r="B610" s="944"/>
      <c r="C610" s="26"/>
      <c r="D610" s="26"/>
      <c r="E610" s="26"/>
    </row>
    <row r="611" spans="2:5" ht="15.75" customHeight="1" x14ac:dyDescent="0.3">
      <c r="B611" s="944"/>
      <c r="C611" s="26"/>
      <c r="D611" s="26"/>
      <c r="E611" s="26"/>
    </row>
    <row r="612" spans="2:5" ht="15.75" customHeight="1" x14ac:dyDescent="0.3">
      <c r="B612" s="944"/>
      <c r="C612" s="26"/>
      <c r="D612" s="26"/>
      <c r="E612" s="26"/>
    </row>
    <row r="613" spans="2:5" ht="15.75" customHeight="1" x14ac:dyDescent="0.3">
      <c r="B613" s="944"/>
      <c r="C613" s="26"/>
      <c r="D613" s="26"/>
      <c r="E613" s="26"/>
    </row>
    <row r="614" spans="2:5" ht="15.75" customHeight="1" x14ac:dyDescent="0.3">
      <c r="B614" s="944"/>
      <c r="C614" s="26"/>
      <c r="D614" s="26"/>
      <c r="E614" s="26"/>
    </row>
    <row r="615" spans="2:5" ht="15.75" customHeight="1" x14ac:dyDescent="0.3">
      <c r="B615" s="944"/>
      <c r="C615" s="26"/>
      <c r="D615" s="26"/>
      <c r="E615" s="26"/>
    </row>
    <row r="616" spans="2:5" ht="15.75" customHeight="1" x14ac:dyDescent="0.3">
      <c r="B616" s="944"/>
      <c r="C616" s="26"/>
      <c r="D616" s="26"/>
      <c r="E616" s="26"/>
    </row>
    <row r="617" spans="2:5" ht="15.75" customHeight="1" x14ac:dyDescent="0.3">
      <c r="B617" s="944"/>
      <c r="C617" s="26"/>
      <c r="D617" s="26"/>
      <c r="E617" s="26"/>
    </row>
    <row r="618" spans="2:5" ht="15.75" customHeight="1" x14ac:dyDescent="0.3">
      <c r="B618" s="944"/>
      <c r="C618" s="26"/>
      <c r="D618" s="26"/>
      <c r="E618" s="26"/>
    </row>
    <row r="619" spans="2:5" ht="15.75" customHeight="1" x14ac:dyDescent="0.3">
      <c r="B619" s="944"/>
      <c r="C619" s="26"/>
      <c r="D619" s="26"/>
      <c r="E619" s="26"/>
    </row>
    <row r="620" spans="2:5" ht="15.75" customHeight="1" x14ac:dyDescent="0.3">
      <c r="B620" s="944"/>
      <c r="C620" s="26"/>
      <c r="D620" s="26"/>
      <c r="E620" s="26"/>
    </row>
    <row r="621" spans="2:5" ht="15.75" customHeight="1" x14ac:dyDescent="0.3">
      <c r="B621" s="944"/>
      <c r="C621" s="26"/>
      <c r="D621" s="26"/>
      <c r="E621" s="26"/>
    </row>
    <row r="622" spans="2:5" ht="15.75" customHeight="1" x14ac:dyDescent="0.3">
      <c r="B622" s="944"/>
      <c r="C622" s="26"/>
      <c r="D622" s="26"/>
      <c r="E622" s="26"/>
    </row>
    <row r="623" spans="2:5" ht="15.75" customHeight="1" x14ac:dyDescent="0.3">
      <c r="B623" s="944"/>
      <c r="C623" s="26"/>
      <c r="D623" s="26"/>
      <c r="E623" s="26"/>
    </row>
    <row r="624" spans="2:5" ht="15.75" customHeight="1" x14ac:dyDescent="0.3">
      <c r="B624" s="944"/>
      <c r="C624" s="26"/>
      <c r="D624" s="26"/>
      <c r="E624" s="26"/>
    </row>
    <row r="625" spans="2:5" ht="15.75" customHeight="1" x14ac:dyDescent="0.3">
      <c r="B625" s="944"/>
      <c r="C625" s="26"/>
      <c r="D625" s="26"/>
      <c r="E625" s="26"/>
    </row>
    <row r="626" spans="2:5" ht="15.75" customHeight="1" x14ac:dyDescent="0.3">
      <c r="B626" s="944"/>
      <c r="C626" s="26"/>
      <c r="D626" s="26"/>
      <c r="E626" s="26"/>
    </row>
    <row r="627" spans="2:5" ht="15.75" customHeight="1" x14ac:dyDescent="0.3">
      <c r="B627" s="944"/>
      <c r="C627" s="26"/>
      <c r="D627" s="26"/>
      <c r="E627" s="26"/>
    </row>
    <row r="628" spans="2:5" ht="15.75" customHeight="1" x14ac:dyDescent="0.3">
      <c r="B628" s="944"/>
      <c r="C628" s="26"/>
      <c r="D628" s="26"/>
      <c r="E628" s="26"/>
    </row>
    <row r="629" spans="2:5" ht="15.75" customHeight="1" x14ac:dyDescent="0.3">
      <c r="B629" s="944"/>
      <c r="C629" s="26"/>
      <c r="D629" s="26"/>
      <c r="E629" s="26"/>
    </row>
    <row r="630" spans="2:5" ht="15.75" customHeight="1" x14ac:dyDescent="0.3">
      <c r="B630" s="944"/>
      <c r="C630" s="26"/>
      <c r="D630" s="26"/>
      <c r="E630" s="26"/>
    </row>
    <row r="631" spans="2:5" ht="15.75" customHeight="1" x14ac:dyDescent="0.3">
      <c r="B631" s="944"/>
      <c r="C631" s="26"/>
      <c r="D631" s="26"/>
      <c r="E631" s="26"/>
    </row>
    <row r="632" spans="2:5" ht="15.75" customHeight="1" x14ac:dyDescent="0.3">
      <c r="B632" s="944"/>
      <c r="C632" s="26"/>
      <c r="D632" s="26"/>
      <c r="E632" s="26"/>
    </row>
    <row r="633" spans="2:5" ht="15.75" customHeight="1" x14ac:dyDescent="0.3">
      <c r="B633" s="944"/>
      <c r="C633" s="26"/>
      <c r="D633" s="26"/>
      <c r="E633" s="26"/>
    </row>
    <row r="634" spans="2:5" ht="15.75" customHeight="1" x14ac:dyDescent="0.3">
      <c r="B634" s="944"/>
      <c r="C634" s="26"/>
      <c r="D634" s="26"/>
      <c r="E634" s="26"/>
    </row>
    <row r="635" spans="2:5" ht="15.75" customHeight="1" x14ac:dyDescent="0.3">
      <c r="B635" s="944"/>
      <c r="C635" s="26"/>
      <c r="D635" s="26"/>
      <c r="E635" s="26"/>
    </row>
    <row r="636" spans="2:5" ht="15.75" customHeight="1" x14ac:dyDescent="0.3">
      <c r="B636" s="944"/>
      <c r="C636" s="26"/>
      <c r="D636" s="26"/>
      <c r="E636" s="26"/>
    </row>
    <row r="637" spans="2:5" ht="15.75" customHeight="1" x14ac:dyDescent="0.3">
      <c r="B637" s="944"/>
      <c r="C637" s="26"/>
      <c r="D637" s="26"/>
      <c r="E637" s="26"/>
    </row>
    <row r="638" spans="2:5" ht="15.75" customHeight="1" x14ac:dyDescent="0.3">
      <c r="B638" s="944"/>
      <c r="C638" s="26"/>
      <c r="D638" s="26"/>
      <c r="E638" s="26"/>
    </row>
    <row r="639" spans="2:5" ht="15.75" customHeight="1" x14ac:dyDescent="0.3">
      <c r="B639" s="944"/>
      <c r="C639" s="26"/>
      <c r="D639" s="26"/>
      <c r="E639" s="26"/>
    </row>
    <row r="640" spans="2:5" ht="15.75" customHeight="1" x14ac:dyDescent="0.3">
      <c r="B640" s="944"/>
      <c r="C640" s="26"/>
      <c r="D640" s="26"/>
      <c r="E640" s="26"/>
    </row>
    <row r="641" spans="2:5" ht="15.75" customHeight="1" x14ac:dyDescent="0.3">
      <c r="B641" s="944"/>
      <c r="C641" s="26"/>
      <c r="D641" s="26"/>
      <c r="E641" s="26"/>
    </row>
    <row r="642" spans="2:5" ht="15.75" customHeight="1" x14ac:dyDescent="0.3">
      <c r="B642" s="944"/>
      <c r="C642" s="26"/>
      <c r="D642" s="26"/>
      <c r="E642" s="26"/>
    </row>
    <row r="643" spans="2:5" ht="15.75" customHeight="1" x14ac:dyDescent="0.3">
      <c r="B643" s="944"/>
      <c r="C643" s="26"/>
      <c r="D643" s="26"/>
      <c r="E643" s="26"/>
    </row>
    <row r="644" spans="2:5" ht="15.75" customHeight="1" x14ac:dyDescent="0.3">
      <c r="B644" s="944"/>
      <c r="C644" s="26"/>
      <c r="D644" s="26"/>
      <c r="E644" s="26"/>
    </row>
    <row r="645" spans="2:5" ht="15.75" customHeight="1" x14ac:dyDescent="0.3">
      <c r="B645" s="944"/>
      <c r="C645" s="26"/>
      <c r="D645" s="26"/>
      <c r="E645" s="26"/>
    </row>
    <row r="646" spans="2:5" ht="15.75" customHeight="1" x14ac:dyDescent="0.3">
      <c r="B646" s="944"/>
      <c r="C646" s="26"/>
      <c r="D646" s="26"/>
      <c r="E646" s="26"/>
    </row>
    <row r="647" spans="2:5" ht="15.75" customHeight="1" x14ac:dyDescent="0.3">
      <c r="B647" s="944"/>
      <c r="C647" s="26"/>
      <c r="D647" s="26"/>
      <c r="E647" s="26"/>
    </row>
    <row r="648" spans="2:5" ht="15.75" customHeight="1" x14ac:dyDescent="0.3">
      <c r="B648" s="944"/>
      <c r="C648" s="26"/>
      <c r="D648" s="26"/>
      <c r="E648" s="26"/>
    </row>
    <row r="649" spans="2:5" ht="15.75" customHeight="1" x14ac:dyDescent="0.3">
      <c r="B649" s="944"/>
      <c r="C649" s="26"/>
      <c r="D649" s="26"/>
      <c r="E649" s="26"/>
    </row>
    <row r="650" spans="2:5" ht="15.75" customHeight="1" x14ac:dyDescent="0.3">
      <c r="B650" s="944"/>
      <c r="C650" s="26"/>
      <c r="D650" s="26"/>
      <c r="E650" s="26"/>
    </row>
    <row r="651" spans="2:5" ht="15.75" customHeight="1" x14ac:dyDescent="0.3">
      <c r="B651" s="944"/>
      <c r="C651" s="26"/>
      <c r="D651" s="26"/>
      <c r="E651" s="26"/>
    </row>
    <row r="652" spans="2:5" ht="15.75" customHeight="1" x14ac:dyDescent="0.3">
      <c r="B652" s="944"/>
      <c r="C652" s="26"/>
      <c r="D652" s="26"/>
      <c r="E652" s="26"/>
    </row>
    <row r="653" spans="2:5" ht="15.75" customHeight="1" x14ac:dyDescent="0.3">
      <c r="B653" s="944"/>
      <c r="C653" s="26"/>
      <c r="D653" s="26"/>
      <c r="E653" s="26"/>
    </row>
    <row r="654" spans="2:5" ht="15.75" customHeight="1" x14ac:dyDescent="0.3">
      <c r="B654" s="944"/>
      <c r="C654" s="26"/>
      <c r="D654" s="26"/>
      <c r="E654" s="26"/>
    </row>
    <row r="655" spans="2:5" ht="15.75" customHeight="1" x14ac:dyDescent="0.3">
      <c r="B655" s="944"/>
      <c r="C655" s="26"/>
      <c r="D655" s="26"/>
      <c r="E655" s="26"/>
    </row>
    <row r="656" spans="2:5" ht="15.75" customHeight="1" x14ac:dyDescent="0.3">
      <c r="B656" s="944"/>
      <c r="C656" s="26"/>
      <c r="D656" s="26"/>
      <c r="E656" s="26"/>
    </row>
    <row r="657" spans="2:5" ht="15.75" customHeight="1" x14ac:dyDescent="0.3">
      <c r="B657" s="944"/>
      <c r="C657" s="26"/>
      <c r="D657" s="26"/>
      <c r="E657" s="26"/>
    </row>
    <row r="658" spans="2:5" ht="15.75" customHeight="1" x14ac:dyDescent="0.3">
      <c r="B658" s="944"/>
      <c r="C658" s="26"/>
      <c r="D658" s="26"/>
      <c r="E658" s="26"/>
    </row>
    <row r="659" spans="2:5" ht="15.75" customHeight="1" x14ac:dyDescent="0.3">
      <c r="B659" s="944"/>
      <c r="C659" s="26"/>
      <c r="D659" s="26"/>
      <c r="E659" s="26"/>
    </row>
    <row r="660" spans="2:5" ht="15.75" customHeight="1" x14ac:dyDescent="0.3">
      <c r="B660" s="944"/>
      <c r="C660" s="26"/>
      <c r="D660" s="26"/>
      <c r="E660" s="26"/>
    </row>
    <row r="661" spans="2:5" ht="15.75" customHeight="1" x14ac:dyDescent="0.3">
      <c r="B661" s="944"/>
      <c r="C661" s="26"/>
      <c r="D661" s="26"/>
      <c r="E661" s="26"/>
    </row>
    <row r="662" spans="2:5" ht="15.75" customHeight="1" x14ac:dyDescent="0.3">
      <c r="B662" s="944"/>
      <c r="C662" s="26"/>
      <c r="D662" s="26"/>
      <c r="E662" s="26"/>
    </row>
    <row r="663" spans="2:5" ht="15.75" customHeight="1" x14ac:dyDescent="0.3">
      <c r="B663" s="944"/>
      <c r="C663" s="26"/>
      <c r="D663" s="26"/>
      <c r="E663" s="26"/>
    </row>
    <row r="664" spans="2:5" ht="15.75" customHeight="1" x14ac:dyDescent="0.3">
      <c r="B664" s="944"/>
      <c r="C664" s="26"/>
      <c r="D664" s="26"/>
      <c r="E664" s="26"/>
    </row>
    <row r="665" spans="2:5" ht="15.75" customHeight="1" x14ac:dyDescent="0.3">
      <c r="B665" s="944"/>
      <c r="C665" s="26"/>
      <c r="D665" s="26"/>
      <c r="E665" s="26"/>
    </row>
    <row r="666" spans="2:5" ht="15.75" customHeight="1" x14ac:dyDescent="0.3">
      <c r="B666" s="944"/>
      <c r="C666" s="26"/>
      <c r="D666" s="26"/>
      <c r="E666" s="26"/>
    </row>
    <row r="667" spans="2:5" ht="15.75" customHeight="1" x14ac:dyDescent="0.3">
      <c r="B667" s="944"/>
      <c r="C667" s="26"/>
      <c r="D667" s="26"/>
      <c r="E667" s="26"/>
    </row>
    <row r="668" spans="2:5" ht="15.75" customHeight="1" x14ac:dyDescent="0.3">
      <c r="B668" s="944"/>
      <c r="C668" s="26"/>
      <c r="D668" s="26"/>
      <c r="E668" s="26"/>
    </row>
    <row r="669" spans="2:5" ht="15.75" customHeight="1" x14ac:dyDescent="0.3">
      <c r="B669" s="944"/>
      <c r="C669" s="26"/>
      <c r="D669" s="26"/>
      <c r="E669" s="26"/>
    </row>
    <row r="670" spans="2:5" ht="15.75" customHeight="1" x14ac:dyDescent="0.3">
      <c r="B670" s="944"/>
      <c r="C670" s="26"/>
      <c r="D670" s="26"/>
      <c r="E670" s="26"/>
    </row>
    <row r="671" spans="2:5" ht="15.75" customHeight="1" x14ac:dyDescent="0.3">
      <c r="B671" s="944"/>
      <c r="C671" s="26"/>
      <c r="D671" s="26"/>
      <c r="E671" s="26"/>
    </row>
    <row r="672" spans="2:5" ht="15.75" customHeight="1" x14ac:dyDescent="0.3">
      <c r="B672" s="944"/>
      <c r="C672" s="26"/>
      <c r="D672" s="26"/>
      <c r="E672" s="26"/>
    </row>
    <row r="673" spans="2:5" ht="15.75" customHeight="1" x14ac:dyDescent="0.3">
      <c r="B673" s="944"/>
      <c r="C673" s="26"/>
      <c r="D673" s="26"/>
      <c r="E673" s="26"/>
    </row>
    <row r="674" spans="2:5" ht="15.75" customHeight="1" x14ac:dyDescent="0.3">
      <c r="B674" s="944"/>
      <c r="C674" s="26"/>
      <c r="D674" s="26"/>
      <c r="E674" s="26"/>
    </row>
    <row r="675" spans="2:5" ht="15.75" customHeight="1" x14ac:dyDescent="0.3">
      <c r="B675" s="944"/>
      <c r="C675" s="26"/>
      <c r="D675" s="26"/>
      <c r="E675" s="26"/>
    </row>
    <row r="676" spans="2:5" ht="15.75" customHeight="1" x14ac:dyDescent="0.3">
      <c r="B676" s="944"/>
      <c r="C676" s="26"/>
      <c r="D676" s="26"/>
      <c r="E676" s="26"/>
    </row>
    <row r="677" spans="2:5" ht="15.75" customHeight="1" x14ac:dyDescent="0.3">
      <c r="B677" s="944"/>
      <c r="C677" s="26"/>
      <c r="D677" s="26"/>
      <c r="E677" s="26"/>
    </row>
    <row r="678" spans="2:5" ht="15.75" customHeight="1" x14ac:dyDescent="0.3">
      <c r="B678" s="944"/>
      <c r="C678" s="26"/>
      <c r="D678" s="26"/>
      <c r="E678" s="26"/>
    </row>
    <row r="679" spans="2:5" ht="15.75" customHeight="1" x14ac:dyDescent="0.3">
      <c r="B679" s="944"/>
      <c r="C679" s="26"/>
      <c r="D679" s="26"/>
      <c r="E679" s="26"/>
    </row>
    <row r="680" spans="2:5" ht="15.75" customHeight="1" x14ac:dyDescent="0.3">
      <c r="B680" s="944"/>
      <c r="C680" s="26"/>
      <c r="D680" s="26"/>
      <c r="E680" s="26"/>
    </row>
    <row r="681" spans="2:5" ht="15.75" customHeight="1" x14ac:dyDescent="0.3">
      <c r="B681" s="944"/>
      <c r="C681" s="26"/>
      <c r="D681" s="26"/>
      <c r="E681" s="26"/>
    </row>
    <row r="682" spans="2:5" ht="15.75" customHeight="1" x14ac:dyDescent="0.3">
      <c r="B682" s="944"/>
      <c r="C682" s="26"/>
      <c r="D682" s="26"/>
      <c r="E682" s="26"/>
    </row>
    <row r="683" spans="2:5" ht="15.75" customHeight="1" x14ac:dyDescent="0.3">
      <c r="B683" s="944"/>
      <c r="C683" s="26"/>
      <c r="D683" s="26"/>
      <c r="E683" s="26"/>
    </row>
    <row r="684" spans="2:5" ht="15.75" customHeight="1" x14ac:dyDescent="0.3">
      <c r="B684" s="944"/>
      <c r="C684" s="26"/>
      <c r="D684" s="26"/>
      <c r="E684" s="26"/>
    </row>
    <row r="685" spans="2:5" ht="15.75" customHeight="1" x14ac:dyDescent="0.3">
      <c r="B685" s="944"/>
      <c r="C685" s="26"/>
      <c r="D685" s="26"/>
      <c r="E685" s="26"/>
    </row>
    <row r="686" spans="2:5" ht="15.75" customHeight="1" x14ac:dyDescent="0.3">
      <c r="B686" s="944"/>
      <c r="C686" s="26"/>
      <c r="D686" s="26"/>
      <c r="E686" s="26"/>
    </row>
    <row r="687" spans="2:5" ht="15.75" customHeight="1" x14ac:dyDescent="0.3">
      <c r="B687" s="944"/>
      <c r="C687" s="26"/>
      <c r="D687" s="26"/>
      <c r="E687" s="26"/>
    </row>
    <row r="688" spans="2:5" ht="15.75" customHeight="1" x14ac:dyDescent="0.3">
      <c r="B688" s="944"/>
      <c r="C688" s="26"/>
      <c r="D688" s="26"/>
      <c r="E688" s="26"/>
    </row>
    <row r="689" spans="2:5" ht="15.75" customHeight="1" x14ac:dyDescent="0.3">
      <c r="B689" s="944"/>
      <c r="C689" s="26"/>
      <c r="D689" s="26"/>
      <c r="E689" s="26"/>
    </row>
    <row r="690" spans="2:5" ht="15.75" customHeight="1" x14ac:dyDescent="0.3">
      <c r="B690" s="944"/>
      <c r="C690" s="26"/>
      <c r="D690" s="26"/>
      <c r="E690" s="26"/>
    </row>
    <row r="691" spans="2:5" ht="15.75" customHeight="1" x14ac:dyDescent="0.3">
      <c r="B691" s="944"/>
      <c r="C691" s="26"/>
      <c r="D691" s="26"/>
      <c r="E691" s="26"/>
    </row>
    <row r="692" spans="2:5" ht="15.75" customHeight="1" x14ac:dyDescent="0.3">
      <c r="B692" s="944"/>
      <c r="C692" s="26"/>
      <c r="D692" s="26"/>
      <c r="E692" s="26"/>
    </row>
    <row r="693" spans="2:5" ht="15.75" customHeight="1" x14ac:dyDescent="0.3">
      <c r="B693" s="944"/>
      <c r="C693" s="26"/>
      <c r="D693" s="26"/>
      <c r="E693" s="26"/>
    </row>
    <row r="694" spans="2:5" ht="15.75" customHeight="1" x14ac:dyDescent="0.3">
      <c r="B694" s="944"/>
      <c r="C694" s="26"/>
      <c r="D694" s="26"/>
      <c r="E694" s="26"/>
    </row>
    <row r="695" spans="2:5" ht="15.75" customHeight="1" x14ac:dyDescent="0.3">
      <c r="B695" s="944"/>
      <c r="C695" s="26"/>
      <c r="D695" s="26"/>
      <c r="E695" s="26"/>
    </row>
    <row r="696" spans="2:5" ht="15.75" customHeight="1" x14ac:dyDescent="0.3">
      <c r="B696" s="944"/>
      <c r="C696" s="26"/>
      <c r="D696" s="26"/>
      <c r="E696" s="26"/>
    </row>
    <row r="697" spans="2:5" ht="15.75" customHeight="1" x14ac:dyDescent="0.3">
      <c r="B697" s="944"/>
      <c r="C697" s="26"/>
      <c r="D697" s="26"/>
      <c r="E697" s="26"/>
    </row>
    <row r="698" spans="2:5" ht="15.75" customHeight="1" x14ac:dyDescent="0.3">
      <c r="B698" s="944"/>
      <c r="C698" s="26"/>
      <c r="D698" s="26"/>
      <c r="E698" s="26"/>
    </row>
    <row r="699" spans="2:5" ht="15.75" customHeight="1" x14ac:dyDescent="0.3">
      <c r="B699" s="944"/>
      <c r="C699" s="26"/>
      <c r="D699" s="26"/>
      <c r="E699" s="26"/>
    </row>
    <row r="700" spans="2:5" ht="15.75" customHeight="1" x14ac:dyDescent="0.3">
      <c r="B700" s="944"/>
      <c r="C700" s="26"/>
      <c r="D700" s="26"/>
      <c r="E700" s="26"/>
    </row>
    <row r="701" spans="2:5" ht="15.75" customHeight="1" x14ac:dyDescent="0.3">
      <c r="B701" s="944"/>
      <c r="C701" s="26"/>
      <c r="D701" s="26"/>
      <c r="E701" s="26"/>
    </row>
    <row r="702" spans="2:5" ht="15.75" customHeight="1" x14ac:dyDescent="0.3">
      <c r="B702" s="944"/>
      <c r="C702" s="26"/>
      <c r="D702" s="26"/>
      <c r="E702" s="26"/>
    </row>
    <row r="703" spans="2:5" ht="15.75" customHeight="1" x14ac:dyDescent="0.3">
      <c r="B703" s="944"/>
      <c r="C703" s="26"/>
      <c r="D703" s="26"/>
      <c r="E703" s="26"/>
    </row>
    <row r="704" spans="2:5" ht="15.75" customHeight="1" x14ac:dyDescent="0.3">
      <c r="B704" s="944"/>
      <c r="C704" s="26"/>
      <c r="D704" s="26"/>
      <c r="E704" s="26"/>
    </row>
    <row r="705" spans="2:5" ht="15.75" customHeight="1" x14ac:dyDescent="0.3">
      <c r="B705" s="944"/>
      <c r="C705" s="26"/>
      <c r="D705" s="26"/>
      <c r="E705" s="26"/>
    </row>
    <row r="706" spans="2:5" ht="15.75" customHeight="1" x14ac:dyDescent="0.3">
      <c r="B706" s="944"/>
      <c r="C706" s="26"/>
      <c r="D706" s="26"/>
      <c r="E706" s="26"/>
    </row>
    <row r="707" spans="2:5" ht="15.75" customHeight="1" x14ac:dyDescent="0.3">
      <c r="B707" s="944"/>
      <c r="C707" s="26"/>
      <c r="D707" s="26"/>
      <c r="E707" s="26"/>
    </row>
    <row r="708" spans="2:5" ht="15.75" customHeight="1" x14ac:dyDescent="0.3">
      <c r="B708" s="944"/>
      <c r="C708" s="26"/>
      <c r="D708" s="26"/>
      <c r="E708" s="26"/>
    </row>
    <row r="709" spans="2:5" ht="15.75" customHeight="1" x14ac:dyDescent="0.3">
      <c r="B709" s="944"/>
      <c r="C709" s="26"/>
      <c r="D709" s="26"/>
      <c r="E709" s="26"/>
    </row>
    <row r="710" spans="2:5" ht="15.75" customHeight="1" x14ac:dyDescent="0.3">
      <c r="B710" s="944"/>
      <c r="C710" s="26"/>
      <c r="D710" s="26"/>
      <c r="E710" s="26"/>
    </row>
    <row r="711" spans="2:5" ht="15.75" customHeight="1" x14ac:dyDescent="0.3">
      <c r="B711" s="944"/>
      <c r="C711" s="26"/>
      <c r="D711" s="26"/>
      <c r="E711" s="26"/>
    </row>
    <row r="712" spans="2:5" ht="15.75" customHeight="1" x14ac:dyDescent="0.3">
      <c r="B712" s="944"/>
      <c r="C712" s="26"/>
      <c r="D712" s="26"/>
      <c r="E712" s="26"/>
    </row>
    <row r="713" spans="2:5" ht="15.75" customHeight="1" x14ac:dyDescent="0.3">
      <c r="B713" s="944"/>
      <c r="C713" s="26"/>
      <c r="D713" s="26"/>
      <c r="E713" s="26"/>
    </row>
    <row r="714" spans="2:5" ht="15.75" customHeight="1" x14ac:dyDescent="0.3">
      <c r="B714" s="944"/>
      <c r="C714" s="26"/>
      <c r="D714" s="26"/>
      <c r="E714" s="26"/>
    </row>
    <row r="715" spans="2:5" ht="15.75" customHeight="1" x14ac:dyDescent="0.3">
      <c r="B715" s="944"/>
      <c r="C715" s="26"/>
      <c r="D715" s="26"/>
      <c r="E715" s="26"/>
    </row>
    <row r="716" spans="2:5" ht="15.75" customHeight="1" x14ac:dyDescent="0.3">
      <c r="B716" s="944"/>
      <c r="C716" s="26"/>
      <c r="D716" s="26"/>
      <c r="E716" s="26"/>
    </row>
    <row r="717" spans="2:5" ht="15.75" customHeight="1" x14ac:dyDescent="0.3">
      <c r="B717" s="944"/>
      <c r="C717" s="26"/>
      <c r="D717" s="26"/>
      <c r="E717" s="26"/>
    </row>
    <row r="718" spans="2:5" ht="15.75" customHeight="1" x14ac:dyDescent="0.3">
      <c r="B718" s="944"/>
      <c r="C718" s="26"/>
      <c r="D718" s="26"/>
      <c r="E718" s="26"/>
    </row>
    <row r="719" spans="2:5" ht="15.75" customHeight="1" x14ac:dyDescent="0.3">
      <c r="B719" s="944"/>
      <c r="C719" s="26"/>
      <c r="D719" s="26"/>
      <c r="E719" s="26"/>
    </row>
    <row r="720" spans="2:5" ht="15.75" customHeight="1" x14ac:dyDescent="0.3">
      <c r="B720" s="944"/>
      <c r="C720" s="26"/>
      <c r="D720" s="26"/>
      <c r="E720" s="26"/>
    </row>
    <row r="721" spans="2:5" ht="15.75" customHeight="1" x14ac:dyDescent="0.3">
      <c r="B721" s="944"/>
      <c r="C721" s="26"/>
      <c r="D721" s="26"/>
      <c r="E721" s="26"/>
    </row>
    <row r="722" spans="2:5" ht="15.75" customHeight="1" x14ac:dyDescent="0.3">
      <c r="B722" s="944"/>
      <c r="C722" s="26"/>
      <c r="D722" s="26"/>
      <c r="E722" s="26"/>
    </row>
    <row r="723" spans="2:5" ht="15.75" customHeight="1" x14ac:dyDescent="0.3">
      <c r="B723" s="944"/>
      <c r="C723" s="26"/>
      <c r="D723" s="26"/>
      <c r="E723" s="26"/>
    </row>
    <row r="724" spans="2:5" ht="15.75" customHeight="1" x14ac:dyDescent="0.3">
      <c r="B724" s="944"/>
      <c r="C724" s="26"/>
      <c r="D724" s="26"/>
      <c r="E724" s="26"/>
    </row>
    <row r="725" spans="2:5" ht="15.75" customHeight="1" x14ac:dyDescent="0.3">
      <c r="B725" s="944"/>
      <c r="C725" s="26"/>
      <c r="D725" s="26"/>
      <c r="E725" s="26"/>
    </row>
    <row r="726" spans="2:5" ht="15.75" customHeight="1" x14ac:dyDescent="0.3">
      <c r="B726" s="944"/>
      <c r="C726" s="26"/>
      <c r="D726" s="26"/>
      <c r="E726" s="26"/>
    </row>
    <row r="727" spans="2:5" ht="15.75" customHeight="1" x14ac:dyDescent="0.3">
      <c r="B727" s="944"/>
      <c r="C727" s="26"/>
      <c r="D727" s="26"/>
      <c r="E727" s="26"/>
    </row>
    <row r="728" spans="2:5" ht="15.75" customHeight="1" x14ac:dyDescent="0.3">
      <c r="B728" s="944"/>
      <c r="C728" s="26"/>
      <c r="D728" s="26"/>
      <c r="E728" s="26"/>
    </row>
    <row r="729" spans="2:5" ht="15.75" customHeight="1" x14ac:dyDescent="0.3">
      <c r="B729" s="944"/>
      <c r="C729" s="26"/>
      <c r="D729" s="26"/>
      <c r="E729" s="26"/>
    </row>
    <row r="730" spans="2:5" ht="15.75" customHeight="1" x14ac:dyDescent="0.3">
      <c r="B730" s="944"/>
      <c r="C730" s="26"/>
      <c r="D730" s="26"/>
      <c r="E730" s="26"/>
    </row>
    <row r="731" spans="2:5" ht="15.75" customHeight="1" x14ac:dyDescent="0.3">
      <c r="B731" s="944"/>
      <c r="C731" s="26"/>
      <c r="D731" s="26"/>
      <c r="E731" s="26"/>
    </row>
    <row r="732" spans="2:5" ht="15.75" customHeight="1" x14ac:dyDescent="0.3">
      <c r="B732" s="944"/>
      <c r="C732" s="26"/>
      <c r="D732" s="26"/>
      <c r="E732" s="26"/>
    </row>
    <row r="733" spans="2:5" ht="15.75" customHeight="1" x14ac:dyDescent="0.3">
      <c r="B733" s="944"/>
      <c r="C733" s="26"/>
      <c r="D733" s="26"/>
      <c r="E733" s="26"/>
    </row>
    <row r="734" spans="2:5" ht="15.75" customHeight="1" x14ac:dyDescent="0.3">
      <c r="B734" s="944"/>
      <c r="C734" s="26"/>
      <c r="D734" s="26"/>
      <c r="E734" s="26"/>
    </row>
    <row r="735" spans="2:5" ht="15.75" customHeight="1" x14ac:dyDescent="0.3">
      <c r="B735" s="944"/>
      <c r="C735" s="26"/>
      <c r="D735" s="26"/>
      <c r="E735" s="26"/>
    </row>
    <row r="736" spans="2:5" ht="15.75" customHeight="1" x14ac:dyDescent="0.3">
      <c r="B736" s="944"/>
      <c r="C736" s="26"/>
      <c r="D736" s="26"/>
      <c r="E736" s="26"/>
    </row>
    <row r="737" spans="2:5" ht="15.75" customHeight="1" x14ac:dyDescent="0.3">
      <c r="B737" s="944"/>
      <c r="C737" s="26"/>
      <c r="D737" s="26"/>
      <c r="E737" s="26"/>
    </row>
    <row r="738" spans="2:5" ht="15.75" customHeight="1" x14ac:dyDescent="0.3">
      <c r="B738" s="944"/>
      <c r="C738" s="26"/>
      <c r="D738" s="26"/>
      <c r="E738" s="26"/>
    </row>
    <row r="739" spans="2:5" ht="15.75" customHeight="1" x14ac:dyDescent="0.3">
      <c r="B739" s="944"/>
      <c r="C739" s="26"/>
      <c r="D739" s="26"/>
      <c r="E739" s="26"/>
    </row>
    <row r="740" spans="2:5" ht="15.75" customHeight="1" x14ac:dyDescent="0.3">
      <c r="B740" s="944"/>
      <c r="C740" s="26"/>
      <c r="D740" s="26"/>
      <c r="E740" s="26"/>
    </row>
    <row r="741" spans="2:5" ht="15.75" customHeight="1" x14ac:dyDescent="0.3">
      <c r="B741" s="944"/>
      <c r="C741" s="26"/>
      <c r="D741" s="26"/>
      <c r="E741" s="26"/>
    </row>
    <row r="742" spans="2:5" ht="15.75" customHeight="1" x14ac:dyDescent="0.3">
      <c r="B742" s="944"/>
      <c r="C742" s="26"/>
      <c r="D742" s="26"/>
      <c r="E742" s="26"/>
    </row>
    <row r="743" spans="2:5" ht="15.75" customHeight="1" x14ac:dyDescent="0.3">
      <c r="B743" s="944"/>
      <c r="C743" s="26"/>
      <c r="D743" s="26"/>
      <c r="E743" s="26"/>
    </row>
    <row r="744" spans="2:5" ht="15.75" customHeight="1" x14ac:dyDescent="0.3">
      <c r="B744" s="944"/>
      <c r="C744" s="26"/>
      <c r="D744" s="26"/>
      <c r="E744" s="26"/>
    </row>
    <row r="745" spans="2:5" ht="15.75" customHeight="1" x14ac:dyDescent="0.3">
      <c r="B745" s="944"/>
      <c r="C745" s="26"/>
      <c r="D745" s="26"/>
      <c r="E745" s="26"/>
    </row>
    <row r="746" spans="2:5" ht="15.75" customHeight="1" x14ac:dyDescent="0.3">
      <c r="B746" s="944"/>
      <c r="C746" s="26"/>
      <c r="D746" s="26"/>
      <c r="E746" s="26"/>
    </row>
    <row r="747" spans="2:5" ht="15.75" customHeight="1" x14ac:dyDescent="0.3">
      <c r="B747" s="944"/>
      <c r="C747" s="26"/>
      <c r="D747" s="26"/>
      <c r="E747" s="26"/>
    </row>
    <row r="748" spans="2:5" ht="15.75" customHeight="1" x14ac:dyDescent="0.3">
      <c r="B748" s="944"/>
      <c r="C748" s="26"/>
      <c r="D748" s="26"/>
      <c r="E748" s="26"/>
    </row>
    <row r="749" spans="2:5" ht="15.75" customHeight="1" x14ac:dyDescent="0.3">
      <c r="B749" s="944"/>
      <c r="C749" s="26"/>
      <c r="D749" s="26"/>
      <c r="E749" s="26"/>
    </row>
    <row r="750" spans="2:5" ht="15.75" customHeight="1" x14ac:dyDescent="0.3">
      <c r="B750" s="944"/>
      <c r="C750" s="26"/>
      <c r="D750" s="26"/>
      <c r="E750" s="26"/>
    </row>
    <row r="751" spans="2:5" ht="15.75" customHeight="1" x14ac:dyDescent="0.3">
      <c r="B751" s="944"/>
      <c r="C751" s="26"/>
      <c r="D751" s="26"/>
      <c r="E751" s="26"/>
    </row>
    <row r="752" spans="2:5" ht="15.75" customHeight="1" x14ac:dyDescent="0.3">
      <c r="B752" s="944"/>
      <c r="C752" s="26"/>
      <c r="D752" s="26"/>
      <c r="E752" s="26"/>
    </row>
    <row r="753" spans="2:5" ht="15.75" customHeight="1" x14ac:dyDescent="0.3">
      <c r="B753" s="944"/>
      <c r="C753" s="26"/>
      <c r="D753" s="26"/>
      <c r="E753" s="26"/>
    </row>
    <row r="754" spans="2:5" ht="15.75" customHeight="1" x14ac:dyDescent="0.3">
      <c r="B754" s="944"/>
      <c r="C754" s="26"/>
      <c r="D754" s="26"/>
      <c r="E754" s="26"/>
    </row>
    <row r="755" spans="2:5" ht="15.75" customHeight="1" x14ac:dyDescent="0.3">
      <c r="B755" s="944"/>
      <c r="C755" s="26"/>
      <c r="D755" s="26"/>
      <c r="E755" s="26"/>
    </row>
    <row r="756" spans="2:5" ht="15.75" customHeight="1" x14ac:dyDescent="0.3">
      <c r="B756" s="944"/>
      <c r="C756" s="26"/>
      <c r="D756" s="26"/>
      <c r="E756" s="26"/>
    </row>
    <row r="757" spans="2:5" ht="15.75" customHeight="1" x14ac:dyDescent="0.3">
      <c r="B757" s="944"/>
      <c r="C757" s="26"/>
      <c r="D757" s="26"/>
      <c r="E757" s="26"/>
    </row>
    <row r="758" spans="2:5" ht="15.75" customHeight="1" x14ac:dyDescent="0.3">
      <c r="B758" s="944"/>
      <c r="C758" s="26"/>
      <c r="D758" s="26"/>
      <c r="E758" s="26"/>
    </row>
    <row r="759" spans="2:5" ht="15.75" customHeight="1" x14ac:dyDescent="0.3">
      <c r="B759" s="944"/>
      <c r="C759" s="26"/>
      <c r="D759" s="26"/>
      <c r="E759" s="26"/>
    </row>
    <row r="760" spans="2:5" ht="15.75" customHeight="1" x14ac:dyDescent="0.3">
      <c r="B760" s="944"/>
      <c r="C760" s="26"/>
      <c r="D760" s="26"/>
      <c r="E760" s="26"/>
    </row>
    <row r="761" spans="2:5" ht="15.75" customHeight="1" x14ac:dyDescent="0.3">
      <c r="B761" s="944"/>
      <c r="C761" s="26"/>
      <c r="D761" s="26"/>
      <c r="E761" s="26"/>
    </row>
    <row r="762" spans="2:5" ht="15.75" customHeight="1" x14ac:dyDescent="0.3">
      <c r="B762" s="944"/>
      <c r="C762" s="26"/>
      <c r="D762" s="26"/>
      <c r="E762" s="26"/>
    </row>
    <row r="763" spans="2:5" ht="15.75" customHeight="1" x14ac:dyDescent="0.3">
      <c r="B763" s="944"/>
      <c r="C763" s="26"/>
      <c r="D763" s="26"/>
      <c r="E763" s="26"/>
    </row>
    <row r="764" spans="2:5" ht="15.75" customHeight="1" x14ac:dyDescent="0.3">
      <c r="B764" s="944"/>
      <c r="C764" s="26"/>
      <c r="D764" s="26"/>
      <c r="E764" s="26"/>
    </row>
    <row r="765" spans="2:5" ht="15.75" customHeight="1" x14ac:dyDescent="0.3">
      <c r="B765" s="944"/>
      <c r="C765" s="26"/>
      <c r="D765" s="26"/>
      <c r="E765" s="26"/>
    </row>
    <row r="766" spans="2:5" ht="15.75" customHeight="1" x14ac:dyDescent="0.3">
      <c r="B766" s="944"/>
      <c r="C766" s="26"/>
      <c r="D766" s="26"/>
      <c r="E766" s="26"/>
    </row>
    <row r="767" spans="2:5" ht="15.75" customHeight="1" x14ac:dyDescent="0.3">
      <c r="B767" s="944"/>
      <c r="C767" s="26"/>
      <c r="D767" s="26"/>
      <c r="E767" s="26"/>
    </row>
    <row r="768" spans="2:5" ht="15.75" customHeight="1" x14ac:dyDescent="0.3">
      <c r="B768" s="944"/>
      <c r="C768" s="26"/>
      <c r="D768" s="26"/>
      <c r="E768" s="26"/>
    </row>
    <row r="769" spans="2:5" ht="15.75" customHeight="1" x14ac:dyDescent="0.3">
      <c r="B769" s="944"/>
      <c r="C769" s="26"/>
      <c r="D769" s="26"/>
      <c r="E769" s="26"/>
    </row>
    <row r="770" spans="2:5" ht="15.75" customHeight="1" x14ac:dyDescent="0.3">
      <c r="B770" s="944"/>
      <c r="C770" s="26"/>
      <c r="D770" s="26"/>
      <c r="E770" s="26"/>
    </row>
    <row r="771" spans="2:5" ht="15.75" customHeight="1" x14ac:dyDescent="0.3">
      <c r="B771" s="944"/>
      <c r="C771" s="26"/>
      <c r="D771" s="26"/>
      <c r="E771" s="26"/>
    </row>
    <row r="772" spans="2:5" ht="15.75" customHeight="1" x14ac:dyDescent="0.3">
      <c r="B772" s="944"/>
      <c r="C772" s="26"/>
      <c r="D772" s="26"/>
      <c r="E772" s="26"/>
    </row>
    <row r="773" spans="2:5" ht="15.75" customHeight="1" x14ac:dyDescent="0.3">
      <c r="B773" s="944"/>
      <c r="C773" s="26"/>
      <c r="D773" s="26"/>
      <c r="E773" s="26"/>
    </row>
    <row r="774" spans="2:5" ht="15.75" customHeight="1" x14ac:dyDescent="0.3">
      <c r="B774" s="944"/>
      <c r="C774" s="26"/>
      <c r="D774" s="26"/>
      <c r="E774" s="26"/>
    </row>
    <row r="775" spans="2:5" ht="15.75" customHeight="1" x14ac:dyDescent="0.3">
      <c r="B775" s="944"/>
      <c r="C775" s="26"/>
      <c r="D775" s="26"/>
      <c r="E775" s="26"/>
    </row>
    <row r="776" spans="2:5" ht="15.75" customHeight="1" x14ac:dyDescent="0.3">
      <c r="B776" s="944"/>
      <c r="C776" s="26"/>
      <c r="D776" s="26"/>
      <c r="E776" s="26"/>
    </row>
    <row r="777" spans="2:5" ht="15.75" customHeight="1" x14ac:dyDescent="0.3">
      <c r="B777" s="944"/>
      <c r="C777" s="26"/>
      <c r="D777" s="26"/>
      <c r="E777" s="26"/>
    </row>
    <row r="778" spans="2:5" ht="15.75" customHeight="1" x14ac:dyDescent="0.3">
      <c r="B778" s="944"/>
      <c r="C778" s="26"/>
      <c r="D778" s="26"/>
      <c r="E778" s="26"/>
    </row>
    <row r="779" spans="2:5" ht="15.75" customHeight="1" x14ac:dyDescent="0.3">
      <c r="B779" s="944"/>
      <c r="C779" s="26"/>
      <c r="D779" s="26"/>
      <c r="E779" s="26"/>
    </row>
    <row r="780" spans="2:5" ht="15.75" customHeight="1" x14ac:dyDescent="0.3">
      <c r="B780" s="944"/>
      <c r="C780" s="26"/>
      <c r="D780" s="26"/>
      <c r="E780" s="26"/>
    </row>
    <row r="781" spans="2:5" ht="15.75" customHeight="1" x14ac:dyDescent="0.3">
      <c r="B781" s="944"/>
      <c r="C781" s="26"/>
      <c r="D781" s="26"/>
      <c r="E781" s="26"/>
    </row>
    <row r="782" spans="2:5" ht="15.75" customHeight="1" x14ac:dyDescent="0.3">
      <c r="B782" s="944"/>
      <c r="C782" s="26"/>
      <c r="D782" s="26"/>
      <c r="E782" s="26"/>
    </row>
    <row r="783" spans="2:5" ht="15.75" customHeight="1" x14ac:dyDescent="0.3">
      <c r="B783" s="944"/>
      <c r="C783" s="26"/>
      <c r="D783" s="26"/>
      <c r="E783" s="26"/>
    </row>
    <row r="784" spans="2:5" ht="15.75" customHeight="1" x14ac:dyDescent="0.3">
      <c r="B784" s="944"/>
      <c r="C784" s="26"/>
      <c r="D784" s="26"/>
      <c r="E784" s="26"/>
    </row>
    <row r="785" spans="2:5" ht="15.75" customHeight="1" x14ac:dyDescent="0.3">
      <c r="B785" s="944"/>
      <c r="C785" s="26"/>
      <c r="D785" s="26"/>
      <c r="E785" s="26"/>
    </row>
    <row r="786" spans="2:5" ht="15.75" customHeight="1" x14ac:dyDescent="0.3">
      <c r="B786" s="944"/>
      <c r="C786" s="26"/>
      <c r="D786" s="26"/>
      <c r="E786" s="26"/>
    </row>
    <row r="787" spans="2:5" ht="15.75" customHeight="1" x14ac:dyDescent="0.3">
      <c r="B787" s="944"/>
      <c r="C787" s="26"/>
      <c r="D787" s="26"/>
      <c r="E787" s="26"/>
    </row>
    <row r="788" spans="2:5" ht="15.75" customHeight="1" x14ac:dyDescent="0.3">
      <c r="B788" s="944"/>
      <c r="C788" s="26"/>
      <c r="D788" s="26"/>
      <c r="E788" s="26"/>
    </row>
    <row r="789" spans="2:5" ht="15.75" customHeight="1" x14ac:dyDescent="0.3">
      <c r="B789" s="944"/>
      <c r="C789" s="26"/>
      <c r="D789" s="26"/>
      <c r="E789" s="26"/>
    </row>
    <row r="790" spans="2:5" ht="15.75" customHeight="1" x14ac:dyDescent="0.3">
      <c r="B790" s="944"/>
      <c r="C790" s="26"/>
      <c r="D790" s="26"/>
      <c r="E790" s="26"/>
    </row>
    <row r="791" spans="2:5" ht="15.75" customHeight="1" x14ac:dyDescent="0.3">
      <c r="B791" s="944"/>
      <c r="C791" s="26"/>
      <c r="D791" s="26"/>
      <c r="E791" s="26"/>
    </row>
    <row r="792" spans="2:5" ht="15.75" customHeight="1" x14ac:dyDescent="0.3">
      <c r="B792" s="944"/>
      <c r="C792" s="26"/>
      <c r="D792" s="26"/>
      <c r="E792" s="26"/>
    </row>
    <row r="793" spans="2:5" ht="15.75" customHeight="1" x14ac:dyDescent="0.3">
      <c r="B793" s="944"/>
      <c r="C793" s="26"/>
      <c r="D793" s="26"/>
      <c r="E793" s="26"/>
    </row>
    <row r="794" spans="2:5" ht="15.75" customHeight="1" x14ac:dyDescent="0.3">
      <c r="B794" s="944"/>
      <c r="C794" s="26"/>
      <c r="D794" s="26"/>
      <c r="E794" s="26"/>
    </row>
    <row r="795" spans="2:5" ht="15.75" customHeight="1" x14ac:dyDescent="0.3">
      <c r="B795" s="944"/>
      <c r="C795" s="26"/>
      <c r="D795" s="26"/>
      <c r="E795" s="26"/>
    </row>
    <row r="796" spans="2:5" ht="15.75" customHeight="1" x14ac:dyDescent="0.3">
      <c r="B796" s="944"/>
      <c r="C796" s="26"/>
      <c r="D796" s="26"/>
      <c r="E796" s="26"/>
    </row>
    <row r="797" spans="2:5" ht="15.75" customHeight="1" x14ac:dyDescent="0.3">
      <c r="B797" s="944"/>
      <c r="C797" s="26"/>
      <c r="D797" s="26"/>
      <c r="E797" s="26"/>
    </row>
    <row r="798" spans="2:5" ht="15.75" customHeight="1" x14ac:dyDescent="0.3">
      <c r="B798" s="944"/>
      <c r="C798" s="26"/>
      <c r="D798" s="26"/>
      <c r="E798" s="26"/>
    </row>
    <row r="799" spans="2:5" ht="15.75" customHeight="1" x14ac:dyDescent="0.3">
      <c r="B799" s="944"/>
      <c r="C799" s="26"/>
      <c r="D799" s="26"/>
      <c r="E799" s="26"/>
    </row>
    <row r="800" spans="2:5" ht="15.75" customHeight="1" x14ac:dyDescent="0.3">
      <c r="B800" s="944"/>
      <c r="C800" s="26"/>
      <c r="D800" s="26"/>
      <c r="E800" s="26"/>
    </row>
    <row r="801" spans="2:5" ht="15.75" customHeight="1" x14ac:dyDescent="0.3">
      <c r="B801" s="944"/>
      <c r="C801" s="26"/>
      <c r="D801" s="26"/>
      <c r="E801" s="26"/>
    </row>
    <row r="802" spans="2:5" ht="15.75" customHeight="1" x14ac:dyDescent="0.3">
      <c r="B802" s="944"/>
      <c r="C802" s="26"/>
      <c r="D802" s="26"/>
      <c r="E802" s="26"/>
    </row>
    <row r="803" spans="2:5" ht="15.75" customHeight="1" x14ac:dyDescent="0.3">
      <c r="B803" s="944"/>
      <c r="C803" s="26"/>
      <c r="D803" s="26"/>
      <c r="E803" s="26"/>
    </row>
    <row r="804" spans="2:5" ht="15.75" customHeight="1" x14ac:dyDescent="0.3">
      <c r="B804" s="944"/>
      <c r="C804" s="26"/>
      <c r="D804" s="26"/>
      <c r="E804" s="26"/>
    </row>
    <row r="805" spans="2:5" ht="15.75" customHeight="1" x14ac:dyDescent="0.3">
      <c r="B805" s="944"/>
      <c r="C805" s="26"/>
      <c r="D805" s="26"/>
      <c r="E805" s="26"/>
    </row>
    <row r="806" spans="2:5" ht="15.75" customHeight="1" x14ac:dyDescent="0.3">
      <c r="B806" s="944"/>
      <c r="C806" s="26"/>
      <c r="D806" s="26"/>
      <c r="E806" s="26"/>
    </row>
    <row r="807" spans="2:5" ht="15.75" customHeight="1" x14ac:dyDescent="0.3">
      <c r="B807" s="944"/>
      <c r="C807" s="26"/>
      <c r="D807" s="26"/>
      <c r="E807" s="26"/>
    </row>
    <row r="808" spans="2:5" ht="15.75" customHeight="1" x14ac:dyDescent="0.3">
      <c r="B808" s="944"/>
      <c r="C808" s="26"/>
      <c r="D808" s="26"/>
      <c r="E808" s="26"/>
    </row>
    <row r="809" spans="2:5" ht="15.75" customHeight="1" x14ac:dyDescent="0.3">
      <c r="B809" s="944"/>
      <c r="C809" s="26"/>
      <c r="D809" s="26"/>
      <c r="E809" s="26"/>
    </row>
    <row r="810" spans="2:5" ht="15.75" customHeight="1" x14ac:dyDescent="0.3">
      <c r="B810" s="944"/>
      <c r="C810" s="26"/>
      <c r="D810" s="26"/>
      <c r="E810" s="26"/>
    </row>
    <row r="811" spans="2:5" ht="15.75" customHeight="1" x14ac:dyDescent="0.3">
      <c r="B811" s="944"/>
      <c r="C811" s="26"/>
      <c r="D811" s="26"/>
      <c r="E811" s="26"/>
    </row>
    <row r="812" spans="2:5" ht="15.75" customHeight="1" x14ac:dyDescent="0.3">
      <c r="B812" s="944"/>
      <c r="C812" s="26"/>
      <c r="D812" s="26"/>
      <c r="E812" s="26"/>
    </row>
    <row r="813" spans="2:5" ht="15.75" customHeight="1" x14ac:dyDescent="0.3">
      <c r="B813" s="944"/>
      <c r="C813" s="26"/>
      <c r="D813" s="26"/>
      <c r="E813" s="26"/>
    </row>
    <row r="814" spans="2:5" ht="15.75" customHeight="1" x14ac:dyDescent="0.3">
      <c r="B814" s="944"/>
      <c r="C814" s="26"/>
      <c r="D814" s="26"/>
      <c r="E814" s="26"/>
    </row>
    <row r="815" spans="2:5" ht="15.75" customHeight="1" x14ac:dyDescent="0.3">
      <c r="B815" s="944"/>
      <c r="C815" s="26"/>
      <c r="D815" s="26"/>
      <c r="E815" s="26"/>
    </row>
    <row r="816" spans="2:5" ht="15.75" customHeight="1" x14ac:dyDescent="0.3">
      <c r="B816" s="944"/>
      <c r="C816" s="26"/>
      <c r="D816" s="26"/>
      <c r="E816" s="26"/>
    </row>
    <row r="817" spans="2:5" ht="15.75" customHeight="1" x14ac:dyDescent="0.3">
      <c r="B817" s="944"/>
      <c r="C817" s="26"/>
      <c r="D817" s="26"/>
      <c r="E817" s="26"/>
    </row>
    <row r="818" spans="2:5" ht="15.75" customHeight="1" x14ac:dyDescent="0.3">
      <c r="B818" s="944"/>
      <c r="C818" s="26"/>
      <c r="D818" s="26"/>
      <c r="E818" s="26"/>
    </row>
    <row r="819" spans="2:5" ht="15.75" customHeight="1" x14ac:dyDescent="0.3">
      <c r="B819" s="944"/>
      <c r="C819" s="26"/>
      <c r="D819" s="26"/>
      <c r="E819" s="26"/>
    </row>
    <row r="820" spans="2:5" ht="15.75" customHeight="1" x14ac:dyDescent="0.3">
      <c r="B820" s="944"/>
      <c r="C820" s="26"/>
      <c r="D820" s="26"/>
      <c r="E820" s="26"/>
    </row>
    <row r="821" spans="2:5" ht="15.75" customHeight="1" x14ac:dyDescent="0.3">
      <c r="B821" s="944"/>
      <c r="C821" s="26"/>
      <c r="D821" s="26"/>
      <c r="E821" s="26"/>
    </row>
    <row r="822" spans="2:5" ht="15.75" customHeight="1" x14ac:dyDescent="0.3">
      <c r="B822" s="944"/>
      <c r="C822" s="26"/>
      <c r="D822" s="26"/>
      <c r="E822" s="26"/>
    </row>
    <row r="823" spans="2:5" ht="15.75" customHeight="1" x14ac:dyDescent="0.3">
      <c r="B823" s="944"/>
      <c r="C823" s="26"/>
      <c r="D823" s="26"/>
      <c r="E823" s="26"/>
    </row>
    <row r="824" spans="2:5" ht="15.75" customHeight="1" x14ac:dyDescent="0.3">
      <c r="B824" s="944"/>
      <c r="C824" s="26"/>
      <c r="D824" s="26"/>
      <c r="E824" s="26"/>
    </row>
    <row r="825" spans="2:5" ht="15.75" customHeight="1" x14ac:dyDescent="0.3">
      <c r="B825" s="944"/>
      <c r="C825" s="26"/>
      <c r="D825" s="26"/>
      <c r="E825" s="26"/>
    </row>
    <row r="826" spans="2:5" ht="15.75" customHeight="1" x14ac:dyDescent="0.3">
      <c r="B826" s="944"/>
      <c r="C826" s="26"/>
      <c r="D826" s="26"/>
      <c r="E826" s="26"/>
    </row>
    <row r="827" spans="2:5" ht="15.75" customHeight="1" x14ac:dyDescent="0.3">
      <c r="B827" s="944"/>
      <c r="C827" s="26"/>
      <c r="D827" s="26"/>
      <c r="E827" s="26"/>
    </row>
    <row r="828" spans="2:5" ht="15.75" customHeight="1" x14ac:dyDescent="0.3">
      <c r="B828" s="944"/>
      <c r="C828" s="26"/>
      <c r="D828" s="26"/>
      <c r="E828" s="26"/>
    </row>
    <row r="829" spans="2:5" ht="15.75" customHeight="1" x14ac:dyDescent="0.3">
      <c r="B829" s="944"/>
      <c r="C829" s="26"/>
      <c r="D829" s="26"/>
      <c r="E829" s="26"/>
    </row>
    <row r="830" spans="2:5" ht="15.75" customHeight="1" x14ac:dyDescent="0.3">
      <c r="B830" s="944"/>
      <c r="C830" s="26"/>
      <c r="D830" s="26"/>
      <c r="E830" s="26"/>
    </row>
    <row r="831" spans="2:5" ht="15.75" customHeight="1" x14ac:dyDescent="0.3">
      <c r="B831" s="944"/>
      <c r="C831" s="26"/>
      <c r="D831" s="26"/>
      <c r="E831" s="26"/>
    </row>
    <row r="832" spans="2:5" ht="15.75" customHeight="1" x14ac:dyDescent="0.3">
      <c r="B832" s="944"/>
      <c r="C832" s="26"/>
      <c r="D832" s="26"/>
      <c r="E832" s="26"/>
    </row>
    <row r="833" spans="2:5" ht="15.75" customHeight="1" x14ac:dyDescent="0.3">
      <c r="B833" s="944"/>
      <c r="C833" s="26"/>
      <c r="D833" s="26"/>
      <c r="E833" s="26"/>
    </row>
    <row r="834" spans="2:5" ht="15.75" customHeight="1" x14ac:dyDescent="0.3">
      <c r="B834" s="944"/>
      <c r="C834" s="26"/>
      <c r="D834" s="26"/>
      <c r="E834" s="26"/>
    </row>
    <row r="835" spans="2:5" ht="15.75" customHeight="1" x14ac:dyDescent="0.3">
      <c r="B835" s="944"/>
      <c r="C835" s="26"/>
      <c r="D835" s="26"/>
      <c r="E835" s="26"/>
    </row>
    <row r="836" spans="2:5" ht="15.75" customHeight="1" x14ac:dyDescent="0.3">
      <c r="B836" s="944"/>
      <c r="C836" s="26"/>
      <c r="D836" s="26"/>
      <c r="E836" s="26"/>
    </row>
    <row r="837" spans="2:5" ht="15.75" customHeight="1" x14ac:dyDescent="0.3">
      <c r="B837" s="944"/>
      <c r="C837" s="26"/>
      <c r="D837" s="26"/>
      <c r="E837" s="26"/>
    </row>
    <row r="838" spans="2:5" ht="15.75" customHeight="1" x14ac:dyDescent="0.3">
      <c r="B838" s="944"/>
      <c r="C838" s="26"/>
      <c r="D838" s="26"/>
      <c r="E838" s="26"/>
    </row>
    <row r="839" spans="2:5" ht="15.75" customHeight="1" x14ac:dyDescent="0.3">
      <c r="B839" s="944"/>
      <c r="C839" s="26"/>
      <c r="D839" s="26"/>
      <c r="E839" s="26"/>
    </row>
    <row r="840" spans="2:5" ht="15.75" customHeight="1" x14ac:dyDescent="0.3">
      <c r="B840" s="944"/>
      <c r="C840" s="26"/>
      <c r="D840" s="26"/>
      <c r="E840" s="26"/>
    </row>
    <row r="841" spans="2:5" ht="15.75" customHeight="1" x14ac:dyDescent="0.3">
      <c r="B841" s="944"/>
      <c r="C841" s="26"/>
      <c r="D841" s="26"/>
      <c r="E841" s="26"/>
    </row>
    <row r="842" spans="2:5" ht="15.75" customHeight="1" x14ac:dyDescent="0.3">
      <c r="B842" s="944"/>
      <c r="C842" s="26"/>
      <c r="D842" s="26"/>
      <c r="E842" s="26"/>
    </row>
    <row r="843" spans="2:5" ht="15.75" customHeight="1" x14ac:dyDescent="0.3">
      <c r="B843" s="944"/>
      <c r="C843" s="26"/>
      <c r="D843" s="26"/>
      <c r="E843" s="26"/>
    </row>
    <row r="844" spans="2:5" ht="15.75" customHeight="1" x14ac:dyDescent="0.3">
      <c r="B844" s="944"/>
      <c r="C844" s="26"/>
      <c r="D844" s="26"/>
      <c r="E844" s="26"/>
    </row>
    <row r="845" spans="2:5" ht="15.75" customHeight="1" x14ac:dyDescent="0.3">
      <c r="B845" s="944"/>
      <c r="C845" s="26"/>
      <c r="D845" s="26"/>
      <c r="E845" s="26"/>
    </row>
    <row r="846" spans="2:5" ht="15.75" customHeight="1" x14ac:dyDescent="0.3">
      <c r="B846" s="944"/>
      <c r="C846" s="26"/>
      <c r="D846" s="26"/>
      <c r="E846" s="26"/>
    </row>
    <row r="847" spans="2:5" ht="15.75" customHeight="1" x14ac:dyDescent="0.3">
      <c r="B847" s="944"/>
      <c r="C847" s="26"/>
      <c r="D847" s="26"/>
      <c r="E847" s="26"/>
    </row>
    <row r="848" spans="2:5" ht="15.75" customHeight="1" x14ac:dyDescent="0.3">
      <c r="B848" s="944"/>
      <c r="C848" s="26"/>
      <c r="D848" s="26"/>
      <c r="E848" s="26"/>
    </row>
    <row r="849" spans="2:5" ht="15.75" customHeight="1" x14ac:dyDescent="0.3">
      <c r="B849" s="944"/>
      <c r="C849" s="26"/>
      <c r="D849" s="26"/>
      <c r="E849" s="26"/>
    </row>
    <row r="850" spans="2:5" ht="15.75" customHeight="1" x14ac:dyDescent="0.3">
      <c r="B850" s="944"/>
      <c r="C850" s="26"/>
      <c r="D850" s="26"/>
      <c r="E850" s="26"/>
    </row>
    <row r="851" spans="2:5" ht="15.75" customHeight="1" x14ac:dyDescent="0.3">
      <c r="B851" s="944"/>
      <c r="C851" s="26"/>
      <c r="D851" s="26"/>
      <c r="E851" s="26"/>
    </row>
    <row r="852" spans="2:5" ht="15.75" customHeight="1" x14ac:dyDescent="0.3">
      <c r="B852" s="944"/>
      <c r="C852" s="26"/>
      <c r="D852" s="26"/>
      <c r="E852" s="26"/>
    </row>
    <row r="853" spans="2:5" ht="15.75" customHeight="1" x14ac:dyDescent="0.3">
      <c r="B853" s="944"/>
      <c r="C853" s="26"/>
      <c r="D853" s="26"/>
      <c r="E853" s="26"/>
    </row>
    <row r="854" spans="2:5" ht="15.75" customHeight="1" x14ac:dyDescent="0.3">
      <c r="B854" s="944"/>
      <c r="C854" s="26"/>
      <c r="D854" s="26"/>
      <c r="E854" s="26"/>
    </row>
    <row r="855" spans="2:5" ht="15.75" customHeight="1" x14ac:dyDescent="0.3">
      <c r="B855" s="944"/>
      <c r="C855" s="26"/>
      <c r="D855" s="26"/>
      <c r="E855" s="26"/>
    </row>
    <row r="856" spans="2:5" ht="15.75" customHeight="1" x14ac:dyDescent="0.3">
      <c r="B856" s="944"/>
      <c r="C856" s="26"/>
      <c r="D856" s="26"/>
      <c r="E856" s="26"/>
    </row>
    <row r="857" spans="2:5" ht="15.75" customHeight="1" x14ac:dyDescent="0.3">
      <c r="B857" s="944"/>
      <c r="C857" s="26"/>
      <c r="D857" s="26"/>
      <c r="E857" s="26"/>
    </row>
    <row r="858" spans="2:5" ht="15.75" customHeight="1" x14ac:dyDescent="0.3">
      <c r="B858" s="944"/>
      <c r="C858" s="26"/>
      <c r="D858" s="26"/>
      <c r="E858" s="26"/>
    </row>
    <row r="859" spans="2:5" ht="15.75" customHeight="1" x14ac:dyDescent="0.3">
      <c r="B859" s="944"/>
      <c r="C859" s="26"/>
      <c r="D859" s="26"/>
      <c r="E859" s="26"/>
    </row>
    <row r="860" spans="2:5" ht="15.75" customHeight="1" x14ac:dyDescent="0.3">
      <c r="B860" s="944"/>
      <c r="C860" s="26"/>
      <c r="D860" s="26"/>
      <c r="E860" s="26"/>
    </row>
    <row r="861" spans="2:5" ht="15.75" customHeight="1" x14ac:dyDescent="0.3">
      <c r="B861" s="944"/>
      <c r="C861" s="26"/>
      <c r="D861" s="26"/>
      <c r="E861" s="26"/>
    </row>
    <row r="862" spans="2:5" ht="15.75" customHeight="1" x14ac:dyDescent="0.3">
      <c r="B862" s="944"/>
      <c r="C862" s="26"/>
      <c r="D862" s="26"/>
      <c r="E862" s="26"/>
    </row>
    <row r="863" spans="2:5" ht="15.75" customHeight="1" x14ac:dyDescent="0.3">
      <c r="B863" s="944"/>
      <c r="C863" s="26"/>
      <c r="D863" s="26"/>
      <c r="E863" s="26"/>
    </row>
    <row r="864" spans="2:5" ht="15.75" customHeight="1" x14ac:dyDescent="0.3">
      <c r="B864" s="944"/>
      <c r="C864" s="26"/>
      <c r="D864" s="26"/>
      <c r="E864" s="26"/>
    </row>
    <row r="865" spans="2:5" ht="15.75" customHeight="1" x14ac:dyDescent="0.3">
      <c r="B865" s="944"/>
      <c r="C865" s="26"/>
      <c r="D865" s="26"/>
      <c r="E865" s="26"/>
    </row>
    <row r="866" spans="2:5" ht="15.75" customHeight="1" x14ac:dyDescent="0.3">
      <c r="B866" s="944"/>
      <c r="C866" s="26"/>
      <c r="D866" s="26"/>
      <c r="E866" s="26"/>
    </row>
    <row r="867" spans="2:5" ht="15.75" customHeight="1" x14ac:dyDescent="0.3">
      <c r="B867" s="944"/>
      <c r="C867" s="26"/>
      <c r="D867" s="26"/>
      <c r="E867" s="26"/>
    </row>
    <row r="868" spans="2:5" ht="15.75" customHeight="1" x14ac:dyDescent="0.3">
      <c r="B868" s="944"/>
      <c r="C868" s="26"/>
      <c r="D868" s="26"/>
      <c r="E868" s="26"/>
    </row>
    <row r="869" spans="2:5" ht="15.75" customHeight="1" x14ac:dyDescent="0.3">
      <c r="B869" s="944"/>
      <c r="C869" s="26"/>
      <c r="D869" s="26"/>
      <c r="E869" s="26"/>
    </row>
    <row r="870" spans="2:5" ht="15.75" customHeight="1" x14ac:dyDescent="0.3">
      <c r="B870" s="944"/>
      <c r="C870" s="26"/>
      <c r="D870" s="26"/>
      <c r="E870" s="26"/>
    </row>
    <row r="871" spans="2:5" ht="15.75" customHeight="1" x14ac:dyDescent="0.3">
      <c r="B871" s="944"/>
      <c r="C871" s="26"/>
      <c r="D871" s="26"/>
      <c r="E871" s="26"/>
    </row>
    <row r="872" spans="2:5" ht="15.75" customHeight="1" x14ac:dyDescent="0.3">
      <c r="B872" s="944"/>
      <c r="C872" s="26"/>
      <c r="D872" s="26"/>
      <c r="E872" s="26"/>
    </row>
    <row r="873" spans="2:5" ht="15.75" customHeight="1" x14ac:dyDescent="0.3">
      <c r="B873" s="944"/>
      <c r="C873" s="26"/>
      <c r="D873" s="26"/>
      <c r="E873" s="26"/>
    </row>
    <row r="874" spans="2:5" ht="15.75" customHeight="1" x14ac:dyDescent="0.3">
      <c r="B874" s="944"/>
      <c r="C874" s="26"/>
      <c r="D874" s="26"/>
      <c r="E874" s="26"/>
    </row>
    <row r="875" spans="2:5" ht="15.75" customHeight="1" x14ac:dyDescent="0.3">
      <c r="B875" s="944"/>
      <c r="C875" s="26"/>
      <c r="D875" s="26"/>
      <c r="E875" s="26"/>
    </row>
    <row r="876" spans="2:5" ht="15.75" customHeight="1" x14ac:dyDescent="0.3">
      <c r="B876" s="944"/>
      <c r="C876" s="26"/>
      <c r="D876" s="26"/>
      <c r="E876" s="26"/>
    </row>
    <row r="877" spans="2:5" ht="15.75" customHeight="1" x14ac:dyDescent="0.3">
      <c r="B877" s="944"/>
      <c r="C877" s="26"/>
      <c r="D877" s="26"/>
      <c r="E877" s="26"/>
    </row>
    <row r="878" spans="2:5" ht="15.75" customHeight="1" x14ac:dyDescent="0.3">
      <c r="B878" s="944"/>
      <c r="C878" s="26"/>
      <c r="D878" s="26"/>
      <c r="E878" s="26"/>
    </row>
    <row r="879" spans="2:5" ht="15.75" customHeight="1" x14ac:dyDescent="0.3">
      <c r="B879" s="944"/>
      <c r="C879" s="26"/>
      <c r="D879" s="26"/>
      <c r="E879" s="26"/>
    </row>
    <row r="880" spans="2:5" ht="15.75" customHeight="1" x14ac:dyDescent="0.3">
      <c r="B880" s="944"/>
      <c r="C880" s="26"/>
      <c r="D880" s="26"/>
      <c r="E880" s="26"/>
    </row>
    <row r="881" spans="2:5" ht="15.75" customHeight="1" x14ac:dyDescent="0.3">
      <c r="B881" s="944"/>
      <c r="C881" s="26"/>
      <c r="D881" s="26"/>
      <c r="E881" s="26"/>
    </row>
    <row r="882" spans="2:5" ht="15.75" customHeight="1" x14ac:dyDescent="0.3">
      <c r="B882" s="944"/>
      <c r="C882" s="26"/>
      <c r="D882" s="26"/>
      <c r="E882" s="26"/>
    </row>
    <row r="883" spans="2:5" ht="15.75" customHeight="1" x14ac:dyDescent="0.3">
      <c r="B883" s="944"/>
      <c r="C883" s="26"/>
      <c r="D883" s="26"/>
      <c r="E883" s="26"/>
    </row>
    <row r="884" spans="2:5" ht="15.75" customHeight="1" x14ac:dyDescent="0.3">
      <c r="B884" s="944"/>
      <c r="C884" s="26"/>
      <c r="D884" s="26"/>
      <c r="E884" s="26"/>
    </row>
    <row r="885" spans="2:5" ht="15.75" customHeight="1" x14ac:dyDescent="0.3">
      <c r="B885" s="944"/>
      <c r="C885" s="26"/>
      <c r="D885" s="26"/>
      <c r="E885" s="26"/>
    </row>
    <row r="886" spans="2:5" ht="15.75" customHeight="1" x14ac:dyDescent="0.3">
      <c r="B886" s="944"/>
      <c r="C886" s="26"/>
      <c r="D886" s="26"/>
      <c r="E886" s="26"/>
    </row>
    <row r="887" spans="2:5" ht="15.75" customHeight="1" x14ac:dyDescent="0.3">
      <c r="B887" s="944"/>
      <c r="C887" s="26"/>
      <c r="D887" s="26"/>
      <c r="E887" s="26"/>
    </row>
    <row r="888" spans="2:5" ht="15.75" customHeight="1" x14ac:dyDescent="0.3">
      <c r="B888" s="944"/>
      <c r="C888" s="26"/>
      <c r="D888" s="26"/>
      <c r="E888" s="26"/>
    </row>
    <row r="889" spans="2:5" ht="15.75" customHeight="1" x14ac:dyDescent="0.3">
      <c r="B889" s="944"/>
      <c r="C889" s="26"/>
      <c r="D889" s="26"/>
      <c r="E889" s="26"/>
    </row>
    <row r="890" spans="2:5" ht="15.75" customHeight="1" x14ac:dyDescent="0.3">
      <c r="B890" s="944"/>
      <c r="C890" s="26"/>
      <c r="D890" s="26"/>
      <c r="E890" s="26"/>
    </row>
    <row r="891" spans="2:5" ht="15.75" customHeight="1" x14ac:dyDescent="0.3">
      <c r="B891" s="944"/>
      <c r="C891" s="26"/>
      <c r="D891" s="26"/>
      <c r="E891" s="26"/>
    </row>
    <row r="892" spans="2:5" ht="15.75" customHeight="1" x14ac:dyDescent="0.3">
      <c r="B892" s="944"/>
      <c r="C892" s="26"/>
      <c r="D892" s="26"/>
      <c r="E892" s="26"/>
    </row>
    <row r="893" spans="2:5" ht="15.75" customHeight="1" x14ac:dyDescent="0.3">
      <c r="B893" s="944"/>
      <c r="C893" s="26"/>
      <c r="D893" s="26"/>
      <c r="E893" s="26"/>
    </row>
    <row r="894" spans="2:5" ht="15.75" customHeight="1" x14ac:dyDescent="0.3">
      <c r="B894" s="944"/>
      <c r="C894" s="26"/>
      <c r="D894" s="26"/>
      <c r="E894" s="26"/>
    </row>
    <row r="895" spans="2:5" ht="15.75" customHeight="1" x14ac:dyDescent="0.3">
      <c r="B895" s="944"/>
      <c r="C895" s="26"/>
      <c r="D895" s="26"/>
      <c r="E895" s="26"/>
    </row>
    <row r="896" spans="2:5" ht="15.75" customHeight="1" x14ac:dyDescent="0.3">
      <c r="B896" s="944"/>
      <c r="C896" s="26"/>
      <c r="D896" s="26"/>
      <c r="E896" s="26"/>
    </row>
    <row r="897" spans="2:5" ht="15.75" customHeight="1" x14ac:dyDescent="0.3">
      <c r="B897" s="944"/>
      <c r="C897" s="26"/>
      <c r="D897" s="26"/>
      <c r="E897" s="26"/>
    </row>
    <row r="898" spans="2:5" ht="15.75" customHeight="1" x14ac:dyDescent="0.3">
      <c r="B898" s="944"/>
      <c r="C898" s="26"/>
      <c r="D898" s="26"/>
      <c r="E898" s="26"/>
    </row>
    <row r="899" spans="2:5" ht="15.75" customHeight="1" x14ac:dyDescent="0.3">
      <c r="B899" s="944"/>
      <c r="C899" s="26"/>
      <c r="D899" s="26"/>
      <c r="E899" s="26"/>
    </row>
    <row r="900" spans="2:5" ht="15.75" customHeight="1" x14ac:dyDescent="0.3">
      <c r="B900" s="944"/>
      <c r="C900" s="26"/>
      <c r="D900" s="26"/>
      <c r="E900" s="26"/>
    </row>
    <row r="901" spans="2:5" ht="15.75" customHeight="1" x14ac:dyDescent="0.3">
      <c r="B901" s="944"/>
      <c r="C901" s="26"/>
      <c r="D901" s="26"/>
      <c r="E901" s="26"/>
    </row>
    <row r="902" spans="2:5" ht="15.75" customHeight="1" x14ac:dyDescent="0.3">
      <c r="B902" s="944"/>
      <c r="C902" s="26"/>
      <c r="D902" s="26"/>
      <c r="E902" s="26"/>
    </row>
    <row r="903" spans="2:5" ht="15.75" customHeight="1" x14ac:dyDescent="0.3">
      <c r="B903" s="944"/>
      <c r="C903" s="26"/>
      <c r="D903" s="26"/>
      <c r="E903" s="26"/>
    </row>
    <row r="904" spans="2:5" ht="15.75" customHeight="1" x14ac:dyDescent="0.3">
      <c r="B904" s="944"/>
      <c r="C904" s="26"/>
      <c r="D904" s="26"/>
      <c r="E904" s="26"/>
    </row>
    <row r="905" spans="2:5" ht="15.75" customHeight="1" x14ac:dyDescent="0.3">
      <c r="B905" s="944"/>
      <c r="C905" s="26"/>
      <c r="D905" s="26"/>
      <c r="E905" s="26"/>
    </row>
    <row r="906" spans="2:5" ht="15.75" customHeight="1" x14ac:dyDescent="0.3">
      <c r="B906" s="944"/>
      <c r="C906" s="26"/>
      <c r="D906" s="26"/>
      <c r="E906" s="26"/>
    </row>
    <row r="907" spans="2:5" ht="15.75" customHeight="1" x14ac:dyDescent="0.3">
      <c r="B907" s="944"/>
      <c r="C907" s="26"/>
      <c r="D907" s="26"/>
      <c r="E907" s="26"/>
    </row>
    <row r="908" spans="2:5" ht="15.75" customHeight="1" x14ac:dyDescent="0.3">
      <c r="B908" s="944"/>
      <c r="C908" s="26"/>
      <c r="D908" s="26"/>
      <c r="E908" s="26"/>
    </row>
    <row r="909" spans="2:5" ht="15.75" customHeight="1" x14ac:dyDescent="0.3">
      <c r="B909" s="944"/>
      <c r="C909" s="26"/>
      <c r="D909" s="26"/>
      <c r="E909" s="26"/>
    </row>
    <row r="910" spans="2:5" ht="15.75" customHeight="1" x14ac:dyDescent="0.3">
      <c r="B910" s="944"/>
      <c r="C910" s="26"/>
      <c r="D910" s="26"/>
      <c r="E910" s="26"/>
    </row>
    <row r="911" spans="2:5" ht="15.75" customHeight="1" x14ac:dyDescent="0.3">
      <c r="B911" s="944"/>
      <c r="C911" s="26"/>
      <c r="D911" s="26"/>
      <c r="E911" s="26"/>
    </row>
    <row r="912" spans="2:5" ht="15.75" customHeight="1" x14ac:dyDescent="0.3">
      <c r="B912" s="944"/>
      <c r="C912" s="26"/>
      <c r="D912" s="26"/>
      <c r="E912" s="26"/>
    </row>
    <row r="913" spans="2:5" ht="15.75" customHeight="1" x14ac:dyDescent="0.3">
      <c r="B913" s="944"/>
      <c r="C913" s="26"/>
      <c r="D913" s="26"/>
      <c r="E913" s="26"/>
    </row>
    <row r="914" spans="2:5" ht="15.75" customHeight="1" x14ac:dyDescent="0.3">
      <c r="B914" s="944"/>
      <c r="C914" s="26"/>
      <c r="D914" s="26"/>
      <c r="E914" s="26"/>
    </row>
    <row r="915" spans="2:5" ht="15.75" customHeight="1" x14ac:dyDescent="0.3">
      <c r="B915" s="944"/>
      <c r="C915" s="26"/>
      <c r="D915" s="26"/>
      <c r="E915" s="26"/>
    </row>
    <row r="916" spans="2:5" ht="15.75" customHeight="1" x14ac:dyDescent="0.3">
      <c r="B916" s="944"/>
      <c r="C916" s="26"/>
      <c r="D916" s="26"/>
      <c r="E916" s="26"/>
    </row>
    <row r="917" spans="2:5" ht="15.75" customHeight="1" x14ac:dyDescent="0.3">
      <c r="B917" s="944"/>
      <c r="C917" s="26"/>
      <c r="D917" s="26"/>
      <c r="E917" s="26"/>
    </row>
    <row r="918" spans="2:5" ht="15.75" customHeight="1" x14ac:dyDescent="0.3">
      <c r="B918" s="944"/>
      <c r="C918" s="26"/>
      <c r="D918" s="26"/>
      <c r="E918" s="26"/>
    </row>
    <row r="919" spans="2:5" ht="15.75" customHeight="1" x14ac:dyDescent="0.3">
      <c r="B919" s="944"/>
      <c r="C919" s="26"/>
      <c r="D919" s="26"/>
      <c r="E919" s="26"/>
    </row>
    <row r="920" spans="2:5" ht="15.75" customHeight="1" x14ac:dyDescent="0.3">
      <c r="B920" s="944"/>
      <c r="C920" s="26"/>
      <c r="D920" s="26"/>
      <c r="E920" s="26"/>
    </row>
    <row r="921" spans="2:5" ht="15.75" customHeight="1" x14ac:dyDescent="0.3">
      <c r="B921" s="944"/>
      <c r="C921" s="26"/>
      <c r="D921" s="26"/>
      <c r="E921" s="26"/>
    </row>
    <row r="922" spans="2:5" ht="15.75" customHeight="1" x14ac:dyDescent="0.3">
      <c r="B922" s="944"/>
      <c r="C922" s="26"/>
      <c r="D922" s="26"/>
      <c r="E922" s="26"/>
    </row>
    <row r="923" spans="2:5" ht="15.75" customHeight="1" x14ac:dyDescent="0.3">
      <c r="B923" s="944"/>
      <c r="C923" s="26"/>
      <c r="D923" s="26"/>
      <c r="E923" s="26"/>
    </row>
    <row r="924" spans="2:5" ht="15.75" customHeight="1" x14ac:dyDescent="0.3">
      <c r="B924" s="944"/>
      <c r="C924" s="26"/>
      <c r="D924" s="26"/>
      <c r="E924" s="26"/>
    </row>
    <row r="925" spans="2:5" ht="15.75" customHeight="1" x14ac:dyDescent="0.3">
      <c r="B925" s="944"/>
      <c r="C925" s="26"/>
      <c r="D925" s="26"/>
      <c r="E925" s="26"/>
    </row>
    <row r="926" spans="2:5" ht="15.75" customHeight="1" x14ac:dyDescent="0.3">
      <c r="B926" s="944"/>
      <c r="C926" s="26"/>
      <c r="D926" s="26"/>
      <c r="E926" s="26"/>
    </row>
    <row r="927" spans="2:5" ht="15.75" customHeight="1" x14ac:dyDescent="0.3">
      <c r="B927" s="944"/>
      <c r="C927" s="26"/>
      <c r="D927" s="26"/>
      <c r="E927" s="26"/>
    </row>
    <row r="928" spans="2:5" ht="15.75" customHeight="1" x14ac:dyDescent="0.3">
      <c r="B928" s="944"/>
      <c r="C928" s="26"/>
      <c r="D928" s="26"/>
      <c r="E928" s="26"/>
    </row>
    <row r="929" spans="2:5" ht="15.75" customHeight="1" x14ac:dyDescent="0.3">
      <c r="B929" s="944"/>
      <c r="C929" s="26"/>
      <c r="D929" s="26"/>
      <c r="E929" s="26"/>
    </row>
    <row r="930" spans="2:5" ht="15.75" customHeight="1" x14ac:dyDescent="0.3">
      <c r="B930" s="944"/>
      <c r="C930" s="26"/>
      <c r="D930" s="26"/>
      <c r="E930" s="26"/>
    </row>
    <row r="931" spans="2:5" ht="15.75" customHeight="1" x14ac:dyDescent="0.3">
      <c r="B931" s="944"/>
      <c r="C931" s="26"/>
      <c r="D931" s="26"/>
      <c r="E931" s="26"/>
    </row>
    <row r="932" spans="2:5" ht="15.75" customHeight="1" x14ac:dyDescent="0.3">
      <c r="B932" s="944"/>
      <c r="C932" s="26"/>
      <c r="D932" s="26"/>
      <c r="E932" s="26"/>
    </row>
    <row r="933" spans="2:5" ht="15.75" customHeight="1" x14ac:dyDescent="0.3">
      <c r="B933" s="944"/>
      <c r="C933" s="26"/>
      <c r="D933" s="26"/>
      <c r="E933" s="26"/>
    </row>
    <row r="934" spans="2:5" ht="15.75" customHeight="1" x14ac:dyDescent="0.3">
      <c r="B934" s="944"/>
      <c r="C934" s="26"/>
      <c r="D934" s="26"/>
      <c r="E934" s="26"/>
    </row>
    <row r="935" spans="2:5" ht="15.75" customHeight="1" x14ac:dyDescent="0.3">
      <c r="B935" s="944"/>
      <c r="C935" s="26"/>
      <c r="D935" s="26"/>
      <c r="E935" s="26"/>
    </row>
    <row r="936" spans="2:5" ht="15.75" customHeight="1" x14ac:dyDescent="0.3">
      <c r="B936" s="944"/>
      <c r="C936" s="26"/>
      <c r="D936" s="26"/>
      <c r="E936" s="26"/>
    </row>
    <row r="937" spans="2:5" ht="15.75" customHeight="1" x14ac:dyDescent="0.3">
      <c r="B937" s="944"/>
      <c r="C937" s="26"/>
      <c r="D937" s="26"/>
      <c r="E937" s="26"/>
    </row>
    <row r="938" spans="2:5" ht="15.75" customHeight="1" x14ac:dyDescent="0.3">
      <c r="B938" s="944"/>
      <c r="C938" s="26"/>
      <c r="D938" s="26"/>
      <c r="E938" s="26"/>
    </row>
    <row r="939" spans="2:5" ht="15.75" customHeight="1" x14ac:dyDescent="0.3">
      <c r="B939" s="944"/>
      <c r="C939" s="26"/>
      <c r="D939" s="26"/>
      <c r="E939" s="26"/>
    </row>
    <row r="940" spans="2:5" ht="15.75" customHeight="1" x14ac:dyDescent="0.3">
      <c r="B940" s="944"/>
      <c r="C940" s="26"/>
      <c r="D940" s="26"/>
      <c r="E940" s="26"/>
    </row>
    <row r="941" spans="2:5" ht="15.75" customHeight="1" x14ac:dyDescent="0.3">
      <c r="B941" s="944"/>
      <c r="C941" s="26"/>
      <c r="D941" s="26"/>
      <c r="E941" s="26"/>
    </row>
    <row r="942" spans="2:5" ht="15.75" customHeight="1" x14ac:dyDescent="0.3">
      <c r="B942" s="944"/>
      <c r="C942" s="26"/>
      <c r="D942" s="26"/>
      <c r="E942" s="26"/>
    </row>
    <row r="943" spans="2:5" ht="15.75" customHeight="1" x14ac:dyDescent="0.3">
      <c r="B943" s="944"/>
      <c r="C943" s="26"/>
      <c r="D943" s="26"/>
      <c r="E943" s="26"/>
    </row>
    <row r="944" spans="2:5" ht="15.75" customHeight="1" x14ac:dyDescent="0.3">
      <c r="B944" s="944"/>
      <c r="C944" s="26"/>
      <c r="D944" s="26"/>
      <c r="E944" s="26"/>
    </row>
    <row r="945" spans="2:5" ht="15.75" customHeight="1" x14ac:dyDescent="0.3">
      <c r="B945" s="944"/>
      <c r="C945" s="26"/>
      <c r="D945" s="26"/>
      <c r="E945" s="26"/>
    </row>
    <row r="946" spans="2:5" ht="15.75" customHeight="1" x14ac:dyDescent="0.3">
      <c r="B946" s="944"/>
      <c r="C946" s="26"/>
      <c r="D946" s="26"/>
      <c r="E946" s="26"/>
    </row>
    <row r="947" spans="2:5" ht="15.75" customHeight="1" x14ac:dyDescent="0.3">
      <c r="B947" s="944"/>
      <c r="C947" s="26"/>
      <c r="D947" s="26"/>
      <c r="E947" s="26"/>
    </row>
    <row r="948" spans="2:5" ht="15.75" customHeight="1" x14ac:dyDescent="0.3">
      <c r="B948" s="944"/>
      <c r="C948" s="26"/>
      <c r="D948" s="26"/>
      <c r="E948" s="26"/>
    </row>
    <row r="949" spans="2:5" ht="15.75" customHeight="1" x14ac:dyDescent="0.3">
      <c r="B949" s="944"/>
      <c r="C949" s="26"/>
      <c r="D949" s="26"/>
      <c r="E949" s="26"/>
    </row>
    <row r="950" spans="2:5" ht="15.75" customHeight="1" x14ac:dyDescent="0.3">
      <c r="B950" s="944"/>
      <c r="C950" s="26"/>
      <c r="D950" s="26"/>
      <c r="E950" s="26"/>
    </row>
    <row r="951" spans="2:5" ht="15.75" customHeight="1" x14ac:dyDescent="0.3">
      <c r="B951" s="944"/>
      <c r="C951" s="26"/>
      <c r="D951" s="26"/>
      <c r="E951" s="26"/>
    </row>
    <row r="952" spans="2:5" ht="15.75" customHeight="1" x14ac:dyDescent="0.3">
      <c r="B952" s="944"/>
      <c r="C952" s="26"/>
      <c r="D952" s="26"/>
      <c r="E952" s="26"/>
    </row>
    <row r="953" spans="2:5" ht="15.75" customHeight="1" x14ac:dyDescent="0.3">
      <c r="B953" s="944"/>
      <c r="C953" s="26"/>
      <c r="D953" s="26"/>
      <c r="E953" s="26"/>
    </row>
    <row r="954" spans="2:5" ht="15.75" customHeight="1" x14ac:dyDescent="0.3">
      <c r="B954" s="944"/>
      <c r="C954" s="26"/>
      <c r="D954" s="26"/>
      <c r="E954" s="26"/>
    </row>
    <row r="955" spans="2:5" ht="15.75" customHeight="1" x14ac:dyDescent="0.3">
      <c r="B955" s="944"/>
      <c r="C955" s="26"/>
      <c r="D955" s="26"/>
      <c r="E955" s="26"/>
    </row>
    <row r="956" spans="2:5" ht="15.75" customHeight="1" x14ac:dyDescent="0.3">
      <c r="B956" s="944"/>
      <c r="C956" s="26"/>
      <c r="D956" s="26"/>
      <c r="E956" s="26"/>
    </row>
    <row r="957" spans="2:5" ht="15.75" customHeight="1" x14ac:dyDescent="0.3">
      <c r="B957" s="944"/>
      <c r="C957" s="26"/>
      <c r="D957" s="26"/>
      <c r="E957" s="26"/>
    </row>
    <row r="958" spans="2:5" ht="15.75" customHeight="1" x14ac:dyDescent="0.3">
      <c r="B958" s="944"/>
      <c r="C958" s="26"/>
      <c r="D958" s="26"/>
      <c r="E958" s="26"/>
    </row>
    <row r="959" spans="2:5" ht="15.75" customHeight="1" x14ac:dyDescent="0.3">
      <c r="B959" s="944"/>
      <c r="C959" s="26"/>
      <c r="D959" s="26"/>
      <c r="E959" s="26"/>
    </row>
    <row r="960" spans="2:5" ht="15.75" customHeight="1" x14ac:dyDescent="0.3">
      <c r="B960" s="944"/>
      <c r="C960" s="26"/>
      <c r="D960" s="26"/>
      <c r="E960" s="26"/>
    </row>
    <row r="961" spans="2:5" ht="15.75" customHeight="1" x14ac:dyDescent="0.3">
      <c r="B961" s="944"/>
      <c r="C961" s="26"/>
      <c r="D961" s="26"/>
      <c r="E961" s="26"/>
    </row>
    <row r="962" spans="2:5" ht="15.75" customHeight="1" x14ac:dyDescent="0.3">
      <c r="B962" s="944"/>
      <c r="C962" s="26"/>
      <c r="D962" s="26"/>
      <c r="E962" s="26"/>
    </row>
    <row r="963" spans="2:5" ht="15.75" customHeight="1" x14ac:dyDescent="0.3">
      <c r="B963" s="944"/>
      <c r="C963" s="26"/>
      <c r="D963" s="26"/>
      <c r="E963" s="26"/>
    </row>
    <row r="964" spans="2:5" ht="15.75" customHeight="1" x14ac:dyDescent="0.3">
      <c r="B964" s="944"/>
      <c r="C964" s="26"/>
      <c r="D964" s="26"/>
      <c r="E964" s="26"/>
    </row>
    <row r="965" spans="2:5" ht="15.75" customHeight="1" x14ac:dyDescent="0.3">
      <c r="B965" s="944"/>
      <c r="C965" s="26"/>
      <c r="D965" s="26"/>
      <c r="E965" s="26"/>
    </row>
    <row r="966" spans="2:5" ht="15.75" customHeight="1" x14ac:dyDescent="0.3">
      <c r="B966" s="944"/>
      <c r="C966" s="26"/>
      <c r="D966" s="26"/>
      <c r="E966" s="26"/>
    </row>
    <row r="967" spans="2:5" ht="15.75" customHeight="1" x14ac:dyDescent="0.3">
      <c r="B967" s="944"/>
      <c r="C967" s="26"/>
      <c r="D967" s="26"/>
      <c r="E967" s="26"/>
    </row>
    <row r="968" spans="2:5" ht="15.75" customHeight="1" x14ac:dyDescent="0.3">
      <c r="B968" s="944"/>
      <c r="C968" s="26"/>
      <c r="D968" s="26"/>
      <c r="E968" s="26"/>
    </row>
    <row r="969" spans="2:5" ht="15.75" customHeight="1" x14ac:dyDescent="0.3">
      <c r="B969" s="944"/>
      <c r="C969" s="26"/>
      <c r="D969" s="26"/>
      <c r="E969" s="26"/>
    </row>
    <row r="970" spans="2:5" ht="15.75" customHeight="1" x14ac:dyDescent="0.3">
      <c r="B970" s="944"/>
      <c r="C970" s="26"/>
      <c r="D970" s="26"/>
      <c r="E970" s="26"/>
    </row>
    <row r="971" spans="2:5" ht="15.75" customHeight="1" x14ac:dyDescent="0.3">
      <c r="B971" s="944"/>
      <c r="C971" s="26"/>
      <c r="D971" s="26"/>
      <c r="E971" s="26"/>
    </row>
    <row r="972" spans="2:5" ht="15.75" customHeight="1" x14ac:dyDescent="0.3">
      <c r="B972" s="944"/>
      <c r="C972" s="26"/>
      <c r="D972" s="26"/>
      <c r="E972" s="26"/>
    </row>
    <row r="973" spans="2:5" ht="15.75" customHeight="1" x14ac:dyDescent="0.3">
      <c r="B973" s="944"/>
      <c r="C973" s="26"/>
      <c r="D973" s="26"/>
      <c r="E973" s="26"/>
    </row>
    <row r="974" spans="2:5" ht="15.75" customHeight="1" x14ac:dyDescent="0.3">
      <c r="B974" s="944"/>
      <c r="C974" s="26"/>
      <c r="D974" s="26"/>
      <c r="E974" s="26"/>
    </row>
    <row r="975" spans="2:5" ht="15.75" customHeight="1" x14ac:dyDescent="0.3">
      <c r="B975" s="944"/>
      <c r="C975" s="26"/>
      <c r="D975" s="26"/>
      <c r="E975" s="26"/>
    </row>
    <row r="976" spans="2:5" ht="15.75" customHeight="1" x14ac:dyDescent="0.3">
      <c r="B976" s="944"/>
      <c r="C976" s="26"/>
      <c r="D976" s="26"/>
      <c r="E976" s="26"/>
    </row>
    <row r="977" spans="2:5" ht="15.75" customHeight="1" x14ac:dyDescent="0.3">
      <c r="B977" s="944"/>
      <c r="C977" s="26"/>
      <c r="D977" s="26"/>
      <c r="E977" s="26"/>
    </row>
    <row r="978" spans="2:5" ht="15.75" customHeight="1" x14ac:dyDescent="0.3">
      <c r="B978" s="944"/>
      <c r="C978" s="26"/>
      <c r="D978" s="26"/>
      <c r="E978" s="26"/>
    </row>
    <row r="979" spans="2:5" ht="15.75" customHeight="1" x14ac:dyDescent="0.3">
      <c r="B979" s="944"/>
      <c r="C979" s="26"/>
      <c r="D979" s="26"/>
      <c r="E979" s="26"/>
    </row>
    <row r="980" spans="2:5" ht="15.75" customHeight="1" x14ac:dyDescent="0.3">
      <c r="B980" s="944"/>
      <c r="C980" s="26"/>
      <c r="D980" s="26"/>
      <c r="E980" s="26"/>
    </row>
    <row r="981" spans="2:5" ht="15.75" customHeight="1" x14ac:dyDescent="0.3">
      <c r="B981" s="944"/>
      <c r="C981" s="26"/>
      <c r="D981" s="26"/>
      <c r="E981" s="26"/>
    </row>
    <row r="982" spans="2:5" ht="15.75" customHeight="1" x14ac:dyDescent="0.3">
      <c r="B982" s="944"/>
      <c r="C982" s="26"/>
      <c r="D982" s="26"/>
      <c r="E982" s="26"/>
    </row>
    <row r="983" spans="2:5" ht="15.75" customHeight="1" x14ac:dyDescent="0.3">
      <c r="B983" s="944"/>
      <c r="C983" s="26"/>
      <c r="D983" s="26"/>
      <c r="E983" s="26"/>
    </row>
    <row r="984" spans="2:5" ht="15.75" customHeight="1" x14ac:dyDescent="0.3">
      <c r="B984" s="944"/>
      <c r="C984" s="26"/>
      <c r="D984" s="26"/>
      <c r="E984" s="26"/>
    </row>
    <row r="985" spans="2:5" ht="15.75" customHeight="1" x14ac:dyDescent="0.3">
      <c r="B985" s="944"/>
      <c r="C985" s="26"/>
      <c r="D985" s="26"/>
      <c r="E985" s="26"/>
    </row>
    <row r="986" spans="2:5" ht="15.75" customHeight="1" x14ac:dyDescent="0.3">
      <c r="B986" s="944"/>
      <c r="C986" s="26"/>
      <c r="D986" s="26"/>
      <c r="E986" s="26"/>
    </row>
    <row r="987" spans="2:5" ht="15.75" customHeight="1" x14ac:dyDescent="0.3">
      <c r="B987" s="944"/>
      <c r="C987" s="26"/>
      <c r="D987" s="26"/>
      <c r="E987" s="26"/>
    </row>
    <row r="988" spans="2:5" ht="15.75" customHeight="1" x14ac:dyDescent="0.3">
      <c r="B988" s="944"/>
      <c r="C988" s="26"/>
      <c r="D988" s="26"/>
      <c r="E988" s="26"/>
    </row>
    <row r="989" spans="2:5" ht="15.75" customHeight="1" x14ac:dyDescent="0.3">
      <c r="B989" s="944"/>
      <c r="C989" s="26"/>
      <c r="D989" s="26"/>
      <c r="E989" s="26"/>
    </row>
    <row r="990" spans="2:5" ht="15.75" customHeight="1" x14ac:dyDescent="0.3">
      <c r="B990" s="944"/>
      <c r="C990" s="26"/>
      <c r="D990" s="26"/>
      <c r="E990" s="26"/>
    </row>
    <row r="991" spans="2:5" ht="15.75" customHeight="1" x14ac:dyDescent="0.3">
      <c r="B991" s="944"/>
      <c r="C991" s="26"/>
      <c r="D991" s="26"/>
      <c r="E991" s="26"/>
    </row>
    <row r="992" spans="2:5" ht="15.75" customHeight="1" x14ac:dyDescent="0.3">
      <c r="B992" s="944"/>
      <c r="C992" s="26"/>
      <c r="D992" s="26"/>
      <c r="E992" s="26"/>
    </row>
    <row r="993" spans="2:5" ht="15.75" customHeight="1" x14ac:dyDescent="0.3">
      <c r="B993" s="944"/>
      <c r="C993" s="26"/>
      <c r="D993" s="26"/>
      <c r="E993" s="26"/>
    </row>
    <row r="994" spans="2:5" ht="15.75" customHeight="1" x14ac:dyDescent="0.3">
      <c r="B994" s="944"/>
      <c r="C994" s="26"/>
      <c r="D994" s="26"/>
      <c r="E994" s="26"/>
    </row>
    <row r="995" spans="2:5" ht="15.75" customHeight="1" x14ac:dyDescent="0.3">
      <c r="B995" s="944"/>
      <c r="C995" s="26"/>
      <c r="D995" s="26"/>
      <c r="E995" s="26"/>
    </row>
    <row r="996" spans="2:5" ht="15.75" customHeight="1" x14ac:dyDescent="0.3">
      <c r="B996" s="944"/>
      <c r="C996" s="26"/>
      <c r="D996" s="26"/>
      <c r="E996" s="26"/>
    </row>
    <row r="997" spans="2:5" ht="15.75" customHeight="1" x14ac:dyDescent="0.3">
      <c r="B997" s="944"/>
      <c r="C997" s="26"/>
      <c r="D997" s="26"/>
      <c r="E997" s="26"/>
    </row>
    <row r="998" spans="2:5" ht="15.75" customHeight="1" x14ac:dyDescent="0.3">
      <c r="B998" s="944"/>
      <c r="C998" s="26"/>
      <c r="D998" s="26"/>
      <c r="E998" s="26"/>
    </row>
    <row r="999" spans="2:5" ht="15.75" customHeight="1" x14ac:dyDescent="0.3">
      <c r="B999" s="944"/>
      <c r="C999" s="26"/>
      <c r="D999" s="26"/>
      <c r="E999" s="26"/>
    </row>
    <row r="1000" spans="2:5" ht="15.75" customHeight="1" x14ac:dyDescent="0.3">
      <c r="B1000" s="944"/>
      <c r="C1000" s="26"/>
      <c r="D1000" s="26"/>
      <c r="E1000" s="26"/>
    </row>
  </sheetData>
  <mergeCells count="100">
    <mergeCell ref="D145:E145"/>
    <mergeCell ref="D146:E146"/>
    <mergeCell ref="D147:E147"/>
    <mergeCell ref="D148:E148"/>
    <mergeCell ref="D149:E149"/>
    <mergeCell ref="B144:B148"/>
    <mergeCell ref="D88:E88"/>
    <mergeCell ref="D89:E89"/>
    <mergeCell ref="D94:F94"/>
    <mergeCell ref="D95:E95"/>
    <mergeCell ref="D96:E96"/>
    <mergeCell ref="D97:E97"/>
    <mergeCell ref="D101:F101"/>
    <mergeCell ref="D106:E106"/>
    <mergeCell ref="D107:E107"/>
    <mergeCell ref="D108:E108"/>
    <mergeCell ref="D109:E109"/>
    <mergeCell ref="D110:E110"/>
    <mergeCell ref="D111:E111"/>
    <mergeCell ref="D116:E116"/>
    <mergeCell ref="D144:E144"/>
    <mergeCell ref="B95:B98"/>
    <mergeCell ref="B106:B111"/>
    <mergeCell ref="B116:B120"/>
    <mergeCell ref="B125:B129"/>
    <mergeCell ref="B134:B139"/>
    <mergeCell ref="F78:F80"/>
    <mergeCell ref="G78:G80"/>
    <mergeCell ref="D86:F86"/>
    <mergeCell ref="B87:B89"/>
    <mergeCell ref="D87:E87"/>
    <mergeCell ref="B64:B80"/>
    <mergeCell ref="C64:C65"/>
    <mergeCell ref="D64:E65"/>
    <mergeCell ref="C66:C70"/>
    <mergeCell ref="C78:C80"/>
    <mergeCell ref="D78:E80"/>
    <mergeCell ref="F76:F77"/>
    <mergeCell ref="G76:G77"/>
    <mergeCell ref="C74:C75"/>
    <mergeCell ref="F74:F75"/>
    <mergeCell ref="G74:G75"/>
    <mergeCell ref="D63:E63"/>
    <mergeCell ref="D136:E136"/>
    <mergeCell ref="D137:E137"/>
    <mergeCell ref="D74:E75"/>
    <mergeCell ref="D66:E70"/>
    <mergeCell ref="D138:E138"/>
    <mergeCell ref="D139:E139"/>
    <mergeCell ref="C76:C77"/>
    <mergeCell ref="D76:E77"/>
    <mergeCell ref="D126:E126"/>
    <mergeCell ref="D127:E127"/>
    <mergeCell ref="D128:E128"/>
    <mergeCell ref="D129:E129"/>
    <mergeCell ref="D135:E135"/>
    <mergeCell ref="D117:E117"/>
    <mergeCell ref="D118:E118"/>
    <mergeCell ref="D119:E119"/>
    <mergeCell ref="D120:E120"/>
    <mergeCell ref="D125:E125"/>
    <mergeCell ref="Q78:Q80"/>
    <mergeCell ref="Q74:Q75"/>
    <mergeCell ref="M76:M77"/>
    <mergeCell ref="Q76:Q77"/>
    <mergeCell ref="Q66:Q69"/>
    <mergeCell ref="O71:O73"/>
    <mergeCell ref="Q71:Q73"/>
    <mergeCell ref="M74:M75"/>
    <mergeCell ref="O74:O75"/>
    <mergeCell ref="O76:O77"/>
    <mergeCell ref="M78:M80"/>
    <mergeCell ref="O78:O80"/>
    <mergeCell ref="C71:C73"/>
    <mergeCell ref="D71:E73"/>
    <mergeCell ref="F71:F73"/>
    <mergeCell ref="G71:G73"/>
    <mergeCell ref="M71:M73"/>
    <mergeCell ref="F66:F69"/>
    <mergeCell ref="G66:G69"/>
    <mergeCell ref="M66:M69"/>
    <mergeCell ref="O66:O69"/>
    <mergeCell ref="Q46:Q50"/>
    <mergeCell ref="O46:O50"/>
    <mergeCell ref="A66:A69"/>
    <mergeCell ref="D51:E53"/>
    <mergeCell ref="D54:E55"/>
    <mergeCell ref="D3:F3"/>
    <mergeCell ref="B8:B15"/>
    <mergeCell ref="B17:B24"/>
    <mergeCell ref="D28:F28"/>
    <mergeCell ref="B33:B36"/>
    <mergeCell ref="D39:F39"/>
    <mergeCell ref="B44:B60"/>
    <mergeCell ref="C41:C43"/>
    <mergeCell ref="D44:E45"/>
    <mergeCell ref="C46:C50"/>
    <mergeCell ref="D46:E50"/>
    <mergeCell ref="D56:E57"/>
    <mergeCell ref="D58:E60"/>
  </mergeCells>
  <hyperlinks>
    <hyperlink ref="E6" location="Gráficos UTCUTS-OseMOSYS!A1" display="GRÁFICO UTCUTS-1" xr:uid="{00000000-0004-0000-0000-000000000000}"/>
    <hyperlink ref="E31" location="Gráficos UTCUTS-OseMOSYS!A1" display="GRÁFICO UTCUTS-1" xr:uid="{00000000-0004-0000-0000-000001000000}"/>
    <hyperlink ref="E42" location="Gráficos UTCUTS-OseMOSYS!A1" display="GRÁFICO UTCUTS-1" xr:uid="{00000000-0004-0000-0000-000002000000}"/>
    <hyperlink ref="E104" location="Gráficos UTCUTS-OseMOSYS!A1" display="GRÁFICO UTCUTS-1" xr:uid="{00000000-0004-0000-0000-000003000000}"/>
    <hyperlink ref="E114" location="Gráficos UTCUTS-OseMOSYS!A1" display="GRÁFICO UTCUTS-1" xr:uid="{00000000-0004-0000-0000-000004000000}"/>
    <hyperlink ref="E123" location="Gráficos UTCUTS-OseMOSYS!A1" display="GRÁFICO UTCUTS-1" xr:uid="{00000000-0004-0000-0000-000005000000}"/>
    <hyperlink ref="E132" location="Gráficos UTCUTS-OseMOSYS!A1" display="GRÁFICO UTCUTS-1" xr:uid="{00000000-0004-0000-0000-000006000000}"/>
    <hyperlink ref="E142" location="Gráficos UTCUTS-OseMOSYS!A1" display="GRÁFICO UTCUTS-1" xr:uid="{00000000-0004-0000-0000-000007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F8B2-AD5A-4458-852C-6D0E616FD6B6}">
  <dimension ref="A1:BB827"/>
  <sheetViews>
    <sheetView workbookViewId="0">
      <pane xSplit="6" ySplit="1" topLeftCell="R2" activePane="bottomRight" state="frozen"/>
      <selection pane="topRight" activeCell="G1" sqref="G1"/>
      <selection pane="bottomLeft" activeCell="A2" sqref="A2"/>
      <selection pane="bottomRight" activeCell="G2" sqref="G2"/>
    </sheetView>
  </sheetViews>
  <sheetFormatPr defaultColWidth="8.6640625" defaultRowHeight="14" x14ac:dyDescent="0.3"/>
  <cols>
    <col min="1" max="1" width="28.9140625" customWidth="1"/>
    <col min="2" max="2" width="13.1640625" style="361" bestFit="1" customWidth="1"/>
    <col min="3" max="3" width="15.08203125" style="356" customWidth="1"/>
    <col min="4" max="4" width="3.6640625" style="356" customWidth="1"/>
    <col min="5" max="5" width="20.08203125" style="356" customWidth="1"/>
    <col min="6" max="6" width="46.1640625" customWidth="1"/>
    <col min="7" max="7" width="9" bestFit="1" customWidth="1"/>
    <col min="8" max="8" width="11" customWidth="1"/>
    <col min="9" max="9" width="10" customWidth="1"/>
    <col min="10" max="10" width="11.6640625" customWidth="1"/>
    <col min="11" max="11" width="10.58203125" bestFit="1" customWidth="1"/>
    <col min="12" max="12" width="10.4140625" bestFit="1" customWidth="1"/>
    <col min="13" max="13" width="12.6640625" bestFit="1" customWidth="1"/>
    <col min="14" max="14" width="9.6640625" customWidth="1"/>
    <col min="15" max="15" width="11.9140625" bestFit="1" customWidth="1"/>
    <col min="16" max="16" width="10.4140625" bestFit="1" customWidth="1"/>
    <col min="17" max="20" width="11" bestFit="1" customWidth="1"/>
    <col min="21" max="21" width="10.4140625" customWidth="1"/>
    <col min="22" max="22" width="13.1640625" customWidth="1"/>
    <col min="23" max="49" width="10.4140625" customWidth="1"/>
    <col min="50" max="50" width="3" customWidth="1"/>
    <col min="51" max="51" width="21.1640625" bestFit="1" customWidth="1"/>
    <col min="52" max="54" width="13.58203125" customWidth="1"/>
  </cols>
  <sheetData>
    <row r="1" spans="1:54" ht="18.5" x14ac:dyDescent="0.4">
      <c r="A1" s="7"/>
      <c r="B1" s="360" t="s">
        <v>0</v>
      </c>
      <c r="C1" s="1"/>
      <c r="D1" s="2"/>
      <c r="E1" s="3"/>
      <c r="F1" s="4" t="s">
        <v>1</v>
      </c>
      <c r="G1" s="121">
        <v>2008</v>
      </c>
      <c r="H1" s="121">
        <v>2009</v>
      </c>
      <c r="I1" s="121">
        <v>2010</v>
      </c>
      <c r="J1" s="121">
        <v>2011</v>
      </c>
      <c r="K1" s="122">
        <v>2012</v>
      </c>
      <c r="L1" s="122">
        <v>2013</v>
      </c>
      <c r="M1" s="5">
        <v>2014</v>
      </c>
      <c r="N1" s="5">
        <v>2015</v>
      </c>
      <c r="O1" s="5">
        <v>2016</v>
      </c>
      <c r="P1" s="5">
        <v>2017</v>
      </c>
      <c r="Q1" s="5">
        <v>2018</v>
      </c>
      <c r="R1" s="5">
        <v>2019</v>
      </c>
      <c r="S1" s="5">
        <v>2020</v>
      </c>
      <c r="T1" s="5">
        <v>2021</v>
      </c>
      <c r="U1" s="5">
        <v>2022</v>
      </c>
      <c r="V1" s="5">
        <v>2023</v>
      </c>
      <c r="W1" s="5">
        <v>2024</v>
      </c>
      <c r="X1" s="5">
        <v>2025</v>
      </c>
      <c r="Y1" s="5">
        <v>2026</v>
      </c>
      <c r="Z1" s="5">
        <v>2027</v>
      </c>
      <c r="AA1" s="5">
        <v>2028</v>
      </c>
      <c r="AB1" s="5">
        <v>2029</v>
      </c>
      <c r="AC1" s="5">
        <v>2030</v>
      </c>
      <c r="AD1" s="5">
        <v>2031</v>
      </c>
      <c r="AE1" s="5">
        <v>2032</v>
      </c>
      <c r="AF1" s="5">
        <v>2033</v>
      </c>
      <c r="AG1" s="5">
        <v>2034</v>
      </c>
      <c r="AH1" s="5">
        <v>2035</v>
      </c>
      <c r="AI1" s="5">
        <v>2036</v>
      </c>
      <c r="AJ1" s="5">
        <v>2037</v>
      </c>
      <c r="AK1" s="5">
        <v>2038</v>
      </c>
      <c r="AL1" s="5">
        <v>2039</v>
      </c>
      <c r="AM1" s="5">
        <v>2040</v>
      </c>
      <c r="AN1" s="5">
        <v>2041</v>
      </c>
      <c r="AO1" s="5">
        <v>2042</v>
      </c>
      <c r="AP1" s="5">
        <v>2043</v>
      </c>
      <c r="AQ1" s="5">
        <v>2044</v>
      </c>
      <c r="AR1" s="5">
        <v>2045</v>
      </c>
      <c r="AS1" s="5">
        <v>2046</v>
      </c>
      <c r="AT1" s="5">
        <v>2047</v>
      </c>
      <c r="AU1" s="5">
        <v>2048</v>
      </c>
      <c r="AV1" s="5">
        <v>2049</v>
      </c>
      <c r="AW1" s="5">
        <v>2050</v>
      </c>
      <c r="AX1" s="6"/>
      <c r="AY1" s="7"/>
      <c r="AZ1" s="7"/>
      <c r="BA1" s="7"/>
      <c r="BB1" s="7"/>
    </row>
    <row r="2" spans="1:54" ht="14.5" x14ac:dyDescent="0.3">
      <c r="B2" s="949"/>
      <c r="C2" s="944"/>
      <c r="D2" s="944"/>
      <c r="E2" s="94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row>
    <row r="3" spans="1:54" ht="26" x14ac:dyDescent="0.3">
      <c r="B3" s="949"/>
      <c r="C3" s="944"/>
      <c r="D3" s="981" t="s">
        <v>2</v>
      </c>
      <c r="E3" s="981"/>
      <c r="F3" s="981"/>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row>
    <row r="4" spans="1:54" ht="14.5" x14ac:dyDescent="0.3">
      <c r="B4" s="949"/>
      <c r="C4" s="944"/>
      <c r="D4" s="944"/>
      <c r="E4" s="944"/>
      <c r="F4" s="45"/>
      <c r="G4" s="45"/>
      <c r="H4" s="45"/>
      <c r="I4" s="8"/>
      <c r="J4" s="8"/>
      <c r="K4" s="8"/>
      <c r="L4" s="8"/>
      <c r="M4" s="8"/>
      <c r="N4" s="8"/>
      <c r="O4" s="8"/>
      <c r="P4" s="8"/>
      <c r="Q4" s="8"/>
      <c r="R4" s="8"/>
      <c r="S4" s="8"/>
      <c r="T4" s="8"/>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row>
    <row r="5" spans="1:54" ht="14.5" x14ac:dyDescent="0.3">
      <c r="B5" s="949"/>
      <c r="C5" s="944"/>
      <c r="D5" s="384"/>
      <c r="E5" s="385"/>
      <c r="F5" s="386"/>
      <c r="G5" s="386"/>
      <c r="H5" s="386"/>
      <c r="I5" s="386"/>
      <c r="J5" s="386"/>
      <c r="K5" s="386"/>
      <c r="L5" s="386"/>
      <c r="M5" s="386"/>
      <c r="N5" s="386"/>
      <c r="O5" s="386"/>
      <c r="P5" s="386"/>
      <c r="Q5" s="386"/>
      <c r="R5" s="386"/>
      <c r="S5" s="386"/>
      <c r="T5" s="386"/>
      <c r="U5" s="386"/>
      <c r="V5" s="386"/>
      <c r="W5" s="386"/>
      <c r="X5" s="386"/>
      <c r="Y5" s="386"/>
      <c r="Z5" s="386"/>
      <c r="AA5" s="386"/>
      <c r="AB5" s="386"/>
      <c r="AC5" s="386"/>
      <c r="AD5" s="386"/>
      <c r="AE5" s="386"/>
      <c r="AF5" s="386"/>
      <c r="AG5" s="386"/>
      <c r="AH5" s="386"/>
      <c r="AI5" s="386"/>
      <c r="AJ5" s="386"/>
      <c r="AK5" s="386"/>
      <c r="AL5" s="386"/>
      <c r="AM5" s="386"/>
      <c r="AN5" s="386"/>
      <c r="AO5" s="386"/>
      <c r="AP5" s="386"/>
      <c r="AQ5" s="386"/>
      <c r="AR5" s="386"/>
      <c r="AS5" s="386"/>
      <c r="AT5" s="386"/>
      <c r="AU5" s="386"/>
      <c r="AV5" s="386"/>
      <c r="AW5" s="386"/>
      <c r="AX5" s="387"/>
    </row>
    <row r="6" spans="1:54" ht="15.5" x14ac:dyDescent="0.3">
      <c r="B6" s="949"/>
      <c r="C6" s="944"/>
      <c r="D6" s="388"/>
      <c r="E6" s="362" t="s">
        <v>3</v>
      </c>
      <c r="F6" s="389" t="s">
        <v>4</v>
      </c>
      <c r="G6" s="390"/>
      <c r="H6" s="390"/>
      <c r="I6" s="390"/>
      <c r="J6" s="390"/>
      <c r="K6" s="390"/>
      <c r="L6" s="390"/>
      <c r="M6" s="390"/>
      <c r="N6" s="390"/>
      <c r="O6" s="390"/>
      <c r="P6" s="390"/>
      <c r="Q6" s="390"/>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0"/>
      <c r="AV6" s="390"/>
      <c r="AW6" s="390"/>
      <c r="AX6" s="391"/>
    </row>
    <row r="7" spans="1:54" ht="15.5" x14ac:dyDescent="0.3">
      <c r="B7" s="949"/>
      <c r="C7" s="944"/>
      <c r="D7" s="388"/>
      <c r="E7" s="392"/>
      <c r="F7" s="393" t="s">
        <v>5</v>
      </c>
      <c r="G7" s="390"/>
      <c r="H7" s="390"/>
      <c r="I7" s="390"/>
      <c r="J7" s="390"/>
      <c r="K7" s="390"/>
      <c r="L7" s="390"/>
      <c r="M7" s="390"/>
      <c r="N7" s="390"/>
      <c r="O7" s="390"/>
      <c r="P7" s="390"/>
      <c r="Q7" s="390"/>
      <c r="R7" s="390"/>
      <c r="S7" s="390"/>
      <c r="T7" s="390"/>
      <c r="U7" s="390"/>
      <c r="V7" s="390"/>
      <c r="W7" s="390"/>
      <c r="X7" s="390"/>
      <c r="Y7" s="390"/>
      <c r="Z7" s="390"/>
      <c r="AA7" s="390"/>
      <c r="AB7" s="390"/>
      <c r="AC7" s="390"/>
      <c r="AD7" s="390"/>
      <c r="AE7" s="390"/>
      <c r="AF7" s="390"/>
      <c r="AG7" s="390"/>
      <c r="AH7" s="390"/>
      <c r="AI7" s="390"/>
      <c r="AJ7" s="390"/>
      <c r="AK7" s="390"/>
      <c r="AL7" s="390"/>
      <c r="AM7" s="390"/>
      <c r="AN7" s="390"/>
      <c r="AO7" s="390"/>
      <c r="AP7" s="390"/>
      <c r="AQ7" s="390"/>
      <c r="AR7" s="390"/>
      <c r="AS7" s="390"/>
      <c r="AT7" s="390"/>
      <c r="AU7" s="390"/>
      <c r="AV7" s="390"/>
      <c r="AW7" s="390"/>
      <c r="AX7" s="391"/>
    </row>
    <row r="8" spans="1:54" x14ac:dyDescent="0.3">
      <c r="A8" s="765"/>
      <c r="B8" s="1030" t="s">
        <v>6</v>
      </c>
      <c r="C8" s="949"/>
      <c r="D8" s="780"/>
      <c r="E8" s="781"/>
      <c r="F8" s="782" t="s">
        <v>7</v>
      </c>
      <c r="G8" s="782"/>
      <c r="H8" s="782"/>
      <c r="I8" s="783">
        <v>3504127</v>
      </c>
      <c r="J8" s="784">
        <v>3536454</v>
      </c>
      <c r="K8" s="784">
        <v>3583056</v>
      </c>
      <c r="L8" s="784">
        <v>3538424</v>
      </c>
      <c r="M8" s="784">
        <v>5758859</v>
      </c>
      <c r="N8" s="785">
        <v>5729799</v>
      </c>
      <c r="O8" s="785">
        <v>5773290</v>
      </c>
      <c r="P8" s="785">
        <v>5675402</v>
      </c>
      <c r="Q8" s="786">
        <v>5740641</v>
      </c>
      <c r="R8" s="786">
        <v>6040896</v>
      </c>
      <c r="S8" s="786">
        <v>6112324</v>
      </c>
      <c r="T8" s="786">
        <v>5900560</v>
      </c>
      <c r="U8" s="787">
        <v>5900560</v>
      </c>
      <c r="V8" s="787">
        <v>5900560</v>
      </c>
      <c r="W8" s="787">
        <v>5900560</v>
      </c>
      <c r="X8" s="787">
        <v>5900560</v>
      </c>
      <c r="Y8" s="787">
        <v>5900560</v>
      </c>
      <c r="Z8" s="787">
        <v>5900560</v>
      </c>
      <c r="AA8" s="787">
        <v>5900560</v>
      </c>
      <c r="AB8" s="787">
        <v>5900560</v>
      </c>
      <c r="AC8" s="787">
        <v>5900560</v>
      </c>
      <c r="AD8" s="787">
        <v>5900560</v>
      </c>
      <c r="AE8" s="787">
        <v>5900560</v>
      </c>
      <c r="AF8" s="787">
        <v>5900560</v>
      </c>
      <c r="AG8" s="787">
        <v>5900560</v>
      </c>
      <c r="AH8" s="787">
        <v>5900560</v>
      </c>
      <c r="AI8" s="787">
        <v>5900560</v>
      </c>
      <c r="AJ8" s="787">
        <v>5900560</v>
      </c>
      <c r="AK8" s="787">
        <v>5900560</v>
      </c>
      <c r="AL8" s="787">
        <v>5900560</v>
      </c>
      <c r="AM8" s="787">
        <v>5900560</v>
      </c>
      <c r="AN8" s="787">
        <v>5900560</v>
      </c>
      <c r="AO8" s="787">
        <v>5900560</v>
      </c>
      <c r="AP8" s="787">
        <v>5900560</v>
      </c>
      <c r="AQ8" s="787">
        <v>5900560</v>
      </c>
      <c r="AR8" s="787">
        <v>5900560</v>
      </c>
      <c r="AS8" s="787">
        <v>5900560</v>
      </c>
      <c r="AT8" s="787">
        <v>5900560</v>
      </c>
      <c r="AU8" s="787">
        <v>5900560</v>
      </c>
      <c r="AV8" s="787">
        <v>5900560</v>
      </c>
      <c r="AW8" s="787">
        <v>5900560</v>
      </c>
      <c r="AX8" s="788"/>
      <c r="AY8" s="765"/>
      <c r="AZ8" s="765"/>
      <c r="BA8" s="765"/>
      <c r="BB8" s="765"/>
    </row>
    <row r="9" spans="1:54" x14ac:dyDescent="0.3">
      <c r="A9" s="765"/>
      <c r="B9" s="1030"/>
      <c r="C9" s="949"/>
      <c r="D9" s="780"/>
      <c r="E9" s="781"/>
      <c r="F9" s="782" t="s">
        <v>8</v>
      </c>
      <c r="G9" s="782"/>
      <c r="H9" s="782"/>
      <c r="I9" s="783">
        <v>1391379</v>
      </c>
      <c r="J9" s="784">
        <v>1379473</v>
      </c>
      <c r="K9" s="784">
        <v>1382918</v>
      </c>
      <c r="L9" s="784">
        <v>1469363</v>
      </c>
      <c r="M9" s="784">
        <v>1417104</v>
      </c>
      <c r="N9" s="785">
        <v>1483366</v>
      </c>
      <c r="O9" s="785">
        <v>1439117</v>
      </c>
      <c r="P9" s="785">
        <v>1430497</v>
      </c>
      <c r="Q9" s="786">
        <v>1385805</v>
      </c>
      <c r="R9" s="786">
        <v>1439504</v>
      </c>
      <c r="S9" s="786">
        <v>1442973</v>
      </c>
      <c r="T9" s="786">
        <v>1423372</v>
      </c>
      <c r="U9" s="787">
        <v>1423372</v>
      </c>
      <c r="V9" s="787">
        <v>1423372</v>
      </c>
      <c r="W9" s="787">
        <v>1423372</v>
      </c>
      <c r="X9" s="787">
        <v>1423372</v>
      </c>
      <c r="Y9" s="787">
        <v>1423372</v>
      </c>
      <c r="Z9" s="787">
        <v>1423372</v>
      </c>
      <c r="AA9" s="787">
        <v>1423372</v>
      </c>
      <c r="AB9" s="787">
        <v>1423372</v>
      </c>
      <c r="AC9" s="787">
        <v>1423372</v>
      </c>
      <c r="AD9" s="787">
        <v>1423372</v>
      </c>
      <c r="AE9" s="787">
        <v>1423372</v>
      </c>
      <c r="AF9" s="787">
        <v>1423372</v>
      </c>
      <c r="AG9" s="787">
        <v>1423372</v>
      </c>
      <c r="AH9" s="787">
        <v>1423372</v>
      </c>
      <c r="AI9" s="787">
        <v>1423372</v>
      </c>
      <c r="AJ9" s="787">
        <v>1423372</v>
      </c>
      <c r="AK9" s="787">
        <v>1423372</v>
      </c>
      <c r="AL9" s="787">
        <v>1423372</v>
      </c>
      <c r="AM9" s="787">
        <v>1423372</v>
      </c>
      <c r="AN9" s="787">
        <v>1423372</v>
      </c>
      <c r="AO9" s="787">
        <v>1423372</v>
      </c>
      <c r="AP9" s="787">
        <v>1423372</v>
      </c>
      <c r="AQ9" s="787">
        <v>1423372</v>
      </c>
      <c r="AR9" s="787">
        <v>1423372</v>
      </c>
      <c r="AS9" s="787">
        <v>1423372</v>
      </c>
      <c r="AT9" s="787">
        <v>1423372</v>
      </c>
      <c r="AU9" s="787">
        <v>1423372</v>
      </c>
      <c r="AV9" s="787">
        <v>1423372</v>
      </c>
      <c r="AW9" s="787">
        <v>1423372</v>
      </c>
      <c r="AX9" s="788"/>
      <c r="AY9" s="765"/>
      <c r="AZ9" s="765"/>
      <c r="BA9" s="765"/>
      <c r="BB9" s="765"/>
    </row>
    <row r="10" spans="1:54" ht="14.5" x14ac:dyDescent="0.3">
      <c r="B10" s="1030"/>
      <c r="C10" s="944"/>
      <c r="D10" s="388"/>
      <c r="E10" s="392"/>
      <c r="F10" s="394" t="s">
        <v>9</v>
      </c>
      <c r="G10" s="394"/>
      <c r="H10" s="394"/>
      <c r="I10" s="951">
        <v>992369</v>
      </c>
      <c r="J10" s="951">
        <v>982312</v>
      </c>
      <c r="K10" s="951">
        <v>1020870</v>
      </c>
      <c r="L10" s="951">
        <v>1003271</v>
      </c>
      <c r="M10" s="951">
        <v>876498</v>
      </c>
      <c r="N10" s="951">
        <v>950649</v>
      </c>
      <c r="O10" s="951">
        <v>849685</v>
      </c>
      <c r="P10" s="951">
        <v>904224</v>
      </c>
      <c r="Q10" s="951">
        <v>799494</v>
      </c>
      <c r="R10" s="951">
        <v>769708</v>
      </c>
      <c r="S10" s="951">
        <v>822516</v>
      </c>
      <c r="T10" s="951">
        <v>841994</v>
      </c>
      <c r="U10" s="395">
        <v>841994</v>
      </c>
      <c r="V10" s="395">
        <v>841994</v>
      </c>
      <c r="W10" s="395">
        <v>841994</v>
      </c>
      <c r="X10" s="395">
        <v>841994</v>
      </c>
      <c r="Y10" s="395">
        <v>841994</v>
      </c>
      <c r="Z10" s="395">
        <v>841994</v>
      </c>
      <c r="AA10" s="395">
        <v>841994</v>
      </c>
      <c r="AB10" s="395">
        <v>841994</v>
      </c>
      <c r="AC10" s="395">
        <v>841994</v>
      </c>
      <c r="AD10" s="395">
        <v>841994</v>
      </c>
      <c r="AE10" s="395">
        <v>841994</v>
      </c>
      <c r="AF10" s="395">
        <v>841994</v>
      </c>
      <c r="AG10" s="395">
        <v>841994</v>
      </c>
      <c r="AH10" s="395">
        <v>841994</v>
      </c>
      <c r="AI10" s="395">
        <v>841994</v>
      </c>
      <c r="AJ10" s="395">
        <v>841994</v>
      </c>
      <c r="AK10" s="395">
        <v>841994</v>
      </c>
      <c r="AL10" s="395">
        <v>841994</v>
      </c>
      <c r="AM10" s="395">
        <v>841994</v>
      </c>
      <c r="AN10" s="395">
        <v>841994</v>
      </c>
      <c r="AO10" s="395">
        <v>841994</v>
      </c>
      <c r="AP10" s="395">
        <v>841994</v>
      </c>
      <c r="AQ10" s="395">
        <v>841994</v>
      </c>
      <c r="AR10" s="395">
        <v>841994</v>
      </c>
      <c r="AS10" s="395">
        <v>841994</v>
      </c>
      <c r="AT10" s="395">
        <v>841994</v>
      </c>
      <c r="AU10" s="395">
        <v>841994</v>
      </c>
      <c r="AV10" s="395">
        <v>841994</v>
      </c>
      <c r="AW10" s="395">
        <v>841994</v>
      </c>
      <c r="AX10" s="391"/>
    </row>
    <row r="11" spans="1:54" ht="14.5" x14ac:dyDescent="0.3">
      <c r="B11" s="1030"/>
      <c r="C11" s="944"/>
      <c r="D11" s="388"/>
      <c r="E11" s="392"/>
      <c r="F11" s="394" t="s">
        <v>10</v>
      </c>
      <c r="G11" s="394"/>
      <c r="H11" s="394"/>
      <c r="I11" s="951">
        <v>193957</v>
      </c>
      <c r="J11" s="396">
        <v>173442</v>
      </c>
      <c r="K11" s="396">
        <v>126982</v>
      </c>
      <c r="L11" s="396">
        <v>191159</v>
      </c>
      <c r="M11" s="396">
        <v>93574</v>
      </c>
      <c r="N11" s="396">
        <v>117390</v>
      </c>
      <c r="O11" s="396">
        <v>125946</v>
      </c>
      <c r="P11" s="396">
        <v>129268</v>
      </c>
      <c r="Q11" s="951">
        <v>168446</v>
      </c>
      <c r="R11" s="951">
        <v>219492</v>
      </c>
      <c r="S11" s="951">
        <v>215014</v>
      </c>
      <c r="T11" s="951">
        <v>163017</v>
      </c>
      <c r="U11" s="395">
        <v>163017</v>
      </c>
      <c r="V11" s="395">
        <v>163017</v>
      </c>
      <c r="W11" s="395">
        <v>163017</v>
      </c>
      <c r="X11" s="395">
        <v>163017</v>
      </c>
      <c r="Y11" s="395">
        <v>163017</v>
      </c>
      <c r="Z11" s="395">
        <v>163017</v>
      </c>
      <c r="AA11" s="395">
        <v>163017</v>
      </c>
      <c r="AB11" s="395">
        <v>163017</v>
      </c>
      <c r="AC11" s="395">
        <v>163017</v>
      </c>
      <c r="AD11" s="395">
        <v>163017</v>
      </c>
      <c r="AE11" s="395">
        <v>163017</v>
      </c>
      <c r="AF11" s="395">
        <v>163017</v>
      </c>
      <c r="AG11" s="395">
        <v>163017</v>
      </c>
      <c r="AH11" s="395">
        <v>163017</v>
      </c>
      <c r="AI11" s="395">
        <v>163017</v>
      </c>
      <c r="AJ11" s="395">
        <v>163017</v>
      </c>
      <c r="AK11" s="395">
        <v>163017</v>
      </c>
      <c r="AL11" s="395">
        <v>163017</v>
      </c>
      <c r="AM11" s="395">
        <v>163017</v>
      </c>
      <c r="AN11" s="395">
        <v>163017</v>
      </c>
      <c r="AO11" s="395">
        <v>163017</v>
      </c>
      <c r="AP11" s="395">
        <v>163017</v>
      </c>
      <c r="AQ11" s="395">
        <v>163017</v>
      </c>
      <c r="AR11" s="395">
        <v>163017</v>
      </c>
      <c r="AS11" s="395">
        <v>163017</v>
      </c>
      <c r="AT11" s="395">
        <v>163017</v>
      </c>
      <c r="AU11" s="395">
        <v>163017</v>
      </c>
      <c r="AV11" s="395">
        <v>163017</v>
      </c>
      <c r="AW11" s="395">
        <v>163017</v>
      </c>
      <c r="AX11" s="391"/>
    </row>
    <row r="12" spans="1:54" ht="14.5" x14ac:dyDescent="0.3">
      <c r="B12" s="1030"/>
      <c r="C12" s="944"/>
      <c r="D12" s="388"/>
      <c r="E12" s="392"/>
      <c r="F12" s="394" t="s">
        <v>11</v>
      </c>
      <c r="G12" s="394"/>
      <c r="H12" s="394"/>
      <c r="I12" s="951">
        <v>217058</v>
      </c>
      <c r="J12" s="396">
        <v>210584</v>
      </c>
      <c r="K12" s="396">
        <v>205657</v>
      </c>
      <c r="L12" s="396">
        <v>216225</v>
      </c>
      <c r="M12" s="396">
        <v>468180</v>
      </c>
      <c r="N12" s="396">
        <v>612090</v>
      </c>
      <c r="O12" s="396">
        <v>719109</v>
      </c>
      <c r="P12" s="396">
        <v>757791</v>
      </c>
      <c r="Q12" s="951">
        <v>796518</v>
      </c>
      <c r="R12" s="951">
        <v>662305</v>
      </c>
      <c r="S12" s="951">
        <v>681476</v>
      </c>
      <c r="T12" s="951">
        <v>712757</v>
      </c>
      <c r="U12" s="395">
        <v>712757</v>
      </c>
      <c r="V12" s="395">
        <v>712757</v>
      </c>
      <c r="W12" s="395">
        <v>712757</v>
      </c>
      <c r="X12" s="395">
        <v>712757</v>
      </c>
      <c r="Y12" s="395">
        <v>712757</v>
      </c>
      <c r="Z12" s="395">
        <v>712757</v>
      </c>
      <c r="AA12" s="395">
        <v>712757</v>
      </c>
      <c r="AB12" s="395">
        <v>712757</v>
      </c>
      <c r="AC12" s="395">
        <v>712757</v>
      </c>
      <c r="AD12" s="395">
        <v>712757</v>
      </c>
      <c r="AE12" s="395">
        <v>712757</v>
      </c>
      <c r="AF12" s="395">
        <v>712757</v>
      </c>
      <c r="AG12" s="395">
        <v>712757</v>
      </c>
      <c r="AH12" s="395">
        <v>712757</v>
      </c>
      <c r="AI12" s="395">
        <v>712757</v>
      </c>
      <c r="AJ12" s="395">
        <v>712757</v>
      </c>
      <c r="AK12" s="395">
        <v>712757</v>
      </c>
      <c r="AL12" s="395">
        <v>712757</v>
      </c>
      <c r="AM12" s="395">
        <v>712757</v>
      </c>
      <c r="AN12" s="395">
        <v>712757</v>
      </c>
      <c r="AO12" s="395">
        <v>712757</v>
      </c>
      <c r="AP12" s="395">
        <v>712757</v>
      </c>
      <c r="AQ12" s="395">
        <v>712757</v>
      </c>
      <c r="AR12" s="395">
        <v>712757</v>
      </c>
      <c r="AS12" s="395">
        <v>712757</v>
      </c>
      <c r="AT12" s="395">
        <v>712757</v>
      </c>
      <c r="AU12" s="395">
        <v>712757</v>
      </c>
      <c r="AV12" s="395">
        <v>712757</v>
      </c>
      <c r="AW12" s="395">
        <v>712757</v>
      </c>
      <c r="AX12" s="391"/>
      <c r="AY12" s="363"/>
      <c r="AZ12" s="363"/>
      <c r="BA12" s="363"/>
      <c r="BB12" s="363"/>
    </row>
    <row r="13" spans="1:54" ht="14.5" x14ac:dyDescent="0.35">
      <c r="B13" s="1030"/>
      <c r="C13" s="944"/>
      <c r="D13" s="388"/>
      <c r="E13" s="392"/>
      <c r="F13" s="394" t="s">
        <v>12</v>
      </c>
      <c r="G13" s="394"/>
      <c r="H13" s="394"/>
      <c r="I13" s="396">
        <v>539475</v>
      </c>
      <c r="J13" s="396">
        <v>565857</v>
      </c>
      <c r="K13" s="396">
        <v>608272</v>
      </c>
      <c r="L13" s="396">
        <v>491891</v>
      </c>
      <c r="M13" s="396">
        <v>499258</v>
      </c>
      <c r="N13" s="396">
        <v>454347</v>
      </c>
      <c r="O13" s="397">
        <v>377791</v>
      </c>
      <c r="P13" s="396">
        <v>332418</v>
      </c>
      <c r="Q13" s="951">
        <v>252612</v>
      </c>
      <c r="R13" s="951">
        <v>270986</v>
      </c>
      <c r="S13" s="951">
        <v>249139</v>
      </c>
      <c r="T13" s="951">
        <v>233074</v>
      </c>
      <c r="U13" s="395">
        <v>233074</v>
      </c>
      <c r="V13" s="395">
        <v>233074</v>
      </c>
      <c r="W13" s="395">
        <v>233074</v>
      </c>
      <c r="X13" s="395">
        <v>233074</v>
      </c>
      <c r="Y13" s="395">
        <v>233074</v>
      </c>
      <c r="Z13" s="395">
        <v>233074</v>
      </c>
      <c r="AA13" s="395">
        <v>233074</v>
      </c>
      <c r="AB13" s="395">
        <v>233074</v>
      </c>
      <c r="AC13" s="395">
        <v>233074</v>
      </c>
      <c r="AD13" s="395">
        <v>233074</v>
      </c>
      <c r="AE13" s="395">
        <v>233074</v>
      </c>
      <c r="AF13" s="395">
        <v>233074</v>
      </c>
      <c r="AG13" s="395">
        <v>233074</v>
      </c>
      <c r="AH13" s="395">
        <v>233074</v>
      </c>
      <c r="AI13" s="395">
        <v>233074</v>
      </c>
      <c r="AJ13" s="395">
        <v>233074</v>
      </c>
      <c r="AK13" s="395">
        <v>233074</v>
      </c>
      <c r="AL13" s="395">
        <v>233074</v>
      </c>
      <c r="AM13" s="395">
        <v>233074</v>
      </c>
      <c r="AN13" s="395">
        <v>233074</v>
      </c>
      <c r="AO13" s="395">
        <v>233074</v>
      </c>
      <c r="AP13" s="395">
        <v>233074</v>
      </c>
      <c r="AQ13" s="395">
        <v>233074</v>
      </c>
      <c r="AR13" s="395">
        <v>233074</v>
      </c>
      <c r="AS13" s="395">
        <v>233074</v>
      </c>
      <c r="AT13" s="395">
        <v>233074</v>
      </c>
      <c r="AU13" s="395">
        <v>233074</v>
      </c>
      <c r="AV13" s="395">
        <v>233074</v>
      </c>
      <c r="AW13" s="395">
        <v>233074</v>
      </c>
      <c r="AX13" s="391"/>
    </row>
    <row r="14" spans="1:54" ht="14.5" x14ac:dyDescent="0.3">
      <c r="B14" s="1030"/>
      <c r="C14" s="944"/>
      <c r="D14" s="388"/>
      <c r="E14" s="392"/>
      <c r="F14" s="394" t="s">
        <v>13</v>
      </c>
      <c r="G14" s="394"/>
      <c r="H14" s="394"/>
      <c r="I14" s="951">
        <v>3409952</v>
      </c>
      <c r="J14" s="951">
        <v>3425412</v>
      </c>
      <c r="K14" s="951">
        <v>3553008</v>
      </c>
      <c r="L14" s="951">
        <v>3227321</v>
      </c>
      <c r="M14" s="951">
        <v>2259447</v>
      </c>
      <c r="N14" s="951">
        <v>2531442</v>
      </c>
      <c r="O14" s="951">
        <v>2300539</v>
      </c>
      <c r="P14" s="951">
        <v>2447634</v>
      </c>
      <c r="Q14" s="951">
        <v>2379042</v>
      </c>
      <c r="R14" s="951">
        <v>1985494</v>
      </c>
      <c r="S14" s="951">
        <v>2067795</v>
      </c>
      <c r="T14" s="951">
        <v>2376551</v>
      </c>
      <c r="U14" s="395">
        <v>2376551</v>
      </c>
      <c r="V14" s="395">
        <v>2376551</v>
      </c>
      <c r="W14" s="395">
        <v>2376551</v>
      </c>
      <c r="X14" s="395">
        <v>2376551</v>
      </c>
      <c r="Y14" s="395">
        <v>2376551</v>
      </c>
      <c r="Z14" s="395">
        <v>2376551</v>
      </c>
      <c r="AA14" s="395">
        <v>2376551</v>
      </c>
      <c r="AB14" s="395">
        <v>2376551</v>
      </c>
      <c r="AC14" s="395">
        <v>2376551</v>
      </c>
      <c r="AD14" s="395">
        <v>2376551</v>
      </c>
      <c r="AE14" s="395">
        <v>2376551</v>
      </c>
      <c r="AF14" s="395">
        <v>2376551</v>
      </c>
      <c r="AG14" s="395">
        <v>2376551</v>
      </c>
      <c r="AH14" s="395">
        <v>2376551</v>
      </c>
      <c r="AI14" s="395">
        <v>2376551</v>
      </c>
      <c r="AJ14" s="395">
        <v>2376551</v>
      </c>
      <c r="AK14" s="395">
        <v>2376551</v>
      </c>
      <c r="AL14" s="395">
        <v>2376551</v>
      </c>
      <c r="AM14" s="395">
        <v>2376551</v>
      </c>
      <c r="AN14" s="395">
        <v>2376551</v>
      </c>
      <c r="AO14" s="395">
        <v>2376551</v>
      </c>
      <c r="AP14" s="395">
        <v>2376551</v>
      </c>
      <c r="AQ14" s="395">
        <v>2376551</v>
      </c>
      <c r="AR14" s="395">
        <v>2376551</v>
      </c>
      <c r="AS14" s="395">
        <v>2376551</v>
      </c>
      <c r="AT14" s="395">
        <v>2376551</v>
      </c>
      <c r="AU14" s="395">
        <v>2376551</v>
      </c>
      <c r="AV14" s="395">
        <v>2376551</v>
      </c>
      <c r="AW14" s="395">
        <v>2376551</v>
      </c>
      <c r="AX14" s="391"/>
    </row>
    <row r="15" spans="1:54" ht="14.5" x14ac:dyDescent="0.3">
      <c r="B15" s="1030"/>
      <c r="C15" s="944"/>
      <c r="D15" s="388"/>
      <c r="E15" s="392"/>
      <c r="F15" s="394" t="s">
        <v>14</v>
      </c>
      <c r="G15" s="394"/>
      <c r="H15" s="394"/>
      <c r="I15" s="951">
        <v>1509972</v>
      </c>
      <c r="J15" s="951">
        <v>1385547</v>
      </c>
      <c r="K15" s="951">
        <v>1423114</v>
      </c>
      <c r="L15" s="951">
        <v>1623359</v>
      </c>
      <c r="M15" s="951">
        <v>828333</v>
      </c>
      <c r="N15" s="951">
        <v>706777</v>
      </c>
      <c r="O15" s="951">
        <v>800496</v>
      </c>
      <c r="P15" s="951">
        <v>677911</v>
      </c>
      <c r="Q15" s="951">
        <v>715273</v>
      </c>
      <c r="R15" s="951">
        <v>915843</v>
      </c>
      <c r="S15" s="951">
        <v>841320</v>
      </c>
      <c r="T15" s="951">
        <v>646139</v>
      </c>
      <c r="U15" s="395">
        <v>646139</v>
      </c>
      <c r="V15" s="395">
        <v>646139</v>
      </c>
      <c r="W15" s="395">
        <v>646139</v>
      </c>
      <c r="X15" s="395">
        <v>646139</v>
      </c>
      <c r="Y15" s="395">
        <v>646139</v>
      </c>
      <c r="Z15" s="395">
        <v>646139</v>
      </c>
      <c r="AA15" s="395">
        <v>646139</v>
      </c>
      <c r="AB15" s="395">
        <v>646139</v>
      </c>
      <c r="AC15" s="395">
        <v>646139</v>
      </c>
      <c r="AD15" s="395">
        <v>646139</v>
      </c>
      <c r="AE15" s="395">
        <v>646139</v>
      </c>
      <c r="AF15" s="395">
        <v>646139</v>
      </c>
      <c r="AG15" s="395">
        <v>646139</v>
      </c>
      <c r="AH15" s="395">
        <v>646139</v>
      </c>
      <c r="AI15" s="395">
        <v>646139</v>
      </c>
      <c r="AJ15" s="395">
        <v>646139</v>
      </c>
      <c r="AK15" s="395">
        <v>646139</v>
      </c>
      <c r="AL15" s="395">
        <v>646139</v>
      </c>
      <c r="AM15" s="395">
        <v>646139</v>
      </c>
      <c r="AN15" s="395">
        <v>646139</v>
      </c>
      <c r="AO15" s="395">
        <v>646139</v>
      </c>
      <c r="AP15" s="395">
        <v>646139</v>
      </c>
      <c r="AQ15" s="395">
        <v>646139</v>
      </c>
      <c r="AR15" s="395">
        <v>646139</v>
      </c>
      <c r="AS15" s="395">
        <v>646139</v>
      </c>
      <c r="AT15" s="395">
        <v>646139</v>
      </c>
      <c r="AU15" s="395">
        <v>646139</v>
      </c>
      <c r="AV15" s="395">
        <v>646139</v>
      </c>
      <c r="AW15" s="395">
        <v>646139</v>
      </c>
      <c r="AX15" s="391"/>
    </row>
    <row r="16" spans="1:54" ht="15.5" x14ac:dyDescent="0.3">
      <c r="B16" s="949"/>
      <c r="C16" s="944"/>
      <c r="D16" s="388"/>
      <c r="E16" s="392"/>
      <c r="F16" s="393" t="s">
        <v>15</v>
      </c>
      <c r="G16" s="390"/>
      <c r="H16" s="390"/>
      <c r="I16" s="390"/>
      <c r="J16" s="390"/>
      <c r="K16" s="390"/>
      <c r="L16" s="390"/>
      <c r="M16" s="390"/>
      <c r="N16" s="390"/>
      <c r="O16" s="390"/>
      <c r="P16" s="390"/>
      <c r="Q16" s="390"/>
      <c r="R16" s="390"/>
      <c r="S16" s="390"/>
      <c r="T16" s="390"/>
      <c r="U16" s="390"/>
      <c r="V16" s="390"/>
      <c r="W16" s="390"/>
      <c r="X16" s="390"/>
      <c r="Y16" s="390"/>
      <c r="Z16" s="390"/>
      <c r="AA16" s="390"/>
      <c r="AB16" s="390"/>
      <c r="AC16" s="390"/>
      <c r="AD16" s="390"/>
      <c r="AE16" s="390"/>
      <c r="AF16" s="390"/>
      <c r="AG16" s="390"/>
      <c r="AH16" s="390"/>
      <c r="AI16" s="390"/>
      <c r="AJ16" s="390"/>
      <c r="AK16" s="390"/>
      <c r="AL16" s="390"/>
      <c r="AM16" s="390"/>
      <c r="AN16" s="390"/>
      <c r="AO16" s="390"/>
      <c r="AP16" s="390"/>
      <c r="AQ16" s="390"/>
      <c r="AR16" s="390"/>
      <c r="AS16" s="390"/>
      <c r="AT16" s="390"/>
      <c r="AU16" s="390"/>
      <c r="AV16" s="390"/>
      <c r="AW16" s="390"/>
      <c r="AX16" s="391"/>
    </row>
    <row r="17" spans="1:54" x14ac:dyDescent="0.3">
      <c r="A17" s="765"/>
      <c r="B17" s="1030" t="s">
        <v>6</v>
      </c>
      <c r="C17" s="949"/>
      <c r="D17" s="780"/>
      <c r="E17" s="781"/>
      <c r="F17" s="782" t="s">
        <v>16</v>
      </c>
      <c r="G17" s="782"/>
      <c r="H17" s="782"/>
      <c r="I17" s="789">
        <f t="shared" ref="I17:AW23" si="0">I8/1000000</f>
        <v>3.504127</v>
      </c>
      <c r="J17" s="789">
        <f t="shared" si="0"/>
        <v>3.536454</v>
      </c>
      <c r="K17" s="789">
        <f t="shared" si="0"/>
        <v>3.583056</v>
      </c>
      <c r="L17" s="789">
        <f t="shared" si="0"/>
        <v>3.538424</v>
      </c>
      <c r="M17" s="789">
        <f t="shared" si="0"/>
        <v>5.7588590000000002</v>
      </c>
      <c r="N17" s="789">
        <f t="shared" si="0"/>
        <v>5.7297989999999999</v>
      </c>
      <c r="O17" s="789">
        <f t="shared" si="0"/>
        <v>5.7732900000000003</v>
      </c>
      <c r="P17" s="789">
        <f t="shared" si="0"/>
        <v>5.6754020000000001</v>
      </c>
      <c r="Q17" s="789">
        <f t="shared" si="0"/>
        <v>5.7406410000000001</v>
      </c>
      <c r="R17" s="789">
        <f t="shared" si="0"/>
        <v>6.040896</v>
      </c>
      <c r="S17" s="789">
        <f t="shared" si="0"/>
        <v>6.1123240000000001</v>
      </c>
      <c r="T17" s="789">
        <f t="shared" si="0"/>
        <v>5.9005599999999996</v>
      </c>
      <c r="U17" s="790">
        <f t="shared" si="0"/>
        <v>5.9005599999999996</v>
      </c>
      <c r="V17" s="790">
        <f t="shared" si="0"/>
        <v>5.9005599999999996</v>
      </c>
      <c r="W17" s="790">
        <f t="shared" si="0"/>
        <v>5.9005599999999996</v>
      </c>
      <c r="X17" s="790">
        <f t="shared" si="0"/>
        <v>5.9005599999999996</v>
      </c>
      <c r="Y17" s="790">
        <f t="shared" si="0"/>
        <v>5.9005599999999996</v>
      </c>
      <c r="Z17" s="790">
        <f t="shared" si="0"/>
        <v>5.9005599999999996</v>
      </c>
      <c r="AA17" s="790">
        <f t="shared" si="0"/>
        <v>5.9005599999999996</v>
      </c>
      <c r="AB17" s="790">
        <f t="shared" si="0"/>
        <v>5.9005599999999996</v>
      </c>
      <c r="AC17" s="790">
        <f t="shared" si="0"/>
        <v>5.9005599999999996</v>
      </c>
      <c r="AD17" s="790">
        <f t="shared" si="0"/>
        <v>5.9005599999999996</v>
      </c>
      <c r="AE17" s="790">
        <f t="shared" si="0"/>
        <v>5.9005599999999996</v>
      </c>
      <c r="AF17" s="790">
        <f t="shared" si="0"/>
        <v>5.9005599999999996</v>
      </c>
      <c r="AG17" s="790">
        <f t="shared" si="0"/>
        <v>5.9005599999999996</v>
      </c>
      <c r="AH17" s="790">
        <f t="shared" si="0"/>
        <v>5.9005599999999996</v>
      </c>
      <c r="AI17" s="790">
        <f t="shared" si="0"/>
        <v>5.9005599999999996</v>
      </c>
      <c r="AJ17" s="790">
        <f t="shared" si="0"/>
        <v>5.9005599999999996</v>
      </c>
      <c r="AK17" s="790">
        <f t="shared" si="0"/>
        <v>5.9005599999999996</v>
      </c>
      <c r="AL17" s="790">
        <f t="shared" si="0"/>
        <v>5.9005599999999996</v>
      </c>
      <c r="AM17" s="790">
        <f t="shared" si="0"/>
        <v>5.9005599999999996</v>
      </c>
      <c r="AN17" s="790">
        <f t="shared" si="0"/>
        <v>5.9005599999999996</v>
      </c>
      <c r="AO17" s="790">
        <f t="shared" si="0"/>
        <v>5.9005599999999996</v>
      </c>
      <c r="AP17" s="790">
        <f t="shared" si="0"/>
        <v>5.9005599999999996</v>
      </c>
      <c r="AQ17" s="790">
        <f t="shared" si="0"/>
        <v>5.9005599999999996</v>
      </c>
      <c r="AR17" s="790">
        <f t="shared" si="0"/>
        <v>5.9005599999999996</v>
      </c>
      <c r="AS17" s="790">
        <f t="shared" si="0"/>
        <v>5.9005599999999996</v>
      </c>
      <c r="AT17" s="790">
        <f t="shared" si="0"/>
        <v>5.9005599999999996</v>
      </c>
      <c r="AU17" s="790">
        <f t="shared" si="0"/>
        <v>5.9005599999999996</v>
      </c>
      <c r="AV17" s="790">
        <f t="shared" si="0"/>
        <v>5.9005599999999996</v>
      </c>
      <c r="AW17" s="790">
        <f t="shared" si="0"/>
        <v>5.9005599999999996</v>
      </c>
      <c r="AX17" s="788"/>
      <c r="AY17" s="765"/>
      <c r="AZ17" s="765"/>
      <c r="BA17" s="765"/>
      <c r="BB17" s="765"/>
    </row>
    <row r="18" spans="1:54" x14ac:dyDescent="0.3">
      <c r="A18" s="765"/>
      <c r="B18" s="1030"/>
      <c r="C18" s="949"/>
      <c r="D18" s="780"/>
      <c r="E18" s="781"/>
      <c r="F18" s="782" t="s">
        <v>17</v>
      </c>
      <c r="G18" s="782"/>
      <c r="H18" s="782"/>
      <c r="I18" s="789">
        <f t="shared" si="0"/>
        <v>1.3913789999999999</v>
      </c>
      <c r="J18" s="789">
        <f t="shared" si="0"/>
        <v>1.3794729999999999</v>
      </c>
      <c r="K18" s="789">
        <f t="shared" si="0"/>
        <v>1.3829180000000001</v>
      </c>
      <c r="L18" s="789">
        <f t="shared" si="0"/>
        <v>1.469363</v>
      </c>
      <c r="M18" s="789">
        <f t="shared" si="0"/>
        <v>1.4171039999999999</v>
      </c>
      <c r="N18" s="789">
        <f t="shared" si="0"/>
        <v>1.483366</v>
      </c>
      <c r="O18" s="789">
        <f t="shared" si="0"/>
        <v>1.439117</v>
      </c>
      <c r="P18" s="789">
        <f t="shared" si="0"/>
        <v>1.4304969999999999</v>
      </c>
      <c r="Q18" s="789">
        <f t="shared" si="0"/>
        <v>1.385805</v>
      </c>
      <c r="R18" s="789">
        <f t="shared" si="0"/>
        <v>1.4395039999999999</v>
      </c>
      <c r="S18" s="789">
        <f t="shared" si="0"/>
        <v>1.4429730000000001</v>
      </c>
      <c r="T18" s="789">
        <f t="shared" si="0"/>
        <v>1.4233720000000001</v>
      </c>
      <c r="U18" s="790">
        <f t="shared" si="0"/>
        <v>1.4233720000000001</v>
      </c>
      <c r="V18" s="790">
        <f t="shared" si="0"/>
        <v>1.4233720000000001</v>
      </c>
      <c r="W18" s="790">
        <f t="shared" si="0"/>
        <v>1.4233720000000001</v>
      </c>
      <c r="X18" s="790">
        <f t="shared" si="0"/>
        <v>1.4233720000000001</v>
      </c>
      <c r="Y18" s="790">
        <f t="shared" si="0"/>
        <v>1.4233720000000001</v>
      </c>
      <c r="Z18" s="790">
        <f t="shared" si="0"/>
        <v>1.4233720000000001</v>
      </c>
      <c r="AA18" s="790">
        <f t="shared" si="0"/>
        <v>1.4233720000000001</v>
      </c>
      <c r="AB18" s="790">
        <f t="shared" si="0"/>
        <v>1.4233720000000001</v>
      </c>
      <c r="AC18" s="790">
        <f t="shared" si="0"/>
        <v>1.4233720000000001</v>
      </c>
      <c r="AD18" s="790">
        <f t="shared" si="0"/>
        <v>1.4233720000000001</v>
      </c>
      <c r="AE18" s="790">
        <f t="shared" si="0"/>
        <v>1.4233720000000001</v>
      </c>
      <c r="AF18" s="790">
        <f t="shared" si="0"/>
        <v>1.4233720000000001</v>
      </c>
      <c r="AG18" s="790">
        <f t="shared" si="0"/>
        <v>1.4233720000000001</v>
      </c>
      <c r="AH18" s="790">
        <f t="shared" si="0"/>
        <v>1.4233720000000001</v>
      </c>
      <c r="AI18" s="790">
        <f t="shared" si="0"/>
        <v>1.4233720000000001</v>
      </c>
      <c r="AJ18" s="790">
        <f t="shared" si="0"/>
        <v>1.4233720000000001</v>
      </c>
      <c r="AK18" s="790">
        <f t="shared" si="0"/>
        <v>1.4233720000000001</v>
      </c>
      <c r="AL18" s="790">
        <f t="shared" si="0"/>
        <v>1.4233720000000001</v>
      </c>
      <c r="AM18" s="790">
        <f t="shared" si="0"/>
        <v>1.4233720000000001</v>
      </c>
      <c r="AN18" s="790">
        <f t="shared" si="0"/>
        <v>1.4233720000000001</v>
      </c>
      <c r="AO18" s="790">
        <f t="shared" si="0"/>
        <v>1.4233720000000001</v>
      </c>
      <c r="AP18" s="790">
        <f t="shared" si="0"/>
        <v>1.4233720000000001</v>
      </c>
      <c r="AQ18" s="790">
        <f t="shared" si="0"/>
        <v>1.4233720000000001</v>
      </c>
      <c r="AR18" s="790">
        <f t="shared" si="0"/>
        <v>1.4233720000000001</v>
      </c>
      <c r="AS18" s="790">
        <f t="shared" si="0"/>
        <v>1.4233720000000001</v>
      </c>
      <c r="AT18" s="790">
        <f t="shared" si="0"/>
        <v>1.4233720000000001</v>
      </c>
      <c r="AU18" s="790">
        <f t="shared" si="0"/>
        <v>1.4233720000000001</v>
      </c>
      <c r="AV18" s="790">
        <f t="shared" si="0"/>
        <v>1.4233720000000001</v>
      </c>
      <c r="AW18" s="790">
        <f t="shared" si="0"/>
        <v>1.4233720000000001</v>
      </c>
      <c r="AX18" s="788"/>
      <c r="AY18" s="765"/>
      <c r="AZ18" s="765"/>
      <c r="BA18" s="765"/>
      <c r="BB18" s="765"/>
    </row>
    <row r="19" spans="1:54" ht="14.5" x14ac:dyDescent="0.3">
      <c r="B19" s="1030"/>
      <c r="C19" s="944"/>
      <c r="D19" s="388"/>
      <c r="E19" s="392"/>
      <c r="F19" s="394" t="s">
        <v>18</v>
      </c>
      <c r="G19" s="394"/>
      <c r="H19" s="394"/>
      <c r="I19" s="789">
        <f t="shared" si="0"/>
        <v>0.99236899999999995</v>
      </c>
      <c r="J19" s="789">
        <f t="shared" si="0"/>
        <v>0.98231199999999996</v>
      </c>
      <c r="K19" s="789">
        <f t="shared" si="0"/>
        <v>1.0208699999999999</v>
      </c>
      <c r="L19" s="789">
        <f t="shared" si="0"/>
        <v>1.003271</v>
      </c>
      <c r="M19" s="789">
        <f t="shared" si="0"/>
        <v>0.876498</v>
      </c>
      <c r="N19" s="789">
        <f t="shared" si="0"/>
        <v>0.95064899999999997</v>
      </c>
      <c r="O19" s="789">
        <f t="shared" si="0"/>
        <v>0.84968500000000002</v>
      </c>
      <c r="P19" s="789">
        <f t="shared" si="0"/>
        <v>0.90422400000000003</v>
      </c>
      <c r="Q19" s="789">
        <f t="shared" si="0"/>
        <v>0.79949400000000004</v>
      </c>
      <c r="R19" s="789">
        <f t="shared" si="0"/>
        <v>0.76970799999999995</v>
      </c>
      <c r="S19" s="789">
        <f t="shared" si="0"/>
        <v>0.82251600000000002</v>
      </c>
      <c r="T19" s="789">
        <f t="shared" si="0"/>
        <v>0.84199400000000002</v>
      </c>
      <c r="U19" s="790">
        <f t="shared" si="0"/>
        <v>0.84199400000000002</v>
      </c>
      <c r="V19" s="790">
        <f t="shared" si="0"/>
        <v>0.84199400000000002</v>
      </c>
      <c r="W19" s="790">
        <f t="shared" si="0"/>
        <v>0.84199400000000002</v>
      </c>
      <c r="X19" s="790">
        <f t="shared" si="0"/>
        <v>0.84199400000000002</v>
      </c>
      <c r="Y19" s="790">
        <f t="shared" si="0"/>
        <v>0.84199400000000002</v>
      </c>
      <c r="Z19" s="790">
        <f t="shared" si="0"/>
        <v>0.84199400000000002</v>
      </c>
      <c r="AA19" s="790">
        <f t="shared" si="0"/>
        <v>0.84199400000000002</v>
      </c>
      <c r="AB19" s="790">
        <f t="shared" si="0"/>
        <v>0.84199400000000002</v>
      </c>
      <c r="AC19" s="790">
        <f t="shared" si="0"/>
        <v>0.84199400000000002</v>
      </c>
      <c r="AD19" s="790">
        <f t="shared" si="0"/>
        <v>0.84199400000000002</v>
      </c>
      <c r="AE19" s="790">
        <f t="shared" si="0"/>
        <v>0.84199400000000002</v>
      </c>
      <c r="AF19" s="790">
        <f t="shared" si="0"/>
        <v>0.84199400000000002</v>
      </c>
      <c r="AG19" s="790">
        <f t="shared" si="0"/>
        <v>0.84199400000000002</v>
      </c>
      <c r="AH19" s="790">
        <f t="shared" si="0"/>
        <v>0.84199400000000002</v>
      </c>
      <c r="AI19" s="790">
        <f t="shared" si="0"/>
        <v>0.84199400000000002</v>
      </c>
      <c r="AJ19" s="790">
        <f t="shared" si="0"/>
        <v>0.84199400000000002</v>
      </c>
      <c r="AK19" s="790">
        <f t="shared" si="0"/>
        <v>0.84199400000000002</v>
      </c>
      <c r="AL19" s="790">
        <f t="shared" si="0"/>
        <v>0.84199400000000002</v>
      </c>
      <c r="AM19" s="790">
        <f t="shared" si="0"/>
        <v>0.84199400000000002</v>
      </c>
      <c r="AN19" s="790">
        <f t="shared" si="0"/>
        <v>0.84199400000000002</v>
      </c>
      <c r="AO19" s="790">
        <f t="shared" si="0"/>
        <v>0.84199400000000002</v>
      </c>
      <c r="AP19" s="790">
        <f t="shared" si="0"/>
        <v>0.84199400000000002</v>
      </c>
      <c r="AQ19" s="790">
        <f t="shared" si="0"/>
        <v>0.84199400000000002</v>
      </c>
      <c r="AR19" s="790">
        <f t="shared" si="0"/>
        <v>0.84199400000000002</v>
      </c>
      <c r="AS19" s="790">
        <f t="shared" si="0"/>
        <v>0.84199400000000002</v>
      </c>
      <c r="AT19" s="790">
        <f t="shared" si="0"/>
        <v>0.84199400000000002</v>
      </c>
      <c r="AU19" s="790">
        <f t="shared" si="0"/>
        <v>0.84199400000000002</v>
      </c>
      <c r="AV19" s="790">
        <f t="shared" si="0"/>
        <v>0.84199400000000002</v>
      </c>
      <c r="AW19" s="790">
        <f t="shared" si="0"/>
        <v>0.84199400000000002</v>
      </c>
      <c r="AX19" s="391"/>
    </row>
    <row r="20" spans="1:54" ht="14.5" x14ac:dyDescent="0.3">
      <c r="B20" s="1030"/>
      <c r="C20" s="944"/>
      <c r="D20" s="388"/>
      <c r="E20" s="392"/>
      <c r="F20" s="394" t="s">
        <v>19</v>
      </c>
      <c r="G20" s="394"/>
      <c r="H20" s="394"/>
      <c r="I20" s="789">
        <f t="shared" si="0"/>
        <v>0.19395699999999999</v>
      </c>
      <c r="J20" s="789">
        <f t="shared" si="0"/>
        <v>0.17344200000000001</v>
      </c>
      <c r="K20" s="789">
        <f t="shared" si="0"/>
        <v>0.12698200000000001</v>
      </c>
      <c r="L20" s="789">
        <f t="shared" si="0"/>
        <v>0.191159</v>
      </c>
      <c r="M20" s="789">
        <f t="shared" si="0"/>
        <v>9.3574000000000004E-2</v>
      </c>
      <c r="N20" s="789">
        <f t="shared" si="0"/>
        <v>0.11738999999999999</v>
      </c>
      <c r="O20" s="789">
        <f t="shared" si="0"/>
        <v>0.125946</v>
      </c>
      <c r="P20" s="789">
        <f t="shared" si="0"/>
        <v>0.12926799999999999</v>
      </c>
      <c r="Q20" s="789">
        <f t="shared" si="0"/>
        <v>0.16844600000000001</v>
      </c>
      <c r="R20" s="789">
        <f t="shared" si="0"/>
        <v>0.21949199999999999</v>
      </c>
      <c r="S20" s="789">
        <f t="shared" si="0"/>
        <v>0.21501400000000001</v>
      </c>
      <c r="T20" s="789">
        <f t="shared" si="0"/>
        <v>0.163017</v>
      </c>
      <c r="U20" s="790">
        <f t="shared" si="0"/>
        <v>0.163017</v>
      </c>
      <c r="V20" s="790">
        <f t="shared" si="0"/>
        <v>0.163017</v>
      </c>
      <c r="W20" s="790">
        <f t="shared" si="0"/>
        <v>0.163017</v>
      </c>
      <c r="X20" s="790">
        <f t="shared" si="0"/>
        <v>0.163017</v>
      </c>
      <c r="Y20" s="790">
        <f t="shared" si="0"/>
        <v>0.163017</v>
      </c>
      <c r="Z20" s="790">
        <f t="shared" si="0"/>
        <v>0.163017</v>
      </c>
      <c r="AA20" s="790">
        <f t="shared" si="0"/>
        <v>0.163017</v>
      </c>
      <c r="AB20" s="790">
        <f t="shared" si="0"/>
        <v>0.163017</v>
      </c>
      <c r="AC20" s="790">
        <f t="shared" si="0"/>
        <v>0.163017</v>
      </c>
      <c r="AD20" s="790">
        <f t="shared" si="0"/>
        <v>0.163017</v>
      </c>
      <c r="AE20" s="790">
        <f t="shared" si="0"/>
        <v>0.163017</v>
      </c>
      <c r="AF20" s="790">
        <f t="shared" si="0"/>
        <v>0.163017</v>
      </c>
      <c r="AG20" s="790">
        <f t="shared" si="0"/>
        <v>0.163017</v>
      </c>
      <c r="AH20" s="790">
        <f t="shared" si="0"/>
        <v>0.163017</v>
      </c>
      <c r="AI20" s="790">
        <f t="shared" si="0"/>
        <v>0.163017</v>
      </c>
      <c r="AJ20" s="790">
        <f t="shared" si="0"/>
        <v>0.163017</v>
      </c>
      <c r="AK20" s="790">
        <f t="shared" si="0"/>
        <v>0.163017</v>
      </c>
      <c r="AL20" s="790">
        <f t="shared" si="0"/>
        <v>0.163017</v>
      </c>
      <c r="AM20" s="790">
        <f t="shared" si="0"/>
        <v>0.163017</v>
      </c>
      <c r="AN20" s="790">
        <f t="shared" si="0"/>
        <v>0.163017</v>
      </c>
      <c r="AO20" s="790">
        <f t="shared" si="0"/>
        <v>0.163017</v>
      </c>
      <c r="AP20" s="790">
        <f t="shared" si="0"/>
        <v>0.163017</v>
      </c>
      <c r="AQ20" s="790">
        <f t="shared" si="0"/>
        <v>0.163017</v>
      </c>
      <c r="AR20" s="790">
        <f t="shared" si="0"/>
        <v>0.163017</v>
      </c>
      <c r="AS20" s="790">
        <f t="shared" si="0"/>
        <v>0.163017</v>
      </c>
      <c r="AT20" s="790">
        <f t="shared" si="0"/>
        <v>0.163017</v>
      </c>
      <c r="AU20" s="790">
        <f t="shared" si="0"/>
        <v>0.163017</v>
      </c>
      <c r="AV20" s="790">
        <f t="shared" si="0"/>
        <v>0.163017</v>
      </c>
      <c r="AW20" s="790">
        <f t="shared" si="0"/>
        <v>0.163017</v>
      </c>
      <c r="AX20" s="391"/>
    </row>
    <row r="21" spans="1:54" ht="14.5" x14ac:dyDescent="0.3">
      <c r="B21" s="1030"/>
      <c r="C21" s="944"/>
      <c r="D21" s="388"/>
      <c r="E21" s="392"/>
      <c r="F21" s="394" t="s">
        <v>20</v>
      </c>
      <c r="G21" s="394"/>
      <c r="H21" s="394"/>
      <c r="I21" s="789">
        <f t="shared" si="0"/>
        <v>0.217058</v>
      </c>
      <c r="J21" s="789">
        <f t="shared" si="0"/>
        <v>0.21058399999999999</v>
      </c>
      <c r="K21" s="789">
        <f t="shared" si="0"/>
        <v>0.20565700000000001</v>
      </c>
      <c r="L21" s="789">
        <f t="shared" si="0"/>
        <v>0.216225</v>
      </c>
      <c r="M21" s="789">
        <f t="shared" si="0"/>
        <v>0.46817999999999999</v>
      </c>
      <c r="N21" s="789">
        <f t="shared" si="0"/>
        <v>0.61209000000000002</v>
      </c>
      <c r="O21" s="789">
        <f t="shared" si="0"/>
        <v>0.719109</v>
      </c>
      <c r="P21" s="789">
        <f t="shared" si="0"/>
        <v>0.75779099999999999</v>
      </c>
      <c r="Q21" s="789">
        <f t="shared" si="0"/>
        <v>0.79651799999999995</v>
      </c>
      <c r="R21" s="789">
        <f t="shared" si="0"/>
        <v>0.66230500000000003</v>
      </c>
      <c r="S21" s="789">
        <f t="shared" si="0"/>
        <v>0.68147599999999997</v>
      </c>
      <c r="T21" s="789">
        <f t="shared" si="0"/>
        <v>0.71275699999999997</v>
      </c>
      <c r="U21" s="790">
        <f t="shared" si="0"/>
        <v>0.71275699999999997</v>
      </c>
      <c r="V21" s="790">
        <f t="shared" si="0"/>
        <v>0.71275699999999997</v>
      </c>
      <c r="W21" s="790">
        <f t="shared" si="0"/>
        <v>0.71275699999999997</v>
      </c>
      <c r="X21" s="790">
        <f t="shared" si="0"/>
        <v>0.71275699999999997</v>
      </c>
      <c r="Y21" s="790">
        <f t="shared" si="0"/>
        <v>0.71275699999999997</v>
      </c>
      <c r="Z21" s="790">
        <f t="shared" si="0"/>
        <v>0.71275699999999997</v>
      </c>
      <c r="AA21" s="790">
        <f t="shared" si="0"/>
        <v>0.71275699999999997</v>
      </c>
      <c r="AB21" s="790">
        <f t="shared" si="0"/>
        <v>0.71275699999999997</v>
      </c>
      <c r="AC21" s="790">
        <f t="shared" si="0"/>
        <v>0.71275699999999997</v>
      </c>
      <c r="AD21" s="790">
        <f t="shared" si="0"/>
        <v>0.71275699999999997</v>
      </c>
      <c r="AE21" s="790">
        <f t="shared" si="0"/>
        <v>0.71275699999999997</v>
      </c>
      <c r="AF21" s="790">
        <f t="shared" si="0"/>
        <v>0.71275699999999997</v>
      </c>
      <c r="AG21" s="790">
        <f t="shared" si="0"/>
        <v>0.71275699999999997</v>
      </c>
      <c r="AH21" s="790">
        <f t="shared" si="0"/>
        <v>0.71275699999999997</v>
      </c>
      <c r="AI21" s="790">
        <f t="shared" si="0"/>
        <v>0.71275699999999997</v>
      </c>
      <c r="AJ21" s="790">
        <f t="shared" si="0"/>
        <v>0.71275699999999997</v>
      </c>
      <c r="AK21" s="790">
        <f t="shared" si="0"/>
        <v>0.71275699999999997</v>
      </c>
      <c r="AL21" s="790">
        <f t="shared" si="0"/>
        <v>0.71275699999999997</v>
      </c>
      <c r="AM21" s="790">
        <f t="shared" si="0"/>
        <v>0.71275699999999997</v>
      </c>
      <c r="AN21" s="790">
        <f t="shared" si="0"/>
        <v>0.71275699999999997</v>
      </c>
      <c r="AO21" s="790">
        <f t="shared" si="0"/>
        <v>0.71275699999999997</v>
      </c>
      <c r="AP21" s="790">
        <f t="shared" si="0"/>
        <v>0.71275699999999997</v>
      </c>
      <c r="AQ21" s="790">
        <f t="shared" si="0"/>
        <v>0.71275699999999997</v>
      </c>
      <c r="AR21" s="790">
        <f t="shared" si="0"/>
        <v>0.71275699999999997</v>
      </c>
      <c r="AS21" s="790">
        <f t="shared" si="0"/>
        <v>0.71275699999999997</v>
      </c>
      <c r="AT21" s="790">
        <f t="shared" si="0"/>
        <v>0.71275699999999997</v>
      </c>
      <c r="AU21" s="790">
        <f t="shared" si="0"/>
        <v>0.71275699999999997</v>
      </c>
      <c r="AV21" s="790">
        <f t="shared" si="0"/>
        <v>0.71275699999999997</v>
      </c>
      <c r="AW21" s="790">
        <f t="shared" si="0"/>
        <v>0.71275699999999997</v>
      </c>
      <c r="AX21" s="391"/>
      <c r="AY21" s="363"/>
      <c r="AZ21" s="363"/>
      <c r="BA21" s="363"/>
      <c r="BB21" s="363"/>
    </row>
    <row r="22" spans="1:54" ht="14.5" x14ac:dyDescent="0.3">
      <c r="B22" s="1030"/>
      <c r="C22" s="944"/>
      <c r="D22" s="388"/>
      <c r="E22" s="392"/>
      <c r="F22" s="394" t="s">
        <v>21</v>
      </c>
      <c r="G22" s="394"/>
      <c r="H22" s="394"/>
      <c r="I22" s="789">
        <f t="shared" si="0"/>
        <v>0.53947500000000004</v>
      </c>
      <c r="J22" s="789">
        <f t="shared" si="0"/>
        <v>0.56585700000000005</v>
      </c>
      <c r="K22" s="789">
        <f t="shared" si="0"/>
        <v>0.60827200000000003</v>
      </c>
      <c r="L22" s="789">
        <f t="shared" si="0"/>
        <v>0.49189100000000002</v>
      </c>
      <c r="M22" s="789">
        <f t="shared" si="0"/>
        <v>0.49925799999999998</v>
      </c>
      <c r="N22" s="789">
        <f t="shared" si="0"/>
        <v>0.454347</v>
      </c>
      <c r="O22" s="789">
        <f t="shared" si="0"/>
        <v>0.37779099999999999</v>
      </c>
      <c r="P22" s="789">
        <f t="shared" si="0"/>
        <v>0.33241799999999999</v>
      </c>
      <c r="Q22" s="789">
        <f t="shared" si="0"/>
        <v>0.252612</v>
      </c>
      <c r="R22" s="789">
        <f t="shared" si="0"/>
        <v>0.270986</v>
      </c>
      <c r="S22" s="789">
        <f t="shared" si="0"/>
        <v>0.249139</v>
      </c>
      <c r="T22" s="789">
        <f t="shared" si="0"/>
        <v>0.233074</v>
      </c>
      <c r="U22" s="790">
        <f t="shared" si="0"/>
        <v>0.233074</v>
      </c>
      <c r="V22" s="790">
        <f t="shared" si="0"/>
        <v>0.233074</v>
      </c>
      <c r="W22" s="790">
        <f t="shared" si="0"/>
        <v>0.233074</v>
      </c>
      <c r="X22" s="790">
        <f t="shared" si="0"/>
        <v>0.233074</v>
      </c>
      <c r="Y22" s="790">
        <f t="shared" si="0"/>
        <v>0.233074</v>
      </c>
      <c r="Z22" s="790">
        <f t="shared" si="0"/>
        <v>0.233074</v>
      </c>
      <c r="AA22" s="790">
        <f t="shared" si="0"/>
        <v>0.233074</v>
      </c>
      <c r="AB22" s="790">
        <f t="shared" si="0"/>
        <v>0.233074</v>
      </c>
      <c r="AC22" s="790">
        <f t="shared" si="0"/>
        <v>0.233074</v>
      </c>
      <c r="AD22" s="790">
        <f t="shared" si="0"/>
        <v>0.233074</v>
      </c>
      <c r="AE22" s="790">
        <f t="shared" si="0"/>
        <v>0.233074</v>
      </c>
      <c r="AF22" s="790">
        <f t="shared" si="0"/>
        <v>0.233074</v>
      </c>
      <c r="AG22" s="790">
        <f t="shared" si="0"/>
        <v>0.233074</v>
      </c>
      <c r="AH22" s="790">
        <f t="shared" si="0"/>
        <v>0.233074</v>
      </c>
      <c r="AI22" s="790">
        <f t="shared" si="0"/>
        <v>0.233074</v>
      </c>
      <c r="AJ22" s="790">
        <f t="shared" si="0"/>
        <v>0.233074</v>
      </c>
      <c r="AK22" s="790">
        <f t="shared" si="0"/>
        <v>0.233074</v>
      </c>
      <c r="AL22" s="790">
        <f t="shared" si="0"/>
        <v>0.233074</v>
      </c>
      <c r="AM22" s="790">
        <f t="shared" si="0"/>
        <v>0.233074</v>
      </c>
      <c r="AN22" s="790">
        <f t="shared" si="0"/>
        <v>0.233074</v>
      </c>
      <c r="AO22" s="790">
        <f t="shared" si="0"/>
        <v>0.233074</v>
      </c>
      <c r="AP22" s="790">
        <f t="shared" si="0"/>
        <v>0.233074</v>
      </c>
      <c r="AQ22" s="790">
        <f t="shared" si="0"/>
        <v>0.233074</v>
      </c>
      <c r="AR22" s="790">
        <f t="shared" si="0"/>
        <v>0.233074</v>
      </c>
      <c r="AS22" s="790">
        <f t="shared" si="0"/>
        <v>0.233074</v>
      </c>
      <c r="AT22" s="790">
        <f t="shared" si="0"/>
        <v>0.233074</v>
      </c>
      <c r="AU22" s="790">
        <f t="shared" si="0"/>
        <v>0.233074</v>
      </c>
      <c r="AV22" s="790">
        <f t="shared" si="0"/>
        <v>0.233074</v>
      </c>
      <c r="AW22" s="790">
        <f t="shared" si="0"/>
        <v>0.233074</v>
      </c>
      <c r="AX22" s="391"/>
    </row>
    <row r="23" spans="1:54" ht="14.5" x14ac:dyDescent="0.3">
      <c r="B23" s="1030"/>
      <c r="C23" s="944"/>
      <c r="D23" s="388"/>
      <c r="E23" s="392"/>
      <c r="F23" s="394" t="s">
        <v>22</v>
      </c>
      <c r="G23" s="394"/>
      <c r="H23" s="394"/>
      <c r="I23" s="789">
        <f t="shared" si="0"/>
        <v>3.4099520000000001</v>
      </c>
      <c r="J23" s="789">
        <f t="shared" si="0"/>
        <v>3.4254120000000001</v>
      </c>
      <c r="K23" s="789">
        <f t="shared" si="0"/>
        <v>3.5530080000000002</v>
      </c>
      <c r="L23" s="789">
        <f t="shared" si="0"/>
        <v>3.2273209999999999</v>
      </c>
      <c r="M23" s="789">
        <f t="shared" si="0"/>
        <v>2.2594470000000002</v>
      </c>
      <c r="N23" s="789">
        <f t="shared" si="0"/>
        <v>2.5314420000000002</v>
      </c>
      <c r="O23" s="789">
        <f t="shared" si="0"/>
        <v>2.3005390000000001</v>
      </c>
      <c r="P23" s="789">
        <f t="shared" si="0"/>
        <v>2.4476339999999999</v>
      </c>
      <c r="Q23" s="789">
        <f t="shared" si="0"/>
        <v>2.3790420000000001</v>
      </c>
      <c r="R23" s="789">
        <f t="shared" ref="R23:AW23" si="1">R14/1000000</f>
        <v>1.9854940000000001</v>
      </c>
      <c r="S23" s="789">
        <f t="shared" si="1"/>
        <v>2.0677949999999998</v>
      </c>
      <c r="T23" s="789">
        <f t="shared" si="1"/>
        <v>2.3765510000000001</v>
      </c>
      <c r="U23" s="790">
        <f t="shared" si="1"/>
        <v>2.3765510000000001</v>
      </c>
      <c r="V23" s="790">
        <f t="shared" si="1"/>
        <v>2.3765510000000001</v>
      </c>
      <c r="W23" s="790">
        <f t="shared" si="1"/>
        <v>2.3765510000000001</v>
      </c>
      <c r="X23" s="790">
        <f t="shared" si="1"/>
        <v>2.3765510000000001</v>
      </c>
      <c r="Y23" s="790">
        <f t="shared" si="1"/>
        <v>2.3765510000000001</v>
      </c>
      <c r="Z23" s="790">
        <f t="shared" si="1"/>
        <v>2.3765510000000001</v>
      </c>
      <c r="AA23" s="790">
        <f t="shared" si="1"/>
        <v>2.3765510000000001</v>
      </c>
      <c r="AB23" s="790">
        <f t="shared" si="1"/>
        <v>2.3765510000000001</v>
      </c>
      <c r="AC23" s="790">
        <f t="shared" si="1"/>
        <v>2.3765510000000001</v>
      </c>
      <c r="AD23" s="790">
        <f t="shared" si="1"/>
        <v>2.3765510000000001</v>
      </c>
      <c r="AE23" s="790">
        <f t="shared" si="1"/>
        <v>2.3765510000000001</v>
      </c>
      <c r="AF23" s="790">
        <f t="shared" si="1"/>
        <v>2.3765510000000001</v>
      </c>
      <c r="AG23" s="790">
        <f t="shared" si="1"/>
        <v>2.3765510000000001</v>
      </c>
      <c r="AH23" s="790">
        <f t="shared" si="1"/>
        <v>2.3765510000000001</v>
      </c>
      <c r="AI23" s="790">
        <f t="shared" si="1"/>
        <v>2.3765510000000001</v>
      </c>
      <c r="AJ23" s="790">
        <f t="shared" si="1"/>
        <v>2.3765510000000001</v>
      </c>
      <c r="AK23" s="790">
        <f t="shared" si="1"/>
        <v>2.3765510000000001</v>
      </c>
      <c r="AL23" s="790">
        <f t="shared" si="1"/>
        <v>2.3765510000000001</v>
      </c>
      <c r="AM23" s="790">
        <f t="shared" si="1"/>
        <v>2.3765510000000001</v>
      </c>
      <c r="AN23" s="790">
        <f t="shared" si="1"/>
        <v>2.3765510000000001</v>
      </c>
      <c r="AO23" s="790">
        <f t="shared" si="1"/>
        <v>2.3765510000000001</v>
      </c>
      <c r="AP23" s="790">
        <f t="shared" si="1"/>
        <v>2.3765510000000001</v>
      </c>
      <c r="AQ23" s="790">
        <f t="shared" si="1"/>
        <v>2.3765510000000001</v>
      </c>
      <c r="AR23" s="790">
        <f t="shared" si="1"/>
        <v>2.3765510000000001</v>
      </c>
      <c r="AS23" s="790">
        <f t="shared" si="1"/>
        <v>2.3765510000000001</v>
      </c>
      <c r="AT23" s="790">
        <f t="shared" si="1"/>
        <v>2.3765510000000001</v>
      </c>
      <c r="AU23" s="790">
        <f t="shared" si="1"/>
        <v>2.3765510000000001</v>
      </c>
      <c r="AV23" s="790">
        <f t="shared" si="1"/>
        <v>2.3765510000000001</v>
      </c>
      <c r="AW23" s="790">
        <f t="shared" si="1"/>
        <v>2.3765510000000001</v>
      </c>
      <c r="AX23" s="391"/>
    </row>
    <row r="24" spans="1:54" ht="14.5" x14ac:dyDescent="0.3">
      <c r="B24" s="1030"/>
      <c r="C24" s="944"/>
      <c r="D24" s="388"/>
      <c r="E24" s="392"/>
      <c r="F24" s="394" t="s">
        <v>23</v>
      </c>
      <c r="G24" s="394"/>
      <c r="H24" s="394"/>
      <c r="I24" s="789">
        <f t="shared" ref="I24:AW24" si="2">I15/1000000</f>
        <v>1.5099720000000001</v>
      </c>
      <c r="J24" s="789">
        <f t="shared" si="2"/>
        <v>1.3855470000000001</v>
      </c>
      <c r="K24" s="789">
        <f t="shared" si="2"/>
        <v>1.423114</v>
      </c>
      <c r="L24" s="789">
        <f t="shared" si="2"/>
        <v>1.623359</v>
      </c>
      <c r="M24" s="789">
        <f t="shared" si="2"/>
        <v>0.82833299999999999</v>
      </c>
      <c r="N24" s="789">
        <f t="shared" si="2"/>
        <v>0.70677699999999999</v>
      </c>
      <c r="O24" s="789">
        <f t="shared" si="2"/>
        <v>0.80049599999999999</v>
      </c>
      <c r="P24" s="789">
        <f t="shared" si="2"/>
        <v>0.67791100000000004</v>
      </c>
      <c r="Q24" s="789">
        <f t="shared" si="2"/>
        <v>0.71527300000000005</v>
      </c>
      <c r="R24" s="789">
        <f t="shared" si="2"/>
        <v>0.91584299999999996</v>
      </c>
      <c r="S24" s="789">
        <f t="shared" si="2"/>
        <v>0.84131999999999996</v>
      </c>
      <c r="T24" s="789">
        <f t="shared" si="2"/>
        <v>0.64613900000000002</v>
      </c>
      <c r="U24" s="790">
        <f t="shared" si="2"/>
        <v>0.64613900000000002</v>
      </c>
      <c r="V24" s="790">
        <f t="shared" si="2"/>
        <v>0.64613900000000002</v>
      </c>
      <c r="W24" s="790">
        <f t="shared" si="2"/>
        <v>0.64613900000000002</v>
      </c>
      <c r="X24" s="790">
        <f t="shared" si="2"/>
        <v>0.64613900000000002</v>
      </c>
      <c r="Y24" s="790">
        <f t="shared" si="2"/>
        <v>0.64613900000000002</v>
      </c>
      <c r="Z24" s="790">
        <f t="shared" si="2"/>
        <v>0.64613900000000002</v>
      </c>
      <c r="AA24" s="790">
        <f t="shared" si="2"/>
        <v>0.64613900000000002</v>
      </c>
      <c r="AB24" s="790">
        <f t="shared" si="2"/>
        <v>0.64613900000000002</v>
      </c>
      <c r="AC24" s="790">
        <f t="shared" si="2"/>
        <v>0.64613900000000002</v>
      </c>
      <c r="AD24" s="790">
        <f t="shared" si="2"/>
        <v>0.64613900000000002</v>
      </c>
      <c r="AE24" s="790">
        <f t="shared" si="2"/>
        <v>0.64613900000000002</v>
      </c>
      <c r="AF24" s="790">
        <f t="shared" si="2"/>
        <v>0.64613900000000002</v>
      </c>
      <c r="AG24" s="790">
        <f t="shared" si="2"/>
        <v>0.64613900000000002</v>
      </c>
      <c r="AH24" s="790">
        <f t="shared" si="2"/>
        <v>0.64613900000000002</v>
      </c>
      <c r="AI24" s="790">
        <f t="shared" si="2"/>
        <v>0.64613900000000002</v>
      </c>
      <c r="AJ24" s="790">
        <f t="shared" si="2"/>
        <v>0.64613900000000002</v>
      </c>
      <c r="AK24" s="790">
        <f t="shared" si="2"/>
        <v>0.64613900000000002</v>
      </c>
      <c r="AL24" s="790">
        <f t="shared" si="2"/>
        <v>0.64613900000000002</v>
      </c>
      <c r="AM24" s="790">
        <f t="shared" si="2"/>
        <v>0.64613900000000002</v>
      </c>
      <c r="AN24" s="790">
        <f t="shared" si="2"/>
        <v>0.64613900000000002</v>
      </c>
      <c r="AO24" s="790">
        <f t="shared" si="2"/>
        <v>0.64613900000000002</v>
      </c>
      <c r="AP24" s="790">
        <f t="shared" si="2"/>
        <v>0.64613900000000002</v>
      </c>
      <c r="AQ24" s="790">
        <f t="shared" si="2"/>
        <v>0.64613900000000002</v>
      </c>
      <c r="AR24" s="790">
        <f t="shared" si="2"/>
        <v>0.64613900000000002</v>
      </c>
      <c r="AS24" s="790">
        <f t="shared" si="2"/>
        <v>0.64613900000000002</v>
      </c>
      <c r="AT24" s="790">
        <f t="shared" si="2"/>
        <v>0.64613900000000002</v>
      </c>
      <c r="AU24" s="790">
        <f t="shared" si="2"/>
        <v>0.64613900000000002</v>
      </c>
      <c r="AV24" s="790">
        <f t="shared" si="2"/>
        <v>0.64613900000000002</v>
      </c>
      <c r="AW24" s="790">
        <f t="shared" si="2"/>
        <v>0.64613900000000002</v>
      </c>
      <c r="AX24" s="391"/>
    </row>
    <row r="25" spans="1:54" ht="14.5" x14ac:dyDescent="0.3">
      <c r="A25" s="14"/>
      <c r="B25" s="364"/>
      <c r="C25" s="13"/>
      <c r="D25" s="398"/>
      <c r="E25" s="399"/>
      <c r="F25" s="400" t="s">
        <v>24</v>
      </c>
      <c r="G25" s="400"/>
      <c r="H25" s="400"/>
      <c r="I25" s="401">
        <f t="shared" ref="I25:AW25" si="3">SUM(I17:I24)</f>
        <v>11.758289</v>
      </c>
      <c r="J25" s="401">
        <f t="shared" si="3"/>
        <v>11.659081</v>
      </c>
      <c r="K25" s="401">
        <f t="shared" si="3"/>
        <v>11.903877</v>
      </c>
      <c r="L25" s="401">
        <f t="shared" si="3"/>
        <v>11.761013</v>
      </c>
      <c r="M25" s="401">
        <f t="shared" si="3"/>
        <v>12.201253000000001</v>
      </c>
      <c r="N25" s="401">
        <f t="shared" si="3"/>
        <v>12.585860000000002</v>
      </c>
      <c r="O25" s="401">
        <f t="shared" si="3"/>
        <v>12.385973000000002</v>
      </c>
      <c r="P25" s="401">
        <f t="shared" si="3"/>
        <v>12.355144999999998</v>
      </c>
      <c r="Q25" s="401">
        <f t="shared" si="3"/>
        <v>12.237831</v>
      </c>
      <c r="R25" s="401">
        <f t="shared" si="3"/>
        <v>12.304228</v>
      </c>
      <c r="S25" s="401">
        <f t="shared" si="3"/>
        <v>12.432556999999999</v>
      </c>
      <c r="T25" s="401">
        <f t="shared" si="3"/>
        <v>12.297464</v>
      </c>
      <c r="U25" s="402">
        <f t="shared" si="3"/>
        <v>12.297464</v>
      </c>
      <c r="V25" s="402">
        <f t="shared" si="3"/>
        <v>12.297464</v>
      </c>
      <c r="W25" s="402">
        <f t="shared" si="3"/>
        <v>12.297464</v>
      </c>
      <c r="X25" s="402">
        <f t="shared" si="3"/>
        <v>12.297464</v>
      </c>
      <c r="Y25" s="402">
        <f t="shared" si="3"/>
        <v>12.297464</v>
      </c>
      <c r="Z25" s="402">
        <f t="shared" si="3"/>
        <v>12.297464</v>
      </c>
      <c r="AA25" s="402">
        <f t="shared" si="3"/>
        <v>12.297464</v>
      </c>
      <c r="AB25" s="402">
        <f t="shared" si="3"/>
        <v>12.297464</v>
      </c>
      <c r="AC25" s="402">
        <f t="shared" si="3"/>
        <v>12.297464</v>
      </c>
      <c r="AD25" s="402">
        <f t="shared" si="3"/>
        <v>12.297464</v>
      </c>
      <c r="AE25" s="402">
        <f t="shared" si="3"/>
        <v>12.297464</v>
      </c>
      <c r="AF25" s="402">
        <f t="shared" si="3"/>
        <v>12.297464</v>
      </c>
      <c r="AG25" s="402">
        <f t="shared" si="3"/>
        <v>12.297464</v>
      </c>
      <c r="AH25" s="402">
        <f t="shared" si="3"/>
        <v>12.297464</v>
      </c>
      <c r="AI25" s="402">
        <f t="shared" si="3"/>
        <v>12.297464</v>
      </c>
      <c r="AJ25" s="402">
        <f t="shared" si="3"/>
        <v>12.297464</v>
      </c>
      <c r="AK25" s="402">
        <f t="shared" si="3"/>
        <v>12.297464</v>
      </c>
      <c r="AL25" s="402">
        <f t="shared" si="3"/>
        <v>12.297464</v>
      </c>
      <c r="AM25" s="402">
        <f t="shared" si="3"/>
        <v>12.297464</v>
      </c>
      <c r="AN25" s="402">
        <f t="shared" si="3"/>
        <v>12.297464</v>
      </c>
      <c r="AO25" s="402">
        <f t="shared" si="3"/>
        <v>12.297464</v>
      </c>
      <c r="AP25" s="402">
        <f t="shared" si="3"/>
        <v>12.297464</v>
      </c>
      <c r="AQ25" s="402">
        <f t="shared" si="3"/>
        <v>12.297464</v>
      </c>
      <c r="AR25" s="402">
        <f t="shared" si="3"/>
        <v>12.297464</v>
      </c>
      <c r="AS25" s="402">
        <f t="shared" si="3"/>
        <v>12.297464</v>
      </c>
      <c r="AT25" s="402">
        <f t="shared" si="3"/>
        <v>12.297464</v>
      </c>
      <c r="AU25" s="402">
        <f t="shared" si="3"/>
        <v>12.297464</v>
      </c>
      <c r="AV25" s="402">
        <f t="shared" si="3"/>
        <v>12.297464</v>
      </c>
      <c r="AW25" s="402">
        <f t="shared" si="3"/>
        <v>12.297464</v>
      </c>
      <c r="AX25" s="403"/>
      <c r="AY25" s="14"/>
      <c r="AZ25" s="14"/>
      <c r="BA25" s="14"/>
      <c r="BB25" s="14"/>
    </row>
    <row r="26" spans="1:54" ht="14.5" x14ac:dyDescent="0.3">
      <c r="B26" s="949"/>
      <c r="C26" s="944"/>
      <c r="D26" s="404"/>
      <c r="E26" s="405"/>
      <c r="F26" s="406"/>
      <c r="G26" s="406"/>
      <c r="H26" s="406"/>
      <c r="I26" s="406"/>
      <c r="J26" s="406"/>
      <c r="K26" s="406"/>
      <c r="L26" s="406"/>
      <c r="M26" s="406"/>
      <c r="N26" s="406"/>
      <c r="O26" s="406"/>
      <c r="P26" s="406"/>
      <c r="Q26" s="406"/>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7"/>
    </row>
    <row r="27" spans="1:54" ht="14.5" x14ac:dyDescent="0.3">
      <c r="B27" s="949"/>
      <c r="C27" s="944"/>
      <c r="D27" s="944"/>
      <c r="E27" s="944"/>
      <c r="F27" s="45"/>
      <c r="G27" s="45"/>
      <c r="H27" s="45"/>
      <c r="I27" s="8"/>
      <c r="J27" s="8"/>
      <c r="K27" s="8"/>
      <c r="L27" s="8"/>
      <c r="M27" s="8"/>
      <c r="N27" s="8"/>
      <c r="O27" s="8"/>
      <c r="P27" s="8"/>
      <c r="Q27" s="8"/>
      <c r="R27" s="8"/>
      <c r="S27" s="8"/>
      <c r="T27" s="8"/>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row>
    <row r="28" spans="1:54" ht="26" x14ac:dyDescent="0.3">
      <c r="B28" s="949"/>
      <c r="C28" s="944"/>
      <c r="D28" s="981" t="s">
        <v>25</v>
      </c>
      <c r="E28" s="981"/>
      <c r="F28" s="981"/>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row>
    <row r="29" spans="1:54" ht="14.5" x14ac:dyDescent="0.3">
      <c r="B29" s="949"/>
      <c r="C29" s="944"/>
      <c r="D29" s="408"/>
      <c r="E29" s="408"/>
      <c r="F29" s="409"/>
      <c r="G29" s="45"/>
      <c r="H29" s="45"/>
      <c r="I29" s="8"/>
      <c r="J29" s="8"/>
      <c r="K29" s="8"/>
      <c r="L29" s="8"/>
      <c r="M29" s="8"/>
      <c r="N29" s="8"/>
      <c r="O29" s="8"/>
      <c r="P29" s="8"/>
      <c r="Q29" s="8"/>
      <c r="R29" s="8"/>
      <c r="S29" s="8"/>
      <c r="T29" s="8"/>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row>
    <row r="30" spans="1:54" ht="14.5" x14ac:dyDescent="0.3">
      <c r="B30" s="949"/>
      <c r="C30" s="944"/>
      <c r="D30" s="384"/>
      <c r="E30" s="385"/>
      <c r="F30" s="386"/>
      <c r="G30" s="386"/>
      <c r="H30" s="386"/>
      <c r="I30" s="386"/>
      <c r="J30" s="386"/>
      <c r="K30" s="386"/>
      <c r="L30" s="386"/>
      <c r="M30" s="386"/>
      <c r="N30" s="386"/>
      <c r="O30" s="386"/>
      <c r="P30" s="386"/>
      <c r="Q30" s="386"/>
      <c r="R30" s="386"/>
      <c r="S30" s="386"/>
      <c r="T30" s="386"/>
      <c r="U30" s="386"/>
      <c r="V30" s="386"/>
      <c r="W30" s="386"/>
      <c r="X30" s="386"/>
      <c r="Y30" s="386"/>
      <c r="Z30" s="386"/>
      <c r="AA30" s="386"/>
      <c r="AB30" s="386"/>
      <c r="AC30" s="386"/>
      <c r="AD30" s="386"/>
      <c r="AE30" s="386"/>
      <c r="AF30" s="386"/>
      <c r="AG30" s="386"/>
      <c r="AH30" s="386"/>
      <c r="AI30" s="386"/>
      <c r="AJ30" s="386"/>
      <c r="AK30" s="386"/>
      <c r="AL30" s="386"/>
      <c r="AM30" s="386"/>
      <c r="AN30" s="386"/>
      <c r="AO30" s="386"/>
      <c r="AP30" s="386"/>
      <c r="AQ30" s="386"/>
      <c r="AR30" s="386"/>
      <c r="AS30" s="386"/>
      <c r="AT30" s="386"/>
      <c r="AU30" s="386"/>
      <c r="AV30" s="386"/>
      <c r="AW30" s="386"/>
      <c r="AX30" s="387"/>
    </row>
    <row r="31" spans="1:54" ht="15.5" x14ac:dyDescent="0.3">
      <c r="B31" s="949"/>
      <c r="C31" s="944"/>
      <c r="D31" s="388"/>
      <c r="E31" s="362" t="s">
        <v>123</v>
      </c>
      <c r="F31" s="389" t="s">
        <v>26</v>
      </c>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c r="AF31" s="390"/>
      <c r="AG31" s="390"/>
      <c r="AH31" s="390"/>
      <c r="AI31" s="390"/>
      <c r="AJ31" s="390"/>
      <c r="AK31" s="390"/>
      <c r="AL31" s="390"/>
      <c r="AM31" s="390"/>
      <c r="AN31" s="390"/>
      <c r="AO31" s="390"/>
      <c r="AP31" s="390"/>
      <c r="AQ31" s="390"/>
      <c r="AR31" s="390"/>
      <c r="AS31" s="390"/>
      <c r="AT31" s="390"/>
      <c r="AU31" s="390"/>
      <c r="AV31" s="390"/>
      <c r="AW31" s="390"/>
      <c r="AX31" s="391"/>
    </row>
    <row r="32" spans="1:54" ht="15.5" x14ac:dyDescent="0.3">
      <c r="B32" s="949"/>
      <c r="C32" s="944"/>
      <c r="D32" s="388"/>
      <c r="E32" s="392"/>
      <c r="F32" s="393" t="s">
        <v>27</v>
      </c>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c r="AF32" s="390"/>
      <c r="AG32" s="390"/>
      <c r="AH32" s="390"/>
      <c r="AI32" s="390"/>
      <c r="AJ32" s="390"/>
      <c r="AK32" s="390"/>
      <c r="AL32" s="390"/>
      <c r="AM32" s="390"/>
      <c r="AN32" s="390"/>
      <c r="AO32" s="390"/>
      <c r="AP32" s="390"/>
      <c r="AQ32" s="390"/>
      <c r="AR32" s="390"/>
      <c r="AS32" s="390"/>
      <c r="AT32" s="390"/>
      <c r="AU32" s="390"/>
      <c r="AV32" s="390"/>
      <c r="AW32" s="390"/>
      <c r="AX32" s="391"/>
    </row>
    <row r="33" spans="1:54" ht="14.5" x14ac:dyDescent="0.3">
      <c r="B33" s="1030" t="s">
        <v>28</v>
      </c>
      <c r="C33" s="944"/>
      <c r="D33" s="388"/>
      <c r="E33" s="392"/>
      <c r="F33" s="394" t="s">
        <v>29</v>
      </c>
      <c r="G33" s="394"/>
      <c r="H33" s="394"/>
      <c r="I33" s="410">
        <v>0.79579217000000002</v>
      </c>
      <c r="J33" s="410">
        <v>0.79579217000000002</v>
      </c>
      <c r="K33" s="410">
        <v>0.79579217000000002</v>
      </c>
      <c r="L33" s="410">
        <v>0.79579217000000002</v>
      </c>
      <c r="M33" s="410">
        <v>0.79579217000000002</v>
      </c>
      <c r="N33" s="410">
        <v>0.79579217000000002</v>
      </c>
      <c r="O33" s="410">
        <v>0.79579217000000002</v>
      </c>
      <c r="P33" s="410">
        <v>0.79579217000000002</v>
      </c>
      <c r="Q33" s="410">
        <v>0.79579217000000002</v>
      </c>
      <c r="R33" s="410">
        <v>0.79579217000000002</v>
      </c>
      <c r="S33" s="410">
        <v>0.79579217000000002</v>
      </c>
      <c r="T33" s="410">
        <v>0.79579217000000002</v>
      </c>
      <c r="U33" s="411">
        <v>0.79579217000000002</v>
      </c>
      <c r="V33" s="411">
        <v>0.79579217000000002</v>
      </c>
      <c r="W33" s="411">
        <v>0.79579217000000002</v>
      </c>
      <c r="X33" s="411">
        <v>0.79579217000000002</v>
      </c>
      <c r="Y33" s="411">
        <v>0.79579217000000002</v>
      </c>
      <c r="Z33" s="411">
        <v>0.79579217000000002</v>
      </c>
      <c r="AA33" s="411">
        <v>0.79579217000000002</v>
      </c>
      <c r="AB33" s="411">
        <v>0.79579217000000002</v>
      </c>
      <c r="AC33" s="411">
        <v>0.79579217000000002</v>
      </c>
      <c r="AD33" s="411">
        <v>0.79579217000000002</v>
      </c>
      <c r="AE33" s="411">
        <v>0.79579217000000002</v>
      </c>
      <c r="AF33" s="411">
        <v>0.79579217000000002</v>
      </c>
      <c r="AG33" s="411">
        <v>0.79579217000000002</v>
      </c>
      <c r="AH33" s="411">
        <v>0.79579217000000002</v>
      </c>
      <c r="AI33" s="411">
        <v>0.79579217000000002</v>
      </c>
      <c r="AJ33" s="411">
        <v>0.79579217000000002</v>
      </c>
      <c r="AK33" s="411">
        <v>0.79579217000000002</v>
      </c>
      <c r="AL33" s="411">
        <v>0.79579217000000002</v>
      </c>
      <c r="AM33" s="411">
        <v>0.79579217000000002</v>
      </c>
      <c r="AN33" s="411">
        <v>0.79579217000000002</v>
      </c>
      <c r="AO33" s="411">
        <v>0.79579217000000002</v>
      </c>
      <c r="AP33" s="411">
        <v>0.79579217000000002</v>
      </c>
      <c r="AQ33" s="411">
        <v>0.79579217000000002</v>
      </c>
      <c r="AR33" s="411">
        <v>0.79579217000000002</v>
      </c>
      <c r="AS33" s="411">
        <v>0.79579217000000002</v>
      </c>
      <c r="AT33" s="411">
        <v>0.79579217000000002</v>
      </c>
      <c r="AU33" s="411">
        <v>0.79579217000000002</v>
      </c>
      <c r="AV33" s="411">
        <v>0.79579217000000002</v>
      </c>
      <c r="AW33" s="411">
        <v>0.79579217000000002</v>
      </c>
      <c r="AX33" s="391"/>
    </row>
    <row r="34" spans="1:54" ht="14.5" x14ac:dyDescent="0.3">
      <c r="B34" s="1030"/>
      <c r="C34" s="944"/>
      <c r="D34" s="388"/>
      <c r="E34" s="392"/>
      <c r="F34" s="394" t="s">
        <v>30</v>
      </c>
      <c r="G34" s="394"/>
      <c r="H34" s="394"/>
      <c r="I34" s="410">
        <v>2.2633933100000001</v>
      </c>
      <c r="J34" s="410">
        <v>2.2794223700000003</v>
      </c>
      <c r="K34" s="410">
        <v>2.2794223700000003</v>
      </c>
      <c r="L34" s="410">
        <v>2.2794223700000003</v>
      </c>
      <c r="M34" s="410">
        <v>2.3725856800000003</v>
      </c>
      <c r="N34" s="410">
        <v>2.3725856800000003</v>
      </c>
      <c r="O34" s="410">
        <v>2.37473125</v>
      </c>
      <c r="P34" s="410">
        <v>2.37473125</v>
      </c>
      <c r="Q34" s="410">
        <v>2.4084734000000001</v>
      </c>
      <c r="R34" s="410">
        <v>2.40882109</v>
      </c>
      <c r="S34" s="410">
        <v>2.40882109</v>
      </c>
      <c r="T34" s="410">
        <v>2.4117234999999999</v>
      </c>
      <c r="U34" s="411">
        <v>2.4117234999999999</v>
      </c>
      <c r="V34" s="411">
        <v>2.4117234999999999</v>
      </c>
      <c r="W34" s="411">
        <v>2.4117234999999999</v>
      </c>
      <c r="X34" s="411">
        <v>2.4117234999999999</v>
      </c>
      <c r="Y34" s="411">
        <v>2.4117234999999999</v>
      </c>
      <c r="Z34" s="411">
        <v>2.4117234999999999</v>
      </c>
      <c r="AA34" s="411">
        <v>2.4117234999999999</v>
      </c>
      <c r="AB34" s="411">
        <v>2.4117234999999999</v>
      </c>
      <c r="AC34" s="411">
        <v>2.4117234999999999</v>
      </c>
      <c r="AD34" s="411">
        <v>2.4117234999999999</v>
      </c>
      <c r="AE34" s="411">
        <v>2.4117234999999999</v>
      </c>
      <c r="AF34" s="411">
        <v>2.4117234999999999</v>
      </c>
      <c r="AG34" s="411">
        <v>2.4117234999999999</v>
      </c>
      <c r="AH34" s="411">
        <v>2.4117234999999999</v>
      </c>
      <c r="AI34" s="411">
        <v>2.4117234999999999</v>
      </c>
      <c r="AJ34" s="411">
        <v>2.4117234999999999</v>
      </c>
      <c r="AK34" s="411">
        <v>2.4117234999999999</v>
      </c>
      <c r="AL34" s="411">
        <v>2.4117234999999999</v>
      </c>
      <c r="AM34" s="411">
        <v>2.4117234999999999</v>
      </c>
      <c r="AN34" s="411">
        <v>2.4117234999999999</v>
      </c>
      <c r="AO34" s="411">
        <v>2.4117234999999999</v>
      </c>
      <c r="AP34" s="411">
        <v>2.4117234999999999</v>
      </c>
      <c r="AQ34" s="411">
        <v>2.4117234999999999</v>
      </c>
      <c r="AR34" s="411">
        <v>2.4117234999999999</v>
      </c>
      <c r="AS34" s="411">
        <v>2.4117234999999999</v>
      </c>
      <c r="AT34" s="411">
        <v>2.4117234999999999</v>
      </c>
      <c r="AU34" s="411">
        <v>2.4117234999999999</v>
      </c>
      <c r="AV34" s="411">
        <v>2.4117234999999999</v>
      </c>
      <c r="AW34" s="411">
        <v>2.4117234999999999</v>
      </c>
      <c r="AX34" s="391"/>
    </row>
    <row r="35" spans="1:54" ht="14.5" x14ac:dyDescent="0.3">
      <c r="B35" s="1030"/>
      <c r="C35" s="944"/>
      <c r="D35" s="388"/>
      <c r="E35" s="392"/>
      <c r="F35" s="394" t="s">
        <v>31</v>
      </c>
      <c r="G35" s="394"/>
      <c r="H35" s="394"/>
      <c r="I35" s="410">
        <v>1.8351788900000003</v>
      </c>
      <c r="J35" s="410">
        <v>1.8351788900000003</v>
      </c>
      <c r="K35" s="410">
        <v>1.8383960400000003</v>
      </c>
      <c r="L35" s="410">
        <v>1.8383960400000003</v>
      </c>
      <c r="M35" s="410">
        <v>1.8383960400000003</v>
      </c>
      <c r="N35" s="410">
        <v>1.8383960400000003</v>
      </c>
      <c r="O35" s="410">
        <v>1.8383960400000003</v>
      </c>
      <c r="P35" s="410">
        <v>1.8914898600000003</v>
      </c>
      <c r="Q35" s="410">
        <v>1.8934445100000001</v>
      </c>
      <c r="R35" s="410">
        <v>1.9224890200000002</v>
      </c>
      <c r="S35" s="410">
        <v>1.9272791500000002</v>
      </c>
      <c r="T35" s="410">
        <v>1.95791001</v>
      </c>
      <c r="U35" s="411">
        <v>1.95791001</v>
      </c>
      <c r="V35" s="411">
        <v>1.95791001</v>
      </c>
      <c r="W35" s="411">
        <v>1.95791001</v>
      </c>
      <c r="X35" s="411">
        <v>1.95791001</v>
      </c>
      <c r="Y35" s="411">
        <v>1.95791001</v>
      </c>
      <c r="Z35" s="411">
        <v>1.95791001</v>
      </c>
      <c r="AA35" s="411">
        <v>1.95791001</v>
      </c>
      <c r="AB35" s="411">
        <v>1.95791001</v>
      </c>
      <c r="AC35" s="411">
        <v>1.95791001</v>
      </c>
      <c r="AD35" s="411">
        <v>1.95791001</v>
      </c>
      <c r="AE35" s="411">
        <v>1.95791001</v>
      </c>
      <c r="AF35" s="411">
        <v>1.95791001</v>
      </c>
      <c r="AG35" s="411">
        <v>1.95791001</v>
      </c>
      <c r="AH35" s="411">
        <v>1.95791001</v>
      </c>
      <c r="AI35" s="411">
        <v>1.95791001</v>
      </c>
      <c r="AJ35" s="411">
        <v>1.95791001</v>
      </c>
      <c r="AK35" s="411">
        <v>1.95791001</v>
      </c>
      <c r="AL35" s="411">
        <v>1.95791001</v>
      </c>
      <c r="AM35" s="411">
        <v>1.95791001</v>
      </c>
      <c r="AN35" s="411">
        <v>1.95791001</v>
      </c>
      <c r="AO35" s="411">
        <v>1.95791001</v>
      </c>
      <c r="AP35" s="411">
        <v>1.95791001</v>
      </c>
      <c r="AQ35" s="411">
        <v>1.95791001</v>
      </c>
      <c r="AR35" s="411">
        <v>1.95791001</v>
      </c>
      <c r="AS35" s="411">
        <v>1.95791001</v>
      </c>
      <c r="AT35" s="411">
        <v>1.95791001</v>
      </c>
      <c r="AU35" s="411">
        <v>1.95791001</v>
      </c>
      <c r="AV35" s="411">
        <v>1.95791001</v>
      </c>
      <c r="AW35" s="411">
        <v>1.95791001</v>
      </c>
      <c r="AX35" s="391"/>
    </row>
    <row r="36" spans="1:54" ht="14.5" x14ac:dyDescent="0.3">
      <c r="B36" s="1030"/>
      <c r="C36" s="944"/>
      <c r="D36" s="388"/>
      <c r="E36" s="392"/>
      <c r="F36" s="394" t="s">
        <v>32</v>
      </c>
      <c r="G36" s="394"/>
      <c r="H36" s="394"/>
      <c r="I36" s="410">
        <v>0.37320953000000001</v>
      </c>
      <c r="J36" s="410">
        <v>0.37568765999999998</v>
      </c>
      <c r="K36" s="410">
        <v>0.38884295999999996</v>
      </c>
      <c r="L36" s="410">
        <v>0.38884295999999996</v>
      </c>
      <c r="M36" s="410">
        <v>0.38884295999999996</v>
      </c>
      <c r="N36" s="410">
        <v>0.53110941</v>
      </c>
      <c r="O36" s="410">
        <v>0.57106191000000006</v>
      </c>
      <c r="P36" s="410">
        <v>0.57106191000000006</v>
      </c>
      <c r="Q36" s="410">
        <v>0.57106191000000006</v>
      </c>
      <c r="R36" s="410">
        <v>0.57106191000000006</v>
      </c>
      <c r="S36" s="410">
        <v>0.57106191000000006</v>
      </c>
      <c r="T36" s="410">
        <v>0.57106191000000006</v>
      </c>
      <c r="U36" s="411">
        <v>0.57106191000000006</v>
      </c>
      <c r="V36" s="411">
        <v>0.57106191000000006</v>
      </c>
      <c r="W36" s="411">
        <v>0.57106191000000006</v>
      </c>
      <c r="X36" s="411">
        <v>0.57106191000000006</v>
      </c>
      <c r="Y36" s="411">
        <v>0.57106191000000006</v>
      </c>
      <c r="Z36" s="411">
        <v>0.57106191000000006</v>
      </c>
      <c r="AA36" s="411">
        <v>0.57106191000000006</v>
      </c>
      <c r="AB36" s="411">
        <v>0.57106191000000006</v>
      </c>
      <c r="AC36" s="411">
        <v>0.57106191000000006</v>
      </c>
      <c r="AD36" s="411">
        <v>0.57106191000000006</v>
      </c>
      <c r="AE36" s="411">
        <v>0.57106191000000006</v>
      </c>
      <c r="AF36" s="411">
        <v>0.57106191000000006</v>
      </c>
      <c r="AG36" s="411">
        <v>0.57106191000000006</v>
      </c>
      <c r="AH36" s="411">
        <v>0.57106191000000006</v>
      </c>
      <c r="AI36" s="411">
        <v>0.57106191000000006</v>
      </c>
      <c r="AJ36" s="411">
        <v>0.57106191000000006</v>
      </c>
      <c r="AK36" s="411">
        <v>0.57106191000000006</v>
      </c>
      <c r="AL36" s="411">
        <v>0.57106191000000006</v>
      </c>
      <c r="AM36" s="411">
        <v>0.57106191000000006</v>
      </c>
      <c r="AN36" s="411">
        <v>0.57106191000000006</v>
      </c>
      <c r="AO36" s="411">
        <v>0.57106191000000006</v>
      </c>
      <c r="AP36" s="411">
        <v>0.57106191000000006</v>
      </c>
      <c r="AQ36" s="411">
        <v>0.57106191000000006</v>
      </c>
      <c r="AR36" s="411">
        <v>0.57106191000000006</v>
      </c>
      <c r="AS36" s="411">
        <v>0.57106191000000006</v>
      </c>
      <c r="AT36" s="411">
        <v>0.57106191000000006</v>
      </c>
      <c r="AU36" s="411">
        <v>0.57106191000000006</v>
      </c>
      <c r="AV36" s="411">
        <v>0.57106191000000006</v>
      </c>
      <c r="AW36" s="411">
        <v>0.57106191000000006</v>
      </c>
      <c r="AX36" s="391"/>
    </row>
    <row r="37" spans="1:54" ht="14.5" x14ac:dyDescent="0.3">
      <c r="B37" s="949"/>
      <c r="C37" s="944"/>
      <c r="D37" s="404"/>
      <c r="E37" s="405"/>
      <c r="F37" s="406"/>
      <c r="G37" s="406"/>
      <c r="H37" s="406"/>
      <c r="I37" s="406"/>
      <c r="J37" s="406"/>
      <c r="K37" s="406"/>
      <c r="L37" s="406"/>
      <c r="M37" s="406"/>
      <c r="N37" s="406"/>
      <c r="O37" s="406"/>
      <c r="P37" s="406"/>
      <c r="Q37" s="406"/>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X37" s="407"/>
    </row>
    <row r="38" spans="1:54" ht="14.5" x14ac:dyDescent="0.3">
      <c r="B38" s="949"/>
      <c r="C38" s="944"/>
      <c r="D38" s="944"/>
      <c r="E38" s="944"/>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row>
    <row r="39" spans="1:54" ht="26" x14ac:dyDescent="0.3">
      <c r="B39" s="949"/>
      <c r="C39" s="944"/>
      <c r="D39" s="981" t="s">
        <v>33</v>
      </c>
      <c r="E39" s="981"/>
      <c r="F39" s="981"/>
      <c r="G39" s="45"/>
      <c r="H39" s="45"/>
      <c r="I39" s="45"/>
      <c r="J39" s="45"/>
      <c r="K39" s="45"/>
      <c r="L39" s="45"/>
      <c r="M39" s="45"/>
      <c r="N39" s="45"/>
      <c r="O39" s="45"/>
      <c r="P39" s="45"/>
      <c r="Q39" s="45"/>
      <c r="R39" s="412"/>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row>
    <row r="40" spans="1:54" ht="14.5" x14ac:dyDescent="0.3">
      <c r="B40" s="949"/>
      <c r="C40" s="944"/>
      <c r="D40" s="408"/>
      <c r="E40" s="408"/>
      <c r="F40" s="409"/>
      <c r="G40" s="45"/>
      <c r="H40" s="45"/>
      <c r="I40" s="8"/>
      <c r="J40" s="8"/>
      <c r="K40" s="8"/>
      <c r="L40" s="8"/>
      <c r="M40" s="8"/>
      <c r="N40" s="8"/>
      <c r="O40" s="8"/>
      <c r="P40" s="8"/>
      <c r="Q40" s="8"/>
      <c r="R40" s="45"/>
      <c r="S40" s="8"/>
      <c r="T40" s="8"/>
      <c r="U40" s="8"/>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row>
    <row r="41" spans="1:54" ht="14.5" x14ac:dyDescent="0.3">
      <c r="B41" s="949"/>
      <c r="C41" s="1081"/>
      <c r="D41" s="385"/>
      <c r="E41" s="385"/>
      <c r="F41" s="386"/>
      <c r="G41" s="386"/>
      <c r="H41" s="386"/>
      <c r="I41" s="386"/>
      <c r="J41" s="386"/>
      <c r="K41" s="386"/>
      <c r="L41" s="386"/>
      <c r="M41" s="386"/>
      <c r="N41" s="386"/>
      <c r="O41" s="386"/>
      <c r="P41" s="386"/>
      <c r="Q41" s="386"/>
      <c r="R41" s="386"/>
      <c r="S41" s="386"/>
      <c r="T41" s="386"/>
      <c r="U41" s="386"/>
      <c r="V41" s="386"/>
      <c r="W41" s="386"/>
      <c r="X41" s="386"/>
      <c r="Y41" s="386"/>
      <c r="Z41" s="386"/>
      <c r="AA41" s="386"/>
      <c r="AB41" s="386"/>
      <c r="AC41" s="386"/>
      <c r="AD41" s="386"/>
      <c r="AE41" s="386"/>
      <c r="AF41" s="386"/>
      <c r="AG41" s="386"/>
      <c r="AH41" s="386"/>
      <c r="AI41" s="386"/>
      <c r="AJ41" s="386"/>
      <c r="AK41" s="386"/>
      <c r="AL41" s="386"/>
      <c r="AM41" s="386"/>
      <c r="AN41" s="386"/>
      <c r="AO41" s="386"/>
      <c r="AP41" s="386"/>
      <c r="AQ41" s="386"/>
      <c r="AR41" s="386"/>
      <c r="AS41" s="386"/>
      <c r="AT41" s="386"/>
      <c r="AU41" s="386"/>
      <c r="AV41" s="386"/>
      <c r="AW41" s="386"/>
      <c r="AX41" s="387"/>
    </row>
    <row r="42" spans="1:54" ht="15.5" x14ac:dyDescent="0.3">
      <c r="A42" s="389" t="s">
        <v>124</v>
      </c>
      <c r="B42" s="949"/>
      <c r="C42" s="1082"/>
      <c r="D42" s="388"/>
      <c r="E42" s="362" t="s">
        <v>125</v>
      </c>
      <c r="F42" s="389" t="s">
        <v>35</v>
      </c>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c r="AF42" s="390"/>
      <c r="AG42" s="390"/>
      <c r="AH42" s="390"/>
      <c r="AI42" s="390"/>
      <c r="AJ42" s="390"/>
      <c r="AK42" s="390"/>
      <c r="AL42" s="390"/>
      <c r="AM42" s="390"/>
      <c r="AN42" s="390"/>
      <c r="AO42" s="390"/>
      <c r="AP42" s="390"/>
      <c r="AQ42" s="390"/>
      <c r="AR42" s="390"/>
      <c r="AS42" s="390"/>
      <c r="AT42" s="390"/>
      <c r="AU42" s="390"/>
      <c r="AV42" s="390"/>
      <c r="AW42" s="390"/>
      <c r="AX42" s="391"/>
    </row>
    <row r="43" spans="1:54" ht="15.5" x14ac:dyDescent="0.3">
      <c r="B43" s="949"/>
      <c r="C43" s="1083"/>
      <c r="D43" s="388"/>
      <c r="E43" s="392"/>
      <c r="F43" s="393" t="s">
        <v>36</v>
      </c>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1"/>
    </row>
    <row r="44" spans="1:54" hidden="1" x14ac:dyDescent="0.3">
      <c r="A44" s="765"/>
      <c r="B44" s="1048" t="s">
        <v>37</v>
      </c>
      <c r="C44" s="791"/>
      <c r="D44" s="1084" t="s">
        <v>38</v>
      </c>
      <c r="E44" s="1085"/>
      <c r="F44" s="782" t="s">
        <v>39</v>
      </c>
      <c r="G44" s="783">
        <v>13038367.32</v>
      </c>
      <c r="H44" s="782"/>
      <c r="I44" s="783"/>
      <c r="J44" s="784"/>
      <c r="K44" s="784"/>
      <c r="L44" s="784"/>
      <c r="M44" s="784">
        <v>12753386.910000002</v>
      </c>
      <c r="N44" s="785"/>
      <c r="O44" s="785">
        <v>12631197.689999999</v>
      </c>
      <c r="P44" s="785"/>
      <c r="Q44" s="786">
        <v>12514339.529999999</v>
      </c>
      <c r="R44" s="786"/>
      <c r="S44" s="786"/>
      <c r="T44" s="786"/>
      <c r="U44" s="792"/>
      <c r="V44" s="792"/>
      <c r="W44" s="792"/>
      <c r="X44" s="792"/>
      <c r="Y44" s="792"/>
      <c r="Z44" s="792"/>
      <c r="AA44" s="792"/>
      <c r="AB44" s="792"/>
      <c r="AC44" s="792"/>
      <c r="AD44" s="792"/>
      <c r="AE44" s="792"/>
      <c r="AF44" s="792"/>
      <c r="AG44" s="792"/>
      <c r="AH44" s="792"/>
      <c r="AI44" s="792"/>
      <c r="AJ44" s="792"/>
      <c r="AK44" s="792"/>
      <c r="AL44" s="792"/>
      <c r="AM44" s="792"/>
      <c r="AN44" s="792"/>
      <c r="AO44" s="792"/>
      <c r="AP44" s="792"/>
      <c r="AQ44" s="792"/>
      <c r="AR44" s="792"/>
      <c r="AS44" s="792"/>
      <c r="AT44" s="792"/>
      <c r="AU44" s="792"/>
      <c r="AV44" s="792"/>
      <c r="AW44" s="792"/>
      <c r="AX44" s="788"/>
      <c r="AY44" s="765"/>
      <c r="AZ44" s="765"/>
      <c r="BA44" s="765"/>
      <c r="BB44" s="765"/>
    </row>
    <row r="45" spans="1:54" hidden="1" x14ac:dyDescent="0.3">
      <c r="A45" s="765"/>
      <c r="B45" s="1048"/>
      <c r="C45" s="793"/>
      <c r="D45" s="1053"/>
      <c r="E45" s="1054"/>
      <c r="F45" s="782" t="s">
        <v>40</v>
      </c>
      <c r="G45" s="783">
        <v>62196.93</v>
      </c>
      <c r="H45" s="782"/>
      <c r="I45" s="783"/>
      <c r="J45" s="784"/>
      <c r="K45" s="784"/>
      <c r="L45" s="784"/>
      <c r="M45" s="784">
        <v>130072.41000000002</v>
      </c>
      <c r="N45" s="785"/>
      <c r="O45" s="785">
        <v>123719.94</v>
      </c>
      <c r="P45" s="785"/>
      <c r="Q45" s="786">
        <v>121995.27</v>
      </c>
      <c r="R45" s="786"/>
      <c r="S45" s="786"/>
      <c r="T45" s="786"/>
      <c r="U45" s="792"/>
      <c r="V45" s="792"/>
      <c r="W45" s="792"/>
      <c r="X45" s="792"/>
      <c r="Y45" s="792"/>
      <c r="Z45" s="792"/>
      <c r="AA45" s="792"/>
      <c r="AB45" s="792"/>
      <c r="AC45" s="792"/>
      <c r="AD45" s="792"/>
      <c r="AE45" s="792"/>
      <c r="AF45" s="792"/>
      <c r="AG45" s="792"/>
      <c r="AH45" s="792"/>
      <c r="AI45" s="792"/>
      <c r="AJ45" s="792"/>
      <c r="AK45" s="792"/>
      <c r="AL45" s="792"/>
      <c r="AM45" s="792"/>
      <c r="AN45" s="792"/>
      <c r="AO45" s="792"/>
      <c r="AP45" s="792"/>
      <c r="AQ45" s="792"/>
      <c r="AR45" s="792"/>
      <c r="AS45" s="792"/>
      <c r="AT45" s="792"/>
      <c r="AU45" s="792"/>
      <c r="AV45" s="792"/>
      <c r="AW45" s="792"/>
      <c r="AX45" s="788"/>
      <c r="AY45" s="765"/>
      <c r="AZ45" s="765"/>
      <c r="BA45" s="765"/>
      <c r="BB45" s="765"/>
    </row>
    <row r="46" spans="1:54" ht="14.5" hidden="1" x14ac:dyDescent="0.3">
      <c r="B46" s="1048"/>
      <c r="C46" s="987"/>
      <c r="D46" s="1057" t="s">
        <v>41</v>
      </c>
      <c r="E46" s="1058"/>
      <c r="F46" s="394" t="s">
        <v>42</v>
      </c>
      <c r="G46" s="413">
        <v>611941.94999999995</v>
      </c>
      <c r="H46" s="394"/>
      <c r="I46" s="413"/>
      <c r="J46" s="951"/>
      <c r="K46" s="951"/>
      <c r="L46" s="951"/>
      <c r="M46" s="413">
        <v>1094904.6299999997</v>
      </c>
      <c r="N46" s="951"/>
      <c r="O46" s="1086">
        <v>8933864.4900000002</v>
      </c>
      <c r="P46" s="951"/>
      <c r="Q46" s="1087">
        <v>8999553.2400000002</v>
      </c>
      <c r="R46" s="951"/>
      <c r="S46" s="951"/>
      <c r="T46" s="951"/>
      <c r="U46" s="410"/>
      <c r="V46" s="410"/>
      <c r="W46" s="410"/>
      <c r="X46" s="410"/>
      <c r="Y46" s="410"/>
      <c r="Z46" s="410"/>
      <c r="AA46" s="410"/>
      <c r="AB46" s="410"/>
      <c r="AC46" s="410"/>
      <c r="AD46" s="410"/>
      <c r="AE46" s="410"/>
      <c r="AF46" s="410"/>
      <c r="AG46" s="410"/>
      <c r="AH46" s="410"/>
      <c r="AI46" s="410"/>
      <c r="AJ46" s="410"/>
      <c r="AK46" s="410"/>
      <c r="AL46" s="410"/>
      <c r="AM46" s="410"/>
      <c r="AN46" s="410"/>
      <c r="AO46" s="410"/>
      <c r="AP46" s="410"/>
      <c r="AQ46" s="410"/>
      <c r="AR46" s="410"/>
      <c r="AS46" s="410"/>
      <c r="AT46" s="410"/>
      <c r="AU46" s="410"/>
      <c r="AV46" s="410"/>
      <c r="AW46" s="410"/>
      <c r="AX46" s="391"/>
    </row>
    <row r="47" spans="1:54" ht="14.5" hidden="1" x14ac:dyDescent="0.3">
      <c r="B47" s="1048"/>
      <c r="C47" s="987"/>
      <c r="D47" s="1059"/>
      <c r="E47" s="1060"/>
      <c r="F47" s="394" t="s">
        <v>43</v>
      </c>
      <c r="G47" s="413">
        <v>260389.08</v>
      </c>
      <c r="H47" s="394"/>
      <c r="I47" s="413"/>
      <c r="J47" s="396"/>
      <c r="K47" s="396"/>
      <c r="L47" s="396"/>
      <c r="M47" s="414">
        <v>480131.91000000009</v>
      </c>
      <c r="N47" s="396"/>
      <c r="O47" s="1086"/>
      <c r="P47" s="396"/>
      <c r="Q47" s="1087"/>
      <c r="R47" s="951"/>
      <c r="S47" s="951"/>
      <c r="T47" s="951"/>
      <c r="U47" s="410"/>
      <c r="V47" s="410"/>
      <c r="W47" s="410"/>
      <c r="X47" s="410"/>
      <c r="Y47" s="410"/>
      <c r="Z47" s="410"/>
      <c r="AA47" s="410"/>
      <c r="AB47" s="410"/>
      <c r="AC47" s="410"/>
      <c r="AD47" s="410"/>
      <c r="AE47" s="410"/>
      <c r="AF47" s="410"/>
      <c r="AG47" s="410"/>
      <c r="AH47" s="410"/>
      <c r="AI47" s="410"/>
      <c r="AJ47" s="410"/>
      <c r="AK47" s="410"/>
      <c r="AL47" s="410"/>
      <c r="AM47" s="410"/>
      <c r="AN47" s="410"/>
      <c r="AO47" s="410"/>
      <c r="AP47" s="410"/>
      <c r="AQ47" s="410"/>
      <c r="AR47" s="410"/>
      <c r="AS47" s="410"/>
      <c r="AT47" s="410"/>
      <c r="AU47" s="410"/>
      <c r="AV47" s="410"/>
      <c r="AW47" s="410"/>
      <c r="AX47" s="391"/>
    </row>
    <row r="48" spans="1:54" ht="14.5" hidden="1" x14ac:dyDescent="0.3">
      <c r="B48" s="1048"/>
      <c r="C48" s="987"/>
      <c r="D48" s="1059"/>
      <c r="E48" s="1060"/>
      <c r="F48" s="394" t="s">
        <v>44</v>
      </c>
      <c r="G48" s="413">
        <v>167305.59</v>
      </c>
      <c r="H48" s="394"/>
      <c r="I48" s="413"/>
      <c r="J48" s="396"/>
      <c r="K48" s="396"/>
      <c r="L48" s="396"/>
      <c r="M48" s="414">
        <v>917407.35000000009</v>
      </c>
      <c r="N48" s="396"/>
      <c r="O48" s="1086"/>
      <c r="P48" s="396"/>
      <c r="Q48" s="1087"/>
      <c r="R48" s="951"/>
      <c r="S48" s="951"/>
      <c r="T48" s="951"/>
      <c r="U48" s="410"/>
      <c r="V48" s="410"/>
      <c r="W48" s="410"/>
      <c r="X48" s="410"/>
      <c r="Y48" s="410"/>
      <c r="Z48" s="410"/>
      <c r="AA48" s="410"/>
      <c r="AB48" s="410"/>
      <c r="AC48" s="410"/>
      <c r="AD48" s="410"/>
      <c r="AE48" s="410"/>
      <c r="AF48" s="410"/>
      <c r="AG48" s="410"/>
      <c r="AH48" s="410"/>
      <c r="AI48" s="410"/>
      <c r="AJ48" s="410"/>
      <c r="AK48" s="410"/>
      <c r="AL48" s="410"/>
      <c r="AM48" s="410"/>
      <c r="AN48" s="410"/>
      <c r="AO48" s="410"/>
      <c r="AP48" s="410"/>
      <c r="AQ48" s="410"/>
      <c r="AR48" s="410"/>
      <c r="AS48" s="410"/>
      <c r="AT48" s="410"/>
      <c r="AU48" s="410"/>
      <c r="AV48" s="410"/>
      <c r="AW48" s="410"/>
      <c r="AX48" s="391"/>
      <c r="AY48" s="363"/>
      <c r="AZ48" s="363"/>
      <c r="BA48" s="363"/>
      <c r="BB48" s="363"/>
    </row>
    <row r="49" spans="1:54" ht="14.5" hidden="1" x14ac:dyDescent="0.3">
      <c r="B49" s="1048"/>
      <c r="C49" s="987"/>
      <c r="D49" s="1059"/>
      <c r="E49" s="1060"/>
      <c r="F49" s="394" t="s">
        <v>45</v>
      </c>
      <c r="G49" s="414">
        <v>1454890.32</v>
      </c>
      <c r="H49" s="394"/>
      <c r="I49" s="414"/>
      <c r="J49" s="396"/>
      <c r="K49" s="396"/>
      <c r="L49" s="396"/>
      <c r="M49" s="414">
        <v>4959938.7</v>
      </c>
      <c r="N49" s="396"/>
      <c r="O49" s="1086"/>
      <c r="P49" s="396"/>
      <c r="Q49" s="1087"/>
      <c r="R49" s="951"/>
      <c r="S49" s="951"/>
      <c r="T49" s="951"/>
      <c r="U49" s="410"/>
      <c r="V49" s="410"/>
      <c r="W49" s="410"/>
      <c r="X49" s="410"/>
      <c r="Y49" s="410"/>
      <c r="Z49" s="410"/>
      <c r="AA49" s="410"/>
      <c r="AB49" s="410"/>
      <c r="AC49" s="410"/>
      <c r="AD49" s="410"/>
      <c r="AE49" s="410"/>
      <c r="AF49" s="410"/>
      <c r="AG49" s="410"/>
      <c r="AH49" s="410"/>
      <c r="AI49" s="410"/>
      <c r="AJ49" s="410"/>
      <c r="AK49" s="410"/>
      <c r="AL49" s="410"/>
      <c r="AM49" s="410"/>
      <c r="AN49" s="410"/>
      <c r="AO49" s="410"/>
      <c r="AP49" s="410"/>
      <c r="AQ49" s="410"/>
      <c r="AR49" s="410"/>
      <c r="AS49" s="410"/>
      <c r="AT49" s="410"/>
      <c r="AU49" s="410"/>
      <c r="AV49" s="410"/>
      <c r="AW49" s="410"/>
      <c r="AX49" s="391"/>
    </row>
    <row r="50" spans="1:54" hidden="1" x14ac:dyDescent="0.3">
      <c r="A50" s="765"/>
      <c r="B50" s="1048"/>
      <c r="C50" s="987"/>
      <c r="D50" s="1046"/>
      <c r="E50" s="1047"/>
      <c r="F50" s="782" t="s">
        <v>46</v>
      </c>
      <c r="G50" s="783">
        <v>6337045.3499999996</v>
      </c>
      <c r="H50" s="782"/>
      <c r="I50" s="783"/>
      <c r="J50" s="784"/>
      <c r="K50" s="784"/>
      <c r="L50" s="784"/>
      <c r="M50" s="784">
        <v>1266774.3000000003</v>
      </c>
      <c r="N50" s="785"/>
      <c r="O50" s="1086"/>
      <c r="P50" s="785"/>
      <c r="Q50" s="1087"/>
      <c r="R50" s="786"/>
      <c r="S50" s="786"/>
      <c r="T50" s="786"/>
      <c r="U50" s="782"/>
      <c r="V50" s="792"/>
      <c r="W50" s="792"/>
      <c r="X50" s="792"/>
      <c r="Y50" s="792"/>
      <c r="Z50" s="792"/>
      <c r="AA50" s="792"/>
      <c r="AB50" s="792"/>
      <c r="AC50" s="792"/>
      <c r="AD50" s="792"/>
      <c r="AE50" s="792"/>
      <c r="AF50" s="792"/>
      <c r="AG50" s="792"/>
      <c r="AH50" s="792"/>
      <c r="AI50" s="792"/>
      <c r="AJ50" s="792"/>
      <c r="AK50" s="792"/>
      <c r="AL50" s="792"/>
      <c r="AM50" s="792"/>
      <c r="AN50" s="792"/>
      <c r="AO50" s="792"/>
      <c r="AP50" s="792"/>
      <c r="AQ50" s="792"/>
      <c r="AR50" s="792"/>
      <c r="AS50" s="792"/>
      <c r="AT50" s="792"/>
      <c r="AU50" s="792"/>
      <c r="AV50" s="792"/>
      <c r="AW50" s="792"/>
      <c r="AX50" s="788"/>
      <c r="AY50" s="765"/>
      <c r="AZ50" s="765"/>
      <c r="BA50" s="765"/>
      <c r="BB50" s="765"/>
    </row>
    <row r="51" spans="1:54" hidden="1" x14ac:dyDescent="0.3">
      <c r="A51" s="765"/>
      <c r="B51" s="1048"/>
      <c r="C51" s="793"/>
      <c r="D51" s="1088" t="s">
        <v>47</v>
      </c>
      <c r="E51" s="1089"/>
      <c r="F51" s="782" t="s">
        <v>48</v>
      </c>
      <c r="G51" s="783">
        <v>587499.84</v>
      </c>
      <c r="H51" s="782"/>
      <c r="I51" s="783"/>
      <c r="J51" s="789"/>
      <c r="K51" s="789"/>
      <c r="L51" s="789"/>
      <c r="M51" s="783">
        <v>810626.93999999983</v>
      </c>
      <c r="N51" s="789"/>
      <c r="O51" s="786">
        <v>763180.11</v>
      </c>
      <c r="P51" s="789"/>
      <c r="Q51" s="786">
        <v>768908.61</v>
      </c>
      <c r="R51" s="789"/>
      <c r="S51" s="789"/>
      <c r="T51" s="789"/>
      <c r="U51" s="782"/>
      <c r="V51" s="782"/>
      <c r="W51" s="792"/>
      <c r="X51" s="792"/>
      <c r="Y51" s="792"/>
      <c r="Z51" s="792"/>
      <c r="AA51" s="792"/>
      <c r="AB51" s="792"/>
      <c r="AC51" s="792"/>
      <c r="AD51" s="792"/>
      <c r="AE51" s="792"/>
      <c r="AF51" s="792"/>
      <c r="AG51" s="792"/>
      <c r="AH51" s="792"/>
      <c r="AI51" s="792"/>
      <c r="AJ51" s="792"/>
      <c r="AK51" s="792"/>
      <c r="AL51" s="792"/>
      <c r="AM51" s="792"/>
      <c r="AN51" s="792"/>
      <c r="AO51" s="792"/>
      <c r="AP51" s="792"/>
      <c r="AQ51" s="792"/>
      <c r="AR51" s="792"/>
      <c r="AS51" s="792"/>
      <c r="AT51" s="792"/>
      <c r="AU51" s="792"/>
      <c r="AV51" s="792"/>
      <c r="AW51" s="792"/>
      <c r="AX51" s="788"/>
      <c r="AY51" s="765"/>
      <c r="AZ51" s="765"/>
      <c r="BA51" s="765"/>
      <c r="BB51" s="765"/>
    </row>
    <row r="52" spans="1:54" hidden="1" x14ac:dyDescent="0.3">
      <c r="A52" s="765"/>
      <c r="B52" s="1048"/>
      <c r="C52" s="793"/>
      <c r="D52" s="1090"/>
      <c r="E52" s="1091"/>
      <c r="F52" s="782" t="s">
        <v>49</v>
      </c>
      <c r="G52" s="783">
        <v>109528.02</v>
      </c>
      <c r="H52" s="782"/>
      <c r="I52" s="783"/>
      <c r="J52" s="789"/>
      <c r="K52" s="789"/>
      <c r="L52" s="789"/>
      <c r="M52" s="783">
        <v>89167.14</v>
      </c>
      <c r="N52" s="789"/>
      <c r="O52" s="786">
        <v>83035.17</v>
      </c>
      <c r="P52" s="789"/>
      <c r="Q52" s="786">
        <v>85768.2</v>
      </c>
      <c r="R52" s="789"/>
      <c r="S52" s="789"/>
      <c r="T52" s="789"/>
      <c r="U52" s="792"/>
      <c r="V52" s="792"/>
      <c r="W52" s="792"/>
      <c r="X52" s="792"/>
      <c r="Y52" s="792"/>
      <c r="Z52" s="792"/>
      <c r="AA52" s="792"/>
      <c r="AB52" s="792"/>
      <c r="AC52" s="792"/>
      <c r="AD52" s="792"/>
      <c r="AE52" s="792"/>
      <c r="AF52" s="792"/>
      <c r="AG52" s="792"/>
      <c r="AH52" s="792"/>
      <c r="AI52" s="792"/>
      <c r="AJ52" s="792"/>
      <c r="AK52" s="792"/>
      <c r="AL52" s="792"/>
      <c r="AM52" s="792"/>
      <c r="AN52" s="792"/>
      <c r="AO52" s="792"/>
      <c r="AP52" s="792"/>
      <c r="AQ52" s="792"/>
      <c r="AR52" s="792"/>
      <c r="AS52" s="792"/>
      <c r="AT52" s="792"/>
      <c r="AU52" s="792"/>
      <c r="AV52" s="792"/>
      <c r="AW52" s="792"/>
      <c r="AX52" s="788"/>
      <c r="AY52" s="765"/>
      <c r="AZ52" s="765"/>
      <c r="BA52" s="765"/>
      <c r="BB52" s="765"/>
    </row>
    <row r="53" spans="1:54" ht="14.5" hidden="1" x14ac:dyDescent="0.3">
      <c r="B53" s="1048"/>
      <c r="C53" s="948"/>
      <c r="D53" s="1092"/>
      <c r="E53" s="1093"/>
      <c r="F53" s="394" t="s">
        <v>50</v>
      </c>
      <c r="G53" s="783">
        <v>1465935.84</v>
      </c>
      <c r="H53" s="394"/>
      <c r="I53" s="783"/>
      <c r="J53" s="789"/>
      <c r="K53" s="789"/>
      <c r="L53" s="789"/>
      <c r="M53" s="783">
        <v>1523970.09</v>
      </c>
      <c r="N53" s="789"/>
      <c r="O53" s="786">
        <v>1515272.49</v>
      </c>
      <c r="P53" s="789"/>
      <c r="Q53" s="786">
        <v>1521159.66</v>
      </c>
      <c r="R53" s="789"/>
      <c r="S53" s="789"/>
      <c r="T53" s="789"/>
      <c r="U53" s="410"/>
      <c r="V53" s="410"/>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410"/>
      <c r="AT53" s="410"/>
      <c r="AU53" s="410"/>
      <c r="AV53" s="410"/>
      <c r="AW53" s="410"/>
      <c r="AX53" s="391"/>
    </row>
    <row r="54" spans="1:54" ht="14.5" hidden="1" x14ac:dyDescent="0.3">
      <c r="B54" s="1048"/>
      <c r="C54" s="948"/>
      <c r="D54" s="1057" t="s">
        <v>51</v>
      </c>
      <c r="E54" s="1058"/>
      <c r="F54" s="394" t="s">
        <v>52</v>
      </c>
      <c r="G54" s="783">
        <v>348472.62</v>
      </c>
      <c r="H54" s="394"/>
      <c r="I54" s="783"/>
      <c r="J54" s="789"/>
      <c r="K54" s="789"/>
      <c r="L54" s="789"/>
      <c r="M54" s="783">
        <v>305169.38999999996</v>
      </c>
      <c r="N54" s="789"/>
      <c r="O54" s="786">
        <v>295476.12</v>
      </c>
      <c r="P54" s="789"/>
      <c r="Q54" s="786">
        <v>291292.2</v>
      </c>
      <c r="R54" s="789"/>
      <c r="S54" s="789"/>
      <c r="T54" s="789"/>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410"/>
      <c r="AT54" s="410"/>
      <c r="AU54" s="410"/>
      <c r="AV54" s="410"/>
      <c r="AW54" s="410"/>
      <c r="AX54" s="391"/>
    </row>
    <row r="55" spans="1:54" ht="14.5" hidden="1" x14ac:dyDescent="0.3">
      <c r="B55" s="1048"/>
      <c r="C55" s="948"/>
      <c r="D55" s="1046"/>
      <c r="E55" s="1047"/>
      <c r="F55" s="394" t="s">
        <v>53</v>
      </c>
      <c r="G55" s="783">
        <v>157677.57</v>
      </c>
      <c r="H55" s="394"/>
      <c r="I55" s="783"/>
      <c r="J55" s="789"/>
      <c r="K55" s="789"/>
      <c r="L55" s="789"/>
      <c r="M55" s="783">
        <v>199934.1</v>
      </c>
      <c r="N55" s="789"/>
      <c r="O55" s="786">
        <v>199287.27</v>
      </c>
      <c r="P55" s="789"/>
      <c r="Q55" s="786">
        <v>200705.67</v>
      </c>
      <c r="R55" s="789"/>
      <c r="S55" s="789"/>
      <c r="T55" s="789"/>
      <c r="U55" s="410"/>
      <c r="V55" s="410"/>
      <c r="W55" s="410"/>
      <c r="X55" s="410"/>
      <c r="Y55" s="410"/>
      <c r="Z55" s="410"/>
      <c r="AA55" s="410"/>
      <c r="AB55" s="410"/>
      <c r="AC55" s="410"/>
      <c r="AD55" s="410"/>
      <c r="AE55" s="410"/>
      <c r="AF55" s="410"/>
      <c r="AG55" s="410"/>
      <c r="AH55" s="410"/>
      <c r="AI55" s="410"/>
      <c r="AJ55" s="410"/>
      <c r="AK55" s="410"/>
      <c r="AL55" s="410"/>
      <c r="AM55" s="410"/>
      <c r="AN55" s="410"/>
      <c r="AO55" s="410"/>
      <c r="AP55" s="410"/>
      <c r="AQ55" s="410"/>
      <c r="AR55" s="410"/>
      <c r="AS55" s="410"/>
      <c r="AT55" s="410"/>
      <c r="AU55" s="410"/>
      <c r="AV55" s="410"/>
      <c r="AW55" s="410"/>
      <c r="AX55" s="391"/>
      <c r="AY55" s="363"/>
      <c r="AZ55" s="363"/>
      <c r="BA55" s="363"/>
      <c r="BB55" s="363"/>
    </row>
    <row r="56" spans="1:54" ht="14.5" hidden="1" x14ac:dyDescent="0.3">
      <c r="B56" s="1048"/>
      <c r="C56" s="948"/>
      <c r="D56" s="1057" t="s">
        <v>54</v>
      </c>
      <c r="E56" s="1058"/>
      <c r="F56" s="394" t="s">
        <v>55</v>
      </c>
      <c r="G56" s="783">
        <v>165538.44</v>
      </c>
      <c r="H56" s="394"/>
      <c r="I56" s="783"/>
      <c r="J56" s="789"/>
      <c r="K56" s="789"/>
      <c r="L56" s="789"/>
      <c r="M56" s="783">
        <v>224935.38000000003</v>
      </c>
      <c r="N56" s="789"/>
      <c r="O56" s="786">
        <v>229182.39</v>
      </c>
      <c r="P56" s="789"/>
      <c r="Q56" s="786">
        <v>255251.97</v>
      </c>
      <c r="R56" s="789"/>
      <c r="S56" s="789"/>
      <c r="T56" s="789"/>
      <c r="U56" s="410"/>
      <c r="V56" s="410"/>
      <c r="W56" s="410"/>
      <c r="X56" s="410"/>
      <c r="Y56" s="410"/>
      <c r="Z56" s="410"/>
      <c r="AA56" s="410"/>
      <c r="AB56" s="410"/>
      <c r="AC56" s="410"/>
      <c r="AD56" s="410"/>
      <c r="AE56" s="410"/>
      <c r="AF56" s="410"/>
      <c r="AG56" s="410"/>
      <c r="AH56" s="410"/>
      <c r="AI56" s="410"/>
      <c r="AJ56" s="410"/>
      <c r="AK56" s="410"/>
      <c r="AL56" s="410"/>
      <c r="AM56" s="410"/>
      <c r="AN56" s="410"/>
      <c r="AO56" s="410"/>
      <c r="AP56" s="410"/>
      <c r="AQ56" s="410"/>
      <c r="AR56" s="410"/>
      <c r="AS56" s="410"/>
      <c r="AT56" s="410"/>
      <c r="AU56" s="410"/>
      <c r="AV56" s="410"/>
      <c r="AW56" s="410"/>
      <c r="AX56" s="391"/>
    </row>
    <row r="57" spans="1:54" ht="14.5" hidden="1" x14ac:dyDescent="0.3">
      <c r="B57" s="1048"/>
      <c r="C57" s="948"/>
      <c r="D57" s="1046"/>
      <c r="E57" s="1047"/>
      <c r="F57" s="394" t="s">
        <v>56</v>
      </c>
      <c r="G57" s="413">
        <v>11615.85</v>
      </c>
      <c r="H57" s="394"/>
      <c r="I57" s="413"/>
      <c r="J57" s="410"/>
      <c r="K57" s="410"/>
      <c r="L57" s="410"/>
      <c r="M57" s="413">
        <v>21206.79</v>
      </c>
      <c r="N57" s="410"/>
      <c r="O57" s="951">
        <v>23884.2</v>
      </c>
      <c r="P57" s="410"/>
      <c r="Q57" s="951">
        <v>30656.25</v>
      </c>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c r="AP57" s="410"/>
      <c r="AQ57" s="410"/>
      <c r="AR57" s="410"/>
      <c r="AS57" s="410"/>
      <c r="AT57" s="410"/>
      <c r="AU57" s="410"/>
      <c r="AV57" s="410"/>
      <c r="AW57" s="410"/>
      <c r="AX57" s="391"/>
    </row>
    <row r="58" spans="1:54" ht="14.5" hidden="1" x14ac:dyDescent="0.3">
      <c r="B58" s="1048"/>
      <c r="C58" s="948"/>
      <c r="D58" s="1074" t="s">
        <v>57</v>
      </c>
      <c r="E58" s="1075"/>
      <c r="F58" s="394" t="s">
        <v>58</v>
      </c>
      <c r="G58" s="783">
        <v>109686.69</v>
      </c>
      <c r="H58" s="394"/>
      <c r="I58" s="783"/>
      <c r="J58" s="789"/>
      <c r="K58" s="789"/>
      <c r="L58" s="789"/>
      <c r="M58" s="783">
        <v>112568.04000000002</v>
      </c>
      <c r="N58" s="789"/>
      <c r="O58" s="786">
        <v>93841.919999999998</v>
      </c>
      <c r="P58" s="789"/>
      <c r="Q58" s="786">
        <v>102446.37</v>
      </c>
      <c r="R58" s="789"/>
      <c r="S58" s="789"/>
      <c r="T58" s="789"/>
      <c r="U58" s="410"/>
      <c r="V58" s="410"/>
      <c r="W58" s="410"/>
      <c r="X58" s="410"/>
      <c r="Y58" s="410"/>
      <c r="Z58" s="410"/>
      <c r="AA58" s="410"/>
      <c r="AB58" s="410"/>
      <c r="AC58" s="410"/>
      <c r="AD58" s="410"/>
      <c r="AE58" s="410"/>
      <c r="AF58" s="410"/>
      <c r="AG58" s="410"/>
      <c r="AH58" s="410"/>
      <c r="AI58" s="410"/>
      <c r="AJ58" s="410"/>
      <c r="AK58" s="410"/>
      <c r="AL58" s="410"/>
      <c r="AM58" s="410"/>
      <c r="AN58" s="410"/>
      <c r="AO58" s="410"/>
      <c r="AP58" s="410"/>
      <c r="AQ58" s="410"/>
      <c r="AR58" s="410"/>
      <c r="AS58" s="410"/>
      <c r="AT58" s="410"/>
      <c r="AU58" s="410"/>
      <c r="AV58" s="410"/>
      <c r="AW58" s="410"/>
      <c r="AX58" s="391"/>
      <c r="AY58" s="363"/>
      <c r="AZ58" s="363"/>
      <c r="BA58" s="363"/>
      <c r="BB58" s="363"/>
    </row>
    <row r="59" spans="1:54" ht="14.5" hidden="1" x14ac:dyDescent="0.3">
      <c r="B59" s="1048"/>
      <c r="C59" s="948"/>
      <c r="D59" s="1076"/>
      <c r="E59" s="1077"/>
      <c r="F59" s="394" t="s">
        <v>59</v>
      </c>
      <c r="G59" s="783">
        <v>9968.49</v>
      </c>
      <c r="H59" s="394"/>
      <c r="I59" s="783"/>
      <c r="J59" s="789"/>
      <c r="K59" s="789"/>
      <c r="L59" s="789"/>
      <c r="M59" s="783">
        <v>7865.73</v>
      </c>
      <c r="N59" s="789"/>
      <c r="O59" s="786">
        <v>6279.21</v>
      </c>
      <c r="P59" s="789"/>
      <c r="Q59" s="786">
        <v>6144.03</v>
      </c>
      <c r="R59" s="789"/>
      <c r="S59" s="789"/>
      <c r="T59" s="789"/>
      <c r="U59" s="410"/>
      <c r="V59" s="410"/>
      <c r="W59" s="410"/>
      <c r="X59" s="410"/>
      <c r="Y59" s="410"/>
      <c r="Z59" s="410"/>
      <c r="AA59" s="410"/>
      <c r="AB59" s="410"/>
      <c r="AC59" s="410"/>
      <c r="AD59" s="410"/>
      <c r="AE59" s="410"/>
      <c r="AF59" s="410"/>
      <c r="AG59" s="410"/>
      <c r="AH59" s="410"/>
      <c r="AI59" s="410"/>
      <c r="AJ59" s="410"/>
      <c r="AK59" s="410"/>
      <c r="AL59" s="410"/>
      <c r="AM59" s="410"/>
      <c r="AN59" s="410"/>
      <c r="AO59" s="410"/>
      <c r="AP59" s="410"/>
      <c r="AQ59" s="410"/>
      <c r="AR59" s="410"/>
      <c r="AS59" s="410"/>
      <c r="AT59" s="410"/>
      <c r="AU59" s="410"/>
      <c r="AV59" s="410"/>
      <c r="AW59" s="410"/>
      <c r="AX59" s="391"/>
    </row>
    <row r="60" spans="1:54" ht="14.5" hidden="1" x14ac:dyDescent="0.3">
      <c r="B60" s="1048"/>
      <c r="C60" s="948"/>
      <c r="D60" s="1078"/>
      <c r="E60" s="1079"/>
      <c r="F60" s="394" t="s">
        <v>60</v>
      </c>
      <c r="G60" s="413">
        <v>0</v>
      </c>
      <c r="H60" s="394"/>
      <c r="I60" s="413"/>
      <c r="J60" s="410"/>
      <c r="K60" s="410"/>
      <c r="L60" s="410"/>
      <c r="M60" s="413">
        <v>0</v>
      </c>
      <c r="N60" s="410"/>
      <c r="O60" s="951">
        <v>0</v>
      </c>
      <c r="P60" s="410"/>
      <c r="Q60" s="951">
        <v>0</v>
      </c>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391"/>
    </row>
    <row r="61" spans="1:54" ht="14.5" hidden="1" x14ac:dyDescent="0.3">
      <c r="A61" s="14"/>
      <c r="B61" s="364"/>
      <c r="C61" s="149"/>
      <c r="D61" s="399"/>
      <c r="E61" s="399"/>
      <c r="F61" s="400" t="s">
        <v>61</v>
      </c>
      <c r="G61" s="415">
        <f>SUM(G44:G60)</f>
        <v>24898059.900000002</v>
      </c>
      <c r="H61" s="415"/>
      <c r="I61" s="415"/>
      <c r="J61" s="415"/>
      <c r="K61" s="415"/>
      <c r="L61" s="415"/>
      <c r="M61" s="415">
        <f t="shared" ref="M61:Q61" si="4">SUM(M44:M60)</f>
        <v>24898059.810000002</v>
      </c>
      <c r="N61" s="415"/>
      <c r="O61" s="415">
        <f t="shared" si="4"/>
        <v>24898221</v>
      </c>
      <c r="P61" s="415"/>
      <c r="Q61" s="415">
        <f t="shared" si="4"/>
        <v>24898221</v>
      </c>
      <c r="R61" s="401"/>
      <c r="S61" s="401"/>
      <c r="T61" s="401"/>
      <c r="U61" s="401"/>
      <c r="V61" s="401"/>
      <c r="W61" s="401"/>
      <c r="X61" s="401"/>
      <c r="Y61" s="401"/>
      <c r="Z61" s="401"/>
      <c r="AA61" s="401"/>
      <c r="AB61" s="401"/>
      <c r="AC61" s="401"/>
      <c r="AD61" s="401"/>
      <c r="AE61" s="401"/>
      <c r="AF61" s="401"/>
      <c r="AG61" s="401"/>
      <c r="AH61" s="401"/>
      <c r="AI61" s="401"/>
      <c r="AJ61" s="401"/>
      <c r="AK61" s="401"/>
      <c r="AL61" s="401"/>
      <c r="AM61" s="401"/>
      <c r="AN61" s="401"/>
      <c r="AO61" s="401"/>
      <c r="AP61" s="401"/>
      <c r="AQ61" s="401"/>
      <c r="AR61" s="401"/>
      <c r="AS61" s="401"/>
      <c r="AT61" s="401"/>
      <c r="AU61" s="401"/>
      <c r="AV61" s="401"/>
      <c r="AW61" s="401"/>
      <c r="AX61" s="403"/>
      <c r="AY61" s="14"/>
      <c r="AZ61" s="14"/>
      <c r="BA61" s="14"/>
      <c r="BB61" s="14"/>
    </row>
    <row r="62" spans="1:54" ht="15.5" hidden="1" x14ac:dyDescent="0.3">
      <c r="B62" s="949"/>
      <c r="C62" s="151"/>
      <c r="D62" s="388"/>
      <c r="E62" s="392"/>
      <c r="F62" s="393" t="s">
        <v>62</v>
      </c>
      <c r="G62" s="390"/>
      <c r="H62" s="390"/>
      <c r="I62" s="390"/>
      <c r="J62" s="390"/>
      <c r="K62" s="390"/>
      <c r="L62" s="390"/>
      <c r="M62" s="390"/>
      <c r="N62" s="390"/>
      <c r="O62" s="390"/>
      <c r="P62" s="390"/>
      <c r="Q62" s="390"/>
      <c r="R62" s="390"/>
      <c r="S62" s="390"/>
      <c r="T62" s="390"/>
      <c r="U62" s="390"/>
      <c r="V62" s="390"/>
      <c r="W62" s="390"/>
      <c r="X62" s="390"/>
      <c r="Y62" s="390"/>
      <c r="Z62" s="390"/>
      <c r="AA62" s="390"/>
      <c r="AB62" s="390"/>
      <c r="AC62" s="390"/>
      <c r="AD62" s="390"/>
      <c r="AE62" s="390"/>
      <c r="AF62" s="390"/>
      <c r="AG62" s="390"/>
      <c r="AH62" s="390"/>
      <c r="AI62" s="390"/>
      <c r="AJ62" s="390"/>
      <c r="AK62" s="390"/>
      <c r="AL62" s="390"/>
      <c r="AM62" s="390"/>
      <c r="AN62" s="390"/>
      <c r="AO62" s="390"/>
      <c r="AP62" s="390"/>
      <c r="AQ62" s="390"/>
      <c r="AR62" s="390"/>
      <c r="AS62" s="390"/>
      <c r="AT62" s="390"/>
      <c r="AU62" s="390"/>
      <c r="AV62" s="390"/>
      <c r="AW62" s="390"/>
      <c r="AX62" s="391"/>
    </row>
    <row r="63" spans="1:54" ht="30" x14ac:dyDescent="0.3">
      <c r="B63" s="949"/>
      <c r="C63" s="365" t="s">
        <v>63</v>
      </c>
      <c r="D63" s="1005" t="s">
        <v>64</v>
      </c>
      <c r="E63" s="1080"/>
      <c r="F63" s="20" t="s">
        <v>65</v>
      </c>
      <c r="G63" s="394"/>
      <c r="H63" s="394"/>
      <c r="I63" s="413"/>
      <c r="J63" s="410"/>
      <c r="K63" s="410"/>
      <c r="L63" s="410"/>
      <c r="M63" s="410"/>
      <c r="N63" s="410"/>
      <c r="O63" s="410"/>
      <c r="P63" s="410"/>
      <c r="Q63" s="951"/>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c r="AP63" s="410"/>
      <c r="AQ63" s="410"/>
      <c r="AR63" s="410"/>
      <c r="AS63" s="410"/>
      <c r="AT63" s="410"/>
      <c r="AU63" s="410"/>
      <c r="AV63" s="410"/>
      <c r="AW63" s="410"/>
      <c r="AX63" s="391"/>
    </row>
    <row r="64" spans="1:54" ht="14.5" x14ac:dyDescent="0.3">
      <c r="A64" s="366" t="s">
        <v>66</v>
      </c>
      <c r="B64" s="1048" t="s">
        <v>37</v>
      </c>
      <c r="C64" s="1049" t="s">
        <v>67</v>
      </c>
      <c r="D64" s="1051" t="s">
        <v>38</v>
      </c>
      <c r="E64" s="1052"/>
      <c r="F64" s="782" t="s">
        <v>68</v>
      </c>
      <c r="G64" s="952">
        <f t="shared" ref="G64:G65" si="5">G44/1000000</f>
        <v>13.038367320000001</v>
      </c>
      <c r="H64" s="952"/>
      <c r="I64" s="952"/>
      <c r="J64" s="952"/>
      <c r="K64" s="952"/>
      <c r="L64" s="952"/>
      <c r="M64" s="952">
        <f t="shared" ref="M64:Q65" si="6">M44/1000000</f>
        <v>12.753386910000001</v>
      </c>
      <c r="N64" s="952"/>
      <c r="O64" s="952">
        <f t="shared" si="6"/>
        <v>12.631197689999999</v>
      </c>
      <c r="P64" s="952"/>
      <c r="Q64" s="952">
        <f>Q44/1000000</f>
        <v>12.514339529999999</v>
      </c>
      <c r="R64" s="367">
        <f>Q64*(1-0.0046)</f>
        <v>12.456773568161999</v>
      </c>
      <c r="S64" s="367">
        <f t="shared" ref="S64:AW64" si="7">R64*(1-0.0046)</f>
        <v>12.399472409748453</v>
      </c>
      <c r="T64" s="367">
        <f t="shared" si="7"/>
        <v>12.34243483666361</v>
      </c>
      <c r="U64" s="374">
        <f>T64*(1-0.0046)</f>
        <v>12.285659636414957</v>
      </c>
      <c r="V64" s="374">
        <f t="shared" si="7"/>
        <v>12.229145602087447</v>
      </c>
      <c r="W64" s="374">
        <f t="shared" si="7"/>
        <v>12.172891532317845</v>
      </c>
      <c r="X64" s="374">
        <f t="shared" si="7"/>
        <v>12.116896231269182</v>
      </c>
      <c r="Y64" s="374">
        <f t="shared" si="7"/>
        <v>12.061158508605343</v>
      </c>
      <c r="Z64" s="374">
        <f t="shared" si="7"/>
        <v>12.005677179465758</v>
      </c>
      <c r="AA64" s="374">
        <f t="shared" si="7"/>
        <v>11.950451064440216</v>
      </c>
      <c r="AB64" s="374">
        <f t="shared" si="7"/>
        <v>11.89547898954379</v>
      </c>
      <c r="AC64" s="374">
        <f t="shared" si="7"/>
        <v>11.840759786191887</v>
      </c>
      <c r="AD64" s="374">
        <f t="shared" si="7"/>
        <v>11.786292291175403</v>
      </c>
      <c r="AE64" s="374">
        <f t="shared" si="7"/>
        <v>11.732075346635996</v>
      </c>
      <c r="AF64" s="374">
        <f t="shared" si="7"/>
        <v>11.67810780004147</v>
      </c>
      <c r="AG64" s="374">
        <f t="shared" si="7"/>
        <v>11.62438850416128</v>
      </c>
      <c r="AH64" s="374">
        <f t="shared" si="7"/>
        <v>11.570916317042137</v>
      </c>
      <c r="AI64" s="374">
        <f t="shared" si="7"/>
        <v>11.517690101983742</v>
      </c>
      <c r="AJ64" s="374">
        <f t="shared" si="7"/>
        <v>11.464708727514617</v>
      </c>
      <c r="AK64" s="374">
        <f t="shared" si="7"/>
        <v>11.41197106736805</v>
      </c>
      <c r="AL64" s="374">
        <f t="shared" si="7"/>
        <v>11.359476000458157</v>
      </c>
      <c r="AM64" s="374">
        <f t="shared" si="7"/>
        <v>11.307222410856049</v>
      </c>
      <c r="AN64" s="374">
        <f t="shared" si="7"/>
        <v>11.255209187766111</v>
      </c>
      <c r="AO64" s="374">
        <f t="shared" si="7"/>
        <v>11.203435225502385</v>
      </c>
      <c r="AP64" s="374">
        <f t="shared" si="7"/>
        <v>11.151899423465075</v>
      </c>
      <c r="AQ64" s="374">
        <f t="shared" si="7"/>
        <v>11.100600686117135</v>
      </c>
      <c r="AR64" s="374">
        <f t="shared" si="7"/>
        <v>11.049537922960996</v>
      </c>
      <c r="AS64" s="374">
        <f t="shared" si="7"/>
        <v>10.998710048515374</v>
      </c>
      <c r="AT64" s="374">
        <f t="shared" si="7"/>
        <v>10.948115982292203</v>
      </c>
      <c r="AU64" s="374">
        <f t="shared" si="7"/>
        <v>10.897754648773658</v>
      </c>
      <c r="AV64" s="374">
        <f t="shared" si="7"/>
        <v>10.847624977389298</v>
      </c>
      <c r="AW64" s="374">
        <f t="shared" si="7"/>
        <v>10.797725902493307</v>
      </c>
      <c r="AX64" s="788"/>
      <c r="AY64" s="765"/>
      <c r="AZ64" s="765"/>
      <c r="BA64" s="765"/>
      <c r="BB64" s="765"/>
    </row>
    <row r="65" spans="1:54" ht="14.5" x14ac:dyDescent="0.3">
      <c r="A65" s="366" t="s">
        <v>126</v>
      </c>
      <c r="B65" s="1048"/>
      <c r="C65" s="1050"/>
      <c r="D65" s="1053"/>
      <c r="E65" s="1054"/>
      <c r="F65" s="782" t="s">
        <v>70</v>
      </c>
      <c r="G65" s="952">
        <f t="shared" si="5"/>
        <v>6.2196929999999997E-2</v>
      </c>
      <c r="H65" s="952"/>
      <c r="I65" s="952"/>
      <c r="J65" s="952"/>
      <c r="K65" s="952"/>
      <c r="L65" s="952"/>
      <c r="M65" s="952">
        <f t="shared" si="6"/>
        <v>0.13007241000000003</v>
      </c>
      <c r="N65" s="952"/>
      <c r="O65" s="952">
        <f t="shared" si="6"/>
        <v>0.12371994</v>
      </c>
      <c r="P65" s="952"/>
      <c r="Q65" s="952">
        <f t="shared" si="6"/>
        <v>0.12199527</v>
      </c>
      <c r="R65" s="367">
        <f>Q65*(1+('Drivers Económicos'!E8/100))</f>
        <v>0.12201279725373561</v>
      </c>
      <c r="S65" s="367">
        <f>R65*(1+('Drivers Económicos'!F8/100))</f>
        <v>0.12202994300503701</v>
      </c>
      <c r="T65" s="367">
        <f>S65*(1+('Drivers Económicos'!G8/100))</f>
        <v>0.12204671255102403</v>
      </c>
      <c r="U65" s="374">
        <f>T65*(1+('Drivers Económicos'!H8/100)+ 0.1*('Drivers Económicos'!H8/100))</f>
        <v>0.12206476031117929</v>
      </c>
      <c r="V65" s="374">
        <f>U65*(1+('Drivers Económicos'!I8/100)+ 0.1*('Drivers Económicos'!I8/100))</f>
        <v>0.12208241941619249</v>
      </c>
      <c r="W65" s="374">
        <f>V65*(1+('Drivers Económicos'!J8/100)+ 0.1*('Drivers Económicos'!J8/100))</f>
        <v>0.12209969148338677</v>
      </c>
      <c r="X65" s="374">
        <f>W65*(1+('Drivers Económicos'!K8/100)+ 0.1*('Drivers Económicos'!K8/100))</f>
        <v>0.1221165851232528</v>
      </c>
      <c r="Y65" s="374">
        <f>X65*(1+('Drivers Económicos'!L8/100)+ 0.1*('Drivers Económicos'!L8/100))</f>
        <v>0.12213309300873428</v>
      </c>
      <c r="Z65" s="374">
        <f>Y65*(1+('Drivers Económicos'!M8/100)+ 0.1*('Drivers Económicos'!M8/100))</f>
        <v>0.12214922044362438</v>
      </c>
      <c r="AA65" s="374">
        <f>Z65*(1+('Drivers Económicos'!N8/100)+ 0.1*('Drivers Económicos'!N8/100))</f>
        <v>0.12216496713205159</v>
      </c>
      <c r="AB65" s="374">
        <f>AA65*(1+('Drivers Económicos'!O8/100)+ 0.1*('Drivers Económicos'!O8/100))</f>
        <v>0.12218034184991879</v>
      </c>
      <c r="AC65" s="374">
        <f>AB65*(1+('Drivers Económicos'!P8/100)+ 0.1*('Drivers Económicos'!P8/100))</f>
        <v>0.12219533805988837</v>
      </c>
      <c r="AD65" s="374">
        <f>AC65*(1+('Drivers Económicos'!Q8/100)+ 0.1*('Drivers Económicos'!Q8/100))</f>
        <v>0.12220995841836835</v>
      </c>
      <c r="AE65" s="374">
        <f>AD65*(1+('Drivers Económicos'!R8/100)+ 0.1*('Drivers Económicos'!R8/100))</f>
        <v>0.12222420312599636</v>
      </c>
      <c r="AF65" s="374">
        <f>AE65*(1+('Drivers Económicos'!S8/100)+ 0.1*('Drivers Económicos'!S8/100))</f>
        <v>0.12223807071072022</v>
      </c>
      <c r="AG65" s="374">
        <f>AF65*(1+('Drivers Económicos'!T8/100)+ 0.1*('Drivers Económicos'!T8/100))</f>
        <v>0.12225156552976225</v>
      </c>
      <c r="AH65" s="374">
        <f>AG65*(1+('Drivers Económicos'!U8/100)+ 0.1*('Drivers Económicos'!U8/100))</f>
        <v>0.12226468751009974</v>
      </c>
      <c r="AI65" s="374">
        <f>AH65*(1+('Drivers Económicos'!V8/100)+ 0.1*('Drivers Económicos'!V8/100))</f>
        <v>0.12227744047937861</v>
      </c>
      <c r="AJ65" s="374">
        <f>AI65*(1+('Drivers Económicos'!W8/100)+ 0.1*('Drivers Económicos'!W8/100))</f>
        <v>0.12228982283959992</v>
      </c>
      <c r="AK65" s="374">
        <f>AJ65*(1+('Drivers Económicos'!X8/100)+ 0.1*('Drivers Económicos'!X8/100))</f>
        <v>0.12230183939096047</v>
      </c>
      <c r="AL65" s="374">
        <f>AK65*(1+('Drivers Económicos'!Y8/100)+ 0.1*('Drivers Económicos'!Y8/100))</f>
        <v>0.12231349099985833</v>
      </c>
      <c r="AM65" s="374">
        <f>AL65*(1+('Drivers Económicos'!Z8/100)+ 0.1*('Drivers Económicos'!Z8/100))</f>
        <v>0.12232478073622741</v>
      </c>
      <c r="AN65" s="374">
        <f>AM65*(1+('Drivers Económicos'!AA8/100)+ 0.1*('Drivers Económicos'!AA8/100))</f>
        <v>0.12233571537929358</v>
      </c>
      <c r="AO65" s="374">
        <f>AN65*(1+('Drivers Económicos'!AB8/100)+ 0.1*('Drivers Económicos'!AB8/100))</f>
        <v>0.12234629902313736</v>
      </c>
      <c r="AP65" s="374">
        <f>AO65*(1+('Drivers Económicos'!AC8/100)+ 0.1*('Drivers Económicos'!AC8/100))</f>
        <v>0.12235653269744039</v>
      </c>
      <c r="AQ65" s="374">
        <f>AP65*(1+('Drivers Económicos'!AD8/100)+ 0.1*('Drivers Económicos'!AD8/100))</f>
        <v>0.1223664223777219</v>
      </c>
      <c r="AR65" s="374">
        <f>AQ65*(1+('Drivers Económicos'!AE8/100)+ 0.1*('Drivers Económicos'!AE8/100))</f>
        <v>0.12237596862686878</v>
      </c>
      <c r="AS65" s="374">
        <f>AR65*(1+('Drivers Económicos'!AF8/100)+ 0.1*('Drivers Económicos'!AF8/100))</f>
        <v>0.12238517659266554</v>
      </c>
      <c r="AT65" s="374">
        <f>AS65*(1+('Drivers Económicos'!AG8/100)+ 0.1*('Drivers Económicos'!AG8/100))</f>
        <v>0.1223940541952013</v>
      </c>
      <c r="AU65" s="374">
        <f>AT65*(1+('Drivers Económicos'!AH8/100)+ 0.1*('Drivers Económicos'!AH8/100))</f>
        <v>0.12240259995794674</v>
      </c>
      <c r="AV65" s="374">
        <f>AU65*(1+('Drivers Económicos'!AI8/100)+ 0.1*('Drivers Económicos'!AI8/100))</f>
        <v>0.12241082207580078</v>
      </c>
      <c r="AW65" s="374">
        <f>AV65*(1+('Drivers Económicos'!AJ8/100)+ 0.1*('Drivers Económicos'!AJ8/100))</f>
        <v>0.12241872896344128</v>
      </c>
      <c r="AX65" s="788"/>
      <c r="AY65" s="765"/>
      <c r="AZ65" s="765"/>
      <c r="BA65" s="765"/>
      <c r="BB65" s="765"/>
    </row>
    <row r="66" spans="1:54" ht="14.5" x14ac:dyDescent="0.3">
      <c r="A66" s="1055" t="s">
        <v>127</v>
      </c>
      <c r="B66" s="1048"/>
      <c r="C66" s="1049" t="s">
        <v>71</v>
      </c>
      <c r="D66" s="1057" t="s">
        <v>41</v>
      </c>
      <c r="E66" s="1058"/>
      <c r="F66" s="416"/>
      <c r="G66" s="367"/>
      <c r="H66" s="367"/>
      <c r="I66" s="952"/>
      <c r="J66" s="952"/>
      <c r="K66" s="952"/>
      <c r="L66" s="952"/>
      <c r="M66" s="952"/>
      <c r="N66" s="952"/>
      <c r="O66" s="952"/>
      <c r="P66" s="952"/>
      <c r="Q66" s="952"/>
      <c r="R66" s="952"/>
      <c r="S66" s="952"/>
      <c r="T66" s="952"/>
      <c r="U66" s="374"/>
      <c r="V66" s="374"/>
      <c r="W66" s="374"/>
      <c r="X66" s="374"/>
      <c r="Y66" s="374"/>
      <c r="Z66" s="374"/>
      <c r="AA66" s="374"/>
      <c r="AB66" s="374"/>
      <c r="AC66" s="374"/>
      <c r="AD66" s="374"/>
      <c r="AE66" s="374"/>
      <c r="AF66" s="374"/>
      <c r="AG66" s="374"/>
      <c r="AH66" s="374"/>
      <c r="AI66" s="374"/>
      <c r="AJ66" s="374"/>
      <c r="AK66" s="374"/>
      <c r="AL66" s="374"/>
      <c r="AM66" s="374"/>
      <c r="AN66" s="374"/>
      <c r="AO66" s="374"/>
      <c r="AP66" s="374"/>
      <c r="AQ66" s="374"/>
      <c r="AR66" s="374"/>
      <c r="AS66" s="374"/>
      <c r="AT66" s="374"/>
      <c r="AU66" s="374"/>
      <c r="AV66" s="374"/>
      <c r="AW66" s="374"/>
      <c r="AX66" s="391"/>
    </row>
    <row r="67" spans="1:54" ht="14.5" x14ac:dyDescent="0.3">
      <c r="A67" s="1055"/>
      <c r="B67" s="1048"/>
      <c r="C67" s="1056"/>
      <c r="D67" s="1059"/>
      <c r="E67" s="1060"/>
      <c r="F67" s="416" t="s">
        <v>128</v>
      </c>
      <c r="G67" s="952">
        <v>7.3766819699999999</v>
      </c>
      <c r="H67" s="367"/>
      <c r="I67" s="952"/>
      <c r="J67" s="952"/>
      <c r="K67" s="952"/>
      <c r="L67" s="952"/>
      <c r="M67" s="952">
        <v>3.7592181899999999</v>
      </c>
      <c r="N67" s="952"/>
      <c r="O67" s="952">
        <v>3.8522799999999999</v>
      </c>
      <c r="P67" s="952"/>
      <c r="Q67" s="952">
        <v>3.8806069999999999</v>
      </c>
      <c r="R67" s="952">
        <v>3.8806069999999999</v>
      </c>
      <c r="S67" s="952">
        <v>3.8806069999999999</v>
      </c>
      <c r="T67" s="952">
        <v>3.8806069999999999</v>
      </c>
      <c r="U67" s="794">
        <f>T67*(1+('Drivers Económicos'!H31/100)+0.25*(('Calibración-BAU_Agricultura '!S38-'Calibración-BAU_Agricultura '!R38)/'Calibración-BAU_Agricultura '!S38))</f>
        <v>3.833526323175767</v>
      </c>
      <c r="V67" s="794">
        <f>U67*(1+('Drivers Económicos'!I31/100)+0.25*(('Calibración-BAU_Agricultura '!T38-'Calibración-BAU_Agricultura '!S38)/'Calibración-BAU_Agricultura '!T38))</f>
        <v>3.8298829868024855</v>
      </c>
      <c r="W67" s="794">
        <f>V67*(1+('Drivers Económicos'!J31/100)+0.25*(('Calibración-BAU_Agricultura '!U38-'Calibración-BAU_Agricultura '!T38)/'Calibración-BAU_Agricultura '!U38))</f>
        <v>3.8860682285471051</v>
      </c>
      <c r="X67" s="794">
        <f>W67*(1+('Drivers Económicos'!K31/100)+0.25*(('Calibración-BAU_Agricultura '!V38-'Calibración-BAU_Agricultura '!U38)/'Calibración-BAU_Agricultura '!V38))</f>
        <v>3.8886605764075037</v>
      </c>
      <c r="Y67" s="794">
        <f>X67*(1+('Drivers Económicos'!L31/100)+0.25*(('Calibración-BAU_Agricultura '!W38-'Calibración-BAU_Agricultura '!V38)/'Calibración-BAU_Agricultura '!W38))</f>
        <v>3.9501391661122911</v>
      </c>
      <c r="Z67" s="794">
        <f>Y67*(1+('Drivers Económicos'!M31/100)+0.25*(('Calibración-BAU_Agricultura '!X38-'Calibración-BAU_Agricultura '!W38)/'Calibración-BAU_Agricultura '!X38))</f>
        <v>3.9794395257066659</v>
      </c>
      <c r="AA67" s="794">
        <f>Z67*(1+('Drivers Económicos'!N31/100)+0.25*(('Calibración-BAU_Agricultura '!Y38-'Calibración-BAU_Agricultura '!X38)/'Calibración-BAU_Agricultura '!Y38))</f>
        <v>4.0076574447581397</v>
      </c>
      <c r="AB67" s="794">
        <f>AA67*(1+('Drivers Económicos'!O31/100)+0.25*(('Calibración-BAU_Agricultura '!Z38-'Calibración-BAU_Agricultura '!Y38)/'Calibración-BAU_Agricultura '!Z38))</f>
        <v>4.0332167179376865</v>
      </c>
      <c r="AC67" s="794">
        <f>AB67*(1+('Drivers Económicos'!P31/100)+0.25*(('Calibración-BAU_Agricultura '!AA38-'Calibración-BAU_Agricultura '!Z38)/'Calibración-BAU_Agricultura '!AA38))</f>
        <v>4.0617757839601651</v>
      </c>
      <c r="AD67" s="794">
        <f>AC67*(1+('Drivers Económicos'!Q31/100)+0.25*(('Calibración-BAU_Agricultura '!AB38-'Calibración-BAU_Agricultura '!AA38)/'Calibración-BAU_Agricultura '!AB38))</f>
        <v>4.0590870490878697</v>
      </c>
      <c r="AE67" s="794">
        <f>AD67*(1+('Drivers Económicos'!R31/100)+0.25*(('Calibración-BAU_Agricultura '!AC38-'Calibración-BAU_Agricultura '!AB38)/'Calibración-BAU_Agricultura '!AC38))</f>
        <v>4.0825976352348654</v>
      </c>
      <c r="AF67" s="794">
        <f>AE67*(1+('Drivers Económicos'!S31/100)+0.25*(('Calibración-BAU_Agricultura '!AD38-'Calibración-BAU_Agricultura '!AC38)/'Calibración-BAU_Agricultura '!AD38))</f>
        <v>4.1094513018573275</v>
      </c>
      <c r="AG67" s="794">
        <f>AF67*(1+('Drivers Económicos'!T31/100)+0.25*(('Calibración-BAU_Agricultura '!AE38-'Calibración-BAU_Agricultura '!AD38)/'Calibración-BAU_Agricultura '!AE38))</f>
        <v>4.1311074944835582</v>
      </c>
      <c r="AH67" s="794">
        <f>AG67*(1+('Drivers Económicos'!U31/100)+0.25*(('Calibración-BAU_Agricultura '!AF38-'Calibración-BAU_Agricultura '!AE38)/'Calibración-BAU_Agricultura '!AF38))</f>
        <v>4.1522458386684287</v>
      </c>
      <c r="AI67" s="794">
        <f>AH67*(1+('Drivers Económicos'!V31/100)+0.25*(('Calibración-BAU_Agricultura '!AG38-'Calibración-BAU_Agricultura '!AF38)/'Calibración-BAU_Agricultura '!AG38))</f>
        <v>4.1657410640280803</v>
      </c>
      <c r="AJ67" s="794">
        <f>AI67*(1+('Drivers Económicos'!W31/100)+0.25*(('Calibración-BAU_Agricultura '!AH38-'Calibración-BAU_Agricultura '!AG38)/'Calibración-BAU_Agricultura '!AH38))</f>
        <v>4.177390053409213</v>
      </c>
      <c r="AK67" s="794">
        <f>AJ67*(1+('Drivers Económicos'!X31/100)+0.25*(('Calibración-BAU_Agricultura '!AI38-'Calibración-BAU_Agricultura '!AH38)/'Calibración-BAU_Agricultura '!AI38))</f>
        <v>4.1876895458663599</v>
      </c>
      <c r="AL67" s="794">
        <f>AK67*(1+('Drivers Económicos'!Y31/100)+0.25*(('Calibración-BAU_Agricultura '!AJ38-'Calibración-BAU_Agricultura '!AI38)/'Calibración-BAU_Agricultura '!AJ38))</f>
        <v>4.2020282480698805</v>
      </c>
      <c r="AM67" s="794">
        <f>AL67*(1+('Drivers Económicos'!Z31/100)+0.25*(('Calibración-BAU_Agricultura '!AK38-'Calibración-BAU_Agricultura '!AJ38)/'Calibración-BAU_Agricultura '!AK38))</f>
        <v>4.2152480104070555</v>
      </c>
      <c r="AN67" s="794">
        <f>AM67*(1+('Drivers Económicos'!AA31/100)+0.25*(('Calibración-BAU_Agricultura '!AL38-'Calibración-BAU_Agricultura '!AK38)/'Calibración-BAU_Agricultura '!AL38))</f>
        <v>4.2277927757040379</v>
      </c>
      <c r="AO67" s="794">
        <f>AN67*(1+('Drivers Económicos'!AB31/100)+0.25*(('Calibración-BAU_Agricultura '!AM38-'Calibración-BAU_Agricultura '!AL38)/'Calibración-BAU_Agricultura '!AM38))</f>
        <v>4.2399041811640963</v>
      </c>
      <c r="AP67" s="794">
        <f>AO67*(1+('Drivers Económicos'!AC31/100)+0.25*(('Calibración-BAU_Agricultura '!AN38-'Calibración-BAU_Agricultura '!AM38)/'Calibración-BAU_Agricultura '!AN38))</f>
        <v>4.2503642268783182</v>
      </c>
      <c r="AQ67" s="794">
        <f>AP67*(1+('Drivers Económicos'!AD31/100)+0.25*(('Calibración-BAU_Agricultura '!AO38-'Calibración-BAU_Agricultura '!AN38)/'Calibración-BAU_Agricultura '!AO38))</f>
        <v>4.262057818130975</v>
      </c>
      <c r="AR67" s="794">
        <f>AQ67*(1+('Drivers Económicos'!AE31/100)+0.25*(('Calibración-BAU_Agricultura '!AP38-'Calibración-BAU_Agricultura '!AO38)/'Calibración-BAU_Agricultura '!AP38))</f>
        <v>4.2727729877457898</v>
      </c>
      <c r="AS67" s="794">
        <f>AR67*(1+('Drivers Económicos'!AF31/100)+0.25*(('Calibración-BAU_Agricultura '!AQ38-'Calibración-BAU_Agricultura '!AP38)/'Calibración-BAU_Agricultura '!AQ38))</f>
        <v>4.2850442880145048</v>
      </c>
      <c r="AT67" s="794">
        <f>AS67*(1+('Drivers Económicos'!AG31/100)+0.25*(('Calibración-BAU_Agricultura '!AR38-'Calibración-BAU_Agricultura '!AQ38)/'Calibración-BAU_Agricultura '!AR38))</f>
        <v>4.2957356865609775</v>
      </c>
      <c r="AU67" s="794">
        <f>AT67*(1+('Drivers Económicos'!AH31/100)+0.25*(('Calibración-BAU_Agricultura '!AS38-'Calibración-BAU_Agricultura '!AR38)/'Calibración-BAU_Agricultura '!AS38))</f>
        <v>4.3060461971938677</v>
      </c>
      <c r="AV67" s="794">
        <f>AU67*(1+('Drivers Económicos'!AI31/100)+0.25*(('Calibración-BAU_Agricultura '!AT38-'Calibración-BAU_Agricultura '!AS38)/'Calibración-BAU_Agricultura '!AT38))</f>
        <v>4.3163270258240329</v>
      </c>
      <c r="AW67" s="794">
        <f>AV67*(1+('Drivers Económicos'!AJ31/100)+0.25*(('Calibración-BAU_Agricultura '!AU38-'Calibración-BAU_Agricultura '!AT38)/'Calibración-BAU_Agricultura '!AU38))</f>
        <v>4.3264219756473983</v>
      </c>
      <c r="AX67" s="391"/>
    </row>
    <row r="68" spans="1:54" ht="14.5" x14ac:dyDescent="0.3">
      <c r="A68" s="1055"/>
      <c r="B68" s="1048"/>
      <c r="C68" s="1056"/>
      <c r="D68" s="1059"/>
      <c r="E68" s="1060"/>
      <c r="F68" s="416"/>
      <c r="G68" s="795"/>
      <c r="H68" s="367"/>
      <c r="I68" s="952"/>
      <c r="J68" s="952"/>
      <c r="K68" s="952"/>
      <c r="L68" s="952"/>
      <c r="M68" s="795"/>
      <c r="N68" s="952"/>
      <c r="O68" s="795"/>
      <c r="P68" s="952"/>
      <c r="Q68" s="795"/>
      <c r="R68" s="952"/>
      <c r="S68" s="952"/>
      <c r="T68" s="952"/>
      <c r="U68" s="374"/>
      <c r="V68" s="374"/>
      <c r="W68" s="374"/>
      <c r="X68" s="374"/>
      <c r="Y68" s="374"/>
      <c r="Z68" s="374"/>
      <c r="AA68" s="374"/>
      <c r="AB68" s="374"/>
      <c r="AC68" s="374"/>
      <c r="AD68" s="374"/>
      <c r="AE68" s="374"/>
      <c r="AF68" s="374"/>
      <c r="AG68" s="374"/>
      <c r="AH68" s="374"/>
      <c r="AI68" s="374"/>
      <c r="AJ68" s="374"/>
      <c r="AK68" s="374"/>
      <c r="AL68" s="374"/>
      <c r="AM68" s="374"/>
      <c r="AN68" s="374"/>
      <c r="AO68" s="374"/>
      <c r="AP68" s="374"/>
      <c r="AQ68" s="374"/>
      <c r="AR68" s="374"/>
      <c r="AS68" s="374"/>
      <c r="AT68" s="374"/>
      <c r="AU68" s="374"/>
      <c r="AV68" s="374"/>
      <c r="AW68" s="374"/>
      <c r="AX68" s="391"/>
      <c r="AY68" s="363"/>
      <c r="AZ68" s="363"/>
      <c r="BA68" s="363"/>
      <c r="BB68" s="363"/>
    </row>
    <row r="69" spans="1:54" ht="14.5" x14ac:dyDescent="0.3">
      <c r="A69" s="1055"/>
      <c r="B69" s="1048"/>
      <c r="C69" s="1056"/>
      <c r="D69" s="1059"/>
      <c r="E69" s="1060"/>
      <c r="F69" s="416"/>
      <c r="G69" s="795"/>
      <c r="H69" s="952"/>
      <c r="I69" s="952"/>
      <c r="J69" s="952"/>
      <c r="K69" s="952"/>
      <c r="L69" s="952"/>
      <c r="M69" s="795"/>
      <c r="N69" s="952"/>
      <c r="O69" s="795"/>
      <c r="P69" s="952"/>
      <c r="Q69" s="795"/>
      <c r="R69" s="952"/>
      <c r="S69" s="952"/>
      <c r="T69" s="952"/>
      <c r="U69" s="374"/>
      <c r="V69" s="374"/>
      <c r="W69" s="374"/>
      <c r="X69" s="374"/>
      <c r="Y69" s="374"/>
      <c r="Z69" s="374"/>
      <c r="AA69" s="374"/>
      <c r="AB69" s="374"/>
      <c r="AC69" s="374"/>
      <c r="AD69" s="374"/>
      <c r="AE69" s="374"/>
      <c r="AF69" s="374"/>
      <c r="AG69" s="374"/>
      <c r="AH69" s="374"/>
      <c r="AI69" s="374"/>
      <c r="AJ69" s="374"/>
      <c r="AK69" s="374"/>
      <c r="AL69" s="374"/>
      <c r="AM69" s="374"/>
      <c r="AN69" s="374"/>
      <c r="AO69" s="374"/>
      <c r="AP69" s="374"/>
      <c r="AQ69" s="374"/>
      <c r="AR69" s="374"/>
      <c r="AS69" s="374"/>
      <c r="AT69" s="374"/>
      <c r="AU69" s="374"/>
      <c r="AV69" s="374"/>
      <c r="AW69" s="374"/>
      <c r="AX69" s="391"/>
    </row>
    <row r="70" spans="1:54" ht="14.5" x14ac:dyDescent="0.3">
      <c r="A70" s="368" t="s">
        <v>129</v>
      </c>
      <c r="B70" s="1048"/>
      <c r="C70" s="1050"/>
      <c r="D70" s="1061"/>
      <c r="E70" s="1062"/>
      <c r="F70" s="394" t="s">
        <v>73</v>
      </c>
      <c r="G70" s="952">
        <f>G49/1000000</f>
        <v>1.4548903200000001</v>
      </c>
      <c r="H70" s="952"/>
      <c r="I70" s="952"/>
      <c r="J70" s="952"/>
      <c r="K70" s="952"/>
      <c r="L70" s="952"/>
      <c r="M70" s="952">
        <f>M49/1000000</f>
        <v>4.9599387000000004</v>
      </c>
      <c r="N70" s="952"/>
      <c r="O70" s="952">
        <v>5.0815799999999998</v>
      </c>
      <c r="P70" s="952"/>
      <c r="Q70" s="952">
        <v>5.1189450000000001</v>
      </c>
      <c r="R70" s="796">
        <f>$Q$83-(SUM(R64:R67)+SUM(R72:R79))</f>
        <v>5.1759344941995735</v>
      </c>
      <c r="S70" s="796">
        <f t="shared" ref="S70:AW70" si="8">$Q$83-(SUM(S64:S67)+SUM(S72:S79))</f>
        <v>5.2325099055552435</v>
      </c>
      <c r="T70" s="796">
        <f t="shared" si="8"/>
        <v>5.2888225953603829</v>
      </c>
      <c r="U70" s="797">
        <f t="shared" si="8"/>
        <v>5.3929645968333126</v>
      </c>
      <c r="V70" s="797">
        <f t="shared" si="8"/>
        <v>5.453133627118671</v>
      </c>
      <c r="W70" s="797">
        <f t="shared" si="8"/>
        <v>5.4534288139419118</v>
      </c>
      <c r="X70" s="797">
        <f t="shared" si="8"/>
        <v>5.5066826717813804</v>
      </c>
      <c r="Y70" s="797">
        <f t="shared" si="8"/>
        <v>5.5008651227598477</v>
      </c>
      <c r="Z70" s="797">
        <f t="shared" si="8"/>
        <v>5.5269568345216875</v>
      </c>
      <c r="AA70" s="797">
        <f t="shared" si="8"/>
        <v>5.5539508973855014</v>
      </c>
      <c r="AB70" s="797">
        <f t="shared" si="8"/>
        <v>5.5829374458071683</v>
      </c>
      <c r="AC70" s="797">
        <f t="shared" si="8"/>
        <v>5.6088929923579052</v>
      </c>
      <c r="AD70" s="797">
        <f t="shared" si="8"/>
        <v>5.6658716067513915</v>
      </c>
      <c r="AE70" s="797">
        <f t="shared" si="8"/>
        <v>5.6963447866767005</v>
      </c>
      <c r="AF70" s="797">
        <f t="shared" si="8"/>
        <v>5.723204166070456</v>
      </c>
      <c r="AG70" s="797">
        <f t="shared" si="8"/>
        <v>5.7549933717588182</v>
      </c>
      <c r="AH70" s="797">
        <f t="shared" si="8"/>
        <v>5.786966356035407</v>
      </c>
      <c r="AI70" s="797">
        <f t="shared" si="8"/>
        <v>5.826505137827116</v>
      </c>
      <c r="AJ70" s="797">
        <f t="shared" si="8"/>
        <v>5.8675214823446176</v>
      </c>
      <c r="AK70" s="797">
        <f t="shared" si="8"/>
        <v>5.9097761770088404</v>
      </c>
      <c r="AL70" s="797">
        <f t="shared" si="8"/>
        <v>5.9477794391831758</v>
      </c>
      <c r="AM70" s="797">
        <f t="shared" si="8"/>
        <v>5.9866974269024738</v>
      </c>
      <c r="AN70" s="797">
        <f t="shared" si="8"/>
        <v>6.0260529273870738</v>
      </c>
      <c r="AO70" s="797">
        <f t="shared" si="8"/>
        <v>6.0656812092304797</v>
      </c>
      <c r="AP70" s="797">
        <f t="shared" si="8"/>
        <v>6.1065995133020792</v>
      </c>
      <c r="AQ70" s="797">
        <f t="shared" si="8"/>
        <v>6.1462466061765078</v>
      </c>
      <c r="AR70" s="797">
        <f t="shared" si="8"/>
        <v>6.1865530659789982</v>
      </c>
      <c r="AS70" s="797">
        <f t="shared" si="8"/>
        <v>6.2252472169596338</v>
      </c>
      <c r="AT70" s="797">
        <f t="shared" si="8"/>
        <v>6.2651698076312989</v>
      </c>
      <c r="AU70" s="797">
        <f t="shared" si="8"/>
        <v>6.3052716205881971</v>
      </c>
      <c r="AV70" s="797">
        <f t="shared" si="8"/>
        <v>6.3451782395195657</v>
      </c>
      <c r="AW70" s="797">
        <f t="shared" si="8"/>
        <v>6.3850649521144476</v>
      </c>
      <c r="AX70" s="788"/>
      <c r="AY70" s="765"/>
      <c r="AZ70" s="765"/>
      <c r="BA70" s="765"/>
      <c r="BB70" s="765"/>
    </row>
    <row r="71" spans="1:54" x14ac:dyDescent="0.3">
      <c r="A71" s="1055" t="s">
        <v>130</v>
      </c>
      <c r="B71" s="1048"/>
      <c r="C71" s="1063" t="s">
        <v>74</v>
      </c>
      <c r="D71" s="1066" t="s">
        <v>75</v>
      </c>
      <c r="E71" s="1067"/>
      <c r="F71" s="1037" t="s">
        <v>76</v>
      </c>
      <c r="G71" s="1038">
        <v>2.1629636999999997</v>
      </c>
      <c r="H71" s="952"/>
      <c r="I71" s="952"/>
      <c r="J71" s="952"/>
      <c r="K71" s="952"/>
      <c r="L71" s="952"/>
      <c r="M71" s="1036">
        <v>2.4237641700000001</v>
      </c>
      <c r="N71" s="952"/>
      <c r="O71" s="1036">
        <v>2.3614877700000001</v>
      </c>
      <c r="P71" s="952"/>
      <c r="Q71" s="952"/>
      <c r="R71" s="952"/>
      <c r="S71" s="795"/>
      <c r="T71" s="952"/>
      <c r="U71" s="798"/>
      <c r="V71" s="794"/>
      <c r="W71" s="798"/>
      <c r="X71" s="794"/>
      <c r="Y71" s="798"/>
      <c r="Z71" s="794"/>
      <c r="AA71" s="798"/>
      <c r="AB71" s="794"/>
      <c r="AC71" s="798"/>
      <c r="AD71" s="794"/>
      <c r="AE71" s="798"/>
      <c r="AF71" s="794"/>
      <c r="AG71" s="798"/>
      <c r="AH71" s="794"/>
      <c r="AI71" s="798"/>
      <c r="AJ71" s="794"/>
      <c r="AK71" s="798"/>
      <c r="AL71" s="794"/>
      <c r="AM71" s="798"/>
      <c r="AN71" s="794"/>
      <c r="AO71" s="798"/>
      <c r="AP71" s="794"/>
      <c r="AQ71" s="798"/>
      <c r="AR71" s="794"/>
      <c r="AS71" s="798"/>
      <c r="AT71" s="794"/>
      <c r="AU71" s="798"/>
      <c r="AV71" s="794"/>
      <c r="AW71" s="798"/>
      <c r="AX71" s="788"/>
      <c r="AY71" s="1040"/>
      <c r="AZ71" s="799"/>
      <c r="BA71" s="765"/>
      <c r="BB71" s="765"/>
    </row>
    <row r="72" spans="1:54" x14ac:dyDescent="0.3">
      <c r="A72" s="1055"/>
      <c r="B72" s="1048"/>
      <c r="C72" s="1064"/>
      <c r="D72" s="1068"/>
      <c r="E72" s="1069"/>
      <c r="F72" s="1037"/>
      <c r="G72" s="1038"/>
      <c r="H72" s="952"/>
      <c r="I72" s="952"/>
      <c r="J72" s="952"/>
      <c r="K72" s="952"/>
      <c r="L72" s="952"/>
      <c r="M72" s="1036"/>
      <c r="N72" s="952"/>
      <c r="O72" s="1036"/>
      <c r="P72" s="952"/>
      <c r="Q72" s="952">
        <v>2.3758364699999999</v>
      </c>
      <c r="R72" s="952">
        <v>2.3758364699999999</v>
      </c>
      <c r="S72" s="952">
        <v>2.3758364699999999</v>
      </c>
      <c r="T72" s="952">
        <v>2.3758364699999999</v>
      </c>
      <c r="U72" s="794">
        <f>T72*(1-'Drivers Económicos'!H31/100)</f>
        <v>2.3750182718314772</v>
      </c>
      <c r="V72" s="794">
        <f>U72*(1-'Drivers Económicos'!I31/100)</f>
        <v>2.3743196407657874</v>
      </c>
      <c r="W72" s="794">
        <f>V72*(1-'Drivers Económicos'!J31/100)</f>
        <v>2.3735800935917646</v>
      </c>
      <c r="X72" s="794">
        <f>W72*(1-'Drivers Económicos'!K31/100)</f>
        <v>2.3730193647683189</v>
      </c>
      <c r="Y72" s="794">
        <f>X72*(1-'Drivers Económicos'!L31/100)</f>
        <v>2.3725566420390249</v>
      </c>
      <c r="Z72" s="794">
        <f>Y72*(1-'Drivers Económicos'!M31/100)</f>
        <v>2.371953795437129</v>
      </c>
      <c r="AA72" s="794">
        <f>Z72*(1-'Drivers Económicos'!N31/100)</f>
        <v>2.3714430399460982</v>
      </c>
      <c r="AB72" s="794">
        <f>AA72*(1-'Drivers Económicos'!O31/100)</f>
        <v>2.371146629300755</v>
      </c>
      <c r="AC72" s="794">
        <f>AB72*(1-'Drivers Económicos'!P31/100)</f>
        <v>2.3708022525324912</v>
      </c>
      <c r="AD72" s="794">
        <f>AC72*(1-'Drivers Económicos'!Q31/100)</f>
        <v>2.3703065613537304</v>
      </c>
      <c r="AE72" s="794">
        <f>AD72*(1-'Drivers Económicos'!R31/100)</f>
        <v>2.3699868373572555</v>
      </c>
      <c r="AF72" s="794">
        <f>AE72*(1-'Drivers Económicos'!S31/100)</f>
        <v>2.3695792617975928</v>
      </c>
      <c r="AG72" s="794">
        <f>AF72*(1-'Drivers Económicos'!T31/100)</f>
        <v>2.3692956128489584</v>
      </c>
      <c r="AH72" s="794">
        <f>AG72*(1-'Drivers Económicos'!U31/100)</f>
        <v>2.3690013215221191</v>
      </c>
      <c r="AI72" s="794">
        <f>AH72*(1-'Drivers Económicos'!V31/100)</f>
        <v>2.3686495013063835</v>
      </c>
      <c r="AJ72" s="794">
        <f>AI72*(1-'Drivers Económicos'!W31/100)</f>
        <v>2.3683361829536858</v>
      </c>
      <c r="AK72" s="794">
        <f>AJ72*(1-'Drivers Económicos'!X31/100)</f>
        <v>2.3679809906017115</v>
      </c>
      <c r="AL72" s="794">
        <f>AK72*(1-'Drivers Económicos'!Y31/100)</f>
        <v>2.367545223806006</v>
      </c>
      <c r="AM72" s="794">
        <f>AL72*(1-'Drivers Económicos'!Z31/100)</f>
        <v>2.3671379494721161</v>
      </c>
      <c r="AN72" s="794">
        <f>AM72*(1-'Drivers Económicos'!AA31/100)</f>
        <v>2.3666858800943493</v>
      </c>
      <c r="AO72" s="794">
        <f>AN72*(1-'Drivers Económicos'!AB31/100)</f>
        <v>2.3662167472372544</v>
      </c>
      <c r="AP72" s="794">
        <f>AO72*(1-'Drivers Económicos'!AC31/100)</f>
        <v>2.3658219970266372</v>
      </c>
      <c r="AQ72" s="794">
        <f>AP72*(1-'Drivers Económicos'!AD31/100)</f>
        <v>2.3652979093705144</v>
      </c>
      <c r="AR72" s="794">
        <f>AQ72*(1-'Drivers Económicos'!AE31/100)</f>
        <v>2.3648216435075975</v>
      </c>
      <c r="AS72" s="794">
        <f>AR72*(1-'Drivers Económicos'!AF31/100)</f>
        <v>2.3642276486065352</v>
      </c>
      <c r="AT72" s="794">
        <f>AS72*(1-'Drivers Económicos'!AG31/100)</f>
        <v>2.363717948582031</v>
      </c>
      <c r="AU72" s="794">
        <f>AT72*(1-'Drivers Económicos'!AH31/100)</f>
        <v>2.3632131916741073</v>
      </c>
      <c r="AV72" s="794">
        <f>AU72*(1-'Drivers Económicos'!AI31/100)</f>
        <v>2.3626902874517968</v>
      </c>
      <c r="AW72" s="794">
        <f>AV72*(1-'Drivers Económicos'!AJ31/100)</f>
        <v>2.3621737169111587</v>
      </c>
      <c r="AX72" s="788"/>
      <c r="AY72" s="1040"/>
      <c r="AZ72" s="799"/>
      <c r="BA72" s="765"/>
      <c r="BB72" s="765"/>
    </row>
    <row r="73" spans="1:54" ht="14.5" x14ac:dyDescent="0.3">
      <c r="A73" s="1055"/>
      <c r="B73" s="1048"/>
      <c r="C73" s="1065"/>
      <c r="D73" s="1070"/>
      <c r="E73" s="1071"/>
      <c r="F73" s="1037"/>
      <c r="G73" s="1038"/>
      <c r="H73" s="367"/>
      <c r="I73" s="952"/>
      <c r="J73" s="952"/>
      <c r="K73" s="952"/>
      <c r="L73" s="952"/>
      <c r="M73" s="1036"/>
      <c r="N73" s="952"/>
      <c r="O73" s="1036"/>
      <c r="P73" s="952"/>
      <c r="Q73" s="795"/>
      <c r="R73" s="952"/>
      <c r="S73" s="952"/>
      <c r="T73" s="952"/>
      <c r="U73" s="794"/>
      <c r="V73" s="794"/>
      <c r="W73" s="794"/>
      <c r="X73" s="794"/>
      <c r="Y73" s="794"/>
      <c r="Z73" s="794"/>
      <c r="AA73" s="794"/>
      <c r="AB73" s="794"/>
      <c r="AC73" s="794"/>
      <c r="AD73" s="794"/>
      <c r="AE73" s="794"/>
      <c r="AF73" s="794"/>
      <c r="AG73" s="794"/>
      <c r="AH73" s="794"/>
      <c r="AI73" s="794"/>
      <c r="AJ73" s="794"/>
      <c r="AK73" s="794"/>
      <c r="AL73" s="794"/>
      <c r="AM73" s="794"/>
      <c r="AN73" s="794"/>
      <c r="AO73" s="794"/>
      <c r="AP73" s="794"/>
      <c r="AQ73" s="794"/>
      <c r="AR73" s="794"/>
      <c r="AS73" s="794"/>
      <c r="AT73" s="794"/>
      <c r="AU73" s="794"/>
      <c r="AV73" s="794"/>
      <c r="AW73" s="794"/>
      <c r="AX73" s="788"/>
      <c r="AY73" s="1040"/>
      <c r="AZ73" s="799"/>
    </row>
    <row r="74" spans="1:54" ht="14.5" x14ac:dyDescent="0.3">
      <c r="A74" s="1041" t="s">
        <v>131</v>
      </c>
      <c r="B74" s="1048"/>
      <c r="C74" s="1042" t="s">
        <v>77</v>
      </c>
      <c r="D74" s="1044" t="s">
        <v>78</v>
      </c>
      <c r="E74" s="1045"/>
      <c r="F74" s="416" t="s">
        <v>79</v>
      </c>
      <c r="G74" s="1036">
        <v>0.50615019000000006</v>
      </c>
      <c r="H74" s="367"/>
      <c r="I74" s="952"/>
      <c r="J74" s="952"/>
      <c r="K74" s="952"/>
      <c r="L74" s="952"/>
      <c r="M74" s="1036">
        <v>0.50510348999999999</v>
      </c>
      <c r="N74" s="952"/>
      <c r="O74" s="952">
        <v>0.49476339000000003</v>
      </c>
      <c r="P74" s="952"/>
      <c r="Q74" s="952">
        <v>0.49199787</v>
      </c>
      <c r="R74" s="952">
        <v>0.4918284341986584</v>
      </c>
      <c r="S74" s="952">
        <v>0.4918284341986584</v>
      </c>
      <c r="T74" s="952">
        <v>0.4918284341986584</v>
      </c>
      <c r="U74" s="794">
        <f>T74*(1-0.5*(('Drivers Económicos'!H31/100)+0.5*('Drivers Económicos'!H46/100)))</f>
        <v>0.49163531297006924</v>
      </c>
      <c r="V74" s="794">
        <f>U74*(1-0.5*(('Drivers Económicos'!I31/100)+0.5*('Drivers Económicos'!I46/100)))</f>
        <v>0.49159881014499202</v>
      </c>
      <c r="W74" s="794">
        <f>V74*(1-0.5*(('Drivers Económicos'!J31/100)+0.5*('Drivers Económicos'!J46/100)))</f>
        <v>0.49139077922522723</v>
      </c>
      <c r="X74" s="794">
        <f>W74*(1-0.5*(('Drivers Económicos'!K31/100)+0.5*('Drivers Económicos'!K46/100)))</f>
        <v>0.49138226622324432</v>
      </c>
      <c r="Y74" s="794">
        <f>X74*(1-0.5*(('Drivers Económicos'!L31/100)+0.5*('Drivers Económicos'!L46/100)))</f>
        <v>0.49120645029590165</v>
      </c>
      <c r="Z74" s="794">
        <f>Y74*(1-0.5*(('Drivers Económicos'!M31/100)+0.5*('Drivers Económicos'!M46/100)))</f>
        <v>0.49118702962800354</v>
      </c>
      <c r="AA74" s="794">
        <f>Z74*(1-0.5*(('Drivers Económicos'!N31/100)+0.5*('Drivers Económicos'!N46/100)))</f>
        <v>0.49100445123109504</v>
      </c>
      <c r="AB74" s="794">
        <f>AA74*(1-0.5*(('Drivers Económicos'!O31/100)+0.5*('Drivers Económicos'!O46/100)))</f>
        <v>0.49102425223064833</v>
      </c>
      <c r="AC74" s="794">
        <f>AB74*(1-0.5*(('Drivers Económicos'!P31/100)+0.5*('Drivers Económicos'!P46/100)))</f>
        <v>0.49087535840370872</v>
      </c>
      <c r="AD74" s="794">
        <f>AC74*(1-0.5*(('Drivers Económicos'!Q31/100)+0.5*('Drivers Económicos'!Q46/100)))</f>
        <v>0.49085644062563805</v>
      </c>
      <c r="AE74" s="794">
        <f>AD74*(1-0.5*(('Drivers Económicos'!R31/100)+0.5*('Drivers Económicos'!R46/100)))</f>
        <v>0.49072303939628031</v>
      </c>
      <c r="AF74" s="794">
        <f>AE74*(1-0.5*(('Drivers Económicos'!S31/100)+0.5*('Drivers Económicos'!S46/100)))</f>
        <v>0.49070516818055232</v>
      </c>
      <c r="AG74" s="794">
        <f>AF74*(1-0.5*(('Drivers Económicos'!T31/100)+0.5*('Drivers Económicos'!T46/100)))</f>
        <v>0.4905896483432951</v>
      </c>
      <c r="AH74" s="794">
        <f>AG74*(1-0.5*(('Drivers Económicos'!U31/100)+0.5*('Drivers Económicos'!U46/100)))</f>
        <v>0.49057904391406709</v>
      </c>
      <c r="AI74" s="794">
        <f>AH74*(1-0.5*(('Drivers Económicos'!V31/100)+0.5*('Drivers Económicos'!V46/100)))</f>
        <v>0.49046500341647969</v>
      </c>
      <c r="AJ74" s="794">
        <f>AI74*(1-0.5*(('Drivers Económicos'!W31/100)+0.5*('Drivers Económicos'!W46/100)))</f>
        <v>0.49044441157513813</v>
      </c>
      <c r="AK74" s="794">
        <f>AJ74*(1-0.5*(('Drivers Económicos'!X31/100)+0.5*('Drivers Económicos'!X46/100)))</f>
        <v>0.4903415713146243</v>
      </c>
      <c r="AL74" s="794">
        <f>AK74*(1-0.5*(('Drivers Económicos'!Y31/100)+0.5*('Drivers Económicos'!Y46/100)))</f>
        <v>0.49029781179369569</v>
      </c>
      <c r="AM74" s="794">
        <f>AL74*(1-0.5*(('Drivers Económicos'!Z31/100)+0.5*('Drivers Económicos'!Z46/100)))</f>
        <v>0.49019764727705323</v>
      </c>
      <c r="AN74" s="794">
        <f>AM74*(1-0.5*(('Drivers Económicos'!AA31/100)+0.5*('Drivers Económicos'!AA46/100)))</f>
        <v>0.49014899046247984</v>
      </c>
      <c r="AO74" s="794">
        <f>AN74*(1-0.5*(('Drivers Económicos'!AB31/100)+0.5*('Drivers Económicos'!AB46/100)))</f>
        <v>0.49004878572117033</v>
      </c>
      <c r="AP74" s="794">
        <f>AO74*(1-0.5*(('Drivers Económicos'!AC31/100)+0.5*('Drivers Económicos'!AC46/100)))</f>
        <v>0.49000756516332428</v>
      </c>
      <c r="AQ74" s="794">
        <f>AP74*(1-0.5*(('Drivers Económicos'!AD31/100)+0.5*('Drivers Económicos'!AD46/100)))</f>
        <v>0.4899068121801099</v>
      </c>
      <c r="AR74" s="794">
        <f>AQ74*(1-0.5*(('Drivers Económicos'!AE31/100)+0.5*('Drivers Económicos'!AE46/100)))</f>
        <v>0.48985183927888082</v>
      </c>
      <c r="AS74" s="794">
        <f>AR74*(1-0.5*(('Drivers Económicos'!AF31/100)+0.5*('Drivers Económicos'!AF46/100)))</f>
        <v>0.48974644076637724</v>
      </c>
      <c r="AT74" s="794">
        <f>AS74*(1-0.5*(('Drivers Económicos'!AG31/100)+0.5*('Drivers Económicos'!AG46/100)))</f>
        <v>0.48968495842964826</v>
      </c>
      <c r="AU74" s="794">
        <f>AT74*(1-0.5*(('Drivers Económicos'!AH31/100)+0.5*('Drivers Económicos'!AH46/100)))</f>
        <v>0.4895979417199226</v>
      </c>
      <c r="AV74" s="794">
        <f>AU74*(1-0.5*(('Drivers Económicos'!AI31/100)+0.5*('Drivers Económicos'!AI46/100)))</f>
        <v>0.48953267845003406</v>
      </c>
      <c r="AW74" s="794">
        <f>AV74*(1-0.5*(('Drivers Económicos'!AJ31/100)+0.5*('Drivers Económicos'!AJ46/100)))</f>
        <v>0.4894466869494935</v>
      </c>
      <c r="AX74" s="391"/>
    </row>
    <row r="75" spans="1:54" ht="14.5" x14ac:dyDescent="0.3">
      <c r="A75" s="1041"/>
      <c r="B75" s="1048"/>
      <c r="C75" s="1043"/>
      <c r="D75" s="1046"/>
      <c r="E75" s="1047"/>
      <c r="F75" s="416"/>
      <c r="G75" s="1036"/>
      <c r="H75" s="367"/>
      <c r="I75" s="952"/>
      <c r="J75" s="952"/>
      <c r="K75" s="952"/>
      <c r="L75" s="952"/>
      <c r="M75" s="1036"/>
      <c r="N75" s="952"/>
      <c r="O75" s="795"/>
      <c r="P75" s="952"/>
      <c r="Q75" s="795"/>
      <c r="R75" s="952"/>
      <c r="S75" s="952"/>
      <c r="T75" s="952"/>
      <c r="U75" s="374"/>
      <c r="V75" s="374"/>
      <c r="W75" s="374"/>
      <c r="X75" s="374"/>
      <c r="Y75" s="374"/>
      <c r="Z75" s="374"/>
      <c r="AA75" s="374"/>
      <c r="AB75" s="374"/>
      <c r="AC75" s="374"/>
      <c r="AD75" s="374"/>
      <c r="AE75" s="374"/>
      <c r="AF75" s="374"/>
      <c r="AG75" s="374"/>
      <c r="AH75" s="374"/>
      <c r="AI75" s="374"/>
      <c r="AJ75" s="374"/>
      <c r="AK75" s="374"/>
      <c r="AL75" s="374"/>
      <c r="AM75" s="374"/>
      <c r="AN75" s="374"/>
      <c r="AO75" s="374"/>
      <c r="AP75" s="374"/>
      <c r="AQ75" s="374"/>
      <c r="AR75" s="374"/>
      <c r="AS75" s="374"/>
      <c r="AT75" s="374"/>
      <c r="AU75" s="374"/>
      <c r="AV75" s="374"/>
      <c r="AW75" s="374"/>
      <c r="AX75" s="391"/>
      <c r="AY75" s="363"/>
      <c r="AZ75" s="363"/>
      <c r="BA75" s="363"/>
      <c r="BB75" s="363"/>
    </row>
    <row r="76" spans="1:54" ht="14.5" x14ac:dyDescent="0.3">
      <c r="A76" s="1072" t="s">
        <v>132</v>
      </c>
      <c r="B76" s="1048"/>
      <c r="C76" s="1049" t="s">
        <v>80</v>
      </c>
      <c r="D76" s="1057" t="s">
        <v>54</v>
      </c>
      <c r="E76" s="1058"/>
      <c r="F76" s="416" t="s">
        <v>81</v>
      </c>
      <c r="G76" s="1036">
        <v>0.17715429000000002</v>
      </c>
      <c r="H76" s="367"/>
      <c r="I76" s="952"/>
      <c r="J76" s="952"/>
      <c r="K76" s="952"/>
      <c r="L76" s="952"/>
      <c r="M76" s="952">
        <v>0.24614217000000005</v>
      </c>
      <c r="N76" s="952"/>
      <c r="O76" s="952">
        <v>0.25306659000000004</v>
      </c>
      <c r="P76" s="952"/>
      <c r="Q76" s="952">
        <v>0.28590821999999999</v>
      </c>
      <c r="R76" s="952">
        <f>Q76*(1+('Drivers Económicos'!D10/100))</f>
        <v>0.28694260738603328</v>
      </c>
      <c r="S76" s="952">
        <f>R76*(1+('Drivers Económicos'!E10/100))</f>
        <v>0.28797600257900757</v>
      </c>
      <c r="T76" s="952">
        <f>S76*(1+('Drivers Económicos'!F10/100))</f>
        <v>0.28900793581746526</v>
      </c>
      <c r="U76" s="794">
        <f>T76*(1+('Drivers Económicos'!G10/100))</f>
        <v>0.29003793110060633</v>
      </c>
      <c r="V76" s="794">
        <f>U76*(1+('Drivers Económicos'!H10/100))</f>
        <v>0.2910656258038804</v>
      </c>
      <c r="W76" s="794">
        <f>V76*(1+('Drivers Económicos'!I10/100))</f>
        <v>0.29209048689579709</v>
      </c>
      <c r="X76" s="794">
        <f>W76*(1+('Drivers Económicos'!J10/100))</f>
        <v>0.29311188155214379</v>
      </c>
      <c r="Y76" s="794">
        <f>X76*(1+('Drivers Económicos'!K10/100))</f>
        <v>0.29412958557250851</v>
      </c>
      <c r="Z76" s="794">
        <f>Y76*(1+('Drivers Económicos'!L10/100))</f>
        <v>0.29514301748560212</v>
      </c>
      <c r="AA76" s="794">
        <f>Z76*(1+('Drivers Económicos'!M10/100))</f>
        <v>0.29615181798730172</v>
      </c>
      <c r="AB76" s="794">
        <f>AA76*(1+('Drivers Económicos'!N10/100))</f>
        <v>0.2971554351617956</v>
      </c>
      <c r="AC76" s="794">
        <f>AB76*(1+('Drivers Económicos'!O10/100))</f>
        <v>0.29815348089022153</v>
      </c>
      <c r="AD76" s="794">
        <f>AC76*(1+('Drivers Económicos'!P10/100))</f>
        <v>0.29914532000667854</v>
      </c>
      <c r="AE76" s="794">
        <f>AD76*(1+('Drivers Económicos'!Q10/100))</f>
        <v>0.3001306713097277</v>
      </c>
      <c r="AF76" s="794">
        <f>AE76*(1+('Drivers Económicos'!R10/100))</f>
        <v>0.30110910351949322</v>
      </c>
      <c r="AG76" s="794">
        <f>AF76*(1+('Drivers Económicos'!S10/100))</f>
        <v>0.30208009043540779</v>
      </c>
      <c r="AH76" s="794">
        <f>AG76*(1+('Drivers Económicos'!T10/100))</f>
        <v>0.30304320400613866</v>
      </c>
      <c r="AI76" s="794">
        <f>AH76*(1+('Drivers Económicos'!U10/100))</f>
        <v>0.30399806935111917</v>
      </c>
      <c r="AJ76" s="794">
        <f>AI76*(1+('Drivers Económicos'!V10/100))</f>
        <v>0.30494425880025283</v>
      </c>
      <c r="AK76" s="794">
        <f>AJ76*(1+('Drivers Económicos'!W10/100))</f>
        <v>0.30588144306826626</v>
      </c>
      <c r="AL76" s="794">
        <f>AK76*(1+('Drivers Económicos'!X10/100))</f>
        <v>0.30680919240418131</v>
      </c>
      <c r="AM76" s="794">
        <f>AL76*(1+('Drivers Económicos'!Y10/100))</f>
        <v>0.30772703284383657</v>
      </c>
      <c r="AN76" s="794">
        <f>AM76*(1+('Drivers Económicos'!Z10/100))</f>
        <v>0.30863471592598324</v>
      </c>
      <c r="AO76" s="794">
        <f>AN76*(1+('Drivers Económicos'!AA10/100))</f>
        <v>0.30953176426264595</v>
      </c>
      <c r="AP76" s="794">
        <f>AO76*(1+('Drivers Económicos'!AB10/100))</f>
        <v>0.31041806097187385</v>
      </c>
      <c r="AQ76" s="794">
        <f>AP76*(1+('Drivers Económicos'!AC10/100))</f>
        <v>0.3112932631932695</v>
      </c>
      <c r="AR76" s="794">
        <f>AQ76*(1+('Drivers Económicos'!AD10/100))</f>
        <v>0.31215738089446166</v>
      </c>
      <c r="AS76" s="794">
        <f>AR76*(1+('Drivers Económicos'!AE10/100))</f>
        <v>0.31301037711152274</v>
      </c>
      <c r="AT76" s="794">
        <f>AS76*(1+('Drivers Económicos'!AF10/100))</f>
        <v>0.31385224528555489</v>
      </c>
      <c r="AU76" s="794">
        <f>AT76*(1+('Drivers Económicos'!AG10/100))</f>
        <v>0.31468307102028081</v>
      </c>
      <c r="AV76" s="794">
        <f>AU76*(1+('Drivers Económicos'!AH10/100))</f>
        <v>0.31550293240467009</v>
      </c>
      <c r="AW76" s="794">
        <f>AV76*(1+('Drivers Económicos'!AI10/100))</f>
        <v>0.31631179914660473</v>
      </c>
      <c r="AX76" s="391"/>
    </row>
    <row r="77" spans="1:54" ht="14.5" x14ac:dyDescent="0.3">
      <c r="A77" s="1072"/>
      <c r="B77" s="1048"/>
      <c r="C77" s="1050"/>
      <c r="D77" s="1046"/>
      <c r="E77" s="1047"/>
      <c r="F77" s="416"/>
      <c r="G77" s="1036"/>
      <c r="H77" s="367"/>
      <c r="I77" s="952"/>
      <c r="J77" s="952"/>
      <c r="K77" s="952"/>
      <c r="L77" s="952"/>
      <c r="M77" s="795"/>
      <c r="N77" s="952"/>
      <c r="O77" s="795"/>
      <c r="P77" s="952"/>
      <c r="Q77" s="795"/>
      <c r="R77" s="952"/>
      <c r="S77" s="952"/>
      <c r="T77" s="952"/>
      <c r="U77" s="374"/>
      <c r="V77" s="374"/>
      <c r="W77" s="374"/>
      <c r="X77" s="374"/>
      <c r="Y77" s="374"/>
      <c r="Z77" s="374"/>
      <c r="AA77" s="374"/>
      <c r="AB77" s="374"/>
      <c r="AC77" s="374"/>
      <c r="AD77" s="374"/>
      <c r="AE77" s="374"/>
      <c r="AF77" s="374"/>
      <c r="AG77" s="374"/>
      <c r="AH77" s="374"/>
      <c r="AI77" s="374"/>
      <c r="AJ77" s="374"/>
      <c r="AK77" s="374"/>
      <c r="AL77" s="374"/>
      <c r="AM77" s="374"/>
      <c r="AN77" s="374"/>
      <c r="AO77" s="374"/>
      <c r="AP77" s="374"/>
      <c r="AQ77" s="374"/>
      <c r="AR77" s="374"/>
      <c r="AS77" s="374"/>
      <c r="AT77" s="374"/>
      <c r="AU77" s="374"/>
      <c r="AV77" s="374"/>
      <c r="AW77" s="374"/>
      <c r="AX77" s="391"/>
    </row>
    <row r="78" spans="1:54" ht="14.5" x14ac:dyDescent="0.3">
      <c r="A78" s="1073" t="s">
        <v>133</v>
      </c>
      <c r="B78" s="1048"/>
      <c r="C78" s="1049" t="s">
        <v>57</v>
      </c>
      <c r="D78" s="1074" t="s">
        <v>57</v>
      </c>
      <c r="E78" s="1075"/>
      <c r="F78" s="1035" t="s">
        <v>82</v>
      </c>
      <c r="G78" s="1036">
        <v>0.11965518</v>
      </c>
      <c r="H78" s="367"/>
      <c r="I78" s="952"/>
      <c r="J78" s="952"/>
      <c r="K78" s="952"/>
      <c r="L78" s="952"/>
      <c r="M78" s="952"/>
      <c r="N78" s="952"/>
      <c r="O78" s="952"/>
      <c r="P78" s="952"/>
      <c r="Q78" s="795"/>
      <c r="R78" s="795"/>
      <c r="S78" s="795"/>
      <c r="T78" s="795"/>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417"/>
      <c r="AR78" s="417"/>
      <c r="AS78" s="417"/>
      <c r="AT78" s="417"/>
      <c r="AU78" s="417"/>
      <c r="AV78" s="417"/>
      <c r="AW78" s="417"/>
      <c r="AX78" s="391"/>
      <c r="AY78" s="363"/>
      <c r="AZ78" s="363"/>
      <c r="BA78" s="363"/>
      <c r="BB78" s="363"/>
    </row>
    <row r="79" spans="1:54" ht="14.5" x14ac:dyDescent="0.3">
      <c r="A79" s="1073"/>
      <c r="B79" s="1048"/>
      <c r="C79" s="1056"/>
      <c r="D79" s="1076"/>
      <c r="E79" s="1077"/>
      <c r="F79" s="1035"/>
      <c r="G79" s="1036"/>
      <c r="H79" s="367"/>
      <c r="I79" s="952"/>
      <c r="J79" s="952"/>
      <c r="K79" s="952"/>
      <c r="L79" s="952"/>
      <c r="M79" s="952">
        <v>0.12043377000000002</v>
      </c>
      <c r="N79" s="952"/>
      <c r="O79" s="952">
        <v>0.10012113</v>
      </c>
      <c r="P79" s="952"/>
      <c r="Q79" s="952">
        <v>0.10859039999999999</v>
      </c>
      <c r="R79" s="952">
        <f>Q79*(1-0.003)</f>
        <v>0.10826462879999998</v>
      </c>
      <c r="S79" s="952">
        <f t="shared" ref="S79:AW79" si="9">R79*(1-0.003)</f>
        <v>0.10793983491359999</v>
      </c>
      <c r="T79" s="952">
        <f t="shared" si="9"/>
        <v>0.10761601540885919</v>
      </c>
      <c r="U79" s="794">
        <f>T79*(1-0.003)</f>
        <v>0.10729316736263261</v>
      </c>
      <c r="V79" s="794">
        <f t="shared" si="9"/>
        <v>0.10697128786054472</v>
      </c>
      <c r="W79" s="794">
        <f t="shared" si="9"/>
        <v>0.10665037399696309</v>
      </c>
      <c r="X79" s="794">
        <f t="shared" si="9"/>
        <v>0.1063304228749722</v>
      </c>
      <c r="Y79" s="794">
        <f t="shared" si="9"/>
        <v>0.10601143160634728</v>
      </c>
      <c r="Z79" s="794">
        <f t="shared" si="9"/>
        <v>0.10569339731152824</v>
      </c>
      <c r="AA79" s="794">
        <f t="shared" si="9"/>
        <v>0.10537631711959365</v>
      </c>
      <c r="AB79" s="794">
        <f t="shared" si="9"/>
        <v>0.10506018816823487</v>
      </c>
      <c r="AC79" s="794">
        <f t="shared" si="9"/>
        <v>0.10474500760373016</v>
      </c>
      <c r="AD79" s="794">
        <f t="shared" si="9"/>
        <v>0.10443077258091897</v>
      </c>
      <c r="AE79" s="794">
        <f t="shared" si="9"/>
        <v>0.10411748026317622</v>
      </c>
      <c r="AF79" s="794">
        <f t="shared" si="9"/>
        <v>0.10380512782238668</v>
      </c>
      <c r="AG79" s="794">
        <f t="shared" si="9"/>
        <v>0.10349371243891953</v>
      </c>
      <c r="AH79" s="794">
        <f t="shared" si="9"/>
        <v>0.10318323130160277</v>
      </c>
      <c r="AI79" s="794">
        <f t="shared" si="9"/>
        <v>0.10287368160769796</v>
      </c>
      <c r="AJ79" s="794">
        <f t="shared" si="9"/>
        <v>0.10256506056287486</v>
      </c>
      <c r="AK79" s="794">
        <f t="shared" si="9"/>
        <v>0.10225736538118624</v>
      </c>
      <c r="AL79" s="794">
        <f t="shared" si="9"/>
        <v>0.10195059328504268</v>
      </c>
      <c r="AM79" s="794">
        <f t="shared" si="9"/>
        <v>0.10164474150518754</v>
      </c>
      <c r="AN79" s="794">
        <f t="shared" si="9"/>
        <v>0.10133980728067198</v>
      </c>
      <c r="AO79" s="794">
        <f t="shared" si="9"/>
        <v>0.10103578785882995</v>
      </c>
      <c r="AP79" s="794">
        <f t="shared" si="9"/>
        <v>0.10073268049525347</v>
      </c>
      <c r="AQ79" s="794">
        <f t="shared" si="9"/>
        <v>0.10043048245376771</v>
      </c>
      <c r="AR79" s="794">
        <f t="shared" si="9"/>
        <v>0.1001291910064064</v>
      </c>
      <c r="AS79" s="794">
        <f t="shared" si="9"/>
        <v>9.9828803433387181E-2</v>
      </c>
      <c r="AT79" s="794">
        <f t="shared" si="9"/>
        <v>9.9529317023087024E-2</v>
      </c>
      <c r="AU79" s="794">
        <f t="shared" si="9"/>
        <v>9.9230729072017756E-2</v>
      </c>
      <c r="AV79" s="794">
        <f t="shared" si="9"/>
        <v>9.8933036884801706E-2</v>
      </c>
      <c r="AW79" s="794">
        <f t="shared" si="9"/>
        <v>9.8636237774147303E-2</v>
      </c>
      <c r="AX79" s="391"/>
    </row>
    <row r="80" spans="1:54" ht="14.5" x14ac:dyDescent="0.3">
      <c r="A80" s="1073"/>
      <c r="B80" s="1048"/>
      <c r="C80" s="1050"/>
      <c r="D80" s="1078"/>
      <c r="E80" s="1079"/>
      <c r="F80" s="1035"/>
      <c r="G80" s="1036"/>
      <c r="H80" s="367"/>
      <c r="I80" s="952"/>
      <c r="J80" s="952"/>
      <c r="K80" s="952"/>
      <c r="L80" s="952"/>
      <c r="M80" s="795"/>
      <c r="N80" s="952"/>
      <c r="O80" s="795"/>
      <c r="P80" s="952"/>
      <c r="Q80" s="795"/>
      <c r="R80" s="795"/>
      <c r="S80" s="795"/>
      <c r="T80" s="795"/>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417"/>
      <c r="AR80" s="417"/>
      <c r="AS80" s="417"/>
      <c r="AT80" s="417"/>
      <c r="AU80" s="417"/>
      <c r="AV80" s="417"/>
      <c r="AW80" s="417"/>
      <c r="AX80" s="391"/>
    </row>
    <row r="81" spans="1:54" ht="14.5" x14ac:dyDescent="0.3">
      <c r="A81" s="14"/>
      <c r="B81" s="364"/>
      <c r="C81" s="13"/>
      <c r="D81" s="398"/>
      <c r="E81" s="399"/>
      <c r="F81" s="418" t="s">
        <v>24</v>
      </c>
      <c r="G81" s="419">
        <f t="shared" ref="G81" si="10">SUM(G64:G80)</f>
        <v>24.8980599</v>
      </c>
      <c r="H81" s="419"/>
      <c r="I81" s="419"/>
      <c r="J81" s="419"/>
      <c r="K81" s="419"/>
      <c r="L81" s="419"/>
      <c r="M81" s="419">
        <f>SUM(M64:M80)</f>
        <v>24.898059809999999</v>
      </c>
      <c r="N81" s="419"/>
      <c r="O81" s="419">
        <f>SUM(O64:O80)</f>
        <v>24.898216509999997</v>
      </c>
      <c r="P81" s="419"/>
      <c r="Q81" s="419">
        <f t="shared" ref="Q81:AW81" si="11">SUM(Q64:Q80)</f>
        <v>24.898219759999996</v>
      </c>
      <c r="R81" s="419">
        <f t="shared" si="11"/>
        <v>24.898200000000003</v>
      </c>
      <c r="S81" s="419">
        <f t="shared" si="11"/>
        <v>24.898200000000003</v>
      </c>
      <c r="T81" s="419">
        <f>SUM(T64:T80)</f>
        <v>24.898199999999999</v>
      </c>
      <c r="U81" s="420">
        <f t="shared" si="11"/>
        <v>24.898200000000003</v>
      </c>
      <c r="V81" s="420">
        <f t="shared" si="11"/>
        <v>24.898200000000003</v>
      </c>
      <c r="W81" s="420">
        <f t="shared" si="11"/>
        <v>24.898200000000003</v>
      </c>
      <c r="X81" s="420">
        <f t="shared" si="11"/>
        <v>24.898199999999996</v>
      </c>
      <c r="Y81" s="420">
        <f t="shared" si="11"/>
        <v>24.898200000000003</v>
      </c>
      <c r="Z81" s="420">
        <f t="shared" si="11"/>
        <v>24.898200000000003</v>
      </c>
      <c r="AA81" s="420">
        <f t="shared" si="11"/>
        <v>24.898199999999996</v>
      </c>
      <c r="AB81" s="420">
        <f t="shared" si="11"/>
        <v>24.898199999999999</v>
      </c>
      <c r="AC81" s="420">
        <f t="shared" si="11"/>
        <v>24.898199999999999</v>
      </c>
      <c r="AD81" s="420">
        <f t="shared" si="11"/>
        <v>24.898199999999999</v>
      </c>
      <c r="AE81" s="420">
        <f t="shared" si="11"/>
        <v>24.898199999999999</v>
      </c>
      <c r="AF81" s="420">
        <f t="shared" si="11"/>
        <v>24.898199999999999</v>
      </c>
      <c r="AG81" s="420">
        <f t="shared" si="11"/>
        <v>24.898199999999999</v>
      </c>
      <c r="AH81" s="420">
        <f t="shared" si="11"/>
        <v>24.898199999999999</v>
      </c>
      <c r="AI81" s="420">
        <f t="shared" si="11"/>
        <v>24.898199999999996</v>
      </c>
      <c r="AJ81" s="420">
        <f t="shared" si="11"/>
        <v>24.898199999999996</v>
      </c>
      <c r="AK81" s="420">
        <f t="shared" si="11"/>
        <v>24.898199999999996</v>
      </c>
      <c r="AL81" s="420">
        <f t="shared" si="11"/>
        <v>24.898199999999996</v>
      </c>
      <c r="AM81" s="420">
        <f t="shared" si="11"/>
        <v>24.898199999999996</v>
      </c>
      <c r="AN81" s="420">
        <f t="shared" si="11"/>
        <v>24.898199999999999</v>
      </c>
      <c r="AO81" s="420">
        <f t="shared" si="11"/>
        <v>24.898200000000003</v>
      </c>
      <c r="AP81" s="420">
        <f t="shared" si="11"/>
        <v>24.898199999999996</v>
      </c>
      <c r="AQ81" s="420">
        <f t="shared" si="11"/>
        <v>24.898199999999999</v>
      </c>
      <c r="AR81" s="420">
        <f t="shared" si="11"/>
        <v>24.898199999999999</v>
      </c>
      <c r="AS81" s="420">
        <f t="shared" si="11"/>
        <v>24.898200000000003</v>
      </c>
      <c r="AT81" s="420">
        <f t="shared" si="11"/>
        <v>24.898200000000006</v>
      </c>
      <c r="AU81" s="420">
        <f t="shared" si="11"/>
        <v>24.898199999999996</v>
      </c>
      <c r="AV81" s="420">
        <f t="shared" si="11"/>
        <v>24.898199999999999</v>
      </c>
      <c r="AW81" s="420">
        <f t="shared" si="11"/>
        <v>24.898199999999996</v>
      </c>
      <c r="AX81" s="403"/>
      <c r="AY81" s="14"/>
      <c r="AZ81" s="14"/>
      <c r="BA81" s="14"/>
      <c r="BB81" s="14"/>
    </row>
    <row r="82" spans="1:54" ht="14.5" x14ac:dyDescent="0.3">
      <c r="B82" s="949"/>
      <c r="C82" s="944"/>
      <c r="D82" s="404"/>
      <c r="E82" s="405"/>
      <c r="F82" s="406"/>
      <c r="G82" s="406"/>
      <c r="H82" s="406"/>
      <c r="I82" s="406"/>
      <c r="J82" s="406"/>
      <c r="K82" s="406"/>
      <c r="L82" s="406"/>
      <c r="M82" s="406"/>
      <c r="N82" s="406"/>
      <c r="O82" s="406"/>
      <c r="P82" s="406"/>
      <c r="Q82" s="406"/>
      <c r="R82" s="406"/>
      <c r="S82" s="406"/>
      <c r="T82" s="406"/>
      <c r="U82" s="406"/>
      <c r="V82" s="406"/>
      <c r="W82" s="406"/>
      <c r="X82" s="406"/>
      <c r="Y82" s="406"/>
      <c r="Z82" s="406"/>
      <c r="AA82" s="406"/>
      <c r="AB82" s="406"/>
      <c r="AC82" s="406"/>
      <c r="AD82" s="406"/>
      <c r="AE82" s="406"/>
      <c r="AF82" s="406"/>
      <c r="AG82" s="406"/>
      <c r="AH82" s="406"/>
      <c r="AI82" s="406"/>
      <c r="AJ82" s="406"/>
      <c r="AK82" s="406"/>
      <c r="AL82" s="406"/>
      <c r="AM82" s="406"/>
      <c r="AN82" s="406"/>
      <c r="AO82" s="406"/>
      <c r="AP82" s="406"/>
      <c r="AQ82" s="406"/>
      <c r="AR82" s="406"/>
      <c r="AS82" s="406"/>
      <c r="AT82" s="406"/>
      <c r="AU82" s="406"/>
      <c r="AV82" s="406"/>
      <c r="AW82" s="406"/>
      <c r="AX82" s="407"/>
    </row>
    <row r="83" spans="1:54" ht="14.5" x14ac:dyDescent="0.3">
      <c r="B83" s="949"/>
      <c r="C83" s="944"/>
      <c r="D83" s="944"/>
      <c r="E83" s="944"/>
      <c r="F83" s="45"/>
      <c r="G83" s="45"/>
      <c r="H83" s="45"/>
      <c r="I83" s="45"/>
      <c r="J83" s="45"/>
      <c r="K83" s="45"/>
      <c r="L83" s="45"/>
      <c r="M83" s="45"/>
      <c r="N83" s="45"/>
      <c r="O83" s="45"/>
      <c r="P83" s="45"/>
      <c r="Q83" s="45">
        <f>24.8982</f>
        <v>24.898199999999999</v>
      </c>
      <c r="R83" s="369">
        <f>SUM(R64:R76)</f>
        <v>24.789935371200002</v>
      </c>
      <c r="S83" s="45">
        <v>24.771812670953619</v>
      </c>
      <c r="T83" s="28">
        <f>SUM(T64:T76)</f>
        <v>24.790583984591141</v>
      </c>
      <c r="U83" s="28">
        <f t="shared" ref="U83:AV83" si="12">SUM(U64:U76)</f>
        <v>24.790906832637368</v>
      </c>
      <c r="V83" s="28">
        <f t="shared" si="12"/>
        <v>24.791228712139457</v>
      </c>
      <c r="W83" s="28">
        <f t="shared" si="12"/>
        <v>24.791549626003039</v>
      </c>
      <c r="X83" s="28">
        <f t="shared" si="12"/>
        <v>24.791869577125023</v>
      </c>
      <c r="Y83" s="28">
        <f t="shared" si="12"/>
        <v>24.792188568393655</v>
      </c>
      <c r="Z83" s="28">
        <f t="shared" si="12"/>
        <v>24.792506602688473</v>
      </c>
      <c r="AA83" s="28">
        <f t="shared" si="12"/>
        <v>24.792823682880403</v>
      </c>
      <c r="AB83" s="28">
        <f t="shared" si="12"/>
        <v>24.793139811831765</v>
      </c>
      <c r="AC83" s="28">
        <f t="shared" si="12"/>
        <v>24.793454992396271</v>
      </c>
      <c r="AD83" s="28">
        <f t="shared" si="12"/>
        <v>24.79376922741908</v>
      </c>
      <c r="AE83" s="28">
        <f t="shared" si="12"/>
        <v>24.794082519736822</v>
      </c>
      <c r="AF83" s="28">
        <f t="shared" si="12"/>
        <v>24.794394872177612</v>
      </c>
      <c r="AG83" s="28">
        <f t="shared" si="12"/>
        <v>24.79470628756108</v>
      </c>
      <c r="AH83" s="28">
        <f t="shared" si="12"/>
        <v>24.795016768698396</v>
      </c>
      <c r="AI83" s="28">
        <f t="shared" si="12"/>
        <v>24.795326318392299</v>
      </c>
      <c r="AJ83" s="28">
        <f t="shared" si="12"/>
        <v>24.795634939437122</v>
      </c>
      <c r="AK83" s="28">
        <f t="shared" si="12"/>
        <v>24.795942634618811</v>
      </c>
      <c r="AL83" s="28">
        <f t="shared" si="12"/>
        <v>24.796249406714953</v>
      </c>
      <c r="AM83" s="28">
        <f t="shared" si="12"/>
        <v>24.796555258494809</v>
      </c>
      <c r="AN83" s="28">
        <f t="shared" si="12"/>
        <v>24.796860192719326</v>
      </c>
      <c r="AO83" s="28">
        <f t="shared" si="12"/>
        <v>24.797164212141173</v>
      </c>
      <c r="AP83" s="28">
        <f t="shared" si="12"/>
        <v>24.797467319504744</v>
      </c>
      <c r="AQ83" s="28">
        <f t="shared" si="12"/>
        <v>24.797769517546232</v>
      </c>
      <c r="AR83" s="28">
        <f t="shared" si="12"/>
        <v>24.798070808993593</v>
      </c>
      <c r="AS83" s="28">
        <f t="shared" si="12"/>
        <v>24.798371196566617</v>
      </c>
      <c r="AT83" s="28">
        <f t="shared" si="12"/>
        <v>24.798670682976919</v>
      </c>
      <c r="AU83" s="28">
        <f t="shared" si="12"/>
        <v>24.798969270927977</v>
      </c>
      <c r="AV83" s="28">
        <f t="shared" si="12"/>
        <v>24.799266963115198</v>
      </c>
      <c r="AW83" s="28">
        <f>SUM(AW64:AW76)</f>
        <v>24.799563762225848</v>
      </c>
      <c r="AX83" s="45"/>
    </row>
    <row r="84" spans="1:54" ht="14.5" x14ac:dyDescent="0.3">
      <c r="B84" s="949"/>
      <c r="C84" s="944"/>
      <c r="D84" s="944"/>
      <c r="E84" s="944"/>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row>
    <row r="85" spans="1:54" ht="14.5" x14ac:dyDescent="0.3">
      <c r="B85" s="949"/>
      <c r="C85" s="944"/>
      <c r="D85" s="944"/>
      <c r="E85" s="944"/>
      <c r="F85" s="45"/>
      <c r="G85" s="45"/>
      <c r="H85" s="45"/>
      <c r="I85" s="45"/>
      <c r="J85" s="45"/>
      <c r="K85" s="45"/>
      <c r="L85" s="45"/>
      <c r="M85" s="45"/>
      <c r="N85" s="45"/>
      <c r="O85" s="45"/>
      <c r="P85" s="28"/>
      <c r="Q85" s="28"/>
      <c r="R85" s="28"/>
      <c r="S85" s="45"/>
      <c r="T85" s="45"/>
      <c r="U85" s="28"/>
      <c r="V85" s="28"/>
      <c r="W85" s="28"/>
      <c r="X85" s="28"/>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row>
    <row r="86" spans="1:54" ht="26" x14ac:dyDescent="0.3">
      <c r="B86" s="949"/>
      <c r="C86" s="944"/>
      <c r="D86" s="1029" t="s">
        <v>83</v>
      </c>
      <c r="E86" s="1029"/>
      <c r="F86" s="1029"/>
      <c r="G86" s="45"/>
      <c r="H86" s="21"/>
      <c r="J86" s="45"/>
      <c r="K86" s="45"/>
      <c r="L86" s="21"/>
      <c r="M86" s="45"/>
      <c r="N86" s="45"/>
      <c r="O86" s="45"/>
      <c r="P86" s="45"/>
      <c r="Q86" s="45"/>
      <c r="R86" s="45"/>
      <c r="S86" s="45"/>
      <c r="T86" s="45"/>
      <c r="U86" s="28"/>
      <c r="V86" s="28"/>
      <c r="W86" s="28"/>
      <c r="X86" s="28"/>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row>
    <row r="87" spans="1:54" ht="14.5" x14ac:dyDescent="0.3">
      <c r="B87" s="1030" t="s">
        <v>84</v>
      </c>
      <c r="C87" s="944"/>
      <c r="D87" s="1031" t="s">
        <v>85</v>
      </c>
      <c r="E87" s="1032"/>
      <c r="F87" s="370" t="s">
        <v>86</v>
      </c>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24"/>
    </row>
    <row r="88" spans="1:54" ht="14.5" x14ac:dyDescent="0.3">
      <c r="A88" t="s">
        <v>134</v>
      </c>
      <c r="B88" s="1030"/>
      <c r="C88" s="944"/>
      <c r="D88" s="1033" t="s">
        <v>87</v>
      </c>
      <c r="E88" s="1034"/>
      <c r="F88" s="952"/>
      <c r="G88" s="952"/>
      <c r="H88" s="952"/>
      <c r="I88" s="952"/>
      <c r="J88" s="952"/>
      <c r="K88" s="952"/>
      <c r="L88" s="952"/>
      <c r="M88" s="952"/>
      <c r="N88" s="952"/>
      <c r="O88" s="952"/>
      <c r="P88" s="952"/>
      <c r="Q88" s="952"/>
      <c r="R88" s="952"/>
      <c r="S88" s="952"/>
      <c r="T88" s="952">
        <v>1.959779E-2</v>
      </c>
      <c r="U88" s="794">
        <f>T88*(1+((U65-T65)/U65))</f>
        <v>1.9600687611174519E-2</v>
      </c>
      <c r="V88" s="794">
        <f t="shared" ref="V88:AW88" si="13">U88*(1+((V65-U65)/V65))</f>
        <v>1.9603522831859958E-2</v>
      </c>
      <c r="W88" s="794">
        <f t="shared" si="13"/>
        <v>1.9606295921287806E-2</v>
      </c>
      <c r="X88" s="794">
        <f t="shared" si="13"/>
        <v>1.9609008261319807E-2</v>
      </c>
      <c r="Y88" s="794">
        <f t="shared" si="13"/>
        <v>1.9611658675346089E-2</v>
      </c>
      <c r="Z88" s="794">
        <f t="shared" si="13"/>
        <v>1.961424801441207E-2</v>
      </c>
      <c r="AA88" s="794">
        <f t="shared" si="13"/>
        <v>1.9616776230638604E-2</v>
      </c>
      <c r="AB88" s="794">
        <f t="shared" si="13"/>
        <v>1.9619244732489587E-2</v>
      </c>
      <c r="AC88" s="794">
        <f t="shared" si="13"/>
        <v>1.9621652470117917E-2</v>
      </c>
      <c r="AD88" s="794">
        <f t="shared" si="13"/>
        <v>1.9623999869599885E-2</v>
      </c>
      <c r="AE88" s="794">
        <f t="shared" si="13"/>
        <v>1.9626286962773621E-2</v>
      </c>
      <c r="AF88" s="794">
        <f t="shared" si="13"/>
        <v>1.9628513512944847E-2</v>
      </c>
      <c r="AG88" s="794">
        <f t="shared" si="13"/>
        <v>1.9630680219250598E-2</v>
      </c>
      <c r="AH88" s="794">
        <f t="shared" si="13"/>
        <v>1.9632787069602031E-2</v>
      </c>
      <c r="AI88" s="794">
        <f t="shared" si="13"/>
        <v>1.9634834678133709E-2</v>
      </c>
      <c r="AJ88" s="794">
        <f t="shared" si="13"/>
        <v>1.9636822787938966E-2</v>
      </c>
      <c r="AK88" s="794">
        <f t="shared" si="13"/>
        <v>1.9638752169302026E-2</v>
      </c>
      <c r="AL88" s="794">
        <f t="shared" si="13"/>
        <v>1.9640622960967347E-2</v>
      </c>
      <c r="AM88" s="794">
        <f t="shared" si="13"/>
        <v>1.9642435655451811E-2</v>
      </c>
      <c r="AN88" s="794">
        <f t="shared" si="13"/>
        <v>1.9644191340798291E-2</v>
      </c>
      <c r="AO88" s="794">
        <f t="shared" si="13"/>
        <v>1.964589067397314E-2</v>
      </c>
      <c r="AP88" s="794">
        <f t="shared" si="13"/>
        <v>1.9647533819967214E-2</v>
      </c>
      <c r="AQ88" s="794">
        <f t="shared" si="13"/>
        <v>1.9649121737829192E-2</v>
      </c>
      <c r="AR88" s="794">
        <f t="shared" si="13"/>
        <v>1.9650654517620283E-2</v>
      </c>
      <c r="AS88" s="794">
        <f t="shared" si="13"/>
        <v>1.9652132985517459E-2</v>
      </c>
      <c r="AT88" s="794">
        <f t="shared" si="13"/>
        <v>1.9653558412812702E-2</v>
      </c>
      <c r="AU88" s="794">
        <f t="shared" si="13"/>
        <v>1.9654930562157218E-2</v>
      </c>
      <c r="AV88" s="794">
        <f t="shared" si="13"/>
        <v>1.9656250748990006E-2</v>
      </c>
      <c r="AW88" s="794">
        <f t="shared" si="13"/>
        <v>1.9657520324057657E-2</v>
      </c>
      <c r="AX88" s="154"/>
    </row>
    <row r="89" spans="1:54" ht="14.5" x14ac:dyDescent="0.3">
      <c r="A89" t="s">
        <v>134</v>
      </c>
      <c r="B89" s="1030"/>
      <c r="C89" s="944"/>
      <c r="D89" s="1033" t="s">
        <v>88</v>
      </c>
      <c r="E89" s="1034"/>
      <c r="F89" s="952"/>
      <c r="G89" s="952"/>
      <c r="H89" s="952"/>
      <c r="I89" s="952"/>
      <c r="J89" s="952"/>
      <c r="K89" s="952"/>
      <c r="L89" s="952"/>
      <c r="M89" s="952"/>
      <c r="N89" s="952"/>
      <c r="O89" s="952"/>
      <c r="P89" s="952"/>
      <c r="Q89" s="952"/>
      <c r="R89" s="952"/>
      <c r="S89" s="952"/>
      <c r="T89" s="952">
        <v>15.487761259999999</v>
      </c>
      <c r="U89" s="794">
        <f>T89*(1+((U65-T65)/U65))</f>
        <v>15.490051187083374</v>
      </c>
      <c r="V89" s="794">
        <f t="shared" ref="V89:AW89" si="14">U89*(1+((V65-U65)/V65))</f>
        <v>15.492291808148069</v>
      </c>
      <c r="W89" s="794">
        <f t="shared" si="14"/>
        <v>15.494483328059813</v>
      </c>
      <c r="X89" s="794">
        <f t="shared" si="14"/>
        <v>15.496626838877694</v>
      </c>
      <c r="Y89" s="794">
        <f t="shared" si="14"/>
        <v>15.498721410749276</v>
      </c>
      <c r="Z89" s="794">
        <f t="shared" si="14"/>
        <v>15.500767716239594</v>
      </c>
      <c r="AA89" s="794">
        <f t="shared" si="14"/>
        <v>15.502765717510666</v>
      </c>
      <c r="AB89" s="794">
        <f t="shared" si="14"/>
        <v>15.504716527644762</v>
      </c>
      <c r="AC89" s="794">
        <f t="shared" si="14"/>
        <v>15.506619316967653</v>
      </c>
      <c r="AD89" s="794">
        <f t="shared" si="14"/>
        <v>15.508474422199344</v>
      </c>
      <c r="AE89" s="794">
        <f t="shared" si="14"/>
        <v>15.510281868500901</v>
      </c>
      <c r="AF89" s="794">
        <f t="shared" si="14"/>
        <v>15.512041468817333</v>
      </c>
      <c r="AG89" s="794">
        <f t="shared" si="14"/>
        <v>15.513753775663362</v>
      </c>
      <c r="AH89" s="794">
        <f t="shared" si="14"/>
        <v>15.515418779485405</v>
      </c>
      <c r="AI89" s="794">
        <f t="shared" si="14"/>
        <v>15.51703696562234</v>
      </c>
      <c r="AJ89" s="794">
        <f t="shared" si="14"/>
        <v>15.51860813104571</v>
      </c>
      <c r="AK89" s="794">
        <f t="shared" si="14"/>
        <v>15.52013288449651</v>
      </c>
      <c r="AL89" s="794">
        <f t="shared" si="14"/>
        <v>15.52161133562185</v>
      </c>
      <c r="AM89" s="794">
        <f t="shared" si="14"/>
        <v>15.523043873648469</v>
      </c>
      <c r="AN89" s="794">
        <f t="shared" si="14"/>
        <v>15.524431358435985</v>
      </c>
      <c r="AO89" s="794">
        <f t="shared" si="14"/>
        <v>15.525774309172432</v>
      </c>
      <c r="AP89" s="794">
        <f t="shared" si="14"/>
        <v>15.527072856246949</v>
      </c>
      <c r="AQ89" s="794">
        <f t="shared" si="14"/>
        <v>15.528327757577497</v>
      </c>
      <c r="AR89" s="794">
        <f t="shared" si="14"/>
        <v>15.529539084337738</v>
      </c>
      <c r="AS89" s="794">
        <f t="shared" si="14"/>
        <v>15.53070748943964</v>
      </c>
      <c r="AT89" s="794">
        <f t="shared" si="14"/>
        <v>15.531833977561119</v>
      </c>
      <c r="AU89" s="794">
        <f t="shared" si="14"/>
        <v>15.532918361129926</v>
      </c>
      <c r="AV89" s="794">
        <f t="shared" si="14"/>
        <v>15.533961679712522</v>
      </c>
      <c r="AW89" s="794">
        <f t="shared" si="14"/>
        <v>15.534965000778289</v>
      </c>
      <c r="AX89" s="154"/>
    </row>
    <row r="90" spans="1:54" ht="14.5" x14ac:dyDescent="0.3">
      <c r="B90" s="949"/>
      <c r="C90" s="944"/>
      <c r="D90" s="125"/>
      <c r="E90" s="392"/>
      <c r="F90" s="418" t="s">
        <v>89</v>
      </c>
      <c r="G90" s="400"/>
      <c r="H90" s="952"/>
      <c r="I90" s="952"/>
      <c r="J90" s="952"/>
      <c r="K90" s="952"/>
      <c r="L90" s="952"/>
      <c r="M90" s="952"/>
      <c r="N90" s="952"/>
      <c r="O90" s="952"/>
      <c r="P90" s="952"/>
      <c r="Q90" s="952"/>
      <c r="R90" s="952"/>
      <c r="S90" s="952"/>
      <c r="T90" s="419">
        <f>SUM(T88:T89)</f>
        <v>15.50735905</v>
      </c>
      <c r="U90" s="420">
        <f t="shared" ref="U90:AW90" si="15">SUM(U88:U89)</f>
        <v>15.509651874694548</v>
      </c>
      <c r="V90" s="420">
        <f t="shared" si="15"/>
        <v>15.511895330979929</v>
      </c>
      <c r="W90" s="420">
        <f t="shared" si="15"/>
        <v>15.5140896239811</v>
      </c>
      <c r="X90" s="420">
        <f t="shared" si="15"/>
        <v>15.516235847139013</v>
      </c>
      <c r="Y90" s="420">
        <f t="shared" si="15"/>
        <v>15.518333069424623</v>
      </c>
      <c r="Z90" s="420">
        <f t="shared" si="15"/>
        <v>15.520381964254005</v>
      </c>
      <c r="AA90" s="420">
        <f t="shared" si="15"/>
        <v>15.522382493741304</v>
      </c>
      <c r="AB90" s="420">
        <f t="shared" si="15"/>
        <v>15.524335772377251</v>
      </c>
      <c r="AC90" s="420">
        <f t="shared" si="15"/>
        <v>15.526240969437771</v>
      </c>
      <c r="AD90" s="420">
        <f t="shared" si="15"/>
        <v>15.528098422068943</v>
      </c>
      <c r="AE90" s="420">
        <f t="shared" si="15"/>
        <v>15.529908155463675</v>
      </c>
      <c r="AF90" s="420">
        <f t="shared" si="15"/>
        <v>15.531669982330278</v>
      </c>
      <c r="AG90" s="420">
        <f t="shared" si="15"/>
        <v>15.533384455882613</v>
      </c>
      <c r="AH90" s="420">
        <f t="shared" si="15"/>
        <v>15.535051566555007</v>
      </c>
      <c r="AI90" s="420">
        <f t="shared" si="15"/>
        <v>15.536671800300475</v>
      </c>
      <c r="AJ90" s="420">
        <f t="shared" si="15"/>
        <v>15.538244953833649</v>
      </c>
      <c r="AK90" s="420">
        <f t="shared" si="15"/>
        <v>15.539771636665812</v>
      </c>
      <c r="AL90" s="420">
        <f t="shared" si="15"/>
        <v>15.541251958582817</v>
      </c>
      <c r="AM90" s="420">
        <f t="shared" si="15"/>
        <v>15.542686309303921</v>
      </c>
      <c r="AN90" s="420">
        <f t="shared" si="15"/>
        <v>15.544075549776784</v>
      </c>
      <c r="AO90" s="420">
        <f t="shared" si="15"/>
        <v>15.545420199846404</v>
      </c>
      <c r="AP90" s="420">
        <f t="shared" si="15"/>
        <v>15.546720390066916</v>
      </c>
      <c r="AQ90" s="420">
        <f t="shared" si="15"/>
        <v>15.547976879315327</v>
      </c>
      <c r="AR90" s="420">
        <f t="shared" si="15"/>
        <v>15.549189738855359</v>
      </c>
      <c r="AS90" s="420">
        <f t="shared" si="15"/>
        <v>15.550359622425157</v>
      </c>
      <c r="AT90" s="420">
        <f t="shared" si="15"/>
        <v>15.551487535973932</v>
      </c>
      <c r="AU90" s="420">
        <f t="shared" si="15"/>
        <v>15.552573291692084</v>
      </c>
      <c r="AV90" s="420">
        <f t="shared" si="15"/>
        <v>15.553617930461513</v>
      </c>
      <c r="AW90" s="420">
        <f t="shared" si="15"/>
        <v>15.554622521102347</v>
      </c>
      <c r="AX90" s="154"/>
    </row>
    <row r="91" spans="1:54" ht="14.5" x14ac:dyDescent="0.3">
      <c r="B91" s="949"/>
      <c r="C91" s="944"/>
      <c r="D91" s="15"/>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25"/>
      <c r="AY91" s="944"/>
      <c r="AZ91" s="944"/>
      <c r="BA91" s="944"/>
      <c r="BB91" s="944"/>
    </row>
    <row r="92" spans="1:54" ht="14.5" x14ac:dyDescent="0.3">
      <c r="B92" s="949"/>
      <c r="C92" s="944"/>
      <c r="F92" s="27"/>
      <c r="G92" s="27"/>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row>
    <row r="93" spans="1:54" ht="14.5" x14ac:dyDescent="0.3">
      <c r="B93" s="949"/>
      <c r="C93" s="944"/>
      <c r="F93" s="27"/>
      <c r="G93" s="27"/>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row>
    <row r="94" spans="1:54" ht="26" x14ac:dyDescent="0.3">
      <c r="B94" s="949"/>
      <c r="C94" s="944"/>
      <c r="D94" s="1029" t="s">
        <v>90</v>
      </c>
      <c r="E94" s="1029"/>
      <c r="F94" s="1029"/>
      <c r="G94" s="45"/>
      <c r="H94" s="21"/>
      <c r="J94" s="45"/>
      <c r="K94" s="799"/>
      <c r="L94" s="799"/>
      <c r="M94" s="799"/>
      <c r="N94" s="799"/>
      <c r="O94" s="799"/>
      <c r="P94" s="799"/>
      <c r="Q94" s="799"/>
      <c r="R94" s="799"/>
      <c r="S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944"/>
    </row>
    <row r="95" spans="1:54" ht="14.5" x14ac:dyDescent="0.3">
      <c r="B95" s="1039" t="s">
        <v>91</v>
      </c>
      <c r="C95" s="944"/>
      <c r="D95" s="1031" t="s">
        <v>85</v>
      </c>
      <c r="E95" s="1032"/>
      <c r="F95" s="371" t="s">
        <v>92</v>
      </c>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24"/>
    </row>
    <row r="96" spans="1:54" ht="14.5" x14ac:dyDescent="0.3">
      <c r="A96" t="s">
        <v>135</v>
      </c>
      <c r="B96" s="1039"/>
      <c r="C96" s="944"/>
      <c r="D96" s="1033" t="s">
        <v>87</v>
      </c>
      <c r="E96" s="1034"/>
      <c r="F96" s="952"/>
      <c r="G96" s="952"/>
      <c r="H96" s="952"/>
      <c r="I96" s="952"/>
      <c r="J96" s="952"/>
      <c r="K96" s="952"/>
      <c r="L96" s="952"/>
      <c r="M96" s="952"/>
      <c r="N96" s="952"/>
      <c r="O96" s="952"/>
      <c r="P96" s="952"/>
      <c r="Q96" s="952"/>
      <c r="R96" s="952"/>
      <c r="S96" s="952">
        <v>0.21000466600000001</v>
      </c>
      <c r="T96" s="952">
        <f>S96*(1+'Drivers Económicos'!G8/100)</f>
        <v>0.21003352517027621</v>
      </c>
      <c r="U96" s="794">
        <f>T96*(1+'Drivers Económicos'!H8/100)</f>
        <v>0.21006176051936065</v>
      </c>
      <c r="V96" s="794">
        <f>U96*(1+'Drivers Económicos'!I8/100)</f>
        <v>0.21008938745413328</v>
      </c>
      <c r="W96" s="794">
        <f>V96*(1+'Drivers Económicos'!J8/100)</f>
        <v>0.21011640852901833</v>
      </c>
      <c r="X96" s="794">
        <f>W96*(1+'Drivers Económicos'!K8/100)</f>
        <v>0.21014283723801017</v>
      </c>
      <c r="Y96" s="794">
        <f>X96*(1+'Drivers Económicos'!L8/100)</f>
        <v>0.21016866214123223</v>
      </c>
      <c r="Z96" s="794">
        <f>Y96*(1+'Drivers Económicos'!M8/100)</f>
        <v>0.21019389155829404</v>
      </c>
      <c r="AA96" s="794">
        <f>Z96*(1+'Drivers Económicos'!N8/100)</f>
        <v>0.21021852504799141</v>
      </c>
      <c r="AB96" s="794">
        <f>AA96*(1+'Drivers Económicos'!O8/100)</f>
        <v>0.21024257635998481</v>
      </c>
      <c r="AC96" s="794">
        <f>AB96*(1+'Drivers Económicos'!P8/100)</f>
        <v>0.21026603528793211</v>
      </c>
      <c r="AD96" s="794">
        <f>AC96*(1+'Drivers Económicos'!Q8/100)</f>
        <v>0.21028890600729078</v>
      </c>
      <c r="AE96" s="794">
        <f>AD96*(1+'Drivers Económicos'!R8/100)</f>
        <v>0.21031118885129776</v>
      </c>
      <c r="AF96" s="794">
        <f>AE96*(1+'Drivers Económicos'!S8/100)</f>
        <v>0.21033288153613566</v>
      </c>
      <c r="AG96" s="794">
        <f>AF96*(1+'Drivers Económicos'!T8/100)</f>
        <v>0.21035399089606538</v>
      </c>
      <c r="AH96" s="794">
        <f>AG96*(1+'Drivers Económicos'!U8/100)</f>
        <v>0.21037451683460476</v>
      </c>
      <c r="AI96" s="794">
        <f>AH96*(1+'Drivers Económicos'!V8/100)</f>
        <v>0.21039446535631307</v>
      </c>
      <c r="AJ96" s="794">
        <f>AI96*(1+'Drivers Económicos'!W8/100)</f>
        <v>0.2104138339781827</v>
      </c>
      <c r="AK96" s="794">
        <f>AJ96*(1+'Drivers Económicos'!X8/100)</f>
        <v>0.21043263022485353</v>
      </c>
      <c r="AL96" s="794">
        <f>AK96*(1+'Drivers Económicos'!Y8/100)</f>
        <v>0.21045085546703779</v>
      </c>
      <c r="AM96" s="794">
        <f>AL96*(1+'Drivers Económicos'!Z8/100)</f>
        <v>0.21046851452163329</v>
      </c>
      <c r="AN96" s="794">
        <f>AM96*(1+'Drivers Económicos'!AA8/100)</f>
        <v>0.21048561800682108</v>
      </c>
      <c r="AO96" s="794">
        <f>AN96*(1+'Drivers Económicos'!AB8/100)</f>
        <v>0.21050217234002935</v>
      </c>
      <c r="AP96" s="794">
        <f>AO96*(1+'Drivers Económicos'!AC8/100)</f>
        <v>0.21051817914492371</v>
      </c>
      <c r="AQ96" s="794">
        <f>AP96*(1+'Drivers Económicos'!AD8/100)</f>
        <v>0.21053364778056721</v>
      </c>
      <c r="AR96" s="794">
        <f>AQ96*(1+'Drivers Económicos'!AE8/100)</f>
        <v>0.2105485791393833</v>
      </c>
      <c r="AS96" s="794">
        <f>AR96*(1+'Drivers Económicos'!AF8/100)</f>
        <v>0.21056298128457734</v>
      </c>
      <c r="AT96" s="794">
        <f>AS96*(1+'Drivers Económicos'!AG8/100)</f>
        <v>0.21057686661484537</v>
      </c>
      <c r="AU96" s="794">
        <f>AT96*(1+'Drivers Económicos'!AH8/100)</f>
        <v>0.21059023283114048</v>
      </c>
      <c r="AV96" s="794">
        <f>AU96*(1+'Drivers Económicos'!AI8/100)</f>
        <v>0.2106030927608378</v>
      </c>
      <c r="AW96" s="794">
        <f>AV96*(1+'Drivers Económicos'!AJ8/100)</f>
        <v>0.21061545957436387</v>
      </c>
      <c r="AX96" s="154"/>
    </row>
    <row r="97" spans="2:54" ht="14.5" x14ac:dyDescent="0.3">
      <c r="B97" s="1039"/>
      <c r="C97" s="944"/>
      <c r="D97" s="1033" t="s">
        <v>88</v>
      </c>
      <c r="E97" s="1034"/>
      <c r="F97" s="952"/>
      <c r="G97" s="952"/>
      <c r="H97" s="952"/>
      <c r="I97" s="952"/>
      <c r="J97" s="952"/>
      <c r="K97" s="952"/>
      <c r="L97" s="952"/>
      <c r="M97" s="952"/>
      <c r="N97" s="952"/>
      <c r="O97" s="952"/>
      <c r="P97" s="952"/>
      <c r="Q97" s="952"/>
      <c r="R97" s="952"/>
      <c r="S97" s="952">
        <v>0</v>
      </c>
      <c r="T97" s="952">
        <f>S97*(1+'Drivers Económicos'!G8/100)</f>
        <v>0</v>
      </c>
      <c r="U97" s="794">
        <f>T97*(1+'Drivers Económicos'!H8/100)</f>
        <v>0</v>
      </c>
      <c r="V97" s="794">
        <f>U97*(1+'Drivers Económicos'!I8/100)</f>
        <v>0</v>
      </c>
      <c r="W97" s="794">
        <f>V97*(1+'Drivers Económicos'!J8/100)</f>
        <v>0</v>
      </c>
      <c r="X97" s="794">
        <f>W97*(1+'Drivers Económicos'!K8/100)</f>
        <v>0</v>
      </c>
      <c r="Y97" s="794">
        <f>X97*(1+'Drivers Económicos'!L8/100)</f>
        <v>0</v>
      </c>
      <c r="Z97" s="794">
        <f>Y97*(1+'Drivers Económicos'!M8/100)</f>
        <v>0</v>
      </c>
      <c r="AA97" s="794">
        <f>Z97*(1+'Drivers Económicos'!N8/100)</f>
        <v>0</v>
      </c>
      <c r="AB97" s="794">
        <f>AA97*(1+'Drivers Económicos'!O8/100)</f>
        <v>0</v>
      </c>
      <c r="AC97" s="794">
        <f>AB97*(1+'Drivers Económicos'!P8/100)</f>
        <v>0</v>
      </c>
      <c r="AD97" s="794">
        <f>AC97*(1+'Drivers Económicos'!Q8/100)</f>
        <v>0</v>
      </c>
      <c r="AE97" s="794">
        <f>AD97*(1+'Drivers Económicos'!R8/100)</f>
        <v>0</v>
      </c>
      <c r="AF97" s="794">
        <f>AE97*(1+'Drivers Económicos'!S8/100)</f>
        <v>0</v>
      </c>
      <c r="AG97" s="794">
        <f>AF97*(1+'Drivers Económicos'!T8/100)</f>
        <v>0</v>
      </c>
      <c r="AH97" s="794">
        <f>AG97*(1+'Drivers Económicos'!U8/100)</f>
        <v>0</v>
      </c>
      <c r="AI97" s="794">
        <f>AH97*(1+'Drivers Económicos'!V8/100)</f>
        <v>0</v>
      </c>
      <c r="AJ97" s="794">
        <f>AI97*(1+'Drivers Económicos'!W8/100)</f>
        <v>0</v>
      </c>
      <c r="AK97" s="794">
        <f>AJ97*(1+'Drivers Económicos'!X8/100)</f>
        <v>0</v>
      </c>
      <c r="AL97" s="794">
        <f>AK97*(1+'Drivers Económicos'!Y8/100)</f>
        <v>0</v>
      </c>
      <c r="AM97" s="794">
        <f>AL97*(1+'Drivers Económicos'!Z8/100)</f>
        <v>0</v>
      </c>
      <c r="AN97" s="794">
        <f>AM97*(1+'Drivers Económicos'!AA8/100)</f>
        <v>0</v>
      </c>
      <c r="AO97" s="794">
        <f>AN97*(1+'Drivers Económicos'!AB8/100)</f>
        <v>0</v>
      </c>
      <c r="AP97" s="794">
        <f>AO97*(1+'Drivers Económicos'!AC8/100)</f>
        <v>0</v>
      </c>
      <c r="AQ97" s="794">
        <f>AP97*(1+'Drivers Económicos'!AD8/100)</f>
        <v>0</v>
      </c>
      <c r="AR97" s="794">
        <f>AQ97*(1+'Drivers Económicos'!AE8/100)</f>
        <v>0</v>
      </c>
      <c r="AS97" s="794">
        <f>AR97*(1+'Drivers Económicos'!AF8/100)</f>
        <v>0</v>
      </c>
      <c r="AT97" s="794">
        <f>AS97*(1+'Drivers Económicos'!AG8/100)</f>
        <v>0</v>
      </c>
      <c r="AU97" s="794">
        <f>AT97*(1+'Drivers Económicos'!AH8/100)</f>
        <v>0</v>
      </c>
      <c r="AV97" s="794">
        <f>AU97*(1+'Drivers Económicos'!AI8/100)</f>
        <v>0</v>
      </c>
      <c r="AW97" s="794">
        <f>AV97*(1+'Drivers Económicos'!AJ8/100)</f>
        <v>0</v>
      </c>
      <c r="AX97" s="154"/>
    </row>
    <row r="98" spans="2:54" ht="14.5" x14ac:dyDescent="0.3">
      <c r="B98" s="1039"/>
      <c r="C98" s="944"/>
      <c r="D98" s="125"/>
      <c r="E98" s="392"/>
      <c r="F98" s="418" t="s">
        <v>93</v>
      </c>
      <c r="G98" s="418"/>
      <c r="H98" s="375"/>
      <c r="I98" s="375"/>
      <c r="J98" s="375"/>
      <c r="K98" s="375"/>
      <c r="L98" s="375"/>
      <c r="M98" s="375"/>
      <c r="N98" s="375"/>
      <c r="O98" s="375"/>
      <c r="P98" s="952"/>
      <c r="Q98" s="952"/>
      <c r="R98" s="952"/>
      <c r="S98" s="419">
        <f>SUM(S96:S97)</f>
        <v>0.21000466600000001</v>
      </c>
      <c r="T98" s="419">
        <f t="shared" ref="T98:AW98" si="16">SUM(T96:T97)</f>
        <v>0.21003352517027621</v>
      </c>
      <c r="U98" s="420">
        <f t="shared" si="16"/>
        <v>0.21006176051936065</v>
      </c>
      <c r="V98" s="420">
        <f t="shared" si="16"/>
        <v>0.21008938745413328</v>
      </c>
      <c r="W98" s="420">
        <f t="shared" si="16"/>
        <v>0.21011640852901833</v>
      </c>
      <c r="X98" s="420">
        <f t="shared" si="16"/>
        <v>0.21014283723801017</v>
      </c>
      <c r="Y98" s="420">
        <f t="shared" si="16"/>
        <v>0.21016866214123223</v>
      </c>
      <c r="Z98" s="420">
        <f t="shared" si="16"/>
        <v>0.21019389155829404</v>
      </c>
      <c r="AA98" s="420">
        <f t="shared" si="16"/>
        <v>0.21021852504799141</v>
      </c>
      <c r="AB98" s="420">
        <f t="shared" si="16"/>
        <v>0.21024257635998481</v>
      </c>
      <c r="AC98" s="420">
        <f t="shared" si="16"/>
        <v>0.21026603528793211</v>
      </c>
      <c r="AD98" s="420">
        <f t="shared" si="16"/>
        <v>0.21028890600729078</v>
      </c>
      <c r="AE98" s="420">
        <f t="shared" si="16"/>
        <v>0.21031118885129776</v>
      </c>
      <c r="AF98" s="420">
        <f t="shared" si="16"/>
        <v>0.21033288153613566</v>
      </c>
      <c r="AG98" s="420">
        <f t="shared" si="16"/>
        <v>0.21035399089606538</v>
      </c>
      <c r="AH98" s="420">
        <f t="shared" si="16"/>
        <v>0.21037451683460476</v>
      </c>
      <c r="AI98" s="420">
        <f t="shared" si="16"/>
        <v>0.21039446535631307</v>
      </c>
      <c r="AJ98" s="420">
        <f t="shared" si="16"/>
        <v>0.2104138339781827</v>
      </c>
      <c r="AK98" s="420">
        <f t="shared" si="16"/>
        <v>0.21043263022485353</v>
      </c>
      <c r="AL98" s="420">
        <f t="shared" si="16"/>
        <v>0.21045085546703779</v>
      </c>
      <c r="AM98" s="420">
        <f t="shared" si="16"/>
        <v>0.21046851452163329</v>
      </c>
      <c r="AN98" s="420">
        <f t="shared" si="16"/>
        <v>0.21048561800682108</v>
      </c>
      <c r="AO98" s="420">
        <f t="shared" si="16"/>
        <v>0.21050217234002935</v>
      </c>
      <c r="AP98" s="420">
        <f t="shared" si="16"/>
        <v>0.21051817914492371</v>
      </c>
      <c r="AQ98" s="420">
        <f t="shared" si="16"/>
        <v>0.21053364778056721</v>
      </c>
      <c r="AR98" s="420">
        <f t="shared" si="16"/>
        <v>0.2105485791393833</v>
      </c>
      <c r="AS98" s="420">
        <f t="shared" si="16"/>
        <v>0.21056298128457734</v>
      </c>
      <c r="AT98" s="420">
        <f t="shared" si="16"/>
        <v>0.21057686661484537</v>
      </c>
      <c r="AU98" s="420">
        <f t="shared" si="16"/>
        <v>0.21059023283114048</v>
      </c>
      <c r="AV98" s="420">
        <f t="shared" si="16"/>
        <v>0.2106030927608378</v>
      </c>
      <c r="AW98" s="420">
        <f t="shared" si="16"/>
        <v>0.21061545957436387</v>
      </c>
      <c r="AX98" s="154"/>
    </row>
    <row r="99" spans="2:54" ht="14.5" x14ac:dyDescent="0.3">
      <c r="B99" s="953"/>
      <c r="C99" s="944"/>
      <c r="D99" s="15"/>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25"/>
    </row>
    <row r="100" spans="2:54" ht="14.5" x14ac:dyDescent="0.3">
      <c r="B100" s="949"/>
      <c r="C100" s="944"/>
      <c r="D100" s="944"/>
      <c r="E100" s="944"/>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row>
    <row r="101" spans="2:54" ht="26" x14ac:dyDescent="0.3">
      <c r="B101" s="949"/>
      <c r="C101" s="944"/>
      <c r="D101" s="981" t="s">
        <v>136</v>
      </c>
      <c r="E101" s="981"/>
      <c r="F101" s="981"/>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row>
    <row r="102" spans="2:54" ht="14.5" x14ac:dyDescent="0.3">
      <c r="B102" s="949"/>
      <c r="C102" s="944"/>
      <c r="D102" s="944"/>
      <c r="E102" s="944"/>
      <c r="F102" s="45"/>
      <c r="G102" s="45"/>
      <c r="H102" s="45"/>
      <c r="I102" s="45"/>
      <c r="J102" s="45"/>
      <c r="K102" s="45"/>
      <c r="L102" s="45"/>
      <c r="M102" s="45"/>
      <c r="N102" s="45"/>
      <c r="O102" s="45"/>
      <c r="P102" s="45"/>
      <c r="Q102" s="45"/>
      <c r="R102" s="45"/>
      <c r="S102" s="45"/>
      <c r="T102" s="45"/>
      <c r="U102" s="45"/>
      <c r="V102" s="28"/>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row>
    <row r="103" spans="2:54" ht="14.5" x14ac:dyDescent="0.35">
      <c r="B103" s="372"/>
      <c r="C103" s="1028" t="s">
        <v>137</v>
      </c>
      <c r="D103" s="421" t="s">
        <v>95</v>
      </c>
      <c r="E103" s="422" t="s">
        <v>95</v>
      </c>
      <c r="F103" s="422" t="s">
        <v>95</v>
      </c>
      <c r="G103" s="422" t="s">
        <v>95</v>
      </c>
      <c r="H103" s="422" t="s">
        <v>95</v>
      </c>
      <c r="I103" s="422" t="s">
        <v>95</v>
      </c>
      <c r="J103" s="422" t="s">
        <v>95</v>
      </c>
      <c r="K103" s="422" t="s">
        <v>95</v>
      </c>
      <c r="L103" s="422" t="s">
        <v>95</v>
      </c>
      <c r="M103" s="422" t="s">
        <v>95</v>
      </c>
      <c r="N103" s="422" t="s">
        <v>95</v>
      </c>
      <c r="O103" s="422" t="s">
        <v>95</v>
      </c>
      <c r="P103" s="422" t="s">
        <v>95</v>
      </c>
      <c r="Q103" s="422" t="s">
        <v>95</v>
      </c>
      <c r="R103" s="422" t="s">
        <v>95</v>
      </c>
      <c r="S103" s="422" t="s">
        <v>95</v>
      </c>
      <c r="T103" s="422" t="s">
        <v>95</v>
      </c>
      <c r="U103" s="422" t="s">
        <v>95</v>
      </c>
      <c r="V103" s="422" t="s">
        <v>95</v>
      </c>
      <c r="W103" s="422" t="s">
        <v>95</v>
      </c>
      <c r="X103" s="422" t="s">
        <v>95</v>
      </c>
      <c r="Y103" s="422" t="s">
        <v>95</v>
      </c>
      <c r="Z103" s="422" t="s">
        <v>95</v>
      </c>
      <c r="AA103" s="422" t="s">
        <v>95</v>
      </c>
      <c r="AB103" s="422" t="s">
        <v>95</v>
      </c>
      <c r="AC103" s="422" t="s">
        <v>95</v>
      </c>
      <c r="AD103" s="422" t="s">
        <v>95</v>
      </c>
      <c r="AE103" s="422" t="s">
        <v>95</v>
      </c>
      <c r="AF103" s="422" t="s">
        <v>95</v>
      </c>
      <c r="AG103" s="422" t="s">
        <v>95</v>
      </c>
      <c r="AH103" s="422" t="s">
        <v>95</v>
      </c>
      <c r="AI103" s="422" t="s">
        <v>95</v>
      </c>
      <c r="AJ103" s="422" t="s">
        <v>95</v>
      </c>
      <c r="AK103" s="422" t="s">
        <v>95</v>
      </c>
      <c r="AL103" s="422" t="s">
        <v>95</v>
      </c>
      <c r="AM103" s="422" t="s">
        <v>95</v>
      </c>
      <c r="AN103" s="422" t="s">
        <v>95</v>
      </c>
      <c r="AO103" s="422" t="s">
        <v>95</v>
      </c>
      <c r="AP103" s="422" t="s">
        <v>95</v>
      </c>
      <c r="AQ103" s="422" t="s">
        <v>95</v>
      </c>
      <c r="AR103" s="422" t="s">
        <v>95</v>
      </c>
      <c r="AS103" s="422" t="s">
        <v>95</v>
      </c>
      <c r="AT103" s="422" t="s">
        <v>95</v>
      </c>
      <c r="AU103" s="422" t="s">
        <v>95</v>
      </c>
      <c r="AV103" s="422" t="s">
        <v>95</v>
      </c>
      <c r="AW103" s="422" t="s">
        <v>95</v>
      </c>
      <c r="AX103" s="423" t="s">
        <v>95</v>
      </c>
      <c r="AY103" s="33"/>
      <c r="AZ103" s="33"/>
      <c r="BA103" s="33"/>
      <c r="BB103" s="33"/>
    </row>
    <row r="104" spans="2:54" ht="15.5" x14ac:dyDescent="0.3">
      <c r="B104" s="949"/>
      <c r="C104" s="1028"/>
      <c r="D104" s="388"/>
      <c r="E104" s="362" t="s">
        <v>138</v>
      </c>
      <c r="F104" s="389" t="s">
        <v>96</v>
      </c>
      <c r="G104" s="390"/>
      <c r="H104" s="390"/>
      <c r="I104" s="390"/>
      <c r="J104" s="390"/>
      <c r="K104" s="390"/>
      <c r="L104" s="390"/>
      <c r="M104" s="390"/>
      <c r="N104" s="390"/>
      <c r="O104" s="390"/>
      <c r="P104" s="390"/>
      <c r="Q104" s="390"/>
      <c r="R104" s="390"/>
      <c r="S104" s="390"/>
      <c r="T104" s="390"/>
      <c r="U104" s="390"/>
      <c r="V104" s="390"/>
      <c r="W104" s="390"/>
      <c r="X104" s="390"/>
      <c r="Y104" s="390"/>
      <c r="Z104" s="390"/>
      <c r="AA104" s="390"/>
      <c r="AB104" s="390"/>
      <c r="AC104" s="390"/>
      <c r="AD104" s="390"/>
      <c r="AE104" s="390"/>
      <c r="AF104" s="390"/>
      <c r="AG104" s="390"/>
      <c r="AH104" s="390"/>
      <c r="AI104" s="390"/>
      <c r="AJ104" s="390"/>
      <c r="AK104" s="390"/>
      <c r="AL104" s="390"/>
      <c r="AM104" s="390"/>
      <c r="AN104" s="390"/>
      <c r="AO104" s="390"/>
      <c r="AP104" s="390"/>
      <c r="AQ104" s="390"/>
      <c r="AR104" s="390"/>
      <c r="AS104" s="390"/>
      <c r="AT104" s="390"/>
      <c r="AU104" s="390"/>
      <c r="AV104" s="390"/>
      <c r="AW104" s="390"/>
      <c r="AX104" s="391"/>
    </row>
    <row r="105" spans="2:54" ht="15.5" x14ac:dyDescent="0.3">
      <c r="B105" s="949"/>
      <c r="C105" s="1028"/>
      <c r="D105" s="1026" t="s">
        <v>139</v>
      </c>
      <c r="E105" s="1027"/>
      <c r="F105" s="393" t="s">
        <v>97</v>
      </c>
      <c r="G105" s="390"/>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390"/>
      <c r="AD105" s="390"/>
      <c r="AE105" s="390"/>
      <c r="AF105" s="390"/>
      <c r="AG105" s="390"/>
      <c r="AH105" s="390"/>
      <c r="AI105" s="390"/>
      <c r="AJ105" s="390"/>
      <c r="AK105" s="390"/>
      <c r="AL105" s="390"/>
      <c r="AM105" s="390"/>
      <c r="AN105" s="390"/>
      <c r="AO105" s="390"/>
      <c r="AP105" s="390"/>
      <c r="AQ105" s="390"/>
      <c r="AR105" s="390"/>
      <c r="AS105" s="390"/>
      <c r="AT105" s="390"/>
      <c r="AU105" s="390"/>
      <c r="AV105" s="390"/>
      <c r="AW105" s="390"/>
      <c r="AX105" s="391"/>
    </row>
    <row r="106" spans="2:54" ht="14.5" x14ac:dyDescent="0.35">
      <c r="B106" s="1019" t="s">
        <v>140</v>
      </c>
      <c r="C106" s="424">
        <v>0.248</v>
      </c>
      <c r="D106" s="1024" t="s">
        <v>99</v>
      </c>
      <c r="E106" s="1025"/>
      <c r="F106" s="425" t="s">
        <v>100</v>
      </c>
      <c r="G106" s="425" t="s">
        <v>95</v>
      </c>
      <c r="H106" s="425" t="s">
        <v>95</v>
      </c>
      <c r="I106" s="426">
        <v>9.4719999999999999E-2</v>
      </c>
      <c r="J106" s="427" t="s">
        <v>95</v>
      </c>
      <c r="K106" s="426">
        <v>9.4719999999999999E-2</v>
      </c>
      <c r="L106" s="427" t="s">
        <v>95</v>
      </c>
      <c r="M106" s="426">
        <v>9.4719999999999999E-2</v>
      </c>
      <c r="N106" s="427" t="s">
        <v>95</v>
      </c>
      <c r="O106" s="426">
        <v>9.0789999999999982E-2</v>
      </c>
      <c r="P106" s="427" t="s">
        <v>95</v>
      </c>
      <c r="Q106" s="426">
        <v>7.7460000000000001E-2</v>
      </c>
      <c r="R106" s="428"/>
      <c r="S106" s="428"/>
      <c r="T106" s="428"/>
      <c r="U106" s="429">
        <f>(U64-T64)*$C$106</f>
        <v>-1.4080249661666003E-2</v>
      </c>
      <c r="V106" s="429">
        <f t="shared" ref="V106:AW106" si="17">(V64-U64)*$C$106</f>
        <v>-1.4015480513222399E-2</v>
      </c>
      <c r="W106" s="429">
        <f t="shared" si="17"/>
        <v>-1.3951009302861436E-2</v>
      </c>
      <c r="X106" s="429">
        <f t="shared" si="17"/>
        <v>-1.3886834660068344E-2</v>
      </c>
      <c r="Y106" s="429">
        <f t="shared" si="17"/>
        <v>-1.3822955220631997E-2</v>
      </c>
      <c r="Z106" s="429">
        <f t="shared" si="17"/>
        <v>-1.3759369626617144E-2</v>
      </c>
      <c r="AA106" s="429">
        <f t="shared" si="17"/>
        <v>-1.3696076526334465E-2</v>
      </c>
      <c r="AB106" s="429">
        <f t="shared" si="17"/>
        <v>-1.3633074574313696E-2</v>
      </c>
      <c r="AC106" s="429">
        <f t="shared" si="17"/>
        <v>-1.3570362431271903E-2</v>
      </c>
      <c r="AD106" s="429">
        <f t="shared" si="17"/>
        <v>-1.3507938764087939E-2</v>
      </c>
      <c r="AE106" s="429">
        <f t="shared" si="17"/>
        <v>-1.3445802245772924E-2</v>
      </c>
      <c r="AF106" s="429">
        <f t="shared" si="17"/>
        <v>-1.3383951555442494E-2</v>
      </c>
      <c r="AG106" s="429">
        <f t="shared" si="17"/>
        <v>-1.3322385378287279E-2</v>
      </c>
      <c r="AH106" s="429">
        <f t="shared" si="17"/>
        <v>-1.3261102405547362E-2</v>
      </c>
      <c r="AI106" s="429">
        <f t="shared" si="17"/>
        <v>-1.3200101334481872E-2</v>
      </c>
      <c r="AJ106" s="429">
        <f t="shared" si="17"/>
        <v>-1.3139380868342997E-2</v>
      </c>
      <c r="AK106" s="429">
        <f t="shared" si="17"/>
        <v>-1.3078939716348671E-2</v>
      </c>
      <c r="AL106" s="429">
        <f t="shared" si="17"/>
        <v>-1.3018776593653499E-2</v>
      </c>
      <c r="AM106" s="429">
        <f t="shared" si="17"/>
        <v>-1.2958890221322761E-2</v>
      </c>
      <c r="AN106" s="429">
        <f t="shared" si="17"/>
        <v>-1.2899279326304665E-2</v>
      </c>
      <c r="AO106" s="429">
        <f t="shared" si="17"/>
        <v>-1.2839942641403907E-2</v>
      </c>
      <c r="AP106" s="429">
        <f t="shared" si="17"/>
        <v>-1.2780878905253047E-2</v>
      </c>
      <c r="AQ106" s="429">
        <f t="shared" si="17"/>
        <v>-1.2722086862289145E-2</v>
      </c>
      <c r="AR106" s="429">
        <f t="shared" si="17"/>
        <v>-1.26635652627225E-2</v>
      </c>
      <c r="AS106" s="429">
        <f t="shared" si="17"/>
        <v>-1.2605312862514168E-2</v>
      </c>
      <c r="AT106" s="429">
        <f t="shared" si="17"/>
        <v>-1.2547328423346457E-2</v>
      </c>
      <c r="AU106" s="429">
        <f t="shared" si="17"/>
        <v>-1.2489610712599131E-2</v>
      </c>
      <c r="AV106" s="429">
        <f t="shared" si="17"/>
        <v>-1.2432158503321218E-2</v>
      </c>
      <c r="AW106" s="429">
        <f t="shared" si="17"/>
        <v>-1.2374970574205904E-2</v>
      </c>
      <c r="AX106" s="430" t="s">
        <v>95</v>
      </c>
      <c r="AY106" s="30"/>
      <c r="AZ106" s="30"/>
      <c r="BA106" s="30"/>
      <c r="BB106" s="30"/>
    </row>
    <row r="107" spans="2:54" ht="14.5" x14ac:dyDescent="0.35">
      <c r="B107" s="1019"/>
      <c r="C107" s="424">
        <v>0.48314606775000002</v>
      </c>
      <c r="D107" s="1020" t="s">
        <v>101</v>
      </c>
      <c r="E107" s="1021"/>
      <c r="F107" s="425" t="s">
        <v>100</v>
      </c>
      <c r="G107" s="425" t="s">
        <v>95</v>
      </c>
      <c r="H107" s="425" t="s">
        <v>95</v>
      </c>
      <c r="I107" s="425">
        <v>2.3E-3</v>
      </c>
      <c r="J107" s="425" t="s">
        <v>95</v>
      </c>
      <c r="K107" s="425">
        <v>2.3E-3</v>
      </c>
      <c r="L107" s="425" t="s">
        <v>95</v>
      </c>
      <c r="M107" s="425">
        <v>2.3E-3</v>
      </c>
      <c r="N107" s="425" t="s">
        <v>95</v>
      </c>
      <c r="O107" s="425">
        <v>1.1140000000000001E-2</v>
      </c>
      <c r="P107" s="425" t="s">
        <v>95</v>
      </c>
      <c r="Q107" s="425">
        <v>8.6E-3</v>
      </c>
      <c r="R107" s="428"/>
      <c r="S107" s="428"/>
      <c r="T107" s="428"/>
      <c r="U107" s="429">
        <f>(U65-T65)*$C$107</f>
        <v>8.7197043507048657E-6</v>
      </c>
      <c r="V107" s="429">
        <f t="shared" ref="V107:AW107" si="18">(V65-U65)*$C$107</f>
        <v>8.531927147116561E-6</v>
      </c>
      <c r="W107" s="429">
        <f t="shared" si="18"/>
        <v>8.34493134682854E-6</v>
      </c>
      <c r="X107" s="429">
        <f t="shared" si="18"/>
        <v>8.1620956712547174E-6</v>
      </c>
      <c r="Y107" s="429">
        <f t="shared" si="18"/>
        <v>7.975719957243771E-6</v>
      </c>
      <c r="Z107" s="429">
        <f t="shared" si="18"/>
        <v>7.7919067500463658E-6</v>
      </c>
      <c r="AA107" s="429">
        <f t="shared" si="18"/>
        <v>7.6079505936933834E-6</v>
      </c>
      <c r="AB107" s="429">
        <f t="shared" si="18"/>
        <v>7.4282344803008339E-6</v>
      </c>
      <c r="AC107" s="429">
        <f t="shared" si="18"/>
        <v>7.245359877959121E-6</v>
      </c>
      <c r="AD107" s="429">
        <f t="shared" si="18"/>
        <v>7.0637687086951833E-6</v>
      </c>
      <c r="AE107" s="429">
        <f t="shared" si="18"/>
        <v>6.8822744767206568E-6</v>
      </c>
      <c r="AF107" s="429">
        <f t="shared" si="18"/>
        <v>6.7000690285264499E-6</v>
      </c>
      <c r="AG107" s="429">
        <f t="shared" si="18"/>
        <v>6.5199687551553049E-6</v>
      </c>
      <c r="AH107" s="429">
        <f t="shared" si="18"/>
        <v>6.339833201147578E-6</v>
      </c>
      <c r="AI107" s="429">
        <f t="shared" si="18"/>
        <v>6.1615469592227214E-6</v>
      </c>
      <c r="AJ107" s="429">
        <f t="shared" si="18"/>
        <v>5.9824886503930072E-6</v>
      </c>
      <c r="AK107" s="429">
        <f t="shared" si="18"/>
        <v>5.8057495377628122E-6</v>
      </c>
      <c r="AL107" s="429">
        <f t="shared" si="18"/>
        <v>5.6294290219639497E-6</v>
      </c>
      <c r="AM107" s="429">
        <f t="shared" si="18"/>
        <v>5.454591732652502E-6</v>
      </c>
      <c r="AN107" s="429">
        <f t="shared" si="18"/>
        <v>5.2830297996717067E-6</v>
      </c>
      <c r="AO107" s="429">
        <f t="shared" si="18"/>
        <v>5.1134459055880348E-6</v>
      </c>
      <c r="AP107" s="429">
        <f t="shared" si="18"/>
        <v>4.9443594981424234E-6</v>
      </c>
      <c r="AQ107" s="429">
        <f t="shared" si="18"/>
        <v>4.7781601393166156E-6</v>
      </c>
      <c r="AR107" s="429">
        <f t="shared" si="18"/>
        <v>4.6122327370782397E-6</v>
      </c>
      <c r="AS107" s="429">
        <f t="shared" si="18"/>
        <v>4.4487924666807028E-6</v>
      </c>
      <c r="AT107" s="429">
        <f t="shared" si="18"/>
        <v>4.2891787562007197E-6</v>
      </c>
      <c r="AU107" s="429">
        <f t="shared" si="18"/>
        <v>4.1288516663813395E-6</v>
      </c>
      <c r="AV107" s="429">
        <f t="shared" si="18"/>
        <v>3.9724839097604268E-6</v>
      </c>
      <c r="AW107" s="429">
        <f t="shared" si="18"/>
        <v>3.8201816716442333E-6</v>
      </c>
      <c r="AX107" s="430" t="s">
        <v>95</v>
      </c>
      <c r="AY107" s="33"/>
      <c r="AZ107" s="33"/>
      <c r="BA107" s="33"/>
      <c r="BB107" s="33"/>
    </row>
    <row r="108" spans="2:54" ht="14.5" x14ac:dyDescent="0.35">
      <c r="B108" s="1019"/>
      <c r="C108" s="30"/>
      <c r="D108" s="1022" t="s">
        <v>141</v>
      </c>
      <c r="E108" s="1023"/>
      <c r="F108" s="425" t="s">
        <v>100</v>
      </c>
      <c r="G108" s="425"/>
      <c r="H108" s="425"/>
      <c r="I108" s="425"/>
      <c r="J108" s="425"/>
      <c r="K108" s="425"/>
      <c r="L108" s="425"/>
      <c r="M108" s="425"/>
      <c r="N108" s="425"/>
      <c r="O108" s="425"/>
      <c r="P108" s="425"/>
      <c r="Q108" s="425"/>
      <c r="R108" s="428"/>
      <c r="S108" s="428"/>
      <c r="T108" s="428"/>
      <c r="U108" s="429"/>
      <c r="V108" s="429">
        <f t="shared" ref="V108:AW108" si="19">(V67-U67-V149-V159)*$C$108</f>
        <v>0</v>
      </c>
      <c r="W108" s="429">
        <f t="shared" si="19"/>
        <v>0</v>
      </c>
      <c r="X108" s="429">
        <f t="shared" si="19"/>
        <v>0</v>
      </c>
      <c r="Y108" s="429">
        <f t="shared" si="19"/>
        <v>0</v>
      </c>
      <c r="Z108" s="429">
        <f t="shared" si="19"/>
        <v>0</v>
      </c>
      <c r="AA108" s="429">
        <f t="shared" si="19"/>
        <v>0</v>
      </c>
      <c r="AB108" s="429">
        <f t="shared" si="19"/>
        <v>0</v>
      </c>
      <c r="AC108" s="429">
        <f t="shared" si="19"/>
        <v>0</v>
      </c>
      <c r="AD108" s="429">
        <f t="shared" si="19"/>
        <v>0</v>
      </c>
      <c r="AE108" s="429">
        <f t="shared" si="19"/>
        <v>0</v>
      </c>
      <c r="AF108" s="429">
        <f t="shared" si="19"/>
        <v>0</v>
      </c>
      <c r="AG108" s="429">
        <f t="shared" si="19"/>
        <v>0</v>
      </c>
      <c r="AH108" s="429">
        <f t="shared" si="19"/>
        <v>0</v>
      </c>
      <c r="AI108" s="429">
        <f t="shared" si="19"/>
        <v>0</v>
      </c>
      <c r="AJ108" s="429">
        <f t="shared" si="19"/>
        <v>0</v>
      </c>
      <c r="AK108" s="429">
        <f t="shared" si="19"/>
        <v>0</v>
      </c>
      <c r="AL108" s="429">
        <f t="shared" si="19"/>
        <v>0</v>
      </c>
      <c r="AM108" s="429">
        <f t="shared" si="19"/>
        <v>0</v>
      </c>
      <c r="AN108" s="429">
        <f t="shared" si="19"/>
        <v>0</v>
      </c>
      <c r="AO108" s="429">
        <f t="shared" si="19"/>
        <v>0</v>
      </c>
      <c r="AP108" s="429">
        <f t="shared" si="19"/>
        <v>0</v>
      </c>
      <c r="AQ108" s="429">
        <f t="shared" si="19"/>
        <v>0</v>
      </c>
      <c r="AR108" s="429">
        <f t="shared" si="19"/>
        <v>0</v>
      </c>
      <c r="AS108" s="429">
        <f t="shared" si="19"/>
        <v>0</v>
      </c>
      <c r="AT108" s="429">
        <f t="shared" si="19"/>
        <v>0</v>
      </c>
      <c r="AU108" s="429">
        <f t="shared" si="19"/>
        <v>0</v>
      </c>
      <c r="AV108" s="429">
        <f t="shared" si="19"/>
        <v>0</v>
      </c>
      <c r="AW108" s="429">
        <f t="shared" si="19"/>
        <v>0</v>
      </c>
      <c r="AX108" s="430"/>
      <c r="AY108" s="33"/>
      <c r="AZ108" s="33"/>
      <c r="BA108" s="33"/>
      <c r="BB108" s="33"/>
    </row>
    <row r="109" spans="2:54" ht="14.5" x14ac:dyDescent="0.35">
      <c r="B109" s="1019"/>
      <c r="C109" s="424">
        <v>0.58509999999999995</v>
      </c>
      <c r="D109" s="1020" t="s">
        <v>102</v>
      </c>
      <c r="E109" s="1021"/>
      <c r="F109" s="425" t="s">
        <v>100</v>
      </c>
      <c r="G109" s="425" t="s">
        <v>95</v>
      </c>
      <c r="H109" s="425" t="s">
        <v>95</v>
      </c>
      <c r="I109" s="425">
        <v>2.4389999999999998E-2</v>
      </c>
      <c r="J109" s="425" t="s">
        <v>95</v>
      </c>
      <c r="K109" s="425">
        <v>2.4389999999999998E-2</v>
      </c>
      <c r="L109" s="425" t="s">
        <v>95</v>
      </c>
      <c r="M109" s="425">
        <v>2.4389999999999998E-2</v>
      </c>
      <c r="N109" s="425" t="s">
        <v>95</v>
      </c>
      <c r="O109" s="425">
        <v>5.355E-2</v>
      </c>
      <c r="P109" s="425" t="s">
        <v>95</v>
      </c>
      <c r="Q109" s="425">
        <v>1.486E-2</v>
      </c>
      <c r="R109" s="428"/>
      <c r="S109" s="428"/>
      <c r="T109" s="428"/>
      <c r="U109" s="429">
        <f>(U72-T72)*$C$109</f>
        <v>-4.7872774840262473E-4</v>
      </c>
      <c r="V109" s="429">
        <f t="shared" ref="V109:AW109" si="20">(V72-U72)*$C$109</f>
        <v>-4.0876903653509728E-4</v>
      </c>
      <c r="W109" s="429">
        <f t="shared" si="20"/>
        <v>-4.3270905152074213E-4</v>
      </c>
      <c r="X109" s="429">
        <f t="shared" si="20"/>
        <v>-3.2808243459808538E-4</v>
      </c>
      <c r="Y109" s="429">
        <f t="shared" si="20"/>
        <v>-2.7073906890987817E-4</v>
      </c>
      <c r="Z109" s="429">
        <f t="shared" si="20"/>
        <v>-3.5272554676929821E-4</v>
      </c>
      <c r="AA109" s="429">
        <f t="shared" si="20"/>
        <v>-2.9884303780215412E-4</v>
      </c>
      <c r="AB109" s="429">
        <f t="shared" si="20"/>
        <v>-1.7342986859026943E-4</v>
      </c>
      <c r="AC109" s="429">
        <f t="shared" si="20"/>
        <v>-2.0149484711116166E-4</v>
      </c>
      <c r="AD109" s="429">
        <f t="shared" si="20"/>
        <v>-2.9002890869294653E-4</v>
      </c>
      <c r="AE109" s="429">
        <f t="shared" si="20"/>
        <v>-1.8707051033749444E-4</v>
      </c>
      <c r="AF109" s="429">
        <f t="shared" si="20"/>
        <v>-2.3847245995861234E-4</v>
      </c>
      <c r="AG109" s="429">
        <f t="shared" si="20"/>
        <v>-1.6596299984599823E-4</v>
      </c>
      <c r="AH109" s="429">
        <f t="shared" si="20"/>
        <v>-1.7218985533369515E-4</v>
      </c>
      <c r="AI109" s="429">
        <f t="shared" si="20"/>
        <v>-2.0585000822686633E-4</v>
      </c>
      <c r="AJ109" s="429">
        <f t="shared" si="20"/>
        <v>-1.833225681634633E-4</v>
      </c>
      <c r="AK109" s="429">
        <f t="shared" si="20"/>
        <v>-2.0782304514012297E-4</v>
      </c>
      <c r="AL109" s="429">
        <f t="shared" si="20"/>
        <v>-2.5496715216732376E-4</v>
      </c>
      <c r="AM109" s="429">
        <f t="shared" si="20"/>
        <v>-2.3829621275896481E-4</v>
      </c>
      <c r="AN109" s="429">
        <f t="shared" si="20"/>
        <v>-2.6450579293133225E-4</v>
      </c>
      <c r="AO109" s="429">
        <f t="shared" si="20"/>
        <v>-2.7448963468624572E-4</v>
      </c>
      <c r="AP109" s="429">
        <f t="shared" si="20"/>
        <v>-2.3096834823211764E-4</v>
      </c>
      <c r="AQ109" s="429">
        <f t="shared" si="20"/>
        <v>-3.0664368759743483E-4</v>
      </c>
      <c r="AR109" s="429">
        <f t="shared" si="20"/>
        <v>-2.7866315639269915E-4</v>
      </c>
      <c r="AS109" s="429">
        <f t="shared" si="20"/>
        <v>-3.4754641661153234E-4</v>
      </c>
      <c r="AT109" s="429">
        <f t="shared" si="20"/>
        <v>-2.9822548433742715E-4</v>
      </c>
      <c r="AU109" s="429">
        <f t="shared" si="20"/>
        <v>-2.9533326682617514E-4</v>
      </c>
      <c r="AV109" s="429">
        <f t="shared" si="20"/>
        <v>-3.0595126047387006E-4</v>
      </c>
      <c r="AW109" s="429">
        <f t="shared" si="20"/>
        <v>-3.0224542332731036E-4</v>
      </c>
      <c r="AX109" s="430" t="s">
        <v>95</v>
      </c>
      <c r="AY109" s="33"/>
      <c r="AZ109" s="33"/>
      <c r="BA109" s="33"/>
      <c r="BB109" s="33"/>
    </row>
    <row r="110" spans="2:54" ht="14.5" x14ac:dyDescent="0.35">
      <c r="B110" s="1019"/>
      <c r="C110" s="424">
        <v>0.41610000000000003</v>
      </c>
      <c r="D110" s="1020" t="s">
        <v>103</v>
      </c>
      <c r="E110" s="1021"/>
      <c r="F110" s="425" t="s">
        <v>100</v>
      </c>
      <c r="G110" s="425" t="s">
        <v>95</v>
      </c>
      <c r="H110" s="425" t="s">
        <v>95</v>
      </c>
      <c r="I110" s="425">
        <v>8.3199999999999993E-3</v>
      </c>
      <c r="J110" s="425" t="s">
        <v>95</v>
      </c>
      <c r="K110" s="425">
        <v>8.3199999999999993E-3</v>
      </c>
      <c r="L110" s="425" t="s">
        <v>95</v>
      </c>
      <c r="M110" s="425">
        <v>8.3199999999999993E-3</v>
      </c>
      <c r="N110" s="425" t="s">
        <v>95</v>
      </c>
      <c r="O110" s="425">
        <v>1.022E-2</v>
      </c>
      <c r="P110" s="425" t="s">
        <v>95</v>
      </c>
      <c r="Q110" s="425">
        <v>6.7299999999999999E-3</v>
      </c>
      <c r="R110" s="428"/>
      <c r="S110" s="428"/>
      <c r="T110" s="428"/>
      <c r="U110" s="429">
        <f>(U74-T74)*$C$110</f>
        <v>-8.0357743215951947E-5</v>
      </c>
      <c r="V110" s="429">
        <f t="shared" ref="V110:AW110" si="21">(V74-U74)*$C$110</f>
        <v>-1.5188825514632315E-5</v>
      </c>
      <c r="W110" s="429">
        <f t="shared" si="21"/>
        <v>-8.656166571412914E-5</v>
      </c>
      <c r="X110" s="429">
        <f t="shared" si="21"/>
        <v>-3.5422601250853615E-6</v>
      </c>
      <c r="Y110" s="429">
        <f t="shared" si="21"/>
        <v>-7.315700736728528E-5</v>
      </c>
      <c r="Z110" s="429">
        <f t="shared" si="21"/>
        <v>-8.0809399124068646E-6</v>
      </c>
      <c r="AA110" s="429">
        <f t="shared" si="21"/>
        <v>-7.5970870953624725E-5</v>
      </c>
      <c r="AB110" s="429">
        <f t="shared" si="21"/>
        <v>8.2391959141230273E-6</v>
      </c>
      <c r="AC110" s="429">
        <f t="shared" si="21"/>
        <v>-6.1954721389572207E-5</v>
      </c>
      <c r="AD110" s="429">
        <f t="shared" si="21"/>
        <v>-7.8716874552060504E-6</v>
      </c>
      <c r="AE110" s="429">
        <f t="shared" si="21"/>
        <v>-5.5508251535752484E-5</v>
      </c>
      <c r="AF110" s="429">
        <f t="shared" si="21"/>
        <v>-7.4362128644181625E-6</v>
      </c>
      <c r="AG110" s="429">
        <f t="shared" si="21"/>
        <v>-4.8067804282727738E-5</v>
      </c>
      <c r="AH110" s="429">
        <f t="shared" si="21"/>
        <v>-4.4125030017756423E-6</v>
      </c>
      <c r="AI110" s="429">
        <f t="shared" si="21"/>
        <v>-4.7452251046116166E-5</v>
      </c>
      <c r="AJ110" s="429">
        <f t="shared" si="21"/>
        <v>-8.5682651822257045E-6</v>
      </c>
      <c r="AK110" s="429">
        <f t="shared" si="21"/>
        <v>-4.2791832399802865E-5</v>
      </c>
      <c r="AL110" s="429">
        <f t="shared" si="21"/>
        <v>-1.8208336658394676E-5</v>
      </c>
      <c r="AM110" s="429">
        <f t="shared" si="21"/>
        <v>-4.1678455374929574E-5</v>
      </c>
      <c r="AN110" s="429">
        <f t="shared" si="21"/>
        <v>-2.0246100543987164E-5</v>
      </c>
      <c r="AO110" s="429">
        <f t="shared" si="21"/>
        <v>-4.169519285888562E-5</v>
      </c>
      <c r="AP110" s="429">
        <f t="shared" si="21"/>
        <v>-1.715187411974374E-5</v>
      </c>
      <c r="AQ110" s="429">
        <f t="shared" si="21"/>
        <v>-4.1923316315503743E-5</v>
      </c>
      <c r="AR110" s="429">
        <f t="shared" si="21"/>
        <v>-2.2874224201419286E-5</v>
      </c>
      <c r="AS110" s="429">
        <f t="shared" si="21"/>
        <v>-4.3856321052737104E-5</v>
      </c>
      <c r="AT110" s="429">
        <f t="shared" si="21"/>
        <v>-2.5582800312928423E-5</v>
      </c>
      <c r="AU110" s="429">
        <f t="shared" si="21"/>
        <v>-3.6207652916848145E-5</v>
      </c>
      <c r="AV110" s="429">
        <f t="shared" si="21"/>
        <v>-2.7156046600620676E-5</v>
      </c>
      <c r="AW110" s="429">
        <f t="shared" si="21"/>
        <v>-3.5781063374927405E-5</v>
      </c>
      <c r="AX110" s="430" t="s">
        <v>95</v>
      </c>
      <c r="AY110" s="33"/>
      <c r="AZ110" s="33"/>
      <c r="BA110" s="33"/>
      <c r="BB110" s="33"/>
    </row>
    <row r="111" spans="2:54" ht="14.5" x14ac:dyDescent="0.35">
      <c r="B111" s="1019"/>
      <c r="C111" s="30"/>
      <c r="D111" s="1020" t="s">
        <v>80</v>
      </c>
      <c r="E111" s="1021"/>
      <c r="F111" s="425" t="s">
        <v>100</v>
      </c>
      <c r="G111" s="425" t="s">
        <v>95</v>
      </c>
      <c r="H111" s="425" t="s">
        <v>95</v>
      </c>
      <c r="I111" s="425">
        <v>0</v>
      </c>
      <c r="J111" s="425" t="s">
        <v>95</v>
      </c>
      <c r="K111" s="425">
        <v>0</v>
      </c>
      <c r="L111" s="425" t="s">
        <v>95</v>
      </c>
      <c r="M111" s="425">
        <v>0</v>
      </c>
      <c r="N111" s="425" t="s">
        <v>95</v>
      </c>
      <c r="O111" s="425">
        <v>0</v>
      </c>
      <c r="P111" s="425" t="s">
        <v>95</v>
      </c>
      <c r="Q111" s="425">
        <v>0</v>
      </c>
      <c r="R111" s="428"/>
      <c r="S111" s="428"/>
      <c r="T111" s="428"/>
      <c r="U111" s="429"/>
      <c r="V111" s="429">
        <f t="shared" ref="V111:AW111" si="22">(V67-U67)*$C$111</f>
        <v>0</v>
      </c>
      <c r="W111" s="429">
        <f t="shared" si="22"/>
        <v>0</v>
      </c>
      <c r="X111" s="429">
        <f t="shared" si="22"/>
        <v>0</v>
      </c>
      <c r="Y111" s="429">
        <f t="shared" si="22"/>
        <v>0</v>
      </c>
      <c r="Z111" s="429">
        <f t="shared" si="22"/>
        <v>0</v>
      </c>
      <c r="AA111" s="429">
        <f t="shared" si="22"/>
        <v>0</v>
      </c>
      <c r="AB111" s="429">
        <f t="shared" si="22"/>
        <v>0</v>
      </c>
      <c r="AC111" s="429">
        <f t="shared" si="22"/>
        <v>0</v>
      </c>
      <c r="AD111" s="429">
        <f t="shared" si="22"/>
        <v>0</v>
      </c>
      <c r="AE111" s="429">
        <f t="shared" si="22"/>
        <v>0</v>
      </c>
      <c r="AF111" s="429">
        <f t="shared" si="22"/>
        <v>0</v>
      </c>
      <c r="AG111" s="429">
        <f t="shared" si="22"/>
        <v>0</v>
      </c>
      <c r="AH111" s="429">
        <f t="shared" si="22"/>
        <v>0</v>
      </c>
      <c r="AI111" s="429">
        <f t="shared" si="22"/>
        <v>0</v>
      </c>
      <c r="AJ111" s="429">
        <f t="shared" si="22"/>
        <v>0</v>
      </c>
      <c r="AK111" s="429">
        <f t="shared" si="22"/>
        <v>0</v>
      </c>
      <c r="AL111" s="429">
        <f t="shared" si="22"/>
        <v>0</v>
      </c>
      <c r="AM111" s="429">
        <f t="shared" si="22"/>
        <v>0</v>
      </c>
      <c r="AN111" s="429">
        <f t="shared" si="22"/>
        <v>0</v>
      </c>
      <c r="AO111" s="429">
        <f t="shared" si="22"/>
        <v>0</v>
      </c>
      <c r="AP111" s="429">
        <f t="shared" si="22"/>
        <v>0</v>
      </c>
      <c r="AQ111" s="429">
        <f t="shared" si="22"/>
        <v>0</v>
      </c>
      <c r="AR111" s="429">
        <f t="shared" si="22"/>
        <v>0</v>
      </c>
      <c r="AS111" s="429">
        <f t="shared" si="22"/>
        <v>0</v>
      </c>
      <c r="AT111" s="429">
        <f t="shared" si="22"/>
        <v>0</v>
      </c>
      <c r="AU111" s="429">
        <f t="shared" si="22"/>
        <v>0</v>
      </c>
      <c r="AV111" s="429">
        <f t="shared" si="22"/>
        <v>0</v>
      </c>
      <c r="AW111" s="429">
        <f t="shared" si="22"/>
        <v>0</v>
      </c>
      <c r="AX111" s="430" t="s">
        <v>95</v>
      </c>
      <c r="AY111" s="33"/>
      <c r="AZ111" s="33"/>
      <c r="BA111" s="33"/>
      <c r="BB111" s="33"/>
    </row>
    <row r="112" spans="2:54" ht="14.5" x14ac:dyDescent="0.35">
      <c r="B112" s="1019"/>
      <c r="C112" s="424">
        <v>0.1573</v>
      </c>
      <c r="D112" s="1020" t="s">
        <v>57</v>
      </c>
      <c r="E112" s="1021"/>
      <c r="F112" s="425" t="s">
        <v>100</v>
      </c>
      <c r="G112" s="425" t="s">
        <v>95</v>
      </c>
      <c r="H112" s="425" t="s">
        <v>95</v>
      </c>
      <c r="I112" s="425">
        <v>1.2800000000000001E-3</v>
      </c>
      <c r="J112" s="425" t="s">
        <v>95</v>
      </c>
      <c r="K112" s="425">
        <v>1.2800000000000001E-3</v>
      </c>
      <c r="L112" s="425" t="s">
        <v>95</v>
      </c>
      <c r="M112" s="425">
        <v>1.2800000000000001E-3</v>
      </c>
      <c r="N112" s="425" t="s">
        <v>95</v>
      </c>
      <c r="O112" s="425">
        <v>9.2300000000000004E-3</v>
      </c>
      <c r="P112" s="425" t="s">
        <v>95</v>
      </c>
      <c r="Q112" s="425">
        <v>1.5499999999999999E-3</v>
      </c>
      <c r="R112" s="428"/>
      <c r="S112" s="428"/>
      <c r="T112" s="428"/>
      <c r="U112" s="429">
        <f>(U79-T79)*$C$112</f>
        <v>-5.0783997671440827E-5</v>
      </c>
      <c r="V112" s="429">
        <f t="shared" ref="V112:AW112" si="23">(V79-U79)*$C$112</f>
        <v>-5.0631645678426067E-5</v>
      </c>
      <c r="W112" s="429">
        <f t="shared" si="23"/>
        <v>-5.0479750741390219E-5</v>
      </c>
      <c r="X112" s="429">
        <f t="shared" si="23"/>
        <v>-5.0328311489166759E-5</v>
      </c>
      <c r="Y112" s="429">
        <f t="shared" si="23"/>
        <v>-5.0177326554699688E-5</v>
      </c>
      <c r="Z112" s="429">
        <f t="shared" si="23"/>
        <v>-5.0026794575034836E-5</v>
      </c>
      <c r="AA112" s="429">
        <f t="shared" si="23"/>
        <v>-4.98767141913111E-5</v>
      </c>
      <c r="AB112" s="429">
        <f t="shared" si="23"/>
        <v>-4.9727084048736449E-5</v>
      </c>
      <c r="AC112" s="429">
        <f t="shared" si="23"/>
        <v>-4.9577902796590113E-5</v>
      </c>
      <c r="AD112" s="429">
        <f t="shared" si="23"/>
        <v>-4.942916908820072E-5</v>
      </c>
      <c r="AE112" s="429">
        <f t="shared" si="23"/>
        <v>-4.9280881580935432E-5</v>
      </c>
      <c r="AF112" s="429">
        <f t="shared" si="23"/>
        <v>-4.9133038936193339E-5</v>
      </c>
      <c r="AG112" s="429">
        <f t="shared" si="23"/>
        <v>-4.8985639819383678E-5</v>
      </c>
      <c r="AH112" s="429">
        <f t="shared" si="23"/>
        <v>-4.8838682899925799E-5</v>
      </c>
      <c r="AI112" s="429">
        <f t="shared" si="23"/>
        <v>-4.8692166851227368E-5</v>
      </c>
      <c r="AJ112" s="429">
        <f t="shared" si="23"/>
        <v>-4.8546090350673407E-5</v>
      </c>
      <c r="AK112" s="429">
        <f t="shared" si="23"/>
        <v>-4.8400452079619797E-5</v>
      </c>
      <c r="AL112" s="429">
        <f t="shared" si="23"/>
        <v>-4.8255250723382327E-5</v>
      </c>
      <c r="AM112" s="429">
        <f t="shared" si="23"/>
        <v>-4.8110484971212683E-5</v>
      </c>
      <c r="AN112" s="429">
        <f t="shared" si="23"/>
        <v>-4.796615351629847E-5</v>
      </c>
      <c r="AO112" s="429">
        <f t="shared" si="23"/>
        <v>-4.7822255055750097E-5</v>
      </c>
      <c r="AP112" s="429">
        <f t="shared" si="23"/>
        <v>-4.7678788290581133E-5</v>
      </c>
      <c r="AQ112" s="429">
        <f t="shared" si="23"/>
        <v>-4.7535751925710483E-5</v>
      </c>
      <c r="AR112" s="429">
        <f t="shared" si="23"/>
        <v>-4.7393144669934037E-5</v>
      </c>
      <c r="AS112" s="429">
        <f t="shared" si="23"/>
        <v>-4.7250965235922457E-5</v>
      </c>
      <c r="AT112" s="429">
        <f t="shared" si="23"/>
        <v>-4.7109212340214624E-5</v>
      </c>
      <c r="AU112" s="429">
        <f t="shared" si="23"/>
        <v>-4.6967884703195847E-5</v>
      </c>
      <c r="AV112" s="429">
        <f t="shared" si="23"/>
        <v>-4.6826981049084725E-5</v>
      </c>
      <c r="AW112" s="429">
        <f t="shared" si="23"/>
        <v>-4.6686500105937538E-5</v>
      </c>
      <c r="AX112" s="430" t="s">
        <v>95</v>
      </c>
      <c r="AY112" s="33"/>
      <c r="AZ112" s="33"/>
      <c r="BA112" s="33"/>
      <c r="BB112" s="33"/>
    </row>
    <row r="113" spans="2:54" ht="14.5" x14ac:dyDescent="0.35">
      <c r="B113" s="373" t="s">
        <v>95</v>
      </c>
      <c r="C113" s="34"/>
      <c r="D113" s="431" t="s">
        <v>95</v>
      </c>
      <c r="E113" s="432" t="s">
        <v>95</v>
      </c>
      <c r="F113" s="433" t="s">
        <v>24</v>
      </c>
      <c r="G113" s="433" t="s">
        <v>95</v>
      </c>
      <c r="H113" s="433" t="s">
        <v>95</v>
      </c>
      <c r="I113" s="433">
        <v>0.13102</v>
      </c>
      <c r="J113" s="433" t="s">
        <v>95</v>
      </c>
      <c r="K113" s="433">
        <v>0.13102</v>
      </c>
      <c r="L113" s="433" t="s">
        <v>95</v>
      </c>
      <c r="M113" s="433">
        <v>0.13102</v>
      </c>
      <c r="N113" s="433" t="s">
        <v>95</v>
      </c>
      <c r="O113" s="433">
        <v>0.1749</v>
      </c>
      <c r="P113" s="433" t="s">
        <v>95</v>
      </c>
      <c r="Q113" s="433">
        <v>0.10920000000000001</v>
      </c>
      <c r="R113" s="434">
        <v>0.10920000000000001</v>
      </c>
      <c r="S113" s="434">
        <v>0.10920000000000001</v>
      </c>
      <c r="T113" s="434">
        <v>0.10920000000000001</v>
      </c>
      <c r="U113" s="435">
        <f>SUM(U106:U112)</f>
        <v>-1.4681399446605315E-2</v>
      </c>
      <c r="V113" s="435">
        <f t="shared" ref="V113:AW113" si="24">SUM(V106:V112)</f>
        <v>-1.4481538093803438E-2</v>
      </c>
      <c r="W113" s="435">
        <f t="shared" si="24"/>
        <v>-1.4512414839490869E-2</v>
      </c>
      <c r="X113" s="435">
        <f t="shared" si="24"/>
        <v>-1.4260625570609427E-2</v>
      </c>
      <c r="Y113" s="435">
        <f t="shared" si="24"/>
        <v>-1.4209052903506617E-2</v>
      </c>
      <c r="Z113" s="435">
        <f t="shared" si="24"/>
        <v>-1.4162411001123837E-2</v>
      </c>
      <c r="AA113" s="435">
        <f t="shared" si="24"/>
        <v>-1.4113159198687861E-2</v>
      </c>
      <c r="AB113" s="435">
        <f t="shared" si="24"/>
        <v>-1.3840564096558278E-2</v>
      </c>
      <c r="AC113" s="435">
        <f t="shared" si="24"/>
        <v>-1.3876144542691269E-2</v>
      </c>
      <c r="AD113" s="435">
        <f t="shared" si="24"/>
        <v>-1.3848204760615598E-2</v>
      </c>
      <c r="AE113" s="435">
        <f t="shared" si="24"/>
        <v>-1.3730779614750386E-2</v>
      </c>
      <c r="AF113" s="435">
        <f t="shared" si="24"/>
        <v>-1.3672293198173192E-2</v>
      </c>
      <c r="AG113" s="435">
        <f t="shared" si="24"/>
        <v>-1.3578881853480232E-2</v>
      </c>
      <c r="AH113" s="435">
        <f t="shared" si="24"/>
        <v>-1.3480203613581612E-2</v>
      </c>
      <c r="AI113" s="435">
        <f t="shared" si="24"/>
        <v>-1.3495934213646858E-2</v>
      </c>
      <c r="AJ113" s="435">
        <f t="shared" si="24"/>
        <v>-1.3373835303388967E-2</v>
      </c>
      <c r="AK113" s="435">
        <f t="shared" si="24"/>
        <v>-1.3372149296430453E-2</v>
      </c>
      <c r="AL113" s="435">
        <f t="shared" si="24"/>
        <v>-1.3334577904180635E-2</v>
      </c>
      <c r="AM113" s="435">
        <f t="shared" si="24"/>
        <v>-1.3281520782695217E-2</v>
      </c>
      <c r="AN113" s="435">
        <f t="shared" si="24"/>
        <v>-1.3226714343496612E-2</v>
      </c>
      <c r="AO113" s="435">
        <f t="shared" si="24"/>
        <v>-1.3198836278099202E-2</v>
      </c>
      <c r="AP113" s="435">
        <f t="shared" si="24"/>
        <v>-1.3071733556397347E-2</v>
      </c>
      <c r="AQ113" s="435">
        <f t="shared" si="24"/>
        <v>-1.3113411457988477E-2</v>
      </c>
      <c r="AR113" s="435">
        <f t="shared" si="24"/>
        <v>-1.3007883555249473E-2</v>
      </c>
      <c r="AS113" s="435">
        <f t="shared" si="24"/>
        <v>-1.3039517772947679E-2</v>
      </c>
      <c r="AT113" s="435">
        <f t="shared" si="24"/>
        <v>-1.2913956741580827E-2</v>
      </c>
      <c r="AU113" s="435">
        <f t="shared" si="24"/>
        <v>-1.2863990665378971E-2</v>
      </c>
      <c r="AV113" s="435">
        <f t="shared" si="24"/>
        <v>-1.2808120307535035E-2</v>
      </c>
      <c r="AW113" s="435">
        <f t="shared" si="24"/>
        <v>-1.2755863379342435E-2</v>
      </c>
      <c r="AX113" s="436" t="s">
        <v>95</v>
      </c>
      <c r="AY113" s="14"/>
      <c r="AZ113" s="14"/>
      <c r="BA113" s="14"/>
      <c r="BB113" s="14"/>
    </row>
    <row r="114" spans="2:54" ht="14.5" x14ac:dyDescent="0.35">
      <c r="B114" s="373"/>
      <c r="C114" s="34"/>
      <c r="D114" s="431"/>
      <c r="E114" s="432"/>
      <c r="F114" s="437"/>
      <c r="G114" s="437"/>
      <c r="H114" s="437"/>
      <c r="I114" s="437"/>
      <c r="J114" s="437"/>
      <c r="K114" s="437"/>
      <c r="L114" s="437"/>
      <c r="M114" s="437"/>
      <c r="N114" s="437"/>
      <c r="O114" s="437"/>
      <c r="P114" s="437"/>
      <c r="Q114" s="437"/>
      <c r="R114" s="438"/>
      <c r="S114" s="438"/>
      <c r="T114" s="438"/>
      <c r="U114" s="439"/>
      <c r="V114" s="439"/>
      <c r="W114" s="439"/>
      <c r="X114" s="439"/>
      <c r="Y114" s="439"/>
      <c r="Z114" s="439"/>
      <c r="AA114" s="439"/>
      <c r="AB114" s="439"/>
      <c r="AC114" s="439"/>
      <c r="AD114" s="439"/>
      <c r="AE114" s="439"/>
      <c r="AF114" s="439"/>
      <c r="AG114" s="439"/>
      <c r="AH114" s="439"/>
      <c r="AI114" s="439"/>
      <c r="AJ114" s="439"/>
      <c r="AK114" s="439"/>
      <c r="AL114" s="439"/>
      <c r="AM114" s="439"/>
      <c r="AN114" s="439"/>
      <c r="AO114" s="439"/>
      <c r="AP114" s="439"/>
      <c r="AQ114" s="439"/>
      <c r="AR114" s="439"/>
      <c r="AS114" s="439"/>
      <c r="AT114" s="439"/>
      <c r="AU114" s="439"/>
      <c r="AV114" s="439"/>
      <c r="AW114" s="439"/>
      <c r="AX114" s="436"/>
      <c r="AY114" s="14"/>
      <c r="AZ114" s="14"/>
      <c r="BA114" s="14"/>
      <c r="BB114" s="14"/>
    </row>
    <row r="115" spans="2:54" ht="15.5" x14ac:dyDescent="0.35">
      <c r="B115" s="373"/>
      <c r="C115" s="34"/>
      <c r="D115" s="1026" t="s">
        <v>139</v>
      </c>
      <c r="E115" s="1027"/>
      <c r="F115" s="393" t="s">
        <v>142</v>
      </c>
      <c r="G115" s="390"/>
      <c r="H115" s="390"/>
      <c r="I115" s="390"/>
      <c r="J115" s="390"/>
      <c r="K115" s="390"/>
      <c r="L115" s="390"/>
      <c r="M115" s="390"/>
      <c r="N115" s="390"/>
      <c r="O115" s="390"/>
      <c r="P115" s="390"/>
      <c r="Q115" s="428"/>
      <c r="R115" s="428"/>
      <c r="S115" s="438"/>
      <c r="T115" s="438"/>
      <c r="U115" s="439"/>
      <c r="V115" s="439"/>
      <c r="W115" s="439"/>
      <c r="X115" s="439"/>
      <c r="Y115" s="439"/>
      <c r="Z115" s="439"/>
      <c r="AA115" s="439"/>
      <c r="AB115" s="439"/>
      <c r="AC115" s="439"/>
      <c r="AD115" s="439"/>
      <c r="AE115" s="439"/>
      <c r="AF115" s="439"/>
      <c r="AG115" s="439"/>
      <c r="AH115" s="439"/>
      <c r="AI115" s="439"/>
      <c r="AJ115" s="439"/>
      <c r="AK115" s="439"/>
      <c r="AL115" s="439"/>
      <c r="AM115" s="439"/>
      <c r="AN115" s="439"/>
      <c r="AO115" s="439"/>
      <c r="AP115" s="439"/>
      <c r="AQ115" s="439"/>
      <c r="AR115" s="439"/>
      <c r="AS115" s="439"/>
      <c r="AT115" s="439"/>
      <c r="AU115" s="439"/>
      <c r="AV115" s="439"/>
      <c r="AW115" s="439"/>
      <c r="AX115" s="436"/>
      <c r="AY115" s="14"/>
      <c r="AZ115" s="14"/>
      <c r="BA115" s="14"/>
      <c r="BB115" s="14"/>
    </row>
    <row r="116" spans="2:54" ht="14.5" x14ac:dyDescent="0.35">
      <c r="B116" s="373"/>
      <c r="C116" s="424">
        <v>0.74399999999999999</v>
      </c>
      <c r="D116" s="1024" t="s">
        <v>99</v>
      </c>
      <c r="E116" s="1025"/>
      <c r="F116" s="425" t="s">
        <v>143</v>
      </c>
      <c r="G116" s="425" t="s">
        <v>95</v>
      </c>
      <c r="H116" s="425" t="s">
        <v>95</v>
      </c>
      <c r="I116" s="426"/>
      <c r="J116" s="427"/>
      <c r="K116" s="426"/>
      <c r="L116" s="427"/>
      <c r="M116" s="426"/>
      <c r="N116" s="427"/>
      <c r="O116" s="426"/>
      <c r="P116" s="427"/>
      <c r="Q116" s="438"/>
      <c r="R116" s="438"/>
      <c r="S116" s="428"/>
      <c r="T116" s="428"/>
      <c r="U116" s="429">
        <f>(U64-T64)*$C$116</f>
        <v>-4.2240748984998008E-2</v>
      </c>
      <c r="V116" s="429">
        <f t="shared" ref="V116:AW116" si="25">(V64-U64)*$C$116</f>
        <v>-4.2046441539667197E-2</v>
      </c>
      <c r="W116" s="429">
        <f t="shared" si="25"/>
        <v>-4.1853027908584306E-2</v>
      </c>
      <c r="X116" s="429">
        <f t="shared" si="25"/>
        <v>-4.1660503980205037E-2</v>
      </c>
      <c r="Y116" s="429">
        <f t="shared" si="25"/>
        <v>-4.146886566189599E-2</v>
      </c>
      <c r="Z116" s="429">
        <f t="shared" si="25"/>
        <v>-4.1278108879851429E-2</v>
      </c>
      <c r="AA116" s="429">
        <f t="shared" si="25"/>
        <v>-4.1088229579003398E-2</v>
      </c>
      <c r="AB116" s="429">
        <f t="shared" si="25"/>
        <v>-4.0899223722941087E-2</v>
      </c>
      <c r="AC116" s="429">
        <f t="shared" si="25"/>
        <v>-4.0711087293815708E-2</v>
      </c>
      <c r="AD116" s="429">
        <f t="shared" si="25"/>
        <v>-4.0523816292263815E-2</v>
      </c>
      <c r="AE116" s="429">
        <f t="shared" si="25"/>
        <v>-4.0337406737318775E-2</v>
      </c>
      <c r="AF116" s="429">
        <f t="shared" si="25"/>
        <v>-4.015185466632748E-2</v>
      </c>
      <c r="AG116" s="429">
        <f t="shared" si="25"/>
        <v>-3.9967156134861841E-2</v>
      </c>
      <c r="AH116" s="429">
        <f t="shared" si="25"/>
        <v>-3.9783307216642083E-2</v>
      </c>
      <c r="AI116" s="429">
        <f t="shared" si="25"/>
        <v>-3.9600304003445615E-2</v>
      </c>
      <c r="AJ116" s="429">
        <f t="shared" si="25"/>
        <v>-3.9418142605028988E-2</v>
      </c>
      <c r="AK116" s="429">
        <f t="shared" si="25"/>
        <v>-3.9236819149046011E-2</v>
      </c>
      <c r="AL116" s="429">
        <f t="shared" si="25"/>
        <v>-3.9056329780960498E-2</v>
      </c>
      <c r="AM116" s="429">
        <f t="shared" si="25"/>
        <v>-3.8876670663968285E-2</v>
      </c>
      <c r="AN116" s="429">
        <f t="shared" si="25"/>
        <v>-3.8697837978913997E-2</v>
      </c>
      <c r="AO116" s="429">
        <f t="shared" si="25"/>
        <v>-3.8519827924211728E-2</v>
      </c>
      <c r="AP116" s="429">
        <f t="shared" si="25"/>
        <v>-3.8342636715759139E-2</v>
      </c>
      <c r="AQ116" s="429">
        <f t="shared" si="25"/>
        <v>-3.8166260586867437E-2</v>
      </c>
      <c r="AR116" s="429">
        <f t="shared" si="25"/>
        <v>-3.7990695788167501E-2</v>
      </c>
      <c r="AS116" s="429">
        <f t="shared" si="25"/>
        <v>-3.7815938587542501E-2</v>
      </c>
      <c r="AT116" s="429">
        <f t="shared" si="25"/>
        <v>-3.7641985270039369E-2</v>
      </c>
      <c r="AU116" s="429">
        <f t="shared" si="25"/>
        <v>-3.7468832137797392E-2</v>
      </c>
      <c r="AV116" s="429">
        <f t="shared" si="25"/>
        <v>-3.7296475509963657E-2</v>
      </c>
      <c r="AW116" s="429">
        <f t="shared" si="25"/>
        <v>-3.7124911722617712E-2</v>
      </c>
      <c r="AX116" s="436"/>
      <c r="AY116" s="14"/>
      <c r="AZ116" s="14"/>
      <c r="BA116" s="14"/>
      <c r="BB116" s="14"/>
    </row>
    <row r="117" spans="2:54" ht="14.5" x14ac:dyDescent="0.35">
      <c r="B117" s="373"/>
      <c r="C117" s="424">
        <v>0.16104868924999999</v>
      </c>
      <c r="D117" s="1020" t="s">
        <v>101</v>
      </c>
      <c r="E117" s="1021"/>
      <c r="F117" s="425" t="s">
        <v>143</v>
      </c>
      <c r="G117" s="425" t="s">
        <v>95</v>
      </c>
      <c r="H117" s="425" t="s">
        <v>95</v>
      </c>
      <c r="I117" s="425"/>
      <c r="J117" s="425"/>
      <c r="K117" s="425"/>
      <c r="L117" s="425"/>
      <c r="M117" s="425"/>
      <c r="N117" s="425"/>
      <c r="O117" s="425"/>
      <c r="P117" s="425"/>
      <c r="Q117" s="438"/>
      <c r="R117" s="438"/>
      <c r="S117" s="438"/>
      <c r="T117" s="438"/>
      <c r="U117" s="429">
        <f>(U65-T65)*$C$117</f>
        <v>2.9065681169016219E-6</v>
      </c>
      <c r="V117" s="429">
        <f t="shared" ref="V117:AW117" si="26">(V65-U65)*$C$117</f>
        <v>2.8439757157055199E-6</v>
      </c>
      <c r="W117" s="429">
        <f t="shared" si="26"/>
        <v>2.7816437822761797E-6</v>
      </c>
      <c r="X117" s="429">
        <f t="shared" si="26"/>
        <v>2.720698557084906E-6</v>
      </c>
      <c r="Y117" s="429">
        <f t="shared" si="26"/>
        <v>2.6585733190812569E-6</v>
      </c>
      <c r="Z117" s="429">
        <f t="shared" si="26"/>
        <v>2.597302250015455E-6</v>
      </c>
      <c r="AA117" s="429">
        <f t="shared" si="26"/>
        <v>2.5359835312311278E-6</v>
      </c>
      <c r="AB117" s="429">
        <f t="shared" si="26"/>
        <v>2.4760781601002776E-6</v>
      </c>
      <c r="AC117" s="429">
        <f t="shared" si="26"/>
        <v>2.4151199593197067E-6</v>
      </c>
      <c r="AD117" s="429">
        <f t="shared" si="26"/>
        <v>2.3545895695650608E-6</v>
      </c>
      <c r="AE117" s="429">
        <f t="shared" si="26"/>
        <v>2.2940914922402188E-6</v>
      </c>
      <c r="AF117" s="429">
        <f t="shared" si="26"/>
        <v>2.2333563428421497E-6</v>
      </c>
      <c r="AG117" s="429">
        <f t="shared" si="26"/>
        <v>2.1733229183851013E-6</v>
      </c>
      <c r="AH117" s="429">
        <f t="shared" si="26"/>
        <v>2.1132777337158591E-6</v>
      </c>
      <c r="AI117" s="429">
        <f t="shared" si="26"/>
        <v>2.0538489864075734E-6</v>
      </c>
      <c r="AJ117" s="429">
        <f t="shared" si="26"/>
        <v>1.9941628834643355E-6</v>
      </c>
      <c r="AK117" s="429">
        <f t="shared" si="26"/>
        <v>1.9352498459209374E-6</v>
      </c>
      <c r="AL117" s="429">
        <f t="shared" si="26"/>
        <v>1.8764763406546496E-6</v>
      </c>
      <c r="AM117" s="429">
        <f t="shared" si="26"/>
        <v>1.8181972442175005E-6</v>
      </c>
      <c r="AN117" s="429">
        <f t="shared" si="26"/>
        <v>1.761009933223902E-6</v>
      </c>
      <c r="AO117" s="429">
        <f t="shared" si="26"/>
        <v>1.7044819685293449E-6</v>
      </c>
      <c r="AP117" s="429">
        <f t="shared" si="26"/>
        <v>1.648119832714141E-6</v>
      </c>
      <c r="AQ117" s="429">
        <f t="shared" si="26"/>
        <v>1.5927200464388716E-6</v>
      </c>
      <c r="AR117" s="429">
        <f t="shared" si="26"/>
        <v>1.5374109123594129E-6</v>
      </c>
      <c r="AS117" s="429">
        <f t="shared" si="26"/>
        <v>1.4829308222269007E-6</v>
      </c>
      <c r="AT117" s="429">
        <f t="shared" si="26"/>
        <v>1.4297262520669065E-6</v>
      </c>
      <c r="AU117" s="429">
        <f t="shared" si="26"/>
        <v>1.3762838887937798E-6</v>
      </c>
      <c r="AV117" s="429">
        <f t="shared" si="26"/>
        <v>1.3241613032534755E-6</v>
      </c>
      <c r="AW117" s="429">
        <f t="shared" si="26"/>
        <v>1.2733938905480776E-6</v>
      </c>
      <c r="AX117" s="436"/>
      <c r="AY117" s="14"/>
      <c r="AZ117" s="14"/>
      <c r="BA117" s="14"/>
      <c r="BB117" s="14"/>
    </row>
    <row r="118" spans="2:54" ht="14.5" x14ac:dyDescent="0.35">
      <c r="B118" s="373"/>
      <c r="C118" s="30"/>
      <c r="D118" s="1022" t="s">
        <v>106</v>
      </c>
      <c r="E118" s="1023"/>
      <c r="F118" s="425" t="s">
        <v>143</v>
      </c>
      <c r="G118" s="425"/>
      <c r="H118" s="425"/>
      <c r="I118" s="425"/>
      <c r="J118" s="425"/>
      <c r="K118" s="425"/>
      <c r="L118" s="425"/>
      <c r="M118" s="425"/>
      <c r="N118" s="425"/>
      <c r="O118" s="425"/>
      <c r="P118" s="425"/>
      <c r="Q118" s="428"/>
      <c r="R118" s="428"/>
      <c r="S118" s="438"/>
      <c r="T118" s="438"/>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36"/>
      <c r="AY118" s="14"/>
      <c r="AZ118" s="14"/>
      <c r="BA118" s="14"/>
      <c r="BB118" s="14"/>
    </row>
    <row r="119" spans="2:54" ht="14.5" x14ac:dyDescent="0.35">
      <c r="B119" s="373"/>
      <c r="C119" s="424">
        <v>0.19500000000000001</v>
      </c>
      <c r="D119" s="1020" t="s">
        <v>102</v>
      </c>
      <c r="E119" s="1021"/>
      <c r="F119" s="425" t="s">
        <v>143</v>
      </c>
      <c r="G119" s="425" t="s">
        <v>95</v>
      </c>
      <c r="H119" s="425" t="s">
        <v>95</v>
      </c>
      <c r="I119" s="425"/>
      <c r="J119" s="425"/>
      <c r="K119" s="425"/>
      <c r="L119" s="425"/>
      <c r="M119" s="425"/>
      <c r="N119" s="425"/>
      <c r="O119" s="425"/>
      <c r="P119" s="425"/>
      <c r="Q119" s="428"/>
      <c r="R119" s="428"/>
      <c r="S119" s="428"/>
      <c r="T119" s="428"/>
      <c r="U119" s="429">
        <f>(U72-T72)*$C$119</f>
        <v>-1.5954864286192417E-4</v>
      </c>
      <c r="V119" s="429">
        <f t="shared" ref="V119:AW119" si="27">(V72-U72)*$C$119</f>
        <v>-1.3623305780950947E-4</v>
      </c>
      <c r="W119" s="429">
        <f t="shared" si="27"/>
        <v>-1.4421169893444663E-4</v>
      </c>
      <c r="X119" s="429">
        <f t="shared" si="27"/>
        <v>-1.0934212057191362E-4</v>
      </c>
      <c r="Y119" s="429">
        <f t="shared" si="27"/>
        <v>-9.023093221231626E-5</v>
      </c>
      <c r="Z119" s="429">
        <f t="shared" si="27"/>
        <v>-1.1755508736970288E-4</v>
      </c>
      <c r="AA119" s="429">
        <f t="shared" si="27"/>
        <v>-9.9597320751017017E-5</v>
      </c>
      <c r="AB119" s="429">
        <f t="shared" si="27"/>
        <v>-5.7800075841911712E-5</v>
      </c>
      <c r="AC119" s="429">
        <f t="shared" si="27"/>
        <v>-6.7153469811445104E-5</v>
      </c>
      <c r="AD119" s="429">
        <f t="shared" si="27"/>
        <v>-9.6659779858356831E-5</v>
      </c>
      <c r="AE119" s="429">
        <f t="shared" si="27"/>
        <v>-6.2346179312615661E-5</v>
      </c>
      <c r="AF119" s="429">
        <f t="shared" si="27"/>
        <v>-7.9477234134215377E-5</v>
      </c>
      <c r="AG119" s="429">
        <f t="shared" si="27"/>
        <v>-5.5311544983711608E-5</v>
      </c>
      <c r="AH119" s="429">
        <f t="shared" si="27"/>
        <v>-5.7386808733670414E-5</v>
      </c>
      <c r="AI119" s="429">
        <f t="shared" si="27"/>
        <v>-6.8604942068430937E-5</v>
      </c>
      <c r="AJ119" s="429">
        <f t="shared" si="27"/>
        <v>-6.1097078776064517E-5</v>
      </c>
      <c r="AK119" s="429">
        <f t="shared" si="27"/>
        <v>-6.9262508634975191E-5</v>
      </c>
      <c r="AL119" s="429">
        <f t="shared" si="27"/>
        <v>-8.4974525162584416E-5</v>
      </c>
      <c r="AM119" s="429">
        <f t="shared" si="27"/>
        <v>-7.9418495108525282E-5</v>
      </c>
      <c r="AN119" s="429">
        <f t="shared" si="27"/>
        <v>-8.8153528664518542E-5</v>
      </c>
      <c r="AO119" s="429">
        <f t="shared" si="27"/>
        <v>-9.148090713351209E-5</v>
      </c>
      <c r="AP119" s="429">
        <f t="shared" si="27"/>
        <v>-7.6976291070351974E-5</v>
      </c>
      <c r="AQ119" s="429">
        <f t="shared" si="27"/>
        <v>-1.0219709294394086E-4</v>
      </c>
      <c r="AR119" s="429">
        <f t="shared" si="27"/>
        <v>-9.2871843268802496E-5</v>
      </c>
      <c r="AS119" s="429">
        <f t="shared" si="27"/>
        <v>-1.1582900570714205E-4</v>
      </c>
      <c r="AT119" s="429">
        <f t="shared" si="27"/>
        <v>-9.9391504778325595E-5</v>
      </c>
      <c r="AU119" s="429">
        <f t="shared" si="27"/>
        <v>-9.8427597045127609E-5</v>
      </c>
      <c r="AV119" s="429">
        <f t="shared" si="27"/>
        <v>-1.0196632335054634E-4</v>
      </c>
      <c r="AW119" s="429">
        <f t="shared" si="27"/>
        <v>-1.0073125542441553E-4</v>
      </c>
      <c r="AX119" s="436"/>
      <c r="AY119" s="14"/>
      <c r="AZ119" s="14"/>
      <c r="BA119" s="14"/>
      <c r="BB119" s="14"/>
    </row>
    <row r="120" spans="2:54" ht="14.5" x14ac:dyDescent="0.35">
      <c r="B120" s="373"/>
      <c r="C120" s="424">
        <v>0.13869999999999999</v>
      </c>
      <c r="D120" s="1020" t="s">
        <v>103</v>
      </c>
      <c r="E120" s="1021"/>
      <c r="F120" s="425" t="s">
        <v>143</v>
      </c>
      <c r="G120" s="425" t="s">
        <v>95</v>
      </c>
      <c r="H120" s="425" t="s">
        <v>95</v>
      </c>
      <c r="I120" s="425"/>
      <c r="J120" s="425"/>
      <c r="K120" s="425"/>
      <c r="L120" s="425"/>
      <c r="M120" s="425"/>
      <c r="N120" s="425"/>
      <c r="O120" s="425"/>
      <c r="P120" s="425"/>
      <c r="Q120" s="438"/>
      <c r="R120" s="438"/>
      <c r="S120" s="438"/>
      <c r="T120" s="438"/>
      <c r="U120" s="429">
        <f>(U74-T74)*$C$120</f>
        <v>-2.6785914405317312E-5</v>
      </c>
      <c r="V120" s="429">
        <f t="shared" ref="V120:AW120" si="28">(V74-U74)*$C$120</f>
        <v>-5.0629418382107712E-6</v>
      </c>
      <c r="W120" s="429">
        <f t="shared" si="28"/>
        <v>-2.8853888571376377E-5</v>
      </c>
      <c r="X120" s="429">
        <f t="shared" si="28"/>
        <v>-1.1807533750284537E-6</v>
      </c>
      <c r="Y120" s="429">
        <f t="shared" si="28"/>
        <v>-2.4385669122428426E-5</v>
      </c>
      <c r="Z120" s="429">
        <f t="shared" si="28"/>
        <v>-2.6936466374689547E-6</v>
      </c>
      <c r="AA120" s="429">
        <f t="shared" si="28"/>
        <v>-2.5323623651208236E-5</v>
      </c>
      <c r="AB120" s="429">
        <f t="shared" si="28"/>
        <v>2.7463986380410087E-6</v>
      </c>
      <c r="AC120" s="429">
        <f t="shared" si="28"/>
        <v>-2.0651573796524068E-5</v>
      </c>
      <c r="AD120" s="429">
        <f t="shared" si="28"/>
        <v>-2.6238958184020165E-6</v>
      </c>
      <c r="AE120" s="429">
        <f t="shared" si="28"/>
        <v>-1.8502750511917492E-5</v>
      </c>
      <c r="AF120" s="429">
        <f t="shared" si="28"/>
        <v>-2.4787376214727207E-6</v>
      </c>
      <c r="AG120" s="429">
        <f t="shared" si="28"/>
        <v>-1.602260142757591E-5</v>
      </c>
      <c r="AH120" s="429">
        <f t="shared" si="28"/>
        <v>-1.4708343339252138E-6</v>
      </c>
      <c r="AI120" s="429">
        <f t="shared" si="28"/>
        <v>-1.5817417015372054E-5</v>
      </c>
      <c r="AJ120" s="429">
        <f t="shared" si="28"/>
        <v>-2.8560883940752344E-6</v>
      </c>
      <c r="AK120" s="429">
        <f t="shared" si="28"/>
        <v>-1.4263944133267618E-5</v>
      </c>
      <c r="AL120" s="429">
        <f t="shared" si="28"/>
        <v>-6.0694455527982243E-6</v>
      </c>
      <c r="AM120" s="429">
        <f t="shared" si="28"/>
        <v>-1.3892818458309857E-5</v>
      </c>
      <c r="AN120" s="429">
        <f t="shared" si="28"/>
        <v>-6.7487001813290528E-6</v>
      </c>
      <c r="AO120" s="429">
        <f t="shared" si="28"/>
        <v>-1.3898397619628537E-5</v>
      </c>
      <c r="AP120" s="429">
        <f t="shared" si="28"/>
        <v>-5.7172913732479124E-6</v>
      </c>
      <c r="AQ120" s="429">
        <f t="shared" si="28"/>
        <v>-1.3974438771834579E-5</v>
      </c>
      <c r="AR120" s="429">
        <f t="shared" si="28"/>
        <v>-7.6247414004730944E-6</v>
      </c>
      <c r="AS120" s="429">
        <f t="shared" si="28"/>
        <v>-1.4618773684245699E-5</v>
      </c>
      <c r="AT120" s="429">
        <f t="shared" si="28"/>
        <v>-8.5276001043094726E-6</v>
      </c>
      <c r="AU120" s="429">
        <f t="shared" si="28"/>
        <v>-1.2069217638949379E-5</v>
      </c>
      <c r="AV120" s="429">
        <f t="shared" si="28"/>
        <v>-9.0520155335402243E-6</v>
      </c>
      <c r="AW120" s="429">
        <f t="shared" si="28"/>
        <v>-1.19270211249758E-5</v>
      </c>
      <c r="AX120" s="436"/>
      <c r="AY120" s="14"/>
      <c r="AZ120" s="14"/>
      <c r="BA120" s="14"/>
      <c r="BB120" s="14"/>
    </row>
    <row r="121" spans="2:54" ht="14.5" x14ac:dyDescent="0.35">
      <c r="B121" s="373"/>
      <c r="C121" s="30"/>
      <c r="D121" s="1020" t="s">
        <v>80</v>
      </c>
      <c r="E121" s="1021"/>
      <c r="F121" s="425" t="s">
        <v>143</v>
      </c>
      <c r="G121" s="425" t="s">
        <v>95</v>
      </c>
      <c r="H121" s="425" t="s">
        <v>95</v>
      </c>
      <c r="I121" s="425"/>
      <c r="J121" s="425"/>
      <c r="K121" s="425"/>
      <c r="L121" s="425"/>
      <c r="M121" s="425"/>
      <c r="N121" s="425"/>
      <c r="O121" s="425"/>
      <c r="P121" s="425"/>
      <c r="Q121" s="438"/>
      <c r="R121" s="438"/>
      <c r="S121" s="438"/>
      <c r="T121" s="438"/>
      <c r="U121" s="429"/>
      <c r="V121" s="440"/>
      <c r="W121" s="440"/>
      <c r="X121" s="440"/>
      <c r="Y121" s="440"/>
      <c r="Z121" s="440"/>
      <c r="AA121" s="440"/>
      <c r="AB121" s="440"/>
      <c r="AC121" s="440"/>
      <c r="AD121" s="440"/>
      <c r="AE121" s="440"/>
      <c r="AF121" s="440"/>
      <c r="AG121" s="440"/>
      <c r="AH121" s="440"/>
      <c r="AI121" s="440"/>
      <c r="AJ121" s="440"/>
      <c r="AK121" s="440"/>
      <c r="AL121" s="440"/>
      <c r="AM121" s="440"/>
      <c r="AN121" s="440"/>
      <c r="AO121" s="440"/>
      <c r="AP121" s="440"/>
      <c r="AQ121" s="440"/>
      <c r="AR121" s="440"/>
      <c r="AS121" s="440"/>
      <c r="AT121" s="440"/>
      <c r="AU121" s="440"/>
      <c r="AV121" s="440"/>
      <c r="AW121" s="440"/>
      <c r="AX121" s="436"/>
      <c r="AY121" s="14"/>
      <c r="AZ121" s="14"/>
      <c r="BA121" s="14"/>
      <c r="BB121" s="14"/>
    </row>
    <row r="122" spans="2:54" ht="14.5" x14ac:dyDescent="0.35">
      <c r="B122" s="373"/>
      <c r="C122" s="424">
        <v>5.2420000000000001E-2</v>
      </c>
      <c r="D122" s="1020" t="s">
        <v>57</v>
      </c>
      <c r="E122" s="1021"/>
      <c r="F122" s="425" t="s">
        <v>143</v>
      </c>
      <c r="G122" s="425" t="s">
        <v>95</v>
      </c>
      <c r="H122" s="425" t="s">
        <v>95</v>
      </c>
      <c r="I122" s="425"/>
      <c r="J122" s="425"/>
      <c r="K122" s="425"/>
      <c r="L122" s="425"/>
      <c r="M122" s="425"/>
      <c r="N122" s="425"/>
      <c r="O122" s="425"/>
      <c r="P122" s="425"/>
      <c r="Q122" s="428"/>
      <c r="R122" s="428"/>
      <c r="S122" s="438"/>
      <c r="T122" s="438"/>
      <c r="U122" s="429">
        <f>(U79-T79)*$C$122</f>
        <v>-1.6923694583197257E-5</v>
      </c>
      <c r="V122" s="429">
        <f t="shared" ref="V122:AW122" si="29">(V79-U79)*$C$122</f>
        <v>-1.6872923499447518E-5</v>
      </c>
      <c r="W122" s="429">
        <f t="shared" si="29"/>
        <v>-1.6822304728948986E-5</v>
      </c>
      <c r="X122" s="429">
        <f t="shared" si="29"/>
        <v>-1.6771837814762376E-5</v>
      </c>
      <c r="Y122" s="429">
        <f t="shared" si="29"/>
        <v>-1.6721522301318231E-5</v>
      </c>
      <c r="Z122" s="429">
        <f t="shared" si="29"/>
        <v>-1.6671357734414025E-5</v>
      </c>
      <c r="AA122" s="429">
        <f t="shared" si="29"/>
        <v>-1.6621343661211239E-5</v>
      </c>
      <c r="AB122" s="429">
        <f t="shared" si="29"/>
        <v>-1.6571479630227368E-5</v>
      </c>
      <c r="AC122" s="429">
        <f t="shared" si="29"/>
        <v>-1.6521765191336641E-5</v>
      </c>
      <c r="AD122" s="429">
        <f t="shared" si="29"/>
        <v>-1.6472199895762758E-5</v>
      </c>
      <c r="AE122" s="429">
        <f t="shared" si="29"/>
        <v>-1.6422783296075242E-5</v>
      </c>
      <c r="AF122" s="429">
        <f t="shared" si="29"/>
        <v>-1.6373514946187254E-5</v>
      </c>
      <c r="AG122" s="429">
        <f t="shared" si="29"/>
        <v>-1.632439440134833E-5</v>
      </c>
      <c r="AH122" s="429">
        <f t="shared" si="29"/>
        <v>-1.6275421218144378E-5</v>
      </c>
      <c r="AI122" s="429">
        <f t="shared" si="29"/>
        <v>-1.6226594954490391E-5</v>
      </c>
      <c r="AJ122" s="429">
        <f t="shared" si="29"/>
        <v>-1.6177915169626829E-5</v>
      </c>
      <c r="AK122" s="429">
        <f t="shared" si="29"/>
        <v>-1.612938142411742E-5</v>
      </c>
      <c r="AL122" s="429">
        <f t="shared" si="29"/>
        <v>-1.6080993279845528E-5</v>
      </c>
      <c r="AM122" s="429">
        <f t="shared" si="29"/>
        <v>-1.6032750300006161E-5</v>
      </c>
      <c r="AN122" s="429">
        <f t="shared" si="29"/>
        <v>-1.5984652049105951E-5</v>
      </c>
      <c r="AO122" s="429">
        <f t="shared" si="29"/>
        <v>-1.5936698092958807E-5</v>
      </c>
      <c r="AP122" s="429">
        <f t="shared" si="29"/>
        <v>-1.5888887998679357E-5</v>
      </c>
      <c r="AQ122" s="429">
        <f t="shared" si="29"/>
        <v>-1.5841221334683687E-5</v>
      </c>
      <c r="AR122" s="429">
        <f t="shared" si="29"/>
        <v>-1.5793697670679864E-5</v>
      </c>
      <c r="AS122" s="429">
        <f t="shared" si="29"/>
        <v>-1.574631657766723E-5</v>
      </c>
      <c r="AT122" s="429">
        <f t="shared" si="29"/>
        <v>-1.5699077627934205E-5</v>
      </c>
      <c r="AU122" s="429">
        <f t="shared" si="29"/>
        <v>-1.5651980395051027E-5</v>
      </c>
      <c r="AV122" s="429">
        <f t="shared" si="29"/>
        <v>-1.5605024453865362E-5</v>
      </c>
      <c r="AW122" s="429">
        <f t="shared" si="29"/>
        <v>-1.5558209380503789E-5</v>
      </c>
      <c r="AX122" s="436"/>
      <c r="AY122" s="14"/>
      <c r="AZ122" s="14"/>
      <c r="BA122" s="14"/>
      <c r="BB122" s="14"/>
    </row>
    <row r="123" spans="2:54" ht="14.5" x14ac:dyDescent="0.35">
      <c r="B123" s="373"/>
      <c r="C123" s="34"/>
      <c r="D123" s="431" t="s">
        <v>95</v>
      </c>
      <c r="E123" s="432" t="s">
        <v>95</v>
      </c>
      <c r="F123" s="433" t="s">
        <v>24</v>
      </c>
      <c r="G123" s="433" t="s">
        <v>95</v>
      </c>
      <c r="H123" s="433" t="s">
        <v>95</v>
      </c>
      <c r="I123" s="433">
        <v>0.13102</v>
      </c>
      <c r="J123" s="433" t="s">
        <v>95</v>
      </c>
      <c r="K123" s="433">
        <v>0.13102</v>
      </c>
      <c r="L123" s="433" t="s">
        <v>95</v>
      </c>
      <c r="M123" s="433">
        <v>0.13102</v>
      </c>
      <c r="N123" s="433" t="s">
        <v>95</v>
      </c>
      <c r="O123" s="433">
        <v>0.1749</v>
      </c>
      <c r="P123" s="433" t="s">
        <v>95</v>
      </c>
      <c r="Q123" s="433">
        <v>0.10920000000000001</v>
      </c>
      <c r="R123" s="441">
        <f>SUM(U116:U122)</f>
        <v>-4.2441100668731545E-2</v>
      </c>
      <c r="S123" s="441">
        <f t="shared" ref="S123:AV123" si="30">SUM(S116:S122)</f>
        <v>0</v>
      </c>
      <c r="T123" s="441">
        <f t="shared" si="30"/>
        <v>0</v>
      </c>
      <c r="U123" s="442">
        <f>SUM(U116:U122)</f>
        <v>-4.2441100668731545E-2</v>
      </c>
      <c r="V123" s="442">
        <f t="shared" si="30"/>
        <v>-4.2201766487098655E-2</v>
      </c>
      <c r="W123" s="442">
        <f t="shared" si="30"/>
        <v>-4.20401341570368E-2</v>
      </c>
      <c r="X123" s="442">
        <f t="shared" si="30"/>
        <v>-4.178507799340965E-2</v>
      </c>
      <c r="Y123" s="442">
        <f t="shared" si="30"/>
        <v>-4.1597545212212969E-2</v>
      </c>
      <c r="Z123" s="442">
        <f t="shared" si="30"/>
        <v>-4.1412431669342997E-2</v>
      </c>
      <c r="AA123" s="442">
        <f t="shared" si="30"/>
        <v>-4.12272358835356E-2</v>
      </c>
      <c r="AB123" s="442">
        <f t="shared" si="30"/>
        <v>-4.0968372801615083E-2</v>
      </c>
      <c r="AC123" s="442">
        <f t="shared" si="30"/>
        <v>-4.0812998982655696E-2</v>
      </c>
      <c r="AD123" s="442">
        <f t="shared" si="30"/>
        <v>-4.0637217578266771E-2</v>
      </c>
      <c r="AE123" s="442">
        <f t="shared" si="30"/>
        <v>-4.0432384358947152E-2</v>
      </c>
      <c r="AF123" s="442">
        <f t="shared" si="30"/>
        <v>-4.0247950796686513E-2</v>
      </c>
      <c r="AG123" s="442">
        <f t="shared" si="30"/>
        <v>-4.0052641352756095E-2</v>
      </c>
      <c r="AH123" s="442">
        <f t="shared" si="30"/>
        <v>-3.9856327003194109E-2</v>
      </c>
      <c r="AI123" s="442">
        <f t="shared" si="30"/>
        <v>-3.9698899108497498E-2</v>
      </c>
      <c r="AJ123" s="442">
        <f t="shared" si="30"/>
        <v>-3.9496279524485291E-2</v>
      </c>
      <c r="AK123" s="442">
        <f t="shared" si="30"/>
        <v>-3.9334539733392446E-2</v>
      </c>
      <c r="AL123" s="442">
        <f t="shared" si="30"/>
        <v>-3.9161578268615077E-2</v>
      </c>
      <c r="AM123" s="442">
        <f t="shared" si="30"/>
        <v>-3.8984196530590917E-2</v>
      </c>
      <c r="AN123" s="442">
        <f t="shared" si="30"/>
        <v>-3.8806963849875725E-2</v>
      </c>
      <c r="AO123" s="442">
        <f t="shared" si="30"/>
        <v>-3.8639439445089296E-2</v>
      </c>
      <c r="AP123" s="442">
        <f t="shared" si="30"/>
        <v>-3.8439571066368708E-2</v>
      </c>
      <c r="AQ123" s="442">
        <f t="shared" si="30"/>
        <v>-3.8296680619871452E-2</v>
      </c>
      <c r="AR123" s="442">
        <f t="shared" si="30"/>
        <v>-3.8105448659595094E-2</v>
      </c>
      <c r="AS123" s="442">
        <f t="shared" si="30"/>
        <v>-3.796064975268932E-2</v>
      </c>
      <c r="AT123" s="442">
        <f t="shared" si="30"/>
        <v>-3.7764173726297867E-2</v>
      </c>
      <c r="AU123" s="442">
        <f t="shared" si="30"/>
        <v>-3.7593604648987727E-2</v>
      </c>
      <c r="AV123" s="442">
        <f t="shared" si="30"/>
        <v>-3.7421774711998361E-2</v>
      </c>
      <c r="AW123" s="442">
        <f>SUM(AW116:AW122)</f>
        <v>-3.7251854814657065E-2</v>
      </c>
      <c r="AX123" s="436"/>
      <c r="AY123" s="14"/>
      <c r="AZ123" s="14"/>
      <c r="BA123" s="14"/>
      <c r="BB123" s="14"/>
    </row>
    <row r="124" spans="2:54" ht="14.5" x14ac:dyDescent="0.35">
      <c r="B124" s="373"/>
      <c r="C124" s="34"/>
      <c r="D124" s="431"/>
      <c r="E124" s="432"/>
      <c r="F124" s="437"/>
      <c r="G124" s="437"/>
      <c r="H124" s="437"/>
      <c r="I124" s="437"/>
      <c r="J124" s="437"/>
      <c r="K124" s="437"/>
      <c r="L124" s="437"/>
      <c r="M124" s="437"/>
      <c r="N124" s="437"/>
      <c r="O124" s="437"/>
      <c r="P124" s="437"/>
      <c r="Q124" s="437"/>
      <c r="R124" s="438"/>
      <c r="S124" s="438"/>
      <c r="T124" s="438"/>
      <c r="U124" s="438"/>
      <c r="V124" s="438"/>
      <c r="W124" s="438"/>
      <c r="X124" s="438"/>
      <c r="Y124" s="438"/>
      <c r="Z124" s="438"/>
      <c r="AA124" s="438"/>
      <c r="AB124" s="438"/>
      <c r="AC124" s="438"/>
      <c r="AD124" s="438"/>
      <c r="AE124" s="438"/>
      <c r="AF124" s="438"/>
      <c r="AG124" s="438"/>
      <c r="AH124" s="438"/>
      <c r="AI124" s="438"/>
      <c r="AJ124" s="438"/>
      <c r="AK124" s="438"/>
      <c r="AL124" s="438"/>
      <c r="AM124" s="438"/>
      <c r="AN124" s="438"/>
      <c r="AO124" s="438"/>
      <c r="AP124" s="438"/>
      <c r="AQ124" s="438"/>
      <c r="AR124" s="438"/>
      <c r="AS124" s="438"/>
      <c r="AT124" s="438"/>
      <c r="AU124" s="438"/>
      <c r="AV124" s="438"/>
      <c r="AW124" s="438"/>
      <c r="AX124" s="436"/>
      <c r="AY124" s="14"/>
      <c r="AZ124" s="14"/>
      <c r="BA124" s="14"/>
      <c r="BB124" s="14"/>
    </row>
    <row r="125" spans="2:54" ht="15.5" x14ac:dyDescent="0.35">
      <c r="B125" s="949"/>
      <c r="C125" s="30"/>
      <c r="D125" s="388"/>
      <c r="E125" s="362" t="s">
        <v>144</v>
      </c>
      <c r="F125" s="393" t="s">
        <v>104</v>
      </c>
      <c r="G125" s="390"/>
      <c r="H125" s="390"/>
      <c r="I125" s="390"/>
      <c r="J125" s="390"/>
      <c r="K125" s="390"/>
      <c r="L125" s="390"/>
      <c r="M125" s="390"/>
      <c r="N125" s="390"/>
      <c r="O125" s="390"/>
      <c r="P125" s="390"/>
      <c r="Q125" s="390"/>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391"/>
    </row>
    <row r="126" spans="2:54" ht="14.5" x14ac:dyDescent="0.35">
      <c r="B126" s="949"/>
      <c r="C126" s="30"/>
      <c r="D126" s="1026" t="s">
        <v>139</v>
      </c>
      <c r="E126" s="1027"/>
      <c r="F126" s="437"/>
      <c r="G126" s="390"/>
      <c r="H126" s="390"/>
      <c r="I126" s="390"/>
      <c r="J126" s="390"/>
      <c r="K126" s="390"/>
      <c r="L126" s="390"/>
      <c r="M126" s="390"/>
      <c r="N126" s="390"/>
      <c r="O126" s="390"/>
      <c r="P126" s="390"/>
      <c r="Q126" s="390"/>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391"/>
    </row>
    <row r="127" spans="2:54" ht="14.5" x14ac:dyDescent="0.35">
      <c r="B127" s="1019" t="s">
        <v>140</v>
      </c>
      <c r="C127" s="30"/>
      <c r="D127" s="1024" t="s">
        <v>99</v>
      </c>
      <c r="E127" s="1025"/>
      <c r="F127" s="425" t="s">
        <v>105</v>
      </c>
      <c r="G127" s="425" t="s">
        <v>95</v>
      </c>
      <c r="H127" s="425" t="s">
        <v>95</v>
      </c>
      <c r="I127" s="425">
        <v>0</v>
      </c>
      <c r="J127" s="425" t="s">
        <v>95</v>
      </c>
      <c r="K127" s="425">
        <v>0</v>
      </c>
      <c r="L127" s="425" t="s">
        <v>95</v>
      </c>
      <c r="M127" s="425">
        <v>0</v>
      </c>
      <c r="N127" s="425" t="s">
        <v>95</v>
      </c>
      <c r="O127" s="425">
        <v>0</v>
      </c>
      <c r="P127" s="425" t="s">
        <v>95</v>
      </c>
      <c r="Q127" s="426">
        <v>1.8E-3</v>
      </c>
      <c r="R127" s="444"/>
      <c r="S127" s="444"/>
      <c r="T127" s="444"/>
      <c r="U127" s="444"/>
      <c r="V127" s="444"/>
      <c r="W127" s="444"/>
      <c r="X127" s="444"/>
      <c r="Y127" s="444"/>
      <c r="Z127" s="444"/>
      <c r="AA127" s="444"/>
      <c r="AB127" s="444"/>
      <c r="AC127" s="444"/>
      <c r="AD127" s="444"/>
      <c r="AE127" s="444"/>
      <c r="AF127" s="444"/>
      <c r="AG127" s="444"/>
      <c r="AH127" s="444"/>
      <c r="AI127" s="444"/>
      <c r="AJ127" s="444"/>
      <c r="AK127" s="444"/>
      <c r="AL127" s="444"/>
      <c r="AM127" s="444"/>
      <c r="AN127" s="444"/>
      <c r="AO127" s="444"/>
      <c r="AP127" s="444"/>
      <c r="AQ127" s="444"/>
      <c r="AR127" s="444"/>
      <c r="AS127" s="444"/>
      <c r="AT127" s="444"/>
      <c r="AU127" s="444"/>
      <c r="AV127" s="444"/>
      <c r="AW127" s="444"/>
      <c r="AX127" s="430" t="s">
        <v>95</v>
      </c>
      <c r="AY127" s="30"/>
      <c r="AZ127" s="30"/>
      <c r="BA127" s="30"/>
      <c r="BB127" s="30"/>
    </row>
    <row r="128" spans="2:54" ht="14.5" x14ac:dyDescent="0.35">
      <c r="B128" s="1019"/>
      <c r="C128" s="445">
        <v>0.33</v>
      </c>
      <c r="D128" s="1020" t="s">
        <v>101</v>
      </c>
      <c r="E128" s="1021"/>
      <c r="F128" s="425" t="s">
        <v>105</v>
      </c>
      <c r="G128" s="425" t="s">
        <v>95</v>
      </c>
      <c r="H128" s="425" t="s">
        <v>95</v>
      </c>
      <c r="I128" s="425">
        <v>1.6299999999999999E-3</v>
      </c>
      <c r="J128" s="425" t="s">
        <v>95</v>
      </c>
      <c r="K128" s="425">
        <v>1.6299999999999999E-3</v>
      </c>
      <c r="L128" s="425" t="s">
        <v>95</v>
      </c>
      <c r="M128" s="425">
        <v>1.6299999999999999E-3</v>
      </c>
      <c r="N128" s="425" t="s">
        <v>95</v>
      </c>
      <c r="O128" s="425">
        <v>1.1E-4</v>
      </c>
      <c r="P128" s="425" t="s">
        <v>95</v>
      </c>
      <c r="Q128" s="425">
        <v>4.3699999999999998E-3</v>
      </c>
      <c r="R128" s="444"/>
      <c r="S128" s="444"/>
      <c r="T128" s="444"/>
      <c r="U128" s="446">
        <f>(U65-T65)*$C$128</f>
        <v>5.9557608512329774E-6</v>
      </c>
      <c r="V128" s="446">
        <f t="shared" ref="V128:AW128" si="31">(V65-U65)*$C$128</f>
        <v>5.8275046543591892E-6</v>
      </c>
      <c r="W128" s="446">
        <f t="shared" si="31"/>
        <v>5.6997821741112959E-6</v>
      </c>
      <c r="X128" s="446">
        <f t="shared" si="31"/>
        <v>5.5749011557883198E-6</v>
      </c>
      <c r="Y128" s="446">
        <f t="shared" si="31"/>
        <v>5.4476022088879867E-6</v>
      </c>
      <c r="Z128" s="446">
        <f t="shared" si="31"/>
        <v>5.3220535137332718E-6</v>
      </c>
      <c r="AA128" s="446">
        <f t="shared" si="31"/>
        <v>5.1964071809809668E-6</v>
      </c>
      <c r="AB128" s="446">
        <f t="shared" si="31"/>
        <v>5.0736568961742835E-6</v>
      </c>
      <c r="AC128" s="446">
        <f t="shared" si="31"/>
        <v>4.9487492899635831E-6</v>
      </c>
      <c r="AD128" s="446">
        <f t="shared" si="31"/>
        <v>4.824718298391678E-6</v>
      </c>
      <c r="AE128" s="446">
        <f t="shared" si="31"/>
        <v>4.700753517242751E-6</v>
      </c>
      <c r="AF128" s="446">
        <f t="shared" si="31"/>
        <v>4.5763029588762052E-6</v>
      </c>
      <c r="AG128" s="446">
        <f t="shared" si="31"/>
        <v>4.4532902838703702E-6</v>
      </c>
      <c r="AH128" s="446">
        <f t="shared" si="31"/>
        <v>4.3302535113692863E-6</v>
      </c>
      <c r="AI128" s="446">
        <f t="shared" si="31"/>
        <v>4.2084798620271868E-6</v>
      </c>
      <c r="AJ128" s="446">
        <f t="shared" si="31"/>
        <v>4.0861788730343911E-6</v>
      </c>
      <c r="AK128" s="446">
        <f t="shared" si="31"/>
        <v>3.9654619489795657E-6</v>
      </c>
      <c r="AL128" s="446">
        <f t="shared" si="31"/>
        <v>3.845030936295152E-6</v>
      </c>
      <c r="AM128" s="446">
        <f t="shared" si="31"/>
        <v>3.7256130017945813E-6</v>
      </c>
      <c r="AN128" s="446">
        <f t="shared" si="31"/>
        <v>3.608432211837376E-6</v>
      </c>
      <c r="AO128" s="446">
        <f t="shared" si="31"/>
        <v>3.4926024684468762E-6</v>
      </c>
      <c r="AP128" s="446">
        <f t="shared" si="31"/>
        <v>3.3771125199993926E-6</v>
      </c>
      <c r="AQ128" s="446">
        <f t="shared" si="31"/>
        <v>3.2635944928985363E-6</v>
      </c>
      <c r="AR128" s="446">
        <f t="shared" si="31"/>
        <v>3.1502622184713392E-6</v>
      </c>
      <c r="AS128" s="446">
        <f t="shared" si="31"/>
        <v>3.0386287129305356E-6</v>
      </c>
      <c r="AT128" s="446">
        <f t="shared" si="31"/>
        <v>2.9296088368013785E-6</v>
      </c>
      <c r="AU128" s="446">
        <f t="shared" si="31"/>
        <v>2.8201017059935333E-6</v>
      </c>
      <c r="AV128" s="446">
        <f t="shared" si="31"/>
        <v>2.7132988918358858E-6</v>
      </c>
      <c r="AW128" s="446">
        <f t="shared" si="31"/>
        <v>2.6092729213619826E-6</v>
      </c>
      <c r="AX128" s="430" t="s">
        <v>95</v>
      </c>
      <c r="AY128" s="33"/>
      <c r="AZ128" s="33"/>
      <c r="BA128" s="33"/>
      <c r="BB128" s="33"/>
    </row>
    <row r="129" spans="2:54" ht="14.5" x14ac:dyDescent="0.35">
      <c r="B129" s="1019"/>
      <c r="C129" s="424">
        <v>0.32944000000000001</v>
      </c>
      <c r="D129" s="1020" t="s">
        <v>106</v>
      </c>
      <c r="E129" s="1021"/>
      <c r="F129" s="425" t="s">
        <v>105</v>
      </c>
      <c r="G129" s="425" t="s">
        <v>95</v>
      </c>
      <c r="H129" s="425" t="s">
        <v>95</v>
      </c>
      <c r="I129" s="425">
        <v>6.6530000000000006E-2</v>
      </c>
      <c r="J129" s="425" t="s">
        <v>95</v>
      </c>
      <c r="K129" s="425">
        <v>6.6530000000000006E-2</v>
      </c>
      <c r="L129" s="425" t="s">
        <v>95</v>
      </c>
      <c r="M129" s="425">
        <v>6.6530000000000006E-2</v>
      </c>
      <c r="N129" s="425" t="s">
        <v>95</v>
      </c>
      <c r="O129" s="425">
        <v>2.1950000000000001E-2</v>
      </c>
      <c r="P129" s="425" t="s">
        <v>95</v>
      </c>
      <c r="Q129" s="425">
        <v>1.6049999999999998E-2</v>
      </c>
      <c r="R129" s="444"/>
      <c r="S129" s="444"/>
      <c r="T129" s="444"/>
      <c r="U129" s="446">
        <f>(U67-T67)*$C$129</f>
        <v>-1.5510258172975284E-2</v>
      </c>
      <c r="V129" s="446">
        <f t="shared" ref="V129:AW129" si="32">(V67-U67)*$C$129</f>
        <v>-1.200260734813862E-3</v>
      </c>
      <c r="W129" s="446">
        <f t="shared" si="32"/>
        <v>1.8509666040347476E-2</v>
      </c>
      <c r="X129" s="446">
        <f t="shared" si="32"/>
        <v>8.5402307912972673E-4</v>
      </c>
      <c r="Y129" s="446">
        <f t="shared" si="32"/>
        <v>2.025350659234515E-2</v>
      </c>
      <c r="Z129" s="446">
        <f t="shared" si="32"/>
        <v>9.6527104647708434E-3</v>
      </c>
      <c r="AA129" s="446">
        <f t="shared" si="32"/>
        <v>9.2961112523175116E-3</v>
      </c>
      <c r="AB129" s="446">
        <f t="shared" si="32"/>
        <v>8.4202469562699219E-3</v>
      </c>
      <c r="AC129" s="446">
        <f t="shared" si="32"/>
        <v>9.4084987104453496E-3</v>
      </c>
      <c r="AD129" s="446">
        <f t="shared" si="32"/>
        <v>-8.8577681632902425E-4</v>
      </c>
      <c r="AE129" s="446">
        <f t="shared" si="32"/>
        <v>7.7453275002662796E-3</v>
      </c>
      <c r="AF129" s="446">
        <f t="shared" si="32"/>
        <v>8.8466719321039257E-3</v>
      </c>
      <c r="AG129" s="446">
        <f t="shared" si="32"/>
        <v>7.1344160987854227E-3</v>
      </c>
      <c r="AH129" s="446">
        <f t="shared" si="32"/>
        <v>6.9638161082637325E-3</v>
      </c>
      <c r="AI129" s="446">
        <f t="shared" si="32"/>
        <v>4.4458670424836364E-3</v>
      </c>
      <c r="AJ129" s="446">
        <f t="shared" si="32"/>
        <v>3.8376430617203501E-3</v>
      </c>
      <c r="AK129" s="446">
        <f t="shared" si="32"/>
        <v>3.3930647950824737E-3</v>
      </c>
      <c r="AL129" s="446">
        <f t="shared" si="32"/>
        <v>4.7237420539278348E-3</v>
      </c>
      <c r="AM129" s="446">
        <f t="shared" si="32"/>
        <v>4.3551185043589433E-3</v>
      </c>
      <c r="AN129" s="446">
        <f t="shared" si="32"/>
        <v>4.1327474794378627E-3</v>
      </c>
      <c r="AO129" s="446">
        <f t="shared" si="32"/>
        <v>3.9899814147616392E-3</v>
      </c>
      <c r="AP129" s="446">
        <f t="shared" si="32"/>
        <v>3.4459574600932555E-3</v>
      </c>
      <c r="AQ129" s="446">
        <f t="shared" si="32"/>
        <v>3.8523367022752523E-3</v>
      </c>
      <c r="AR129" s="446">
        <f t="shared" si="32"/>
        <v>3.5300054779046175E-3</v>
      </c>
      <c r="AS129" s="446">
        <f t="shared" si="32"/>
        <v>4.0426571605254443E-3</v>
      </c>
      <c r="AT129" s="446">
        <f t="shared" si="32"/>
        <v>3.5221743371499727E-3</v>
      </c>
      <c r="AU129" s="446">
        <f t="shared" si="32"/>
        <v>3.3966946228993593E-3</v>
      </c>
      <c r="AV129" s="446">
        <f t="shared" si="32"/>
        <v>3.3869161839216295E-3</v>
      </c>
      <c r="AW129" s="446">
        <f t="shared" si="32"/>
        <v>3.3256802698094778E-3</v>
      </c>
      <c r="AX129" s="430" t="s">
        <v>95</v>
      </c>
      <c r="AY129" s="33"/>
      <c r="AZ129" s="33"/>
      <c r="BA129" s="33"/>
      <c r="BB129" s="33"/>
    </row>
    <row r="130" spans="2:54" ht="14.5" x14ac:dyDescent="0.35">
      <c r="B130" s="1019"/>
      <c r="C130" s="424">
        <v>0.32944000000000001</v>
      </c>
      <c r="D130" s="1022" t="s">
        <v>141</v>
      </c>
      <c r="E130" s="1023"/>
      <c r="F130" s="425" t="s">
        <v>105</v>
      </c>
      <c r="G130" s="425"/>
      <c r="H130" s="425"/>
      <c r="I130" s="425"/>
      <c r="J130" s="425"/>
      <c r="K130" s="425"/>
      <c r="L130" s="425"/>
      <c r="M130" s="425"/>
      <c r="N130" s="425"/>
      <c r="O130" s="425"/>
      <c r="P130" s="425"/>
      <c r="Q130" s="425"/>
      <c r="R130" s="444"/>
      <c r="S130" s="444"/>
      <c r="T130" s="444"/>
      <c r="U130" s="446">
        <f>(U70-T70)*$C$131</f>
        <v>6.0923070861663899E-3</v>
      </c>
      <c r="V130" s="446">
        <f t="shared" ref="V130:AW130" si="33">(V70-U70)*$C$131</f>
        <v>3.5198882716934643E-3</v>
      </c>
      <c r="W130" s="446">
        <f t="shared" si="33"/>
        <v>1.7268429159587484E-5</v>
      </c>
      <c r="X130" s="446">
        <f t="shared" si="33"/>
        <v>3.1153506836089115E-3</v>
      </c>
      <c r="Y130" s="446">
        <f t="shared" si="33"/>
        <v>-3.4032661775965957E-4</v>
      </c>
      <c r="Z130" s="446">
        <f t="shared" si="33"/>
        <v>1.526365138067627E-3</v>
      </c>
      <c r="AA130" s="446">
        <f t="shared" si="33"/>
        <v>1.5791526775331128E-3</v>
      </c>
      <c r="AB130" s="446">
        <f t="shared" si="33"/>
        <v>1.6957130826675151E-3</v>
      </c>
      <c r="AC130" s="446">
        <f t="shared" si="33"/>
        <v>1.5183994732181052E-3</v>
      </c>
      <c r="AD130" s="446">
        <f t="shared" si="33"/>
        <v>3.3332489420189477E-3</v>
      </c>
      <c r="AE130" s="446">
        <f t="shared" si="33"/>
        <v>1.7826810256305807E-3</v>
      </c>
      <c r="AF130" s="446">
        <f t="shared" si="33"/>
        <v>1.5712736945346962E-3</v>
      </c>
      <c r="AG130" s="446">
        <f t="shared" si="33"/>
        <v>1.859668532769188E-3</v>
      </c>
      <c r="AH130" s="446">
        <f t="shared" si="33"/>
        <v>1.8704195801804444E-3</v>
      </c>
      <c r="AI130" s="446">
        <f t="shared" si="33"/>
        <v>2.3130187348149767E-3</v>
      </c>
      <c r="AJ130" s="446">
        <f t="shared" si="33"/>
        <v>2.3994561542738427E-3</v>
      </c>
      <c r="AK130" s="446">
        <f t="shared" si="33"/>
        <v>2.4718996378570355E-3</v>
      </c>
      <c r="AL130" s="446">
        <f t="shared" si="33"/>
        <v>2.2231908371986189E-3</v>
      </c>
      <c r="AM130" s="446">
        <f t="shared" si="33"/>
        <v>2.2767022815789332E-3</v>
      </c>
      <c r="AN130" s="446">
        <f t="shared" si="33"/>
        <v>2.302296778349101E-3</v>
      </c>
      <c r="AO130" s="446">
        <f t="shared" si="33"/>
        <v>2.3182544878392478E-3</v>
      </c>
      <c r="AP130" s="446">
        <f t="shared" si="33"/>
        <v>2.3937207881885689E-3</v>
      </c>
      <c r="AQ130" s="446">
        <f t="shared" si="33"/>
        <v>2.3193549331540723E-3</v>
      </c>
      <c r="AR130" s="446">
        <f t="shared" si="33"/>
        <v>2.3579278984456934E-3</v>
      </c>
      <c r="AS130" s="446">
        <f t="shared" si="33"/>
        <v>2.2636078323671803E-3</v>
      </c>
      <c r="AT130" s="446">
        <f t="shared" si="33"/>
        <v>2.3354715542924114E-3</v>
      </c>
      <c r="AU130" s="446">
        <f t="shared" si="33"/>
        <v>2.345956057978544E-3</v>
      </c>
      <c r="AV130" s="446">
        <f t="shared" si="33"/>
        <v>2.3345372074850632E-3</v>
      </c>
      <c r="AW130" s="446">
        <f t="shared" si="33"/>
        <v>2.3333726868005888E-3</v>
      </c>
      <c r="AX130" s="430"/>
      <c r="AY130" s="33"/>
      <c r="AZ130" s="33"/>
      <c r="BA130" s="33"/>
      <c r="BB130" s="33"/>
    </row>
    <row r="131" spans="2:54" ht="14.5" x14ac:dyDescent="0.35">
      <c r="B131" s="1019"/>
      <c r="C131" s="424">
        <v>5.8500000000000003E-2</v>
      </c>
      <c r="D131" s="1020" t="s">
        <v>103</v>
      </c>
      <c r="E131" s="1021"/>
      <c r="F131" s="425" t="s">
        <v>105</v>
      </c>
      <c r="G131" s="425" t="s">
        <v>95</v>
      </c>
      <c r="H131" s="425" t="s">
        <v>95</v>
      </c>
      <c r="I131" s="425">
        <v>1.0000000000000001E-5</v>
      </c>
      <c r="J131" s="425" t="s">
        <v>95</v>
      </c>
      <c r="K131" s="425">
        <v>1.0000000000000001E-5</v>
      </c>
      <c r="L131" s="425" t="s">
        <v>95</v>
      </c>
      <c r="M131" s="425">
        <v>1.0000000000000001E-5</v>
      </c>
      <c r="N131" s="425" t="s">
        <v>95</v>
      </c>
      <c r="O131" s="425">
        <v>2.7399999999999998E-3</v>
      </c>
      <c r="P131" s="425" t="s">
        <v>95</v>
      </c>
      <c r="Q131" s="425">
        <v>7.1000000000000002E-4</v>
      </c>
      <c r="R131" s="444"/>
      <c r="S131" s="444"/>
      <c r="T131" s="444"/>
      <c r="U131" s="446">
        <f>(U74-T74)*$C$131</f>
        <v>-1.1297591872466206E-5</v>
      </c>
      <c r="V131" s="446">
        <f t="shared" ref="V131:AW131" si="34">(V74-U74)*$C$131</f>
        <v>-2.1354152670175208E-6</v>
      </c>
      <c r="W131" s="446">
        <f t="shared" si="34"/>
        <v>-1.2169808806240218E-5</v>
      </c>
      <c r="X131" s="446">
        <f t="shared" si="34"/>
        <v>-4.9801061599974442E-7</v>
      </c>
      <c r="Y131" s="446">
        <f t="shared" si="34"/>
        <v>-1.0285231749546237E-5</v>
      </c>
      <c r="Z131" s="446">
        <f t="shared" si="34"/>
        <v>-1.1361090720398981E-6</v>
      </c>
      <c r="AA131" s="446">
        <f t="shared" si="34"/>
        <v>-1.0680836219146951E-5</v>
      </c>
      <c r="AB131" s="446">
        <f t="shared" si="34"/>
        <v>1.1583584738673325E-6</v>
      </c>
      <c r="AC131" s="446">
        <f t="shared" si="34"/>
        <v>-8.7102888759672547E-6</v>
      </c>
      <c r="AD131" s="446">
        <f t="shared" si="34"/>
        <v>-1.1066900171342321E-6</v>
      </c>
      <c r="AE131" s="446">
        <f t="shared" si="34"/>
        <v>-7.8039719174273491E-6</v>
      </c>
      <c r="AF131" s="446">
        <f t="shared" si="34"/>
        <v>-1.0454661200876293E-6</v>
      </c>
      <c r="AG131" s="446">
        <f t="shared" si="34"/>
        <v>-6.7579104795471584E-6</v>
      </c>
      <c r="AH131" s="446">
        <f t="shared" si="34"/>
        <v>-6.203591098386807E-7</v>
      </c>
      <c r="AI131" s="446">
        <f t="shared" si="34"/>
        <v>-6.6713691088627627E-6</v>
      </c>
      <c r="AJ131" s="446">
        <f t="shared" si="34"/>
        <v>-1.2046227184816239E-6</v>
      </c>
      <c r="AK131" s="446">
        <f t="shared" si="34"/>
        <v>-6.0161552400588014E-6</v>
      </c>
      <c r="AL131" s="446">
        <f t="shared" si="34"/>
        <v>-2.5599319743236928E-6</v>
      </c>
      <c r="AM131" s="446">
        <f t="shared" si="34"/>
        <v>-5.8596242235841868E-6</v>
      </c>
      <c r="AN131" s="446">
        <f t="shared" si="34"/>
        <v>-2.8464236525432562E-6</v>
      </c>
      <c r="AO131" s="446">
        <f t="shared" si="34"/>
        <v>-5.8619773666061251E-6</v>
      </c>
      <c r="AP131" s="446">
        <f t="shared" si="34"/>
        <v>-2.4114026339942532E-6</v>
      </c>
      <c r="AQ131" s="446">
        <f t="shared" si="34"/>
        <v>-5.8940495180412616E-6</v>
      </c>
      <c r="AR131" s="446">
        <f t="shared" si="34"/>
        <v>-3.2159147219010532E-6</v>
      </c>
      <c r="AS131" s="446">
        <f t="shared" si="34"/>
        <v>-6.1658129814590739E-6</v>
      </c>
      <c r="AT131" s="446">
        <f t="shared" si="34"/>
        <v>-3.5967166986453083E-6</v>
      </c>
      <c r="AU131" s="446">
        <f t="shared" si="34"/>
        <v>-5.0904775189512533E-6</v>
      </c>
      <c r="AV131" s="446">
        <f t="shared" si="34"/>
        <v>-3.8179012884794748E-6</v>
      </c>
      <c r="AW131" s="446">
        <f t="shared" si="34"/>
        <v>-5.0305027816228142E-6</v>
      </c>
      <c r="AX131" s="430" t="s">
        <v>95</v>
      </c>
      <c r="AY131" s="33"/>
      <c r="AZ131" s="33"/>
      <c r="BA131" s="33"/>
      <c r="BB131" s="33"/>
    </row>
    <row r="132" spans="2:54" ht="14.5" x14ac:dyDescent="0.35">
      <c r="B132" s="1019"/>
      <c r="C132" s="424">
        <v>0.44640000000000002</v>
      </c>
      <c r="D132" s="1020" t="s">
        <v>57</v>
      </c>
      <c r="E132" s="1021"/>
      <c r="F132" s="425" t="s">
        <v>105</v>
      </c>
      <c r="G132" s="425" t="s">
        <v>95</v>
      </c>
      <c r="H132" s="425" t="s">
        <v>95</v>
      </c>
      <c r="I132" s="425">
        <v>3.6900000000000001E-3</v>
      </c>
      <c r="J132" s="425" t="s">
        <v>95</v>
      </c>
      <c r="K132" s="425">
        <v>3.6900000000000001E-3</v>
      </c>
      <c r="L132" s="425" t="s">
        <v>95</v>
      </c>
      <c r="M132" s="425">
        <v>3.6900000000000001E-3</v>
      </c>
      <c r="N132" s="425" t="s">
        <v>95</v>
      </c>
      <c r="O132" s="425">
        <v>4.4400000000000004E-3</v>
      </c>
      <c r="P132" s="425" t="s">
        <v>95</v>
      </c>
      <c r="Q132" s="425">
        <v>3.3E-3</v>
      </c>
      <c r="R132" s="444"/>
      <c r="S132" s="444"/>
      <c r="T132" s="444"/>
      <c r="U132" s="446">
        <f>(U79-T79)*$C$132</f>
        <v>-1.4411936783554475E-4</v>
      </c>
      <c r="V132" s="446">
        <f t="shared" ref="V132:AW132" si="35">(V79-U79)*$C$132</f>
        <v>-1.4368700973203685E-4</v>
      </c>
      <c r="W132" s="446">
        <f t="shared" si="35"/>
        <v>-1.4325594870283914E-4</v>
      </c>
      <c r="X132" s="446">
        <f t="shared" si="35"/>
        <v>-1.4282618085673262E-4</v>
      </c>
      <c r="Y132" s="446">
        <f t="shared" si="35"/>
        <v>-1.4239770231416364E-4</v>
      </c>
      <c r="Z132" s="446">
        <f t="shared" si="35"/>
        <v>-1.41970509207219E-4</v>
      </c>
      <c r="AA132" s="446">
        <f t="shared" si="35"/>
        <v>-1.4154459767960124E-4</v>
      </c>
      <c r="AB132" s="446">
        <f t="shared" si="35"/>
        <v>-1.411199638865604E-4</v>
      </c>
      <c r="AC132" s="446">
        <f t="shared" si="35"/>
        <v>-1.4069660399490037E-4</v>
      </c>
      <c r="AD132" s="446">
        <f t="shared" si="35"/>
        <v>-1.4027451418291675E-4</v>
      </c>
      <c r="AE132" s="446">
        <f t="shared" si="35"/>
        <v>-1.3985369064036605E-4</v>
      </c>
      <c r="AF132" s="446">
        <f t="shared" si="35"/>
        <v>-1.3943412956844698E-4</v>
      </c>
      <c r="AG132" s="446">
        <f t="shared" si="35"/>
        <v>-1.3901582717973856E-4</v>
      </c>
      <c r="AH132" s="446">
        <f t="shared" si="35"/>
        <v>-1.3859877969820013E-4</v>
      </c>
      <c r="AI132" s="446">
        <f t="shared" si="35"/>
        <v>-1.3818298335910932E-4</v>
      </c>
      <c r="AJ132" s="446">
        <f t="shared" si="35"/>
        <v>-1.3776843440903121E-4</v>
      </c>
      <c r="AK132" s="446">
        <f t="shared" si="35"/>
        <v>-1.3735512910579962E-4</v>
      </c>
      <c r="AL132" s="446">
        <f t="shared" si="35"/>
        <v>-1.3694306371848616E-4</v>
      </c>
      <c r="AM132" s="446">
        <f t="shared" si="35"/>
        <v>-1.3653223452733212E-4</v>
      </c>
      <c r="AN132" s="446">
        <f t="shared" si="35"/>
        <v>-1.3612263782374851E-4</v>
      </c>
      <c r="AO132" s="446">
        <f t="shared" si="35"/>
        <v>-1.3571426991027875E-4</v>
      </c>
      <c r="AP132" s="446">
        <f t="shared" si="35"/>
        <v>-1.3530712710054302E-4</v>
      </c>
      <c r="AQ132" s="446">
        <f t="shared" si="35"/>
        <v>-1.3490120571924452E-4</v>
      </c>
      <c r="AR132" s="446">
        <f t="shared" si="35"/>
        <v>-1.3449650210208873E-4</v>
      </c>
      <c r="AS132" s="446">
        <f t="shared" si="35"/>
        <v>-1.340930125957774E-4</v>
      </c>
      <c r="AT132" s="446">
        <f t="shared" si="35"/>
        <v>-1.3369073355798988E-4</v>
      </c>
      <c r="AU132" s="446">
        <f t="shared" si="35"/>
        <v>-1.3328966135732121E-4</v>
      </c>
      <c r="AV132" s="446">
        <f t="shared" si="35"/>
        <v>-1.3288979237324489E-4</v>
      </c>
      <c r="AW132" s="446">
        <f t="shared" si="35"/>
        <v>-1.3249112299612537E-4</v>
      </c>
      <c r="AX132" s="430" t="s">
        <v>95</v>
      </c>
      <c r="AY132" s="33"/>
      <c r="AZ132" s="33"/>
      <c r="BA132" s="33"/>
      <c r="BB132" s="33"/>
    </row>
    <row r="133" spans="2:54" ht="14.5" x14ac:dyDescent="0.35">
      <c r="B133" s="373" t="s">
        <v>95</v>
      </c>
      <c r="C133" s="30"/>
      <c r="D133" s="431" t="s">
        <v>95</v>
      </c>
      <c r="E133" s="432" t="s">
        <v>95</v>
      </c>
      <c r="F133" s="433" t="s">
        <v>24</v>
      </c>
      <c r="G133" s="433" t="s">
        <v>95</v>
      </c>
      <c r="H133" s="433" t="s">
        <v>95</v>
      </c>
      <c r="I133" s="433">
        <v>7.1859999999999993E-2</v>
      </c>
      <c r="J133" s="433" t="s">
        <v>95</v>
      </c>
      <c r="K133" s="433">
        <v>7.1859999999999993E-2</v>
      </c>
      <c r="L133" s="433" t="s">
        <v>95</v>
      </c>
      <c r="M133" s="433">
        <v>7.1859999999999993E-2</v>
      </c>
      <c r="N133" s="433" t="s">
        <v>95</v>
      </c>
      <c r="O133" s="433">
        <v>2.9239999999999999E-2</v>
      </c>
      <c r="P133" s="433" t="s">
        <v>95</v>
      </c>
      <c r="Q133" s="433">
        <v>2.623E-2</v>
      </c>
      <c r="R133" s="447">
        <f>SUM(R127:R132)</f>
        <v>0</v>
      </c>
      <c r="S133" s="447">
        <f t="shared" ref="S133:AW133" si="36">SUM(S127:S132)</f>
        <v>0</v>
      </c>
      <c r="T133" s="447">
        <f t="shared" si="36"/>
        <v>0</v>
      </c>
      <c r="U133" s="435">
        <f>SUM(U128:U132)</f>
        <v>-9.5674122856656725E-3</v>
      </c>
      <c r="V133" s="435">
        <f t="shared" si="36"/>
        <v>2.1796326165349073E-3</v>
      </c>
      <c r="W133" s="435">
        <f t="shared" si="36"/>
        <v>1.8377208494172095E-2</v>
      </c>
      <c r="X133" s="435">
        <f t="shared" si="36"/>
        <v>3.8316244724216934E-3</v>
      </c>
      <c r="Y133" s="435">
        <f t="shared" si="36"/>
        <v>1.9765944642730668E-2</v>
      </c>
      <c r="Z133" s="435">
        <f t="shared" si="36"/>
        <v>1.1041291038072944E-2</v>
      </c>
      <c r="AA133" s="435">
        <f t="shared" si="36"/>
        <v>1.0728234903132858E-2</v>
      </c>
      <c r="AB133" s="435">
        <f t="shared" si="36"/>
        <v>9.9810720904209178E-3</v>
      </c>
      <c r="AC133" s="435">
        <f t="shared" si="36"/>
        <v>1.0782440040082551E-2</v>
      </c>
      <c r="AD133" s="435">
        <f t="shared" si="36"/>
        <v>2.3109156397882638E-3</v>
      </c>
      <c r="AE133" s="435">
        <f t="shared" si="36"/>
        <v>9.3850516168563092E-3</v>
      </c>
      <c r="AF133" s="435">
        <f t="shared" si="36"/>
        <v>1.0282042333908965E-2</v>
      </c>
      <c r="AG133" s="435">
        <f t="shared" si="36"/>
        <v>8.8527641841791953E-3</v>
      </c>
      <c r="AH133" s="435">
        <f t="shared" si="36"/>
        <v>8.699346803147507E-3</v>
      </c>
      <c r="AI133" s="435">
        <f t="shared" si="36"/>
        <v>6.6182399046926686E-3</v>
      </c>
      <c r="AJ133" s="435">
        <f t="shared" si="36"/>
        <v>6.1022123377397148E-3</v>
      </c>
      <c r="AK133" s="435">
        <f t="shared" si="36"/>
        <v>5.7255586105426299E-3</v>
      </c>
      <c r="AL133" s="435">
        <f t="shared" si="36"/>
        <v>6.8112749263699399E-3</v>
      </c>
      <c r="AM133" s="435">
        <f t="shared" si="36"/>
        <v>6.493154540188755E-3</v>
      </c>
      <c r="AN133" s="435">
        <f t="shared" si="36"/>
        <v>6.2996836285225087E-3</v>
      </c>
      <c r="AO133" s="435">
        <f t="shared" si="36"/>
        <v>6.1701522577924488E-3</v>
      </c>
      <c r="AP133" s="435">
        <f t="shared" si="36"/>
        <v>5.7053368310672863E-3</v>
      </c>
      <c r="AQ133" s="435">
        <f t="shared" si="36"/>
        <v>6.0341599746849377E-3</v>
      </c>
      <c r="AR133" s="435">
        <f t="shared" si="36"/>
        <v>5.7533712217447928E-3</v>
      </c>
      <c r="AS133" s="435">
        <f t="shared" si="36"/>
        <v>6.1690447960283182E-3</v>
      </c>
      <c r="AT133" s="435">
        <f t="shared" si="36"/>
        <v>5.7232880500225503E-3</v>
      </c>
      <c r="AU133" s="435">
        <f t="shared" si="36"/>
        <v>5.607090643707624E-3</v>
      </c>
      <c r="AV133" s="435">
        <f t="shared" si="36"/>
        <v>5.5874589966368043E-3</v>
      </c>
      <c r="AW133" s="435">
        <f t="shared" si="36"/>
        <v>5.5241406037536793E-3</v>
      </c>
      <c r="AX133" s="436" t="s">
        <v>95</v>
      </c>
      <c r="AY133" s="14"/>
      <c r="AZ133" s="14"/>
      <c r="BA133" s="14"/>
      <c r="BB133" s="14"/>
    </row>
    <row r="134" spans="2:54" ht="14.5" x14ac:dyDescent="0.35">
      <c r="B134" s="373" t="s">
        <v>95</v>
      </c>
      <c r="C134" s="34"/>
      <c r="D134" s="431" t="s">
        <v>95</v>
      </c>
      <c r="E134" s="432" t="s">
        <v>95</v>
      </c>
      <c r="F134" s="437" t="s">
        <v>95</v>
      </c>
      <c r="G134" s="437" t="s">
        <v>95</v>
      </c>
      <c r="H134" s="437" t="s">
        <v>95</v>
      </c>
      <c r="I134" s="437" t="s">
        <v>95</v>
      </c>
      <c r="J134" s="437" t="s">
        <v>95</v>
      </c>
      <c r="K134" s="437" t="s">
        <v>95</v>
      </c>
      <c r="L134" s="437" t="s">
        <v>95</v>
      </c>
      <c r="M134" s="437" t="s">
        <v>95</v>
      </c>
      <c r="N134" s="437" t="s">
        <v>95</v>
      </c>
      <c r="O134" s="437" t="s">
        <v>95</v>
      </c>
      <c r="P134" s="437" t="s">
        <v>95</v>
      </c>
      <c r="Q134" s="437" t="s">
        <v>95</v>
      </c>
      <c r="R134" s="438" t="s">
        <v>95</v>
      </c>
      <c r="S134" s="438" t="s">
        <v>95</v>
      </c>
      <c r="T134" s="438" t="s">
        <v>95</v>
      </c>
      <c r="U134" s="438" t="s">
        <v>95</v>
      </c>
      <c r="V134" s="438" t="s">
        <v>95</v>
      </c>
      <c r="W134" s="438" t="s">
        <v>95</v>
      </c>
      <c r="X134" s="438" t="s">
        <v>95</v>
      </c>
      <c r="Y134" s="438" t="s">
        <v>95</v>
      </c>
      <c r="Z134" s="438" t="s">
        <v>95</v>
      </c>
      <c r="AA134" s="438" t="s">
        <v>95</v>
      </c>
      <c r="AB134" s="438" t="s">
        <v>95</v>
      </c>
      <c r="AC134" s="438" t="s">
        <v>95</v>
      </c>
      <c r="AD134" s="438" t="s">
        <v>95</v>
      </c>
      <c r="AE134" s="438" t="s">
        <v>95</v>
      </c>
      <c r="AF134" s="438" t="s">
        <v>95</v>
      </c>
      <c r="AG134" s="438" t="s">
        <v>95</v>
      </c>
      <c r="AH134" s="438" t="s">
        <v>95</v>
      </c>
      <c r="AI134" s="438" t="s">
        <v>95</v>
      </c>
      <c r="AJ134" s="438" t="s">
        <v>95</v>
      </c>
      <c r="AK134" s="438" t="s">
        <v>95</v>
      </c>
      <c r="AL134" s="438" t="s">
        <v>95</v>
      </c>
      <c r="AM134" s="438" t="s">
        <v>95</v>
      </c>
      <c r="AN134" s="438" t="s">
        <v>95</v>
      </c>
      <c r="AO134" s="438" t="s">
        <v>95</v>
      </c>
      <c r="AP134" s="438" t="s">
        <v>95</v>
      </c>
      <c r="AQ134" s="438" t="s">
        <v>95</v>
      </c>
      <c r="AR134" s="438" t="s">
        <v>95</v>
      </c>
      <c r="AS134" s="438" t="s">
        <v>95</v>
      </c>
      <c r="AT134" s="438" t="s">
        <v>95</v>
      </c>
      <c r="AU134" s="438" t="s">
        <v>95</v>
      </c>
      <c r="AV134" s="438" t="s">
        <v>95</v>
      </c>
      <c r="AW134" s="438" t="s">
        <v>95</v>
      </c>
      <c r="AX134" s="436" t="s">
        <v>95</v>
      </c>
      <c r="AY134" s="14"/>
      <c r="AZ134" s="14"/>
      <c r="BA134" s="14"/>
      <c r="BB134" s="14"/>
    </row>
    <row r="135" spans="2:54" ht="15.5" x14ac:dyDescent="0.3">
      <c r="B135" s="949"/>
      <c r="C135" s="13"/>
      <c r="D135" s="388"/>
      <c r="E135" s="362" t="s">
        <v>145</v>
      </c>
      <c r="F135" s="393" t="s">
        <v>107</v>
      </c>
      <c r="G135" s="390"/>
      <c r="H135" s="390"/>
      <c r="I135" s="390"/>
      <c r="J135" s="390"/>
      <c r="K135" s="390"/>
      <c r="L135" s="390"/>
      <c r="M135" s="390"/>
      <c r="N135" s="390"/>
      <c r="O135" s="390"/>
      <c r="P135" s="390"/>
      <c r="Q135" s="390"/>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391"/>
    </row>
    <row r="136" spans="2:54" ht="14.5" x14ac:dyDescent="0.35">
      <c r="B136" s="372" t="s">
        <v>95</v>
      </c>
      <c r="C136" s="30"/>
      <c r="D136" s="1026" t="s">
        <v>139</v>
      </c>
      <c r="E136" s="1027"/>
      <c r="F136" s="437"/>
      <c r="G136" s="425" t="s">
        <v>95</v>
      </c>
      <c r="H136" s="425" t="s">
        <v>95</v>
      </c>
      <c r="I136" s="425" t="s">
        <v>95</v>
      </c>
      <c r="J136" s="425" t="s">
        <v>95</v>
      </c>
      <c r="K136" s="425" t="s">
        <v>95</v>
      </c>
      <c r="L136" s="425" t="s">
        <v>95</v>
      </c>
      <c r="M136" s="425" t="s">
        <v>95</v>
      </c>
      <c r="N136" s="425" t="s">
        <v>95</v>
      </c>
      <c r="O136" s="425" t="s">
        <v>95</v>
      </c>
      <c r="P136" s="425" t="s">
        <v>95</v>
      </c>
      <c r="Q136" s="425" t="s">
        <v>95</v>
      </c>
      <c r="R136" s="448" t="s">
        <v>95</v>
      </c>
      <c r="S136" s="448" t="s">
        <v>95</v>
      </c>
      <c r="T136" s="448" t="s">
        <v>95</v>
      </c>
      <c r="U136" s="448" t="s">
        <v>95</v>
      </c>
      <c r="V136" s="448" t="s">
        <v>95</v>
      </c>
      <c r="W136" s="448" t="s">
        <v>95</v>
      </c>
      <c r="X136" s="448" t="s">
        <v>95</v>
      </c>
      <c r="Y136" s="448" t="s">
        <v>95</v>
      </c>
      <c r="Z136" s="448" t="s">
        <v>95</v>
      </c>
      <c r="AA136" s="448" t="s">
        <v>95</v>
      </c>
      <c r="AB136" s="448" t="s">
        <v>95</v>
      </c>
      <c r="AC136" s="448" t="s">
        <v>95</v>
      </c>
      <c r="AD136" s="448" t="s">
        <v>95</v>
      </c>
      <c r="AE136" s="448" t="s">
        <v>95</v>
      </c>
      <c r="AF136" s="448" t="s">
        <v>95</v>
      </c>
      <c r="AG136" s="448" t="s">
        <v>95</v>
      </c>
      <c r="AH136" s="448" t="s">
        <v>95</v>
      </c>
      <c r="AI136" s="448" t="s">
        <v>95</v>
      </c>
      <c r="AJ136" s="448" t="s">
        <v>95</v>
      </c>
      <c r="AK136" s="448" t="s">
        <v>95</v>
      </c>
      <c r="AL136" s="448" t="s">
        <v>95</v>
      </c>
      <c r="AM136" s="448" t="s">
        <v>95</v>
      </c>
      <c r="AN136" s="448" t="s">
        <v>95</v>
      </c>
      <c r="AO136" s="448" t="s">
        <v>95</v>
      </c>
      <c r="AP136" s="448" t="s">
        <v>95</v>
      </c>
      <c r="AQ136" s="448" t="s">
        <v>95</v>
      </c>
      <c r="AR136" s="448" t="s">
        <v>95</v>
      </c>
      <c r="AS136" s="448" t="s">
        <v>95</v>
      </c>
      <c r="AT136" s="448" t="s">
        <v>95</v>
      </c>
      <c r="AU136" s="448" t="s">
        <v>95</v>
      </c>
      <c r="AV136" s="448" t="s">
        <v>95</v>
      </c>
      <c r="AW136" s="448" t="s">
        <v>95</v>
      </c>
      <c r="AX136" s="430" t="s">
        <v>95</v>
      </c>
      <c r="AY136" s="33"/>
      <c r="AZ136" s="33"/>
      <c r="BA136" s="33"/>
      <c r="BB136" s="33"/>
    </row>
    <row r="137" spans="2:54" ht="14.5" x14ac:dyDescent="0.35">
      <c r="B137" s="1019" t="s">
        <v>140</v>
      </c>
      <c r="C137" s="30"/>
      <c r="D137" s="1024" t="s">
        <v>99</v>
      </c>
      <c r="E137" s="1025"/>
      <c r="F137" s="425" t="s">
        <v>108</v>
      </c>
      <c r="G137" s="425" t="s">
        <v>95</v>
      </c>
      <c r="H137" s="425" t="s">
        <v>95</v>
      </c>
      <c r="I137" s="426">
        <v>9.2000000000000003E-4</v>
      </c>
      <c r="J137" s="425" t="s">
        <v>95</v>
      </c>
      <c r="K137" s="427">
        <v>9.2000000000000003E-4</v>
      </c>
      <c r="L137" s="425" t="s">
        <v>95</v>
      </c>
      <c r="M137" s="427">
        <v>9.2000000000000003E-4</v>
      </c>
      <c r="N137" s="425" t="s">
        <v>95</v>
      </c>
      <c r="O137" s="427">
        <v>1.1900000000000001E-3</v>
      </c>
      <c r="P137" s="425" t="s">
        <v>95</v>
      </c>
      <c r="Q137" s="427">
        <v>1.1100000000000001E-3</v>
      </c>
      <c r="R137" s="444"/>
      <c r="S137" s="448"/>
      <c r="T137" s="448"/>
      <c r="U137" s="448"/>
      <c r="V137" s="448"/>
      <c r="W137" s="448"/>
      <c r="X137" s="448"/>
      <c r="Y137" s="448"/>
      <c r="Z137" s="448"/>
      <c r="AA137" s="448"/>
      <c r="AB137" s="448"/>
      <c r="AC137" s="448"/>
      <c r="AD137" s="448"/>
      <c r="AE137" s="448"/>
      <c r="AF137" s="448"/>
      <c r="AG137" s="448"/>
      <c r="AH137" s="448"/>
      <c r="AI137" s="448"/>
      <c r="AJ137" s="448"/>
      <c r="AK137" s="448"/>
      <c r="AL137" s="448"/>
      <c r="AM137" s="448"/>
      <c r="AN137" s="448"/>
      <c r="AO137" s="448"/>
      <c r="AP137" s="448"/>
      <c r="AQ137" s="448"/>
      <c r="AR137" s="448"/>
      <c r="AS137" s="448"/>
      <c r="AT137" s="448"/>
      <c r="AU137" s="448"/>
      <c r="AV137" s="448"/>
      <c r="AW137" s="448"/>
      <c r="AX137" s="430" t="s">
        <v>95</v>
      </c>
      <c r="AY137" s="30"/>
      <c r="AZ137" s="30"/>
      <c r="BA137" s="30"/>
      <c r="BB137" s="30"/>
    </row>
    <row r="138" spans="2:54" ht="14.5" x14ac:dyDescent="0.35">
      <c r="B138" s="1019"/>
      <c r="C138" s="424">
        <v>1.5E-3</v>
      </c>
      <c r="D138" s="1020" t="s">
        <v>101</v>
      </c>
      <c r="E138" s="1021"/>
      <c r="F138" s="425" t="s">
        <v>108</v>
      </c>
      <c r="G138" s="425" t="s">
        <v>95</v>
      </c>
      <c r="H138" s="425" t="s">
        <v>95</v>
      </c>
      <c r="I138" s="425">
        <v>0</v>
      </c>
      <c r="J138" s="425" t="s">
        <v>95</v>
      </c>
      <c r="K138" s="425">
        <v>0</v>
      </c>
      <c r="L138" s="425" t="s">
        <v>95</v>
      </c>
      <c r="M138" s="425">
        <v>0</v>
      </c>
      <c r="N138" s="425" t="s">
        <v>95</v>
      </c>
      <c r="O138" s="425">
        <v>1.1E-4</v>
      </c>
      <c r="P138" s="425" t="s">
        <v>95</v>
      </c>
      <c r="Q138" s="425">
        <v>2.0000000000000002E-5</v>
      </c>
      <c r="R138" s="444"/>
      <c r="S138" s="448"/>
      <c r="T138" s="448"/>
      <c r="U138" s="446">
        <f>(U65-T65)*$C$138</f>
        <v>2.7071640232877171E-8</v>
      </c>
      <c r="V138" s="446">
        <f t="shared" ref="V138:AW138" si="37">(V65-U65)*$C$138</f>
        <v>2.6488657519814498E-8</v>
      </c>
      <c r="W138" s="446">
        <f t="shared" si="37"/>
        <v>2.5908100791414979E-8</v>
      </c>
      <c r="X138" s="446">
        <f t="shared" si="37"/>
        <v>2.5340459799037818E-8</v>
      </c>
      <c r="Y138" s="446">
        <f t="shared" si="37"/>
        <v>2.4761828222218119E-8</v>
      </c>
      <c r="Z138" s="446">
        <f t="shared" si="37"/>
        <v>2.4191152335151234E-8</v>
      </c>
      <c r="AA138" s="446">
        <f t="shared" si="37"/>
        <v>2.3620032640822574E-8</v>
      </c>
      <c r="AB138" s="446">
        <f t="shared" si="37"/>
        <v>2.3062076800792197E-8</v>
      </c>
      <c r="AC138" s="446">
        <f t="shared" si="37"/>
        <v>2.2494314954379924E-8</v>
      </c>
      <c r="AD138" s="446">
        <f t="shared" si="37"/>
        <v>2.1930537719962174E-8</v>
      </c>
      <c r="AE138" s="446">
        <f t="shared" si="37"/>
        <v>2.1367061442012502E-8</v>
      </c>
      <c r="AF138" s="446">
        <f t="shared" si="37"/>
        <v>2.0801377085800933E-8</v>
      </c>
      <c r="AG138" s="446">
        <f t="shared" si="37"/>
        <v>2.0242228563047139E-8</v>
      </c>
      <c r="AH138" s="446">
        <f t="shared" si="37"/>
        <v>1.9682970506224028E-8</v>
      </c>
      <c r="AI138" s="446">
        <f t="shared" si="37"/>
        <v>1.9129453918305394E-8</v>
      </c>
      <c r="AJ138" s="446">
        <f t="shared" si="37"/>
        <v>1.8573540331974503E-8</v>
      </c>
      <c r="AK138" s="446">
        <f t="shared" si="37"/>
        <v>1.8024827040816204E-8</v>
      </c>
      <c r="AL138" s="446">
        <f t="shared" si="37"/>
        <v>1.7477413346796144E-8</v>
      </c>
      <c r="AM138" s="446">
        <f t="shared" si="37"/>
        <v>1.6934604553611733E-8</v>
      </c>
      <c r="AN138" s="446">
        <f t="shared" si="37"/>
        <v>1.64019645992608E-8</v>
      </c>
      <c r="AO138" s="446">
        <f t="shared" si="37"/>
        <v>1.5875465765667618E-8</v>
      </c>
      <c r="AP138" s="446">
        <f t="shared" si="37"/>
        <v>1.5350511454542694E-8</v>
      </c>
      <c r="AQ138" s="446">
        <f t="shared" si="37"/>
        <v>1.4834520422266074E-8</v>
      </c>
      <c r="AR138" s="446">
        <f t="shared" si="37"/>
        <v>1.4319373720324268E-8</v>
      </c>
      <c r="AS138" s="446">
        <f t="shared" si="37"/>
        <v>1.3811948695138799E-8</v>
      </c>
      <c r="AT138" s="446">
        <f t="shared" si="37"/>
        <v>1.331640380364263E-8</v>
      </c>
      <c r="AU138" s="446">
        <f t="shared" si="37"/>
        <v>1.2818644118152423E-8</v>
      </c>
      <c r="AV138" s="446">
        <f t="shared" si="37"/>
        <v>1.2333176781072209E-8</v>
      </c>
      <c r="AW138" s="446">
        <f t="shared" si="37"/>
        <v>1.1860331460736284E-8</v>
      </c>
      <c r="AX138" s="430" t="s">
        <v>95</v>
      </c>
      <c r="AY138" s="33"/>
      <c r="AZ138" s="33"/>
      <c r="BA138" s="33"/>
      <c r="BB138" s="33"/>
    </row>
    <row r="139" spans="2:54" ht="14.5" x14ac:dyDescent="0.35">
      <c r="B139" s="1019"/>
      <c r="C139" s="424">
        <v>0.17119000000000001</v>
      </c>
      <c r="D139" s="1020" t="s">
        <v>106</v>
      </c>
      <c r="E139" s="1021"/>
      <c r="F139" s="425" t="s">
        <v>108</v>
      </c>
      <c r="G139" s="425" t="s">
        <v>95</v>
      </c>
      <c r="H139" s="425" t="s">
        <v>95</v>
      </c>
      <c r="I139" s="425">
        <v>7.7400000000000004E-3</v>
      </c>
      <c r="J139" s="425" t="s">
        <v>95</v>
      </c>
      <c r="K139" s="425">
        <v>7.7400000000000004E-3</v>
      </c>
      <c r="L139" s="425" t="s">
        <v>95</v>
      </c>
      <c r="M139" s="425">
        <v>7.7400000000000004E-3</v>
      </c>
      <c r="N139" s="425" t="s">
        <v>95</v>
      </c>
      <c r="O139" s="425">
        <v>7.5300000000000002E-3</v>
      </c>
      <c r="P139" s="425" t="s">
        <v>95</v>
      </c>
      <c r="Q139" s="425">
        <v>8.3400000000000002E-3</v>
      </c>
      <c r="R139" s="444"/>
      <c r="S139" s="444"/>
      <c r="T139" s="444"/>
      <c r="U139" s="446">
        <f>(U67-T67)*$C$139</f>
        <v>-8.0597410655404295E-3</v>
      </c>
      <c r="V139" s="446">
        <f t="shared" ref="V139:AW139" si="38">(V67-U67)*$C$139</f>
        <v>-6.2370275374206243E-4</v>
      </c>
      <c r="W139" s="446">
        <f t="shared" si="38"/>
        <v>9.6183515342614274E-3</v>
      </c>
      <c r="X139" s="446">
        <f t="shared" si="38"/>
        <v>4.4378403022164254E-4</v>
      </c>
      <c r="Y139" s="446">
        <f t="shared" si="38"/>
        <v>1.052451977156255E-2</v>
      </c>
      <c r="Z139" s="446">
        <f t="shared" si="38"/>
        <v>5.015928558961027E-3</v>
      </c>
      <c r="AA139" s="446">
        <f t="shared" si="38"/>
        <v>4.8306255624217913E-3</v>
      </c>
      <c r="AB139" s="446">
        <f t="shared" si="38"/>
        <v>4.3754919756066289E-3</v>
      </c>
      <c r="AC139" s="446">
        <f t="shared" si="38"/>
        <v>4.8890265123881114E-3</v>
      </c>
      <c r="AD139" s="446">
        <f t="shared" si="38"/>
        <v>-4.6028452278826395E-4</v>
      </c>
      <c r="AE139" s="446">
        <f t="shared" si="38"/>
        <v>4.0247772425042027E-3</v>
      </c>
      <c r="AF139" s="446">
        <f t="shared" si="38"/>
        <v>4.5970791890992931E-3</v>
      </c>
      <c r="AG139" s="446">
        <f t="shared" si="38"/>
        <v>3.7073236156844238E-3</v>
      </c>
      <c r="AH139" s="446">
        <f t="shared" si="38"/>
        <v>3.6186731410079781E-3</v>
      </c>
      <c r="AI139" s="446">
        <f t="shared" si="38"/>
        <v>2.3102476293187647E-3</v>
      </c>
      <c r="AJ139" s="446">
        <f t="shared" si="38"/>
        <v>1.9941904921561035E-3</v>
      </c>
      <c r="AK139" s="446">
        <f t="shared" si="38"/>
        <v>1.7631701137389773E-3</v>
      </c>
      <c r="AL139" s="446">
        <f t="shared" si="38"/>
        <v>2.4546424302206962E-3</v>
      </c>
      <c r="AM139" s="446">
        <f t="shared" si="38"/>
        <v>2.2630911145009943E-3</v>
      </c>
      <c r="AN139" s="446">
        <f t="shared" si="38"/>
        <v>2.147538371190407E-3</v>
      </c>
      <c r="AO139" s="446">
        <f t="shared" si="38"/>
        <v>2.0733515007073976E-3</v>
      </c>
      <c r="AP139" s="446">
        <f t="shared" si="38"/>
        <v>1.7906552258176432E-3</v>
      </c>
      <c r="AQ139" s="446">
        <f t="shared" si="38"/>
        <v>2.0018258865423157E-3</v>
      </c>
      <c r="AR139" s="446">
        <f t="shared" si="38"/>
        <v>1.834329886360161E-3</v>
      </c>
      <c r="AS139" s="446">
        <f t="shared" si="38"/>
        <v>2.100723893001308E-3</v>
      </c>
      <c r="AT139" s="446">
        <f t="shared" si="38"/>
        <v>1.8302605171706648E-3</v>
      </c>
      <c r="AU139" s="446">
        <f t="shared" si="38"/>
        <v>1.7650563152444795E-3</v>
      </c>
      <c r="AV139" s="446">
        <f t="shared" si="38"/>
        <v>1.7599750531979836E-3</v>
      </c>
      <c r="AW139" s="446">
        <f t="shared" si="38"/>
        <v>1.7281544602619128E-3</v>
      </c>
      <c r="AX139" s="430" t="s">
        <v>95</v>
      </c>
      <c r="AY139" s="33"/>
      <c r="AZ139" s="33"/>
      <c r="BA139" s="33"/>
      <c r="BB139" s="33"/>
    </row>
    <row r="140" spans="2:54" ht="14.5" x14ac:dyDescent="0.35">
      <c r="B140" s="1019"/>
      <c r="C140" s="424">
        <v>0.17119000000000001</v>
      </c>
      <c r="D140" s="1022" t="s">
        <v>146</v>
      </c>
      <c r="E140" s="1023"/>
      <c r="F140" s="425" t="s">
        <v>108</v>
      </c>
      <c r="G140" s="425"/>
      <c r="H140" s="425"/>
      <c r="I140" s="425"/>
      <c r="J140" s="425"/>
      <c r="K140" s="425"/>
      <c r="L140" s="425"/>
      <c r="M140" s="425"/>
      <c r="N140" s="425"/>
      <c r="O140" s="425"/>
      <c r="P140" s="425"/>
      <c r="Q140" s="425"/>
      <c r="R140" s="444"/>
      <c r="S140" s="444"/>
      <c r="T140" s="444"/>
      <c r="U140" s="446">
        <f>(U70-T70)*$C$140</f>
        <v>1.7828069232150842E-2</v>
      </c>
      <c r="V140" s="446">
        <f t="shared" ref="V140:AW140" si="39">(V70-U70)*$C$140</f>
        <v>1.0300336294550499E-2</v>
      </c>
      <c r="W140" s="446">
        <f t="shared" si="39"/>
        <v>5.0533032270594554E-5</v>
      </c>
      <c r="X140" s="446">
        <f t="shared" si="39"/>
        <v>9.1165279235386251E-3</v>
      </c>
      <c r="Y140" s="446">
        <f t="shared" si="39"/>
        <v>-9.9590621699617294E-4</v>
      </c>
      <c r="Z140" s="446">
        <f t="shared" si="39"/>
        <v>4.4666401365093516E-3</v>
      </c>
      <c r="AA140" s="446">
        <f t="shared" si="39"/>
        <v>4.6211136216563007E-3</v>
      </c>
      <c r="AB140" s="446">
        <f t="shared" si="39"/>
        <v>4.962207224305161E-3</v>
      </c>
      <c r="AC140" s="446">
        <f t="shared" si="39"/>
        <v>4.4433300140206402E-3</v>
      </c>
      <c r="AD140" s="446">
        <f t="shared" si="39"/>
        <v>9.7541689980209165E-3</v>
      </c>
      <c r="AE140" s="446">
        <f t="shared" si="39"/>
        <v>5.2167036714136595E-3</v>
      </c>
      <c r="AF140" s="446">
        <f t="shared" si="39"/>
        <v>4.5980571584170026E-3</v>
      </c>
      <c r="AG140" s="446">
        <f t="shared" si="39"/>
        <v>5.4419941217907228E-3</v>
      </c>
      <c r="AH140" s="446">
        <f t="shared" si="39"/>
        <v>5.4734551783092349E-3</v>
      </c>
      <c r="AI140" s="446">
        <f t="shared" si="39"/>
        <v>6.7686440549226635E-3</v>
      </c>
      <c r="AJ140" s="446">
        <f t="shared" si="39"/>
        <v>7.021588017951096E-3</v>
      </c>
      <c r="AK140" s="446">
        <f t="shared" si="39"/>
        <v>7.2335811795683057E-3</v>
      </c>
      <c r="AL140" s="446">
        <f t="shared" si="39"/>
        <v>6.5057784516244707E-3</v>
      </c>
      <c r="AM140" s="446">
        <f t="shared" si="39"/>
        <v>6.6623703176666247E-3</v>
      </c>
      <c r="AN140" s="446">
        <f t="shared" si="39"/>
        <v>6.7372681279586769E-3</v>
      </c>
      <c r="AO140" s="446">
        <f t="shared" si="39"/>
        <v>6.7839655687726638E-3</v>
      </c>
      <c r="AP140" s="446">
        <f t="shared" si="39"/>
        <v>7.0048044740171128E-3</v>
      </c>
      <c r="AQ140" s="446">
        <f t="shared" si="39"/>
        <v>6.787185829173429E-3</v>
      </c>
      <c r="AR140" s="446">
        <f t="shared" si="39"/>
        <v>6.9000628535883452E-3</v>
      </c>
      <c r="AS140" s="446">
        <f t="shared" si="39"/>
        <v>6.6240517063750008E-3</v>
      </c>
      <c r="AT140" s="446">
        <f t="shared" si="39"/>
        <v>6.8343482970823566E-3</v>
      </c>
      <c r="AU140" s="446">
        <f t="shared" si="39"/>
        <v>6.8650293600914011E-3</v>
      </c>
      <c r="AV140" s="446">
        <f t="shared" si="39"/>
        <v>6.8316140948609903E-3</v>
      </c>
      <c r="AW140" s="446">
        <f t="shared" si="39"/>
        <v>6.8282063291178257E-3</v>
      </c>
      <c r="AX140" s="430"/>
      <c r="AY140" s="33"/>
      <c r="AZ140" s="33"/>
      <c r="BA140" s="33"/>
      <c r="BB140" s="33"/>
    </row>
    <row r="141" spans="2:54" ht="14.5" x14ac:dyDescent="0.35">
      <c r="B141" s="1019"/>
      <c r="C141" s="424">
        <v>8.8999999999999999E-3</v>
      </c>
      <c r="D141" s="1020" t="s">
        <v>102</v>
      </c>
      <c r="E141" s="1021"/>
      <c r="F141" s="425" t="s">
        <v>108</v>
      </c>
      <c r="G141" s="425" t="s">
        <v>95</v>
      </c>
      <c r="H141" s="425" t="s">
        <v>95</v>
      </c>
      <c r="I141" s="425">
        <v>4.2000000000000002E-4</v>
      </c>
      <c r="J141" s="425" t="s">
        <v>95</v>
      </c>
      <c r="K141" s="425">
        <v>4.2000000000000002E-4</v>
      </c>
      <c r="L141" s="425" t="s">
        <v>95</v>
      </c>
      <c r="M141" s="425">
        <v>4.2000000000000002E-4</v>
      </c>
      <c r="N141" s="425" t="s">
        <v>95</v>
      </c>
      <c r="O141" s="425">
        <v>8.8999999999999995E-4</v>
      </c>
      <c r="P141" s="425" t="s">
        <v>95</v>
      </c>
      <c r="Q141" s="425">
        <v>1.7000000000000001E-4</v>
      </c>
      <c r="R141" s="444"/>
      <c r="S141" s="448"/>
      <c r="T141" s="448"/>
      <c r="U141" s="446">
        <f>(U72-T72)*$C$141</f>
        <v>-7.2819636998519233E-6</v>
      </c>
      <c r="V141" s="446">
        <f t="shared" ref="V141:AW141" si="40">(V72-U72)*$C$141</f>
        <v>-6.2178164846391491E-6</v>
      </c>
      <c r="W141" s="446">
        <f t="shared" si="40"/>
        <v>-6.5819698488029488E-6</v>
      </c>
      <c r="X141" s="446">
        <f t="shared" si="40"/>
        <v>-4.9904865286668269E-6</v>
      </c>
      <c r="Y141" s="446">
        <f t="shared" si="40"/>
        <v>-4.1182322907159731E-6</v>
      </c>
      <c r="Z141" s="446">
        <f t="shared" si="40"/>
        <v>-5.3653347568736183E-6</v>
      </c>
      <c r="AA141" s="446">
        <f t="shared" si="40"/>
        <v>-4.5457238701746225E-6</v>
      </c>
      <c r="AB141" s="446">
        <f t="shared" si="40"/>
        <v>-2.6380547435539194E-6</v>
      </c>
      <c r="AC141" s="446">
        <f t="shared" si="40"/>
        <v>-3.064953237548007E-6</v>
      </c>
      <c r="AD141" s="446">
        <f t="shared" si="40"/>
        <v>-4.4116514909711576E-6</v>
      </c>
      <c r="AE141" s="446">
        <f t="shared" si="40"/>
        <v>-2.8455435686270735E-6</v>
      </c>
      <c r="AF141" s="446">
        <f t="shared" si="40"/>
        <v>-3.6274224809975219E-6</v>
      </c>
      <c r="AG141" s="446">
        <f t="shared" si="40"/>
        <v>-2.5244756428463245E-6</v>
      </c>
      <c r="AH141" s="446">
        <f t="shared" si="40"/>
        <v>-2.6191928088700854E-6</v>
      </c>
      <c r="AI141" s="446">
        <f t="shared" si="40"/>
        <v>-3.1311999200463347E-6</v>
      </c>
      <c r="AJ141" s="446">
        <f t="shared" si="40"/>
        <v>-2.7885333390101241E-6</v>
      </c>
      <c r="AK141" s="446">
        <f t="shared" si="40"/>
        <v>-3.1612119325706622E-6</v>
      </c>
      <c r="AL141" s="446">
        <f t="shared" si="40"/>
        <v>-3.8783244817794939E-6</v>
      </c>
      <c r="AM141" s="446">
        <f t="shared" si="40"/>
        <v>-3.6247415716198718E-6</v>
      </c>
      <c r="AN141" s="446">
        <f t="shared" si="40"/>
        <v>-4.0234174621241788E-6</v>
      </c>
      <c r="AO141" s="446">
        <f t="shared" si="40"/>
        <v>-4.1752824281449111E-6</v>
      </c>
      <c r="AP141" s="446">
        <f t="shared" si="40"/>
        <v>-3.5132768744929876E-6</v>
      </c>
      <c r="AQ141" s="446">
        <f t="shared" si="40"/>
        <v>-4.664380139492685E-6</v>
      </c>
      <c r="AR141" s="446">
        <f t="shared" si="40"/>
        <v>-4.2387661799607287E-6</v>
      </c>
      <c r="AS141" s="446">
        <f t="shared" si="40"/>
        <v>-5.2865546194541758E-6</v>
      </c>
      <c r="AT141" s="446">
        <f t="shared" si="40"/>
        <v>-4.5363302180876808E-6</v>
      </c>
      <c r="AU141" s="446">
        <f t="shared" si="40"/>
        <v>-4.4923364805212085E-6</v>
      </c>
      <c r="AV141" s="446">
        <f t="shared" si="40"/>
        <v>-4.653847578563397E-6</v>
      </c>
      <c r="AW141" s="446">
        <f t="shared" si="40"/>
        <v>-4.5974778116784519E-6</v>
      </c>
      <c r="AX141" s="430" t="s">
        <v>95</v>
      </c>
      <c r="AY141" s="33"/>
      <c r="AZ141" s="33"/>
      <c r="BA141" s="33"/>
      <c r="BB141" s="33"/>
    </row>
    <row r="142" spans="2:54" ht="14.5" x14ac:dyDescent="0.35">
      <c r="B142" s="1019"/>
      <c r="C142" s="424">
        <v>0.2286</v>
      </c>
      <c r="D142" s="1020" t="s">
        <v>57</v>
      </c>
      <c r="E142" s="1021"/>
      <c r="F142" s="425" t="s">
        <v>108</v>
      </c>
      <c r="G142" s="425" t="s">
        <v>95</v>
      </c>
      <c r="H142" s="425" t="s">
        <v>95</v>
      </c>
      <c r="I142" s="425">
        <v>1.8500000000000001E-3</v>
      </c>
      <c r="J142" s="425" t="s">
        <v>95</v>
      </c>
      <c r="K142" s="425">
        <v>1.8500000000000001E-3</v>
      </c>
      <c r="L142" s="425" t="s">
        <v>95</v>
      </c>
      <c r="M142" s="425">
        <v>1.8500000000000001E-3</v>
      </c>
      <c r="N142" s="425" t="s">
        <v>95</v>
      </c>
      <c r="O142" s="425">
        <v>3.64E-3</v>
      </c>
      <c r="P142" s="425" t="s">
        <v>95</v>
      </c>
      <c r="Q142" s="425">
        <v>1.6900000000000001E-3</v>
      </c>
      <c r="R142" s="444"/>
      <c r="S142" s="444"/>
      <c r="T142" s="444"/>
      <c r="U142" s="446">
        <f>(U79-T79)*$C$142</f>
        <v>-7.3803063367395896E-5</v>
      </c>
      <c r="V142" s="446">
        <f t="shared" ref="V142:AW142" si="41">(V79-U79)*$C$142</f>
        <v>-7.3581654177293064E-5</v>
      </c>
      <c r="W142" s="446">
        <f t="shared" si="41"/>
        <v>-7.3360909214760354E-5</v>
      </c>
      <c r="X142" s="446">
        <f t="shared" si="41"/>
        <v>-7.3140826487117102E-5</v>
      </c>
      <c r="Y142" s="446">
        <f t="shared" si="41"/>
        <v>-7.2921404007656379E-5</v>
      </c>
      <c r="Z142" s="446">
        <f t="shared" si="41"/>
        <v>-7.2702639795632309E-5</v>
      </c>
      <c r="AA142" s="446">
        <f t="shared" si="41"/>
        <v>-7.248453187624741E-5</v>
      </c>
      <c r="AB142" s="446">
        <f t="shared" si="41"/>
        <v>-7.2267078280617629E-5</v>
      </c>
      <c r="AC142" s="446">
        <f t="shared" si="41"/>
        <v>-7.2050277045775592E-5</v>
      </c>
      <c r="AD142" s="446">
        <f t="shared" si="41"/>
        <v>-7.1834126214638815E-5</v>
      </c>
      <c r="AE142" s="446">
        <f t="shared" si="41"/>
        <v>-7.1618623835993894E-5</v>
      </c>
      <c r="AF142" s="446">
        <f t="shared" si="41"/>
        <v>-7.1403767964486946E-5</v>
      </c>
      <c r="AG142" s="446">
        <f t="shared" si="41"/>
        <v>-7.1189556660591915E-5</v>
      </c>
      <c r="AH142" s="446">
        <f t="shared" si="41"/>
        <v>-7.0975987990610538E-5</v>
      </c>
      <c r="AI142" s="446">
        <f t="shared" si="41"/>
        <v>-7.0763060026640668E-5</v>
      </c>
      <c r="AJ142" s="446">
        <f t="shared" si="41"/>
        <v>-7.0550770846560337E-5</v>
      </c>
      <c r="AK142" s="446">
        <f t="shared" si="41"/>
        <v>-7.0339118534018354E-5</v>
      </c>
      <c r="AL142" s="446">
        <f t="shared" si="41"/>
        <v>-7.0128101178418308E-5</v>
      </c>
      <c r="AM142" s="446">
        <f t="shared" si="41"/>
        <v>-6.9917716874883784E-5</v>
      </c>
      <c r="AN142" s="446">
        <f t="shared" si="41"/>
        <v>-6.9707963724258303E-5</v>
      </c>
      <c r="AO142" s="446">
        <f t="shared" si="41"/>
        <v>-6.9498839833086285E-5</v>
      </c>
      <c r="AP142" s="446">
        <f t="shared" si="41"/>
        <v>-6.9290343313584534E-5</v>
      </c>
      <c r="AQ142" s="446">
        <f t="shared" si="41"/>
        <v>-6.9082472283645379E-5</v>
      </c>
      <c r="AR142" s="446">
        <f t="shared" si="41"/>
        <v>-6.8875224866795439E-5</v>
      </c>
      <c r="AS142" s="446">
        <f t="shared" si="41"/>
        <v>-6.8668599192192459E-5</v>
      </c>
      <c r="AT142" s="446">
        <f t="shared" si="41"/>
        <v>-6.8462593394615789E-5</v>
      </c>
      <c r="AU142" s="446">
        <f t="shared" si="41"/>
        <v>-6.8257205614434652E-5</v>
      </c>
      <c r="AV142" s="446">
        <f t="shared" si="41"/>
        <v>-6.8052433997589119E-5</v>
      </c>
      <c r="AW142" s="446">
        <f t="shared" si="41"/>
        <v>-6.7848276695596453E-5</v>
      </c>
      <c r="AX142" s="430" t="s">
        <v>95</v>
      </c>
      <c r="AY142" s="33"/>
      <c r="AZ142" s="33"/>
      <c r="BA142" s="33"/>
      <c r="BB142" s="33"/>
    </row>
    <row r="143" spans="2:54" ht="14.5" x14ac:dyDescent="0.35">
      <c r="B143" s="373" t="s">
        <v>95</v>
      </c>
      <c r="C143" s="34"/>
      <c r="D143" s="431" t="s">
        <v>95</v>
      </c>
      <c r="E143" s="432" t="s">
        <v>95</v>
      </c>
      <c r="F143" s="433" t="s">
        <v>24</v>
      </c>
      <c r="G143" s="433" t="s">
        <v>95</v>
      </c>
      <c r="H143" s="433" t="s">
        <v>95</v>
      </c>
      <c r="I143" s="433">
        <v>1.0919999999999999E-2</v>
      </c>
      <c r="J143" s="433" t="s">
        <v>95</v>
      </c>
      <c r="K143" s="433">
        <v>1.0919999999999999E-2</v>
      </c>
      <c r="L143" s="433" t="s">
        <v>95</v>
      </c>
      <c r="M143" s="433">
        <v>1.0919999999999999E-2</v>
      </c>
      <c r="N143" s="433" t="s">
        <v>95</v>
      </c>
      <c r="O143" s="433">
        <v>1.336E-2</v>
      </c>
      <c r="P143" s="433" t="s">
        <v>95</v>
      </c>
      <c r="Q143" s="433">
        <v>1.133E-2</v>
      </c>
      <c r="R143" s="447">
        <f>SUM(R137:R142)</f>
        <v>0</v>
      </c>
      <c r="S143" s="447">
        <f t="shared" ref="S143:AW143" si="42">SUM(S137:S142)</f>
        <v>0</v>
      </c>
      <c r="T143" s="447">
        <f t="shared" si="42"/>
        <v>0</v>
      </c>
      <c r="U143" s="435">
        <f>SUM(U138:U142)</f>
        <v>9.6872702111833985E-3</v>
      </c>
      <c r="V143" s="435">
        <f t="shared" si="42"/>
        <v>9.5968605588040226E-3</v>
      </c>
      <c r="W143" s="435">
        <f t="shared" si="42"/>
        <v>9.5889675955692505E-3</v>
      </c>
      <c r="X143" s="435">
        <f t="shared" si="42"/>
        <v>9.4822059812042832E-3</v>
      </c>
      <c r="Y143" s="435">
        <f t="shared" si="42"/>
        <v>9.4515986800962279E-3</v>
      </c>
      <c r="Z143" s="435">
        <f t="shared" si="42"/>
        <v>9.4045249120702085E-3</v>
      </c>
      <c r="AA143" s="435">
        <f t="shared" si="42"/>
        <v>9.3747325483643108E-3</v>
      </c>
      <c r="AB143" s="435">
        <f t="shared" si="42"/>
        <v>9.2628171289644186E-3</v>
      </c>
      <c r="AC143" s="435">
        <f t="shared" si="42"/>
        <v>9.2572637904403815E-3</v>
      </c>
      <c r="AD143" s="435">
        <f t="shared" si="42"/>
        <v>9.2176606280647624E-3</v>
      </c>
      <c r="AE143" s="435">
        <f t="shared" si="42"/>
        <v>9.1670381135746833E-3</v>
      </c>
      <c r="AF143" s="435">
        <f t="shared" si="42"/>
        <v>9.1201259584478989E-3</v>
      </c>
      <c r="AG143" s="435">
        <f t="shared" si="42"/>
        <v>9.0756239474002708E-3</v>
      </c>
      <c r="AH143" s="435">
        <f t="shared" si="42"/>
        <v>9.0185528214882394E-3</v>
      </c>
      <c r="AI143" s="435">
        <f t="shared" si="42"/>
        <v>9.0050165537486591E-3</v>
      </c>
      <c r="AJ143" s="435">
        <f t="shared" si="42"/>
        <v>8.9424577794619611E-3</v>
      </c>
      <c r="AK143" s="435">
        <f t="shared" si="42"/>
        <v>8.9232689876677356E-3</v>
      </c>
      <c r="AL143" s="435">
        <f t="shared" si="42"/>
        <v>8.8864319335983152E-3</v>
      </c>
      <c r="AM143" s="435">
        <f t="shared" si="42"/>
        <v>8.8519359083256699E-3</v>
      </c>
      <c r="AN143" s="435">
        <f t="shared" si="42"/>
        <v>8.8110915199273009E-3</v>
      </c>
      <c r="AO143" s="435">
        <f t="shared" si="42"/>
        <v>8.7836588226845955E-3</v>
      </c>
      <c r="AP143" s="435">
        <f t="shared" si="42"/>
        <v>8.7226714301581344E-3</v>
      </c>
      <c r="AQ143" s="435">
        <f t="shared" si="42"/>
        <v>8.715279697813029E-3</v>
      </c>
      <c r="AR143" s="435">
        <f t="shared" si="42"/>
        <v>8.6612930682754725E-3</v>
      </c>
      <c r="AS143" s="435">
        <f t="shared" si="42"/>
        <v>8.6508342575133557E-3</v>
      </c>
      <c r="AT143" s="435">
        <f t="shared" si="42"/>
        <v>8.5916232070441211E-3</v>
      </c>
      <c r="AU143" s="435">
        <f t="shared" si="42"/>
        <v>8.5573489518850441E-3</v>
      </c>
      <c r="AV143" s="435">
        <f t="shared" si="42"/>
        <v>8.5188951996596034E-3</v>
      </c>
      <c r="AW143" s="435">
        <f t="shared" si="42"/>
        <v>8.4839268952039259E-3</v>
      </c>
      <c r="AX143" s="436" t="s">
        <v>95</v>
      </c>
      <c r="AY143" s="14"/>
      <c r="AZ143" s="14"/>
      <c r="BA143" s="14"/>
      <c r="BB143" s="14"/>
    </row>
    <row r="144" spans="2:54" ht="14.5" x14ac:dyDescent="0.35">
      <c r="B144" s="373" t="s">
        <v>95</v>
      </c>
      <c r="C144" s="34"/>
      <c r="D144" s="431" t="s">
        <v>95</v>
      </c>
      <c r="E144" s="432" t="s">
        <v>95</v>
      </c>
      <c r="F144" s="437" t="s">
        <v>95</v>
      </c>
      <c r="G144" s="437" t="s">
        <v>95</v>
      </c>
      <c r="H144" s="437" t="s">
        <v>95</v>
      </c>
      <c r="I144" s="437" t="s">
        <v>95</v>
      </c>
      <c r="J144" s="437" t="s">
        <v>95</v>
      </c>
      <c r="K144" s="437" t="s">
        <v>95</v>
      </c>
      <c r="L144" s="437" t="s">
        <v>95</v>
      </c>
      <c r="M144" s="437" t="s">
        <v>95</v>
      </c>
      <c r="N144" s="437" t="s">
        <v>95</v>
      </c>
      <c r="O144" s="437" t="s">
        <v>95</v>
      </c>
      <c r="P144" s="437" t="s">
        <v>95</v>
      </c>
      <c r="Q144" s="437" t="s">
        <v>95</v>
      </c>
      <c r="R144" s="438" t="s">
        <v>95</v>
      </c>
      <c r="S144" s="438" t="s">
        <v>95</v>
      </c>
      <c r="T144" s="438" t="s">
        <v>95</v>
      </c>
      <c r="U144" s="438" t="s">
        <v>95</v>
      </c>
      <c r="V144" s="438" t="s">
        <v>95</v>
      </c>
      <c r="W144" s="438" t="s">
        <v>95</v>
      </c>
      <c r="X144" s="438" t="s">
        <v>95</v>
      </c>
      <c r="Y144" s="438" t="s">
        <v>95</v>
      </c>
      <c r="Z144" s="438" t="s">
        <v>95</v>
      </c>
      <c r="AA144" s="438" t="s">
        <v>95</v>
      </c>
      <c r="AB144" s="438" t="s">
        <v>95</v>
      </c>
      <c r="AC144" s="438" t="s">
        <v>95</v>
      </c>
      <c r="AD144" s="438" t="s">
        <v>95</v>
      </c>
      <c r="AE144" s="438" t="s">
        <v>95</v>
      </c>
      <c r="AF144" s="438" t="s">
        <v>95</v>
      </c>
      <c r="AG144" s="438" t="s">
        <v>95</v>
      </c>
      <c r="AH144" s="438" t="s">
        <v>95</v>
      </c>
      <c r="AI144" s="438" t="s">
        <v>95</v>
      </c>
      <c r="AJ144" s="438" t="s">
        <v>95</v>
      </c>
      <c r="AK144" s="438" t="s">
        <v>95</v>
      </c>
      <c r="AL144" s="438" t="s">
        <v>95</v>
      </c>
      <c r="AM144" s="438" t="s">
        <v>95</v>
      </c>
      <c r="AN144" s="438" t="s">
        <v>95</v>
      </c>
      <c r="AO144" s="438" t="s">
        <v>95</v>
      </c>
      <c r="AP144" s="438" t="s">
        <v>95</v>
      </c>
      <c r="AQ144" s="438" t="s">
        <v>95</v>
      </c>
      <c r="AR144" s="438" t="s">
        <v>95</v>
      </c>
      <c r="AS144" s="438" t="s">
        <v>95</v>
      </c>
      <c r="AT144" s="438" t="s">
        <v>95</v>
      </c>
      <c r="AU144" s="438" t="s">
        <v>95</v>
      </c>
      <c r="AV144" s="438" t="s">
        <v>95</v>
      </c>
      <c r="AW144" s="438" t="s">
        <v>95</v>
      </c>
      <c r="AX144" s="436" t="s">
        <v>95</v>
      </c>
      <c r="AY144" s="14"/>
      <c r="AZ144" s="14"/>
      <c r="BA144" s="14"/>
      <c r="BB144" s="14"/>
    </row>
    <row r="145" spans="2:54" ht="15.5" x14ac:dyDescent="0.3">
      <c r="B145" s="949"/>
      <c r="C145" s="13"/>
      <c r="D145" s="388"/>
      <c r="E145" s="362" t="s">
        <v>147</v>
      </c>
      <c r="F145" s="393" t="s">
        <v>109</v>
      </c>
      <c r="G145" s="390"/>
      <c r="H145" s="390"/>
      <c r="I145" s="390"/>
      <c r="J145" s="390"/>
      <c r="K145" s="390"/>
      <c r="L145" s="390"/>
      <c r="M145" s="390"/>
      <c r="N145" s="390"/>
      <c r="O145" s="390"/>
      <c r="P145" s="390"/>
      <c r="Q145" s="390"/>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391"/>
    </row>
    <row r="146" spans="2:54" ht="14.5" x14ac:dyDescent="0.35">
      <c r="B146" s="372" t="s">
        <v>95</v>
      </c>
      <c r="C146" s="30"/>
      <c r="D146" s="1017" t="s">
        <v>139</v>
      </c>
      <c r="E146" s="1018"/>
      <c r="F146" s="425" t="s">
        <v>95</v>
      </c>
      <c r="G146" s="425" t="s">
        <v>95</v>
      </c>
      <c r="H146" s="425" t="s">
        <v>95</v>
      </c>
      <c r="I146" s="425" t="s">
        <v>95</v>
      </c>
      <c r="J146" s="425" t="s">
        <v>95</v>
      </c>
      <c r="K146" s="425" t="s">
        <v>95</v>
      </c>
      <c r="L146" s="425" t="s">
        <v>95</v>
      </c>
      <c r="M146" s="425" t="s">
        <v>95</v>
      </c>
      <c r="N146" s="425" t="s">
        <v>95</v>
      </c>
      <c r="O146" s="425" t="s">
        <v>95</v>
      </c>
      <c r="P146" s="425" t="s">
        <v>95</v>
      </c>
      <c r="Q146" s="425" t="s">
        <v>95</v>
      </c>
      <c r="R146" s="448" t="s">
        <v>95</v>
      </c>
      <c r="S146" s="448" t="s">
        <v>95</v>
      </c>
      <c r="T146" s="448" t="s">
        <v>95</v>
      </c>
      <c r="U146" s="448" t="s">
        <v>95</v>
      </c>
      <c r="V146" s="448" t="s">
        <v>95</v>
      </c>
      <c r="W146" s="448" t="s">
        <v>95</v>
      </c>
      <c r="X146" s="448" t="s">
        <v>95</v>
      </c>
      <c r="Y146" s="448" t="s">
        <v>95</v>
      </c>
      <c r="Z146" s="448" t="s">
        <v>95</v>
      </c>
      <c r="AA146" s="448" t="s">
        <v>95</v>
      </c>
      <c r="AB146" s="448" t="s">
        <v>95</v>
      </c>
      <c r="AC146" s="448" t="s">
        <v>95</v>
      </c>
      <c r="AD146" s="448" t="s">
        <v>95</v>
      </c>
      <c r="AE146" s="448" t="s">
        <v>95</v>
      </c>
      <c r="AF146" s="448" t="s">
        <v>95</v>
      </c>
      <c r="AG146" s="448" t="s">
        <v>95</v>
      </c>
      <c r="AH146" s="448" t="s">
        <v>95</v>
      </c>
      <c r="AI146" s="448" t="s">
        <v>95</v>
      </c>
      <c r="AJ146" s="448" t="s">
        <v>95</v>
      </c>
      <c r="AK146" s="448" t="s">
        <v>95</v>
      </c>
      <c r="AL146" s="448" t="s">
        <v>95</v>
      </c>
      <c r="AM146" s="448" t="s">
        <v>95</v>
      </c>
      <c r="AN146" s="448" t="s">
        <v>95</v>
      </c>
      <c r="AO146" s="448" t="s">
        <v>95</v>
      </c>
      <c r="AP146" s="448" t="s">
        <v>95</v>
      </c>
      <c r="AQ146" s="448" t="s">
        <v>95</v>
      </c>
      <c r="AR146" s="448" t="s">
        <v>95</v>
      </c>
      <c r="AS146" s="448" t="s">
        <v>95</v>
      </c>
      <c r="AT146" s="448" t="s">
        <v>95</v>
      </c>
      <c r="AU146" s="448" t="s">
        <v>95</v>
      </c>
      <c r="AV146" s="448" t="s">
        <v>95</v>
      </c>
      <c r="AW146" s="448" t="s">
        <v>95</v>
      </c>
      <c r="AX146" s="430" t="s">
        <v>95</v>
      </c>
      <c r="AY146" s="33"/>
      <c r="AZ146" s="33"/>
      <c r="BA146" s="33"/>
      <c r="BB146" s="33"/>
    </row>
    <row r="147" spans="2:54" ht="14.5" x14ac:dyDescent="0.35">
      <c r="B147" s="1019" t="s">
        <v>140</v>
      </c>
      <c r="C147" s="424">
        <v>6.0000000000000001E-3</v>
      </c>
      <c r="D147" s="449" t="s">
        <v>99</v>
      </c>
      <c r="E147" s="450"/>
      <c r="F147" s="425" t="s">
        <v>81</v>
      </c>
      <c r="G147" s="425" t="s">
        <v>95</v>
      </c>
      <c r="H147" s="425" t="s">
        <v>95</v>
      </c>
      <c r="I147" s="425">
        <v>0</v>
      </c>
      <c r="J147" s="425" t="s">
        <v>95</v>
      </c>
      <c r="K147" s="425">
        <v>6.6E-4</v>
      </c>
      <c r="L147" s="425"/>
      <c r="M147" s="425">
        <v>6.6E-4</v>
      </c>
      <c r="N147" s="425"/>
      <c r="O147" s="425">
        <v>3.5000000000000005E-4</v>
      </c>
      <c r="P147" s="425"/>
      <c r="Q147" s="425">
        <v>5.6000000000000017E-4</v>
      </c>
      <c r="R147" s="451"/>
      <c r="S147" s="451"/>
      <c r="T147" s="451"/>
      <c r="U147" s="452">
        <f>(U64-T64)*$C$147</f>
        <v>-3.4065120149191942E-4</v>
      </c>
      <c r="V147" s="452">
        <f t="shared" ref="V147:AW147" si="43">(V64-U64)*$C$147</f>
        <v>-3.3908420596505807E-4</v>
      </c>
      <c r="W147" s="452">
        <f t="shared" si="43"/>
        <v>-3.3752441861761541E-4</v>
      </c>
      <c r="X147" s="452">
        <f t="shared" si="43"/>
        <v>-3.3597180629197612E-4</v>
      </c>
      <c r="Y147" s="452">
        <f t="shared" si="43"/>
        <v>-3.3442633598303217E-4</v>
      </c>
      <c r="Z147" s="452">
        <f t="shared" si="43"/>
        <v>-3.3288797483751152E-4</v>
      </c>
      <c r="AA147" s="452">
        <f t="shared" si="43"/>
        <v>-3.3135669015325322E-4</v>
      </c>
      <c r="AB147" s="452">
        <f t="shared" si="43"/>
        <v>-3.2983244937855716E-4</v>
      </c>
      <c r="AC147" s="452">
        <f t="shared" si="43"/>
        <v>-3.2831522011141702E-4</v>
      </c>
      <c r="AD147" s="452">
        <f t="shared" si="43"/>
        <v>-3.2680497009890175E-4</v>
      </c>
      <c r="AE147" s="452">
        <f t="shared" si="43"/>
        <v>-3.2530166723644172E-4</v>
      </c>
      <c r="AF147" s="452">
        <f t="shared" si="43"/>
        <v>-3.2380527956715711E-4</v>
      </c>
      <c r="AG147" s="452">
        <f t="shared" si="43"/>
        <v>-3.2231577528114386E-4</v>
      </c>
      <c r="AH147" s="452">
        <f t="shared" si="43"/>
        <v>-3.2083312271485555E-4</v>
      </c>
      <c r="AI147" s="452">
        <f t="shared" si="43"/>
        <v>-3.1935729035036787E-4</v>
      </c>
      <c r="AJ147" s="452">
        <f t="shared" si="43"/>
        <v>-3.178882468147499E-4</v>
      </c>
      <c r="AK147" s="452">
        <f t="shared" si="43"/>
        <v>-3.1642596087940334E-4</v>
      </c>
      <c r="AL147" s="452">
        <f t="shared" si="43"/>
        <v>-3.1497040145935884E-4</v>
      </c>
      <c r="AM147" s="452">
        <f t="shared" si="43"/>
        <v>-3.1352153761264747E-4</v>
      </c>
      <c r="AN147" s="452">
        <f t="shared" si="43"/>
        <v>-3.1207933853962899E-4</v>
      </c>
      <c r="AO147" s="452">
        <f t="shared" si="43"/>
        <v>-3.1064377358235262E-4</v>
      </c>
      <c r="AP147" s="452">
        <f t="shared" si="43"/>
        <v>-3.0921481222386405E-4</v>
      </c>
      <c r="AQ147" s="452">
        <f t="shared" si="43"/>
        <v>-3.0779242408764064E-4</v>
      </c>
      <c r="AR147" s="452">
        <f t="shared" si="43"/>
        <v>-3.0637657893683469E-4</v>
      </c>
      <c r="AS147" s="452">
        <f t="shared" si="43"/>
        <v>-3.049672466737299E-4</v>
      </c>
      <c r="AT147" s="452">
        <f t="shared" si="43"/>
        <v>-3.0356439733902717E-4</v>
      </c>
      <c r="AU147" s="452">
        <f t="shared" si="43"/>
        <v>-3.0216800111126929E-4</v>
      </c>
      <c r="AV147" s="452">
        <f t="shared" si="43"/>
        <v>-3.0077802830615855E-4</v>
      </c>
      <c r="AW147" s="452">
        <f t="shared" si="43"/>
        <v>-2.9939444937594929E-4</v>
      </c>
      <c r="AX147" s="430" t="s">
        <v>95</v>
      </c>
      <c r="AY147" s="30"/>
      <c r="AZ147" s="30"/>
      <c r="BA147" s="30"/>
      <c r="BB147" s="30"/>
    </row>
    <row r="148" spans="2:54" ht="14.5" x14ac:dyDescent="0.35">
      <c r="B148" s="1019"/>
      <c r="C148" s="424">
        <v>1.35E-2</v>
      </c>
      <c r="D148" s="1020" t="s">
        <v>101</v>
      </c>
      <c r="E148" s="1021"/>
      <c r="F148" s="425" t="s">
        <v>81</v>
      </c>
      <c r="G148" s="425" t="s">
        <v>95</v>
      </c>
      <c r="H148" s="425" t="s">
        <v>95</v>
      </c>
      <c r="I148" s="425">
        <v>2.0000000000000002E-5</v>
      </c>
      <c r="J148" s="425" t="s">
        <v>95</v>
      </c>
      <c r="K148" s="425">
        <v>2.0000000000000002E-5</v>
      </c>
      <c r="L148" s="425" t="s">
        <v>95</v>
      </c>
      <c r="M148" s="425">
        <v>2.0000000000000002E-5</v>
      </c>
      <c r="N148" s="425" t="s">
        <v>95</v>
      </c>
      <c r="O148" s="425">
        <v>6.9999999999999994E-5</v>
      </c>
      <c r="P148" s="425" t="s">
        <v>95</v>
      </c>
      <c r="Q148" s="425">
        <v>1.8000000000000001E-4</v>
      </c>
      <c r="R148" s="451"/>
      <c r="S148" s="451"/>
      <c r="T148" s="451"/>
      <c r="U148" s="452">
        <f>(U65-T65)*$C$148</f>
        <v>2.4364476209589455E-7</v>
      </c>
      <c r="V148" s="452">
        <f t="shared" ref="V148:AW148" si="44">(V65-U65)*$C$148</f>
        <v>2.3839791767833046E-7</v>
      </c>
      <c r="W148" s="452">
        <f t="shared" si="44"/>
        <v>2.3317290712273481E-7</v>
      </c>
      <c r="X148" s="452">
        <f t="shared" si="44"/>
        <v>2.2806413819134037E-7</v>
      </c>
      <c r="Y148" s="452">
        <f t="shared" si="44"/>
        <v>2.2285645399996307E-7</v>
      </c>
      <c r="Z148" s="452">
        <f t="shared" si="44"/>
        <v>2.1772037101636109E-7</v>
      </c>
      <c r="AA148" s="452">
        <f t="shared" si="44"/>
        <v>2.1258029376740316E-7</v>
      </c>
      <c r="AB148" s="452">
        <f t="shared" si="44"/>
        <v>2.0755869120712976E-7</v>
      </c>
      <c r="AC148" s="452">
        <f t="shared" si="44"/>
        <v>2.0244883458941931E-7</v>
      </c>
      <c r="AD148" s="452">
        <f t="shared" si="44"/>
        <v>1.9737483947965957E-7</v>
      </c>
      <c r="AE148" s="452">
        <f t="shared" si="44"/>
        <v>1.9230355297811253E-7</v>
      </c>
      <c r="AF148" s="452">
        <f t="shared" si="44"/>
        <v>1.8721239377220838E-7</v>
      </c>
      <c r="AG148" s="452">
        <f t="shared" si="44"/>
        <v>1.8218005706742425E-7</v>
      </c>
      <c r="AH148" s="452">
        <f t="shared" si="44"/>
        <v>1.7714673455601626E-7</v>
      </c>
      <c r="AI148" s="452">
        <f t="shared" si="44"/>
        <v>1.7216508526474856E-7</v>
      </c>
      <c r="AJ148" s="452">
        <f t="shared" si="44"/>
        <v>1.6716186298777052E-7</v>
      </c>
      <c r="AK148" s="452">
        <f t="shared" si="44"/>
        <v>1.6222344336734583E-7</v>
      </c>
      <c r="AL148" s="452">
        <f t="shared" si="44"/>
        <v>1.5729672012116531E-7</v>
      </c>
      <c r="AM148" s="452">
        <f t="shared" si="44"/>
        <v>1.5241144098250558E-7</v>
      </c>
      <c r="AN148" s="452">
        <f t="shared" si="44"/>
        <v>1.476176813933472E-7</v>
      </c>
      <c r="AO148" s="452">
        <f t="shared" si="44"/>
        <v>1.4287919189100857E-7</v>
      </c>
      <c r="AP148" s="452">
        <f t="shared" si="44"/>
        <v>1.3815460309088422E-7</v>
      </c>
      <c r="AQ148" s="452">
        <f t="shared" si="44"/>
        <v>1.3351068380039465E-7</v>
      </c>
      <c r="AR148" s="452">
        <f t="shared" si="44"/>
        <v>1.2887436348291843E-7</v>
      </c>
      <c r="AS148" s="452">
        <f t="shared" si="44"/>
        <v>1.2430753825624919E-7</v>
      </c>
      <c r="AT148" s="452">
        <f t="shared" si="44"/>
        <v>1.1984763423278366E-7</v>
      </c>
      <c r="AU148" s="452">
        <f t="shared" si="44"/>
        <v>1.153677970633718E-7</v>
      </c>
      <c r="AV148" s="452">
        <f t="shared" si="44"/>
        <v>1.1099859102964987E-7</v>
      </c>
      <c r="AW148" s="452">
        <f t="shared" si="44"/>
        <v>1.0674298314662656E-7</v>
      </c>
      <c r="AX148" s="430" t="s">
        <v>95</v>
      </c>
      <c r="AY148" s="33"/>
      <c r="AZ148" s="33"/>
      <c r="BA148" s="33"/>
      <c r="BB148" s="33"/>
    </row>
    <row r="149" spans="2:54" ht="14.5" x14ac:dyDescent="0.35">
      <c r="B149" s="1019"/>
      <c r="C149" s="424">
        <v>0.29187999999999997</v>
      </c>
      <c r="D149" s="1020" t="s">
        <v>106</v>
      </c>
      <c r="E149" s="1021"/>
      <c r="F149" s="425" t="s">
        <v>81</v>
      </c>
      <c r="G149" s="425" t="s">
        <v>95</v>
      </c>
      <c r="H149" s="425" t="s">
        <v>95</v>
      </c>
      <c r="I149" s="425">
        <v>9.6900000000000007E-3</v>
      </c>
      <c r="J149" s="425" t="s">
        <v>95</v>
      </c>
      <c r="K149" s="425">
        <v>9.6900000000000007E-3</v>
      </c>
      <c r="L149" s="425" t="s">
        <v>95</v>
      </c>
      <c r="M149" s="425">
        <v>9.6900000000000007E-3</v>
      </c>
      <c r="N149" s="425" t="s">
        <v>95</v>
      </c>
      <c r="O149" s="425">
        <v>2.32E-3</v>
      </c>
      <c r="P149" s="425" t="s">
        <v>95</v>
      </c>
      <c r="Q149" s="425">
        <v>1.422E-2</v>
      </c>
      <c r="R149" s="451"/>
      <c r="S149" s="451"/>
      <c r="T149" s="451"/>
      <c r="U149" s="452">
        <f>(U67-T67)*$C$149</f>
        <v>-1.3741907951457095E-2</v>
      </c>
      <c r="V149" s="452">
        <f t="shared" ref="V149:AW149" si="45">(V67-U67)*$C$149</f>
        <v>-1.0634170206334081E-3</v>
      </c>
      <c r="W149" s="452">
        <f t="shared" si="45"/>
        <v>1.6399348360419563E-2</v>
      </c>
      <c r="X149" s="452">
        <f t="shared" si="45"/>
        <v>7.5665449349315384E-4</v>
      </c>
      <c r="Y149" s="452">
        <f t="shared" si="45"/>
        <v>1.7944370763033336E-2</v>
      </c>
      <c r="Z149" s="452">
        <f t="shared" si="45"/>
        <v>8.5521889584061223E-3</v>
      </c>
      <c r="AA149" s="452">
        <f t="shared" si="45"/>
        <v>8.2362462127441565E-3</v>
      </c>
      <c r="AB149" s="452">
        <f t="shared" si="45"/>
        <v>7.4602406556461397E-3</v>
      </c>
      <c r="AC149" s="452">
        <f t="shared" si="45"/>
        <v>8.3358201906410523E-3</v>
      </c>
      <c r="AD149" s="452">
        <f t="shared" si="45"/>
        <v>-7.8478793452560578E-4</v>
      </c>
      <c r="AE149" s="452">
        <f t="shared" si="45"/>
        <v>6.8622698845851185E-3</v>
      </c>
      <c r="AF149" s="452">
        <f t="shared" si="45"/>
        <v>7.8380482137642479E-3</v>
      </c>
      <c r="AG149" s="452">
        <f t="shared" si="45"/>
        <v>6.321009503744199E-3</v>
      </c>
      <c r="AH149" s="452">
        <f t="shared" si="45"/>
        <v>6.1698599006799965E-3</v>
      </c>
      <c r="AI149" s="452">
        <f t="shared" si="45"/>
        <v>3.938986377975121E-3</v>
      </c>
      <c r="AJ149" s="452">
        <f t="shared" si="45"/>
        <v>3.4001070205650062E-3</v>
      </c>
      <c r="AK149" s="452">
        <f t="shared" si="45"/>
        <v>3.0062158583920359E-3</v>
      </c>
      <c r="AL149" s="452">
        <f t="shared" si="45"/>
        <v>4.1851803991635999E-3</v>
      </c>
      <c r="AM149" s="452">
        <f t="shared" si="45"/>
        <v>3.8585842309746487E-3</v>
      </c>
      <c r="AN149" s="452">
        <f t="shared" si="45"/>
        <v>3.6615660948832052E-3</v>
      </c>
      <c r="AO149" s="452">
        <f t="shared" si="45"/>
        <v>3.5350770256818453E-3</v>
      </c>
      <c r="AP149" s="452">
        <f t="shared" si="45"/>
        <v>3.0530781430670811E-3</v>
      </c>
      <c r="AQ149" s="452">
        <f t="shared" si="45"/>
        <v>3.413125414825463E-3</v>
      </c>
      <c r="AR149" s="452">
        <f t="shared" si="45"/>
        <v>3.1275437071721698E-3</v>
      </c>
      <c r="AS149" s="452">
        <f t="shared" si="45"/>
        <v>3.5817471224325118E-3</v>
      </c>
      <c r="AT149" s="452">
        <f t="shared" si="45"/>
        <v>3.1206054077444569E-3</v>
      </c>
      <c r="AU149" s="452">
        <f t="shared" si="45"/>
        <v>3.0094318435280017E-3</v>
      </c>
      <c r="AV149" s="452">
        <f t="shared" si="45"/>
        <v>3.0007682605726234E-3</v>
      </c>
      <c r="AW149" s="452">
        <f t="shared" si="45"/>
        <v>2.9465139544438751E-3</v>
      </c>
      <c r="AX149" s="430" t="s">
        <v>95</v>
      </c>
      <c r="AY149" s="33"/>
      <c r="AZ149" s="33"/>
      <c r="BA149" s="33"/>
      <c r="BB149" s="33"/>
    </row>
    <row r="150" spans="2:54" ht="14.5" x14ac:dyDescent="0.35">
      <c r="B150" s="1019"/>
      <c r="C150" s="424">
        <v>0.29187999999999997</v>
      </c>
      <c r="D150" s="1022" t="s">
        <v>146</v>
      </c>
      <c r="E150" s="1023"/>
      <c r="F150" s="425" t="s">
        <v>81</v>
      </c>
      <c r="G150" s="425"/>
      <c r="H150" s="425"/>
      <c r="I150" s="425"/>
      <c r="J150" s="425"/>
      <c r="K150" s="425"/>
      <c r="L150" s="425"/>
      <c r="M150" s="425"/>
      <c r="N150" s="425"/>
      <c r="O150" s="425"/>
      <c r="P150" s="425"/>
      <c r="Q150" s="425"/>
      <c r="R150" s="451"/>
      <c r="S150" s="451"/>
      <c r="T150" s="451"/>
      <c r="U150" s="452">
        <f>(U70-T70)*$C$150</f>
        <v>3.039696738991873E-2</v>
      </c>
      <c r="V150" s="452">
        <f t="shared" ref="V150:AW150" si="46">(V70-U70)*$C$150</f>
        <v>1.7562136559690397E-2</v>
      </c>
      <c r="W150" s="452">
        <f t="shared" si="46"/>
        <v>8.6159129967528113E-5</v>
      </c>
      <c r="X150" s="452">
        <f t="shared" si="46"/>
        <v>1.5543736026184083E-2</v>
      </c>
      <c r="Y150" s="452">
        <f t="shared" si="46"/>
        <v>-1.6980262084049474E-3</v>
      </c>
      <c r="Z150" s="452">
        <f t="shared" si="46"/>
        <v>7.615648829045793E-3</v>
      </c>
      <c r="AA150" s="452">
        <f t="shared" si="46"/>
        <v>7.8790270686899984E-3</v>
      </c>
      <c r="AB150" s="452">
        <f t="shared" si="46"/>
        <v>8.460593753316141E-3</v>
      </c>
      <c r="AC150" s="452">
        <f t="shared" si="46"/>
        <v>7.5759049272290683E-3</v>
      </c>
      <c r="AD150" s="452">
        <f t="shared" si="46"/>
        <v>1.6630917969170773E-2</v>
      </c>
      <c r="AE150" s="452">
        <f t="shared" si="46"/>
        <v>8.8945117565992094E-3</v>
      </c>
      <c r="AF150" s="452">
        <f t="shared" si="46"/>
        <v>7.8397156574493507E-3</v>
      </c>
      <c r="AG150" s="452">
        <f t="shared" si="46"/>
        <v>9.2786333563191544E-3</v>
      </c>
      <c r="AH150" s="452">
        <f t="shared" si="46"/>
        <v>9.3322746506507345E-3</v>
      </c>
      <c r="AI150" s="452">
        <f t="shared" si="46"/>
        <v>1.1540579629364021E-2</v>
      </c>
      <c r="AJ150" s="452">
        <f t="shared" si="46"/>
        <v>1.197185063776836E-2</v>
      </c>
      <c r="AK150" s="452">
        <f t="shared" si="46"/>
        <v>1.2333300278593357E-2</v>
      </c>
      <c r="AL150" s="452">
        <f t="shared" si="46"/>
        <v>1.1092392163445004E-2</v>
      </c>
      <c r="AM150" s="452">
        <f t="shared" si="46"/>
        <v>1.1359382255508699E-2</v>
      </c>
      <c r="AN150" s="452">
        <f t="shared" si="46"/>
        <v>1.1487083481445051E-2</v>
      </c>
      <c r="AO150" s="452">
        <f t="shared" si="46"/>
        <v>1.1566702904453326E-2</v>
      </c>
      <c r="AP150" s="452">
        <f t="shared" si="46"/>
        <v>1.1943234592418452E-2</v>
      </c>
      <c r="AQ150" s="452">
        <f t="shared" si="46"/>
        <v>1.1572193468188214E-2</v>
      </c>
      <c r="AR150" s="452">
        <f t="shared" si="46"/>
        <v>1.1764649487150921E-2</v>
      </c>
      <c r="AS150" s="452">
        <f t="shared" si="46"/>
        <v>1.1294048788227904E-2</v>
      </c>
      <c r="AT150" s="452">
        <f t="shared" si="46"/>
        <v>1.1652605765245622E-2</v>
      </c>
      <c r="AU150" s="452">
        <f t="shared" si="46"/>
        <v>1.1704917165859441E-2</v>
      </c>
      <c r="AV150" s="452">
        <f t="shared" si="46"/>
        <v>1.1647943933687866E-2</v>
      </c>
      <c r="AW150" s="452">
        <f t="shared" si="46"/>
        <v>1.1642133672194115E-2</v>
      </c>
      <c r="AX150" s="430"/>
      <c r="AY150" s="33"/>
      <c r="AZ150" s="33"/>
      <c r="BA150" s="33"/>
      <c r="BB150" s="33"/>
    </row>
    <row r="151" spans="2:54" ht="14.5" x14ac:dyDescent="0.35">
      <c r="B151" s="1019"/>
      <c r="C151" s="424">
        <v>1.47E-2</v>
      </c>
      <c r="D151" s="1020" t="s">
        <v>102</v>
      </c>
      <c r="E151" s="1021"/>
      <c r="F151" s="425" t="s">
        <v>81</v>
      </c>
      <c r="G151" s="425" t="s">
        <v>95</v>
      </c>
      <c r="H151" s="425" t="s">
        <v>95</v>
      </c>
      <c r="I151" s="425">
        <v>6.0999999999999997E-4</v>
      </c>
      <c r="J151" s="425" t="s">
        <v>95</v>
      </c>
      <c r="K151" s="425">
        <v>6.0999999999999997E-4</v>
      </c>
      <c r="L151" s="425" t="s">
        <v>95</v>
      </c>
      <c r="M151" s="425">
        <v>6.0999999999999997E-4</v>
      </c>
      <c r="N151" s="425" t="s">
        <v>95</v>
      </c>
      <c r="O151" s="425">
        <v>3.5E-4</v>
      </c>
      <c r="P151" s="425" t="s">
        <v>95</v>
      </c>
      <c r="Q151" s="425">
        <v>2.7999999999999998E-4</v>
      </c>
      <c r="R151" s="451"/>
      <c r="S151" s="451"/>
      <c r="T151" s="451"/>
      <c r="U151" s="452">
        <f>(U72-T72)*$C$151</f>
        <v>-1.2027513077283513E-5</v>
      </c>
      <c r="V151" s="452">
        <f t="shared" ref="V151:AW151" si="47">(V72-U72)*$C$151</f>
        <v>-1.0269876665639943E-5</v>
      </c>
      <c r="W151" s="452">
        <f t="shared" si="47"/>
        <v>-1.0871343458135208E-5</v>
      </c>
      <c r="X151" s="452">
        <f t="shared" si="47"/>
        <v>-8.242713704651949E-6</v>
      </c>
      <c r="Y151" s="452">
        <f t="shared" si="47"/>
        <v>-6.8020241206207639E-6</v>
      </c>
      <c r="Z151" s="452">
        <f t="shared" si="47"/>
        <v>-8.8618450478699097E-6</v>
      </c>
      <c r="AA151" s="452">
        <f t="shared" si="47"/>
        <v>-7.5081057181535899E-6</v>
      </c>
      <c r="AB151" s="452">
        <f t="shared" si="47"/>
        <v>-4.3572364865441136E-6</v>
      </c>
      <c r="AC151" s="452">
        <f t="shared" si="47"/>
        <v>-5.0623384934781691E-6</v>
      </c>
      <c r="AD151" s="452">
        <f t="shared" si="47"/>
        <v>-7.2866603277838221E-6</v>
      </c>
      <c r="AE151" s="452">
        <f t="shared" si="47"/>
        <v>-4.6999427481817955E-6</v>
      </c>
      <c r="AF151" s="452">
        <f t="shared" si="47"/>
        <v>-5.991360727040851E-6</v>
      </c>
      <c r="AG151" s="452">
        <f t="shared" si="47"/>
        <v>-4.1696395449259512E-6</v>
      </c>
      <c r="AH151" s="452">
        <f t="shared" si="47"/>
        <v>-4.326082504538231E-6</v>
      </c>
      <c r="AI151" s="452">
        <f t="shared" si="47"/>
        <v>-5.1717571713124856E-6</v>
      </c>
      <c r="AJ151" s="452">
        <f t="shared" si="47"/>
        <v>-4.6057797846571709E-6</v>
      </c>
      <c r="AK151" s="452">
        <f t="shared" si="47"/>
        <v>-5.2213275740212061E-6</v>
      </c>
      <c r="AL151" s="452">
        <f t="shared" si="47"/>
        <v>-6.4057718968717479E-6</v>
      </c>
      <c r="AM151" s="452">
        <f t="shared" si="47"/>
        <v>-5.9869327081811362E-6</v>
      </c>
      <c r="AN151" s="452">
        <f t="shared" si="47"/>
        <v>-6.645419853171397E-6</v>
      </c>
      <c r="AO151" s="452">
        <f t="shared" si="47"/>
        <v>-6.8962529992955262E-6</v>
      </c>
      <c r="AP151" s="452">
        <f t="shared" si="47"/>
        <v>-5.8028280960726873E-6</v>
      </c>
      <c r="AQ151" s="452">
        <f t="shared" si="47"/>
        <v>-7.7040885450047729E-6</v>
      </c>
      <c r="AR151" s="452">
        <f t="shared" si="47"/>
        <v>-7.0011081848789566E-6</v>
      </c>
      <c r="AS151" s="452">
        <f t="shared" si="47"/>
        <v>-8.7317250456153244E-6</v>
      </c>
      <c r="AT151" s="452">
        <f t="shared" si="47"/>
        <v>-7.4925903602122366E-6</v>
      </c>
      <c r="AU151" s="452">
        <f t="shared" si="47"/>
        <v>-7.41992654647885E-6</v>
      </c>
      <c r="AV151" s="452">
        <f t="shared" si="47"/>
        <v>-7.686692067964262E-6</v>
      </c>
      <c r="AW151" s="452">
        <f t="shared" si="47"/>
        <v>-7.5935869473790157E-6</v>
      </c>
      <c r="AX151" s="430" t="s">
        <v>95</v>
      </c>
      <c r="AY151" s="33"/>
      <c r="AZ151" s="33"/>
      <c r="BA151" s="33"/>
      <c r="BB151" s="33"/>
    </row>
    <row r="152" spans="2:54" ht="14.5" x14ac:dyDescent="0.35">
      <c r="B152" s="1019"/>
      <c r="C152" s="424">
        <v>3.6299999999999999E-2</v>
      </c>
      <c r="D152" s="1020" t="s">
        <v>103</v>
      </c>
      <c r="E152" s="1021"/>
      <c r="F152" s="425" t="s">
        <v>81</v>
      </c>
      <c r="G152" s="425" t="s">
        <v>95</v>
      </c>
      <c r="H152" s="425" t="s">
        <v>95</v>
      </c>
      <c r="I152" s="425">
        <v>2.7999999999999998E-4</v>
      </c>
      <c r="J152" s="425" t="s">
        <v>95</v>
      </c>
      <c r="K152" s="425">
        <v>2.7999999999999998E-4</v>
      </c>
      <c r="L152" s="425" t="s">
        <v>95</v>
      </c>
      <c r="M152" s="425">
        <v>2.7999999999999998E-4</v>
      </c>
      <c r="N152" s="425" t="s">
        <v>95</v>
      </c>
      <c r="O152" s="425">
        <v>2.5000000000000001E-4</v>
      </c>
      <c r="P152" s="425" t="s">
        <v>95</v>
      </c>
      <c r="Q152" s="425">
        <v>4.4000000000000002E-4</v>
      </c>
      <c r="R152" s="451"/>
      <c r="S152" s="451"/>
      <c r="T152" s="451"/>
      <c r="U152" s="452">
        <f>(U74-T74)*$C$152</f>
        <v>-7.0103005977867225E-6</v>
      </c>
      <c r="V152" s="452">
        <f t="shared" ref="V152:AW152" si="48">(V74-U74)*$C$152</f>
        <v>-1.3250525503031796E-6</v>
      </c>
      <c r="W152" s="452">
        <f t="shared" si="48"/>
        <v>-7.5515223874618782E-6</v>
      </c>
      <c r="X152" s="452">
        <f t="shared" si="48"/>
        <v>-3.0902197197932854E-7</v>
      </c>
      <c r="Y152" s="452">
        <f t="shared" si="48"/>
        <v>-6.3821181625389466E-6</v>
      </c>
      <c r="Z152" s="452">
        <f t="shared" si="48"/>
        <v>-7.0497024470168038E-7</v>
      </c>
      <c r="AA152" s="452">
        <f t="shared" si="48"/>
        <v>-6.6275958077783636E-6</v>
      </c>
      <c r="AB152" s="452">
        <f t="shared" si="48"/>
        <v>7.1877628378434472E-7</v>
      </c>
      <c r="AC152" s="452">
        <f t="shared" si="48"/>
        <v>-5.4048459179078854E-6</v>
      </c>
      <c r="AD152" s="452">
        <f t="shared" si="48"/>
        <v>-6.8671534396534396E-7</v>
      </c>
      <c r="AE152" s="452">
        <f t="shared" si="48"/>
        <v>-4.8424646256856881E-6</v>
      </c>
      <c r="AF152" s="452">
        <f t="shared" si="48"/>
        <v>-6.4872513092616989E-7</v>
      </c>
      <c r="AG152" s="452">
        <f t="shared" si="48"/>
        <v>-4.1933700924369545E-6</v>
      </c>
      <c r="AH152" s="452">
        <f t="shared" si="48"/>
        <v>-3.8494078097682235E-7</v>
      </c>
      <c r="AI152" s="452">
        <f t="shared" si="48"/>
        <v>-4.1396700624225343E-6</v>
      </c>
      <c r="AJ152" s="452">
        <f t="shared" si="48"/>
        <v>-7.4748384069885372E-7</v>
      </c>
      <c r="AK152" s="452">
        <f t="shared" si="48"/>
        <v>-3.7331014566518716E-6</v>
      </c>
      <c r="AL152" s="452">
        <f t="shared" si="48"/>
        <v>-1.5884706097085476E-6</v>
      </c>
      <c r="AM152" s="452">
        <f t="shared" si="48"/>
        <v>-3.6359719541214697E-6</v>
      </c>
      <c r="AN152" s="452">
        <f t="shared" si="48"/>
        <v>-1.7662423690140205E-6</v>
      </c>
      <c r="AO152" s="452">
        <f t="shared" si="48"/>
        <v>-3.6374321095350826E-6</v>
      </c>
      <c r="AP152" s="452">
        <f t="shared" si="48"/>
        <v>-1.4963062498118185E-6</v>
      </c>
      <c r="AQ152" s="452">
        <f t="shared" si="48"/>
        <v>-3.6573332906820131E-6</v>
      </c>
      <c r="AR152" s="452">
        <f t="shared" si="48"/>
        <v>-1.9955163146155252E-6</v>
      </c>
      <c r="AS152" s="452">
        <f t="shared" si="48"/>
        <v>-3.8259660038797326E-6</v>
      </c>
      <c r="AT152" s="452">
        <f t="shared" si="48"/>
        <v>-2.2318088232619605E-6</v>
      </c>
      <c r="AU152" s="452">
        <f t="shared" si="48"/>
        <v>-3.1587065630415467E-6</v>
      </c>
      <c r="AV152" s="452">
        <f t="shared" si="48"/>
        <v>-2.3690566969539306E-6</v>
      </c>
      <c r="AW152" s="452">
        <f t="shared" si="48"/>
        <v>-3.1214914696223617E-6</v>
      </c>
      <c r="AX152" s="430" t="s">
        <v>95</v>
      </c>
      <c r="AY152" s="33"/>
      <c r="AZ152" s="33"/>
      <c r="BA152" s="33"/>
      <c r="BB152" s="33"/>
    </row>
    <row r="153" spans="2:54" ht="14.5" x14ac:dyDescent="0.35">
      <c r="B153" s="1019"/>
      <c r="C153" s="424">
        <v>0.10150000000000001</v>
      </c>
      <c r="D153" s="1020" t="s">
        <v>57</v>
      </c>
      <c r="E153" s="1021"/>
      <c r="F153" s="425" t="s">
        <v>81</v>
      </c>
      <c r="G153" s="425" t="s">
        <v>95</v>
      </c>
      <c r="H153" s="425" t="s">
        <v>95</v>
      </c>
      <c r="I153" s="425">
        <v>2.2000000000000001E-4</v>
      </c>
      <c r="J153" s="425" t="s">
        <v>95</v>
      </c>
      <c r="K153" s="425">
        <v>2.2000000000000001E-4</v>
      </c>
      <c r="L153" s="425" t="s">
        <v>95</v>
      </c>
      <c r="M153" s="425">
        <v>2.2000000000000001E-4</v>
      </c>
      <c r="N153" s="425" t="s">
        <v>95</v>
      </c>
      <c r="O153" s="425">
        <v>1.2E-4</v>
      </c>
      <c r="P153" s="425" t="s">
        <v>95</v>
      </c>
      <c r="Q153" s="425">
        <v>7.5000000000000002E-4</v>
      </c>
      <c r="R153" s="451"/>
      <c r="S153" s="451"/>
      <c r="T153" s="451"/>
      <c r="U153" s="452">
        <f>(U79-T79)*$C$153</f>
        <v>-3.2769076691997741E-5</v>
      </c>
      <c r="V153" s="452">
        <f t="shared" ref="V153:AW153" si="49">(V79-U79)*$C$153</f>
        <v>-3.2670769461921463E-5</v>
      </c>
      <c r="W153" s="452">
        <f t="shared" si="49"/>
        <v>-3.2572757153535337E-5</v>
      </c>
      <c r="X153" s="452">
        <f t="shared" si="49"/>
        <v>-3.2475038882075182E-5</v>
      </c>
      <c r="Y153" s="452">
        <f t="shared" si="49"/>
        <v>-3.2377613765429233E-5</v>
      </c>
      <c r="Z153" s="452">
        <f t="shared" si="49"/>
        <v>-3.2280480924132463E-5</v>
      </c>
      <c r="AA153" s="452">
        <f t="shared" si="49"/>
        <v>-3.2183639481360944E-5</v>
      </c>
      <c r="AB153" s="452">
        <f t="shared" si="49"/>
        <v>-3.2087088562916406E-5</v>
      </c>
      <c r="AC153" s="452">
        <f t="shared" si="49"/>
        <v>-3.1990827297227574E-5</v>
      </c>
      <c r="AD153" s="452">
        <f t="shared" si="49"/>
        <v>-3.1894854815336133E-5</v>
      </c>
      <c r="AE153" s="452">
        <f t="shared" si="49"/>
        <v>-3.1799170250889678E-5</v>
      </c>
      <c r="AF153" s="452">
        <f t="shared" si="49"/>
        <v>-3.1703772740137474E-5</v>
      </c>
      <c r="AG153" s="452">
        <f t="shared" si="49"/>
        <v>-3.1608661421916362E-5</v>
      </c>
      <c r="AH153" s="452">
        <f t="shared" si="49"/>
        <v>-3.1513835437650789E-5</v>
      </c>
      <c r="AI153" s="452">
        <f t="shared" si="49"/>
        <v>-3.1419293931338706E-5</v>
      </c>
      <c r="AJ153" s="452">
        <f t="shared" si="49"/>
        <v>-3.132503604954451E-5</v>
      </c>
      <c r="AK153" s="452">
        <f t="shared" si="49"/>
        <v>-3.1231060941394854E-5</v>
      </c>
      <c r="AL153" s="452">
        <f t="shared" si="49"/>
        <v>-3.1137367758571558E-5</v>
      </c>
      <c r="AM153" s="452">
        <f t="shared" si="49"/>
        <v>-3.104395565529617E-5</v>
      </c>
      <c r="AN153" s="452">
        <f t="shared" si="49"/>
        <v>-3.095082378832991E-5</v>
      </c>
      <c r="AO153" s="452">
        <f t="shared" si="49"/>
        <v>-3.0857971316965261E-5</v>
      </c>
      <c r="AP153" s="452">
        <f t="shared" si="49"/>
        <v>-3.0765397403013255E-5</v>
      </c>
      <c r="AQ153" s="452">
        <f t="shared" si="49"/>
        <v>-3.0673101210804924E-5</v>
      </c>
      <c r="AR153" s="452">
        <f t="shared" si="49"/>
        <v>-3.058108190717295E-5</v>
      </c>
      <c r="AS153" s="452">
        <f t="shared" si="49"/>
        <v>-3.0489338661450282E-5</v>
      </c>
      <c r="AT153" s="452">
        <f t="shared" si="49"/>
        <v>-3.0397870645465893E-5</v>
      </c>
      <c r="AU153" s="452">
        <f t="shared" si="49"/>
        <v>-3.03066770335307E-5</v>
      </c>
      <c r="AV153" s="452">
        <f t="shared" si="49"/>
        <v>-3.0215757002429116E-5</v>
      </c>
      <c r="AW153" s="452">
        <f t="shared" si="49"/>
        <v>-3.0125109731421873E-5</v>
      </c>
      <c r="AX153" s="430" t="s">
        <v>95</v>
      </c>
      <c r="AY153" s="33"/>
      <c r="AZ153" s="33"/>
      <c r="BA153" s="33"/>
      <c r="BB153" s="33"/>
    </row>
    <row r="154" spans="2:54" ht="14.5" x14ac:dyDescent="0.35">
      <c r="B154" s="373" t="s">
        <v>95</v>
      </c>
      <c r="C154" s="34"/>
      <c r="D154" s="431" t="s">
        <v>95</v>
      </c>
      <c r="E154" s="432" t="s">
        <v>95</v>
      </c>
      <c r="F154" s="433" t="s">
        <v>24</v>
      </c>
      <c r="G154" s="437" t="s">
        <v>95</v>
      </c>
      <c r="H154" s="437" t="s">
        <v>95</v>
      </c>
      <c r="I154" s="433">
        <v>1.15E-2</v>
      </c>
      <c r="J154" s="433" t="s">
        <v>95</v>
      </c>
      <c r="K154" s="433">
        <v>1.15E-2</v>
      </c>
      <c r="L154" s="433" t="s">
        <v>95</v>
      </c>
      <c r="M154" s="433">
        <v>1.15E-2</v>
      </c>
      <c r="N154" s="433" t="s">
        <v>95</v>
      </c>
      <c r="O154" s="433">
        <v>3.46E-3</v>
      </c>
      <c r="P154" s="433" t="s">
        <v>95</v>
      </c>
      <c r="Q154" s="433">
        <v>1.6420000000000001E-2</v>
      </c>
      <c r="R154" s="441">
        <f>SUM(R147:R153)</f>
        <v>0</v>
      </c>
      <c r="S154" s="441">
        <f t="shared" ref="S154:AW154" si="50">SUM(S147:S153)</f>
        <v>0</v>
      </c>
      <c r="T154" s="441">
        <f t="shared" si="50"/>
        <v>0</v>
      </c>
      <c r="U154" s="442">
        <f t="shared" si="50"/>
        <v>1.6262844991364742E-2</v>
      </c>
      <c r="V154" s="442">
        <f t="shared" si="50"/>
        <v>1.6115608032331745E-2</v>
      </c>
      <c r="W154" s="442">
        <f t="shared" si="50"/>
        <v>1.6097220621677465E-2</v>
      </c>
      <c r="X154" s="442">
        <f t="shared" si="50"/>
        <v>1.5923620002964742E-2</v>
      </c>
      <c r="Y154" s="442">
        <f t="shared" si="50"/>
        <v>1.5866579319050764E-2</v>
      </c>
      <c r="Z154" s="442">
        <f t="shared" si="50"/>
        <v>1.5793320236768715E-2</v>
      </c>
      <c r="AA154" s="442">
        <f t="shared" si="50"/>
        <v>1.5737809830567377E-2</v>
      </c>
      <c r="AB154" s="442">
        <f t="shared" si="50"/>
        <v>1.5555483969509256E-2</v>
      </c>
      <c r="AC154" s="442">
        <f t="shared" si="50"/>
        <v>1.5541154334884679E-2</v>
      </c>
      <c r="AD154" s="442">
        <f t="shared" si="50"/>
        <v>1.5479654208898659E-2</v>
      </c>
      <c r="AE154" s="442">
        <f t="shared" si="50"/>
        <v>1.5390330699876107E-2</v>
      </c>
      <c r="AF154" s="442">
        <f t="shared" si="50"/>
        <v>1.5315801945442109E-2</v>
      </c>
      <c r="AG154" s="442">
        <f t="shared" si="50"/>
        <v>1.5237537593779998E-2</v>
      </c>
      <c r="AH154" s="442">
        <f t="shared" si="50"/>
        <v>1.5145253716627267E-2</v>
      </c>
      <c r="AI154" s="442">
        <f t="shared" si="50"/>
        <v>1.5119650160908967E-2</v>
      </c>
      <c r="AJ154" s="442">
        <f t="shared" si="50"/>
        <v>1.5017558273706705E-2</v>
      </c>
      <c r="AK154" s="442">
        <f t="shared" si="50"/>
        <v>1.4983066909577286E-2</v>
      </c>
      <c r="AL154" s="442">
        <f t="shared" si="50"/>
        <v>1.4923627847604214E-2</v>
      </c>
      <c r="AM154" s="442">
        <f t="shared" si="50"/>
        <v>1.4863930499994083E-2</v>
      </c>
      <c r="AN154" s="442">
        <f t="shared" si="50"/>
        <v>1.4797355369459506E-2</v>
      </c>
      <c r="AO154" s="442">
        <f t="shared" si="50"/>
        <v>1.4749887379318915E-2</v>
      </c>
      <c r="AP154" s="442">
        <f t="shared" si="50"/>
        <v>1.464917154611586E-2</v>
      </c>
      <c r="AQ154" s="442">
        <f t="shared" si="50"/>
        <v>1.4635625446563343E-2</v>
      </c>
      <c r="AR154" s="442">
        <f t="shared" si="50"/>
        <v>1.454636778334307E-2</v>
      </c>
      <c r="AS154" s="442">
        <f t="shared" si="50"/>
        <v>1.4527905941813997E-2</v>
      </c>
      <c r="AT154" s="442">
        <f t="shared" si="50"/>
        <v>1.4429644353456346E-2</v>
      </c>
      <c r="AU154" s="442">
        <f t="shared" si="50"/>
        <v>1.4371411065930186E-2</v>
      </c>
      <c r="AV154" s="442">
        <f t="shared" si="50"/>
        <v>1.4307773658778012E-2</v>
      </c>
      <c r="AW154" s="442">
        <f t="shared" si="50"/>
        <v>1.4248519732096763E-2</v>
      </c>
      <c r="AX154" s="436" t="s">
        <v>95</v>
      </c>
      <c r="AY154" s="14"/>
      <c r="AZ154" s="14"/>
      <c r="BA154" s="14"/>
      <c r="BB154" s="14"/>
    </row>
    <row r="155" spans="2:54" ht="14.5" x14ac:dyDescent="0.35">
      <c r="B155" s="373"/>
      <c r="C155" s="34"/>
      <c r="D155" s="431"/>
      <c r="E155" s="432"/>
      <c r="F155" s="437"/>
      <c r="G155" s="437"/>
      <c r="H155" s="437"/>
      <c r="I155" s="437"/>
      <c r="J155" s="437"/>
      <c r="K155" s="437"/>
      <c r="L155" s="437"/>
      <c r="M155" s="437"/>
      <c r="N155" s="437"/>
      <c r="O155" s="437"/>
      <c r="P155" s="437"/>
      <c r="Q155" s="437"/>
      <c r="R155" s="453"/>
      <c r="S155" s="453"/>
      <c r="T155" s="453"/>
      <c r="U155" s="453"/>
      <c r="V155" s="453"/>
      <c r="W155" s="453"/>
      <c r="X155" s="453"/>
      <c r="Y155" s="453"/>
      <c r="Z155" s="453"/>
      <c r="AA155" s="453"/>
      <c r="AB155" s="453"/>
      <c r="AC155" s="453"/>
      <c r="AD155" s="453"/>
      <c r="AE155" s="453"/>
      <c r="AF155" s="453"/>
      <c r="AG155" s="453"/>
      <c r="AH155" s="453"/>
      <c r="AI155" s="453"/>
      <c r="AJ155" s="453"/>
      <c r="AK155" s="453"/>
      <c r="AL155" s="453"/>
      <c r="AM155" s="453"/>
      <c r="AN155" s="453"/>
      <c r="AO155" s="453"/>
      <c r="AP155" s="453"/>
      <c r="AQ155" s="453"/>
      <c r="AR155" s="453"/>
      <c r="AS155" s="453"/>
      <c r="AT155" s="453"/>
      <c r="AU155" s="453"/>
      <c r="AV155" s="453"/>
      <c r="AW155" s="453"/>
      <c r="AX155" s="436"/>
      <c r="AY155" s="14"/>
      <c r="AZ155" s="14"/>
      <c r="BA155" s="14"/>
      <c r="BB155" s="14"/>
    </row>
    <row r="156" spans="2:54" ht="15.5" x14ac:dyDescent="0.35">
      <c r="B156" s="373"/>
      <c r="C156" s="34"/>
      <c r="D156" s="431"/>
      <c r="E156" s="432"/>
      <c r="F156" s="393" t="s">
        <v>148</v>
      </c>
      <c r="G156" s="437"/>
      <c r="H156" s="437"/>
      <c r="I156" s="437"/>
      <c r="J156" s="437"/>
      <c r="K156" s="437"/>
      <c r="L156" s="437"/>
      <c r="M156" s="437"/>
      <c r="N156" s="437"/>
      <c r="O156" s="437"/>
      <c r="P156" s="437"/>
      <c r="Q156" s="437"/>
      <c r="R156" s="453"/>
      <c r="S156" s="453"/>
      <c r="T156" s="453"/>
      <c r="U156" s="453"/>
      <c r="V156" s="453"/>
      <c r="W156" s="453"/>
      <c r="X156" s="453"/>
      <c r="Y156" s="453"/>
      <c r="Z156" s="453"/>
      <c r="AA156" s="453"/>
      <c r="AB156" s="453"/>
      <c r="AC156" s="453"/>
      <c r="AD156" s="453"/>
      <c r="AE156" s="453"/>
      <c r="AF156" s="453"/>
      <c r="AG156" s="453"/>
      <c r="AH156" s="453"/>
      <c r="AI156" s="453"/>
      <c r="AJ156" s="453"/>
      <c r="AK156" s="453"/>
      <c r="AL156" s="453"/>
      <c r="AM156" s="453"/>
      <c r="AN156" s="453"/>
      <c r="AO156" s="453"/>
      <c r="AP156" s="453"/>
      <c r="AQ156" s="453"/>
      <c r="AR156" s="453"/>
      <c r="AS156" s="453"/>
      <c r="AT156" s="453"/>
      <c r="AU156" s="453"/>
      <c r="AV156" s="453"/>
      <c r="AW156" s="453"/>
      <c r="AX156" s="436"/>
      <c r="AY156" s="14"/>
      <c r="AZ156" s="14"/>
      <c r="BA156" s="14"/>
      <c r="BB156" s="14"/>
    </row>
    <row r="157" spans="2:54" ht="14.5" x14ac:dyDescent="0.35">
      <c r="B157" s="373"/>
      <c r="C157" s="34"/>
      <c r="D157" s="454" t="s">
        <v>139</v>
      </c>
      <c r="E157" s="432"/>
      <c r="F157" s="437"/>
      <c r="G157" s="437"/>
      <c r="H157" s="437"/>
      <c r="I157" s="437"/>
      <c r="J157" s="437"/>
      <c r="K157" s="437"/>
      <c r="L157" s="437"/>
      <c r="M157" s="437"/>
      <c r="N157" s="437"/>
      <c r="O157" s="437"/>
      <c r="P157" s="437"/>
      <c r="Q157" s="437"/>
      <c r="R157" s="453"/>
      <c r="S157" s="453"/>
      <c r="T157" s="453"/>
      <c r="U157" s="453"/>
      <c r="V157" s="453"/>
      <c r="W157" s="453"/>
      <c r="X157" s="453"/>
      <c r="Y157" s="453"/>
      <c r="Z157" s="453"/>
      <c r="AA157" s="453"/>
      <c r="AB157" s="453"/>
      <c r="AC157" s="453"/>
      <c r="AD157" s="453"/>
      <c r="AE157" s="453"/>
      <c r="AF157" s="453"/>
      <c r="AG157" s="453"/>
      <c r="AH157" s="453"/>
      <c r="AI157" s="453"/>
      <c r="AJ157" s="453"/>
      <c r="AK157" s="453"/>
      <c r="AL157" s="453"/>
      <c r="AM157" s="453"/>
      <c r="AN157" s="453"/>
      <c r="AO157" s="453"/>
      <c r="AP157" s="453"/>
      <c r="AQ157" s="453"/>
      <c r="AR157" s="453"/>
      <c r="AS157" s="453"/>
      <c r="AT157" s="453"/>
      <c r="AU157" s="453"/>
      <c r="AV157" s="453"/>
      <c r="AW157" s="453"/>
      <c r="AX157" s="436"/>
      <c r="AY157" s="14"/>
      <c r="AZ157" s="14"/>
      <c r="BA157" s="14"/>
      <c r="BB157" s="14"/>
    </row>
    <row r="158" spans="2:54" ht="14.5" x14ac:dyDescent="0.35">
      <c r="B158" s="1019" t="s">
        <v>140</v>
      </c>
      <c r="C158" s="424">
        <v>1E-3</v>
      </c>
      <c r="D158" s="449" t="s">
        <v>99</v>
      </c>
      <c r="E158" s="450"/>
      <c r="F158" s="425" t="s">
        <v>149</v>
      </c>
      <c r="G158" s="425" t="s">
        <v>95</v>
      </c>
      <c r="H158" s="425" t="s">
        <v>95</v>
      </c>
      <c r="I158" s="425"/>
      <c r="J158" s="425"/>
      <c r="K158" s="425"/>
      <c r="L158" s="425"/>
      <c r="M158" s="425"/>
      <c r="N158" s="425"/>
      <c r="O158" s="425"/>
      <c r="P158" s="425"/>
      <c r="Q158" s="425"/>
      <c r="R158" s="451"/>
      <c r="S158" s="451"/>
      <c r="T158" s="451"/>
      <c r="U158" s="452">
        <f>(U64-T64)*$C$158</f>
        <v>-5.6775200248653235E-5</v>
      </c>
      <c r="V158" s="452">
        <f t="shared" ref="V158:AW158" si="51">(V64-U64)*$C$158</f>
        <v>-5.6514034327509681E-5</v>
      </c>
      <c r="W158" s="452">
        <f t="shared" si="51"/>
        <v>-5.6254069769602565E-5</v>
      </c>
      <c r="X158" s="452">
        <f t="shared" si="51"/>
        <v>-5.5995301048662685E-5</v>
      </c>
      <c r="Y158" s="452">
        <f t="shared" si="51"/>
        <v>-5.5737722663838694E-5</v>
      </c>
      <c r="Z158" s="452">
        <f t="shared" si="51"/>
        <v>-5.5481329139585256E-5</v>
      </c>
      <c r="AA158" s="452">
        <f t="shared" si="51"/>
        <v>-5.5226115025542201E-5</v>
      </c>
      <c r="AB158" s="452">
        <f t="shared" si="51"/>
        <v>-5.4972074896426194E-5</v>
      </c>
      <c r="AC158" s="452">
        <f t="shared" si="51"/>
        <v>-5.4719203351902837E-5</v>
      </c>
      <c r="AD158" s="452">
        <f t="shared" si="51"/>
        <v>-5.4467495016483627E-5</v>
      </c>
      <c r="AE158" s="452">
        <f t="shared" si="51"/>
        <v>-5.4216944539406952E-5</v>
      </c>
      <c r="AF158" s="452">
        <f t="shared" si="51"/>
        <v>-5.3967546594526185E-5</v>
      </c>
      <c r="AG158" s="452">
        <f t="shared" si="51"/>
        <v>-5.3719295880190647E-5</v>
      </c>
      <c r="AH158" s="452">
        <f t="shared" si="51"/>
        <v>-5.3472187119142588E-5</v>
      </c>
      <c r="AI158" s="452">
        <f t="shared" si="51"/>
        <v>-5.3226215058394644E-5</v>
      </c>
      <c r="AJ158" s="452">
        <f t="shared" si="51"/>
        <v>-5.2981374469124986E-5</v>
      </c>
      <c r="AK158" s="452">
        <f t="shared" si="51"/>
        <v>-5.2737660146567226E-5</v>
      </c>
      <c r="AL158" s="452">
        <f t="shared" si="51"/>
        <v>-5.2495066909893138E-5</v>
      </c>
      <c r="AM158" s="452">
        <f t="shared" si="51"/>
        <v>-5.2253589602107909E-5</v>
      </c>
      <c r="AN158" s="452">
        <f t="shared" si="51"/>
        <v>-5.2013223089938163E-5</v>
      </c>
      <c r="AO158" s="452">
        <f t="shared" si="51"/>
        <v>-5.1773962263725442E-5</v>
      </c>
      <c r="AP158" s="452">
        <f t="shared" si="51"/>
        <v>-5.1535802037310677E-5</v>
      </c>
      <c r="AQ158" s="452">
        <f t="shared" si="51"/>
        <v>-5.1298737347940106E-5</v>
      </c>
      <c r="AR158" s="452">
        <f t="shared" si="51"/>
        <v>-5.1062763156139113E-5</v>
      </c>
      <c r="AS158" s="452">
        <f t="shared" si="51"/>
        <v>-5.0827874445621645E-5</v>
      </c>
      <c r="AT158" s="452">
        <f t="shared" si="51"/>
        <v>-5.0594066223171197E-5</v>
      </c>
      <c r="AU158" s="452">
        <f t="shared" si="51"/>
        <v>-5.0361333518544882E-5</v>
      </c>
      <c r="AV158" s="452">
        <f t="shared" si="51"/>
        <v>-5.0129671384359756E-5</v>
      </c>
      <c r="AW158" s="452">
        <f t="shared" si="51"/>
        <v>-4.9899074895991547E-5</v>
      </c>
      <c r="AX158" s="430" t="s">
        <v>95</v>
      </c>
      <c r="AY158" s="14"/>
      <c r="AZ158" s="14"/>
      <c r="BA158" s="14"/>
      <c r="BB158" s="14"/>
    </row>
    <row r="159" spans="2:54" ht="14.5" x14ac:dyDescent="0.35">
      <c r="B159" s="1019"/>
      <c r="C159" s="424">
        <v>9.8290000000000002E-2</v>
      </c>
      <c r="D159" s="1020" t="s">
        <v>106</v>
      </c>
      <c r="E159" s="1021"/>
      <c r="F159" s="425" t="s">
        <v>149</v>
      </c>
      <c r="G159" s="425" t="s">
        <v>95</v>
      </c>
      <c r="H159" s="425" t="s">
        <v>95</v>
      </c>
      <c r="I159" s="425"/>
      <c r="J159" s="425"/>
      <c r="K159" s="425"/>
      <c r="L159" s="425"/>
      <c r="M159" s="425"/>
      <c r="N159" s="425"/>
      <c r="O159" s="425"/>
      <c r="P159" s="425"/>
      <c r="Q159" s="425">
        <v>4.7886075E-3</v>
      </c>
      <c r="R159" s="451"/>
      <c r="S159" s="451"/>
      <c r="T159" s="451"/>
      <c r="U159" s="452">
        <f>(U67-T67)*$C$159</f>
        <v>-4.627559725053851E-3</v>
      </c>
      <c r="V159" s="452">
        <f t="shared" ref="V159:AW159" si="52">(V67-U67)*$C$159</f>
        <v>-3.5810353212984E-4</v>
      </c>
      <c r="W159" s="452">
        <f t="shared" si="52"/>
        <v>5.5224474110786587E-3</v>
      </c>
      <c r="X159" s="452">
        <f t="shared" si="52"/>
        <v>2.5480187119858195E-4</v>
      </c>
      <c r="Y159" s="452">
        <f t="shared" si="52"/>
        <v>6.0427305820835503E-3</v>
      </c>
      <c r="Z159" s="452">
        <f t="shared" si="52"/>
        <v>2.8799323445311015E-3</v>
      </c>
      <c r="AA159" s="452">
        <f t="shared" si="52"/>
        <v>2.7735392635693549E-3</v>
      </c>
      <c r="AB159" s="452">
        <f t="shared" si="52"/>
        <v>2.5122209608176619E-3</v>
      </c>
      <c r="AC159" s="452">
        <f t="shared" si="52"/>
        <v>2.8070705993494213E-3</v>
      </c>
      <c r="AD159" s="452">
        <f t="shared" si="52"/>
        <v>-2.6427575059792313E-4</v>
      </c>
      <c r="AE159" s="452">
        <f t="shared" si="52"/>
        <v>2.3108555123882123E-3</v>
      </c>
      <c r="AF159" s="452">
        <f t="shared" si="52"/>
        <v>2.6394468923218034E-3</v>
      </c>
      <c r="AG159" s="452">
        <f t="shared" si="52"/>
        <v>2.1285871732322098E-3</v>
      </c>
      <c r="AH159" s="452">
        <f t="shared" si="52"/>
        <v>2.0776878499309199E-3</v>
      </c>
      <c r="AI159" s="452">
        <f t="shared" si="52"/>
        <v>1.3264457006001598E-3</v>
      </c>
      <c r="AJ159" s="452">
        <f t="shared" si="52"/>
        <v>1.144979166271531E-3</v>
      </c>
      <c r="AK159" s="452">
        <f t="shared" si="52"/>
        <v>1.0123371136129685E-3</v>
      </c>
      <c r="AL159" s="452">
        <f t="shared" si="52"/>
        <v>1.4093510395840423E-3</v>
      </c>
      <c r="AM159" s="452">
        <f t="shared" si="52"/>
        <v>1.2993704401209341E-3</v>
      </c>
      <c r="AN159" s="452">
        <f t="shared" si="52"/>
        <v>1.2330249810403944E-3</v>
      </c>
      <c r="AO159" s="452">
        <f t="shared" si="52"/>
        <v>1.1904300426691401E-3</v>
      </c>
      <c r="AP159" s="452">
        <f t="shared" si="52"/>
        <v>1.0281178932508683E-3</v>
      </c>
      <c r="AQ159" s="452">
        <f t="shared" si="52"/>
        <v>1.1493630842236357E-3</v>
      </c>
      <c r="AR159" s="452">
        <f t="shared" si="52"/>
        <v>1.0531940214401556E-3</v>
      </c>
      <c r="AS159" s="452">
        <f t="shared" si="52"/>
        <v>1.2061461034119899E-3</v>
      </c>
      <c r="AT159" s="452">
        <f t="shared" si="52"/>
        <v>1.0508575631328035E-3</v>
      </c>
      <c r="AU159" s="452">
        <f t="shared" si="52"/>
        <v>1.0134200901067813E-3</v>
      </c>
      <c r="AV159" s="452">
        <f t="shared" si="52"/>
        <v>1.0105026460589393E-3</v>
      </c>
      <c r="AW159" s="452">
        <f t="shared" si="52"/>
        <v>9.9223261813857939E-4</v>
      </c>
      <c r="AX159" s="430" t="s">
        <v>95</v>
      </c>
      <c r="AY159" s="14"/>
      <c r="AZ159" s="14"/>
      <c r="BA159" s="14"/>
      <c r="BB159" s="14"/>
    </row>
    <row r="160" spans="2:54" ht="14.5" x14ac:dyDescent="0.35">
      <c r="B160" s="1019"/>
      <c r="C160" s="424">
        <v>9.8290000000000002E-2</v>
      </c>
      <c r="D160" s="1022" t="s">
        <v>146</v>
      </c>
      <c r="E160" s="1023"/>
      <c r="F160" s="425" t="s">
        <v>149</v>
      </c>
      <c r="G160" s="425"/>
      <c r="H160" s="425"/>
      <c r="I160" s="425"/>
      <c r="J160" s="425"/>
      <c r="K160" s="425"/>
      <c r="L160" s="425"/>
      <c r="M160" s="425"/>
      <c r="N160" s="425"/>
      <c r="O160" s="425"/>
      <c r="P160" s="425"/>
      <c r="Q160" s="425">
        <v>4.7886075E-3</v>
      </c>
      <c r="R160" s="451"/>
      <c r="S160" s="451"/>
      <c r="T160" s="451"/>
      <c r="U160" s="452">
        <f>(U70-T70)*$C$160</f>
        <v>1.0236117324774264E-2</v>
      </c>
      <c r="V160" s="452">
        <f t="shared" ref="V160:AW160" si="53">(V70-U70)*$C$160</f>
        <v>5.9140139867478736E-3</v>
      </c>
      <c r="W160" s="452">
        <f t="shared" si="53"/>
        <v>2.9013912856339383E-5</v>
      </c>
      <c r="X160" s="452">
        <f t="shared" si="53"/>
        <v>5.2343216870413658E-3</v>
      </c>
      <c r="Y160" s="452">
        <f t="shared" si="53"/>
        <v>-5.7180689332644342E-4</v>
      </c>
      <c r="Z160" s="452">
        <f t="shared" si="53"/>
        <v>2.5645543490712317E-3</v>
      </c>
      <c r="AA160" s="452">
        <f t="shared" si="53"/>
        <v>2.6532464388842676E-3</v>
      </c>
      <c r="AB160" s="452">
        <f t="shared" si="53"/>
        <v>2.8490878443656422E-3</v>
      </c>
      <c r="AC160" s="452">
        <f t="shared" si="53"/>
        <v>2.5511706704719242E-3</v>
      </c>
      <c r="AD160" s="452">
        <f t="shared" si="53"/>
        <v>5.6004280087357666E-3</v>
      </c>
      <c r="AE160" s="452">
        <f t="shared" si="53"/>
        <v>2.9952088548586284E-3</v>
      </c>
      <c r="AF160" s="452">
        <f t="shared" si="53"/>
        <v>2.6400084006122271E-3</v>
      </c>
      <c r="AG160" s="452">
        <f t="shared" si="53"/>
        <v>3.1245610271091193E-3</v>
      </c>
      <c r="AH160" s="452">
        <f t="shared" si="53"/>
        <v>3.1426246245459121E-3</v>
      </c>
      <c r="AI160" s="452">
        <f t="shared" si="53"/>
        <v>3.8862668623070775E-3</v>
      </c>
      <c r="AJ160" s="452">
        <f t="shared" si="53"/>
        <v>4.0314965026252304E-3</v>
      </c>
      <c r="AK160" s="452">
        <f t="shared" si="53"/>
        <v>4.1532139385464613E-3</v>
      </c>
      <c r="AL160" s="452">
        <f t="shared" si="53"/>
        <v>3.7353406391154227E-3</v>
      </c>
      <c r="AM160" s="452">
        <f t="shared" si="53"/>
        <v>3.8252490129298002E-3</v>
      </c>
      <c r="AN160" s="452">
        <f t="shared" si="53"/>
        <v>3.8682521426313355E-3</v>
      </c>
      <c r="AO160" s="452">
        <f t="shared" si="53"/>
        <v>3.8950638223883703E-3</v>
      </c>
      <c r="AP160" s="452">
        <f t="shared" si="53"/>
        <v>4.0218601071975116E-3</v>
      </c>
      <c r="AQ160" s="452">
        <f t="shared" si="53"/>
        <v>3.8969127586275854E-3</v>
      </c>
      <c r="AR160" s="452">
        <f t="shared" si="53"/>
        <v>3.9617219339867895E-3</v>
      </c>
      <c r="AS160" s="452">
        <f t="shared" si="53"/>
        <v>3.8032480998866688E-3</v>
      </c>
      <c r="AT160" s="452">
        <f t="shared" si="53"/>
        <v>3.9239914371179676E-3</v>
      </c>
      <c r="AU160" s="452">
        <f t="shared" si="53"/>
        <v>3.9416071955335232E-3</v>
      </c>
      <c r="AV160" s="452">
        <f t="shared" si="53"/>
        <v>3.9224215747642194E-3</v>
      </c>
      <c r="AW160" s="452">
        <f t="shared" si="53"/>
        <v>3.9204649809509379E-3</v>
      </c>
      <c r="AX160" s="430"/>
      <c r="AY160" s="14"/>
      <c r="AZ160" s="14"/>
      <c r="BA160" s="14"/>
      <c r="BB160" s="14"/>
    </row>
    <row r="161" spans="2:54" ht="14.5" x14ac:dyDescent="0.35">
      <c r="B161" s="1019"/>
      <c r="C161" s="424">
        <v>0.1454</v>
      </c>
      <c r="D161" s="1020" t="s">
        <v>102</v>
      </c>
      <c r="E161" s="1021"/>
      <c r="F161" s="425" t="s">
        <v>149</v>
      </c>
      <c r="G161" s="425" t="s">
        <v>95</v>
      </c>
      <c r="H161" s="425" t="s">
        <v>95</v>
      </c>
      <c r="I161" s="425"/>
      <c r="J161" s="425"/>
      <c r="K161" s="425"/>
      <c r="L161" s="425"/>
      <c r="M161" s="425"/>
      <c r="N161" s="425"/>
      <c r="O161" s="425"/>
      <c r="P161" s="425"/>
      <c r="Q161" s="425">
        <v>2.76903E-3</v>
      </c>
      <c r="R161" s="451"/>
      <c r="S161" s="451"/>
      <c r="T161" s="451"/>
      <c r="U161" s="452">
        <f>(U72-T72)*$C$161</f>
        <v>-1.1896601370319884E-4</v>
      </c>
      <c r="V161" s="452">
        <f t="shared" ref="V161:AW161" si="54">(V72-U72)*$C$161</f>
        <v>-1.0158095695129577E-4</v>
      </c>
      <c r="W161" s="452">
        <f t="shared" si="54"/>
        <v>-1.075301591029156E-4</v>
      </c>
      <c r="X161" s="452">
        <f t="shared" si="54"/>
        <v>-8.1529970929006355E-5</v>
      </c>
      <c r="Y161" s="452">
        <f t="shared" si="54"/>
        <v>-6.7279884839337357E-5</v>
      </c>
      <c r="Z161" s="452">
        <f t="shared" si="54"/>
        <v>-8.7653895915665639E-5</v>
      </c>
      <c r="AA161" s="452">
        <f t="shared" si="54"/>
        <v>-7.4263848395886533E-5</v>
      </c>
      <c r="AB161" s="452">
        <f t="shared" si="54"/>
        <v>-4.3098107832892117E-5</v>
      </c>
      <c r="AC161" s="452">
        <f t="shared" si="54"/>
        <v>-5.007238210555958E-5</v>
      </c>
      <c r="AD161" s="452">
        <f t="shared" si="54"/>
        <v>-7.207349739182094E-5</v>
      </c>
      <c r="AE161" s="452">
        <f t="shared" si="54"/>
        <v>-4.6487869087458037E-5</v>
      </c>
      <c r="AF161" s="452">
        <f t="shared" si="54"/>
        <v>-5.9261486374948279E-5</v>
      </c>
      <c r="AG161" s="452">
        <f t="shared" si="54"/>
        <v>-4.1242557131444449E-5</v>
      </c>
      <c r="AH161" s="452">
        <f t="shared" si="54"/>
        <v>-4.2789958922439378E-5</v>
      </c>
      <c r="AI161" s="452">
        <f t="shared" si="54"/>
        <v>-5.1154659367947983E-5</v>
      </c>
      <c r="AJ161" s="452">
        <f t="shared" si="54"/>
        <v>-4.5556488482255285E-5</v>
      </c>
      <c r="AK161" s="452">
        <f t="shared" si="54"/>
        <v>-5.1644967977053291E-5</v>
      </c>
      <c r="AL161" s="452">
        <f t="shared" si="54"/>
        <v>-6.3360492095588579E-5</v>
      </c>
      <c r="AM161" s="452">
        <f t="shared" si="54"/>
        <v>-5.9217688147587564E-5</v>
      </c>
      <c r="AN161" s="452">
        <f t="shared" si="54"/>
        <v>-6.5730887527287146E-5</v>
      </c>
      <c r="AO161" s="452">
        <f t="shared" si="54"/>
        <v>-6.8211917421603368E-5</v>
      </c>
      <c r="AP161" s="452">
        <f t="shared" si="54"/>
        <v>-5.7396680623739373E-5</v>
      </c>
      <c r="AQ161" s="452">
        <f t="shared" si="54"/>
        <v>-7.6202345200251291E-5</v>
      </c>
      <c r="AR161" s="452">
        <f t="shared" si="54"/>
        <v>-6.9249056468122469E-5</v>
      </c>
      <c r="AS161" s="452">
        <f t="shared" si="54"/>
        <v>-8.6366858614453617E-5</v>
      </c>
      <c r="AT161" s="452">
        <f t="shared" si="54"/>
        <v>-7.4110383562915594E-5</v>
      </c>
      <c r="AU161" s="452">
        <f t="shared" si="54"/>
        <v>-7.3391654412110536E-5</v>
      </c>
      <c r="AV161" s="452">
        <f t="shared" si="54"/>
        <v>-7.6030273923945838E-5</v>
      </c>
      <c r="AW161" s="452">
        <f t="shared" si="54"/>
        <v>-7.5109356608769317E-5</v>
      </c>
      <c r="AX161" s="430" t="s">
        <v>95</v>
      </c>
      <c r="AY161" s="14"/>
      <c r="AZ161" s="14"/>
      <c r="BA161" s="14"/>
      <c r="BB161" s="14"/>
    </row>
    <row r="162" spans="2:54" ht="14.5" x14ac:dyDescent="0.35">
      <c r="B162" s="1019"/>
      <c r="C162" s="424">
        <v>3.3999999999999998E-3</v>
      </c>
      <c r="D162" s="1020" t="s">
        <v>103</v>
      </c>
      <c r="E162" s="1021"/>
      <c r="F162" s="425" t="s">
        <v>149</v>
      </c>
      <c r="G162" s="425" t="s">
        <v>95</v>
      </c>
      <c r="H162" s="425" t="s">
        <v>95</v>
      </c>
      <c r="I162" s="425"/>
      <c r="J162" s="425"/>
      <c r="K162" s="425"/>
      <c r="L162" s="425"/>
      <c r="M162" s="425"/>
      <c r="N162" s="425"/>
      <c r="O162" s="425"/>
      <c r="P162" s="425"/>
      <c r="Q162" s="425">
        <v>4.0815000000000001E-5</v>
      </c>
      <c r="R162" s="451"/>
      <c r="S162" s="451"/>
      <c r="T162" s="451"/>
      <c r="U162" s="452">
        <f>(U74-T74)*$C$162</f>
        <v>-6.5661217720316404E-7</v>
      </c>
      <c r="V162" s="452">
        <f t="shared" ref="V162:AW162" si="55">(V74-U74)*$C$162</f>
        <v>-1.2410960526255675E-7</v>
      </c>
      <c r="W162" s="452">
        <f t="shared" si="55"/>
        <v>-7.0730512720028608E-7</v>
      </c>
      <c r="X162" s="452">
        <f t="shared" si="55"/>
        <v>-2.8944206741865483E-8</v>
      </c>
      <c r="Y162" s="452">
        <f t="shared" si="55"/>
        <v>-5.9777415296508039E-7</v>
      </c>
      <c r="Z162" s="452">
        <f t="shared" si="55"/>
        <v>-6.603027085360091E-8</v>
      </c>
      <c r="AA162" s="452">
        <f t="shared" si="55"/>
        <v>-6.2076654948888248E-7</v>
      </c>
      <c r="AB162" s="452">
        <f t="shared" si="55"/>
        <v>6.7323398481178296E-8</v>
      </c>
      <c r="AC162" s="452">
        <f t="shared" si="55"/>
        <v>-5.0623901159467798E-7</v>
      </c>
      <c r="AD162" s="452">
        <f t="shared" si="55"/>
        <v>-6.4320445440280151E-8</v>
      </c>
      <c r="AE162" s="452">
        <f t="shared" si="55"/>
        <v>-4.5356417981629037E-7</v>
      </c>
      <c r="AF162" s="452">
        <f t="shared" si="55"/>
        <v>-6.0762133475178447E-8</v>
      </c>
      <c r="AG162" s="452">
        <f t="shared" si="55"/>
        <v>-3.9276744667453563E-7</v>
      </c>
      <c r="AH162" s="452">
        <f t="shared" si="55"/>
        <v>-3.6055059375239563E-8</v>
      </c>
      <c r="AI162" s="452">
        <f t="shared" si="55"/>
        <v>-3.8773769179715196E-7</v>
      </c>
      <c r="AJ162" s="452">
        <f t="shared" si="55"/>
        <v>-7.0012260561325143E-8</v>
      </c>
      <c r="AK162" s="452">
        <f t="shared" si="55"/>
        <v>-3.4965688574700725E-7</v>
      </c>
      <c r="AL162" s="452">
        <f t="shared" si="55"/>
        <v>-1.4878237115727444E-7</v>
      </c>
      <c r="AM162" s="452">
        <f t="shared" si="55"/>
        <v>-3.4055935658438007E-7</v>
      </c>
      <c r="AN162" s="452">
        <f t="shared" si="55"/>
        <v>-1.6543316954952258E-7</v>
      </c>
      <c r="AO162" s="452">
        <f t="shared" si="55"/>
        <v>-3.4069612045232177E-7</v>
      </c>
      <c r="AP162" s="452">
        <f t="shared" si="55"/>
        <v>-1.4014989667658905E-7</v>
      </c>
      <c r="AQ162" s="452">
        <f t="shared" si="55"/>
        <v>-3.4256014292889376E-7</v>
      </c>
      <c r="AR162" s="452">
        <f t="shared" si="55"/>
        <v>-1.8690786417886462E-7</v>
      </c>
      <c r="AS162" s="452">
        <f t="shared" si="55"/>
        <v>-3.5835494251215128E-7</v>
      </c>
      <c r="AT162" s="452">
        <f t="shared" si="55"/>
        <v>-2.0903994487853072E-7</v>
      </c>
      <c r="AU162" s="452">
        <f t="shared" si="55"/>
        <v>-2.9585681306725228E-7</v>
      </c>
      <c r="AV162" s="452">
        <f t="shared" si="55"/>
        <v>-2.218951176210293E-7</v>
      </c>
      <c r="AW162" s="452">
        <f t="shared" si="55"/>
        <v>-2.9237110183790716E-7</v>
      </c>
      <c r="AX162" s="430" t="s">
        <v>95</v>
      </c>
      <c r="AY162" s="14"/>
      <c r="AZ162" s="14"/>
      <c r="BA162" s="14"/>
      <c r="BB162" s="14"/>
    </row>
    <row r="163" spans="2:54" ht="14.5" x14ac:dyDescent="0.35">
      <c r="B163" s="1019"/>
      <c r="C163" s="424">
        <v>1.3899999999999999E-2</v>
      </c>
      <c r="D163" s="1020" t="s">
        <v>57</v>
      </c>
      <c r="E163" s="1021"/>
      <c r="F163" s="425" t="s">
        <v>149</v>
      </c>
      <c r="G163" s="425" t="s">
        <v>95</v>
      </c>
      <c r="H163" s="425" t="s">
        <v>95</v>
      </c>
      <c r="I163" s="425"/>
      <c r="J163" s="425"/>
      <c r="K163" s="425"/>
      <c r="L163" s="425"/>
      <c r="M163" s="425"/>
      <c r="N163" s="425"/>
      <c r="O163" s="425"/>
      <c r="P163" s="425"/>
      <c r="Q163" s="425">
        <v>1.0251000000000001E-4</v>
      </c>
      <c r="R163" s="451"/>
      <c r="S163" s="451"/>
      <c r="T163" s="451"/>
      <c r="U163" s="452">
        <f>(U79-T79)*$C$163</f>
        <v>-4.4875878425494438E-6</v>
      </c>
      <c r="V163" s="452">
        <f t="shared" ref="V163:AW163" si="56">(V79-U79)*$C$163</f>
        <v>-4.4741250790217561E-6</v>
      </c>
      <c r="W163" s="452">
        <f t="shared" si="56"/>
        <v>-4.460702703784641E-6</v>
      </c>
      <c r="X163" s="452">
        <f t="shared" si="56"/>
        <v>-4.4473205956733497E-6</v>
      </c>
      <c r="Y163" s="452">
        <f t="shared" si="56"/>
        <v>-4.4339786338863676E-6</v>
      </c>
      <c r="Z163" s="452">
        <f t="shared" si="56"/>
        <v>-4.4206766979846414E-6</v>
      </c>
      <c r="AA163" s="452">
        <f t="shared" si="56"/>
        <v>-4.4074146678908088E-6</v>
      </c>
      <c r="AB163" s="452">
        <f t="shared" si="56"/>
        <v>-4.3941924238870734E-6</v>
      </c>
      <c r="AC163" s="452">
        <f t="shared" si="56"/>
        <v>-4.3810098466154003E-6</v>
      </c>
      <c r="AD163" s="452">
        <f t="shared" si="56"/>
        <v>-4.3678668170755879E-6</v>
      </c>
      <c r="AE163" s="452">
        <f t="shared" si="56"/>
        <v>-4.3547632166243003E-6</v>
      </c>
      <c r="AF163" s="452">
        <f t="shared" si="56"/>
        <v>-4.3416989269744911E-6</v>
      </c>
      <c r="AG163" s="452">
        <f t="shared" si="56"/>
        <v>-4.3286738301934715E-6</v>
      </c>
      <c r="AH163" s="452">
        <f t="shared" si="56"/>
        <v>-4.3156878087029152E-6</v>
      </c>
      <c r="AI163" s="452">
        <f t="shared" si="56"/>
        <v>-4.3027407452769258E-6</v>
      </c>
      <c r="AJ163" s="452">
        <f t="shared" si="56"/>
        <v>-4.2898325230410704E-6</v>
      </c>
      <c r="AK163" s="452">
        <f t="shared" si="56"/>
        <v>-4.2769630254718066E-6</v>
      </c>
      <c r="AL163" s="452">
        <f t="shared" si="56"/>
        <v>-4.2641321363955136E-6</v>
      </c>
      <c r="AM163" s="452">
        <f t="shared" si="56"/>
        <v>-4.2513397399863721E-6</v>
      </c>
      <c r="AN163" s="452">
        <f t="shared" si="56"/>
        <v>-4.2385857207663618E-6</v>
      </c>
      <c r="AO163" s="452">
        <f t="shared" si="56"/>
        <v>-4.225869963604109E-6</v>
      </c>
      <c r="AP163" s="452">
        <f t="shared" si="56"/>
        <v>-4.2131923537131453E-6</v>
      </c>
      <c r="AQ163" s="452">
        <f t="shared" si="56"/>
        <v>-4.2005527766521026E-6</v>
      </c>
      <c r="AR163" s="452">
        <f t="shared" si="56"/>
        <v>-4.1879511183222066E-6</v>
      </c>
      <c r="AS163" s="452">
        <f t="shared" si="56"/>
        <v>-4.1753872649670823E-6</v>
      </c>
      <c r="AT163" s="452">
        <f t="shared" si="56"/>
        <v>-4.162861103172176E-6</v>
      </c>
      <c r="AU163" s="452">
        <f t="shared" si="56"/>
        <v>-4.1503725198628242E-6</v>
      </c>
      <c r="AV163" s="452">
        <f t="shared" si="56"/>
        <v>-4.1379214023030999E-6</v>
      </c>
      <c r="AW163" s="452">
        <f t="shared" si="56"/>
        <v>-4.1255076380961972E-6</v>
      </c>
      <c r="AX163" s="430" t="s">
        <v>95</v>
      </c>
      <c r="AY163" s="14"/>
      <c r="AZ163" s="14"/>
      <c r="BA163" s="14"/>
      <c r="BB163" s="14"/>
    </row>
    <row r="164" spans="2:54" ht="14.5" x14ac:dyDescent="0.35">
      <c r="B164" s="373" t="s">
        <v>95</v>
      </c>
      <c r="C164" s="34"/>
      <c r="D164" s="431" t="s">
        <v>95</v>
      </c>
      <c r="E164" s="432" t="s">
        <v>95</v>
      </c>
      <c r="F164" s="433" t="s">
        <v>24</v>
      </c>
      <c r="G164" s="433" t="s">
        <v>95</v>
      </c>
      <c r="H164" s="433" t="s">
        <v>95</v>
      </c>
      <c r="I164" s="433">
        <v>1.15E-2</v>
      </c>
      <c r="J164" s="433" t="s">
        <v>95</v>
      </c>
      <c r="K164" s="433">
        <v>1.15E-2</v>
      </c>
      <c r="L164" s="433" t="s">
        <v>95</v>
      </c>
      <c r="M164" s="433">
        <v>1.15E-2</v>
      </c>
      <c r="N164" s="433" t="s">
        <v>95</v>
      </c>
      <c r="O164" s="433">
        <v>3.46E-3</v>
      </c>
      <c r="P164" s="433" t="s">
        <v>95</v>
      </c>
      <c r="Q164" s="455">
        <f>SUM(Q159:Q163)</f>
        <v>1.248957E-2</v>
      </c>
      <c r="R164" s="455">
        <f>SUM(R159:R163)</f>
        <v>0</v>
      </c>
      <c r="S164" s="455">
        <f t="shared" ref="S164:AW164" si="57">SUM(S159:S163)</f>
        <v>0</v>
      </c>
      <c r="T164" s="455">
        <f t="shared" si="57"/>
        <v>0</v>
      </c>
      <c r="U164" s="456">
        <f t="shared" si="57"/>
        <v>5.4844473859974622E-3</v>
      </c>
      <c r="V164" s="456">
        <f t="shared" si="57"/>
        <v>5.4497312629824537E-3</v>
      </c>
      <c r="W164" s="456">
        <f t="shared" si="57"/>
        <v>5.438763157001098E-3</v>
      </c>
      <c r="X164" s="456">
        <f t="shared" si="57"/>
        <v>5.4031173225085266E-3</v>
      </c>
      <c r="Y164" s="456">
        <f t="shared" si="57"/>
        <v>5.3986120511309178E-3</v>
      </c>
      <c r="Z164" s="456">
        <f t="shared" si="57"/>
        <v>5.35234609071783E-3</v>
      </c>
      <c r="AA164" s="456">
        <f t="shared" si="57"/>
        <v>5.3474936728403573E-3</v>
      </c>
      <c r="AB164" s="456">
        <f t="shared" si="57"/>
        <v>5.313883828325006E-3</v>
      </c>
      <c r="AC164" s="456">
        <f t="shared" si="57"/>
        <v>5.3032816388575762E-3</v>
      </c>
      <c r="AD164" s="456">
        <f t="shared" si="57"/>
        <v>5.259646573483507E-3</v>
      </c>
      <c r="AE164" s="456">
        <f t="shared" si="57"/>
        <v>5.2547681707629419E-3</v>
      </c>
      <c r="AF164" s="456">
        <f t="shared" si="57"/>
        <v>5.2157913454986323E-3</v>
      </c>
      <c r="AG164" s="456">
        <f t="shared" si="57"/>
        <v>5.2071842019330164E-3</v>
      </c>
      <c r="AH164" s="456">
        <f t="shared" si="57"/>
        <v>5.1731707726863146E-3</v>
      </c>
      <c r="AI164" s="456">
        <f t="shared" si="57"/>
        <v>5.1568674251022155E-3</v>
      </c>
      <c r="AJ164" s="456">
        <f t="shared" si="57"/>
        <v>5.1265593356309043E-3</v>
      </c>
      <c r="AK164" s="456">
        <f t="shared" si="57"/>
        <v>5.1092794642711567E-3</v>
      </c>
      <c r="AL164" s="456">
        <f t="shared" si="57"/>
        <v>5.0769182720963226E-3</v>
      </c>
      <c r="AM164" s="456">
        <f t="shared" si="57"/>
        <v>5.0608098658065761E-3</v>
      </c>
      <c r="AN164" s="456">
        <f t="shared" si="57"/>
        <v>5.0311422172541276E-3</v>
      </c>
      <c r="AO164" s="456">
        <f t="shared" si="57"/>
        <v>5.0127153815518501E-3</v>
      </c>
      <c r="AP164" s="456">
        <f t="shared" si="57"/>
        <v>4.9882279775742512E-3</v>
      </c>
      <c r="AQ164" s="456">
        <f t="shared" si="57"/>
        <v>4.9655303847313892E-3</v>
      </c>
      <c r="AR164" s="456">
        <f t="shared" si="57"/>
        <v>4.9412920399763216E-3</v>
      </c>
      <c r="AS164" s="456">
        <f t="shared" si="57"/>
        <v>4.918493602476726E-3</v>
      </c>
      <c r="AT164" s="456">
        <f t="shared" si="57"/>
        <v>4.8963667156398053E-3</v>
      </c>
      <c r="AU164" s="456">
        <f t="shared" si="57"/>
        <v>4.8771894018952641E-3</v>
      </c>
      <c r="AV164" s="456">
        <f t="shared" si="57"/>
        <v>4.8525341303792885E-3</v>
      </c>
      <c r="AW164" s="456">
        <f t="shared" si="57"/>
        <v>4.833170363740813E-3</v>
      </c>
      <c r="AX164" s="436" t="s">
        <v>95</v>
      </c>
      <c r="AY164" s="14"/>
      <c r="AZ164" s="14"/>
      <c r="BA164" s="14"/>
      <c r="BB164" s="14"/>
    </row>
    <row r="165" spans="2:54" ht="14.5" x14ac:dyDescent="0.35">
      <c r="B165" s="373" t="s">
        <v>95</v>
      </c>
      <c r="C165" s="34"/>
      <c r="D165" s="431" t="s">
        <v>95</v>
      </c>
      <c r="E165" s="432" t="s">
        <v>95</v>
      </c>
      <c r="F165" s="437" t="s">
        <v>95</v>
      </c>
      <c r="G165" s="437" t="s">
        <v>95</v>
      </c>
      <c r="H165" s="437" t="s">
        <v>95</v>
      </c>
      <c r="I165" s="437" t="s">
        <v>95</v>
      </c>
      <c r="J165" s="437" t="s">
        <v>95</v>
      </c>
      <c r="K165" s="437" t="s">
        <v>95</v>
      </c>
      <c r="L165" s="437" t="s">
        <v>95</v>
      </c>
      <c r="M165" s="437" t="s">
        <v>95</v>
      </c>
      <c r="N165" s="437" t="s">
        <v>95</v>
      </c>
      <c r="O165" s="437" t="s">
        <v>95</v>
      </c>
      <c r="P165" s="437" t="s">
        <v>95</v>
      </c>
      <c r="Q165" s="437" t="s">
        <v>95</v>
      </c>
      <c r="R165" s="438" t="s">
        <v>95</v>
      </c>
      <c r="S165" s="438" t="s">
        <v>95</v>
      </c>
      <c r="T165" s="438" t="s">
        <v>95</v>
      </c>
      <c r="U165" s="438" t="s">
        <v>95</v>
      </c>
      <c r="V165" s="438" t="s">
        <v>95</v>
      </c>
      <c r="W165" s="438" t="s">
        <v>95</v>
      </c>
      <c r="X165" s="438" t="s">
        <v>95</v>
      </c>
      <c r="Y165" s="438" t="s">
        <v>95</v>
      </c>
      <c r="Z165" s="438" t="s">
        <v>95</v>
      </c>
      <c r="AA165" s="438" t="s">
        <v>95</v>
      </c>
      <c r="AB165" s="438" t="s">
        <v>95</v>
      </c>
      <c r="AC165" s="438" t="s">
        <v>95</v>
      </c>
      <c r="AD165" s="438" t="s">
        <v>95</v>
      </c>
      <c r="AE165" s="438" t="s">
        <v>95</v>
      </c>
      <c r="AF165" s="438" t="s">
        <v>95</v>
      </c>
      <c r="AG165" s="438" t="s">
        <v>95</v>
      </c>
      <c r="AH165" s="438" t="s">
        <v>95</v>
      </c>
      <c r="AI165" s="438" t="s">
        <v>95</v>
      </c>
      <c r="AJ165" s="438" t="s">
        <v>95</v>
      </c>
      <c r="AK165" s="438" t="s">
        <v>95</v>
      </c>
      <c r="AL165" s="438" t="s">
        <v>95</v>
      </c>
      <c r="AM165" s="438" t="s">
        <v>95</v>
      </c>
      <c r="AN165" s="438" t="s">
        <v>95</v>
      </c>
      <c r="AO165" s="438" t="s">
        <v>95</v>
      </c>
      <c r="AP165" s="438" t="s">
        <v>95</v>
      </c>
      <c r="AQ165" s="438" t="s">
        <v>95</v>
      </c>
      <c r="AR165" s="438" t="s">
        <v>95</v>
      </c>
      <c r="AS165" s="438" t="s">
        <v>95</v>
      </c>
      <c r="AT165" s="438" t="s">
        <v>95</v>
      </c>
      <c r="AU165" s="438" t="s">
        <v>95</v>
      </c>
      <c r="AV165" s="438" t="s">
        <v>95</v>
      </c>
      <c r="AW165" s="438" t="s">
        <v>95</v>
      </c>
      <c r="AX165" s="436" t="s">
        <v>95</v>
      </c>
      <c r="AY165" s="14"/>
      <c r="AZ165" s="14"/>
      <c r="BA165" s="14"/>
      <c r="BB165" s="14"/>
    </row>
    <row r="166" spans="2:54" ht="15.5" x14ac:dyDescent="0.3">
      <c r="B166" s="949"/>
      <c r="C166" s="13"/>
      <c r="D166" s="388"/>
      <c r="E166" s="362" t="s">
        <v>150</v>
      </c>
      <c r="F166" s="393" t="s">
        <v>110</v>
      </c>
      <c r="G166" s="390"/>
      <c r="H166" s="390"/>
      <c r="I166" s="390"/>
      <c r="J166" s="390"/>
      <c r="K166" s="390"/>
      <c r="L166" s="390"/>
      <c r="M166" s="390"/>
      <c r="N166" s="390"/>
      <c r="O166" s="390"/>
      <c r="P166" s="390"/>
      <c r="Q166" s="390"/>
      <c r="R166" s="443"/>
      <c r="S166" s="443"/>
      <c r="T166" s="443"/>
      <c r="U166" s="443"/>
      <c r="V166" s="443"/>
      <c r="W166" s="443"/>
      <c r="X166" s="443"/>
      <c r="Y166" s="443"/>
      <c r="Z166" s="443"/>
      <c r="AA166" s="443"/>
      <c r="AB166" s="443"/>
      <c r="AC166" s="443"/>
      <c r="AD166" s="443"/>
      <c r="AE166" s="443"/>
      <c r="AF166" s="443"/>
      <c r="AG166" s="443"/>
      <c r="AH166" s="443"/>
      <c r="AI166" s="443"/>
      <c r="AJ166" s="443"/>
      <c r="AK166" s="443"/>
      <c r="AL166" s="443"/>
      <c r="AM166" s="443"/>
      <c r="AN166" s="443"/>
      <c r="AO166" s="443"/>
      <c r="AP166" s="443"/>
      <c r="AQ166" s="443"/>
      <c r="AR166" s="443"/>
      <c r="AS166" s="443"/>
      <c r="AT166" s="443"/>
      <c r="AU166" s="443"/>
      <c r="AV166" s="443"/>
      <c r="AW166" s="443"/>
      <c r="AX166" s="391"/>
    </row>
    <row r="167" spans="2:54" ht="14.5" x14ac:dyDescent="0.35">
      <c r="B167" s="372" t="s">
        <v>95</v>
      </c>
      <c r="C167" s="30"/>
      <c r="D167" s="454" t="s">
        <v>139</v>
      </c>
      <c r="E167" s="457"/>
      <c r="F167" s="425"/>
      <c r="G167" s="425" t="s">
        <v>95</v>
      </c>
      <c r="H167" s="425" t="s">
        <v>95</v>
      </c>
      <c r="I167" s="425" t="s">
        <v>95</v>
      </c>
      <c r="J167" s="425" t="s">
        <v>95</v>
      </c>
      <c r="K167" s="425" t="s">
        <v>95</v>
      </c>
      <c r="L167" s="425" t="s">
        <v>95</v>
      </c>
      <c r="M167" s="425" t="s">
        <v>95</v>
      </c>
      <c r="N167" s="425" t="s">
        <v>95</v>
      </c>
      <c r="O167" s="425" t="s">
        <v>95</v>
      </c>
      <c r="P167" s="425" t="s">
        <v>95</v>
      </c>
      <c r="Q167" s="425" t="s">
        <v>95</v>
      </c>
      <c r="R167" s="448" t="s">
        <v>95</v>
      </c>
      <c r="S167" s="448" t="s">
        <v>95</v>
      </c>
      <c r="T167" s="448" t="s">
        <v>95</v>
      </c>
      <c r="U167" s="448" t="s">
        <v>95</v>
      </c>
      <c r="V167" s="448" t="s">
        <v>95</v>
      </c>
      <c r="W167" s="448" t="s">
        <v>95</v>
      </c>
      <c r="X167" s="448" t="s">
        <v>95</v>
      </c>
      <c r="Y167" s="448" t="s">
        <v>95</v>
      </c>
      <c r="Z167" s="448" t="s">
        <v>95</v>
      </c>
      <c r="AA167" s="448" t="s">
        <v>95</v>
      </c>
      <c r="AB167" s="448" t="s">
        <v>95</v>
      </c>
      <c r="AC167" s="448" t="s">
        <v>95</v>
      </c>
      <c r="AD167" s="448" t="s">
        <v>95</v>
      </c>
      <c r="AE167" s="448" t="s">
        <v>95</v>
      </c>
      <c r="AF167" s="448" t="s">
        <v>95</v>
      </c>
      <c r="AG167" s="448" t="s">
        <v>95</v>
      </c>
      <c r="AH167" s="448" t="s">
        <v>95</v>
      </c>
      <c r="AI167" s="448" t="s">
        <v>95</v>
      </c>
      <c r="AJ167" s="448" t="s">
        <v>95</v>
      </c>
      <c r="AK167" s="448" t="s">
        <v>95</v>
      </c>
      <c r="AL167" s="448" t="s">
        <v>95</v>
      </c>
      <c r="AM167" s="448" t="s">
        <v>95</v>
      </c>
      <c r="AN167" s="448" t="s">
        <v>95</v>
      </c>
      <c r="AO167" s="448" t="s">
        <v>95</v>
      </c>
      <c r="AP167" s="448" t="s">
        <v>95</v>
      </c>
      <c r="AQ167" s="448" t="s">
        <v>95</v>
      </c>
      <c r="AR167" s="448" t="s">
        <v>95</v>
      </c>
      <c r="AS167" s="448" t="s">
        <v>95</v>
      </c>
      <c r="AT167" s="448" t="s">
        <v>95</v>
      </c>
      <c r="AU167" s="448" t="s">
        <v>95</v>
      </c>
      <c r="AV167" s="448" t="s">
        <v>95</v>
      </c>
      <c r="AW167" s="448" t="s">
        <v>95</v>
      </c>
      <c r="AX167" s="430" t="s">
        <v>95</v>
      </c>
      <c r="AY167" s="33"/>
      <c r="AZ167" s="33"/>
      <c r="BA167" s="33"/>
      <c r="BB167" s="33"/>
    </row>
    <row r="168" spans="2:54" ht="14.5" x14ac:dyDescent="0.35">
      <c r="B168" s="1019" t="s">
        <v>140</v>
      </c>
      <c r="C168" s="30"/>
      <c r="D168" s="1020" t="s">
        <v>99</v>
      </c>
      <c r="E168" s="1021"/>
      <c r="F168" s="425" t="s">
        <v>82</v>
      </c>
      <c r="G168" s="425" t="s">
        <v>95</v>
      </c>
      <c r="H168" s="425" t="s">
        <v>95</v>
      </c>
      <c r="I168" s="425">
        <v>0</v>
      </c>
      <c r="J168" s="425" t="s">
        <v>95</v>
      </c>
      <c r="K168" s="425">
        <v>8.0000000000000015E-4</v>
      </c>
      <c r="L168" s="425"/>
      <c r="M168" s="425">
        <v>8.0000000000000015E-4</v>
      </c>
      <c r="N168" s="425"/>
      <c r="O168" s="425">
        <v>2.0500000000000002E-3</v>
      </c>
      <c r="P168" s="425"/>
      <c r="Q168" s="425">
        <v>1.6100000000000001E-3</v>
      </c>
      <c r="R168" s="451"/>
      <c r="S168" s="451"/>
      <c r="T168" s="451"/>
      <c r="U168" s="451"/>
      <c r="V168" s="451"/>
      <c r="W168" s="451"/>
      <c r="X168" s="451"/>
      <c r="Y168" s="451"/>
      <c r="Z168" s="451"/>
      <c r="AA168" s="451"/>
      <c r="AB168" s="451"/>
      <c r="AC168" s="451"/>
      <c r="AD168" s="451"/>
      <c r="AE168" s="451"/>
      <c r="AF168" s="451"/>
      <c r="AG168" s="451"/>
      <c r="AH168" s="451"/>
      <c r="AI168" s="451"/>
      <c r="AJ168" s="451"/>
      <c r="AK168" s="451"/>
      <c r="AL168" s="451"/>
      <c r="AM168" s="451"/>
      <c r="AN168" s="451"/>
      <c r="AO168" s="451"/>
      <c r="AP168" s="451"/>
      <c r="AQ168" s="451"/>
      <c r="AR168" s="451"/>
      <c r="AS168" s="451"/>
      <c r="AT168" s="451"/>
      <c r="AU168" s="451"/>
      <c r="AV168" s="451"/>
      <c r="AW168" s="451"/>
      <c r="AX168" s="430" t="s">
        <v>95</v>
      </c>
      <c r="AY168" s="30"/>
      <c r="AZ168" s="30"/>
      <c r="BA168" s="30"/>
      <c r="BB168" s="30"/>
    </row>
    <row r="169" spans="2:54" ht="14.5" x14ac:dyDescent="0.35">
      <c r="B169" s="1019"/>
      <c r="C169" s="424">
        <v>1.35E-2</v>
      </c>
      <c r="D169" s="1020" t="s">
        <v>101</v>
      </c>
      <c r="E169" s="1021"/>
      <c r="F169" s="425" t="s">
        <v>82</v>
      </c>
      <c r="G169" s="425" t="s">
        <v>95</v>
      </c>
      <c r="H169" s="425" t="s">
        <v>95</v>
      </c>
      <c r="I169" s="425">
        <v>3.0000000000000001E-5</v>
      </c>
      <c r="J169" s="425" t="s">
        <v>95</v>
      </c>
      <c r="K169" s="425">
        <v>3.0000000000000001E-5</v>
      </c>
      <c r="L169" s="425" t="s">
        <v>95</v>
      </c>
      <c r="M169" s="425">
        <v>3.0000000000000001E-5</v>
      </c>
      <c r="N169" s="425" t="s">
        <v>95</v>
      </c>
      <c r="O169" s="425">
        <v>1.8000000000000001E-4</v>
      </c>
      <c r="P169" s="425" t="s">
        <v>95</v>
      </c>
      <c r="Q169" s="425">
        <v>1.8000000000000001E-4</v>
      </c>
      <c r="R169" s="451"/>
      <c r="S169" s="451"/>
      <c r="T169" s="451"/>
      <c r="U169" s="452">
        <f>(U65-T65)*$C$169</f>
        <v>2.4364476209589455E-7</v>
      </c>
      <c r="V169" s="452">
        <f t="shared" ref="V169:AW169" si="58">(V65-U65)*$C$169</f>
        <v>2.3839791767833046E-7</v>
      </c>
      <c r="W169" s="452">
        <f t="shared" si="58"/>
        <v>2.3317290712273481E-7</v>
      </c>
      <c r="X169" s="452">
        <f t="shared" si="58"/>
        <v>2.2806413819134037E-7</v>
      </c>
      <c r="Y169" s="452">
        <f t="shared" si="58"/>
        <v>2.2285645399996307E-7</v>
      </c>
      <c r="Z169" s="452">
        <f t="shared" si="58"/>
        <v>2.1772037101636109E-7</v>
      </c>
      <c r="AA169" s="452">
        <f t="shared" si="58"/>
        <v>2.1258029376740316E-7</v>
      </c>
      <c r="AB169" s="452">
        <f t="shared" si="58"/>
        <v>2.0755869120712976E-7</v>
      </c>
      <c r="AC169" s="452">
        <f t="shared" si="58"/>
        <v>2.0244883458941931E-7</v>
      </c>
      <c r="AD169" s="452">
        <f t="shared" si="58"/>
        <v>1.9737483947965957E-7</v>
      </c>
      <c r="AE169" s="452">
        <f t="shared" si="58"/>
        <v>1.9230355297811253E-7</v>
      </c>
      <c r="AF169" s="452">
        <f t="shared" si="58"/>
        <v>1.8721239377220838E-7</v>
      </c>
      <c r="AG169" s="452">
        <f t="shared" si="58"/>
        <v>1.8218005706742425E-7</v>
      </c>
      <c r="AH169" s="452">
        <f t="shared" si="58"/>
        <v>1.7714673455601626E-7</v>
      </c>
      <c r="AI169" s="452">
        <f t="shared" si="58"/>
        <v>1.7216508526474856E-7</v>
      </c>
      <c r="AJ169" s="452">
        <f t="shared" si="58"/>
        <v>1.6716186298777052E-7</v>
      </c>
      <c r="AK169" s="452">
        <f t="shared" si="58"/>
        <v>1.6222344336734583E-7</v>
      </c>
      <c r="AL169" s="452">
        <f t="shared" si="58"/>
        <v>1.5729672012116531E-7</v>
      </c>
      <c r="AM169" s="452">
        <f t="shared" si="58"/>
        <v>1.5241144098250558E-7</v>
      </c>
      <c r="AN169" s="452">
        <f t="shared" si="58"/>
        <v>1.476176813933472E-7</v>
      </c>
      <c r="AO169" s="452">
        <f t="shared" si="58"/>
        <v>1.4287919189100857E-7</v>
      </c>
      <c r="AP169" s="452">
        <f t="shared" si="58"/>
        <v>1.3815460309088422E-7</v>
      </c>
      <c r="AQ169" s="452">
        <f t="shared" si="58"/>
        <v>1.3351068380039465E-7</v>
      </c>
      <c r="AR169" s="452">
        <f t="shared" si="58"/>
        <v>1.2887436348291843E-7</v>
      </c>
      <c r="AS169" s="452">
        <f t="shared" si="58"/>
        <v>1.2430753825624919E-7</v>
      </c>
      <c r="AT169" s="452">
        <f t="shared" si="58"/>
        <v>1.1984763423278366E-7</v>
      </c>
      <c r="AU169" s="452">
        <f t="shared" si="58"/>
        <v>1.153677970633718E-7</v>
      </c>
      <c r="AV169" s="452">
        <f t="shared" si="58"/>
        <v>1.1099859102964987E-7</v>
      </c>
      <c r="AW169" s="452">
        <f t="shared" si="58"/>
        <v>1.0674298314662656E-7</v>
      </c>
      <c r="AX169" s="430" t="s">
        <v>95</v>
      </c>
      <c r="AY169" s="33"/>
      <c r="AZ169" s="33"/>
      <c r="BA169" s="33"/>
      <c r="BB169" s="33"/>
    </row>
    <row r="170" spans="2:54" ht="14.5" x14ac:dyDescent="0.35">
      <c r="B170" s="1019"/>
      <c r="C170" s="424">
        <v>0.10920000000000001</v>
      </c>
      <c r="D170" s="1020" t="s">
        <v>106</v>
      </c>
      <c r="E170" s="1021"/>
      <c r="F170" s="425" t="s">
        <v>82</v>
      </c>
      <c r="G170" s="425" t="s">
        <v>95</v>
      </c>
      <c r="H170" s="425" t="s">
        <v>95</v>
      </c>
      <c r="I170" s="425">
        <v>3.3800000000000002E-3</v>
      </c>
      <c r="J170" s="425" t="s">
        <v>95</v>
      </c>
      <c r="K170" s="425">
        <v>3.3800000000000002E-3</v>
      </c>
      <c r="L170" s="425" t="s">
        <v>95</v>
      </c>
      <c r="M170" s="425">
        <v>3.3800000000000002E-3</v>
      </c>
      <c r="N170" s="425" t="s">
        <v>95</v>
      </c>
      <c r="O170" s="425">
        <v>2.14E-3</v>
      </c>
      <c r="P170" s="425" t="s">
        <v>95</v>
      </c>
      <c r="Q170" s="425">
        <v>5.3200000000000001E-3</v>
      </c>
      <c r="R170" s="451"/>
      <c r="S170" s="451"/>
      <c r="T170" s="451"/>
      <c r="U170" s="452">
        <f>(U67-T67)*$C$170</f>
        <v>-5.1412099092062319E-3</v>
      </c>
      <c r="V170" s="452">
        <f t="shared" ref="V170:AW170" si="59">(V67-U67)*$C$170</f>
        <v>-3.9785233196234132E-4</v>
      </c>
      <c r="W170" s="452">
        <f t="shared" si="59"/>
        <v>6.1354283985124592E-3</v>
      </c>
      <c r="X170" s="452">
        <f t="shared" si="59"/>
        <v>2.8308438635553108E-4</v>
      </c>
      <c r="Y170" s="452">
        <f t="shared" si="59"/>
        <v>6.7134619957627808E-3</v>
      </c>
      <c r="Z170" s="452">
        <f t="shared" si="59"/>
        <v>3.1995992677057309E-3</v>
      </c>
      <c r="AA170" s="452">
        <f t="shared" si="59"/>
        <v>3.0813967604209338E-3</v>
      </c>
      <c r="AB170" s="452">
        <f t="shared" si="59"/>
        <v>2.7910726312065184E-3</v>
      </c>
      <c r="AC170" s="452">
        <f t="shared" si="59"/>
        <v>3.1186500096546631E-3</v>
      </c>
      <c r="AD170" s="452">
        <f t="shared" si="59"/>
        <v>-2.9360984805466687E-4</v>
      </c>
      <c r="AE170" s="452">
        <f t="shared" si="59"/>
        <v>2.5673560072519358E-3</v>
      </c>
      <c r="AF170" s="452">
        <f t="shared" si="59"/>
        <v>2.9324203951728652E-3</v>
      </c>
      <c r="AG170" s="452">
        <f t="shared" si="59"/>
        <v>2.3648562347843862E-3</v>
      </c>
      <c r="AH170" s="452">
        <f t="shared" si="59"/>
        <v>2.308307184987857E-3</v>
      </c>
      <c r="AI170" s="452">
        <f t="shared" si="59"/>
        <v>1.4736786092739594E-3</v>
      </c>
      <c r="AJ170" s="452">
        <f t="shared" si="59"/>
        <v>1.2720696404196887E-3</v>
      </c>
      <c r="AK170" s="452">
        <f t="shared" si="59"/>
        <v>1.1247045763204413E-3</v>
      </c>
      <c r="AL170" s="452">
        <f t="shared" si="59"/>
        <v>1.5657862806244525E-3</v>
      </c>
      <c r="AM170" s="452">
        <f t="shared" si="59"/>
        <v>1.4435980472195138E-3</v>
      </c>
      <c r="AN170" s="452">
        <f t="shared" si="59"/>
        <v>1.3698883704304718E-3</v>
      </c>
      <c r="AO170" s="452">
        <f t="shared" si="59"/>
        <v>1.3225654762383772E-3</v>
      </c>
      <c r="AP170" s="452">
        <f t="shared" si="59"/>
        <v>1.142236991993029E-3</v>
      </c>
      <c r="AQ170" s="452">
        <f t="shared" si="59"/>
        <v>1.2769401647901213E-3</v>
      </c>
      <c r="AR170" s="452">
        <f t="shared" si="59"/>
        <v>1.170096521937786E-3</v>
      </c>
      <c r="AS170" s="452">
        <f t="shared" si="59"/>
        <v>1.3400259893436698E-3</v>
      </c>
      <c r="AT170" s="452">
        <f t="shared" si="59"/>
        <v>1.167500721274821E-3</v>
      </c>
      <c r="AU170" s="452">
        <f t="shared" si="59"/>
        <v>1.1259077611116138E-3</v>
      </c>
      <c r="AV170" s="452">
        <f t="shared" si="59"/>
        <v>1.1226664864140419E-3</v>
      </c>
      <c r="AW170" s="452">
        <f t="shared" si="59"/>
        <v>1.1023685207114952E-3</v>
      </c>
      <c r="AX170" s="430" t="s">
        <v>95</v>
      </c>
      <c r="AY170" s="33"/>
      <c r="AZ170" s="33"/>
      <c r="BA170" s="33"/>
      <c r="BB170" s="33"/>
    </row>
    <row r="171" spans="2:54" ht="14.5" x14ac:dyDescent="0.35">
      <c r="B171" s="1019"/>
      <c r="C171" s="424">
        <v>0.10920000000000001</v>
      </c>
      <c r="D171" s="1022" t="s">
        <v>146</v>
      </c>
      <c r="E171" s="1023"/>
      <c r="F171" s="425" t="s">
        <v>82</v>
      </c>
      <c r="G171" s="425"/>
      <c r="H171" s="425"/>
      <c r="I171" s="425"/>
      <c r="J171" s="425"/>
      <c r="K171" s="425"/>
      <c r="L171" s="425"/>
      <c r="M171" s="425"/>
      <c r="N171" s="425"/>
      <c r="O171" s="425"/>
      <c r="P171" s="425"/>
      <c r="Q171" s="425"/>
      <c r="R171" s="451"/>
      <c r="S171" s="451"/>
      <c r="T171" s="451"/>
      <c r="U171" s="452">
        <f>(U70-T70)*$C$171</f>
        <v>1.1372306560843927E-2</v>
      </c>
      <c r="V171" s="452">
        <f t="shared" ref="V171:AW171" si="60">(V70-U70)*$C$171</f>
        <v>6.5704581071611336E-3</v>
      </c>
      <c r="W171" s="452">
        <f t="shared" si="60"/>
        <v>3.223440109789664E-5</v>
      </c>
      <c r="X171" s="452">
        <f t="shared" si="60"/>
        <v>5.8153212760699673E-3</v>
      </c>
      <c r="Y171" s="452">
        <f t="shared" si="60"/>
        <v>-6.3527635315136454E-4</v>
      </c>
      <c r="Z171" s="452">
        <f t="shared" si="60"/>
        <v>2.8492149243929035E-3</v>
      </c>
      <c r="AA171" s="452">
        <f t="shared" si="60"/>
        <v>2.9477516647284773E-3</v>
      </c>
      <c r="AB171" s="452">
        <f t="shared" si="60"/>
        <v>3.1653310876460284E-3</v>
      </c>
      <c r="AC171" s="452">
        <f t="shared" si="60"/>
        <v>2.834345683340463E-3</v>
      </c>
      <c r="AD171" s="452">
        <f t="shared" si="60"/>
        <v>6.2220646917687025E-3</v>
      </c>
      <c r="AE171" s="452">
        <f t="shared" si="60"/>
        <v>3.3276712478437507E-3</v>
      </c>
      <c r="AF171" s="452">
        <f t="shared" si="60"/>
        <v>2.9330442297980995E-3</v>
      </c>
      <c r="AG171" s="452">
        <f t="shared" si="60"/>
        <v>3.4713812611691509E-3</v>
      </c>
      <c r="AH171" s="452">
        <f t="shared" si="60"/>
        <v>3.491449883003496E-3</v>
      </c>
      <c r="AI171" s="452">
        <f t="shared" si="60"/>
        <v>4.317634971654623E-3</v>
      </c>
      <c r="AJ171" s="452">
        <f t="shared" si="60"/>
        <v>4.4789848213111728E-3</v>
      </c>
      <c r="AK171" s="452">
        <f t="shared" si="60"/>
        <v>4.6142126573331327E-3</v>
      </c>
      <c r="AL171" s="452">
        <f t="shared" si="60"/>
        <v>4.149956229437422E-3</v>
      </c>
      <c r="AM171" s="452">
        <f t="shared" si="60"/>
        <v>4.2498442589473419E-3</v>
      </c>
      <c r="AN171" s="452">
        <f t="shared" si="60"/>
        <v>4.2976206529183221E-3</v>
      </c>
      <c r="AO171" s="452">
        <f t="shared" si="60"/>
        <v>4.3274083772999296E-3</v>
      </c>
      <c r="AP171" s="452">
        <f t="shared" si="60"/>
        <v>4.4682788046186616E-3</v>
      </c>
      <c r="AQ171" s="452">
        <f t="shared" si="60"/>
        <v>4.3294625418876008E-3</v>
      </c>
      <c r="AR171" s="452">
        <f t="shared" si="60"/>
        <v>4.4014654104319604E-3</v>
      </c>
      <c r="AS171" s="452">
        <f t="shared" si="60"/>
        <v>4.2254012870854025E-3</v>
      </c>
      <c r="AT171" s="452">
        <f t="shared" si="60"/>
        <v>4.3595469013458345E-3</v>
      </c>
      <c r="AU171" s="452">
        <f t="shared" si="60"/>
        <v>4.3791179748932825E-3</v>
      </c>
      <c r="AV171" s="452">
        <f t="shared" si="60"/>
        <v>4.3578027873054509E-3</v>
      </c>
      <c r="AW171" s="452">
        <f t="shared" si="60"/>
        <v>4.3556290153610993E-3</v>
      </c>
      <c r="AX171" s="430"/>
      <c r="AY171" s="33"/>
      <c r="AZ171" s="33"/>
      <c r="BA171" s="33"/>
      <c r="BB171" s="33"/>
    </row>
    <row r="172" spans="2:54" ht="14.5" x14ac:dyDescent="0.35">
      <c r="B172" s="1019"/>
      <c r="C172" s="424">
        <v>5.0900000000000001E-2</v>
      </c>
      <c r="D172" s="1020" t="s">
        <v>102</v>
      </c>
      <c r="E172" s="1021"/>
      <c r="F172" s="425" t="s">
        <v>82</v>
      </c>
      <c r="G172" s="425" t="s">
        <v>95</v>
      </c>
      <c r="H172" s="425" t="s">
        <v>95</v>
      </c>
      <c r="I172" s="425">
        <v>1.16E-3</v>
      </c>
      <c r="J172" s="425" t="s">
        <v>95</v>
      </c>
      <c r="K172" s="425">
        <v>1.16E-3</v>
      </c>
      <c r="L172" s="425" t="s">
        <v>95</v>
      </c>
      <c r="M172" s="425">
        <v>1.16E-3</v>
      </c>
      <c r="N172" s="425" t="s">
        <v>95</v>
      </c>
      <c r="O172" s="425">
        <v>2.4199999999999998E-3</v>
      </c>
      <c r="P172" s="425" t="s">
        <v>95</v>
      </c>
      <c r="Q172" s="425">
        <v>9.7000000000000005E-4</v>
      </c>
      <c r="R172" s="451"/>
      <c r="S172" s="451"/>
      <c r="T172" s="451"/>
      <c r="U172" s="452">
        <f>(U72-T72)*$C$172</f>
        <v>-4.1646286777804819E-5</v>
      </c>
      <c r="V172" s="452">
        <f t="shared" ref="V172:AW172" si="61">(V72-U72)*$C$172</f>
        <v>-3.5560321243610419E-5</v>
      </c>
      <c r="W172" s="452">
        <f t="shared" si="61"/>
        <v>-3.7642951157760684E-5</v>
      </c>
      <c r="X172" s="452">
        <f t="shared" si="61"/>
        <v>-2.8541097113386682E-5</v>
      </c>
      <c r="Y172" s="452">
        <f t="shared" si="61"/>
        <v>-2.3552586921061015E-5</v>
      </c>
      <c r="Z172" s="452">
        <f t="shared" si="61"/>
        <v>-3.0684892036501929E-5</v>
      </c>
      <c r="AA172" s="452">
        <f t="shared" si="61"/>
        <v>-2.5997454493470594E-5</v>
      </c>
      <c r="AB172" s="452">
        <f t="shared" si="61"/>
        <v>-1.5087301847965673E-5</v>
      </c>
      <c r="AC172" s="452">
        <f t="shared" si="61"/>
        <v>-1.7528777504628489E-5</v>
      </c>
      <c r="AD172" s="452">
        <f t="shared" si="61"/>
        <v>-2.5230680998924936E-5</v>
      </c>
      <c r="AE172" s="452">
        <f t="shared" si="61"/>
        <v>-1.627395142057506E-5</v>
      </c>
      <c r="AF172" s="452">
        <f t="shared" si="61"/>
        <v>-2.0745595986828525E-5</v>
      </c>
      <c r="AG172" s="452">
        <f t="shared" si="61"/>
        <v>-1.4437731485491901E-5</v>
      </c>
      <c r="AH172" s="452">
        <f t="shared" si="61"/>
        <v>-1.4979428536122175E-5</v>
      </c>
      <c r="AI172" s="452">
        <f t="shared" si="61"/>
        <v>-1.7907648980939152E-5</v>
      </c>
      <c r="AJ172" s="452">
        <f t="shared" si="61"/>
        <v>-1.5947904152316329E-5</v>
      </c>
      <c r="AK172" s="452">
        <f t="shared" si="61"/>
        <v>-1.8079290715488396E-5</v>
      </c>
      <c r="AL172" s="452">
        <f t="shared" si="61"/>
        <v>-2.218052990141306E-5</v>
      </c>
      <c r="AM172" s="452">
        <f t="shared" si="61"/>
        <v>-2.0730263594994546E-5</v>
      </c>
      <c r="AN172" s="452">
        <f t="shared" si="61"/>
        <v>-2.3010331328328172E-5</v>
      </c>
      <c r="AO172" s="452">
        <f t="shared" si="61"/>
        <v>-2.387886242613213E-5</v>
      </c>
      <c r="AP172" s="452">
        <f t="shared" si="61"/>
        <v>-2.0092785720414953E-5</v>
      </c>
      <c r="AQ172" s="452">
        <f t="shared" si="61"/>
        <v>-2.667606169664918E-5</v>
      </c>
      <c r="AR172" s="452">
        <f t="shared" si="61"/>
        <v>-2.4241932422472035E-5</v>
      </c>
      <c r="AS172" s="452">
        <f t="shared" si="61"/>
        <v>-3.0234340464069388E-5</v>
      </c>
      <c r="AT172" s="452">
        <f t="shared" si="61"/>
        <v>-2.5943731247265501E-5</v>
      </c>
      <c r="AU172" s="452">
        <f t="shared" si="61"/>
        <v>-2.5692126613317924E-5</v>
      </c>
      <c r="AV172" s="452">
        <f t="shared" si="61"/>
        <v>-2.6615824915604146E-5</v>
      </c>
      <c r="AW172" s="452">
        <f t="shared" si="61"/>
        <v>-2.6293440518475641E-5</v>
      </c>
      <c r="AX172" s="430" t="s">
        <v>95</v>
      </c>
      <c r="AY172" s="33"/>
      <c r="AZ172" s="33"/>
      <c r="BA172" s="33"/>
      <c r="BB172" s="33"/>
    </row>
    <row r="173" spans="2:54" ht="14.5" x14ac:dyDescent="0.35">
      <c r="B173" s="1019"/>
      <c r="C173" s="424">
        <v>0.34710000000000002</v>
      </c>
      <c r="D173" s="1020" t="s">
        <v>103</v>
      </c>
      <c r="E173" s="1021"/>
      <c r="F173" s="425" t="s">
        <v>82</v>
      </c>
      <c r="G173" s="425" t="s">
        <v>95</v>
      </c>
      <c r="H173" s="425" t="s">
        <v>95</v>
      </c>
      <c r="I173" s="425">
        <v>1.8E-3</v>
      </c>
      <c r="J173" s="425" t="s">
        <v>95</v>
      </c>
      <c r="K173" s="425">
        <v>1.8E-3</v>
      </c>
      <c r="L173" s="425" t="s">
        <v>95</v>
      </c>
      <c r="M173" s="425">
        <v>1.8E-3</v>
      </c>
      <c r="N173" s="425" t="s">
        <v>95</v>
      </c>
      <c r="O173" s="425">
        <v>1.0300000000000001E-3</v>
      </c>
      <c r="P173" s="425" t="s">
        <v>95</v>
      </c>
      <c r="Q173" s="425">
        <v>4.2100000000000002E-3</v>
      </c>
      <c r="R173" s="451"/>
      <c r="S173" s="451"/>
      <c r="T173" s="451"/>
      <c r="U173" s="452">
        <f>(U74-T74)*$C$173</f>
        <v>-6.7032378443299489E-5</v>
      </c>
      <c r="V173" s="452">
        <f t="shared" ref="V173:AW173" si="62">(V74-U74)*$C$173</f>
        <v>-1.2670130584303957E-5</v>
      </c>
      <c r="W173" s="452">
        <f t="shared" si="62"/>
        <v>-7.2207532250358623E-5</v>
      </c>
      <c r="X173" s="452">
        <f t="shared" si="62"/>
        <v>-2.9548629882651504E-6</v>
      </c>
      <c r="Y173" s="452">
        <f t="shared" si="62"/>
        <v>-6.1025708380641004E-5</v>
      </c>
      <c r="Z173" s="452">
        <f t="shared" si="62"/>
        <v>-6.7409138274367289E-6</v>
      </c>
      <c r="AA173" s="452">
        <f t="shared" si="62"/>
        <v>-6.337296156693857E-5</v>
      </c>
      <c r="AB173" s="452">
        <f t="shared" si="62"/>
        <v>6.8729269449461733E-6</v>
      </c>
      <c r="AC173" s="452">
        <f t="shared" si="62"/>
        <v>-5.1681047330739041E-5</v>
      </c>
      <c r="AD173" s="452">
        <f t="shared" si="62"/>
        <v>-6.5663607683297765E-6</v>
      </c>
      <c r="AE173" s="452">
        <f t="shared" si="62"/>
        <v>-4.6303566710068941E-5</v>
      </c>
      <c r="AF173" s="452">
        <f t="shared" si="62"/>
        <v>-6.2030989791866003E-6</v>
      </c>
      <c r="AG173" s="452">
        <f t="shared" si="62"/>
        <v>-4.0096935511979803E-5</v>
      </c>
      <c r="AH173" s="452">
        <f t="shared" si="62"/>
        <v>-3.6807973850428388E-6</v>
      </c>
      <c r="AI173" s="452">
        <f t="shared" si="62"/>
        <v>-3.9583456712585729E-5</v>
      </c>
      <c r="AJ173" s="452">
        <f t="shared" si="62"/>
        <v>-7.1474281296576349E-6</v>
      </c>
      <c r="AK173" s="452">
        <f t="shared" si="62"/>
        <v>-3.5695854424348889E-5</v>
      </c>
      <c r="AL173" s="452">
        <f t="shared" si="62"/>
        <v>-1.5188929714320576E-5</v>
      </c>
      <c r="AM173" s="452">
        <f t="shared" si="62"/>
        <v>-3.4767103726599508E-5</v>
      </c>
      <c r="AN173" s="452">
        <f t="shared" si="62"/>
        <v>-1.6888780338423322E-5</v>
      </c>
      <c r="AO173" s="452">
        <f t="shared" si="62"/>
        <v>-3.4781065708529673E-5</v>
      </c>
      <c r="AP173" s="452">
        <f t="shared" si="62"/>
        <v>-1.4307655628365902E-5</v>
      </c>
      <c r="AQ173" s="452">
        <f t="shared" si="62"/>
        <v>-3.4971360473711483E-5</v>
      </c>
      <c r="AR173" s="452">
        <f t="shared" si="62"/>
        <v>-1.9081094016612918E-5</v>
      </c>
      <c r="AS173" s="452">
        <f t="shared" si="62"/>
        <v>-3.6583823689990501E-5</v>
      </c>
      <c r="AT173" s="452">
        <f t="shared" si="62"/>
        <v>-2.1340519078628831E-5</v>
      </c>
      <c r="AU173" s="452">
        <f t="shared" si="62"/>
        <v>-3.0203499945777436E-5</v>
      </c>
      <c r="AV173" s="452">
        <f t="shared" si="62"/>
        <v>-2.2652880978311551E-5</v>
      </c>
      <c r="AW173" s="452">
        <f t="shared" si="62"/>
        <v>-2.9847649837628699E-5</v>
      </c>
      <c r="AX173" s="430" t="s">
        <v>95</v>
      </c>
      <c r="AY173" s="33"/>
      <c r="AZ173" s="33"/>
      <c r="BA173" s="33"/>
      <c r="BB173" s="33"/>
    </row>
    <row r="174" spans="2:54" ht="14.5" x14ac:dyDescent="0.35">
      <c r="B174" s="373" t="s">
        <v>95</v>
      </c>
      <c r="C174" s="34"/>
      <c r="D174" s="431" t="s">
        <v>95</v>
      </c>
      <c r="E174" s="432" t="s">
        <v>95</v>
      </c>
      <c r="F174" s="433" t="s">
        <v>24</v>
      </c>
      <c r="G174" s="433" t="s">
        <v>95</v>
      </c>
      <c r="H174" s="433" t="s">
        <v>95</v>
      </c>
      <c r="I174" s="433">
        <v>7.1799999999999998E-3</v>
      </c>
      <c r="J174" s="433" t="s">
        <v>95</v>
      </c>
      <c r="K174" s="433">
        <v>7.1799999999999998E-3</v>
      </c>
      <c r="L174" s="433" t="s">
        <v>95</v>
      </c>
      <c r="M174" s="433">
        <v>7.1799999999999998E-3</v>
      </c>
      <c r="N174" s="433" t="s">
        <v>95</v>
      </c>
      <c r="O174" s="433">
        <v>7.7999999999999996E-3</v>
      </c>
      <c r="P174" s="433" t="s">
        <v>95</v>
      </c>
      <c r="Q174" s="433">
        <v>1.2279999999999999E-2</v>
      </c>
      <c r="R174" s="434">
        <f t="shared" ref="R174:AW174" si="63">SUM(R168:R173)</f>
        <v>0</v>
      </c>
      <c r="S174" s="434">
        <f t="shared" si="63"/>
        <v>0</v>
      </c>
      <c r="T174" s="434">
        <f t="shared" si="63"/>
        <v>0</v>
      </c>
      <c r="U174" s="458">
        <f t="shared" si="63"/>
        <v>6.1226616311786872E-3</v>
      </c>
      <c r="V174" s="458">
        <f t="shared" si="63"/>
        <v>6.1246137212885568E-3</v>
      </c>
      <c r="W174" s="458">
        <f t="shared" si="63"/>
        <v>6.0580454891093595E-3</v>
      </c>
      <c r="X174" s="458">
        <f t="shared" si="63"/>
        <v>6.0671377664620373E-3</v>
      </c>
      <c r="Y174" s="458">
        <f t="shared" si="63"/>
        <v>5.9938302037637146E-3</v>
      </c>
      <c r="Z174" s="458">
        <f t="shared" si="63"/>
        <v>6.0116061066057122E-3</v>
      </c>
      <c r="AA174" s="458">
        <f t="shared" si="63"/>
        <v>5.9399905893827692E-3</v>
      </c>
      <c r="AB174" s="458">
        <f t="shared" si="63"/>
        <v>5.9483969026407346E-3</v>
      </c>
      <c r="AC174" s="458">
        <f t="shared" si="63"/>
        <v>5.883988316994348E-3</v>
      </c>
      <c r="AD174" s="458">
        <f t="shared" si="63"/>
        <v>5.8968551767862604E-3</v>
      </c>
      <c r="AE174" s="458">
        <f t="shared" si="63"/>
        <v>5.8326420405180211E-3</v>
      </c>
      <c r="AF174" s="458">
        <f t="shared" si="63"/>
        <v>5.8387031423987219E-3</v>
      </c>
      <c r="AG174" s="458">
        <f t="shared" si="63"/>
        <v>5.7818850090131328E-3</v>
      </c>
      <c r="AH174" s="458">
        <f t="shared" si="63"/>
        <v>5.7812739888047429E-3</v>
      </c>
      <c r="AI174" s="458">
        <f t="shared" si="63"/>
        <v>5.733994640320322E-3</v>
      </c>
      <c r="AJ174" s="458">
        <f t="shared" si="63"/>
        <v>5.7281262913118757E-3</v>
      </c>
      <c r="AK174" s="458">
        <f t="shared" si="63"/>
        <v>5.6853043119571046E-3</v>
      </c>
      <c r="AL174" s="458">
        <f t="shared" si="63"/>
        <v>5.6785303471662621E-3</v>
      </c>
      <c r="AM174" s="458">
        <f t="shared" si="63"/>
        <v>5.6380973502862444E-3</v>
      </c>
      <c r="AN174" s="458">
        <f t="shared" si="63"/>
        <v>5.6277575293634356E-3</v>
      </c>
      <c r="AO174" s="458">
        <f t="shared" si="63"/>
        <v>5.5914568045955359E-3</v>
      </c>
      <c r="AP174" s="458">
        <f t="shared" si="63"/>
        <v>5.5762535098660007E-3</v>
      </c>
      <c r="AQ174" s="458">
        <f t="shared" si="63"/>
        <v>5.5448887951911616E-3</v>
      </c>
      <c r="AR174" s="458">
        <f t="shared" si="63"/>
        <v>5.5283677802941446E-3</v>
      </c>
      <c r="AS174" s="458">
        <f t="shared" si="63"/>
        <v>5.4987334198132688E-3</v>
      </c>
      <c r="AT174" s="458">
        <f t="shared" si="63"/>
        <v>5.4798832199289939E-3</v>
      </c>
      <c r="AU174" s="458">
        <f t="shared" si="63"/>
        <v>5.4492454772428643E-3</v>
      </c>
      <c r="AV174" s="458">
        <f t="shared" si="63"/>
        <v>5.4313115664166066E-3</v>
      </c>
      <c r="AW174" s="458">
        <f t="shared" si="63"/>
        <v>5.4019631886996367E-3</v>
      </c>
      <c r="AX174" s="436" t="s">
        <v>95</v>
      </c>
      <c r="AY174" s="14"/>
      <c r="AZ174" s="14"/>
      <c r="BA174" s="14"/>
      <c r="BB174" s="14"/>
    </row>
    <row r="175" spans="2:54" ht="14.5" x14ac:dyDescent="0.35">
      <c r="B175" s="372"/>
      <c r="C175" s="30"/>
      <c r="D175" s="459" t="s">
        <v>95</v>
      </c>
      <c r="E175" s="460" t="s">
        <v>95</v>
      </c>
      <c r="F175" s="460" t="s">
        <v>95</v>
      </c>
      <c r="G175" s="460" t="s">
        <v>95</v>
      </c>
      <c r="H175" s="460" t="s">
        <v>95</v>
      </c>
      <c r="I175" s="460" t="s">
        <v>95</v>
      </c>
      <c r="J175" s="460" t="s">
        <v>95</v>
      </c>
      <c r="K175" s="460" t="s">
        <v>95</v>
      </c>
      <c r="L175" s="460" t="s">
        <v>95</v>
      </c>
      <c r="M175" s="460" t="s">
        <v>95</v>
      </c>
      <c r="N175" s="460" t="s">
        <v>95</v>
      </c>
      <c r="O175" s="460" t="s">
        <v>95</v>
      </c>
      <c r="P175" s="460" t="s">
        <v>95</v>
      </c>
      <c r="Q175" s="460" t="s">
        <v>95</v>
      </c>
      <c r="R175" s="460" t="s">
        <v>95</v>
      </c>
      <c r="S175" s="460" t="s">
        <v>95</v>
      </c>
      <c r="T175" s="460" t="s">
        <v>95</v>
      </c>
      <c r="U175" s="460" t="s">
        <v>95</v>
      </c>
      <c r="V175" s="460" t="s">
        <v>95</v>
      </c>
      <c r="W175" s="460" t="s">
        <v>95</v>
      </c>
      <c r="X175" s="460" t="s">
        <v>95</v>
      </c>
      <c r="Y175" s="460" t="s">
        <v>95</v>
      </c>
      <c r="Z175" s="460" t="s">
        <v>95</v>
      </c>
      <c r="AA175" s="460" t="s">
        <v>95</v>
      </c>
      <c r="AB175" s="460" t="s">
        <v>95</v>
      </c>
      <c r="AC175" s="460" t="s">
        <v>95</v>
      </c>
      <c r="AD175" s="460" t="s">
        <v>95</v>
      </c>
      <c r="AE175" s="460" t="s">
        <v>95</v>
      </c>
      <c r="AF175" s="460" t="s">
        <v>95</v>
      </c>
      <c r="AG175" s="460" t="s">
        <v>95</v>
      </c>
      <c r="AH175" s="460" t="s">
        <v>95</v>
      </c>
      <c r="AI175" s="460" t="s">
        <v>95</v>
      </c>
      <c r="AJ175" s="460" t="s">
        <v>95</v>
      </c>
      <c r="AK175" s="460" t="s">
        <v>95</v>
      </c>
      <c r="AL175" s="460" t="s">
        <v>95</v>
      </c>
      <c r="AM175" s="460" t="s">
        <v>95</v>
      </c>
      <c r="AN175" s="460" t="s">
        <v>95</v>
      </c>
      <c r="AO175" s="460" t="s">
        <v>95</v>
      </c>
      <c r="AP175" s="460" t="s">
        <v>95</v>
      </c>
      <c r="AQ175" s="460" t="s">
        <v>95</v>
      </c>
      <c r="AR175" s="460" t="s">
        <v>95</v>
      </c>
      <c r="AS175" s="460" t="s">
        <v>95</v>
      </c>
      <c r="AT175" s="460" t="s">
        <v>95</v>
      </c>
      <c r="AU175" s="460" t="s">
        <v>95</v>
      </c>
      <c r="AV175" s="460" t="s">
        <v>95</v>
      </c>
      <c r="AW175" s="460" t="s">
        <v>95</v>
      </c>
      <c r="AX175" s="461" t="s">
        <v>95</v>
      </c>
      <c r="AY175" s="33"/>
      <c r="AZ175" s="33"/>
      <c r="BA175" s="33"/>
      <c r="BB175" s="33"/>
    </row>
    <row r="176" spans="2:54" ht="14.5" x14ac:dyDescent="0.35">
      <c r="B176" s="372"/>
      <c r="C176" s="30"/>
      <c r="D176" s="30" t="s">
        <v>95</v>
      </c>
      <c r="E176" s="30" t="s">
        <v>95</v>
      </c>
      <c r="F176" s="30" t="s">
        <v>95</v>
      </c>
      <c r="G176" s="30" t="s">
        <v>95</v>
      </c>
      <c r="H176" s="30" t="s">
        <v>95</v>
      </c>
      <c r="I176" s="30" t="s">
        <v>95</v>
      </c>
      <c r="J176" s="30" t="s">
        <v>95</v>
      </c>
      <c r="K176" s="30" t="s">
        <v>95</v>
      </c>
      <c r="L176" s="30" t="s">
        <v>95</v>
      </c>
      <c r="M176" s="30" t="s">
        <v>95</v>
      </c>
      <c r="N176" s="30" t="s">
        <v>95</v>
      </c>
      <c r="O176" s="30" t="s">
        <v>95</v>
      </c>
      <c r="P176" s="30" t="s">
        <v>95</v>
      </c>
      <c r="Q176" s="30" t="s">
        <v>95</v>
      </c>
      <c r="R176" s="30" t="s">
        <v>95</v>
      </c>
      <c r="S176" s="30" t="s">
        <v>95</v>
      </c>
      <c r="T176" s="30" t="s">
        <v>95</v>
      </c>
      <c r="U176" s="30" t="s">
        <v>95</v>
      </c>
      <c r="V176" s="30" t="s">
        <v>95</v>
      </c>
      <c r="W176" s="30" t="s">
        <v>95</v>
      </c>
      <c r="X176" s="30" t="s">
        <v>95</v>
      </c>
      <c r="Y176" s="30" t="s">
        <v>95</v>
      </c>
      <c r="Z176" s="30" t="s">
        <v>95</v>
      </c>
      <c r="AA176" s="30" t="s">
        <v>95</v>
      </c>
      <c r="AB176" s="30" t="s">
        <v>95</v>
      </c>
      <c r="AC176" s="30" t="s">
        <v>95</v>
      </c>
      <c r="AD176" s="30" t="s">
        <v>95</v>
      </c>
      <c r="AE176" s="30" t="s">
        <v>95</v>
      </c>
      <c r="AF176" s="30" t="s">
        <v>95</v>
      </c>
      <c r="AG176" s="30" t="s">
        <v>95</v>
      </c>
      <c r="AH176" s="30" t="s">
        <v>95</v>
      </c>
      <c r="AI176" s="30" t="s">
        <v>95</v>
      </c>
      <c r="AJ176" s="30" t="s">
        <v>95</v>
      </c>
      <c r="AK176" s="30" t="s">
        <v>95</v>
      </c>
      <c r="AL176" s="30" t="s">
        <v>95</v>
      </c>
      <c r="AM176" s="30" t="s">
        <v>95</v>
      </c>
      <c r="AN176" s="30" t="s">
        <v>95</v>
      </c>
      <c r="AO176" s="30" t="s">
        <v>95</v>
      </c>
      <c r="AP176" s="30" t="s">
        <v>95</v>
      </c>
      <c r="AQ176" s="30" t="s">
        <v>95</v>
      </c>
      <c r="AR176" s="30" t="s">
        <v>95</v>
      </c>
      <c r="AS176" s="30" t="s">
        <v>95</v>
      </c>
      <c r="AT176" s="30" t="s">
        <v>95</v>
      </c>
      <c r="AU176" s="30" t="s">
        <v>95</v>
      </c>
      <c r="AV176" s="30" t="s">
        <v>95</v>
      </c>
      <c r="AW176" s="30" t="s">
        <v>95</v>
      </c>
      <c r="AX176" s="30" t="s">
        <v>95</v>
      </c>
      <c r="AY176" s="33"/>
      <c r="AZ176" s="33"/>
      <c r="BA176" s="33"/>
      <c r="BB176" s="33"/>
    </row>
    <row r="177" spans="2:54" ht="14.5" x14ac:dyDescent="0.35">
      <c r="B177" s="372"/>
      <c r="C177" s="30"/>
      <c r="D177" s="462" t="s">
        <v>95</v>
      </c>
      <c r="E177" s="463" t="s">
        <v>95</v>
      </c>
      <c r="F177" s="463" t="s">
        <v>95</v>
      </c>
      <c r="G177" s="463" t="s">
        <v>95</v>
      </c>
      <c r="H177" s="463" t="s">
        <v>95</v>
      </c>
      <c r="I177" s="463" t="s">
        <v>95</v>
      </c>
      <c r="J177" s="463" t="s">
        <v>95</v>
      </c>
      <c r="K177" s="463" t="s">
        <v>95</v>
      </c>
      <c r="L177" s="463" t="s">
        <v>95</v>
      </c>
      <c r="M177" s="463" t="s">
        <v>95</v>
      </c>
      <c r="N177" s="463" t="s">
        <v>95</v>
      </c>
      <c r="O177" s="463" t="s">
        <v>95</v>
      </c>
      <c r="P177" s="463" t="s">
        <v>95</v>
      </c>
      <c r="Q177" s="463" t="s">
        <v>95</v>
      </c>
      <c r="R177" s="463" t="s">
        <v>95</v>
      </c>
      <c r="S177" s="463" t="s">
        <v>95</v>
      </c>
      <c r="T177" s="463" t="s">
        <v>95</v>
      </c>
      <c r="U177" s="463" t="s">
        <v>95</v>
      </c>
      <c r="V177" s="463" t="s">
        <v>95</v>
      </c>
      <c r="W177" s="463" t="s">
        <v>95</v>
      </c>
      <c r="X177" s="463" t="s">
        <v>95</v>
      </c>
      <c r="Y177" s="463" t="s">
        <v>95</v>
      </c>
      <c r="Z177" s="463" t="s">
        <v>95</v>
      </c>
      <c r="AA177" s="463" t="s">
        <v>95</v>
      </c>
      <c r="AB177" s="463" t="s">
        <v>95</v>
      </c>
      <c r="AC177" s="463" t="s">
        <v>95</v>
      </c>
      <c r="AD177" s="463" t="s">
        <v>95</v>
      </c>
      <c r="AE177" s="463" t="s">
        <v>95</v>
      </c>
      <c r="AF177" s="463" t="s">
        <v>95</v>
      </c>
      <c r="AG177" s="463" t="s">
        <v>95</v>
      </c>
      <c r="AH177" s="463" t="s">
        <v>95</v>
      </c>
      <c r="AI177" s="463" t="s">
        <v>95</v>
      </c>
      <c r="AJ177" s="463" t="s">
        <v>95</v>
      </c>
      <c r="AK177" s="463" t="s">
        <v>95</v>
      </c>
      <c r="AL177" s="463" t="s">
        <v>95</v>
      </c>
      <c r="AM177" s="463" t="s">
        <v>95</v>
      </c>
      <c r="AN177" s="463" t="s">
        <v>95</v>
      </c>
      <c r="AO177" s="463" t="s">
        <v>95</v>
      </c>
      <c r="AP177" s="463" t="s">
        <v>95</v>
      </c>
      <c r="AQ177" s="463" t="s">
        <v>95</v>
      </c>
      <c r="AR177" s="463" t="s">
        <v>95</v>
      </c>
      <c r="AS177" s="463" t="s">
        <v>95</v>
      </c>
      <c r="AT177" s="463" t="s">
        <v>95</v>
      </c>
      <c r="AU177" s="463" t="s">
        <v>95</v>
      </c>
      <c r="AV177" s="463" t="s">
        <v>95</v>
      </c>
      <c r="AW177" s="463" t="s">
        <v>95</v>
      </c>
      <c r="AX177" s="464" t="s">
        <v>95</v>
      </c>
      <c r="AY177" s="33"/>
      <c r="AZ177" s="33"/>
      <c r="BA177" s="33"/>
      <c r="BB177" s="33"/>
    </row>
    <row r="178" spans="2:54" ht="17" x14ac:dyDescent="0.4">
      <c r="B178" s="372"/>
      <c r="C178" s="30"/>
      <c r="D178" s="465" t="s">
        <v>95</v>
      </c>
      <c r="E178" s="466" t="s">
        <v>95</v>
      </c>
      <c r="F178" s="467" t="s">
        <v>111</v>
      </c>
      <c r="G178" s="467" t="s">
        <v>95</v>
      </c>
      <c r="H178" s="467" t="s">
        <v>95</v>
      </c>
      <c r="I178" s="467" t="s">
        <v>95</v>
      </c>
      <c r="J178" s="467" t="s">
        <v>95</v>
      </c>
      <c r="K178" s="467" t="s">
        <v>95</v>
      </c>
      <c r="L178" s="467" t="s">
        <v>95</v>
      </c>
      <c r="M178" s="467" t="s">
        <v>95</v>
      </c>
      <c r="N178" s="467" t="s">
        <v>95</v>
      </c>
      <c r="O178" s="467" t="s">
        <v>95</v>
      </c>
      <c r="P178" s="467" t="s">
        <v>95</v>
      </c>
      <c r="Q178" s="468" t="s">
        <v>95</v>
      </c>
      <c r="R178" s="468" t="s">
        <v>95</v>
      </c>
      <c r="S178" s="468" t="s">
        <v>95</v>
      </c>
      <c r="T178" s="468" t="s">
        <v>95</v>
      </c>
      <c r="U178" s="468" t="s">
        <v>95</v>
      </c>
      <c r="V178" s="468" t="s">
        <v>95</v>
      </c>
      <c r="W178" s="468" t="s">
        <v>95</v>
      </c>
      <c r="X178" s="468" t="s">
        <v>95</v>
      </c>
      <c r="Y178" s="468" t="s">
        <v>95</v>
      </c>
      <c r="Z178" s="468" t="s">
        <v>95</v>
      </c>
      <c r="AA178" s="468" t="s">
        <v>95</v>
      </c>
      <c r="AB178" s="468" t="s">
        <v>95</v>
      </c>
      <c r="AC178" s="468" t="s">
        <v>95</v>
      </c>
      <c r="AD178" s="468" t="s">
        <v>95</v>
      </c>
      <c r="AE178" s="468" t="s">
        <v>95</v>
      </c>
      <c r="AF178" s="468" t="s">
        <v>95</v>
      </c>
      <c r="AG178" s="468" t="s">
        <v>95</v>
      </c>
      <c r="AH178" s="468" t="s">
        <v>95</v>
      </c>
      <c r="AI178" s="468" t="s">
        <v>95</v>
      </c>
      <c r="AJ178" s="468" t="s">
        <v>95</v>
      </c>
      <c r="AK178" s="468" t="s">
        <v>95</v>
      </c>
      <c r="AL178" s="468" t="s">
        <v>95</v>
      </c>
      <c r="AM178" s="468" t="s">
        <v>95</v>
      </c>
      <c r="AN178" s="468" t="s">
        <v>95</v>
      </c>
      <c r="AO178" s="468" t="s">
        <v>95</v>
      </c>
      <c r="AP178" s="468" t="s">
        <v>95</v>
      </c>
      <c r="AQ178" s="468" t="s">
        <v>95</v>
      </c>
      <c r="AR178" s="468" t="s">
        <v>95</v>
      </c>
      <c r="AS178" s="468" t="s">
        <v>95</v>
      </c>
      <c r="AT178" s="468" t="s">
        <v>95</v>
      </c>
      <c r="AU178" s="468" t="s">
        <v>95</v>
      </c>
      <c r="AV178" s="468" t="s">
        <v>95</v>
      </c>
      <c r="AW178" s="468" t="s">
        <v>95</v>
      </c>
      <c r="AX178" s="469" t="s">
        <v>95</v>
      </c>
      <c r="AY178" s="33"/>
      <c r="AZ178" s="33"/>
      <c r="BA178" s="33"/>
      <c r="BB178" s="33"/>
    </row>
    <row r="179" spans="2:54" ht="14.5" x14ac:dyDescent="0.35">
      <c r="B179" s="372"/>
      <c r="C179" s="30"/>
      <c r="D179" s="465" t="s">
        <v>95</v>
      </c>
      <c r="E179" s="466" t="s">
        <v>95</v>
      </c>
      <c r="F179" s="470" t="s">
        <v>112</v>
      </c>
      <c r="G179" s="470" t="s">
        <v>95</v>
      </c>
      <c r="H179" s="470" t="s">
        <v>95</v>
      </c>
      <c r="I179" s="468" t="s">
        <v>95</v>
      </c>
      <c r="J179" s="468" t="s">
        <v>95</v>
      </c>
      <c r="K179" s="468" t="s">
        <v>95</v>
      </c>
      <c r="L179" s="468" t="s">
        <v>95</v>
      </c>
      <c r="M179" s="468" t="s">
        <v>95</v>
      </c>
      <c r="N179" s="468" t="s">
        <v>95</v>
      </c>
      <c r="O179" s="468" t="s">
        <v>95</v>
      </c>
      <c r="P179" s="468" t="s">
        <v>95</v>
      </c>
      <c r="Q179" s="468" t="s">
        <v>95</v>
      </c>
      <c r="R179" s="468" t="s">
        <v>95</v>
      </c>
      <c r="S179" s="468" t="s">
        <v>95</v>
      </c>
      <c r="T179" s="468" t="s">
        <v>95</v>
      </c>
      <c r="U179" s="468" t="s">
        <v>95</v>
      </c>
      <c r="V179" s="468" t="s">
        <v>95</v>
      </c>
      <c r="W179" s="468" t="s">
        <v>95</v>
      </c>
      <c r="X179" s="468" t="s">
        <v>95</v>
      </c>
      <c r="Y179" s="468" t="s">
        <v>95</v>
      </c>
      <c r="Z179" s="468" t="s">
        <v>95</v>
      </c>
      <c r="AA179" s="468" t="s">
        <v>95</v>
      </c>
      <c r="AB179" s="468" t="s">
        <v>95</v>
      </c>
      <c r="AC179" s="468" t="s">
        <v>95</v>
      </c>
      <c r="AD179" s="468" t="s">
        <v>95</v>
      </c>
      <c r="AE179" s="468" t="s">
        <v>95</v>
      </c>
      <c r="AF179" s="468" t="s">
        <v>95</v>
      </c>
      <c r="AG179" s="468" t="s">
        <v>95</v>
      </c>
      <c r="AH179" s="468" t="s">
        <v>95</v>
      </c>
      <c r="AI179" s="468" t="s">
        <v>95</v>
      </c>
      <c r="AJ179" s="468" t="s">
        <v>95</v>
      </c>
      <c r="AK179" s="468" t="s">
        <v>95</v>
      </c>
      <c r="AL179" s="468" t="s">
        <v>95</v>
      </c>
      <c r="AM179" s="468" t="s">
        <v>95</v>
      </c>
      <c r="AN179" s="468" t="s">
        <v>95</v>
      </c>
      <c r="AO179" s="468" t="s">
        <v>95</v>
      </c>
      <c r="AP179" s="468" t="s">
        <v>95</v>
      </c>
      <c r="AQ179" s="468" t="s">
        <v>95</v>
      </c>
      <c r="AR179" s="468" t="s">
        <v>95</v>
      </c>
      <c r="AS179" s="468" t="s">
        <v>95</v>
      </c>
      <c r="AT179" s="468" t="s">
        <v>95</v>
      </c>
      <c r="AU179" s="468" t="s">
        <v>95</v>
      </c>
      <c r="AV179" s="468" t="s">
        <v>95</v>
      </c>
      <c r="AW179" s="468" t="s">
        <v>95</v>
      </c>
      <c r="AX179" s="469" t="s">
        <v>95</v>
      </c>
      <c r="AY179" s="33"/>
      <c r="AZ179" s="33"/>
      <c r="BA179" s="33"/>
      <c r="BB179" s="33"/>
    </row>
    <row r="180" spans="2:54" ht="14.5" x14ac:dyDescent="0.35">
      <c r="B180" s="372"/>
      <c r="C180" s="30"/>
      <c r="D180" s="465" t="s">
        <v>95</v>
      </c>
      <c r="E180" s="466" t="s">
        <v>95</v>
      </c>
      <c r="F180" s="470" t="s">
        <v>113</v>
      </c>
      <c r="G180" s="470" t="s">
        <v>95</v>
      </c>
      <c r="H180" s="470" t="s">
        <v>95</v>
      </c>
      <c r="I180" s="471" t="s">
        <v>95</v>
      </c>
      <c r="J180" s="471" t="s">
        <v>95</v>
      </c>
      <c r="K180" s="471" t="s">
        <v>95</v>
      </c>
      <c r="L180" s="471" t="s">
        <v>95</v>
      </c>
      <c r="M180" s="471" t="s">
        <v>95</v>
      </c>
      <c r="N180" s="472" t="s">
        <v>95</v>
      </c>
      <c r="O180" s="472" t="s">
        <v>95</v>
      </c>
      <c r="P180" s="472" t="s">
        <v>95</v>
      </c>
      <c r="Q180" s="472" t="s">
        <v>95</v>
      </c>
      <c r="R180" s="472" t="s">
        <v>95</v>
      </c>
      <c r="S180" s="472" t="s">
        <v>95</v>
      </c>
      <c r="T180" s="472" t="s">
        <v>95</v>
      </c>
      <c r="U180" s="472" t="s">
        <v>95</v>
      </c>
      <c r="V180" s="472" t="s">
        <v>95</v>
      </c>
      <c r="W180" s="472" t="s">
        <v>95</v>
      </c>
      <c r="X180" s="472" t="s">
        <v>95</v>
      </c>
      <c r="Y180" s="472" t="s">
        <v>95</v>
      </c>
      <c r="Z180" s="472" t="s">
        <v>95</v>
      </c>
      <c r="AA180" s="472" t="s">
        <v>95</v>
      </c>
      <c r="AB180" s="472" t="s">
        <v>95</v>
      </c>
      <c r="AC180" s="472" t="s">
        <v>95</v>
      </c>
      <c r="AD180" s="472" t="s">
        <v>95</v>
      </c>
      <c r="AE180" s="472" t="s">
        <v>95</v>
      </c>
      <c r="AF180" s="472" t="s">
        <v>95</v>
      </c>
      <c r="AG180" s="472" t="s">
        <v>95</v>
      </c>
      <c r="AH180" s="472" t="s">
        <v>95</v>
      </c>
      <c r="AI180" s="472" t="s">
        <v>95</v>
      </c>
      <c r="AJ180" s="472" t="s">
        <v>95</v>
      </c>
      <c r="AK180" s="472" t="s">
        <v>95</v>
      </c>
      <c r="AL180" s="472" t="s">
        <v>95</v>
      </c>
      <c r="AM180" s="472" t="s">
        <v>95</v>
      </c>
      <c r="AN180" s="472" t="s">
        <v>95</v>
      </c>
      <c r="AO180" s="472" t="s">
        <v>95</v>
      </c>
      <c r="AP180" s="472" t="s">
        <v>95</v>
      </c>
      <c r="AQ180" s="472" t="s">
        <v>95</v>
      </c>
      <c r="AR180" s="472" t="s">
        <v>95</v>
      </c>
      <c r="AS180" s="472" t="s">
        <v>95</v>
      </c>
      <c r="AT180" s="472" t="s">
        <v>95</v>
      </c>
      <c r="AU180" s="472" t="s">
        <v>95</v>
      </c>
      <c r="AV180" s="472" t="s">
        <v>95</v>
      </c>
      <c r="AW180" s="472" t="s">
        <v>95</v>
      </c>
      <c r="AX180" s="469" t="s">
        <v>95</v>
      </c>
      <c r="AY180" s="33"/>
      <c r="AZ180" s="33"/>
      <c r="BA180" s="33"/>
      <c r="BB180" s="33"/>
    </row>
    <row r="181" spans="2:54" ht="14.5" x14ac:dyDescent="0.35">
      <c r="B181" s="372"/>
      <c r="C181" s="30"/>
      <c r="D181" s="473" t="s">
        <v>95</v>
      </c>
      <c r="E181" s="474" t="s">
        <v>95</v>
      </c>
      <c r="F181" s="474" t="s">
        <v>95</v>
      </c>
      <c r="G181" s="474" t="s">
        <v>95</v>
      </c>
      <c r="H181" s="474" t="s">
        <v>95</v>
      </c>
      <c r="I181" s="474" t="s">
        <v>95</v>
      </c>
      <c r="J181" s="474" t="s">
        <v>95</v>
      </c>
      <c r="K181" s="474" t="s">
        <v>95</v>
      </c>
      <c r="L181" s="474" t="s">
        <v>95</v>
      </c>
      <c r="M181" s="474" t="s">
        <v>95</v>
      </c>
      <c r="N181" s="474" t="s">
        <v>95</v>
      </c>
      <c r="O181" s="474" t="s">
        <v>95</v>
      </c>
      <c r="P181" s="474" t="s">
        <v>95</v>
      </c>
      <c r="Q181" s="474" t="s">
        <v>95</v>
      </c>
      <c r="R181" s="474" t="s">
        <v>95</v>
      </c>
      <c r="S181" s="474" t="s">
        <v>95</v>
      </c>
      <c r="T181" s="474" t="s">
        <v>95</v>
      </c>
      <c r="U181" s="474" t="s">
        <v>95</v>
      </c>
      <c r="V181" s="474" t="s">
        <v>95</v>
      </c>
      <c r="W181" s="474" t="s">
        <v>95</v>
      </c>
      <c r="X181" s="474" t="s">
        <v>95</v>
      </c>
      <c r="Y181" s="474" t="s">
        <v>95</v>
      </c>
      <c r="Z181" s="474" t="s">
        <v>95</v>
      </c>
      <c r="AA181" s="474" t="s">
        <v>95</v>
      </c>
      <c r="AB181" s="474" t="s">
        <v>95</v>
      </c>
      <c r="AC181" s="474" t="s">
        <v>95</v>
      </c>
      <c r="AD181" s="474" t="s">
        <v>95</v>
      </c>
      <c r="AE181" s="474" t="s">
        <v>95</v>
      </c>
      <c r="AF181" s="474" t="s">
        <v>95</v>
      </c>
      <c r="AG181" s="474" t="s">
        <v>95</v>
      </c>
      <c r="AH181" s="474" t="s">
        <v>95</v>
      </c>
      <c r="AI181" s="474" t="s">
        <v>95</v>
      </c>
      <c r="AJ181" s="474" t="s">
        <v>95</v>
      </c>
      <c r="AK181" s="474" t="s">
        <v>95</v>
      </c>
      <c r="AL181" s="474" t="s">
        <v>95</v>
      </c>
      <c r="AM181" s="474" t="s">
        <v>95</v>
      </c>
      <c r="AN181" s="474" t="s">
        <v>95</v>
      </c>
      <c r="AO181" s="474" t="s">
        <v>95</v>
      </c>
      <c r="AP181" s="474" t="s">
        <v>95</v>
      </c>
      <c r="AQ181" s="474" t="s">
        <v>95</v>
      </c>
      <c r="AR181" s="474" t="s">
        <v>95</v>
      </c>
      <c r="AS181" s="474" t="s">
        <v>95</v>
      </c>
      <c r="AT181" s="474" t="s">
        <v>95</v>
      </c>
      <c r="AU181" s="474" t="s">
        <v>95</v>
      </c>
      <c r="AV181" s="474" t="s">
        <v>95</v>
      </c>
      <c r="AW181" s="474" t="s">
        <v>95</v>
      </c>
      <c r="AX181" s="475" t="s">
        <v>95</v>
      </c>
      <c r="AY181" s="33"/>
      <c r="AZ181" s="33"/>
      <c r="BA181" s="33"/>
      <c r="BB181" s="33"/>
    </row>
    <row r="182" spans="2:54" ht="14.5" x14ac:dyDescent="0.35">
      <c r="B182" s="372"/>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3"/>
      <c r="AZ182" s="33"/>
      <c r="BA182" s="33"/>
      <c r="BB182" s="33"/>
    </row>
    <row r="183" spans="2:54" ht="14.5" x14ac:dyDescent="0.35">
      <c r="B183" s="372"/>
      <c r="C183" s="30"/>
      <c r="D183" s="30"/>
      <c r="E183" s="30"/>
      <c r="F183" s="30"/>
      <c r="G183" s="30"/>
      <c r="H183" s="30"/>
      <c r="I183" s="30"/>
      <c r="J183" s="30"/>
      <c r="K183" s="30"/>
      <c r="L183" s="30"/>
      <c r="M183" s="30"/>
      <c r="N183" s="30"/>
      <c r="O183" s="30"/>
      <c r="P183" s="30"/>
      <c r="Q183" s="30"/>
      <c r="R183" s="30"/>
      <c r="S183" s="30"/>
      <c r="T183" s="30"/>
      <c r="U183" s="476"/>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3"/>
      <c r="AZ183" s="33"/>
      <c r="BA183" s="33"/>
      <c r="BB183" s="33"/>
    </row>
    <row r="184" spans="2:54" ht="14.5" x14ac:dyDescent="0.35">
      <c r="B184" s="372"/>
      <c r="C184" s="30"/>
      <c r="D184" s="30"/>
      <c r="E184" s="30"/>
      <c r="F184" s="30" t="s">
        <v>114</v>
      </c>
      <c r="G184" s="30"/>
      <c r="H184" s="30"/>
      <c r="I184" s="30"/>
      <c r="J184" s="30"/>
      <c r="K184" s="30"/>
      <c r="L184" s="30"/>
      <c r="M184" s="30"/>
      <c r="N184" s="30"/>
      <c r="O184" s="30"/>
      <c r="P184" s="30"/>
      <c r="Q184" s="30"/>
      <c r="R184" s="30"/>
      <c r="S184" s="30"/>
      <c r="T184" s="30"/>
      <c r="U184" s="30"/>
      <c r="V184" s="30"/>
      <c r="W184" s="477"/>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3"/>
      <c r="AZ184" s="33"/>
      <c r="BA184" s="33"/>
      <c r="BB184" s="33"/>
    </row>
    <row r="185" spans="2:54" ht="14.5" x14ac:dyDescent="0.35">
      <c r="B185" s="372"/>
      <c r="C185" s="30">
        <v>1</v>
      </c>
      <c r="D185" s="30"/>
      <c r="E185" s="30"/>
      <c r="F185" s="30" t="s">
        <v>115</v>
      </c>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3"/>
      <c r="AZ185" s="33"/>
      <c r="BA185" s="33"/>
      <c r="BB185" s="33"/>
    </row>
    <row r="186" spans="2:54" ht="14.5" x14ac:dyDescent="0.35">
      <c r="B186" s="372"/>
      <c r="C186" s="30">
        <v>2</v>
      </c>
      <c r="D186" s="30"/>
      <c r="E186" s="30"/>
      <c r="F186" s="30" t="s">
        <v>116</v>
      </c>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3"/>
      <c r="AZ186" s="33"/>
      <c r="BA186" s="33"/>
      <c r="BB186" s="33"/>
    </row>
    <row r="187" spans="2:54" ht="14.5" x14ac:dyDescent="0.35">
      <c r="B187" s="372"/>
      <c r="C187" s="30">
        <v>3</v>
      </c>
      <c r="D187" s="30"/>
      <c r="E187" s="30"/>
      <c r="F187" s="30" t="s">
        <v>117</v>
      </c>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3"/>
      <c r="AZ187" s="33"/>
      <c r="BA187" s="33"/>
      <c r="BB187" s="33"/>
    </row>
    <row r="188" spans="2:54" ht="14.5" x14ac:dyDescent="0.35">
      <c r="B188" s="372"/>
      <c r="C188" s="30">
        <v>4</v>
      </c>
      <c r="D188" s="30"/>
      <c r="E188" s="30"/>
      <c r="F188" s="30" t="s">
        <v>118</v>
      </c>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3"/>
      <c r="AZ188" s="33"/>
      <c r="BA188" s="33"/>
      <c r="BB188" s="33"/>
    </row>
    <row r="189" spans="2:54" ht="14.5" x14ac:dyDescent="0.35">
      <c r="B189" s="372"/>
      <c r="C189" s="30">
        <v>5</v>
      </c>
      <c r="D189" s="30"/>
      <c r="E189" s="30"/>
      <c r="F189" s="30" t="s">
        <v>119</v>
      </c>
      <c r="G189" s="30"/>
      <c r="H189" s="30"/>
      <c r="I189" s="30"/>
      <c r="J189" s="30"/>
      <c r="K189" s="30"/>
      <c r="L189" s="30"/>
      <c r="M189" s="30"/>
      <c r="N189" s="30"/>
      <c r="O189" s="30"/>
      <c r="P189" s="30"/>
      <c r="Q189" s="30"/>
      <c r="R189" s="30"/>
      <c r="S189" s="30"/>
      <c r="T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3"/>
      <c r="AZ189" s="33"/>
      <c r="BA189" s="33"/>
      <c r="BB189" s="33"/>
    </row>
    <row r="190" spans="2:54" ht="14.5" x14ac:dyDescent="0.35">
      <c r="B190" s="372"/>
      <c r="C190" s="30">
        <v>6</v>
      </c>
      <c r="D190" s="30"/>
      <c r="E190" s="30"/>
      <c r="F190" s="30" t="s">
        <v>120</v>
      </c>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3"/>
      <c r="AZ190" s="33"/>
      <c r="BA190" s="33"/>
      <c r="BB190" s="33"/>
    </row>
    <row r="191" spans="2:54" ht="14.5" x14ac:dyDescent="0.35">
      <c r="B191" s="372"/>
      <c r="C191" s="30">
        <v>7</v>
      </c>
      <c r="D191" s="30"/>
      <c r="E191" s="30"/>
      <c r="F191" s="30" t="s">
        <v>121</v>
      </c>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3"/>
      <c r="AZ191" s="33"/>
      <c r="BA191" s="33"/>
      <c r="BB191" s="33"/>
    </row>
    <row r="192" spans="2:54" ht="14.5" x14ac:dyDescent="0.35">
      <c r="B192" s="372"/>
      <c r="C192" s="30">
        <v>8</v>
      </c>
      <c r="D192" s="30"/>
      <c r="E192" s="30"/>
      <c r="F192" s="30" t="s">
        <v>122</v>
      </c>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3"/>
      <c r="AZ192" s="33"/>
      <c r="BA192" s="33"/>
      <c r="BB192" s="33"/>
    </row>
    <row r="193" spans="2:54" ht="14.5" x14ac:dyDescent="0.35">
      <c r="B193" s="372"/>
      <c r="C193" s="30"/>
      <c r="D193" s="30"/>
      <c r="E193" s="30"/>
      <c r="F193" s="30"/>
      <c r="G193" s="30"/>
      <c r="H193" s="30"/>
      <c r="I193" s="30"/>
      <c r="J193" s="30"/>
      <c r="K193" s="30"/>
      <c r="L193" s="30"/>
      <c r="M193" s="30"/>
      <c r="N193" s="30"/>
      <c r="O193" s="30"/>
      <c r="P193" s="30"/>
      <c r="Q193" s="30"/>
      <c r="R193" s="30"/>
      <c r="S193" s="30"/>
      <c r="T193" s="30"/>
      <c r="U193" s="30"/>
      <c r="V193" s="478"/>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3"/>
      <c r="AZ193" s="33"/>
      <c r="BA193" s="33"/>
      <c r="BB193" s="33"/>
    </row>
    <row r="194" spans="2:54" ht="14.5" x14ac:dyDescent="0.3">
      <c r="B194" s="949"/>
      <c r="C194" s="944"/>
      <c r="D194" s="944"/>
      <c r="E194" s="944"/>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row>
    <row r="195" spans="2:54" ht="14.5" x14ac:dyDescent="0.3">
      <c r="B195" s="949"/>
      <c r="C195" s="944"/>
      <c r="D195" s="944"/>
      <c r="E195" s="944"/>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row>
    <row r="196" spans="2:54" ht="14.5" x14ac:dyDescent="0.3">
      <c r="B196" s="949"/>
      <c r="C196" s="944"/>
      <c r="D196" s="944"/>
      <c r="E196" s="944"/>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row>
    <row r="197" spans="2:54" ht="14.5" x14ac:dyDescent="0.3">
      <c r="B197" s="949"/>
      <c r="C197" s="944"/>
      <c r="D197" s="944"/>
      <c r="E197" s="944"/>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row>
    <row r="198" spans="2:54" ht="14.5" x14ac:dyDescent="0.3">
      <c r="B198" s="949"/>
      <c r="C198" s="944"/>
      <c r="D198" s="944"/>
      <c r="E198" s="944"/>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row>
    <row r="199" spans="2:54" ht="14.5" x14ac:dyDescent="0.3">
      <c r="B199" s="949"/>
      <c r="C199" s="944"/>
      <c r="D199" s="944"/>
      <c r="E199" s="944"/>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row>
    <row r="200" spans="2:54" ht="14.5" x14ac:dyDescent="0.3">
      <c r="B200" s="949"/>
      <c r="C200" s="944"/>
      <c r="D200" s="944"/>
      <c r="E200" s="944"/>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row>
    <row r="201" spans="2:54" ht="14.5" x14ac:dyDescent="0.3">
      <c r="B201" s="949"/>
      <c r="C201" s="944"/>
      <c r="D201" s="944"/>
      <c r="E201" s="944"/>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row>
    <row r="202" spans="2:54" ht="14.5" x14ac:dyDescent="0.3">
      <c r="B202" s="949"/>
      <c r="C202" s="944"/>
      <c r="D202" s="944"/>
      <c r="E202" s="944"/>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row>
    <row r="203" spans="2:54" ht="14.5" x14ac:dyDescent="0.3">
      <c r="B203" s="949"/>
      <c r="C203" s="944"/>
      <c r="D203" s="944"/>
      <c r="E203" s="944"/>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row>
    <row r="204" spans="2:54" ht="14.5" x14ac:dyDescent="0.3">
      <c r="B204" s="949"/>
      <c r="C204" s="944"/>
      <c r="D204" s="944"/>
      <c r="E204" s="944"/>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row>
    <row r="205" spans="2:54" ht="14.5" x14ac:dyDescent="0.3">
      <c r="B205" s="949"/>
      <c r="C205" s="944"/>
      <c r="D205" s="944"/>
      <c r="E205" s="944"/>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row>
    <row r="206" spans="2:54" ht="14.5" x14ac:dyDescent="0.3">
      <c r="B206" s="949"/>
      <c r="C206" s="944"/>
      <c r="D206" s="944"/>
      <c r="E206" s="944"/>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row>
    <row r="207" spans="2:54" ht="14.5" x14ac:dyDescent="0.3">
      <c r="B207" s="949"/>
      <c r="C207" s="944"/>
      <c r="D207" s="944"/>
      <c r="E207" s="944"/>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row>
    <row r="208" spans="2:54" ht="14.5" x14ac:dyDescent="0.3">
      <c r="B208" s="949"/>
      <c r="C208" s="944"/>
      <c r="D208" s="944"/>
      <c r="E208" s="944"/>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row>
    <row r="209" spans="3:50" ht="14.5" x14ac:dyDescent="0.3">
      <c r="C209" s="944"/>
      <c r="D209" s="944"/>
      <c r="E209" s="944"/>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row>
    <row r="210" spans="3:50" ht="14.5" x14ac:dyDescent="0.3">
      <c r="C210" s="944"/>
      <c r="D210" s="944"/>
      <c r="E210" s="944"/>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row>
    <row r="211" spans="3:50" ht="14.5" x14ac:dyDescent="0.3">
      <c r="C211" s="944"/>
      <c r="D211" s="944"/>
      <c r="E211" s="944"/>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row>
    <row r="212" spans="3:50" ht="14.5" x14ac:dyDescent="0.3">
      <c r="C212" s="944"/>
      <c r="D212" s="944"/>
      <c r="E212" s="944"/>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row>
    <row r="213" spans="3:50" ht="14.5" x14ac:dyDescent="0.3">
      <c r="C213" s="944"/>
      <c r="D213" s="944"/>
      <c r="E213" s="944"/>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row>
    <row r="214" spans="3:50" ht="14.5" x14ac:dyDescent="0.3">
      <c r="C214" s="944"/>
      <c r="D214" s="944"/>
      <c r="E214" s="944"/>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row>
    <row r="215" spans="3:50" ht="14.5" x14ac:dyDescent="0.3">
      <c r="C215" s="944"/>
      <c r="D215" s="944"/>
      <c r="E215" s="944"/>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row>
    <row r="216" spans="3:50" ht="14.5" x14ac:dyDescent="0.3">
      <c r="C216" s="944"/>
      <c r="D216" s="944"/>
      <c r="E216" s="944"/>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row>
    <row r="217" spans="3:50" ht="14.5" x14ac:dyDescent="0.3">
      <c r="C217" s="944"/>
      <c r="D217" s="944"/>
      <c r="E217" s="944"/>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row>
    <row r="218" spans="3:50" ht="14.5" x14ac:dyDescent="0.3">
      <c r="C218" s="944"/>
      <c r="D218" s="944"/>
      <c r="E218" s="944"/>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row>
    <row r="219" spans="3:50" ht="14.5" x14ac:dyDescent="0.3">
      <c r="C219" s="944"/>
      <c r="D219" s="944"/>
      <c r="E219" s="944"/>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row>
    <row r="220" spans="3:50" ht="14.5" x14ac:dyDescent="0.3">
      <c r="C220" s="944"/>
      <c r="D220" s="944"/>
      <c r="E220" s="944"/>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row>
    <row r="221" spans="3:50" ht="14.5" x14ac:dyDescent="0.3">
      <c r="C221" s="944"/>
      <c r="D221" s="944"/>
      <c r="E221" s="944"/>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row>
    <row r="222" spans="3:50" ht="14.5" x14ac:dyDescent="0.3">
      <c r="C222" s="944"/>
      <c r="D222" s="944"/>
      <c r="E222" s="944"/>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row>
    <row r="223" spans="3:50" ht="14.5" x14ac:dyDescent="0.3">
      <c r="C223" s="944"/>
      <c r="D223" s="944"/>
      <c r="E223" s="944"/>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row>
    <row r="224" spans="3:50" ht="14.5" x14ac:dyDescent="0.3">
      <c r="C224" s="944"/>
      <c r="D224" s="944"/>
      <c r="E224" s="944"/>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row>
    <row r="225" spans="3:50" ht="14.5" x14ac:dyDescent="0.3">
      <c r="C225" s="944"/>
      <c r="D225" s="944"/>
      <c r="E225" s="944"/>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row>
    <row r="226" spans="3:50" ht="14.5" x14ac:dyDescent="0.3">
      <c r="C226" s="944"/>
      <c r="D226" s="944"/>
      <c r="E226" s="944"/>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row>
    <row r="227" spans="3:50" ht="14.5" x14ac:dyDescent="0.3">
      <c r="C227" s="944"/>
      <c r="D227" s="944"/>
      <c r="E227" s="944"/>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row>
    <row r="228" spans="3:50" ht="14.5" x14ac:dyDescent="0.3">
      <c r="C228" s="944"/>
      <c r="D228" s="944"/>
      <c r="E228" s="944"/>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row>
    <row r="229" spans="3:50" ht="14.5" x14ac:dyDescent="0.3">
      <c r="C229" s="944"/>
      <c r="D229" s="944"/>
      <c r="E229" s="944"/>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row>
    <row r="230" spans="3:50" ht="14.5" x14ac:dyDescent="0.3">
      <c r="C230" s="944"/>
      <c r="D230" s="944"/>
      <c r="E230" s="944"/>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row>
    <row r="231" spans="3:50" ht="14.5" x14ac:dyDescent="0.3">
      <c r="C231" s="944"/>
      <c r="D231" s="944"/>
      <c r="E231" s="944"/>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row>
    <row r="232" spans="3:50" ht="14.5" x14ac:dyDescent="0.3">
      <c r="C232" s="944"/>
      <c r="D232" s="944"/>
      <c r="E232" s="944"/>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row>
    <row r="233" spans="3:50" ht="14.5" x14ac:dyDescent="0.3">
      <c r="C233" s="944"/>
      <c r="D233" s="944"/>
      <c r="E233" s="944"/>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row>
    <row r="234" spans="3:50" ht="14.5" x14ac:dyDescent="0.3">
      <c r="C234" s="944"/>
      <c r="D234" s="944"/>
      <c r="E234" s="944"/>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row>
    <row r="235" spans="3:50" ht="14.5" x14ac:dyDescent="0.3">
      <c r="C235" s="944"/>
      <c r="D235" s="944"/>
      <c r="E235" s="944"/>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row>
    <row r="236" spans="3:50" ht="14.5" x14ac:dyDescent="0.3">
      <c r="C236" s="944"/>
      <c r="D236" s="944"/>
      <c r="E236" s="944"/>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row>
    <row r="237" spans="3:50" ht="14.5" x14ac:dyDescent="0.3">
      <c r="C237" s="944"/>
      <c r="D237" s="944"/>
      <c r="E237" s="944"/>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row>
    <row r="238" spans="3:50" ht="14.5" x14ac:dyDescent="0.3">
      <c r="C238" s="944"/>
      <c r="D238" s="944"/>
      <c r="E238" s="944"/>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row>
    <row r="239" spans="3:50" ht="14.5" x14ac:dyDescent="0.3">
      <c r="C239" s="944"/>
      <c r="D239" s="944"/>
      <c r="E239" s="944"/>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row>
    <row r="240" spans="3:50" ht="14.5" x14ac:dyDescent="0.3">
      <c r="C240" s="944"/>
      <c r="D240" s="944"/>
      <c r="E240" s="944"/>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row>
    <row r="241" spans="3:50" ht="14.5" x14ac:dyDescent="0.3">
      <c r="C241" s="944"/>
      <c r="D241" s="944"/>
      <c r="E241" s="944"/>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row>
    <row r="242" spans="3:50" ht="14.5" x14ac:dyDescent="0.3">
      <c r="C242" s="944"/>
      <c r="D242" s="944"/>
      <c r="E242" s="944"/>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row>
    <row r="243" spans="3:50" ht="14.5" x14ac:dyDescent="0.3">
      <c r="C243" s="944"/>
      <c r="D243" s="944"/>
      <c r="E243" s="944"/>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row>
    <row r="244" spans="3:50" ht="14.5" x14ac:dyDescent="0.3">
      <c r="C244" s="944"/>
      <c r="D244" s="944"/>
      <c r="E244" s="944"/>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row>
    <row r="245" spans="3:50" ht="14.5" x14ac:dyDescent="0.3">
      <c r="C245" s="944"/>
      <c r="D245" s="944"/>
      <c r="E245" s="944"/>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row>
    <row r="246" spans="3:50" ht="14.5" x14ac:dyDescent="0.3">
      <c r="C246" s="944"/>
      <c r="D246" s="944"/>
      <c r="E246" s="944"/>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row>
    <row r="247" spans="3:50" ht="14.5" x14ac:dyDescent="0.3">
      <c r="C247" s="944"/>
      <c r="D247" s="944"/>
      <c r="E247" s="944"/>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row>
    <row r="248" spans="3:50" ht="14.5" x14ac:dyDescent="0.3">
      <c r="C248" s="944"/>
      <c r="D248" s="944"/>
      <c r="E248" s="944"/>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row>
    <row r="249" spans="3:50" ht="14.5" x14ac:dyDescent="0.3">
      <c r="C249" s="944"/>
      <c r="D249" s="944"/>
      <c r="E249" s="944"/>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row>
    <row r="250" spans="3:50" ht="14.5" x14ac:dyDescent="0.3">
      <c r="C250" s="944"/>
      <c r="D250" s="944"/>
      <c r="E250" s="944"/>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row>
    <row r="251" spans="3:50" ht="14.5" x14ac:dyDescent="0.3">
      <c r="C251" s="944"/>
      <c r="D251" s="944"/>
      <c r="E251" s="944"/>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row>
    <row r="252" spans="3:50" ht="14.5" x14ac:dyDescent="0.3">
      <c r="C252" s="944"/>
      <c r="D252" s="944"/>
      <c r="E252" s="944"/>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row>
    <row r="253" spans="3:50" ht="14.5" x14ac:dyDescent="0.3">
      <c r="C253" s="944"/>
      <c r="D253" s="944"/>
      <c r="E253" s="944"/>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row>
    <row r="254" spans="3:50" ht="14.5" x14ac:dyDescent="0.3">
      <c r="C254" s="944"/>
      <c r="D254" s="944"/>
      <c r="E254" s="944"/>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row>
    <row r="255" spans="3:50" ht="14.5" x14ac:dyDescent="0.3">
      <c r="C255" s="944"/>
      <c r="D255" s="944"/>
      <c r="E255" s="944"/>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row>
    <row r="256" spans="3:50" ht="14.5" x14ac:dyDescent="0.3">
      <c r="C256" s="944"/>
      <c r="D256" s="944"/>
      <c r="E256" s="944"/>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row>
    <row r="257" spans="3:50" ht="14.5" x14ac:dyDescent="0.3">
      <c r="C257" s="944"/>
      <c r="D257" s="944"/>
      <c r="E257" s="944"/>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row>
    <row r="258" spans="3:50" ht="14.5" x14ac:dyDescent="0.3">
      <c r="C258" s="944"/>
      <c r="D258" s="944"/>
      <c r="E258" s="944"/>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row>
    <row r="259" spans="3:50" ht="14.5" x14ac:dyDescent="0.3">
      <c r="C259" s="944"/>
      <c r="D259" s="944"/>
      <c r="E259" s="944"/>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row>
    <row r="260" spans="3:50" ht="14.5" x14ac:dyDescent="0.3">
      <c r="C260" s="944"/>
      <c r="D260" s="944"/>
      <c r="E260" s="944"/>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row>
    <row r="261" spans="3:50" ht="14.5" x14ac:dyDescent="0.3">
      <c r="C261" s="944"/>
      <c r="D261" s="944"/>
      <c r="E261" s="944"/>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row>
    <row r="262" spans="3:50" ht="14.5" x14ac:dyDescent="0.3">
      <c r="C262" s="944"/>
      <c r="D262" s="944"/>
      <c r="E262" s="944"/>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row>
    <row r="263" spans="3:50" ht="14.5" x14ac:dyDescent="0.3">
      <c r="C263" s="944"/>
      <c r="D263" s="944"/>
      <c r="E263" s="944"/>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row>
    <row r="264" spans="3:50" ht="14.5" x14ac:dyDescent="0.3">
      <c r="C264" s="944"/>
      <c r="D264" s="944"/>
      <c r="E264" s="944"/>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row>
    <row r="265" spans="3:50" ht="14.5" x14ac:dyDescent="0.3">
      <c r="C265" s="944"/>
      <c r="D265" s="944"/>
      <c r="E265" s="944"/>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row>
    <row r="266" spans="3:50" ht="14.5" x14ac:dyDescent="0.3">
      <c r="C266" s="944"/>
      <c r="D266" s="944"/>
      <c r="E266" s="944"/>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row>
    <row r="267" spans="3:50" ht="14.5" x14ac:dyDescent="0.3">
      <c r="C267" s="944"/>
      <c r="D267" s="944"/>
      <c r="E267" s="944"/>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row>
    <row r="268" spans="3:50" ht="14.5" x14ac:dyDescent="0.3">
      <c r="C268" s="944"/>
      <c r="D268" s="944"/>
      <c r="E268" s="944"/>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row>
    <row r="269" spans="3:50" ht="14.5" x14ac:dyDescent="0.3">
      <c r="C269" s="944"/>
      <c r="D269" s="944"/>
      <c r="E269" s="944"/>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row>
    <row r="270" spans="3:50" ht="14.5" x14ac:dyDescent="0.3">
      <c r="C270" s="944"/>
      <c r="D270" s="944"/>
      <c r="E270" s="944"/>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row>
    <row r="271" spans="3:50" ht="14.5" x14ac:dyDescent="0.3">
      <c r="C271" s="944"/>
      <c r="D271" s="944"/>
      <c r="E271" s="944"/>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row>
    <row r="272" spans="3:50" ht="14.5" x14ac:dyDescent="0.3">
      <c r="C272" s="944"/>
      <c r="D272" s="944"/>
      <c r="E272" s="944"/>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row>
    <row r="273" spans="3:50" ht="14.5" x14ac:dyDescent="0.3">
      <c r="C273" s="944"/>
      <c r="D273" s="944"/>
      <c r="E273" s="944"/>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row>
    <row r="274" spans="3:50" ht="14.5" x14ac:dyDescent="0.3">
      <c r="C274" s="944"/>
      <c r="D274" s="944"/>
      <c r="E274" s="944"/>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row>
    <row r="275" spans="3:50" ht="14.5" x14ac:dyDescent="0.3">
      <c r="C275" s="944"/>
      <c r="D275" s="944"/>
      <c r="E275" s="944"/>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row>
    <row r="276" spans="3:50" ht="14.5" x14ac:dyDescent="0.3">
      <c r="C276" s="944"/>
      <c r="D276" s="944"/>
      <c r="E276" s="944"/>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row>
    <row r="277" spans="3:50" ht="14.5" x14ac:dyDescent="0.3">
      <c r="C277" s="944"/>
      <c r="D277" s="944"/>
      <c r="E277" s="944"/>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row>
    <row r="278" spans="3:50" ht="14.5" x14ac:dyDescent="0.3">
      <c r="C278" s="944"/>
      <c r="D278" s="944"/>
      <c r="E278" s="944"/>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row>
    <row r="279" spans="3:50" ht="14.5" x14ac:dyDescent="0.3">
      <c r="C279" s="944"/>
      <c r="D279" s="944"/>
      <c r="E279" s="944"/>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row>
    <row r="280" spans="3:50" ht="14.5" x14ac:dyDescent="0.3">
      <c r="C280" s="944"/>
      <c r="D280" s="944"/>
      <c r="E280" s="944"/>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row>
    <row r="281" spans="3:50" ht="14.5" x14ac:dyDescent="0.3">
      <c r="C281" s="944"/>
      <c r="D281" s="944"/>
      <c r="E281" s="944"/>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row>
    <row r="282" spans="3:50" ht="14.5" x14ac:dyDescent="0.3">
      <c r="C282" s="944"/>
      <c r="D282" s="944"/>
      <c r="E282" s="944"/>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row>
    <row r="283" spans="3:50" ht="14.5" x14ac:dyDescent="0.3">
      <c r="C283" s="944"/>
      <c r="D283" s="944"/>
      <c r="E283" s="944"/>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row>
    <row r="284" spans="3:50" ht="14.5" x14ac:dyDescent="0.3">
      <c r="C284" s="944"/>
      <c r="D284" s="944"/>
      <c r="E284" s="944"/>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row>
    <row r="285" spans="3:50" ht="14.5" x14ac:dyDescent="0.3">
      <c r="C285" s="944"/>
      <c r="D285" s="944"/>
      <c r="E285" s="944"/>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row>
    <row r="286" spans="3:50" ht="14.5" x14ac:dyDescent="0.3">
      <c r="C286" s="944"/>
      <c r="D286" s="944"/>
      <c r="E286" s="944"/>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row>
    <row r="287" spans="3:50" ht="14.5" x14ac:dyDescent="0.3">
      <c r="C287" s="944"/>
      <c r="D287" s="944"/>
      <c r="E287" s="944"/>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row>
    <row r="288" spans="3:50" ht="14.5" x14ac:dyDescent="0.3">
      <c r="C288" s="944"/>
      <c r="D288" s="944"/>
      <c r="E288" s="944"/>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row>
    <row r="289" spans="3:50" ht="14.5" x14ac:dyDescent="0.3">
      <c r="C289" s="944"/>
      <c r="D289" s="944"/>
      <c r="E289" s="944"/>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row>
    <row r="290" spans="3:50" ht="14.5" x14ac:dyDescent="0.3">
      <c r="C290" s="944"/>
      <c r="D290" s="944"/>
      <c r="E290" s="944"/>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row>
    <row r="291" spans="3:50" ht="14.5" x14ac:dyDescent="0.3">
      <c r="C291" s="944"/>
      <c r="D291" s="944"/>
      <c r="E291" s="944"/>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row>
    <row r="292" spans="3:50" ht="14.5" x14ac:dyDescent="0.3">
      <c r="C292" s="944"/>
      <c r="D292" s="944"/>
      <c r="E292" s="944"/>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row>
    <row r="293" spans="3:50" ht="14.5" x14ac:dyDescent="0.3">
      <c r="C293" s="944"/>
      <c r="D293" s="944"/>
      <c r="E293" s="944"/>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row>
    <row r="294" spans="3:50" ht="14.5" x14ac:dyDescent="0.3">
      <c r="C294" s="944"/>
      <c r="D294" s="944"/>
      <c r="E294" s="944"/>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row>
    <row r="295" spans="3:50" ht="14.5" x14ac:dyDescent="0.3">
      <c r="C295" s="944"/>
      <c r="D295" s="944"/>
      <c r="E295" s="944"/>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row>
    <row r="296" spans="3:50" ht="14.5" x14ac:dyDescent="0.3">
      <c r="C296" s="944"/>
      <c r="D296" s="944"/>
      <c r="E296" s="944"/>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row>
    <row r="297" spans="3:50" ht="14.5" x14ac:dyDescent="0.3">
      <c r="C297" s="944"/>
      <c r="D297" s="944"/>
      <c r="E297" s="944"/>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row>
    <row r="298" spans="3:50" ht="14.5" x14ac:dyDescent="0.3">
      <c r="C298" s="944"/>
      <c r="D298" s="944"/>
      <c r="E298" s="944"/>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row>
    <row r="299" spans="3:50" ht="14.5" x14ac:dyDescent="0.3">
      <c r="C299" s="944"/>
      <c r="D299" s="944"/>
      <c r="E299" s="944"/>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row>
    <row r="300" spans="3:50" ht="14.5" x14ac:dyDescent="0.3">
      <c r="C300" s="944"/>
      <c r="D300" s="944"/>
      <c r="E300" s="944"/>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row>
    <row r="301" spans="3:50" ht="14.5" x14ac:dyDescent="0.3">
      <c r="C301" s="944"/>
      <c r="D301" s="944"/>
      <c r="E301" s="944"/>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row>
    <row r="302" spans="3:50" ht="14.5" x14ac:dyDescent="0.3">
      <c r="C302" s="944"/>
      <c r="D302" s="944"/>
      <c r="E302" s="944"/>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row>
    <row r="303" spans="3:50" ht="14.5" x14ac:dyDescent="0.3">
      <c r="C303" s="944"/>
      <c r="D303" s="944"/>
      <c r="E303" s="944"/>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row>
    <row r="304" spans="3:50" ht="14.5" x14ac:dyDescent="0.3">
      <c r="C304" s="944"/>
      <c r="D304" s="944"/>
      <c r="E304" s="944"/>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row>
    <row r="305" spans="3:50" ht="14.5" x14ac:dyDescent="0.3">
      <c r="C305" s="944"/>
      <c r="D305" s="944"/>
      <c r="E305" s="944"/>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row>
    <row r="306" spans="3:50" ht="14.5" x14ac:dyDescent="0.3">
      <c r="C306" s="944"/>
      <c r="D306" s="944"/>
      <c r="E306" s="944"/>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row>
    <row r="307" spans="3:50" ht="14.5" x14ac:dyDescent="0.3">
      <c r="C307" s="944"/>
      <c r="D307" s="944"/>
      <c r="E307" s="944"/>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row>
    <row r="308" spans="3:50" ht="14.5" x14ac:dyDescent="0.3">
      <c r="C308" s="944"/>
      <c r="D308" s="944"/>
      <c r="E308" s="944"/>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row>
    <row r="309" spans="3:50" ht="14.5" x14ac:dyDescent="0.3">
      <c r="C309" s="944"/>
      <c r="D309" s="944"/>
      <c r="E309" s="944"/>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row>
    <row r="310" spans="3:50" ht="14.5" x14ac:dyDescent="0.3">
      <c r="C310" s="944"/>
      <c r="D310" s="944"/>
      <c r="E310" s="944"/>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row>
    <row r="311" spans="3:50" ht="14.5" x14ac:dyDescent="0.3">
      <c r="C311" s="944"/>
      <c r="D311" s="944"/>
      <c r="E311" s="944"/>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row>
    <row r="312" spans="3:50" ht="14.5" x14ac:dyDescent="0.3">
      <c r="C312" s="944"/>
      <c r="D312" s="944"/>
      <c r="E312" s="944"/>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row>
    <row r="313" spans="3:50" ht="14.5" x14ac:dyDescent="0.3">
      <c r="C313" s="944"/>
      <c r="D313" s="944"/>
      <c r="E313" s="944"/>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row>
    <row r="314" spans="3:50" ht="14.5" x14ac:dyDescent="0.3">
      <c r="C314" s="944"/>
      <c r="D314" s="944"/>
      <c r="E314" s="944"/>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row>
    <row r="315" spans="3:50" ht="14.5" x14ac:dyDescent="0.3">
      <c r="C315" s="944"/>
      <c r="D315" s="944"/>
      <c r="E315" s="944"/>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row>
    <row r="316" spans="3:50" ht="14.5" x14ac:dyDescent="0.3">
      <c r="C316" s="944"/>
      <c r="D316" s="944"/>
      <c r="E316" s="944"/>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row>
    <row r="317" spans="3:50" ht="14.5" x14ac:dyDescent="0.3">
      <c r="C317" s="944"/>
      <c r="D317" s="944"/>
      <c r="E317" s="944"/>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row>
    <row r="318" spans="3:50" ht="14.5" x14ac:dyDescent="0.3">
      <c r="C318" s="944"/>
      <c r="D318" s="944"/>
      <c r="E318" s="944"/>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row>
    <row r="319" spans="3:50" ht="14.5" x14ac:dyDescent="0.3">
      <c r="C319" s="944"/>
      <c r="D319" s="944"/>
      <c r="E319" s="944"/>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row>
    <row r="320" spans="3:50" ht="14.5" x14ac:dyDescent="0.3">
      <c r="C320" s="944"/>
      <c r="D320" s="944"/>
      <c r="E320" s="944"/>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row>
    <row r="321" spans="3:50" ht="14.5" x14ac:dyDescent="0.3">
      <c r="C321" s="944"/>
      <c r="D321" s="944"/>
      <c r="E321" s="944"/>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row>
    <row r="322" spans="3:50" ht="14.5" x14ac:dyDescent="0.3">
      <c r="C322" s="944"/>
      <c r="D322" s="944"/>
      <c r="E322" s="944"/>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row>
    <row r="323" spans="3:50" ht="14.5" x14ac:dyDescent="0.3">
      <c r="C323" s="944"/>
      <c r="D323" s="944"/>
      <c r="E323" s="944"/>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row>
    <row r="324" spans="3:50" ht="14.5" x14ac:dyDescent="0.3">
      <c r="C324" s="944"/>
      <c r="D324" s="944"/>
      <c r="E324" s="944"/>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row>
    <row r="325" spans="3:50" ht="14.5" x14ac:dyDescent="0.3">
      <c r="C325" s="944"/>
      <c r="D325" s="944"/>
      <c r="E325" s="944"/>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row>
    <row r="326" spans="3:50" ht="14.5" x14ac:dyDescent="0.3">
      <c r="C326" s="944"/>
      <c r="D326" s="944"/>
      <c r="E326" s="944"/>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row>
    <row r="327" spans="3:50" ht="14.5" x14ac:dyDescent="0.3">
      <c r="C327" s="944"/>
      <c r="D327" s="944"/>
      <c r="E327" s="944"/>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row>
    <row r="328" spans="3:50" ht="14.5" x14ac:dyDescent="0.3">
      <c r="C328" s="944"/>
      <c r="D328" s="944"/>
      <c r="E328" s="944"/>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row>
    <row r="329" spans="3:50" ht="14.5" x14ac:dyDescent="0.3">
      <c r="C329" s="944"/>
      <c r="D329" s="944"/>
      <c r="E329" s="944"/>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row>
    <row r="330" spans="3:50" ht="14.5" x14ac:dyDescent="0.3">
      <c r="C330" s="944"/>
      <c r="D330" s="944"/>
      <c r="E330" s="944"/>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row>
    <row r="331" spans="3:50" ht="14.5" x14ac:dyDescent="0.3">
      <c r="C331" s="944"/>
      <c r="D331" s="944"/>
      <c r="E331" s="944"/>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row>
    <row r="332" spans="3:50" ht="14.5" x14ac:dyDescent="0.3">
      <c r="C332" s="944"/>
      <c r="D332" s="944"/>
      <c r="E332" s="944"/>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row>
    <row r="333" spans="3:50" ht="14.5" x14ac:dyDescent="0.3">
      <c r="C333" s="944"/>
      <c r="D333" s="944"/>
      <c r="E333" s="944"/>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row>
    <row r="334" spans="3:50" ht="14.5" x14ac:dyDescent="0.3">
      <c r="C334" s="944"/>
      <c r="D334" s="944"/>
      <c r="E334" s="944"/>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row>
    <row r="335" spans="3:50" ht="14.5" x14ac:dyDescent="0.3">
      <c r="C335" s="944"/>
      <c r="D335" s="944"/>
      <c r="E335" s="944"/>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row>
    <row r="336" spans="3:50" ht="14.5" x14ac:dyDescent="0.3">
      <c r="C336" s="944"/>
      <c r="D336" s="944"/>
      <c r="E336" s="944"/>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row>
    <row r="337" spans="3:50" ht="14.5" x14ac:dyDescent="0.3">
      <c r="C337" s="944"/>
      <c r="D337" s="944"/>
      <c r="E337" s="944"/>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row>
    <row r="338" spans="3:50" ht="14.5" x14ac:dyDescent="0.3">
      <c r="C338" s="944"/>
      <c r="D338" s="944"/>
      <c r="E338" s="944"/>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row>
    <row r="339" spans="3:50" ht="14.5" x14ac:dyDescent="0.3">
      <c r="C339" s="944"/>
      <c r="D339" s="944"/>
      <c r="E339" s="944"/>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row>
    <row r="340" spans="3:50" ht="14.5" x14ac:dyDescent="0.3">
      <c r="C340" s="944"/>
      <c r="D340" s="944"/>
      <c r="E340" s="944"/>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row>
    <row r="341" spans="3:50" ht="14.5" x14ac:dyDescent="0.3">
      <c r="C341" s="944"/>
      <c r="D341" s="944"/>
      <c r="E341" s="944"/>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row>
    <row r="342" spans="3:50" ht="14.5" x14ac:dyDescent="0.3">
      <c r="C342" s="944"/>
      <c r="D342" s="944"/>
      <c r="E342" s="944"/>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row>
    <row r="343" spans="3:50" ht="14.5" x14ac:dyDescent="0.3">
      <c r="C343" s="944"/>
      <c r="D343" s="944"/>
      <c r="E343" s="944"/>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row>
    <row r="344" spans="3:50" ht="14.5" x14ac:dyDescent="0.3">
      <c r="C344" s="944"/>
      <c r="D344" s="944"/>
      <c r="E344" s="944"/>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row>
    <row r="345" spans="3:50" ht="14.5" x14ac:dyDescent="0.3">
      <c r="C345" s="944"/>
      <c r="D345" s="944"/>
      <c r="E345" s="944"/>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row>
    <row r="346" spans="3:50" ht="14.5" x14ac:dyDescent="0.3">
      <c r="C346" s="944"/>
      <c r="D346" s="944"/>
      <c r="E346" s="944"/>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row>
    <row r="347" spans="3:50" ht="14.5" x14ac:dyDescent="0.3">
      <c r="C347" s="944"/>
      <c r="D347" s="944"/>
      <c r="E347" s="944"/>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row>
    <row r="348" spans="3:50" ht="14.5" x14ac:dyDescent="0.3">
      <c r="C348" s="944"/>
      <c r="D348" s="944"/>
      <c r="E348" s="944"/>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row>
    <row r="349" spans="3:50" ht="14.5" x14ac:dyDescent="0.3">
      <c r="C349" s="944"/>
      <c r="D349" s="944"/>
      <c r="E349" s="944"/>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row>
    <row r="350" spans="3:50" ht="14.5" x14ac:dyDescent="0.3">
      <c r="C350" s="944"/>
      <c r="D350" s="944"/>
      <c r="E350" s="944"/>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row>
    <row r="351" spans="3:50" ht="14.5" x14ac:dyDescent="0.3">
      <c r="C351" s="944"/>
      <c r="D351" s="944"/>
      <c r="E351" s="944"/>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row>
    <row r="352" spans="3:50" ht="14.5" x14ac:dyDescent="0.3">
      <c r="C352" s="944"/>
      <c r="D352" s="944"/>
      <c r="E352" s="944"/>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row>
    <row r="353" spans="3:50" ht="14.5" x14ac:dyDescent="0.3">
      <c r="C353" s="944"/>
      <c r="D353" s="944"/>
      <c r="E353" s="944"/>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row>
    <row r="354" spans="3:50" ht="14.5" x14ac:dyDescent="0.3">
      <c r="C354" s="944"/>
      <c r="D354" s="944"/>
      <c r="E354" s="944"/>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row>
    <row r="355" spans="3:50" ht="14.5" x14ac:dyDescent="0.3">
      <c r="C355" s="944"/>
      <c r="D355" s="944"/>
      <c r="E355" s="944"/>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row>
    <row r="356" spans="3:50" ht="14.5" x14ac:dyDescent="0.3">
      <c r="C356" s="944"/>
      <c r="D356" s="944"/>
      <c r="E356" s="944"/>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row>
    <row r="357" spans="3:50" ht="14.5" x14ac:dyDescent="0.3">
      <c r="C357" s="944"/>
      <c r="D357" s="944"/>
      <c r="E357" s="944"/>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row>
    <row r="358" spans="3:50" ht="14.5" x14ac:dyDescent="0.3">
      <c r="C358" s="944"/>
      <c r="D358" s="944"/>
      <c r="E358" s="944"/>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row>
    <row r="359" spans="3:50" ht="14.5" x14ac:dyDescent="0.3">
      <c r="C359" s="944"/>
      <c r="D359" s="944"/>
      <c r="E359" s="944"/>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row>
    <row r="360" spans="3:50" ht="14.5" x14ac:dyDescent="0.3">
      <c r="C360" s="944"/>
      <c r="D360" s="944"/>
      <c r="E360" s="944"/>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row>
    <row r="361" spans="3:50" ht="14.5" x14ac:dyDescent="0.3">
      <c r="C361" s="944"/>
      <c r="D361" s="944"/>
      <c r="E361" s="944"/>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row>
    <row r="362" spans="3:50" ht="14.5" x14ac:dyDescent="0.3">
      <c r="C362" s="944"/>
      <c r="D362" s="944"/>
      <c r="E362" s="944"/>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row>
    <row r="363" spans="3:50" ht="14.5" x14ac:dyDescent="0.3">
      <c r="C363" s="944"/>
      <c r="D363" s="944"/>
      <c r="E363" s="944"/>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row>
    <row r="364" spans="3:50" ht="14.5" x14ac:dyDescent="0.3">
      <c r="C364" s="944"/>
      <c r="D364" s="944"/>
      <c r="E364" s="944"/>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row>
    <row r="365" spans="3:50" ht="14.5" x14ac:dyDescent="0.3">
      <c r="C365" s="944"/>
      <c r="D365" s="944"/>
      <c r="E365" s="944"/>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row>
    <row r="366" spans="3:50" ht="14.5" x14ac:dyDescent="0.3">
      <c r="C366" s="944"/>
      <c r="D366" s="944"/>
      <c r="E366" s="944"/>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row>
    <row r="367" spans="3:50" ht="14.5" x14ac:dyDescent="0.3">
      <c r="C367" s="944"/>
      <c r="D367" s="944"/>
      <c r="E367" s="944"/>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row>
    <row r="368" spans="3:50" ht="14.5" x14ac:dyDescent="0.3">
      <c r="C368" s="944"/>
      <c r="D368" s="944"/>
      <c r="E368" s="944"/>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row>
    <row r="369" spans="3:50" ht="14.5" x14ac:dyDescent="0.3">
      <c r="C369" s="944"/>
      <c r="D369" s="944"/>
      <c r="E369" s="944"/>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row>
    <row r="370" spans="3:50" ht="14.5" x14ac:dyDescent="0.3">
      <c r="C370" s="944"/>
      <c r="D370" s="944"/>
      <c r="E370" s="944"/>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row>
    <row r="371" spans="3:50" ht="14.5" x14ac:dyDescent="0.3">
      <c r="C371" s="944"/>
      <c r="D371" s="944"/>
      <c r="E371" s="944"/>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row>
    <row r="372" spans="3:50" ht="14.5" x14ac:dyDescent="0.3">
      <c r="C372" s="944"/>
      <c r="D372" s="944"/>
      <c r="E372" s="944"/>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row>
    <row r="373" spans="3:50" ht="14.5" x14ac:dyDescent="0.3">
      <c r="C373" s="944"/>
      <c r="D373" s="944"/>
      <c r="E373" s="944"/>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row>
    <row r="374" spans="3:50" ht="14.5" x14ac:dyDescent="0.3">
      <c r="C374" s="944"/>
      <c r="D374" s="944"/>
      <c r="E374" s="944"/>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row>
    <row r="375" spans="3:50" ht="14.5" x14ac:dyDescent="0.3">
      <c r="C375" s="944"/>
      <c r="D375" s="944"/>
      <c r="E375" s="944"/>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row>
    <row r="376" spans="3:50" ht="14.5" x14ac:dyDescent="0.3">
      <c r="C376" s="944"/>
      <c r="D376" s="944"/>
      <c r="E376" s="944"/>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row>
    <row r="377" spans="3:50" ht="14.5" x14ac:dyDescent="0.3">
      <c r="C377" s="944"/>
      <c r="D377" s="944"/>
      <c r="E377" s="944"/>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row>
    <row r="378" spans="3:50" ht="14.5" x14ac:dyDescent="0.3">
      <c r="C378" s="944"/>
      <c r="D378" s="944"/>
      <c r="E378" s="944"/>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row>
    <row r="379" spans="3:50" ht="14.5" x14ac:dyDescent="0.3">
      <c r="C379" s="944"/>
      <c r="D379" s="944"/>
      <c r="E379" s="944"/>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row>
    <row r="380" spans="3:50" ht="14.5" x14ac:dyDescent="0.3">
      <c r="C380" s="944"/>
      <c r="D380" s="944"/>
      <c r="E380" s="944"/>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row>
    <row r="381" spans="3:50" ht="14.5" x14ac:dyDescent="0.3">
      <c r="C381" s="944"/>
      <c r="D381" s="944"/>
      <c r="E381" s="944"/>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row>
    <row r="382" spans="3:50" ht="14.5" x14ac:dyDescent="0.3">
      <c r="C382" s="944"/>
      <c r="D382" s="944"/>
      <c r="E382" s="944"/>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row>
    <row r="383" spans="3:50" ht="14.5" x14ac:dyDescent="0.3">
      <c r="C383" s="944"/>
      <c r="D383" s="944"/>
      <c r="E383" s="944"/>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row>
    <row r="384" spans="3:50" ht="14.5" x14ac:dyDescent="0.3">
      <c r="C384" s="944"/>
      <c r="D384" s="944"/>
      <c r="E384" s="944"/>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row>
    <row r="385" spans="3:50" ht="14.5" x14ac:dyDescent="0.3">
      <c r="C385" s="944"/>
      <c r="D385" s="944"/>
      <c r="E385" s="944"/>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row>
    <row r="386" spans="3:50" ht="14.5" x14ac:dyDescent="0.3">
      <c r="C386" s="944"/>
      <c r="D386" s="944"/>
      <c r="E386" s="944"/>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row>
    <row r="387" spans="3:50" ht="14.5" x14ac:dyDescent="0.3">
      <c r="C387" s="944"/>
      <c r="D387" s="944"/>
      <c r="E387" s="944"/>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row>
    <row r="388" spans="3:50" ht="14.5" x14ac:dyDescent="0.3">
      <c r="C388" s="944"/>
      <c r="D388" s="944"/>
      <c r="E388" s="944"/>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row>
    <row r="389" spans="3:50" ht="14.5" x14ac:dyDescent="0.3">
      <c r="C389" s="944"/>
      <c r="D389" s="944"/>
      <c r="E389" s="944"/>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row>
    <row r="390" spans="3:50" ht="14.5" x14ac:dyDescent="0.3">
      <c r="C390" s="944"/>
      <c r="D390" s="944"/>
      <c r="E390" s="944"/>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row>
    <row r="391" spans="3:50" ht="14.5" x14ac:dyDescent="0.3">
      <c r="C391" s="944"/>
      <c r="D391" s="944"/>
      <c r="E391" s="944"/>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row>
    <row r="392" spans="3:50" ht="14.5" x14ac:dyDescent="0.3">
      <c r="C392" s="944"/>
      <c r="D392" s="944"/>
      <c r="E392" s="944"/>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row>
    <row r="393" spans="3:50" ht="14.5" x14ac:dyDescent="0.3">
      <c r="C393" s="944"/>
      <c r="D393" s="944"/>
      <c r="E393" s="944"/>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row>
    <row r="394" spans="3:50" ht="14.5" x14ac:dyDescent="0.3">
      <c r="C394" s="944"/>
      <c r="D394" s="944"/>
      <c r="E394" s="944"/>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row>
    <row r="395" spans="3:50" ht="14.5" x14ac:dyDescent="0.3">
      <c r="C395" s="944"/>
      <c r="D395" s="944"/>
      <c r="E395" s="944"/>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row>
    <row r="396" spans="3:50" ht="14.5" x14ac:dyDescent="0.3">
      <c r="C396" s="944"/>
      <c r="D396" s="944"/>
      <c r="E396" s="944"/>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row>
    <row r="397" spans="3:50" ht="14.5" x14ac:dyDescent="0.3">
      <c r="C397" s="944"/>
      <c r="D397" s="944"/>
      <c r="E397" s="944"/>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row>
    <row r="398" spans="3:50" ht="14.5" x14ac:dyDescent="0.3">
      <c r="C398" s="944"/>
      <c r="D398" s="944"/>
      <c r="E398" s="944"/>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row>
    <row r="399" spans="3:50" ht="14.5" x14ac:dyDescent="0.3">
      <c r="C399" s="944"/>
      <c r="D399" s="944"/>
      <c r="E399" s="944"/>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row>
    <row r="400" spans="3:50" ht="14.5" x14ac:dyDescent="0.3">
      <c r="C400" s="944"/>
      <c r="D400" s="944"/>
      <c r="E400" s="944"/>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row>
    <row r="401" spans="3:50" ht="14.5" x14ac:dyDescent="0.3">
      <c r="C401" s="944"/>
      <c r="D401" s="944"/>
      <c r="E401" s="944"/>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row>
    <row r="402" spans="3:50" ht="14.5" x14ac:dyDescent="0.3">
      <c r="C402" s="944"/>
      <c r="D402" s="944"/>
      <c r="E402" s="944"/>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row>
    <row r="403" spans="3:50" ht="14.5" x14ac:dyDescent="0.3">
      <c r="C403" s="944"/>
      <c r="D403" s="944"/>
      <c r="E403" s="944"/>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row>
    <row r="404" spans="3:50" ht="14.5" x14ac:dyDescent="0.3">
      <c r="C404" s="944"/>
      <c r="D404" s="944"/>
      <c r="E404" s="944"/>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row>
    <row r="405" spans="3:50" ht="14.5" x14ac:dyDescent="0.3">
      <c r="C405" s="944"/>
      <c r="D405" s="944"/>
      <c r="E405" s="944"/>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row>
    <row r="406" spans="3:50" ht="14.5" x14ac:dyDescent="0.3">
      <c r="C406" s="944"/>
      <c r="D406" s="944"/>
      <c r="E406" s="944"/>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row>
    <row r="407" spans="3:50" ht="14.5" x14ac:dyDescent="0.3">
      <c r="C407" s="944"/>
      <c r="D407" s="944"/>
      <c r="E407" s="944"/>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row>
    <row r="408" spans="3:50" ht="14.5" x14ac:dyDescent="0.3">
      <c r="C408" s="944"/>
      <c r="D408" s="944"/>
      <c r="E408" s="944"/>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row>
    <row r="409" spans="3:50" ht="14.5" x14ac:dyDescent="0.3">
      <c r="C409" s="944"/>
      <c r="D409" s="944"/>
      <c r="E409" s="944"/>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row>
    <row r="410" spans="3:50" ht="14.5" x14ac:dyDescent="0.3">
      <c r="C410" s="944"/>
      <c r="D410" s="944"/>
      <c r="E410" s="944"/>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row>
    <row r="411" spans="3:50" ht="14.5" x14ac:dyDescent="0.3">
      <c r="C411" s="944"/>
      <c r="D411" s="944"/>
      <c r="E411" s="944"/>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row>
    <row r="412" spans="3:50" ht="14.5" x14ac:dyDescent="0.3">
      <c r="C412" s="944"/>
      <c r="D412" s="944"/>
      <c r="E412" s="944"/>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row>
    <row r="413" spans="3:50" ht="14.5" x14ac:dyDescent="0.3">
      <c r="C413" s="944"/>
      <c r="D413" s="944"/>
      <c r="E413" s="944"/>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row>
    <row r="414" spans="3:50" ht="14.5" x14ac:dyDescent="0.3">
      <c r="C414" s="944"/>
      <c r="D414" s="944"/>
      <c r="E414" s="944"/>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row>
    <row r="415" spans="3:50" ht="14.5" x14ac:dyDescent="0.3">
      <c r="C415" s="944"/>
      <c r="D415" s="944"/>
      <c r="E415" s="944"/>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row>
    <row r="416" spans="3:50" ht="14.5" x14ac:dyDescent="0.3">
      <c r="C416" s="944"/>
      <c r="D416" s="944"/>
      <c r="E416" s="944"/>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row>
    <row r="417" spans="3:50" ht="14.5" x14ac:dyDescent="0.3">
      <c r="C417" s="944"/>
      <c r="D417" s="944"/>
      <c r="E417" s="944"/>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row>
    <row r="418" spans="3:50" ht="14.5" x14ac:dyDescent="0.3">
      <c r="C418" s="944"/>
      <c r="D418" s="944"/>
      <c r="E418" s="944"/>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row>
    <row r="419" spans="3:50" ht="14.5" x14ac:dyDescent="0.3">
      <c r="C419" s="944"/>
      <c r="D419" s="944"/>
      <c r="E419" s="944"/>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row>
    <row r="420" spans="3:50" ht="14.5" x14ac:dyDescent="0.3">
      <c r="C420" s="944"/>
      <c r="D420" s="944"/>
      <c r="E420" s="944"/>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row>
    <row r="421" spans="3:50" ht="14.5" x14ac:dyDescent="0.3">
      <c r="C421" s="944"/>
      <c r="D421" s="944"/>
      <c r="E421" s="944"/>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row>
    <row r="422" spans="3:50" ht="14.5" x14ac:dyDescent="0.3">
      <c r="C422" s="944"/>
      <c r="D422" s="944"/>
      <c r="E422" s="944"/>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row>
    <row r="423" spans="3:50" ht="14.5" x14ac:dyDescent="0.3">
      <c r="C423" s="944"/>
      <c r="D423" s="944"/>
      <c r="E423" s="944"/>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row>
    <row r="424" spans="3:50" ht="14.5" x14ac:dyDescent="0.3">
      <c r="C424" s="944"/>
      <c r="D424" s="944"/>
      <c r="E424" s="944"/>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row>
    <row r="425" spans="3:50" ht="14.5" x14ac:dyDescent="0.3">
      <c r="C425" s="944"/>
      <c r="D425" s="944"/>
      <c r="E425" s="944"/>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row>
    <row r="426" spans="3:50" ht="14.5" x14ac:dyDescent="0.3">
      <c r="C426" s="944"/>
      <c r="D426" s="944"/>
      <c r="E426" s="944"/>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row>
    <row r="427" spans="3:50" ht="14.5" x14ac:dyDescent="0.3">
      <c r="C427" s="944"/>
      <c r="D427" s="944"/>
      <c r="E427" s="944"/>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row>
    <row r="428" spans="3:50" ht="14.5" x14ac:dyDescent="0.3">
      <c r="C428" s="944"/>
      <c r="D428" s="944"/>
      <c r="E428" s="944"/>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row>
    <row r="429" spans="3:50" ht="14.5" x14ac:dyDescent="0.3">
      <c r="C429" s="944"/>
      <c r="D429" s="944"/>
      <c r="E429" s="944"/>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row>
    <row r="430" spans="3:50" ht="14.5" x14ac:dyDescent="0.3">
      <c r="C430" s="944"/>
      <c r="D430" s="944"/>
      <c r="E430" s="944"/>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row>
    <row r="431" spans="3:50" ht="14.5" x14ac:dyDescent="0.3">
      <c r="C431" s="944"/>
      <c r="D431" s="944"/>
      <c r="E431" s="944"/>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row>
    <row r="432" spans="3:50" ht="14.5" x14ac:dyDescent="0.3">
      <c r="C432" s="944"/>
      <c r="D432" s="944"/>
      <c r="E432" s="944"/>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row>
    <row r="433" spans="3:50" ht="14.5" x14ac:dyDescent="0.3">
      <c r="C433" s="944"/>
      <c r="D433" s="944"/>
      <c r="E433" s="944"/>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row>
    <row r="434" spans="3:50" ht="14.5" x14ac:dyDescent="0.3">
      <c r="C434" s="944"/>
      <c r="D434" s="944"/>
      <c r="E434" s="944"/>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row>
    <row r="435" spans="3:50" ht="14.5" x14ac:dyDescent="0.3">
      <c r="C435" s="944"/>
      <c r="D435" s="944"/>
      <c r="E435" s="944"/>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row>
    <row r="436" spans="3:50" ht="14.5" x14ac:dyDescent="0.3">
      <c r="C436" s="944"/>
      <c r="D436" s="944"/>
      <c r="E436" s="944"/>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row>
    <row r="437" spans="3:50" ht="14.5" x14ac:dyDescent="0.3">
      <c r="C437" s="944"/>
      <c r="D437" s="944"/>
      <c r="E437" s="944"/>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row>
    <row r="438" spans="3:50" ht="14.5" x14ac:dyDescent="0.3">
      <c r="C438" s="944"/>
      <c r="D438" s="944"/>
      <c r="E438" s="944"/>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row>
    <row r="439" spans="3:50" ht="14.5" x14ac:dyDescent="0.3">
      <c r="C439" s="944"/>
      <c r="D439" s="944"/>
      <c r="E439" s="944"/>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row>
    <row r="440" spans="3:50" ht="14.5" x14ac:dyDescent="0.3">
      <c r="C440" s="944"/>
      <c r="D440" s="944"/>
      <c r="E440" s="944"/>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row>
    <row r="441" spans="3:50" ht="14.5" x14ac:dyDescent="0.3">
      <c r="C441" s="944"/>
      <c r="D441" s="944"/>
      <c r="E441" s="944"/>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row>
    <row r="442" spans="3:50" ht="14.5" x14ac:dyDescent="0.3">
      <c r="C442" s="944"/>
      <c r="D442" s="944"/>
      <c r="E442" s="944"/>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row>
    <row r="443" spans="3:50" ht="14.5" x14ac:dyDescent="0.3">
      <c r="C443" s="944"/>
      <c r="D443" s="944"/>
      <c r="E443" s="944"/>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row>
    <row r="444" spans="3:50" ht="14.5" x14ac:dyDescent="0.3">
      <c r="C444" s="944"/>
      <c r="D444" s="944"/>
      <c r="E444" s="944"/>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row>
    <row r="445" spans="3:50" ht="14.5" x14ac:dyDescent="0.3">
      <c r="C445" s="944"/>
      <c r="D445" s="944"/>
      <c r="E445" s="944"/>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row>
    <row r="446" spans="3:50" ht="14.5" x14ac:dyDescent="0.3">
      <c r="C446" s="944"/>
      <c r="D446" s="944"/>
      <c r="E446" s="944"/>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row>
    <row r="447" spans="3:50" ht="14.5" x14ac:dyDescent="0.3">
      <c r="C447" s="944"/>
      <c r="D447" s="944"/>
      <c r="E447" s="944"/>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row>
    <row r="448" spans="3:50" ht="14.5" x14ac:dyDescent="0.3">
      <c r="C448" s="944"/>
      <c r="D448" s="944"/>
      <c r="E448" s="944"/>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row>
    <row r="449" spans="3:50" ht="14.5" x14ac:dyDescent="0.3">
      <c r="C449" s="944"/>
      <c r="D449" s="944"/>
      <c r="E449" s="944"/>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row>
    <row r="450" spans="3:50" ht="14.5" x14ac:dyDescent="0.3">
      <c r="C450" s="944"/>
      <c r="D450" s="944"/>
      <c r="E450" s="944"/>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row>
    <row r="451" spans="3:50" ht="14.5" x14ac:dyDescent="0.3">
      <c r="C451" s="944"/>
      <c r="D451" s="944"/>
      <c r="E451" s="944"/>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row>
    <row r="452" spans="3:50" ht="14.5" x14ac:dyDescent="0.3">
      <c r="C452" s="944"/>
      <c r="D452" s="944"/>
      <c r="E452" s="944"/>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row>
    <row r="453" spans="3:50" ht="14.5" x14ac:dyDescent="0.3">
      <c r="C453" s="944"/>
      <c r="D453" s="944"/>
      <c r="E453" s="944"/>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row>
    <row r="454" spans="3:50" ht="14.5" x14ac:dyDescent="0.3">
      <c r="C454" s="944"/>
      <c r="D454" s="944"/>
      <c r="E454" s="944"/>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row>
    <row r="455" spans="3:50" ht="14.5" x14ac:dyDescent="0.3">
      <c r="C455" s="944"/>
      <c r="D455" s="944"/>
      <c r="E455" s="944"/>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row>
    <row r="456" spans="3:50" ht="14.5" x14ac:dyDescent="0.3">
      <c r="C456" s="944"/>
      <c r="D456" s="944"/>
      <c r="E456" s="944"/>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row>
    <row r="457" spans="3:50" ht="14.5" x14ac:dyDescent="0.3">
      <c r="C457" s="944"/>
      <c r="D457" s="944"/>
      <c r="E457" s="944"/>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row>
    <row r="458" spans="3:50" ht="14.5" x14ac:dyDescent="0.3">
      <c r="C458" s="944"/>
      <c r="D458" s="944"/>
      <c r="E458" s="944"/>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row>
    <row r="459" spans="3:50" ht="14.5" x14ac:dyDescent="0.3">
      <c r="C459" s="944"/>
      <c r="D459" s="944"/>
      <c r="E459" s="944"/>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row>
    <row r="460" spans="3:50" ht="14.5" x14ac:dyDescent="0.3">
      <c r="C460" s="944"/>
      <c r="D460" s="944"/>
      <c r="E460" s="944"/>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row>
    <row r="461" spans="3:50" ht="14.5" x14ac:dyDescent="0.3">
      <c r="C461" s="944"/>
      <c r="D461" s="944"/>
      <c r="E461" s="944"/>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row>
    <row r="462" spans="3:50" ht="14.5" x14ac:dyDescent="0.3">
      <c r="C462" s="944"/>
      <c r="D462" s="944"/>
      <c r="E462" s="944"/>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row>
    <row r="463" spans="3:50" ht="14.5" x14ac:dyDescent="0.3">
      <c r="C463" s="944"/>
      <c r="D463" s="944"/>
      <c r="E463" s="944"/>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row>
    <row r="464" spans="3:50" ht="14.5" x14ac:dyDescent="0.3">
      <c r="C464" s="944"/>
      <c r="D464" s="944"/>
      <c r="E464" s="944"/>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row>
    <row r="465" spans="3:50" ht="14.5" x14ac:dyDescent="0.3">
      <c r="C465" s="944"/>
      <c r="D465" s="944"/>
      <c r="E465" s="944"/>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row>
    <row r="466" spans="3:50" ht="14.5" x14ac:dyDescent="0.3">
      <c r="C466" s="944"/>
      <c r="D466" s="944"/>
      <c r="E466" s="944"/>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row>
    <row r="467" spans="3:50" ht="14.5" x14ac:dyDescent="0.3">
      <c r="C467" s="944"/>
      <c r="D467" s="944"/>
      <c r="E467" s="944"/>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row>
    <row r="468" spans="3:50" ht="14.5" x14ac:dyDescent="0.3">
      <c r="C468" s="944"/>
      <c r="D468" s="944"/>
      <c r="E468" s="944"/>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row>
    <row r="469" spans="3:50" ht="14.5" x14ac:dyDescent="0.3">
      <c r="C469" s="944"/>
      <c r="D469" s="944"/>
      <c r="E469" s="944"/>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row>
    <row r="470" spans="3:50" ht="14.5" x14ac:dyDescent="0.3">
      <c r="C470" s="944"/>
      <c r="D470" s="944"/>
      <c r="E470" s="944"/>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row>
    <row r="471" spans="3:50" ht="14.5" x14ac:dyDescent="0.3">
      <c r="C471" s="944"/>
      <c r="D471" s="944"/>
      <c r="E471" s="944"/>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row>
    <row r="472" spans="3:50" ht="14.5" x14ac:dyDescent="0.3">
      <c r="C472" s="944"/>
      <c r="D472" s="944"/>
      <c r="E472" s="944"/>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row>
    <row r="473" spans="3:50" ht="14.5" x14ac:dyDescent="0.3">
      <c r="C473" s="944"/>
      <c r="D473" s="944"/>
      <c r="E473" s="944"/>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row>
    <row r="474" spans="3:50" ht="14.5" x14ac:dyDescent="0.3">
      <c r="C474" s="944"/>
      <c r="D474" s="944"/>
      <c r="E474" s="944"/>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row>
    <row r="475" spans="3:50" ht="14.5" x14ac:dyDescent="0.3">
      <c r="C475" s="944"/>
      <c r="D475" s="944"/>
      <c r="E475" s="944"/>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row>
    <row r="476" spans="3:50" ht="14.5" x14ac:dyDescent="0.3">
      <c r="C476" s="944"/>
      <c r="D476" s="944"/>
      <c r="E476" s="944"/>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row>
    <row r="477" spans="3:50" ht="14.5" x14ac:dyDescent="0.3">
      <c r="C477" s="944"/>
      <c r="D477" s="944"/>
      <c r="E477" s="944"/>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row>
    <row r="478" spans="3:50" ht="14.5" x14ac:dyDescent="0.3">
      <c r="C478" s="944"/>
      <c r="D478" s="944"/>
      <c r="E478" s="944"/>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row>
    <row r="479" spans="3:50" ht="14.5" x14ac:dyDescent="0.3">
      <c r="C479" s="944"/>
      <c r="D479" s="944"/>
      <c r="E479" s="944"/>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row>
    <row r="480" spans="3:50" ht="14.5" x14ac:dyDescent="0.3">
      <c r="C480" s="944"/>
      <c r="D480" s="944"/>
      <c r="E480" s="944"/>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row>
    <row r="481" spans="3:50" ht="14.5" x14ac:dyDescent="0.3">
      <c r="C481" s="944"/>
      <c r="D481" s="944"/>
      <c r="E481" s="944"/>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row>
    <row r="482" spans="3:50" ht="14.5" x14ac:dyDescent="0.3">
      <c r="C482" s="944"/>
      <c r="D482" s="944"/>
      <c r="E482" s="944"/>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row>
    <row r="483" spans="3:50" ht="14.5" x14ac:dyDescent="0.3">
      <c r="C483" s="944"/>
      <c r="D483" s="944"/>
      <c r="E483" s="944"/>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row>
    <row r="484" spans="3:50" ht="14.5" x14ac:dyDescent="0.3">
      <c r="C484" s="944"/>
      <c r="D484" s="944"/>
      <c r="E484" s="944"/>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row>
    <row r="485" spans="3:50" ht="14.5" x14ac:dyDescent="0.3">
      <c r="C485" s="944"/>
      <c r="D485" s="944"/>
      <c r="E485" s="944"/>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row>
    <row r="486" spans="3:50" ht="14.5" x14ac:dyDescent="0.3">
      <c r="C486" s="944"/>
      <c r="D486" s="944"/>
      <c r="E486" s="944"/>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row>
    <row r="487" spans="3:50" ht="14.5" x14ac:dyDescent="0.3">
      <c r="C487" s="944"/>
      <c r="D487" s="944"/>
      <c r="E487" s="944"/>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row>
    <row r="488" spans="3:50" ht="14.5" x14ac:dyDescent="0.3">
      <c r="C488" s="944"/>
      <c r="D488" s="944"/>
      <c r="E488" s="944"/>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row>
    <row r="489" spans="3:50" ht="14.5" x14ac:dyDescent="0.3">
      <c r="C489" s="944"/>
      <c r="D489" s="944"/>
      <c r="E489" s="944"/>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row>
    <row r="490" spans="3:50" ht="14.5" x14ac:dyDescent="0.3">
      <c r="C490" s="944"/>
      <c r="D490" s="944"/>
      <c r="E490" s="944"/>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row>
    <row r="491" spans="3:50" ht="14.5" x14ac:dyDescent="0.3">
      <c r="C491" s="944"/>
      <c r="D491" s="944"/>
      <c r="E491" s="944"/>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row>
    <row r="492" spans="3:50" ht="14.5" x14ac:dyDescent="0.3">
      <c r="C492" s="944"/>
      <c r="D492" s="944"/>
      <c r="E492" s="944"/>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row>
    <row r="493" spans="3:50" ht="14.5" x14ac:dyDescent="0.3">
      <c r="C493" s="944"/>
      <c r="D493" s="944"/>
      <c r="E493" s="944"/>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row>
    <row r="494" spans="3:50" ht="14.5" x14ac:dyDescent="0.3">
      <c r="C494" s="944"/>
      <c r="D494" s="944"/>
      <c r="E494" s="944"/>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row>
    <row r="495" spans="3:50" ht="14.5" x14ac:dyDescent="0.3">
      <c r="C495" s="944"/>
      <c r="D495" s="944"/>
      <c r="E495" s="944"/>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row>
    <row r="496" spans="3:50" ht="14.5" x14ac:dyDescent="0.3">
      <c r="C496" s="944"/>
      <c r="D496" s="944"/>
      <c r="E496" s="944"/>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row>
    <row r="497" spans="3:50" ht="14.5" x14ac:dyDescent="0.3">
      <c r="C497" s="944"/>
      <c r="D497" s="944"/>
      <c r="E497" s="944"/>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row>
    <row r="498" spans="3:50" ht="14.5" x14ac:dyDescent="0.3">
      <c r="C498" s="944"/>
      <c r="D498" s="944"/>
      <c r="E498" s="944"/>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row>
    <row r="499" spans="3:50" ht="14.5" x14ac:dyDescent="0.3">
      <c r="C499" s="944"/>
      <c r="D499" s="944"/>
      <c r="E499" s="944"/>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row>
    <row r="500" spans="3:50" ht="14.5" x14ac:dyDescent="0.3">
      <c r="C500" s="944"/>
      <c r="D500" s="944"/>
      <c r="E500" s="944"/>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row>
    <row r="501" spans="3:50" ht="14.5" x14ac:dyDescent="0.3">
      <c r="C501" s="944"/>
      <c r="D501" s="944"/>
      <c r="E501" s="944"/>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row>
    <row r="502" spans="3:50" ht="14.5" x14ac:dyDescent="0.3">
      <c r="C502" s="944"/>
      <c r="D502" s="944"/>
      <c r="E502" s="944"/>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row>
    <row r="503" spans="3:50" ht="14.5" x14ac:dyDescent="0.3">
      <c r="C503" s="944"/>
      <c r="D503" s="944"/>
      <c r="E503" s="944"/>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row>
    <row r="504" spans="3:50" ht="14.5" x14ac:dyDescent="0.3">
      <c r="C504" s="944"/>
      <c r="D504" s="944"/>
      <c r="E504" s="944"/>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row>
    <row r="505" spans="3:50" ht="14.5" x14ac:dyDescent="0.3">
      <c r="C505" s="944"/>
      <c r="D505" s="944"/>
      <c r="E505" s="944"/>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row>
    <row r="506" spans="3:50" ht="14.5" x14ac:dyDescent="0.3">
      <c r="C506" s="944"/>
      <c r="D506" s="944"/>
      <c r="E506" s="944"/>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row>
    <row r="507" spans="3:50" ht="14.5" x14ac:dyDescent="0.3">
      <c r="C507" s="944"/>
      <c r="D507" s="944"/>
      <c r="E507" s="944"/>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row>
    <row r="508" spans="3:50" ht="14.5" x14ac:dyDescent="0.3">
      <c r="C508" s="944"/>
      <c r="D508" s="944"/>
      <c r="E508" s="944"/>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row>
    <row r="509" spans="3:50" ht="14.5" x14ac:dyDescent="0.3">
      <c r="C509" s="944"/>
      <c r="D509" s="944"/>
      <c r="E509" s="944"/>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row>
    <row r="510" spans="3:50" ht="14.5" x14ac:dyDescent="0.3">
      <c r="C510" s="944"/>
      <c r="D510" s="944"/>
      <c r="E510" s="944"/>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row>
    <row r="511" spans="3:50" ht="14.5" x14ac:dyDescent="0.3">
      <c r="C511" s="944"/>
      <c r="D511" s="944"/>
      <c r="E511" s="944"/>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row>
    <row r="512" spans="3:50" ht="14.5" x14ac:dyDescent="0.3">
      <c r="C512" s="944"/>
      <c r="D512" s="944"/>
      <c r="E512" s="944"/>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row>
    <row r="513" spans="3:50" ht="14.5" x14ac:dyDescent="0.3">
      <c r="C513" s="944"/>
      <c r="D513" s="944"/>
      <c r="E513" s="944"/>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row>
    <row r="514" spans="3:50" ht="14.5" x14ac:dyDescent="0.3">
      <c r="C514" s="944"/>
      <c r="D514" s="944"/>
      <c r="E514" s="944"/>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row>
    <row r="515" spans="3:50" ht="14.5" x14ac:dyDescent="0.3">
      <c r="C515" s="944"/>
      <c r="D515" s="944"/>
      <c r="E515" s="944"/>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row>
    <row r="516" spans="3:50" ht="14.5" x14ac:dyDescent="0.3">
      <c r="C516" s="944"/>
      <c r="D516" s="944"/>
      <c r="E516" s="944"/>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row>
    <row r="517" spans="3:50" ht="14.5" x14ac:dyDescent="0.3">
      <c r="C517" s="944"/>
      <c r="D517" s="944"/>
      <c r="E517" s="944"/>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row>
    <row r="518" spans="3:50" ht="14.5" x14ac:dyDescent="0.3">
      <c r="C518" s="944"/>
      <c r="D518" s="944"/>
      <c r="E518" s="944"/>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row>
    <row r="519" spans="3:50" ht="14.5" x14ac:dyDescent="0.3">
      <c r="C519" s="944"/>
      <c r="D519" s="944"/>
      <c r="E519" s="944"/>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row>
    <row r="520" spans="3:50" ht="14.5" x14ac:dyDescent="0.3">
      <c r="C520" s="944"/>
      <c r="D520" s="944"/>
      <c r="E520" s="944"/>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row>
    <row r="521" spans="3:50" ht="14.5" x14ac:dyDescent="0.3">
      <c r="C521" s="944"/>
      <c r="D521" s="944"/>
      <c r="E521" s="944"/>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row>
    <row r="522" spans="3:50" ht="14.5" x14ac:dyDescent="0.3">
      <c r="C522" s="944"/>
      <c r="D522" s="944"/>
      <c r="E522" s="944"/>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row>
    <row r="523" spans="3:50" ht="14.5" x14ac:dyDescent="0.3">
      <c r="C523" s="944"/>
      <c r="D523" s="944"/>
      <c r="E523" s="944"/>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row>
    <row r="524" spans="3:50" ht="14.5" x14ac:dyDescent="0.3">
      <c r="C524" s="944"/>
      <c r="D524" s="944"/>
      <c r="E524" s="944"/>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row>
    <row r="525" spans="3:50" ht="14.5" x14ac:dyDescent="0.3">
      <c r="C525" s="944"/>
      <c r="D525" s="944"/>
      <c r="E525" s="944"/>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row>
    <row r="526" spans="3:50" ht="14.5" x14ac:dyDescent="0.3">
      <c r="C526" s="944"/>
      <c r="D526" s="944"/>
      <c r="E526" s="944"/>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row>
    <row r="527" spans="3:50" ht="14.5" x14ac:dyDescent="0.3">
      <c r="C527" s="944"/>
      <c r="D527" s="944"/>
      <c r="E527" s="944"/>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row>
    <row r="528" spans="3:50" ht="14.5" x14ac:dyDescent="0.3">
      <c r="C528" s="944"/>
      <c r="D528" s="944"/>
      <c r="E528" s="944"/>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row>
    <row r="529" spans="3:50" ht="14.5" x14ac:dyDescent="0.3">
      <c r="C529" s="944"/>
      <c r="D529" s="944"/>
      <c r="E529" s="944"/>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row>
    <row r="530" spans="3:50" ht="14.5" x14ac:dyDescent="0.3">
      <c r="C530" s="944"/>
      <c r="D530" s="944"/>
      <c r="E530" s="944"/>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row>
    <row r="531" spans="3:50" ht="14.5" x14ac:dyDescent="0.3">
      <c r="C531" s="944"/>
      <c r="D531" s="944"/>
      <c r="E531" s="944"/>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row>
    <row r="532" spans="3:50" ht="14.5" x14ac:dyDescent="0.3">
      <c r="C532" s="944"/>
      <c r="D532" s="944"/>
      <c r="E532" s="944"/>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row>
    <row r="533" spans="3:50" ht="14.5" x14ac:dyDescent="0.3">
      <c r="C533" s="944"/>
      <c r="D533" s="944"/>
      <c r="E533" s="944"/>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row>
    <row r="534" spans="3:50" ht="14.5" x14ac:dyDescent="0.3">
      <c r="C534" s="944"/>
      <c r="D534" s="944"/>
      <c r="E534" s="944"/>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row>
    <row r="535" spans="3:50" ht="14.5" x14ac:dyDescent="0.3">
      <c r="C535" s="944"/>
      <c r="D535" s="944"/>
      <c r="E535" s="944"/>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row>
    <row r="536" spans="3:50" ht="14.5" x14ac:dyDescent="0.3">
      <c r="C536" s="944"/>
      <c r="D536" s="944"/>
      <c r="E536" s="944"/>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row>
    <row r="537" spans="3:50" ht="14.5" x14ac:dyDescent="0.3">
      <c r="C537" s="944"/>
      <c r="D537" s="944"/>
      <c r="E537" s="944"/>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row>
    <row r="538" spans="3:50" ht="14.5" x14ac:dyDescent="0.3">
      <c r="C538" s="944"/>
      <c r="D538" s="944"/>
      <c r="E538" s="944"/>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row>
    <row r="539" spans="3:50" ht="14.5" x14ac:dyDescent="0.3">
      <c r="C539" s="944"/>
      <c r="D539" s="944"/>
      <c r="E539" s="944"/>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row>
    <row r="540" spans="3:50" ht="14.5" x14ac:dyDescent="0.3">
      <c r="C540" s="944"/>
      <c r="D540" s="944"/>
      <c r="E540" s="944"/>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row>
    <row r="541" spans="3:50" ht="14.5" x14ac:dyDescent="0.3">
      <c r="C541" s="944"/>
      <c r="D541" s="944"/>
      <c r="E541" s="944"/>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row>
    <row r="542" spans="3:50" ht="14.5" x14ac:dyDescent="0.3">
      <c r="C542" s="944"/>
      <c r="D542" s="944"/>
      <c r="E542" s="944"/>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row>
    <row r="543" spans="3:50" ht="14.5" x14ac:dyDescent="0.3">
      <c r="C543" s="944"/>
      <c r="D543" s="944"/>
      <c r="E543" s="944"/>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row>
    <row r="544" spans="3:50" ht="14.5" x14ac:dyDescent="0.3">
      <c r="C544" s="944"/>
      <c r="D544" s="944"/>
      <c r="E544" s="944"/>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row>
    <row r="545" spans="3:50" ht="14.5" x14ac:dyDescent="0.3">
      <c r="C545" s="944"/>
      <c r="D545" s="944"/>
      <c r="E545" s="944"/>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row>
    <row r="546" spans="3:50" ht="14.5" x14ac:dyDescent="0.3">
      <c r="C546" s="944"/>
      <c r="D546" s="944"/>
      <c r="E546" s="944"/>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row>
    <row r="547" spans="3:50" ht="14.5" x14ac:dyDescent="0.3">
      <c r="C547" s="944"/>
      <c r="D547" s="944"/>
      <c r="E547" s="944"/>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row>
    <row r="548" spans="3:50" ht="14.5" x14ac:dyDescent="0.3">
      <c r="C548" s="944"/>
      <c r="D548" s="944"/>
      <c r="E548" s="944"/>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row>
    <row r="549" spans="3:50" ht="14.5" x14ac:dyDescent="0.3">
      <c r="C549" s="944"/>
      <c r="D549" s="944"/>
      <c r="E549" s="944"/>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row>
    <row r="550" spans="3:50" ht="14.5" x14ac:dyDescent="0.3">
      <c r="C550" s="944"/>
      <c r="D550" s="944"/>
      <c r="E550" s="944"/>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row>
    <row r="551" spans="3:50" ht="14.5" x14ac:dyDescent="0.3">
      <c r="C551" s="944"/>
      <c r="D551" s="944"/>
      <c r="E551" s="944"/>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row>
    <row r="552" spans="3:50" ht="14.5" x14ac:dyDescent="0.3">
      <c r="C552" s="944"/>
      <c r="D552" s="944"/>
      <c r="E552" s="944"/>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row>
    <row r="553" spans="3:50" ht="14.5" x14ac:dyDescent="0.3">
      <c r="C553" s="944"/>
      <c r="D553" s="944"/>
      <c r="E553" s="944"/>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row>
    <row r="554" spans="3:50" ht="14.5" x14ac:dyDescent="0.3">
      <c r="C554" s="944"/>
      <c r="D554" s="944"/>
      <c r="E554" s="944"/>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row>
    <row r="555" spans="3:50" ht="14.5" x14ac:dyDescent="0.3">
      <c r="C555" s="944"/>
      <c r="D555" s="944"/>
      <c r="E555" s="944"/>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row>
    <row r="556" spans="3:50" ht="14.5" x14ac:dyDescent="0.3">
      <c r="C556" s="944"/>
      <c r="D556" s="944"/>
      <c r="E556" s="944"/>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row>
    <row r="557" spans="3:50" ht="14.5" x14ac:dyDescent="0.3">
      <c r="C557" s="944"/>
      <c r="D557" s="944"/>
      <c r="E557" s="944"/>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row>
    <row r="558" spans="3:50" ht="14.5" x14ac:dyDescent="0.3">
      <c r="C558" s="944"/>
      <c r="D558" s="944"/>
      <c r="E558" s="944"/>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row>
    <row r="559" spans="3:50" ht="14.5" x14ac:dyDescent="0.3">
      <c r="C559" s="944"/>
      <c r="D559" s="944"/>
      <c r="E559" s="944"/>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row>
    <row r="560" spans="3:50" ht="14.5" x14ac:dyDescent="0.3">
      <c r="C560" s="944"/>
      <c r="D560" s="944"/>
      <c r="E560" s="944"/>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row>
    <row r="561" spans="3:50" ht="14.5" x14ac:dyDescent="0.3">
      <c r="C561" s="944"/>
      <c r="D561" s="944"/>
      <c r="E561" s="944"/>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row>
    <row r="562" spans="3:50" ht="14.5" x14ac:dyDescent="0.3">
      <c r="C562" s="944"/>
      <c r="D562" s="944"/>
      <c r="E562" s="944"/>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row>
    <row r="563" spans="3:50" ht="14.5" x14ac:dyDescent="0.3">
      <c r="C563" s="944"/>
      <c r="D563" s="944"/>
      <c r="E563" s="944"/>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row>
    <row r="564" spans="3:50" ht="14.5" x14ac:dyDescent="0.3">
      <c r="C564" s="944"/>
      <c r="D564" s="944"/>
      <c r="E564" s="944"/>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row>
    <row r="565" spans="3:50" ht="14.5" x14ac:dyDescent="0.3">
      <c r="C565" s="944"/>
      <c r="D565" s="944"/>
      <c r="E565" s="944"/>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row>
    <row r="566" spans="3:50" ht="14.5" x14ac:dyDescent="0.3">
      <c r="C566" s="944"/>
      <c r="D566" s="944"/>
      <c r="E566" s="944"/>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row>
    <row r="567" spans="3:50" ht="14.5" x14ac:dyDescent="0.3">
      <c r="C567" s="944"/>
      <c r="D567" s="944"/>
      <c r="E567" s="944"/>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row>
    <row r="568" spans="3:50" ht="14.5" x14ac:dyDescent="0.3">
      <c r="C568" s="944"/>
      <c r="D568" s="944"/>
      <c r="E568" s="944"/>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row>
    <row r="569" spans="3:50" ht="14.5" x14ac:dyDescent="0.3">
      <c r="C569" s="944"/>
      <c r="D569" s="944"/>
      <c r="E569" s="944"/>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row>
    <row r="570" spans="3:50" ht="14.5" x14ac:dyDescent="0.3">
      <c r="C570" s="944"/>
      <c r="D570" s="944"/>
      <c r="E570" s="944"/>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row>
    <row r="571" spans="3:50" ht="14.5" x14ac:dyDescent="0.3">
      <c r="C571" s="944"/>
      <c r="D571" s="944"/>
      <c r="E571" s="944"/>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row>
    <row r="572" spans="3:50" ht="14.5" x14ac:dyDescent="0.3">
      <c r="C572" s="944"/>
      <c r="D572" s="944"/>
      <c r="E572" s="944"/>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row>
    <row r="573" spans="3:50" ht="14.5" x14ac:dyDescent="0.3">
      <c r="C573" s="944"/>
      <c r="D573" s="944"/>
      <c r="E573" s="944"/>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row>
    <row r="574" spans="3:50" ht="14.5" x14ac:dyDescent="0.3">
      <c r="C574" s="944"/>
      <c r="D574" s="944"/>
      <c r="E574" s="944"/>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row>
    <row r="575" spans="3:50" ht="14.5" x14ac:dyDescent="0.3">
      <c r="C575" s="944"/>
      <c r="D575" s="944"/>
      <c r="E575" s="944"/>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row>
    <row r="576" spans="3:50" ht="14.5" x14ac:dyDescent="0.3">
      <c r="C576" s="944"/>
      <c r="D576" s="944"/>
      <c r="E576" s="944"/>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row>
    <row r="577" spans="3:50" ht="14.5" x14ac:dyDescent="0.3">
      <c r="C577" s="944"/>
      <c r="D577" s="944"/>
      <c r="E577" s="944"/>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row>
    <row r="578" spans="3:50" ht="14.5" x14ac:dyDescent="0.3">
      <c r="C578" s="944"/>
      <c r="D578" s="944"/>
      <c r="E578" s="944"/>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row>
    <row r="579" spans="3:50" ht="14.5" x14ac:dyDescent="0.3">
      <c r="C579" s="944"/>
      <c r="D579" s="944"/>
      <c r="E579" s="944"/>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row>
    <row r="580" spans="3:50" ht="14.5" x14ac:dyDescent="0.3">
      <c r="C580" s="944"/>
      <c r="D580" s="944"/>
      <c r="E580" s="944"/>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row>
    <row r="581" spans="3:50" ht="14.5" x14ac:dyDescent="0.3">
      <c r="C581" s="944"/>
      <c r="D581" s="944"/>
      <c r="E581" s="944"/>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row>
    <row r="582" spans="3:50" ht="14.5" x14ac:dyDescent="0.3">
      <c r="C582" s="944"/>
      <c r="D582" s="944"/>
      <c r="E582" s="944"/>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row>
    <row r="583" spans="3:50" ht="14.5" x14ac:dyDescent="0.3">
      <c r="C583" s="944"/>
      <c r="D583" s="944"/>
      <c r="E583" s="944"/>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row>
    <row r="584" spans="3:50" ht="14.5" x14ac:dyDescent="0.3">
      <c r="C584" s="944"/>
      <c r="D584" s="944"/>
      <c r="E584" s="944"/>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row>
    <row r="585" spans="3:50" ht="14.5" x14ac:dyDescent="0.3">
      <c r="C585" s="944"/>
      <c r="D585" s="944"/>
      <c r="E585" s="944"/>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row>
    <row r="586" spans="3:50" ht="14.5" x14ac:dyDescent="0.3">
      <c r="C586" s="944"/>
      <c r="D586" s="944"/>
      <c r="E586" s="944"/>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row>
    <row r="587" spans="3:50" ht="14.5" x14ac:dyDescent="0.3">
      <c r="C587" s="944"/>
      <c r="D587" s="944"/>
      <c r="E587" s="944"/>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row>
    <row r="588" spans="3:50" ht="14.5" x14ac:dyDescent="0.3">
      <c r="C588" s="944"/>
      <c r="D588" s="944"/>
      <c r="E588" s="944"/>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row>
    <row r="589" spans="3:50" ht="14.5" x14ac:dyDescent="0.3">
      <c r="C589" s="944"/>
      <c r="D589" s="944"/>
      <c r="E589" s="944"/>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row>
    <row r="590" spans="3:50" ht="14.5" x14ac:dyDescent="0.3">
      <c r="C590" s="944"/>
      <c r="D590" s="944"/>
      <c r="E590" s="944"/>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row>
    <row r="591" spans="3:50" ht="14.5" x14ac:dyDescent="0.3">
      <c r="C591" s="944"/>
      <c r="D591" s="944"/>
      <c r="E591" s="944"/>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row>
    <row r="592" spans="3:50" ht="14.5" x14ac:dyDescent="0.3">
      <c r="C592" s="944"/>
      <c r="D592" s="944"/>
      <c r="E592" s="944"/>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row>
    <row r="593" spans="3:50" ht="14.5" x14ac:dyDescent="0.3">
      <c r="C593" s="944"/>
      <c r="D593" s="944"/>
      <c r="E593" s="944"/>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row>
    <row r="594" spans="3:50" ht="14.5" x14ac:dyDescent="0.3">
      <c r="C594" s="944"/>
      <c r="D594" s="944"/>
      <c r="E594" s="944"/>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row>
    <row r="595" spans="3:50" ht="14.5" x14ac:dyDescent="0.3">
      <c r="C595" s="944"/>
      <c r="D595" s="944"/>
      <c r="E595" s="944"/>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row>
    <row r="596" spans="3:50" ht="14.5" x14ac:dyDescent="0.3">
      <c r="C596" s="944"/>
      <c r="D596" s="944"/>
      <c r="E596" s="944"/>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row>
    <row r="597" spans="3:50" ht="14.5" x14ac:dyDescent="0.3">
      <c r="C597" s="944"/>
      <c r="D597" s="944"/>
      <c r="E597" s="944"/>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row>
    <row r="598" spans="3:50" ht="14.5" x14ac:dyDescent="0.3">
      <c r="C598" s="944"/>
      <c r="D598" s="944"/>
      <c r="E598" s="944"/>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row>
    <row r="599" spans="3:50" ht="14.5" x14ac:dyDescent="0.3">
      <c r="C599" s="944"/>
      <c r="D599" s="944"/>
      <c r="E599" s="944"/>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row>
    <row r="600" spans="3:50" ht="14.5" x14ac:dyDescent="0.3">
      <c r="C600" s="944"/>
      <c r="D600" s="944"/>
      <c r="E600" s="944"/>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row>
    <row r="601" spans="3:50" ht="14.5" x14ac:dyDescent="0.3">
      <c r="C601" s="944"/>
      <c r="D601" s="944"/>
      <c r="E601" s="944"/>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row>
    <row r="602" spans="3:50" ht="14.5" x14ac:dyDescent="0.3">
      <c r="C602" s="944"/>
      <c r="D602" s="944"/>
      <c r="E602" s="944"/>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row>
    <row r="603" spans="3:50" ht="14.5" x14ac:dyDescent="0.3">
      <c r="C603" s="944"/>
      <c r="D603" s="944"/>
      <c r="E603" s="944"/>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row>
    <row r="604" spans="3:50" ht="14.5" x14ac:dyDescent="0.3">
      <c r="C604" s="944"/>
      <c r="D604" s="944"/>
      <c r="E604" s="944"/>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row>
    <row r="605" spans="3:50" ht="14.5" x14ac:dyDescent="0.3">
      <c r="C605" s="944"/>
      <c r="D605" s="944"/>
      <c r="E605" s="944"/>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row>
    <row r="606" spans="3:50" ht="14.5" x14ac:dyDescent="0.3">
      <c r="C606" s="944"/>
      <c r="D606" s="944"/>
      <c r="E606" s="944"/>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row>
    <row r="607" spans="3:50" ht="14.5" x14ac:dyDescent="0.3">
      <c r="C607" s="944"/>
      <c r="D607" s="944"/>
      <c r="E607" s="944"/>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row>
    <row r="608" spans="3:50" ht="14.5" x14ac:dyDescent="0.3">
      <c r="C608" s="944"/>
      <c r="D608" s="944"/>
      <c r="E608" s="944"/>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row>
    <row r="609" spans="3:50" ht="14.5" x14ac:dyDescent="0.3">
      <c r="C609" s="944"/>
      <c r="D609" s="944"/>
      <c r="E609" s="944"/>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row>
    <row r="610" spans="3:50" ht="14.5" x14ac:dyDescent="0.3">
      <c r="C610" s="944"/>
      <c r="D610" s="944"/>
      <c r="E610" s="944"/>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row>
    <row r="611" spans="3:50" ht="14.5" x14ac:dyDescent="0.3">
      <c r="C611" s="944"/>
      <c r="D611" s="944"/>
      <c r="E611" s="944"/>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row>
    <row r="612" spans="3:50" ht="14.5" x14ac:dyDescent="0.3">
      <c r="C612" s="944"/>
      <c r="D612" s="944"/>
      <c r="E612" s="944"/>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row>
    <row r="613" spans="3:50" ht="14.5" x14ac:dyDescent="0.3">
      <c r="C613" s="944"/>
      <c r="D613" s="944"/>
      <c r="E613" s="944"/>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row>
    <row r="614" spans="3:50" ht="14.5" x14ac:dyDescent="0.3">
      <c r="C614" s="944"/>
      <c r="D614" s="944"/>
      <c r="E614" s="944"/>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row>
    <row r="615" spans="3:50" ht="14.5" x14ac:dyDescent="0.3">
      <c r="C615" s="944"/>
      <c r="D615" s="944"/>
      <c r="E615" s="944"/>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row>
    <row r="616" spans="3:50" ht="14.5" x14ac:dyDescent="0.3">
      <c r="C616" s="944"/>
      <c r="D616" s="944"/>
      <c r="E616" s="944"/>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row>
    <row r="617" spans="3:50" ht="14.5" x14ac:dyDescent="0.3">
      <c r="C617" s="944"/>
      <c r="D617" s="944"/>
      <c r="E617" s="944"/>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row>
    <row r="618" spans="3:50" ht="14.5" x14ac:dyDescent="0.3">
      <c r="C618" s="944"/>
      <c r="D618" s="944"/>
      <c r="E618" s="944"/>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row>
    <row r="619" spans="3:50" ht="14.5" x14ac:dyDescent="0.3">
      <c r="C619" s="944"/>
      <c r="D619" s="944"/>
      <c r="E619" s="944"/>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row>
    <row r="620" spans="3:50" ht="14.5" x14ac:dyDescent="0.3">
      <c r="C620" s="944"/>
      <c r="D620" s="944"/>
      <c r="E620" s="944"/>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row>
    <row r="621" spans="3:50" ht="14.5" x14ac:dyDescent="0.3">
      <c r="C621" s="944"/>
      <c r="D621" s="944"/>
      <c r="E621" s="944"/>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row>
    <row r="622" spans="3:50" ht="14.5" x14ac:dyDescent="0.3">
      <c r="C622" s="944"/>
      <c r="D622" s="944"/>
      <c r="E622" s="944"/>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row>
    <row r="623" spans="3:50" ht="14.5" x14ac:dyDescent="0.3">
      <c r="C623" s="944"/>
      <c r="D623" s="944"/>
      <c r="E623" s="944"/>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row>
    <row r="624" spans="3:50" ht="14.5" x14ac:dyDescent="0.3">
      <c r="C624" s="944"/>
      <c r="D624" s="944"/>
      <c r="E624" s="944"/>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row>
    <row r="625" spans="3:50" ht="14.5" x14ac:dyDescent="0.3">
      <c r="C625" s="944"/>
      <c r="D625" s="944"/>
      <c r="E625" s="944"/>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row>
    <row r="626" spans="3:50" ht="14.5" x14ac:dyDescent="0.3">
      <c r="C626" s="944"/>
      <c r="D626" s="944"/>
      <c r="E626" s="944"/>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row>
    <row r="627" spans="3:50" ht="14.5" x14ac:dyDescent="0.3">
      <c r="C627" s="944"/>
      <c r="D627" s="944"/>
      <c r="E627" s="944"/>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row>
    <row r="628" spans="3:50" ht="14.5" x14ac:dyDescent="0.3">
      <c r="C628" s="944"/>
      <c r="D628" s="944"/>
      <c r="E628" s="944"/>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row>
    <row r="629" spans="3:50" ht="14.5" x14ac:dyDescent="0.3">
      <c r="C629" s="944"/>
      <c r="D629" s="944"/>
      <c r="E629" s="944"/>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row>
    <row r="630" spans="3:50" ht="14.5" x14ac:dyDescent="0.3">
      <c r="C630" s="944"/>
      <c r="D630" s="944"/>
      <c r="E630" s="944"/>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row>
    <row r="631" spans="3:50" ht="14.5" x14ac:dyDescent="0.3">
      <c r="C631" s="944"/>
      <c r="D631" s="944"/>
      <c r="E631" s="944"/>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row>
    <row r="632" spans="3:50" ht="14.5" x14ac:dyDescent="0.3">
      <c r="C632" s="944"/>
      <c r="D632" s="944"/>
      <c r="E632" s="944"/>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row>
    <row r="633" spans="3:50" ht="14.5" x14ac:dyDescent="0.3">
      <c r="C633" s="944"/>
      <c r="D633" s="944"/>
      <c r="E633" s="944"/>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row>
    <row r="634" spans="3:50" ht="14.5" x14ac:dyDescent="0.3">
      <c r="C634" s="944"/>
      <c r="D634" s="944"/>
      <c r="E634" s="944"/>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row>
    <row r="635" spans="3:50" ht="14.5" x14ac:dyDescent="0.3">
      <c r="C635" s="944"/>
      <c r="D635" s="944"/>
      <c r="E635" s="944"/>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row>
    <row r="636" spans="3:50" ht="14.5" x14ac:dyDescent="0.3">
      <c r="C636" s="944"/>
      <c r="D636" s="944"/>
      <c r="E636" s="944"/>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row>
    <row r="637" spans="3:50" ht="14.5" x14ac:dyDescent="0.3">
      <c r="C637" s="944"/>
      <c r="D637" s="944"/>
      <c r="E637" s="944"/>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row>
    <row r="638" spans="3:50" ht="14.5" x14ac:dyDescent="0.3">
      <c r="C638" s="944"/>
      <c r="D638" s="944"/>
      <c r="E638" s="944"/>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row>
    <row r="639" spans="3:50" ht="14.5" x14ac:dyDescent="0.3">
      <c r="C639" s="944"/>
      <c r="D639" s="944"/>
      <c r="E639" s="944"/>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row>
    <row r="640" spans="3:50" ht="14.5" x14ac:dyDescent="0.3">
      <c r="C640" s="944"/>
      <c r="D640" s="944"/>
      <c r="E640" s="944"/>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row>
    <row r="641" spans="3:50" ht="14.5" x14ac:dyDescent="0.3">
      <c r="C641" s="944"/>
      <c r="D641" s="944"/>
      <c r="E641" s="944"/>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row>
    <row r="642" spans="3:50" ht="14.5" x14ac:dyDescent="0.3">
      <c r="C642" s="944"/>
      <c r="D642" s="944"/>
      <c r="E642" s="944"/>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row>
    <row r="643" spans="3:50" ht="14.5" x14ac:dyDescent="0.3">
      <c r="C643" s="944"/>
      <c r="D643" s="944"/>
      <c r="E643" s="944"/>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row>
    <row r="644" spans="3:50" ht="14.5" x14ac:dyDescent="0.3">
      <c r="C644" s="944"/>
      <c r="D644" s="944"/>
      <c r="E644" s="944"/>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row>
    <row r="645" spans="3:50" ht="14.5" x14ac:dyDescent="0.3">
      <c r="C645" s="944"/>
      <c r="D645" s="944"/>
      <c r="E645" s="944"/>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row>
    <row r="646" spans="3:50" ht="14.5" x14ac:dyDescent="0.3">
      <c r="C646" s="944"/>
      <c r="D646" s="944"/>
      <c r="E646" s="944"/>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row>
    <row r="647" spans="3:50" ht="14.5" x14ac:dyDescent="0.3">
      <c r="C647" s="944"/>
      <c r="D647" s="944"/>
      <c r="E647" s="944"/>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row>
    <row r="648" spans="3:50" ht="14.5" x14ac:dyDescent="0.3">
      <c r="C648" s="944"/>
      <c r="D648" s="944"/>
      <c r="E648" s="944"/>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row>
    <row r="649" spans="3:50" ht="14.5" x14ac:dyDescent="0.3">
      <c r="C649" s="944"/>
      <c r="D649" s="944"/>
      <c r="E649" s="944"/>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row>
    <row r="650" spans="3:50" ht="14.5" x14ac:dyDescent="0.3">
      <c r="C650" s="944"/>
      <c r="D650" s="944"/>
      <c r="E650" s="944"/>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row>
    <row r="651" spans="3:50" ht="14.5" x14ac:dyDescent="0.3">
      <c r="C651" s="944"/>
      <c r="D651" s="944"/>
      <c r="E651" s="944"/>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row>
    <row r="652" spans="3:50" ht="14.5" x14ac:dyDescent="0.3">
      <c r="C652" s="944"/>
      <c r="D652" s="944"/>
      <c r="E652" s="944"/>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row>
    <row r="653" spans="3:50" ht="14.5" x14ac:dyDescent="0.3">
      <c r="C653" s="944"/>
      <c r="D653" s="944"/>
      <c r="E653" s="944"/>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row>
    <row r="654" spans="3:50" ht="14.5" x14ac:dyDescent="0.3">
      <c r="C654" s="944"/>
      <c r="D654" s="944"/>
      <c r="E654" s="944"/>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row>
    <row r="655" spans="3:50" ht="14.5" x14ac:dyDescent="0.3">
      <c r="C655" s="944"/>
      <c r="D655" s="944"/>
      <c r="E655" s="944"/>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row>
    <row r="656" spans="3:50" ht="14.5" x14ac:dyDescent="0.3">
      <c r="C656" s="944"/>
      <c r="D656" s="944"/>
      <c r="E656" s="944"/>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row>
    <row r="657" spans="3:50" ht="14.5" x14ac:dyDescent="0.3">
      <c r="C657" s="944"/>
      <c r="D657" s="944"/>
      <c r="E657" s="944"/>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row>
    <row r="658" spans="3:50" ht="14.5" x14ac:dyDescent="0.3">
      <c r="C658" s="944"/>
      <c r="D658" s="944"/>
      <c r="E658" s="944"/>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row>
    <row r="659" spans="3:50" ht="14.5" x14ac:dyDescent="0.3">
      <c r="C659" s="944"/>
      <c r="D659" s="944"/>
      <c r="E659" s="944"/>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row>
    <row r="660" spans="3:50" ht="14.5" x14ac:dyDescent="0.3">
      <c r="C660" s="944"/>
      <c r="D660" s="944"/>
      <c r="E660" s="944"/>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row>
    <row r="661" spans="3:50" ht="14.5" x14ac:dyDescent="0.3">
      <c r="C661" s="944"/>
      <c r="D661" s="944"/>
      <c r="E661" s="944"/>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row>
    <row r="662" spans="3:50" ht="14.5" x14ac:dyDescent="0.3">
      <c r="C662" s="944"/>
      <c r="D662" s="944"/>
      <c r="E662" s="944"/>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row>
    <row r="663" spans="3:50" ht="14.5" x14ac:dyDescent="0.3">
      <c r="C663" s="944"/>
      <c r="D663" s="944"/>
      <c r="E663" s="944"/>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row>
    <row r="664" spans="3:50" ht="14.5" x14ac:dyDescent="0.3">
      <c r="C664" s="944"/>
      <c r="D664" s="944"/>
      <c r="E664" s="944"/>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row>
    <row r="665" spans="3:50" ht="14.5" x14ac:dyDescent="0.3">
      <c r="C665" s="944"/>
      <c r="D665" s="944"/>
      <c r="E665" s="944"/>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row>
    <row r="666" spans="3:50" ht="14.5" x14ac:dyDescent="0.3">
      <c r="C666" s="944"/>
      <c r="D666" s="944"/>
      <c r="E666" s="944"/>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row>
    <row r="667" spans="3:50" ht="14.5" x14ac:dyDescent="0.3">
      <c r="C667" s="944"/>
      <c r="D667" s="944"/>
      <c r="E667" s="944"/>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row>
    <row r="668" spans="3:50" ht="14.5" x14ac:dyDescent="0.3">
      <c r="C668" s="944"/>
      <c r="D668" s="944"/>
      <c r="E668" s="944"/>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row>
    <row r="669" spans="3:50" ht="14.5" x14ac:dyDescent="0.3">
      <c r="C669" s="944"/>
      <c r="D669" s="944"/>
      <c r="E669" s="944"/>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row>
    <row r="670" spans="3:50" ht="14.5" x14ac:dyDescent="0.3">
      <c r="C670" s="944"/>
      <c r="D670" s="944"/>
      <c r="E670" s="944"/>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row>
    <row r="671" spans="3:50" ht="14.5" x14ac:dyDescent="0.3">
      <c r="C671" s="944"/>
      <c r="D671" s="944"/>
      <c r="E671" s="944"/>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row>
    <row r="672" spans="3:50" ht="14.5" x14ac:dyDescent="0.3">
      <c r="C672" s="944"/>
      <c r="D672" s="944"/>
      <c r="E672" s="944"/>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row>
    <row r="673" spans="3:50" ht="14.5" x14ac:dyDescent="0.3">
      <c r="C673" s="944"/>
      <c r="D673" s="944"/>
      <c r="E673" s="944"/>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row>
    <row r="674" spans="3:50" ht="14.5" x14ac:dyDescent="0.3">
      <c r="C674" s="944"/>
      <c r="D674" s="944"/>
      <c r="E674" s="944"/>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row>
    <row r="675" spans="3:50" ht="14.5" x14ac:dyDescent="0.3">
      <c r="C675" s="944"/>
      <c r="D675" s="944"/>
      <c r="E675" s="944"/>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row>
    <row r="676" spans="3:50" ht="14.5" x14ac:dyDescent="0.3">
      <c r="C676" s="944"/>
      <c r="D676" s="944"/>
      <c r="E676" s="944"/>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row>
    <row r="677" spans="3:50" ht="14.5" x14ac:dyDescent="0.3">
      <c r="C677" s="944"/>
      <c r="D677" s="944"/>
      <c r="E677" s="944"/>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row>
    <row r="678" spans="3:50" ht="14.5" x14ac:dyDescent="0.3">
      <c r="C678" s="944"/>
      <c r="D678" s="944"/>
      <c r="E678" s="944"/>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row>
    <row r="679" spans="3:50" ht="14.5" x14ac:dyDescent="0.3">
      <c r="C679" s="944"/>
      <c r="D679" s="944"/>
      <c r="E679" s="944"/>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row>
    <row r="680" spans="3:50" ht="14.5" x14ac:dyDescent="0.3">
      <c r="C680" s="944"/>
      <c r="D680" s="944"/>
      <c r="E680" s="944"/>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row>
    <row r="681" spans="3:50" ht="14.5" x14ac:dyDescent="0.3">
      <c r="C681" s="944"/>
      <c r="D681" s="944"/>
      <c r="E681" s="944"/>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row>
    <row r="682" spans="3:50" ht="14.5" x14ac:dyDescent="0.3">
      <c r="C682" s="944"/>
      <c r="D682" s="944"/>
      <c r="E682" s="944"/>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row>
    <row r="683" spans="3:50" ht="14.5" x14ac:dyDescent="0.3">
      <c r="C683" s="944"/>
      <c r="D683" s="944"/>
      <c r="E683" s="944"/>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row>
    <row r="684" spans="3:50" ht="14.5" x14ac:dyDescent="0.3">
      <c r="C684" s="944"/>
      <c r="D684" s="944"/>
      <c r="E684" s="944"/>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row>
    <row r="685" spans="3:50" ht="14.5" x14ac:dyDescent="0.3">
      <c r="C685" s="944"/>
      <c r="D685" s="944"/>
      <c r="E685" s="944"/>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row>
    <row r="686" spans="3:50" ht="14.5" x14ac:dyDescent="0.3">
      <c r="C686" s="944"/>
      <c r="D686" s="944"/>
      <c r="E686" s="944"/>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row>
    <row r="687" spans="3:50" ht="14.5" x14ac:dyDescent="0.3">
      <c r="C687" s="944"/>
      <c r="D687" s="944"/>
      <c r="E687" s="944"/>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row>
    <row r="688" spans="3:50" ht="14.5" x14ac:dyDescent="0.3">
      <c r="C688" s="944"/>
      <c r="D688" s="944"/>
      <c r="E688" s="944"/>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row>
    <row r="689" spans="3:50" ht="14.5" x14ac:dyDescent="0.3">
      <c r="C689" s="944"/>
      <c r="D689" s="944"/>
      <c r="E689" s="944"/>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row>
    <row r="690" spans="3:50" ht="14.5" x14ac:dyDescent="0.3">
      <c r="C690" s="944"/>
      <c r="D690" s="944"/>
      <c r="E690" s="944"/>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row>
    <row r="691" spans="3:50" ht="14.5" x14ac:dyDescent="0.3">
      <c r="C691" s="944"/>
      <c r="D691" s="944"/>
      <c r="E691" s="944"/>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row>
    <row r="692" spans="3:50" ht="14.5" x14ac:dyDescent="0.3">
      <c r="C692" s="944"/>
      <c r="D692" s="944"/>
      <c r="E692" s="944"/>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row>
    <row r="693" spans="3:50" ht="14.5" x14ac:dyDescent="0.3">
      <c r="C693" s="944"/>
      <c r="D693" s="944"/>
      <c r="E693" s="944"/>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row>
    <row r="694" spans="3:50" ht="14.5" x14ac:dyDescent="0.3">
      <c r="C694" s="944"/>
      <c r="D694" s="944"/>
      <c r="E694" s="944"/>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row>
    <row r="695" spans="3:50" ht="14.5" x14ac:dyDescent="0.3">
      <c r="C695" s="944"/>
      <c r="D695" s="944"/>
      <c r="E695" s="944"/>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row>
    <row r="696" spans="3:50" ht="14.5" x14ac:dyDescent="0.3">
      <c r="C696" s="944"/>
      <c r="D696" s="944"/>
      <c r="E696" s="944"/>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row>
    <row r="697" spans="3:50" ht="14.5" x14ac:dyDescent="0.3">
      <c r="C697" s="944"/>
      <c r="D697" s="944"/>
      <c r="E697" s="944"/>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row>
    <row r="698" spans="3:50" ht="14.5" x14ac:dyDescent="0.3">
      <c r="C698" s="944"/>
      <c r="D698" s="944"/>
      <c r="E698" s="944"/>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row>
    <row r="699" spans="3:50" ht="14.5" x14ac:dyDescent="0.3">
      <c r="C699" s="944"/>
      <c r="D699" s="944"/>
      <c r="E699" s="944"/>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row>
    <row r="700" spans="3:50" ht="14.5" x14ac:dyDescent="0.3">
      <c r="C700" s="944"/>
      <c r="D700" s="944"/>
      <c r="E700" s="944"/>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row>
    <row r="701" spans="3:50" ht="14.5" x14ac:dyDescent="0.3">
      <c r="C701" s="944"/>
      <c r="D701" s="944"/>
      <c r="E701" s="944"/>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row>
    <row r="702" spans="3:50" ht="14.5" x14ac:dyDescent="0.3">
      <c r="C702" s="944"/>
      <c r="D702" s="944"/>
      <c r="E702" s="944"/>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row>
    <row r="703" spans="3:50" ht="14.5" x14ac:dyDescent="0.3">
      <c r="C703" s="944"/>
      <c r="D703" s="944"/>
      <c r="E703" s="944"/>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row>
    <row r="704" spans="3:50" ht="14.5" x14ac:dyDescent="0.3">
      <c r="C704" s="944"/>
      <c r="D704" s="944"/>
      <c r="E704" s="944"/>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row>
    <row r="705" spans="3:50" ht="14.5" x14ac:dyDescent="0.3">
      <c r="C705" s="944"/>
      <c r="D705" s="944"/>
      <c r="E705" s="944"/>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row>
    <row r="706" spans="3:50" ht="14.5" x14ac:dyDescent="0.3">
      <c r="C706" s="944"/>
      <c r="D706" s="944"/>
      <c r="E706" s="944"/>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row>
    <row r="707" spans="3:50" ht="14.5" x14ac:dyDescent="0.3">
      <c r="C707" s="944"/>
      <c r="D707" s="944"/>
      <c r="E707" s="944"/>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row>
    <row r="708" spans="3:50" ht="14.5" x14ac:dyDescent="0.3">
      <c r="C708" s="944"/>
      <c r="D708" s="944"/>
      <c r="E708" s="944"/>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row>
    <row r="709" spans="3:50" ht="14.5" x14ac:dyDescent="0.3">
      <c r="C709" s="944"/>
      <c r="D709" s="944"/>
      <c r="E709" s="944"/>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row>
    <row r="710" spans="3:50" ht="14.5" x14ac:dyDescent="0.3">
      <c r="C710" s="944"/>
      <c r="D710" s="944"/>
      <c r="E710" s="944"/>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row>
    <row r="711" spans="3:50" ht="14.5" x14ac:dyDescent="0.3">
      <c r="C711" s="944"/>
      <c r="D711" s="944"/>
      <c r="E711" s="944"/>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row>
    <row r="712" spans="3:50" ht="14.5" x14ac:dyDescent="0.3">
      <c r="C712" s="944"/>
      <c r="D712" s="944"/>
      <c r="E712" s="944"/>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row>
    <row r="713" spans="3:50" ht="14.5" x14ac:dyDescent="0.3">
      <c r="C713" s="944"/>
      <c r="D713" s="944"/>
      <c r="E713" s="944"/>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row>
    <row r="714" spans="3:50" ht="14.5" x14ac:dyDescent="0.3">
      <c r="C714" s="944"/>
      <c r="D714" s="944"/>
      <c r="E714" s="944"/>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row>
    <row r="715" spans="3:50" ht="14.5" x14ac:dyDescent="0.3">
      <c r="C715" s="944"/>
      <c r="D715" s="944"/>
      <c r="E715" s="944"/>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row>
    <row r="716" spans="3:50" ht="14.5" x14ac:dyDescent="0.3">
      <c r="C716" s="944"/>
      <c r="D716" s="944"/>
      <c r="E716" s="944"/>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row>
    <row r="717" spans="3:50" ht="14.5" x14ac:dyDescent="0.3">
      <c r="C717" s="944"/>
      <c r="D717" s="944"/>
      <c r="E717" s="944"/>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row>
    <row r="718" spans="3:50" ht="14.5" x14ac:dyDescent="0.3">
      <c r="C718" s="944"/>
      <c r="D718" s="944"/>
      <c r="E718" s="944"/>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row>
    <row r="719" spans="3:50" ht="14.5" x14ac:dyDescent="0.3">
      <c r="C719" s="944"/>
      <c r="D719" s="944"/>
      <c r="E719" s="944"/>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row>
    <row r="720" spans="3:50" ht="14.5" x14ac:dyDescent="0.3">
      <c r="C720" s="944"/>
      <c r="D720" s="944"/>
      <c r="E720" s="944"/>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row>
    <row r="721" spans="3:50" ht="14.5" x14ac:dyDescent="0.3">
      <c r="C721" s="944"/>
      <c r="D721" s="944"/>
      <c r="E721" s="944"/>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row>
    <row r="722" spans="3:50" ht="14.5" x14ac:dyDescent="0.3">
      <c r="C722" s="944"/>
      <c r="D722" s="944"/>
      <c r="E722" s="944"/>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row>
    <row r="723" spans="3:50" ht="14.5" x14ac:dyDescent="0.3">
      <c r="C723" s="944"/>
      <c r="D723" s="944"/>
      <c r="E723" s="944"/>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row>
    <row r="724" spans="3:50" ht="14.5" x14ac:dyDescent="0.3">
      <c r="C724" s="944"/>
      <c r="D724" s="944"/>
      <c r="E724" s="944"/>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row>
    <row r="725" spans="3:50" ht="14.5" x14ac:dyDescent="0.3">
      <c r="C725" s="944"/>
      <c r="D725" s="944"/>
      <c r="E725" s="944"/>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row>
    <row r="726" spans="3:50" ht="14.5" x14ac:dyDescent="0.3">
      <c r="C726" s="944"/>
      <c r="D726" s="944"/>
      <c r="E726" s="944"/>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row>
    <row r="727" spans="3:50" ht="14.5" x14ac:dyDescent="0.3">
      <c r="C727" s="944"/>
      <c r="D727" s="944"/>
      <c r="E727" s="944"/>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row>
    <row r="728" spans="3:50" ht="14.5" x14ac:dyDescent="0.3">
      <c r="C728" s="944"/>
      <c r="D728" s="944"/>
      <c r="E728" s="944"/>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row>
    <row r="729" spans="3:50" ht="14.5" x14ac:dyDescent="0.3">
      <c r="C729" s="944"/>
      <c r="D729" s="944"/>
      <c r="E729" s="944"/>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row>
    <row r="730" spans="3:50" ht="14.5" x14ac:dyDescent="0.3">
      <c r="C730" s="944"/>
      <c r="D730" s="944"/>
      <c r="E730" s="944"/>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row>
    <row r="731" spans="3:50" ht="14.5" x14ac:dyDescent="0.3">
      <c r="C731" s="944"/>
      <c r="D731" s="944"/>
      <c r="E731" s="944"/>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row>
    <row r="732" spans="3:50" ht="14.5" x14ac:dyDescent="0.3">
      <c r="C732" s="944"/>
      <c r="D732" s="944"/>
      <c r="E732" s="944"/>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row>
    <row r="733" spans="3:50" ht="14.5" x14ac:dyDescent="0.3">
      <c r="C733" s="944"/>
      <c r="D733" s="944"/>
      <c r="E733" s="944"/>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row>
    <row r="734" spans="3:50" ht="14.5" x14ac:dyDescent="0.3">
      <c r="C734" s="944"/>
      <c r="D734" s="944"/>
      <c r="E734" s="944"/>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row>
    <row r="735" spans="3:50" ht="14.5" x14ac:dyDescent="0.3">
      <c r="C735" s="944"/>
      <c r="D735" s="944"/>
      <c r="E735" s="944"/>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row>
    <row r="736" spans="3:50" ht="14.5" x14ac:dyDescent="0.3">
      <c r="C736" s="944"/>
      <c r="D736" s="944"/>
      <c r="E736" s="944"/>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row>
    <row r="737" spans="3:50" ht="14.5" x14ac:dyDescent="0.3">
      <c r="C737" s="944"/>
      <c r="D737" s="944"/>
      <c r="E737" s="944"/>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row>
    <row r="738" spans="3:50" ht="14.5" x14ac:dyDescent="0.3">
      <c r="C738" s="944"/>
      <c r="D738" s="944"/>
      <c r="E738" s="944"/>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row>
    <row r="739" spans="3:50" ht="14.5" x14ac:dyDescent="0.3">
      <c r="C739" s="944"/>
      <c r="D739" s="944"/>
      <c r="E739" s="944"/>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row>
    <row r="740" spans="3:50" ht="14.5" x14ac:dyDescent="0.3">
      <c r="C740" s="944"/>
      <c r="D740" s="944"/>
      <c r="E740" s="944"/>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row>
    <row r="741" spans="3:50" ht="14.5" x14ac:dyDescent="0.3">
      <c r="C741" s="944"/>
      <c r="D741" s="944"/>
      <c r="E741" s="944"/>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row>
    <row r="742" spans="3:50" ht="14.5" x14ac:dyDescent="0.3">
      <c r="C742" s="944"/>
      <c r="D742" s="944"/>
      <c r="E742" s="944"/>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row>
    <row r="743" spans="3:50" ht="14.5" x14ac:dyDescent="0.3">
      <c r="C743" s="944"/>
      <c r="D743" s="944"/>
      <c r="E743" s="944"/>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row>
    <row r="744" spans="3:50" ht="14.5" x14ac:dyDescent="0.3">
      <c r="C744" s="944"/>
      <c r="D744" s="944"/>
      <c r="E744" s="944"/>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row>
    <row r="745" spans="3:50" ht="14.5" x14ac:dyDescent="0.3">
      <c r="C745" s="944"/>
      <c r="D745" s="944"/>
      <c r="E745" s="944"/>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row>
    <row r="746" spans="3:50" ht="14.5" x14ac:dyDescent="0.3">
      <c r="C746" s="944"/>
      <c r="D746" s="944"/>
      <c r="E746" s="944"/>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row>
    <row r="747" spans="3:50" ht="14.5" x14ac:dyDescent="0.3">
      <c r="C747" s="944"/>
      <c r="D747" s="944"/>
      <c r="E747" s="944"/>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row>
    <row r="748" spans="3:50" ht="14.5" x14ac:dyDescent="0.3">
      <c r="C748" s="944"/>
      <c r="D748" s="944"/>
      <c r="E748" s="944"/>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row>
    <row r="749" spans="3:50" ht="14.5" x14ac:dyDescent="0.3">
      <c r="C749" s="944"/>
      <c r="D749" s="944"/>
      <c r="E749" s="944"/>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row>
    <row r="750" spans="3:50" ht="14.5" x14ac:dyDescent="0.3">
      <c r="C750" s="944"/>
      <c r="D750" s="944"/>
      <c r="E750" s="944"/>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row>
    <row r="751" spans="3:50" ht="14.5" x14ac:dyDescent="0.3">
      <c r="C751" s="944"/>
      <c r="D751" s="944"/>
      <c r="E751" s="944"/>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row>
    <row r="752" spans="3:50" ht="14.5" x14ac:dyDescent="0.3">
      <c r="C752" s="944"/>
      <c r="D752" s="944"/>
      <c r="E752" s="944"/>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row>
    <row r="753" spans="3:50" ht="14.5" x14ac:dyDescent="0.3">
      <c r="C753" s="944"/>
      <c r="D753" s="944"/>
      <c r="E753" s="944"/>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row>
    <row r="754" spans="3:50" ht="14.5" x14ac:dyDescent="0.3">
      <c r="C754" s="944"/>
      <c r="D754" s="944"/>
      <c r="E754" s="944"/>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row>
    <row r="755" spans="3:50" ht="14.5" x14ac:dyDescent="0.3">
      <c r="C755" s="944"/>
      <c r="D755" s="944"/>
      <c r="E755" s="944"/>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row>
    <row r="756" spans="3:50" ht="14.5" x14ac:dyDescent="0.3">
      <c r="C756" s="944"/>
      <c r="D756" s="944"/>
      <c r="E756" s="944"/>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row>
    <row r="757" spans="3:50" ht="14.5" x14ac:dyDescent="0.3">
      <c r="C757" s="944"/>
      <c r="D757" s="944"/>
      <c r="E757" s="944"/>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row>
    <row r="758" spans="3:50" ht="14.5" x14ac:dyDescent="0.3">
      <c r="C758" s="944"/>
      <c r="D758" s="944"/>
      <c r="E758" s="944"/>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row>
    <row r="759" spans="3:50" ht="14.5" x14ac:dyDescent="0.3">
      <c r="C759" s="944"/>
      <c r="D759" s="944"/>
      <c r="E759" s="944"/>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row>
    <row r="760" spans="3:50" ht="14.5" x14ac:dyDescent="0.3">
      <c r="C760" s="944"/>
      <c r="D760" s="944"/>
      <c r="E760" s="944"/>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row>
    <row r="761" spans="3:50" ht="14.5" x14ac:dyDescent="0.3">
      <c r="C761" s="944"/>
      <c r="D761" s="944"/>
      <c r="E761" s="944"/>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row>
    <row r="762" spans="3:50" ht="14.5" x14ac:dyDescent="0.3">
      <c r="C762" s="944"/>
      <c r="D762" s="944"/>
      <c r="E762" s="944"/>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row>
    <row r="763" spans="3:50" ht="14.5" x14ac:dyDescent="0.3">
      <c r="C763" s="944"/>
      <c r="D763" s="944"/>
      <c r="E763" s="944"/>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row>
    <row r="764" spans="3:50" ht="14.5" x14ac:dyDescent="0.3">
      <c r="C764" s="944"/>
      <c r="D764" s="944"/>
      <c r="E764" s="944"/>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row>
    <row r="765" spans="3:50" ht="14.5" x14ac:dyDescent="0.3">
      <c r="C765" s="944"/>
      <c r="D765" s="944"/>
      <c r="E765" s="944"/>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row>
    <row r="766" spans="3:50" ht="14.5" x14ac:dyDescent="0.3">
      <c r="C766" s="944"/>
      <c r="D766" s="944"/>
      <c r="E766" s="944"/>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row>
    <row r="767" spans="3:50" ht="14.5" x14ac:dyDescent="0.3">
      <c r="C767" s="944"/>
      <c r="D767" s="944"/>
      <c r="E767" s="944"/>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row>
    <row r="768" spans="3:50" ht="14.5" x14ac:dyDescent="0.3">
      <c r="C768" s="944"/>
      <c r="D768" s="944"/>
      <c r="E768" s="944"/>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row>
    <row r="769" spans="3:50" ht="14.5" x14ac:dyDescent="0.3">
      <c r="C769" s="944"/>
      <c r="D769" s="944"/>
      <c r="E769" s="944"/>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row>
    <row r="770" spans="3:50" ht="14.5" x14ac:dyDescent="0.3">
      <c r="C770" s="944"/>
      <c r="D770" s="944"/>
      <c r="E770" s="944"/>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row>
    <row r="771" spans="3:50" ht="14.5" x14ac:dyDescent="0.3">
      <c r="C771" s="944"/>
      <c r="D771" s="944"/>
      <c r="E771" s="944"/>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row>
    <row r="772" spans="3:50" ht="14.5" x14ac:dyDescent="0.3">
      <c r="C772" s="944"/>
      <c r="D772" s="944"/>
      <c r="E772" s="944"/>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row>
    <row r="773" spans="3:50" ht="14.5" x14ac:dyDescent="0.3">
      <c r="C773" s="944"/>
      <c r="D773" s="944"/>
      <c r="E773" s="944"/>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row>
    <row r="774" spans="3:50" ht="14.5" x14ac:dyDescent="0.3">
      <c r="C774" s="944"/>
      <c r="D774" s="944"/>
      <c r="E774" s="944"/>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row>
    <row r="775" spans="3:50" ht="14.5" x14ac:dyDescent="0.3">
      <c r="C775" s="944"/>
      <c r="D775" s="944"/>
      <c r="E775" s="944"/>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row>
    <row r="776" spans="3:50" ht="14.5" x14ac:dyDescent="0.3">
      <c r="C776" s="944"/>
      <c r="D776" s="944"/>
      <c r="E776" s="944"/>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row>
    <row r="777" spans="3:50" ht="14.5" x14ac:dyDescent="0.3">
      <c r="C777" s="944"/>
      <c r="D777" s="944"/>
      <c r="E777" s="944"/>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row>
    <row r="778" spans="3:50" ht="14.5" x14ac:dyDescent="0.3">
      <c r="C778" s="944"/>
      <c r="D778" s="944"/>
      <c r="E778" s="944"/>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row>
    <row r="779" spans="3:50" ht="14.5" x14ac:dyDescent="0.3">
      <c r="C779" s="944"/>
      <c r="D779" s="944"/>
      <c r="E779" s="944"/>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row>
    <row r="780" spans="3:50" ht="14.5" x14ac:dyDescent="0.3">
      <c r="C780" s="944"/>
      <c r="D780" s="944"/>
      <c r="E780" s="944"/>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row>
    <row r="781" spans="3:50" ht="14.5" x14ac:dyDescent="0.3">
      <c r="C781" s="944"/>
      <c r="D781" s="944"/>
      <c r="E781" s="944"/>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row>
    <row r="782" spans="3:50" ht="14.5" x14ac:dyDescent="0.3">
      <c r="C782" s="944"/>
      <c r="D782" s="944"/>
      <c r="E782" s="944"/>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row>
    <row r="783" spans="3:50" ht="14.5" x14ac:dyDescent="0.3">
      <c r="C783" s="944"/>
      <c r="D783" s="944"/>
      <c r="E783" s="944"/>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row>
    <row r="784" spans="3:50" ht="14.5" x14ac:dyDescent="0.3">
      <c r="C784" s="944"/>
      <c r="D784" s="944"/>
      <c r="E784" s="944"/>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row>
    <row r="785" spans="3:50" ht="14.5" x14ac:dyDescent="0.3">
      <c r="C785" s="944"/>
      <c r="D785" s="944"/>
      <c r="E785" s="944"/>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row>
    <row r="786" spans="3:50" ht="14.5" x14ac:dyDescent="0.3">
      <c r="C786" s="944"/>
      <c r="D786" s="944"/>
      <c r="E786" s="944"/>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row>
    <row r="787" spans="3:50" ht="14.5" x14ac:dyDescent="0.3">
      <c r="C787" s="944"/>
      <c r="D787" s="944"/>
      <c r="E787" s="944"/>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row>
    <row r="788" spans="3:50" ht="14.5" x14ac:dyDescent="0.3">
      <c r="C788" s="944"/>
      <c r="D788" s="944"/>
      <c r="E788" s="944"/>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row>
    <row r="789" spans="3:50" ht="14.5" x14ac:dyDescent="0.3">
      <c r="C789" s="944"/>
      <c r="D789" s="944"/>
      <c r="E789" s="944"/>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row>
    <row r="790" spans="3:50" ht="14.5" x14ac:dyDescent="0.3">
      <c r="C790" s="944"/>
      <c r="D790" s="944"/>
      <c r="E790" s="944"/>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row>
    <row r="791" spans="3:50" ht="14.5" x14ac:dyDescent="0.3">
      <c r="C791" s="944"/>
      <c r="D791" s="944"/>
      <c r="E791" s="944"/>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row>
    <row r="792" spans="3:50" ht="14.5" x14ac:dyDescent="0.3">
      <c r="C792" s="944"/>
      <c r="D792" s="944"/>
      <c r="E792" s="944"/>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row>
    <row r="793" spans="3:50" ht="14.5" x14ac:dyDescent="0.3">
      <c r="C793" s="944"/>
      <c r="D793" s="944"/>
      <c r="E793" s="944"/>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row>
    <row r="794" spans="3:50" ht="14.5" x14ac:dyDescent="0.3">
      <c r="C794" s="944"/>
      <c r="D794" s="944"/>
      <c r="E794" s="944"/>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row>
    <row r="795" spans="3:50" ht="14.5" x14ac:dyDescent="0.3">
      <c r="C795" s="944"/>
      <c r="D795" s="944"/>
      <c r="E795" s="944"/>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row>
    <row r="796" spans="3:50" ht="14.5" x14ac:dyDescent="0.3">
      <c r="C796" s="944"/>
      <c r="D796" s="944"/>
      <c r="E796" s="944"/>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row>
    <row r="797" spans="3:50" ht="14.5" x14ac:dyDescent="0.3">
      <c r="C797" s="944"/>
      <c r="D797" s="944"/>
      <c r="E797" s="944"/>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row>
    <row r="798" spans="3:50" ht="14.5" x14ac:dyDescent="0.3">
      <c r="C798" s="944"/>
      <c r="D798" s="944"/>
      <c r="E798" s="944"/>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row>
    <row r="799" spans="3:50" ht="14.5" x14ac:dyDescent="0.3">
      <c r="C799" s="944"/>
      <c r="D799" s="944"/>
      <c r="E799" s="944"/>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row>
    <row r="800" spans="3:50" ht="14.5" x14ac:dyDescent="0.3">
      <c r="C800" s="944"/>
      <c r="D800" s="944"/>
      <c r="E800" s="944"/>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row>
    <row r="801" spans="3:50" ht="14.5" x14ac:dyDescent="0.3">
      <c r="C801" s="944"/>
      <c r="D801" s="944"/>
      <c r="E801" s="944"/>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row>
    <row r="802" spans="3:50" ht="14.5" x14ac:dyDescent="0.3">
      <c r="C802" s="944"/>
      <c r="D802" s="944"/>
      <c r="E802" s="944"/>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row>
    <row r="803" spans="3:50" ht="14.5" x14ac:dyDescent="0.3">
      <c r="C803" s="944"/>
      <c r="D803" s="944"/>
      <c r="E803" s="944"/>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row>
    <row r="804" spans="3:50" ht="14.5" x14ac:dyDescent="0.3">
      <c r="C804" s="944"/>
      <c r="D804" s="944"/>
      <c r="E804" s="944"/>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row>
    <row r="805" spans="3:50" ht="14.5" x14ac:dyDescent="0.3">
      <c r="C805" s="944"/>
      <c r="D805" s="944"/>
      <c r="E805" s="944"/>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row>
    <row r="806" spans="3:50" ht="14.5" x14ac:dyDescent="0.3">
      <c r="C806" s="944"/>
      <c r="D806" s="944"/>
      <c r="E806" s="944"/>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row>
    <row r="807" spans="3:50" ht="14.5" x14ac:dyDescent="0.3">
      <c r="C807" s="944"/>
      <c r="D807" s="944"/>
      <c r="E807" s="944"/>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row>
    <row r="808" spans="3:50" ht="14.5" x14ac:dyDescent="0.3">
      <c r="C808" s="944"/>
      <c r="D808" s="944"/>
      <c r="E808" s="944"/>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row>
    <row r="809" spans="3:50" ht="14.5" x14ac:dyDescent="0.3">
      <c r="C809" s="944"/>
      <c r="D809" s="944"/>
      <c r="E809" s="944"/>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row>
    <row r="810" spans="3:50" ht="14.5" x14ac:dyDescent="0.3">
      <c r="C810" s="944"/>
      <c r="D810" s="944"/>
      <c r="E810" s="944"/>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row>
    <row r="811" spans="3:50" ht="14.5" x14ac:dyDescent="0.3">
      <c r="C811" s="944"/>
      <c r="D811" s="944"/>
      <c r="E811" s="944"/>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row>
    <row r="812" spans="3:50" ht="14.5" x14ac:dyDescent="0.3">
      <c r="C812" s="944"/>
      <c r="D812" s="944"/>
      <c r="E812" s="944"/>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row>
    <row r="813" spans="3:50" ht="14.5" x14ac:dyDescent="0.3">
      <c r="C813" s="944"/>
      <c r="D813" s="944"/>
      <c r="E813" s="944"/>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row>
    <row r="814" spans="3:50" ht="14.5" x14ac:dyDescent="0.3">
      <c r="C814" s="944"/>
      <c r="D814" s="944"/>
      <c r="E814" s="944"/>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row>
    <row r="815" spans="3:50" ht="14.5" x14ac:dyDescent="0.3">
      <c r="C815" s="944"/>
      <c r="D815" s="944"/>
      <c r="E815" s="944"/>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row>
    <row r="816" spans="3:50" ht="14.5" x14ac:dyDescent="0.3">
      <c r="C816" s="944"/>
      <c r="D816" s="944"/>
      <c r="E816" s="944"/>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row>
    <row r="817" spans="3:50" ht="14.5" x14ac:dyDescent="0.3">
      <c r="C817" s="944"/>
      <c r="D817" s="944"/>
      <c r="E817" s="944"/>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row>
    <row r="818" spans="3:50" ht="14.5" x14ac:dyDescent="0.3">
      <c r="C818" s="944"/>
      <c r="D818" s="944"/>
      <c r="E818" s="944"/>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row>
    <row r="819" spans="3:50" ht="14.5" x14ac:dyDescent="0.3">
      <c r="C819" s="944"/>
      <c r="D819" s="944"/>
      <c r="E819" s="944"/>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row>
    <row r="820" spans="3:50" ht="14.5" x14ac:dyDescent="0.3">
      <c r="C820" s="944"/>
      <c r="D820" s="944"/>
      <c r="E820" s="944"/>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row>
    <row r="821" spans="3:50" ht="14.5" x14ac:dyDescent="0.3">
      <c r="C821" s="944"/>
      <c r="D821" s="944"/>
      <c r="E821" s="944"/>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row>
    <row r="822" spans="3:50" ht="14.5" x14ac:dyDescent="0.3">
      <c r="C822" s="944"/>
      <c r="D822" s="944"/>
      <c r="E822" s="944"/>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row>
    <row r="823" spans="3:50" ht="14.5" x14ac:dyDescent="0.3">
      <c r="C823" s="944"/>
      <c r="D823" s="944"/>
      <c r="E823" s="944"/>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row>
    <row r="824" spans="3:50" ht="14.5" x14ac:dyDescent="0.3">
      <c r="C824" s="944"/>
      <c r="D824" s="944"/>
      <c r="E824" s="944"/>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row>
    <row r="825" spans="3:50" ht="14.5" x14ac:dyDescent="0.3">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row>
    <row r="826" spans="3:50" ht="14.5" x14ac:dyDescent="0.3">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row>
    <row r="827" spans="3:50" ht="14.5" x14ac:dyDescent="0.3">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row>
  </sheetData>
  <mergeCells count="112">
    <mergeCell ref="D3:F3"/>
    <mergeCell ref="B8:B15"/>
    <mergeCell ref="B17:B24"/>
    <mergeCell ref="D28:F28"/>
    <mergeCell ref="B33:B36"/>
    <mergeCell ref="D39:F39"/>
    <mergeCell ref="Q46:Q50"/>
    <mergeCell ref="D51:E53"/>
    <mergeCell ref="D54:E55"/>
    <mergeCell ref="D56:E57"/>
    <mergeCell ref="D58:E60"/>
    <mergeCell ref="D63:E63"/>
    <mergeCell ref="C41:C43"/>
    <mergeCell ref="B44:B60"/>
    <mergeCell ref="D44:E45"/>
    <mergeCell ref="C46:C50"/>
    <mergeCell ref="D46:E50"/>
    <mergeCell ref="O46:O50"/>
    <mergeCell ref="M71:M73"/>
    <mergeCell ref="O71:O73"/>
    <mergeCell ref="AY71:AY73"/>
    <mergeCell ref="A74:A75"/>
    <mergeCell ref="C74:C75"/>
    <mergeCell ref="D74:E75"/>
    <mergeCell ref="G74:G75"/>
    <mergeCell ref="M74:M75"/>
    <mergeCell ref="B64:B80"/>
    <mergeCell ref="C64:C65"/>
    <mergeCell ref="D64:E65"/>
    <mergeCell ref="A66:A69"/>
    <mergeCell ref="C66:C70"/>
    <mergeCell ref="D66:E70"/>
    <mergeCell ref="A71:A73"/>
    <mergeCell ref="C71:C73"/>
    <mergeCell ref="D71:E73"/>
    <mergeCell ref="A76:A77"/>
    <mergeCell ref="C76:C77"/>
    <mergeCell ref="D76:E77"/>
    <mergeCell ref="G76:G77"/>
    <mergeCell ref="A78:A80"/>
    <mergeCell ref="C78:C80"/>
    <mergeCell ref="D78:E80"/>
    <mergeCell ref="F78:F80"/>
    <mergeCell ref="G78:G80"/>
    <mergeCell ref="F71:F73"/>
    <mergeCell ref="G71:G73"/>
    <mergeCell ref="B95:B98"/>
    <mergeCell ref="D95:E95"/>
    <mergeCell ref="D96:E96"/>
    <mergeCell ref="D97:E97"/>
    <mergeCell ref="D101:F101"/>
    <mergeCell ref="C103:C105"/>
    <mergeCell ref="D105:E105"/>
    <mergeCell ref="D86:F86"/>
    <mergeCell ref="B87:B89"/>
    <mergeCell ref="D87:E87"/>
    <mergeCell ref="D88:E88"/>
    <mergeCell ref="D89:E89"/>
    <mergeCell ref="D94:F94"/>
    <mergeCell ref="D116:E116"/>
    <mergeCell ref="D117:E117"/>
    <mergeCell ref="D118:E118"/>
    <mergeCell ref="D119:E119"/>
    <mergeCell ref="D120:E120"/>
    <mergeCell ref="D121:E121"/>
    <mergeCell ref="B106:B112"/>
    <mergeCell ref="D106:E106"/>
    <mergeCell ref="D107:E107"/>
    <mergeCell ref="D108:E108"/>
    <mergeCell ref="D109:E109"/>
    <mergeCell ref="D110:E110"/>
    <mergeCell ref="D111:E111"/>
    <mergeCell ref="D112:E112"/>
    <mergeCell ref="D115:E115"/>
    <mergeCell ref="B137:B142"/>
    <mergeCell ref="D137:E137"/>
    <mergeCell ref="D138:E138"/>
    <mergeCell ref="D139:E139"/>
    <mergeCell ref="D140:E140"/>
    <mergeCell ref="D141:E141"/>
    <mergeCell ref="D142:E142"/>
    <mergeCell ref="D122:E122"/>
    <mergeCell ref="B127:B132"/>
    <mergeCell ref="D127:E127"/>
    <mergeCell ref="D128:E128"/>
    <mergeCell ref="D129:E129"/>
    <mergeCell ref="D130:E130"/>
    <mergeCell ref="D131:E131"/>
    <mergeCell ref="D132:E132"/>
    <mergeCell ref="D126:E126"/>
    <mergeCell ref="D136:E136"/>
    <mergeCell ref="D146:E146"/>
    <mergeCell ref="B168:B173"/>
    <mergeCell ref="D168:E168"/>
    <mergeCell ref="D169:E169"/>
    <mergeCell ref="D170:E170"/>
    <mergeCell ref="D171:E171"/>
    <mergeCell ref="D172:E172"/>
    <mergeCell ref="D173:E173"/>
    <mergeCell ref="B158:B163"/>
    <mergeCell ref="D159:E159"/>
    <mergeCell ref="D160:E160"/>
    <mergeCell ref="D161:E161"/>
    <mergeCell ref="D162:E162"/>
    <mergeCell ref="D163:E163"/>
    <mergeCell ref="B147:B153"/>
    <mergeCell ref="D148:E148"/>
    <mergeCell ref="D149:E149"/>
    <mergeCell ref="D150:E150"/>
    <mergeCell ref="D151:E151"/>
    <mergeCell ref="D152:E152"/>
    <mergeCell ref="D153:E153"/>
  </mergeCells>
  <hyperlinks>
    <hyperlink ref="E6" location="'Gráficos UTCUTS-OseMOSYS'!A1" display="GRÁFICO UTCUTS-1" xr:uid="{02BA9C02-4E47-452B-A3EF-F19B1C3B3C80}"/>
    <hyperlink ref="E31" location="'Gráficos UTCUTS-OseMOSYS'!A1" display="GRÁFICO UTCUTS-1" xr:uid="{E90886C4-E252-4BED-BB0B-25EFDE14242D}"/>
    <hyperlink ref="E42" location="'Gráficos UTCUTS-OseMOSYS'!A1" display="GRÁFICO UTCUTS-1" xr:uid="{15803035-E850-4976-A968-F15A8826E54A}"/>
    <hyperlink ref="E104" location="'Gráficos UTCUTS-OseMOSYS'!A1" display="GRÁFICO UTCUTS-1" xr:uid="{CC066F51-4AA4-43EC-A609-F5E46D3FD6DC}"/>
    <hyperlink ref="E125" location="'Gráficos UTCUTS-OseMOSYS'!A1" display="GRÁFICO UTCUTS-1" xr:uid="{F661605C-4EC4-4359-91F8-5B7676FE3387}"/>
    <hyperlink ref="E135" location="'Gráficos UTCUTS-OseMOSYS'!A1" display="GRÁFICO UTCUTS-1" xr:uid="{BF3203F3-9068-4163-B9B3-CB42B5C48D03}"/>
    <hyperlink ref="E145" location="'Gráficos UTCUTS-OseMOSYS'!A1" display="GRÁFICO UTCUTS-1" xr:uid="{C4C39F34-C250-4CB3-8D26-D0C8417BEDFC}"/>
    <hyperlink ref="E166" location="'Gráficos UTCUTS-OseMOSYS'!A1" display="GRÁFICO UTCUTS-1" xr:uid="{04951BF3-E463-4246-9B80-23A2CD1B70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9169B-566E-40EC-AD53-7A89FC93B06A}">
  <sheetPr>
    <tabColor rgb="FF92D050"/>
  </sheetPr>
  <dimension ref="A1:BD80"/>
  <sheetViews>
    <sheetView workbookViewId="0">
      <selection activeCell="H40" sqref="H40"/>
    </sheetView>
  </sheetViews>
  <sheetFormatPr defaultColWidth="8.6640625" defaultRowHeight="14" x14ac:dyDescent="0.3"/>
  <cols>
    <col min="3" max="3" width="36.9140625" customWidth="1"/>
    <col min="4" max="56" width="15.58203125" customWidth="1"/>
  </cols>
  <sheetData>
    <row r="1" spans="1:56" ht="17" x14ac:dyDescent="0.3">
      <c r="A1" s="944"/>
      <c r="B1" s="519"/>
      <c r="C1" s="108" t="s">
        <v>1</v>
      </c>
      <c r="D1" s="521">
        <v>2018</v>
      </c>
      <c r="E1" s="521">
        <v>2019</v>
      </c>
      <c r="F1" s="521">
        <v>2020</v>
      </c>
      <c r="G1" s="521">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c r="AK1" s="521">
        <v>2051</v>
      </c>
      <c r="AL1" s="521">
        <v>2052</v>
      </c>
      <c r="AM1" s="521">
        <v>2053</v>
      </c>
      <c r="AN1" s="521">
        <v>2054</v>
      </c>
      <c r="AO1" s="521">
        <v>2055</v>
      </c>
      <c r="AP1" s="521">
        <v>2056</v>
      </c>
      <c r="AQ1" s="521">
        <v>2057</v>
      </c>
      <c r="AR1" s="521">
        <v>2058</v>
      </c>
      <c r="AS1" s="521">
        <v>2059</v>
      </c>
      <c r="AT1" s="521">
        <v>2060</v>
      </c>
      <c r="AU1" s="521">
        <v>2061</v>
      </c>
      <c r="AV1" s="521">
        <v>2062</v>
      </c>
      <c r="AW1" s="521">
        <v>2063</v>
      </c>
      <c r="AX1" s="521">
        <v>2064</v>
      </c>
      <c r="AY1" s="521">
        <v>2065</v>
      </c>
      <c r="AZ1" s="521">
        <v>2066</v>
      </c>
      <c r="BA1" s="521">
        <v>2067</v>
      </c>
      <c r="BB1" s="521">
        <v>2068</v>
      </c>
      <c r="BC1" s="521">
        <v>2069</v>
      </c>
      <c r="BD1" s="521">
        <v>2070</v>
      </c>
    </row>
    <row r="2" spans="1:56" ht="14.5" x14ac:dyDescent="0.3">
      <c r="A2" s="1094"/>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row>
    <row r="3" spans="1:56" ht="14.5" x14ac:dyDescent="0.3">
      <c r="A3" s="1094"/>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row>
    <row r="4" spans="1:56" ht="18.5" x14ac:dyDescent="0.3">
      <c r="A4" s="1094"/>
      <c r="B4" s="125"/>
      <c r="C4" s="355" t="s">
        <v>151</v>
      </c>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c r="AO4" s="392"/>
      <c r="AP4" s="392"/>
      <c r="AQ4" s="392"/>
      <c r="AR4" s="392"/>
      <c r="AS4" s="392"/>
      <c r="AT4" s="392"/>
      <c r="AU4" s="392"/>
      <c r="AV4" s="392"/>
      <c r="AW4" s="392"/>
      <c r="AX4" s="392"/>
      <c r="AY4" s="392"/>
      <c r="AZ4" s="392"/>
      <c r="BA4" s="392"/>
      <c r="BB4" s="392"/>
      <c r="BC4" s="392"/>
      <c r="BD4" s="392"/>
    </row>
    <row r="5" spans="1:56" ht="18.5" x14ac:dyDescent="0.3">
      <c r="A5" s="1094"/>
      <c r="B5" s="125"/>
      <c r="C5" s="355"/>
      <c r="D5" s="392"/>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c r="AJ5" s="392"/>
      <c r="AK5" s="392"/>
      <c r="AL5" s="392"/>
      <c r="AM5" s="392"/>
      <c r="AN5" s="392"/>
      <c r="AO5" s="392"/>
      <c r="AP5" s="392"/>
      <c r="AQ5" s="392"/>
      <c r="AR5" s="392"/>
      <c r="AS5" s="392"/>
      <c r="AT5" s="392"/>
      <c r="AU5" s="392"/>
      <c r="AV5" s="392"/>
      <c r="AW5" s="392"/>
      <c r="AX5" s="392"/>
      <c r="AY5" s="392"/>
      <c r="AZ5" s="392"/>
      <c r="BA5" s="392"/>
      <c r="BB5" s="392"/>
      <c r="BC5" s="392"/>
      <c r="BD5" s="392"/>
    </row>
    <row r="6" spans="1:56" ht="14.5" x14ac:dyDescent="0.3">
      <c r="A6" s="49"/>
      <c r="B6" s="523"/>
      <c r="C6" s="524" t="s">
        <v>152</v>
      </c>
      <c r="D6" s="954"/>
      <c r="E6" s="954"/>
      <c r="F6" s="954"/>
      <c r="G6" s="954"/>
      <c r="H6" s="954"/>
      <c r="I6" s="954"/>
      <c r="J6" s="954"/>
      <c r="K6" s="954"/>
      <c r="L6" s="954"/>
      <c r="M6" s="954"/>
      <c r="N6" s="954"/>
      <c r="O6" s="954"/>
      <c r="P6" s="954"/>
      <c r="Q6" s="954"/>
      <c r="R6" s="954"/>
      <c r="S6" s="954"/>
      <c r="T6" s="954"/>
      <c r="U6" s="954"/>
      <c r="V6" s="954"/>
      <c r="W6" s="954"/>
      <c r="X6" s="954"/>
      <c r="Y6" s="954"/>
      <c r="Z6" s="954"/>
      <c r="AA6" s="954"/>
      <c r="AB6" s="954"/>
      <c r="AC6" s="954"/>
      <c r="AD6" s="954"/>
      <c r="AE6" s="954"/>
      <c r="AF6" s="954"/>
      <c r="AG6" s="954"/>
      <c r="AH6" s="954"/>
      <c r="AI6" s="954"/>
      <c r="AJ6" s="954"/>
      <c r="AK6" s="954"/>
      <c r="AL6" s="954"/>
      <c r="AM6" s="954"/>
      <c r="AN6" s="954"/>
      <c r="AO6" s="954"/>
      <c r="AP6" s="954"/>
      <c r="AQ6" s="954"/>
      <c r="AR6" s="954"/>
      <c r="AS6" s="954"/>
      <c r="AT6" s="954"/>
      <c r="AU6" s="954"/>
      <c r="AV6" s="954"/>
      <c r="AW6" s="954"/>
      <c r="AX6" s="954"/>
      <c r="AY6" s="954"/>
      <c r="AZ6" s="954"/>
      <c r="BA6" s="954"/>
      <c r="BB6" s="954"/>
      <c r="BC6" s="954"/>
      <c r="BD6" s="954"/>
    </row>
    <row r="7" spans="1:56" ht="14.5" x14ac:dyDescent="0.3">
      <c r="A7" s="49"/>
      <c r="B7" s="523"/>
      <c r="C7" s="525" t="s">
        <v>153</v>
      </c>
      <c r="D7" s="526">
        <v>17023408</v>
      </c>
      <c r="E7" s="526">
        <v>17267986</v>
      </c>
      <c r="F7" s="526">
        <v>17510643</v>
      </c>
      <c r="G7" s="526">
        <v>17751277</v>
      </c>
      <c r="H7" s="526">
        <v>17989912</v>
      </c>
      <c r="I7" s="526">
        <v>18226512</v>
      </c>
      <c r="J7" s="526">
        <v>18460936</v>
      </c>
      <c r="K7" s="526">
        <v>18693140</v>
      </c>
      <c r="L7" s="526">
        <v>18922864</v>
      </c>
      <c r="M7" s="526">
        <v>19150021</v>
      </c>
      <c r="N7" s="526">
        <v>19374448</v>
      </c>
      <c r="O7" s="526">
        <v>19596113</v>
      </c>
      <c r="P7" s="526">
        <v>19814767</v>
      </c>
      <c r="Q7" s="526">
        <v>20030293</v>
      </c>
      <c r="R7" s="526">
        <v>20242540</v>
      </c>
      <c r="S7" s="526">
        <v>20451333</v>
      </c>
      <c r="T7" s="526">
        <v>20656586</v>
      </c>
      <c r="U7" s="526">
        <v>20858149</v>
      </c>
      <c r="V7" s="526">
        <v>21055934</v>
      </c>
      <c r="W7" s="526">
        <v>21249772</v>
      </c>
      <c r="X7" s="526">
        <v>21439596</v>
      </c>
      <c r="Y7" s="526">
        <v>21625281</v>
      </c>
      <c r="Z7" s="526">
        <v>21806740</v>
      </c>
      <c r="AA7" s="526">
        <v>21983950</v>
      </c>
      <c r="AB7" s="526">
        <v>22156850</v>
      </c>
      <c r="AC7" s="526">
        <v>22325333</v>
      </c>
      <c r="AD7" s="526">
        <v>22489377</v>
      </c>
      <c r="AE7" s="526">
        <v>22648875</v>
      </c>
      <c r="AF7" s="526">
        <v>22803800</v>
      </c>
      <c r="AG7" s="526">
        <v>22954177</v>
      </c>
      <c r="AH7" s="526">
        <v>23099877</v>
      </c>
      <c r="AI7" s="526">
        <v>23240939</v>
      </c>
      <c r="AJ7" s="526">
        <v>23377412</v>
      </c>
      <c r="AK7" s="526">
        <v>23509203.966093358</v>
      </c>
      <c r="AL7" s="526">
        <v>23636225.595713578</v>
      </c>
      <c r="AM7" s="526">
        <v>23758390.418085691</v>
      </c>
      <c r="AN7" s="526">
        <v>23875614.891970485</v>
      </c>
      <c r="AO7" s="526">
        <v>23987818.50054758</v>
      </c>
      <c r="AP7" s="526">
        <v>24094923.843287013</v>
      </c>
      <c r="AQ7" s="526">
        <v>24196856.724663101</v>
      </c>
      <c r="AR7" s="526">
        <v>24293546.23956864</v>
      </c>
      <c r="AS7" s="526">
        <v>24384924.855292253</v>
      </c>
      <c r="AT7" s="526">
        <v>24470928.489926573</v>
      </c>
      <c r="AU7" s="526">
        <v>24551496.587080102</v>
      </c>
      <c r="AV7" s="526">
        <v>24626572.186771225</v>
      </c>
      <c r="AW7" s="526">
        <v>24696101.99238833</v>
      </c>
      <c r="AX7" s="526">
        <v>24760036.433606219</v>
      </c>
      <c r="AY7" s="526">
        <v>24818329.725154996</v>
      </c>
      <c r="AZ7" s="526">
        <v>24870939.921344161</v>
      </c>
      <c r="BA7" s="526">
        <v>24917828.966251153</v>
      </c>
      <c r="BB7" s="526">
        <v>24958962.739490513</v>
      </c>
      <c r="BC7" s="526">
        <v>24994311.097486768</v>
      </c>
      <c r="BD7" s="526">
        <v>25023847.910181344</v>
      </c>
    </row>
    <row r="8" spans="1:56" ht="14.5" x14ac:dyDescent="0.3">
      <c r="A8" s="49"/>
      <c r="B8" s="523"/>
      <c r="C8" s="525" t="s">
        <v>154</v>
      </c>
      <c r="D8" s="954"/>
      <c r="E8" s="527">
        <v>1.4367158444419589E-2</v>
      </c>
      <c r="F8" s="527">
        <v>1.4052420473354565E-2</v>
      </c>
      <c r="G8" s="527">
        <v>1.374215669864322E-2</v>
      </c>
      <c r="H8" s="527">
        <v>1.3443258194889302E-2</v>
      </c>
      <c r="I8" s="527">
        <v>1.3151815306267202E-2</v>
      </c>
      <c r="J8" s="527">
        <v>1.2861703874005075E-2</v>
      </c>
      <c r="K8" s="527">
        <v>1.2578127132882103E-2</v>
      </c>
      <c r="L8" s="527">
        <v>1.2289214118120338E-2</v>
      </c>
      <c r="M8" s="527">
        <v>1.2004366780842476E-2</v>
      </c>
      <c r="N8" s="527">
        <v>1.1719412735892039E-2</v>
      </c>
      <c r="O8" s="527">
        <v>1.1441100154182458E-2</v>
      </c>
      <c r="P8" s="527">
        <v>1.1158029145882145E-2</v>
      </c>
      <c r="Q8" s="527">
        <v>1.0877039331322946E-2</v>
      </c>
      <c r="R8" s="527">
        <v>1.0596300313729809E-2</v>
      </c>
      <c r="S8" s="527">
        <v>1.0314565267007006E-2</v>
      </c>
      <c r="T8" s="527">
        <v>1.0036167324643337E-2</v>
      </c>
      <c r="U8" s="527">
        <v>9.7578079940218582E-3</v>
      </c>
      <c r="V8" s="527">
        <v>9.4823850380971013E-3</v>
      </c>
      <c r="W8" s="527">
        <v>9.2058609226263726E-3</v>
      </c>
      <c r="X8" s="527">
        <v>8.9329899633746653E-3</v>
      </c>
      <c r="Y8" s="527">
        <v>8.6608441688919881E-3</v>
      </c>
      <c r="Z8" s="527">
        <v>8.3910585947992999E-3</v>
      </c>
      <c r="AA8" s="527">
        <v>8.1263866125794136E-3</v>
      </c>
      <c r="AB8" s="527">
        <v>7.8648286590899275E-3</v>
      </c>
      <c r="AC8" s="527">
        <v>7.6041043740423392E-3</v>
      </c>
      <c r="AD8" s="527">
        <v>7.3478859195515696E-3</v>
      </c>
      <c r="AE8" s="527">
        <v>7.0921484396833222E-3</v>
      </c>
      <c r="AF8" s="527">
        <v>6.8402955996710651E-3</v>
      </c>
      <c r="AG8" s="527">
        <v>6.5943833922416442E-3</v>
      </c>
      <c r="AH8" s="527">
        <v>6.3474286183294653E-3</v>
      </c>
      <c r="AI8" s="527">
        <v>6.1066126023095278E-3</v>
      </c>
      <c r="AJ8" s="527">
        <v>5.8720949269734759E-3</v>
      </c>
      <c r="AK8" s="526">
        <v>5.637577251637424E-3</v>
      </c>
      <c r="AL8" s="526">
        <v>5.4030595763013721E-3</v>
      </c>
      <c r="AM8" s="526">
        <v>5.1685419009653202E-3</v>
      </c>
      <c r="AN8" s="526">
        <v>4.9340242256292683E-3</v>
      </c>
      <c r="AO8" s="526">
        <v>4.6995065502932164E-3</v>
      </c>
      <c r="AP8" s="526">
        <v>4.4649888749571645E-3</v>
      </c>
      <c r="AQ8" s="526">
        <v>4.2304711996211126E-3</v>
      </c>
      <c r="AR8" s="526">
        <v>3.9959535242850607E-3</v>
      </c>
      <c r="AS8" s="526">
        <v>3.7614358489490088E-3</v>
      </c>
      <c r="AT8" s="526">
        <v>3.5269181736129569E-3</v>
      </c>
      <c r="AU8" s="526">
        <v>3.292400498276905E-3</v>
      </c>
      <c r="AV8" s="526">
        <v>3.0578828229408531E-3</v>
      </c>
      <c r="AW8" s="526">
        <v>2.8233651476048012E-3</v>
      </c>
      <c r="AX8" s="526">
        <v>2.5888474722687493E-3</v>
      </c>
      <c r="AY8" s="526">
        <v>2.3543297969326974E-3</v>
      </c>
      <c r="AZ8" s="526">
        <v>2.1198121215966455E-3</v>
      </c>
      <c r="BA8" s="526">
        <v>1.8852944462605936E-3</v>
      </c>
      <c r="BB8" s="526">
        <v>1.6507767709245417E-3</v>
      </c>
      <c r="BC8" s="526">
        <v>1.4162590955884898E-3</v>
      </c>
      <c r="BD8" s="526">
        <v>1.1817414202524379E-3</v>
      </c>
    </row>
    <row r="9" spans="1:56" ht="14.5" x14ac:dyDescent="0.3">
      <c r="A9" s="49"/>
      <c r="B9" s="523"/>
      <c r="C9" s="525" t="s">
        <v>155</v>
      </c>
      <c r="D9" s="526">
        <v>10864509</v>
      </c>
      <c r="E9" s="526">
        <v>11049093</v>
      </c>
      <c r="F9" s="526">
        <v>11235879</v>
      </c>
      <c r="G9" s="526">
        <v>11424900</v>
      </c>
      <c r="H9" s="526">
        <v>11615526</v>
      </c>
      <c r="I9" s="526">
        <v>11808838</v>
      </c>
      <c r="J9" s="526">
        <v>12005436</v>
      </c>
      <c r="K9" s="526">
        <v>12202757</v>
      </c>
      <c r="L9" s="526">
        <v>12402937</v>
      </c>
      <c r="M9" s="526">
        <v>12604533</v>
      </c>
      <c r="N9" s="526">
        <v>12808718</v>
      </c>
      <c r="O9" s="526">
        <v>13014434</v>
      </c>
      <c r="P9" s="526">
        <v>13223175</v>
      </c>
      <c r="Q9" s="526">
        <v>13432538</v>
      </c>
      <c r="R9" s="526">
        <v>13643430</v>
      </c>
      <c r="S9" s="526">
        <v>13856389</v>
      </c>
      <c r="T9" s="526">
        <v>14070704</v>
      </c>
      <c r="U9" s="526">
        <v>14285910</v>
      </c>
      <c r="V9" s="526">
        <v>14502306</v>
      </c>
      <c r="W9" s="526">
        <v>14719086</v>
      </c>
      <c r="X9" s="526">
        <v>14936890</v>
      </c>
      <c r="Y9" s="526">
        <v>15155932</v>
      </c>
      <c r="Z9" s="526">
        <v>15374543</v>
      </c>
      <c r="AA9" s="526">
        <v>15594304</v>
      </c>
      <c r="AB9" s="526">
        <v>15812576</v>
      </c>
      <c r="AC9" s="526">
        <v>16030860</v>
      </c>
      <c r="AD9" s="526">
        <v>16246560</v>
      </c>
      <c r="AE9" s="526">
        <v>16459880</v>
      </c>
      <c r="AF9" s="526">
        <v>16670523</v>
      </c>
      <c r="AG9" s="526">
        <v>16877776</v>
      </c>
      <c r="AH9" s="526">
        <v>17081537</v>
      </c>
      <c r="AI9" s="526">
        <v>17282572</v>
      </c>
      <c r="AJ9" s="526">
        <v>17479919</v>
      </c>
      <c r="AK9" s="950">
        <v>17675992.217471235</v>
      </c>
      <c r="AL9" s="950">
        <v>17869279.642052069</v>
      </c>
      <c r="AM9" s="950">
        <v>18059729.533304844</v>
      </c>
      <c r="AN9" s="950">
        <v>18247636.006162927</v>
      </c>
      <c r="AO9" s="950">
        <v>18432570.950243402</v>
      </c>
      <c r="AP9" s="950">
        <v>18614475.830922704</v>
      </c>
      <c r="AQ9" s="950">
        <v>18793289.845345192</v>
      </c>
      <c r="AR9" s="950">
        <v>18968831.862544574</v>
      </c>
      <c r="AS9" s="950">
        <v>19141004.890193861</v>
      </c>
      <c r="AT9" s="950">
        <v>19309699.090244908</v>
      </c>
      <c r="AU9" s="950">
        <v>19474788.259091437</v>
      </c>
      <c r="AV9" s="950">
        <v>19636165.02949252</v>
      </c>
      <c r="AW9" s="950">
        <v>19793718.74939467</v>
      </c>
      <c r="AX9" s="950">
        <v>19947338.724431057</v>
      </c>
      <c r="AY9" s="950">
        <v>20096919.722555444</v>
      </c>
      <c r="AZ9" s="950">
        <v>20242357.453222267</v>
      </c>
      <c r="BA9" s="950">
        <v>20383549.989585031</v>
      </c>
      <c r="BB9" s="950">
        <v>20520398.57196762</v>
      </c>
      <c r="BC9" s="950">
        <v>20652806.829266448</v>
      </c>
      <c r="BD9" s="950">
        <v>20780681.259669017</v>
      </c>
    </row>
    <row r="10" spans="1:56" ht="14.5" x14ac:dyDescent="0.3">
      <c r="A10" s="49"/>
      <c r="B10" s="523"/>
      <c r="C10" s="525" t="s">
        <v>132</v>
      </c>
      <c r="D10" s="528">
        <v>0.63820998709541588</v>
      </c>
      <c r="E10" s="528">
        <v>0.639859969772966</v>
      </c>
      <c r="F10" s="528">
        <v>0.64165998929907941</v>
      </c>
      <c r="G10" s="528">
        <v>0.64361003436541497</v>
      </c>
      <c r="H10" s="528">
        <v>0.64566886152639325</v>
      </c>
      <c r="I10" s="528">
        <v>0.64789346420203708</v>
      </c>
      <c r="J10" s="528">
        <v>0.65031567196809514</v>
      </c>
      <c r="K10" s="528">
        <v>0.65279332418202607</v>
      </c>
      <c r="L10" s="528">
        <v>0.65544713527508303</v>
      </c>
      <c r="M10" s="528">
        <v>0.6581994348726824</v>
      </c>
      <c r="N10" s="528">
        <v>0.66111395793056915</v>
      </c>
      <c r="O10" s="528">
        <v>0.66413344319865886</v>
      </c>
      <c r="P10" s="528">
        <v>0.6673394140844553</v>
      </c>
      <c r="Q10" s="528">
        <v>0.67061115880831101</v>
      </c>
      <c r="R10" s="528">
        <v>0.67399792713760232</v>
      </c>
      <c r="S10" s="528">
        <v>0.67752987054682445</v>
      </c>
      <c r="T10" s="528">
        <v>0.68117277462984438</v>
      </c>
      <c r="U10" s="528">
        <v>0.68490785064388982</v>
      </c>
      <c r="V10" s="528">
        <v>0.68875149399689417</v>
      </c>
      <c r="W10" s="528">
        <v>0.69267030253312833</v>
      </c>
      <c r="X10" s="528">
        <v>0.69669643028721251</v>
      </c>
      <c r="Y10" s="528">
        <v>0.70084323990980746</v>
      </c>
      <c r="Z10" s="528">
        <v>0.70503628694614595</v>
      </c>
      <c r="AA10" s="528">
        <v>0.70934950270538277</v>
      </c>
      <c r="AB10" s="528">
        <v>0.71366534502873824</v>
      </c>
      <c r="AC10" s="528">
        <v>0.71805692663128473</v>
      </c>
      <c r="AD10" s="528">
        <v>0.72241040736699813</v>
      </c>
      <c r="AE10" s="528">
        <v>0.72674161520163805</v>
      </c>
      <c r="AF10" s="528">
        <v>0.73104144923214553</v>
      </c>
      <c r="AG10" s="528">
        <v>0.73528125186104476</v>
      </c>
      <c r="AH10" s="528">
        <v>0.73946441359839277</v>
      </c>
      <c r="AI10" s="528">
        <v>0.7436262364442332</v>
      </c>
      <c r="AJ10" s="528">
        <v>0.74772686557434165</v>
      </c>
      <c r="AK10" s="528">
        <v>0.75187540347877391</v>
      </c>
      <c r="AL10" s="528">
        <v>0.75601240010556758</v>
      </c>
      <c r="AM10" s="528">
        <v>0.76014112132601241</v>
      </c>
      <c r="AN10" s="622">
        <v>0.76427920657656934</v>
      </c>
      <c r="AO10" s="622">
        <v>0.76841380760916778</v>
      </c>
      <c r="AP10" s="622">
        <v>0.77254761011036788</v>
      </c>
      <c r="AQ10" s="622">
        <v>0.7766831063718197</v>
      </c>
      <c r="AR10" s="622">
        <v>0.78081773963690315</v>
      </c>
      <c r="AS10" s="622">
        <v>0.78495238364614828</v>
      </c>
      <c r="AT10" s="622">
        <v>0.78908730815807504</v>
      </c>
      <c r="AU10" s="622">
        <v>0.79322204208682678</v>
      </c>
      <c r="AV10" s="622">
        <v>0.79735680957013466</v>
      </c>
      <c r="AW10" s="622">
        <v>0.80149161821146342</v>
      </c>
      <c r="AX10" s="622">
        <v>0.80562638822925958</v>
      </c>
      <c r="AY10" s="622">
        <v>0.80976117027673722</v>
      </c>
      <c r="AZ10" s="622">
        <v>0.81389595717893803</v>
      </c>
      <c r="BA10" s="622">
        <v>0.81803073683476291</v>
      </c>
      <c r="BB10" s="622">
        <v>0.82216551970326401</v>
      </c>
      <c r="BC10" s="622">
        <v>0.82630030284543965</v>
      </c>
      <c r="BD10" s="622">
        <v>0.83043508473427352</v>
      </c>
    </row>
    <row r="11" spans="1:56" ht="14.5" x14ac:dyDescent="0.3">
      <c r="A11" s="49"/>
      <c r="B11" s="523"/>
      <c r="C11" s="525" t="s">
        <v>156</v>
      </c>
      <c r="D11" s="526">
        <v>6158899</v>
      </c>
      <c r="E11" s="526">
        <v>6218893</v>
      </c>
      <c r="F11" s="526">
        <v>6274764</v>
      </c>
      <c r="G11" s="526">
        <v>6326377</v>
      </c>
      <c r="H11" s="526">
        <v>6374386</v>
      </c>
      <c r="I11" s="526">
        <v>6417674</v>
      </c>
      <c r="J11" s="526">
        <v>6455500</v>
      </c>
      <c r="K11" s="526">
        <v>6490383</v>
      </c>
      <c r="L11" s="526">
        <v>6519927</v>
      </c>
      <c r="M11" s="526">
        <v>6545488</v>
      </c>
      <c r="N11" s="526">
        <v>6565730</v>
      </c>
      <c r="O11" s="526">
        <v>6581679</v>
      </c>
      <c r="P11" s="526">
        <v>6591592</v>
      </c>
      <c r="Q11" s="526">
        <v>6597755</v>
      </c>
      <c r="R11" s="526">
        <v>6599110</v>
      </c>
      <c r="S11" s="526">
        <v>6594944</v>
      </c>
      <c r="T11" s="526">
        <v>6585882</v>
      </c>
      <c r="U11" s="526">
        <v>6572239</v>
      </c>
      <c r="V11" s="526">
        <v>6553628</v>
      </c>
      <c r="W11" s="526">
        <v>6530686</v>
      </c>
      <c r="X11" s="526">
        <v>6502706</v>
      </c>
      <c r="Y11" s="526">
        <v>6469349</v>
      </c>
      <c r="Z11" s="526">
        <v>6432197</v>
      </c>
      <c r="AA11" s="526">
        <v>6389646</v>
      </c>
      <c r="AB11" s="526">
        <v>6344274</v>
      </c>
      <c r="AC11" s="526">
        <v>6294473</v>
      </c>
      <c r="AD11" s="526">
        <v>6242817</v>
      </c>
      <c r="AE11" s="526">
        <v>6188995</v>
      </c>
      <c r="AF11" s="526">
        <v>6133277</v>
      </c>
      <c r="AG11" s="526">
        <v>6076401</v>
      </c>
      <c r="AH11" s="526">
        <v>6018340</v>
      </c>
      <c r="AI11" s="526">
        <v>5958367</v>
      </c>
      <c r="AJ11" s="526">
        <v>5897493</v>
      </c>
      <c r="AK11" s="950">
        <v>5833211.7486221232</v>
      </c>
      <c r="AL11" s="950">
        <v>5766945.9536615089</v>
      </c>
      <c r="AM11" s="950">
        <v>5698660.8847808465</v>
      </c>
      <c r="AN11" s="950">
        <v>5627978.8858075589</v>
      </c>
      <c r="AO11" s="950">
        <v>5555247.5503041781</v>
      </c>
      <c r="AP11" s="950">
        <v>5480448.0123643093</v>
      </c>
      <c r="AQ11" s="950">
        <v>5403566.8793179095</v>
      </c>
      <c r="AR11" s="950">
        <v>5324714.3770240657</v>
      </c>
      <c r="AS11" s="950">
        <v>5243919.9650983922</v>
      </c>
      <c r="AT11" s="950">
        <v>5161229.399681665</v>
      </c>
      <c r="AU11" s="950">
        <v>5076708.3279886656</v>
      </c>
      <c r="AV11" s="950">
        <v>4990407.1572787054</v>
      </c>
      <c r="AW11" s="950">
        <v>4902383.2429936603</v>
      </c>
      <c r="AX11" s="950">
        <v>4812697.709175162</v>
      </c>
      <c r="AY11" s="950">
        <v>4721410.0025995523</v>
      </c>
      <c r="AZ11" s="950">
        <v>4628582.4681218937</v>
      </c>
      <c r="BA11" s="950">
        <v>4534278.9766661227</v>
      </c>
      <c r="BB11" s="950">
        <v>4438564.1675228924</v>
      </c>
      <c r="BC11" s="950">
        <v>4341504.2682203203</v>
      </c>
      <c r="BD11" s="950">
        <v>4243166.6505123265</v>
      </c>
    </row>
    <row r="12" spans="1:56" ht="14.5" x14ac:dyDescent="0.3">
      <c r="A12" s="49"/>
      <c r="B12" s="523"/>
      <c r="C12" s="525" t="s">
        <v>157</v>
      </c>
      <c r="D12" s="528">
        <v>0.36179001290458407</v>
      </c>
      <c r="E12" s="528">
        <v>0.360140030227034</v>
      </c>
      <c r="F12" s="528">
        <v>0.35834001070092059</v>
      </c>
      <c r="G12" s="528">
        <v>0.35638996563458503</v>
      </c>
      <c r="H12" s="528">
        <v>0.35433113847360675</v>
      </c>
      <c r="I12" s="528">
        <v>0.35210653579796286</v>
      </c>
      <c r="J12" s="528">
        <v>0.3496843280319048</v>
      </c>
      <c r="K12" s="528">
        <v>0.34720667581797388</v>
      </c>
      <c r="L12" s="528">
        <v>0.34455286472491692</v>
      </c>
      <c r="M12" s="528">
        <v>0.3418005651273176</v>
      </c>
      <c r="N12" s="528">
        <v>0.33888604206943085</v>
      </c>
      <c r="O12" s="528">
        <v>0.33586655680134114</v>
      </c>
      <c r="P12" s="528">
        <v>0.3326605859155447</v>
      </c>
      <c r="Q12" s="528">
        <v>0.32938884119168899</v>
      </c>
      <c r="R12" s="528">
        <v>0.32600207286239768</v>
      </c>
      <c r="S12" s="528">
        <v>0.32247012945317549</v>
      </c>
      <c r="T12" s="528">
        <v>0.31882722537015556</v>
      </c>
      <c r="U12" s="528">
        <v>0.31509214935611018</v>
      </c>
      <c r="V12" s="528">
        <v>0.31124850600310583</v>
      </c>
      <c r="W12" s="528">
        <v>0.30732969746687167</v>
      </c>
      <c r="X12" s="528">
        <v>0.30330356971278749</v>
      </c>
      <c r="Y12" s="528">
        <v>0.2991567600901926</v>
      </c>
      <c r="Z12" s="528">
        <v>0.29496371305385399</v>
      </c>
      <c r="AA12" s="528">
        <v>0.29065049729461723</v>
      </c>
      <c r="AB12" s="528">
        <v>0.2863346549712617</v>
      </c>
      <c r="AC12" s="528">
        <v>0.28194307336871527</v>
      </c>
      <c r="AD12" s="528">
        <v>0.27758959263300181</v>
      </c>
      <c r="AE12" s="528">
        <v>0.27325838479836195</v>
      </c>
      <c r="AF12" s="528">
        <v>0.26895855076785447</v>
      </c>
      <c r="AG12" s="528">
        <v>0.2647187481389553</v>
      </c>
      <c r="AH12" s="528">
        <v>0.26053558640160723</v>
      </c>
      <c r="AI12" s="528">
        <v>0.25637376355576685</v>
      </c>
      <c r="AJ12" s="528">
        <v>0.25227313442565841</v>
      </c>
      <c r="AK12" s="528">
        <v>0.24812459652122609</v>
      </c>
      <c r="AL12" s="528">
        <v>0.24398759989443242</v>
      </c>
      <c r="AM12" s="528">
        <v>0.23985887867398759</v>
      </c>
      <c r="AN12" s="528">
        <v>0.23572079342343066</v>
      </c>
      <c r="AO12" s="528">
        <v>0.23158619239083222</v>
      </c>
      <c r="AP12" s="528">
        <v>0.22745238988963212</v>
      </c>
      <c r="AQ12" s="528">
        <v>0.2233168936281803</v>
      </c>
      <c r="AR12" s="528">
        <v>0.21918226036309685</v>
      </c>
      <c r="AS12" s="528">
        <v>0.21504761635385172</v>
      </c>
      <c r="AT12" s="528">
        <v>0.21091269184192496</v>
      </c>
      <c r="AU12" s="528">
        <v>0.20677795791317322</v>
      </c>
      <c r="AV12" s="528">
        <v>0.20264319042986534</v>
      </c>
      <c r="AW12" s="528">
        <v>0.19850838178853658</v>
      </c>
      <c r="AX12" s="528">
        <v>0.19437361177074042</v>
      </c>
      <c r="AY12" s="528">
        <v>0.19023882972326278</v>
      </c>
      <c r="AZ12" s="528">
        <v>0.18610404282106197</v>
      </c>
      <c r="BA12" s="528">
        <v>0.18196926316523709</v>
      </c>
      <c r="BB12" s="528">
        <v>0.17783448029673599</v>
      </c>
      <c r="BC12" s="528">
        <v>0.17369969715456035</v>
      </c>
      <c r="BD12" s="528">
        <v>0.16956491526572648</v>
      </c>
    </row>
    <row r="13" spans="1:56" ht="14.5" x14ac:dyDescent="0.3">
      <c r="A13" s="944"/>
      <c r="B13" s="125"/>
      <c r="C13" s="525" t="s">
        <v>158</v>
      </c>
      <c r="D13" s="950">
        <v>8164671.8621851122</v>
      </c>
      <c r="E13" s="950">
        <v>8192768.8480260698</v>
      </c>
      <c r="F13" s="950">
        <v>8420741.6679999996</v>
      </c>
      <c r="G13" s="950">
        <v>8582778.65578763</v>
      </c>
      <c r="H13" s="950">
        <v>8570550.2338962201</v>
      </c>
      <c r="I13" s="950">
        <v>8898167.9697915707</v>
      </c>
      <c r="J13" s="950">
        <v>8852383.2536676507</v>
      </c>
      <c r="K13" s="950">
        <v>9072233.5144789498</v>
      </c>
      <c r="L13" s="950">
        <v>9328486.5192372706</v>
      </c>
      <c r="M13" s="950">
        <v>9424636.7415953707</v>
      </c>
      <c r="N13" s="950">
        <v>9694170.0634401999</v>
      </c>
      <c r="O13" s="950">
        <v>9687259.9095606301</v>
      </c>
      <c r="P13" s="950">
        <v>9797759.7514996193</v>
      </c>
      <c r="Q13" s="950">
        <v>10138245.978708901</v>
      </c>
      <c r="R13" s="950">
        <v>10139537.3923772</v>
      </c>
      <c r="S13" s="950">
        <v>10428882.586715201</v>
      </c>
      <c r="T13" s="950">
        <v>10452507.5830494</v>
      </c>
      <c r="U13" s="950">
        <v>10511839.0164556</v>
      </c>
      <c r="V13" s="950">
        <v>10701475.074029</v>
      </c>
      <c r="W13" s="950">
        <v>10758749.5810245</v>
      </c>
      <c r="X13" s="950">
        <v>10892422.780373899</v>
      </c>
      <c r="Y13" s="950">
        <v>11185977.629895899</v>
      </c>
      <c r="Z13" s="950">
        <v>11302978.5787648</v>
      </c>
      <c r="AA13" s="950">
        <v>11485000.173276501</v>
      </c>
      <c r="AB13" s="950">
        <v>11676283.3002498</v>
      </c>
      <c r="AC13" s="950">
        <v>11553196.2283733</v>
      </c>
      <c r="AD13" s="950">
        <v>11744123.1195221</v>
      </c>
      <c r="AE13" s="950">
        <v>11777189.543891</v>
      </c>
      <c r="AF13" s="950">
        <v>12098068.466034099</v>
      </c>
      <c r="AG13" s="950">
        <v>12164230.5557721</v>
      </c>
      <c r="AH13" s="950">
        <v>12237430.9202007</v>
      </c>
      <c r="AI13" s="950">
        <v>12351922.742751701</v>
      </c>
      <c r="AJ13" s="950">
        <v>12488206.693841301</v>
      </c>
      <c r="AK13" s="526">
        <v>12459201</v>
      </c>
      <c r="AL13" s="526">
        <v>12533145</v>
      </c>
      <c r="AM13" s="526">
        <v>12592775</v>
      </c>
      <c r="AN13" s="526">
        <v>12670481</v>
      </c>
      <c r="AO13" s="526">
        <v>12733611</v>
      </c>
      <c r="AP13" s="526">
        <v>12797206</v>
      </c>
      <c r="AQ13" s="526">
        <v>12848044</v>
      </c>
      <c r="AR13" s="526">
        <v>12898288</v>
      </c>
      <c r="AS13" s="526">
        <v>12947625</v>
      </c>
      <c r="AT13" s="526">
        <v>12992302</v>
      </c>
      <c r="AU13" s="526">
        <v>13030507</v>
      </c>
      <c r="AV13" s="526">
        <v>13070894</v>
      </c>
      <c r="AW13" s="526">
        <v>13108385</v>
      </c>
      <c r="AX13" s="526">
        <v>13144106</v>
      </c>
      <c r="AY13" s="526">
        <v>13175801</v>
      </c>
      <c r="AZ13" s="526">
        <v>13204201</v>
      </c>
      <c r="BA13" s="526">
        <v>13228282</v>
      </c>
      <c r="BB13" s="526">
        <v>13249780</v>
      </c>
      <c r="BC13" s="526">
        <v>13268406</v>
      </c>
      <c r="BD13" s="526">
        <v>13283873</v>
      </c>
    </row>
    <row r="14" spans="1:56" ht="14.5" x14ac:dyDescent="0.3">
      <c r="A14" s="944"/>
      <c r="B14" s="125"/>
      <c r="C14" s="529"/>
      <c r="D14" s="392"/>
      <c r="E14" s="392"/>
      <c r="F14" s="392"/>
      <c r="G14" s="392"/>
      <c r="H14" s="392"/>
      <c r="I14" s="392"/>
      <c r="J14" s="392"/>
      <c r="K14" s="392"/>
      <c r="L14" s="392"/>
      <c r="M14" s="392"/>
      <c r="N14" s="392"/>
      <c r="O14" s="392"/>
      <c r="P14" s="392"/>
      <c r="Q14" s="392"/>
      <c r="R14" s="392"/>
      <c r="S14" s="392"/>
      <c r="T14" s="392"/>
      <c r="U14" s="392"/>
      <c r="V14" s="392"/>
      <c r="W14" s="392"/>
      <c r="X14" s="392"/>
      <c r="Y14" s="392"/>
      <c r="Z14" s="392"/>
      <c r="AA14" s="392"/>
      <c r="AB14" s="392"/>
      <c r="AC14" s="392"/>
      <c r="AD14" s="392"/>
      <c r="AE14" s="392"/>
      <c r="AF14" s="392"/>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2"/>
    </row>
    <row r="15" spans="1:56" ht="14.5" x14ac:dyDescent="0.3">
      <c r="A15" s="49"/>
      <c r="B15" s="523"/>
      <c r="C15" s="524" t="s">
        <v>159</v>
      </c>
      <c r="D15" s="954"/>
      <c r="E15" s="954"/>
      <c r="F15" s="954"/>
      <c r="G15" s="954"/>
      <c r="H15" s="954"/>
      <c r="I15" s="954"/>
      <c r="J15" s="954"/>
      <c r="K15" s="954"/>
      <c r="L15" s="954"/>
      <c r="M15" s="954"/>
      <c r="N15" s="954"/>
      <c r="O15" s="954"/>
      <c r="P15" s="954"/>
      <c r="Q15" s="954"/>
      <c r="R15" s="954"/>
      <c r="S15" s="954"/>
      <c r="T15" s="954"/>
      <c r="U15" s="954"/>
      <c r="V15" s="954"/>
      <c r="W15" s="954"/>
      <c r="X15" s="954"/>
      <c r="Y15" s="954"/>
      <c r="Z15" s="954"/>
      <c r="AA15" s="954"/>
      <c r="AB15" s="954"/>
      <c r="AC15" s="954"/>
      <c r="AD15" s="954"/>
      <c r="AE15" s="954"/>
      <c r="AF15" s="954"/>
      <c r="AG15" s="954"/>
      <c r="AH15" s="954"/>
      <c r="AI15" s="954"/>
      <c r="AJ15" s="954"/>
      <c r="AK15" s="954"/>
      <c r="AL15" s="954"/>
      <c r="AM15" s="954"/>
      <c r="AN15" s="954"/>
      <c r="AO15" s="954"/>
      <c r="AP15" s="954"/>
      <c r="AQ15" s="954"/>
      <c r="AR15" s="954"/>
      <c r="AS15" s="954"/>
      <c r="AT15" s="954"/>
      <c r="AU15" s="954"/>
      <c r="AV15" s="954"/>
      <c r="AW15" s="954"/>
      <c r="AX15" s="954"/>
      <c r="AY15" s="954"/>
      <c r="AZ15" s="954"/>
      <c r="BA15" s="954"/>
      <c r="BB15" s="954"/>
      <c r="BC15" s="954"/>
      <c r="BD15" s="954"/>
    </row>
    <row r="16" spans="1:56" ht="14.5" x14ac:dyDescent="0.3">
      <c r="A16" s="49"/>
      <c r="B16" s="125"/>
      <c r="C16" s="525" t="s">
        <v>160</v>
      </c>
      <c r="D16" s="526">
        <v>110440516.34079282</v>
      </c>
      <c r="E16" s="526">
        <v>110453885.27888137</v>
      </c>
      <c r="F16" s="526">
        <v>101852170.67669086</v>
      </c>
      <c r="G16" s="530">
        <v>106165865.99999999</v>
      </c>
      <c r="H16" s="526">
        <v>109032344.38199997</v>
      </c>
      <c r="I16" s="526">
        <v>112412347.05784196</v>
      </c>
      <c r="J16" s="526">
        <v>115784717.46957722</v>
      </c>
      <c r="K16" s="526">
        <v>118910904.8412558</v>
      </c>
      <c r="L16" s="526">
        <v>121645855.65260467</v>
      </c>
      <c r="M16" s="526">
        <v>125520060.34830059</v>
      </c>
      <c r="N16" s="526">
        <v>129092577.74609415</v>
      </c>
      <c r="O16" s="526">
        <v>131927421.3317237</v>
      </c>
      <c r="P16" s="526">
        <v>135069988.46495035</v>
      </c>
      <c r="Q16" s="526">
        <v>139348762.94369256</v>
      </c>
      <c r="R16" s="526">
        <v>142786305.06732506</v>
      </c>
      <c r="S16" s="526">
        <v>146914875.74991554</v>
      </c>
      <c r="T16" s="526">
        <v>150391845.42598927</v>
      </c>
      <c r="U16" s="526">
        <v>153947794.95423308</v>
      </c>
      <c r="V16" s="526">
        <v>157879293.33044419</v>
      </c>
      <c r="W16" s="526">
        <v>161461771.62526488</v>
      </c>
      <c r="X16" s="526">
        <v>165244334.79990754</v>
      </c>
      <c r="Y16" s="526">
        <v>169410299.43580195</v>
      </c>
      <c r="Z16" s="526">
        <v>173258394.43175781</v>
      </c>
      <c r="AA16" s="526">
        <v>177213146.93254572</v>
      </c>
      <c r="AB16" s="526">
        <v>181161616.94748867</v>
      </c>
      <c r="AC16" s="526">
        <v>184330645.72206077</v>
      </c>
      <c r="AD16" s="526">
        <v>188370514.59844753</v>
      </c>
      <c r="AE16" s="526">
        <v>191872449.8690145</v>
      </c>
      <c r="AF16" s="526">
        <v>196258901.06991079</v>
      </c>
      <c r="AG16" s="526">
        <v>199876007.44810826</v>
      </c>
      <c r="AH16" s="526">
        <v>203457749.84588927</v>
      </c>
      <c r="AI16" s="526">
        <v>207171483.02258462</v>
      </c>
      <c r="AJ16" s="526">
        <v>210912968.46042624</v>
      </c>
      <c r="AK16" s="526">
        <v>215160607.73681274</v>
      </c>
      <c r="AL16" s="526">
        <v>219030108.26761785</v>
      </c>
      <c r="AM16" s="526">
        <v>222901609.69042477</v>
      </c>
      <c r="AN16" s="526">
        <v>226897555.01748562</v>
      </c>
      <c r="AO16" s="526">
        <v>230930731.70328957</v>
      </c>
      <c r="AP16" s="526">
        <v>235075190.72709957</v>
      </c>
      <c r="AQ16" s="526">
        <v>239089697.91017175</v>
      </c>
      <c r="AR16" s="526">
        <v>243142791.20364937</v>
      </c>
      <c r="AS16" s="526">
        <v>247232884.35072887</v>
      </c>
      <c r="AT16" s="526">
        <v>251341331.04783189</v>
      </c>
      <c r="AU16" s="526">
        <v>255450791.80708718</v>
      </c>
      <c r="AV16" s="526">
        <v>259571992.11951008</v>
      </c>
      <c r="AW16" s="526">
        <v>263709070.25304019</v>
      </c>
      <c r="AX16" s="526">
        <v>267862651.96994534</v>
      </c>
      <c r="AY16" s="526">
        <v>272020825.59519911</v>
      </c>
      <c r="AZ16" s="526">
        <v>276182524.80470318</v>
      </c>
      <c r="BA16" s="526">
        <v>280341862.70847183</v>
      </c>
      <c r="BB16" s="526">
        <v>284506851.84155017</v>
      </c>
      <c r="BC16" s="526">
        <v>288674143.52983731</v>
      </c>
      <c r="BD16" s="526">
        <v>292840545.24693012</v>
      </c>
    </row>
    <row r="17" spans="1:56" ht="14.5" x14ac:dyDescent="0.3">
      <c r="A17" s="49"/>
      <c r="B17" s="125"/>
      <c r="C17" s="525" t="s">
        <v>161</v>
      </c>
      <c r="D17" s="526"/>
      <c r="E17" s="623">
        <v>1.2105102847670362E-4</v>
      </c>
      <c r="F17" s="623">
        <v>-7.7876070909342163E-2</v>
      </c>
      <c r="G17" s="623">
        <v>4.2352512417256946E-2</v>
      </c>
      <c r="H17" s="623">
        <v>2.6999999999999899E-2</v>
      </c>
      <c r="I17" s="623">
        <v>3.0999999999999878E-2</v>
      </c>
      <c r="J17" s="623">
        <v>3.0000000000000037E-2</v>
      </c>
      <c r="K17" s="623">
        <v>2.6999999999999951E-2</v>
      </c>
      <c r="L17" s="623">
        <v>2.2999999999999916E-2</v>
      </c>
      <c r="M17" s="623">
        <v>3.1848225941702696E-2</v>
      </c>
      <c r="N17" s="623">
        <v>2.8461724666800917E-2</v>
      </c>
      <c r="O17" s="623">
        <v>2.1959772088564766E-2</v>
      </c>
      <c r="P17" s="623">
        <v>2.3820424150676402E-2</v>
      </c>
      <c r="Q17" s="623">
        <v>3.1678202740444431E-2</v>
      </c>
      <c r="R17" s="623">
        <v>2.46686231798234E-2</v>
      </c>
      <c r="S17" s="623">
        <v>2.8914332369927402E-2</v>
      </c>
      <c r="T17" s="623">
        <v>2.3666559688566621E-2</v>
      </c>
      <c r="U17" s="623">
        <v>2.3644563428100032E-2</v>
      </c>
      <c r="V17" s="623">
        <v>2.553786741394963E-2</v>
      </c>
      <c r="W17" s="623">
        <v>2.2691248606760143E-2</v>
      </c>
      <c r="X17" s="623">
        <v>2.3426989166337061E-2</v>
      </c>
      <c r="Y17" s="623">
        <v>2.5210937736164583E-2</v>
      </c>
      <c r="Z17" s="623">
        <v>2.2714646091597963E-2</v>
      </c>
      <c r="AA17" s="623">
        <v>2.2825748292072491E-2</v>
      </c>
      <c r="AB17" s="623">
        <v>2.2280909082021228E-2</v>
      </c>
      <c r="AC17" s="623">
        <v>1.7492826725490636E-2</v>
      </c>
      <c r="AD17" s="623">
        <v>2.1916425565384295E-2</v>
      </c>
      <c r="AE17" s="623">
        <v>1.8590676348854761E-2</v>
      </c>
      <c r="AF17" s="623">
        <v>2.286128729732069E-2</v>
      </c>
      <c r="AG17" s="623">
        <v>1.8430279383399691E-2</v>
      </c>
      <c r="AH17" s="623">
        <v>1.79198216109599E-2</v>
      </c>
      <c r="AI17" s="623">
        <v>1.8253092740425594E-2</v>
      </c>
      <c r="AJ17" s="623">
        <v>1.8059847732198486E-2</v>
      </c>
      <c r="AK17" s="623">
        <v>2.0139298723034566E-2</v>
      </c>
      <c r="AL17" s="623">
        <v>1.7984242429442909E-2</v>
      </c>
      <c r="AM17" s="623">
        <v>1.7675658627153683E-2</v>
      </c>
      <c r="AN17" s="623">
        <v>1.7926946927887023E-2</v>
      </c>
      <c r="AO17" s="623">
        <v>1.7775320168139885E-2</v>
      </c>
      <c r="AP17" s="623">
        <v>1.79467626211612E-2</v>
      </c>
      <c r="AQ17" s="623">
        <v>1.7077545149086635E-2</v>
      </c>
      <c r="AR17" s="623">
        <v>1.6952187103437769E-2</v>
      </c>
      <c r="AS17" s="623">
        <v>1.6821774262078596E-2</v>
      </c>
      <c r="AT17" s="623">
        <v>1.6617719393973225E-2</v>
      </c>
      <c r="AU17" s="623">
        <v>1.6350119346162113E-2</v>
      </c>
      <c r="AV17" s="623">
        <v>1.6133049669836908E-2</v>
      </c>
      <c r="AW17" s="623">
        <v>1.5938075983272425E-2</v>
      </c>
      <c r="AX17" s="623">
        <v>1.5750621368159932E-2</v>
      </c>
      <c r="AY17" s="623">
        <v>1.5523528923025654E-2</v>
      </c>
      <c r="AZ17" s="623">
        <v>1.529919336285376E-2</v>
      </c>
      <c r="BA17" s="623">
        <v>1.5060105293446285E-2</v>
      </c>
      <c r="BB17" s="623">
        <v>1.4856821927481943E-2</v>
      </c>
      <c r="BC17" s="623">
        <v>1.4647421182699604E-2</v>
      </c>
      <c r="BD17" s="623">
        <v>1.4432888467761857E-2</v>
      </c>
    </row>
    <row r="18" spans="1:56" ht="14.5" x14ac:dyDescent="0.3">
      <c r="A18" s="944"/>
      <c r="B18" s="125"/>
      <c r="C18" s="529"/>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2"/>
    </row>
    <row r="19" spans="1:56" ht="14.5" x14ac:dyDescent="0.3">
      <c r="A19" s="49"/>
      <c r="B19" s="523"/>
      <c r="C19" s="524" t="s">
        <v>162</v>
      </c>
      <c r="D19" s="954"/>
      <c r="E19" s="954"/>
      <c r="F19" s="954"/>
      <c r="G19" s="954"/>
      <c r="H19" s="954"/>
      <c r="I19" s="954"/>
      <c r="J19" s="954"/>
      <c r="K19" s="954"/>
      <c r="L19" s="954"/>
      <c r="M19" s="954"/>
      <c r="N19" s="954"/>
      <c r="O19" s="954"/>
      <c r="P19" s="954"/>
      <c r="Q19" s="954"/>
      <c r="R19" s="954"/>
      <c r="S19" s="954"/>
      <c r="T19" s="954"/>
      <c r="U19" s="954"/>
      <c r="V19" s="954"/>
      <c r="W19" s="954"/>
      <c r="X19" s="954"/>
      <c r="Y19" s="954"/>
      <c r="Z19" s="954"/>
      <c r="AA19" s="954"/>
      <c r="AB19" s="954"/>
      <c r="AC19" s="954"/>
      <c r="AD19" s="954"/>
      <c r="AE19" s="954"/>
      <c r="AF19" s="954"/>
      <c r="AG19" s="954"/>
      <c r="AH19" s="954"/>
      <c r="AI19" s="954"/>
      <c r="AJ19" s="954"/>
      <c r="AK19" s="954"/>
      <c r="AL19" s="954"/>
      <c r="AM19" s="954"/>
      <c r="AN19" s="954"/>
      <c r="AO19" s="954"/>
      <c r="AP19" s="954"/>
      <c r="AQ19" s="954"/>
      <c r="AR19" s="954"/>
      <c r="AS19" s="954"/>
      <c r="AT19" s="954"/>
      <c r="AU19" s="954"/>
      <c r="AV19" s="954"/>
      <c r="AW19" s="954"/>
      <c r="AX19" s="954"/>
      <c r="AY19" s="954"/>
      <c r="AZ19" s="954"/>
      <c r="BA19" s="954"/>
      <c r="BB19" s="954"/>
      <c r="BC19" s="954"/>
      <c r="BD19" s="954"/>
    </row>
    <row r="20" spans="1:56" ht="14.5" x14ac:dyDescent="0.3">
      <c r="A20" s="49"/>
      <c r="B20" s="125"/>
      <c r="C20" s="525" t="s">
        <v>160</v>
      </c>
      <c r="D20" s="526">
        <v>110440516.34079282</v>
      </c>
      <c r="E20" s="526">
        <v>110453885.27888137</v>
      </c>
      <c r="F20" s="526">
        <v>101852170.67669086</v>
      </c>
      <c r="G20" s="526">
        <v>106165865.99999999</v>
      </c>
      <c r="H20" s="526">
        <v>109032344.38199997</v>
      </c>
      <c r="I20" s="526">
        <v>112412347.05784196</v>
      </c>
      <c r="J20" s="526">
        <v>115784717.46957722</v>
      </c>
      <c r="K20" s="526">
        <v>118910904.8412558</v>
      </c>
      <c r="L20" s="526">
        <v>121645855.65260467</v>
      </c>
      <c r="M20" s="526">
        <v>126183562.99026848</v>
      </c>
      <c r="N20" s="526">
        <v>131193975.58733518</v>
      </c>
      <c r="O20" s="526">
        <v>135061157.17287022</v>
      </c>
      <c r="P20" s="526">
        <v>139634385.99509183</v>
      </c>
      <c r="Q20" s="526">
        <v>145425877.07259119</v>
      </c>
      <c r="R20" s="526">
        <v>151086930.41669226</v>
      </c>
      <c r="S20" s="526">
        <v>158424262.22969881</v>
      </c>
      <c r="T20" s="526">
        <v>164688548.38544574</v>
      </c>
      <c r="U20" s="526">
        <v>171636873.51237479</v>
      </c>
      <c r="V20" s="526">
        <v>179407921.52259108</v>
      </c>
      <c r="W20" s="526">
        <v>186754640.47394875</v>
      </c>
      <c r="X20" s="526">
        <v>194913399.66525885</v>
      </c>
      <c r="Y20" s="526">
        <v>204019828.20392865</v>
      </c>
      <c r="Z20" s="526">
        <v>212606454.56931537</v>
      </c>
      <c r="AA20" s="526">
        <v>222057325.73941287</v>
      </c>
      <c r="AB20" s="526">
        <v>231842040.63934517</v>
      </c>
      <c r="AC20" s="526">
        <v>240866643.93940598</v>
      </c>
      <c r="AD20" s="526">
        <v>251650930.86432067</v>
      </c>
      <c r="AE20" s="526">
        <v>261819950.96059179</v>
      </c>
      <c r="AF20" s="526">
        <v>274420582.87190092</v>
      </c>
      <c r="AG20" s="526">
        <v>285553660.76379412</v>
      </c>
      <c r="AH20" s="526">
        <v>297589137.54140568</v>
      </c>
      <c r="AI20" s="526">
        <v>310413703.84900421</v>
      </c>
      <c r="AJ20" s="526">
        <v>323832891.48467642</v>
      </c>
      <c r="AK20" s="526">
        <v>337832190.74096501</v>
      </c>
      <c r="AL20" s="526">
        <v>352554739.50567406</v>
      </c>
      <c r="AM20" s="526">
        <v>367943291.36588675</v>
      </c>
      <c r="AN20" s="526">
        <v>383870100.60152519</v>
      </c>
      <c r="AO20" s="526">
        <v>400778107.80663836</v>
      </c>
      <c r="AP20" s="526">
        <v>418400252.38680464</v>
      </c>
      <c r="AQ20" s="526">
        <v>437014708.02723891</v>
      </c>
      <c r="AR20" s="526">
        <v>456242898.21929765</v>
      </c>
      <c r="AS20" s="526">
        <v>476436458.62456775</v>
      </c>
      <c r="AT20" s="526">
        <v>497610457.46323913</v>
      </c>
      <c r="AU20" s="526">
        <v>519769596.88561863</v>
      </c>
      <c r="AV20" s="526">
        <v>542937086.21803451</v>
      </c>
      <c r="AW20" s="526">
        <v>567232608.88552785</v>
      </c>
      <c r="AX20" s="526">
        <v>592665248.01249254</v>
      </c>
      <c r="AY20" s="526">
        <v>619317124.06076074</v>
      </c>
      <c r="AZ20" s="526">
        <v>647212037.74295354</v>
      </c>
      <c r="BA20" s="526">
        <v>676422837.81772423</v>
      </c>
      <c r="BB20" s="526">
        <v>706994937.43843496</v>
      </c>
      <c r="BC20" s="526">
        <v>739027536.67091727</v>
      </c>
      <c r="BD20" s="526">
        <v>772579357.06058848</v>
      </c>
    </row>
    <row r="21" spans="1:56" ht="14.5" x14ac:dyDescent="0.3">
      <c r="A21" s="49"/>
      <c r="B21" s="125"/>
      <c r="C21" s="525" t="s">
        <v>161</v>
      </c>
      <c r="D21" s="526"/>
      <c r="E21" s="526">
        <v>1.2105102847670362E-4</v>
      </c>
      <c r="F21" s="526">
        <v>-7.7876070909342163E-2</v>
      </c>
      <c r="G21" s="526">
        <v>4.2352512417256946E-2</v>
      </c>
      <c r="H21" s="526">
        <v>2.6999999999999899E-2</v>
      </c>
      <c r="I21" s="526">
        <v>3.0999999999999878E-2</v>
      </c>
      <c r="J21" s="526">
        <v>3.0000000000000037E-2</v>
      </c>
      <c r="K21" s="526">
        <v>2.6999999999999951E-2</v>
      </c>
      <c r="L21" s="526">
        <v>2.2999999999999916E-2</v>
      </c>
      <c r="M21" s="526">
        <v>3.7302605282522404E-2</v>
      </c>
      <c r="N21" s="526">
        <v>3.9707331750119541E-2</v>
      </c>
      <c r="O21" s="526">
        <v>2.9476822912197581E-2</v>
      </c>
      <c r="P21" s="526">
        <v>3.3860429733829037E-2</v>
      </c>
      <c r="Q21" s="526">
        <v>4.1476109457042519E-2</v>
      </c>
      <c r="R21" s="526">
        <v>3.8927414144287929E-2</v>
      </c>
      <c r="S21" s="526">
        <v>4.856364341224257E-2</v>
      </c>
      <c r="T21" s="526">
        <v>3.9541204532575827E-2</v>
      </c>
      <c r="U21" s="526">
        <v>4.2190699930554985E-2</v>
      </c>
      <c r="V21" s="526">
        <v>4.5276098609754921E-2</v>
      </c>
      <c r="W21" s="526">
        <v>4.0949802489253923E-2</v>
      </c>
      <c r="X21" s="526">
        <v>4.368704933170426E-2</v>
      </c>
      <c r="Y21" s="526">
        <v>4.6720382253395656E-2</v>
      </c>
      <c r="Z21" s="526">
        <v>4.2087214958361444E-2</v>
      </c>
      <c r="AA21" s="526">
        <v>4.4452418856438185E-2</v>
      </c>
      <c r="AB21" s="526">
        <v>4.4063913979648678E-2</v>
      </c>
      <c r="AC21" s="526">
        <v>3.8925655050196656E-2</v>
      </c>
      <c r="AD21" s="526">
        <v>4.4772853345470605E-2</v>
      </c>
      <c r="AE21" s="526">
        <v>4.0409229011570041E-2</v>
      </c>
      <c r="AF21" s="526">
        <v>4.8127088348610028E-2</v>
      </c>
      <c r="AG21" s="526">
        <v>4.056939816752065E-2</v>
      </c>
      <c r="AH21" s="526">
        <v>4.2147863716470217E-2</v>
      </c>
      <c r="AI21" s="526">
        <v>4.3094873736156183E-2</v>
      </c>
      <c r="AJ21" s="526">
        <v>4.3230010367711708E-2</v>
      </c>
      <c r="AK21" s="526">
        <v>4.3230010367711708E-2</v>
      </c>
      <c r="AL21" s="526">
        <v>4.357947279215206E-2</v>
      </c>
      <c r="AM21" s="526">
        <v>4.3648688092491332E-2</v>
      </c>
      <c r="AN21" s="526">
        <v>4.3286043282688133E-2</v>
      </c>
      <c r="AO21" s="526">
        <v>4.4046168687319795E-2</v>
      </c>
      <c r="AP21" s="526">
        <v>4.3969828283805343E-2</v>
      </c>
      <c r="AQ21" s="526">
        <v>4.448958989447608E-2</v>
      </c>
      <c r="AR21" s="526">
        <v>4.3998954357527709E-2</v>
      </c>
      <c r="AS21" s="526">
        <v>4.4260547362128637E-2</v>
      </c>
      <c r="AT21" s="526">
        <v>4.4442440235994952E-2</v>
      </c>
      <c r="AU21" s="526">
        <v>4.4531096744518169E-2</v>
      </c>
      <c r="AV21" s="526">
        <v>4.4572613464181073E-2</v>
      </c>
      <c r="AW21" s="526">
        <v>4.4748320356470722E-2</v>
      </c>
      <c r="AX21" s="526">
        <v>4.4836348842732361E-2</v>
      </c>
      <c r="AY21" s="526">
        <v>4.4969527296640777E-2</v>
      </c>
      <c r="AZ21" s="526">
        <v>4.504140544232061E-2</v>
      </c>
      <c r="BA21" s="526">
        <v>4.5133276841757483E-2</v>
      </c>
      <c r="BB21" s="526">
        <v>4.5196728897182896E-2</v>
      </c>
      <c r="BC21" s="526">
        <v>4.5308102698078626E-2</v>
      </c>
      <c r="BD21" s="526">
        <v>4.5399959710312444E-2</v>
      </c>
    </row>
    <row r="22" spans="1:56" ht="14.5" x14ac:dyDescent="0.3">
      <c r="A22" s="944"/>
      <c r="B22" s="125"/>
      <c r="C22" s="529"/>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2"/>
    </row>
    <row r="23" spans="1:56" ht="14.5" x14ac:dyDescent="0.3">
      <c r="A23" s="49"/>
      <c r="B23" s="523"/>
      <c r="C23" s="524" t="s">
        <v>163</v>
      </c>
      <c r="D23" s="954"/>
      <c r="E23" s="954"/>
      <c r="F23" s="954"/>
      <c r="G23" s="954"/>
      <c r="H23" s="954"/>
      <c r="I23" s="954"/>
      <c r="J23" s="954"/>
      <c r="K23" s="954"/>
      <c r="L23" s="954"/>
      <c r="M23" s="954"/>
      <c r="N23" s="954"/>
      <c r="O23" s="954"/>
      <c r="P23" s="954"/>
      <c r="Q23" s="954"/>
      <c r="R23" s="954"/>
      <c r="S23" s="954"/>
      <c r="T23" s="954"/>
      <c r="U23" s="954"/>
      <c r="V23" s="954"/>
      <c r="W23" s="954"/>
      <c r="X23" s="954"/>
      <c r="Y23" s="954"/>
      <c r="Z23" s="954"/>
      <c r="AA23" s="954"/>
      <c r="AB23" s="954"/>
      <c r="AC23" s="954"/>
      <c r="AD23" s="954"/>
      <c r="AE23" s="954"/>
      <c r="AF23" s="954"/>
      <c r="AG23" s="954"/>
      <c r="AH23" s="954"/>
      <c r="AI23" s="954"/>
      <c r="AJ23" s="954"/>
      <c r="AK23" s="954"/>
      <c r="AL23" s="954"/>
      <c r="AM23" s="954"/>
      <c r="AN23" s="954"/>
      <c r="AO23" s="954"/>
      <c r="AP23" s="954"/>
      <c r="AQ23" s="954"/>
      <c r="AR23" s="954"/>
      <c r="AS23" s="954"/>
      <c r="AT23" s="954"/>
      <c r="AU23" s="954"/>
      <c r="AV23" s="954"/>
      <c r="AW23" s="954"/>
      <c r="AX23" s="954"/>
      <c r="AY23" s="954"/>
      <c r="AZ23" s="954"/>
      <c r="BA23" s="954"/>
      <c r="BB23" s="954"/>
      <c r="BC23" s="954"/>
      <c r="BD23" s="954"/>
    </row>
    <row r="24" spans="1:56" ht="14.5" x14ac:dyDescent="0.3">
      <c r="A24" s="49"/>
      <c r="B24" s="125"/>
      <c r="C24" s="525" t="s">
        <v>160</v>
      </c>
      <c r="D24" s="526">
        <v>110440516.34079282</v>
      </c>
      <c r="E24" s="526">
        <v>110453885.27888137</v>
      </c>
      <c r="F24" s="526">
        <v>101852170.67669086</v>
      </c>
      <c r="G24" s="526">
        <v>106165865.99999999</v>
      </c>
      <c r="H24" s="526">
        <v>109032344.38199997</v>
      </c>
      <c r="I24" s="526">
        <v>112412347.05784196</v>
      </c>
      <c r="J24" s="526">
        <v>115784717.46957722</v>
      </c>
      <c r="K24" s="526">
        <v>118910904.8412558</v>
      </c>
      <c r="L24" s="526">
        <v>121645855.65260467</v>
      </c>
      <c r="M24" s="526">
        <v>123980215.14809938</v>
      </c>
      <c r="N24" s="526">
        <v>126281672.28276457</v>
      </c>
      <c r="O24" s="526">
        <v>128262388.28510691</v>
      </c>
      <c r="P24" s="526">
        <v>130151862.32447936</v>
      </c>
      <c r="Q24" s="526">
        <v>132936414.88427544</v>
      </c>
      <c r="R24" s="526">
        <v>135473944.75165266</v>
      </c>
      <c r="S24" s="526">
        <v>138003900.19606236</v>
      </c>
      <c r="T24" s="526">
        <v>140438969.01560619</v>
      </c>
      <c r="U24" s="526">
        <v>142623245.28233594</v>
      </c>
      <c r="V24" s="526">
        <v>145021209.7391898</v>
      </c>
      <c r="W24" s="526">
        <v>147340027.16671008</v>
      </c>
      <c r="X24" s="526">
        <v>149601310.48729944</v>
      </c>
      <c r="Y24" s="526">
        <v>152090857.87181428</v>
      </c>
      <c r="Z24" s="526">
        <v>154601760.75108746</v>
      </c>
      <c r="AA24" s="526">
        <v>156945660.91060784</v>
      </c>
      <c r="AB24" s="526">
        <v>159310225.8698099</v>
      </c>
      <c r="AC24" s="526">
        <v>161050219.93043277</v>
      </c>
      <c r="AD24" s="526">
        <v>163393981.78364742</v>
      </c>
      <c r="AE24" s="526">
        <v>165484296.85837981</v>
      </c>
      <c r="AF24" s="526">
        <v>167851044.69485354</v>
      </c>
      <c r="AG24" s="526">
        <v>170101117.32687795</v>
      </c>
      <c r="AH24" s="526">
        <v>172040235.42772919</v>
      </c>
      <c r="AI24" s="526">
        <v>174042103.01801601</v>
      </c>
      <c r="AJ24" s="526">
        <v>176069557.80449656</v>
      </c>
      <c r="AK24" s="526">
        <v>178630007.68065706</v>
      </c>
      <c r="AL24" s="526">
        <v>180731665.28141156</v>
      </c>
      <c r="AM24" s="526">
        <v>182863917.07071105</v>
      </c>
      <c r="AN24" s="526">
        <v>185048811.61538979</v>
      </c>
      <c r="AO24" s="526">
        <v>187284372.12328911</v>
      </c>
      <c r="AP24" s="526">
        <v>189573503.1934613</v>
      </c>
      <c r="AQ24" s="526">
        <v>191763633.16033545</v>
      </c>
      <c r="AR24" s="526">
        <v>193956711.10284746</v>
      </c>
      <c r="AS24" s="526">
        <v>196166233.4309952</v>
      </c>
      <c r="AT24" s="526">
        <v>198380676.26243931</v>
      </c>
      <c r="AU24" s="526">
        <v>200585908.24146709</v>
      </c>
      <c r="AV24" s="526">
        <v>202778290.0452306</v>
      </c>
      <c r="AW24" s="526">
        <v>204977254.9207342</v>
      </c>
      <c r="AX24" s="526">
        <v>207176059.50156051</v>
      </c>
      <c r="AY24" s="526">
        <v>209369955.30763075</v>
      </c>
      <c r="AZ24" s="526">
        <v>211555176.871975</v>
      </c>
      <c r="BA24" s="526">
        <v>213729573.5189845</v>
      </c>
      <c r="BB24" s="526">
        <v>215896483.91375464</v>
      </c>
      <c r="BC24" s="526">
        <v>218055938.21150717</v>
      </c>
      <c r="BD24" s="526">
        <v>220206000.57232735</v>
      </c>
    </row>
    <row r="25" spans="1:56" ht="14.5" x14ac:dyDescent="0.3">
      <c r="A25" s="49"/>
      <c r="B25" s="125"/>
      <c r="C25" s="525" t="s">
        <v>161</v>
      </c>
      <c r="D25" s="526"/>
      <c r="E25" s="526">
        <v>1.2105102847670362E-4</v>
      </c>
      <c r="F25" s="526">
        <v>-7.7876070909342163E-2</v>
      </c>
      <c r="G25" s="526">
        <v>4.2352512417256946E-2</v>
      </c>
      <c r="H25" s="526">
        <v>2.7000000000000003E-2</v>
      </c>
      <c r="I25" s="526">
        <v>3.1E-2</v>
      </c>
      <c r="J25" s="526">
        <v>0.03</v>
      </c>
      <c r="K25" s="526">
        <v>2.7000000000000003E-2</v>
      </c>
      <c r="L25" s="526">
        <v>2.3E-2</v>
      </c>
      <c r="M25" s="526">
        <v>1.9189798805486279E-2</v>
      </c>
      <c r="N25" s="526">
        <v>1.8563100022983555E-2</v>
      </c>
      <c r="O25" s="526">
        <v>1.5684904757257413E-2</v>
      </c>
      <c r="P25" s="526">
        <v>1.4731318078784158E-2</v>
      </c>
      <c r="Q25" s="526">
        <v>2.1394642458929698E-2</v>
      </c>
      <c r="R25" s="526">
        <v>1.9088297736825542E-2</v>
      </c>
      <c r="S25" s="526">
        <v>1.8674848872582545E-2</v>
      </c>
      <c r="T25" s="526">
        <v>1.7644927542513896E-2</v>
      </c>
      <c r="U25" s="526">
        <v>1.5553206364588196E-2</v>
      </c>
      <c r="V25" s="526">
        <v>1.6813279294738137E-2</v>
      </c>
      <c r="W25" s="526">
        <v>1.5989505477788286E-2</v>
      </c>
      <c r="X25" s="526">
        <v>1.5347379555121138E-2</v>
      </c>
      <c r="Y25" s="526">
        <v>1.6641213746093418E-2</v>
      </c>
      <c r="Z25" s="526">
        <v>1.6509229511937215E-2</v>
      </c>
      <c r="AA25" s="526">
        <v>1.5160889165383643E-2</v>
      </c>
      <c r="AB25" s="526">
        <v>1.5066137830652474E-2</v>
      </c>
      <c r="AC25" s="526">
        <v>1.0922048795818052E-2</v>
      </c>
      <c r="AD25" s="526">
        <v>1.455298759745288E-2</v>
      </c>
      <c r="AE25" s="526">
        <v>1.2793097101337761E-2</v>
      </c>
      <c r="AF25" s="526">
        <v>1.4301948169131619E-2</v>
      </c>
      <c r="AG25" s="526">
        <v>1.3405175023574816E-2</v>
      </c>
      <c r="AH25" s="526">
        <v>1.1399796375969166E-2</v>
      </c>
      <c r="AI25" s="526">
        <v>1.1636043076259282E-2</v>
      </c>
      <c r="AJ25" s="526">
        <v>1.1649220225008826E-2</v>
      </c>
      <c r="AK25" s="526">
        <v>1.4542263342329496E-2</v>
      </c>
      <c r="AL25" s="526">
        <v>1.1765422999430945E-2</v>
      </c>
      <c r="AM25" s="526">
        <v>1.1797887138257759E-2</v>
      </c>
      <c r="AN25" s="526">
        <v>1.1948199402476484E-2</v>
      </c>
      <c r="AO25" s="526">
        <v>1.2080923343327324E-2</v>
      </c>
      <c r="AP25" s="526">
        <v>1.2222755397152063E-2</v>
      </c>
      <c r="AQ25" s="526">
        <v>1.1552932925647887E-2</v>
      </c>
      <c r="AR25" s="526">
        <v>1.1436359993650861E-2</v>
      </c>
      <c r="AS25" s="526">
        <v>1.1391832309303915E-2</v>
      </c>
      <c r="AT25" s="526">
        <v>1.1288603510976214E-2</v>
      </c>
      <c r="AU25" s="526">
        <v>1.1116163230084238E-2</v>
      </c>
      <c r="AV25" s="526">
        <v>1.0929889457260936E-2</v>
      </c>
      <c r="AW25" s="526">
        <v>1.0844182949827235E-2</v>
      </c>
      <c r="AX25" s="526">
        <v>1.0727066189253939E-2</v>
      </c>
      <c r="AY25" s="526">
        <v>1.0589523767121006E-2</v>
      </c>
      <c r="AZ25" s="526">
        <v>1.0437130586064622E-2</v>
      </c>
      <c r="BA25" s="526">
        <v>1.0278153809137562E-2</v>
      </c>
      <c r="BB25" s="526">
        <v>1.0138561356263091E-2</v>
      </c>
      <c r="BC25" s="526">
        <v>1.000226709859341E-2</v>
      </c>
      <c r="BD25" s="526">
        <v>9.8601412942705795E-3</v>
      </c>
    </row>
    <row r="26" spans="1:56" ht="14.5" x14ac:dyDescent="0.3">
      <c r="A26" s="944"/>
      <c r="B26" s="125"/>
      <c r="C26" s="529"/>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c r="AE26" s="392"/>
      <c r="AF26" s="392"/>
      <c r="AG26" s="392"/>
      <c r="AH26" s="392"/>
      <c r="AI26" s="392"/>
      <c r="AJ26" s="392"/>
      <c r="AK26" s="392"/>
      <c r="AL26" s="392"/>
      <c r="AM26" s="392"/>
      <c r="AN26" s="392"/>
      <c r="AO26" s="392"/>
      <c r="AP26" s="392"/>
      <c r="AQ26" s="392"/>
      <c r="AR26" s="392"/>
      <c r="AS26" s="392"/>
      <c r="AT26" s="392"/>
      <c r="AU26" s="392"/>
      <c r="AV26" s="392"/>
      <c r="AW26" s="392"/>
      <c r="AX26" s="392"/>
      <c r="AY26" s="392"/>
      <c r="AZ26" s="392"/>
      <c r="BA26" s="392"/>
      <c r="BB26" s="392"/>
      <c r="BC26" s="392"/>
      <c r="BD26" s="392"/>
    </row>
    <row r="27" spans="1:56" ht="14.5" x14ac:dyDescent="0.3">
      <c r="A27" s="49"/>
      <c r="B27" s="523"/>
      <c r="C27" s="524" t="s">
        <v>164</v>
      </c>
      <c r="D27" s="1095"/>
      <c r="E27" s="1095"/>
      <c r="F27" s="1095"/>
      <c r="G27" s="1095"/>
      <c r="H27" s="954"/>
      <c r="I27" s="954"/>
      <c r="J27" s="954"/>
      <c r="K27" s="954"/>
      <c r="L27" s="954"/>
      <c r="M27" s="954"/>
      <c r="N27" s="954"/>
      <c r="O27" s="954"/>
      <c r="P27" s="954"/>
      <c r="Q27" s="954"/>
      <c r="R27" s="954"/>
      <c r="S27" s="954"/>
      <c r="T27" s="954"/>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R27" s="954"/>
      <c r="AS27" s="954"/>
      <c r="AT27" s="954"/>
      <c r="AU27" s="954"/>
      <c r="AV27" s="954"/>
      <c r="AW27" s="954"/>
      <c r="AX27" s="954"/>
      <c r="AY27" s="954"/>
      <c r="AZ27" s="954"/>
      <c r="BA27" s="954"/>
      <c r="BB27" s="954"/>
      <c r="BC27" s="954"/>
      <c r="BD27" s="954"/>
    </row>
    <row r="28" spans="1:56" ht="14.5" x14ac:dyDescent="0.3">
      <c r="A28" s="49"/>
      <c r="B28" s="523"/>
      <c r="C28" s="954"/>
      <c r="D28" s="954"/>
      <c r="E28" s="954"/>
      <c r="F28" s="954"/>
      <c r="G28" s="954"/>
      <c r="H28" s="954"/>
      <c r="I28" s="954"/>
      <c r="J28" s="954"/>
      <c r="K28" s="954"/>
      <c r="L28" s="954"/>
      <c r="M28" s="954"/>
      <c r="N28" s="954"/>
      <c r="O28" s="954"/>
      <c r="P28" s="954"/>
      <c r="Q28" s="954"/>
      <c r="R28" s="954"/>
      <c r="S28" s="954"/>
      <c r="T28" s="954"/>
      <c r="U28" s="954"/>
      <c r="V28" s="954"/>
      <c r="W28" s="954"/>
      <c r="X28" s="954"/>
      <c r="Y28" s="954"/>
      <c r="Z28" s="954"/>
      <c r="AA28" s="954"/>
      <c r="AB28" s="954"/>
      <c r="AC28" s="954"/>
      <c r="AD28" s="954"/>
      <c r="AE28" s="954"/>
      <c r="AF28" s="954"/>
      <c r="AG28" s="954"/>
      <c r="AH28" s="954"/>
      <c r="AI28" s="954"/>
      <c r="AJ28" s="954"/>
      <c r="AK28" s="954"/>
      <c r="AL28" s="954"/>
      <c r="AM28" s="954"/>
      <c r="AN28" s="954"/>
      <c r="AO28" s="954"/>
      <c r="AP28" s="954"/>
      <c r="AQ28" s="954"/>
      <c r="AR28" s="954"/>
      <c r="AS28" s="954"/>
      <c r="AT28" s="954"/>
      <c r="AU28" s="954"/>
      <c r="AV28" s="954"/>
      <c r="AW28" s="954"/>
      <c r="AX28" s="954"/>
      <c r="AY28" s="954"/>
      <c r="AZ28" s="954"/>
      <c r="BA28" s="954"/>
      <c r="BB28" s="954"/>
      <c r="BC28" s="954"/>
      <c r="BD28" s="954"/>
    </row>
    <row r="29" spans="1:56" ht="14.5" x14ac:dyDescent="0.3">
      <c r="A29" s="49"/>
      <c r="B29" s="125"/>
      <c r="C29" s="524" t="s">
        <v>165</v>
      </c>
      <c r="D29" s="526"/>
      <c r="E29" s="526"/>
      <c r="F29" s="526"/>
      <c r="G29" s="526"/>
      <c r="H29" s="526"/>
      <c r="I29" s="526"/>
      <c r="J29" s="526"/>
      <c r="K29" s="526"/>
      <c r="L29" s="526"/>
      <c r="M29" s="526"/>
      <c r="N29" s="526"/>
      <c r="O29" s="526"/>
      <c r="P29" s="526"/>
      <c r="Q29" s="526"/>
      <c r="R29" s="526"/>
      <c r="S29" s="526"/>
      <c r="T29" s="526"/>
      <c r="U29" s="526"/>
      <c r="V29" s="526"/>
      <c r="W29" s="526"/>
      <c r="X29" s="526"/>
      <c r="Y29" s="526"/>
      <c r="Z29" s="526"/>
      <c r="AA29" s="526"/>
      <c r="AB29" s="526"/>
      <c r="AC29" s="526"/>
      <c r="AD29" s="526"/>
      <c r="AE29" s="526"/>
      <c r="AF29" s="526"/>
      <c r="AG29" s="526"/>
      <c r="AH29" s="526"/>
      <c r="AI29" s="526"/>
      <c r="AJ29" s="526"/>
      <c r="AK29" s="526"/>
      <c r="AL29" s="526"/>
      <c r="AM29" s="526"/>
      <c r="AN29" s="526"/>
      <c r="AO29" s="526"/>
      <c r="AP29" s="526"/>
      <c r="AQ29" s="526"/>
      <c r="AR29" s="526"/>
      <c r="AS29" s="526"/>
      <c r="AT29" s="526"/>
      <c r="AU29" s="526"/>
      <c r="AV29" s="526"/>
      <c r="AW29" s="526"/>
      <c r="AX29" s="526"/>
      <c r="AY29" s="526"/>
      <c r="AZ29" s="526"/>
      <c r="BA29" s="526"/>
      <c r="BB29" s="526"/>
      <c r="BC29" s="526"/>
      <c r="BD29" s="526"/>
    </row>
    <row r="30" spans="1:56" ht="14.5" x14ac:dyDescent="0.3">
      <c r="A30" s="49"/>
      <c r="B30" s="125"/>
      <c r="C30" s="525" t="s">
        <v>166</v>
      </c>
      <c r="D30" s="526">
        <v>10459663.541376175</v>
      </c>
      <c r="E30" s="526">
        <v>10628846.684556978</v>
      </c>
      <c r="F30" s="526">
        <v>10666852.885217236</v>
      </c>
      <c r="G30" s="526">
        <v>11028075.445731562</v>
      </c>
      <c r="H30" s="526">
        <v>11407863.837986894</v>
      </c>
      <c r="I30" s="526">
        <v>11743435.490841135</v>
      </c>
      <c r="J30" s="526">
        <v>12109217.097557349</v>
      </c>
      <c r="K30" s="526">
        <v>12395282.315002289</v>
      </c>
      <c r="L30" s="526">
        <v>12636981.938204726</v>
      </c>
      <c r="M30" s="526">
        <v>12958076.974870292</v>
      </c>
      <c r="N30" s="526">
        <v>13237104.710606275</v>
      </c>
      <c r="O30" s="526">
        <v>13402557.503848925</v>
      </c>
      <c r="P30" s="526">
        <v>13597211.405999383</v>
      </c>
      <c r="Q30" s="526">
        <v>13881504.106603147</v>
      </c>
      <c r="R30" s="526">
        <v>14068747.817708187</v>
      </c>
      <c r="S30" s="526">
        <v>14310693.370956618</v>
      </c>
      <c r="T30" s="526">
        <v>14481998.597768158</v>
      </c>
      <c r="U30" s="526">
        <v>14661880.18618246</v>
      </c>
      <c r="V30" s="526">
        <v>14879623.663289385</v>
      </c>
      <c r="W30" s="526">
        <v>15076447.176957149</v>
      </c>
      <c r="X30" s="526">
        <v>15302556.914702144</v>
      </c>
      <c r="Y30" s="526">
        <v>15584161.632784216</v>
      </c>
      <c r="Z30" s="526">
        <v>15852246.439967619</v>
      </c>
      <c r="AA30" s="526">
        <v>16154988.203958189</v>
      </c>
      <c r="AB30" s="526">
        <v>16475218.101647552</v>
      </c>
      <c r="AC30" s="526">
        <v>16750070.176090224</v>
      </c>
      <c r="AD30" s="526">
        <v>17121125.353931632</v>
      </c>
      <c r="AE30" s="526">
        <v>17465868.716215648</v>
      </c>
      <c r="AF30" s="526">
        <v>17904575.66853638</v>
      </c>
      <c r="AG30" s="526">
        <v>18290577.526791025</v>
      </c>
      <c r="AH30" s="526">
        <v>18681161.156369116</v>
      </c>
      <c r="AI30" s="526">
        <v>19094516.078419615</v>
      </c>
      <c r="AJ30" s="526">
        <v>19511992.061041556</v>
      </c>
      <c r="AK30" s="526">
        <v>19879079.280038901</v>
      </c>
      <c r="AL30" s="526">
        <v>20261014.813574161</v>
      </c>
      <c r="AM30" s="526">
        <v>20655812.041915026</v>
      </c>
      <c r="AN30" s="526">
        <v>21066380.912398815</v>
      </c>
      <c r="AO30" s="526">
        <v>21491534.624486104</v>
      </c>
      <c r="AP30" s="526">
        <v>21927658.431311205</v>
      </c>
      <c r="AQ30" s="526">
        <v>22376867.786965024</v>
      </c>
      <c r="AR30" s="526">
        <v>22837221.17515292</v>
      </c>
      <c r="AS30" s="526">
        <v>23308116.331363171</v>
      </c>
      <c r="AT30" s="526">
        <v>23794456.247455183</v>
      </c>
      <c r="AU30" s="526">
        <v>24289030.363033198</v>
      </c>
      <c r="AV30" s="526">
        <v>24794870.637316518</v>
      </c>
      <c r="AW30" s="526">
        <v>25304594.122611281</v>
      </c>
      <c r="AX30" s="526">
        <v>25823212.84147568</v>
      </c>
      <c r="AY30" s="526">
        <v>26351073.771120362</v>
      </c>
      <c r="AZ30" s="526">
        <v>26886948.96495796</v>
      </c>
      <c r="BA30" s="526">
        <v>27431154.566254672</v>
      </c>
      <c r="BB30" s="526">
        <v>27988821.847649723</v>
      </c>
      <c r="BC30" s="526">
        <v>28559779.901114076</v>
      </c>
      <c r="BD30" s="526">
        <v>29144016.589883987</v>
      </c>
    </row>
    <row r="31" spans="1:56" ht="14.5" x14ac:dyDescent="0.3">
      <c r="A31" s="944"/>
      <c r="B31" s="125"/>
      <c r="C31" s="525" t="s">
        <v>161</v>
      </c>
      <c r="D31" s="526"/>
      <c r="E31" s="527">
        <v>1.6174816953867625E-2</v>
      </c>
      <c r="F31" s="527">
        <v>3.5757596085640286E-3</v>
      </c>
      <c r="G31" s="527">
        <v>3.386402385045819E-2</v>
      </c>
      <c r="H31" s="527">
        <v>3.4438320097123581E-2</v>
      </c>
      <c r="I31" s="527">
        <v>2.9415818563404118E-2</v>
      </c>
      <c r="J31" s="527">
        <v>3.1147751184182157E-2</v>
      </c>
      <c r="K31" s="527">
        <v>2.362375826118801E-2</v>
      </c>
      <c r="L31" s="527">
        <v>1.9499323779814441E-2</v>
      </c>
      <c r="M31" s="527">
        <v>2.5409155305889646E-2</v>
      </c>
      <c r="N31" s="527">
        <v>2.1533112997947419E-2</v>
      </c>
      <c r="O31" s="527">
        <v>1.2499167821047793E-2</v>
      </c>
      <c r="P31" s="527">
        <v>1.4523638648411493E-2</v>
      </c>
      <c r="Q31" s="527">
        <v>2.0908162130826944E-2</v>
      </c>
      <c r="R31" s="527">
        <v>1.3488719209899693E-2</v>
      </c>
      <c r="S31" s="527">
        <v>1.7197376510217716E-2</v>
      </c>
      <c r="T31" s="527">
        <v>1.1970435140424522E-2</v>
      </c>
      <c r="U31" s="527">
        <v>1.2421047219409613E-2</v>
      </c>
      <c r="V31" s="527">
        <v>1.4850992801873342E-2</v>
      </c>
      <c r="W31" s="527">
        <v>1.3227721219412418E-2</v>
      </c>
      <c r="X31" s="527">
        <v>1.4997547836772892E-2</v>
      </c>
      <c r="Y31" s="527">
        <v>1.840246173575846E-2</v>
      </c>
      <c r="Z31" s="527">
        <v>1.7202388777811231E-2</v>
      </c>
      <c r="AA31" s="527">
        <v>1.9097720006880505E-2</v>
      </c>
      <c r="AB31" s="527">
        <v>1.9822354163706684E-2</v>
      </c>
      <c r="AC31" s="527">
        <v>1.6682757869844887E-2</v>
      </c>
      <c r="AD31" s="527">
        <v>2.2152455120520536E-2</v>
      </c>
      <c r="AE31" s="527">
        <v>2.0135555061796817E-2</v>
      </c>
      <c r="AF31" s="527">
        <v>2.5117957740826726E-2</v>
      </c>
      <c r="AG31" s="527">
        <v>2.1558838667869919E-2</v>
      </c>
      <c r="AH31" s="527">
        <v>2.1354362868312163E-2</v>
      </c>
      <c r="AI31" s="527">
        <v>2.2126832405681061E-2</v>
      </c>
      <c r="AJ31" s="527">
        <v>2.1863658702184544E-2</v>
      </c>
      <c r="AK31" s="527">
        <v>1.8813415762416363E-2</v>
      </c>
      <c r="AL31" s="527">
        <v>1.9212938796354283E-2</v>
      </c>
      <c r="AM31" s="527">
        <v>1.9485560421009341E-2</v>
      </c>
      <c r="AN31" s="527">
        <v>1.987667537110915E-2</v>
      </c>
      <c r="AO31" s="527">
        <v>2.0181620842005168E-2</v>
      </c>
      <c r="AP31" s="527">
        <v>2.0292818286145584E-2</v>
      </c>
      <c r="AQ31" s="527">
        <v>2.0485970130416482E-2</v>
      </c>
      <c r="AR31" s="527">
        <v>2.0572735763137479E-2</v>
      </c>
      <c r="AS31" s="527">
        <v>2.0619634613101907E-2</v>
      </c>
      <c r="AT31" s="527">
        <v>2.0865689409555473E-2</v>
      </c>
      <c r="AU31" s="527">
        <v>2.0785266552620155E-2</v>
      </c>
      <c r="AV31" s="527">
        <v>2.0825873520796609E-2</v>
      </c>
      <c r="AW31" s="527">
        <v>2.0557618257044732E-2</v>
      </c>
      <c r="AX31" s="527">
        <v>2.0495041981368155E-2</v>
      </c>
      <c r="AY31" s="527">
        <v>2.0441334425934155E-2</v>
      </c>
      <c r="AZ31" s="527">
        <v>2.0335990802199971E-2</v>
      </c>
      <c r="BA31" s="527">
        <v>2.0240511558450934E-2</v>
      </c>
      <c r="BB31" s="527">
        <v>2.0329705045703094E-2</v>
      </c>
      <c r="BC31" s="527">
        <v>2.0399502936287398E-2</v>
      </c>
      <c r="BD31" s="527">
        <v>2.0456624343492276E-2</v>
      </c>
    </row>
    <row r="32" spans="1:56" ht="14.5" x14ac:dyDescent="0.3">
      <c r="A32" s="944"/>
      <c r="B32" s="125"/>
      <c r="C32" s="525"/>
      <c r="D32" s="526"/>
      <c r="E32" s="526"/>
      <c r="F32" s="526"/>
      <c r="G32" s="526"/>
      <c r="H32" s="527"/>
      <c r="I32" s="527"/>
      <c r="J32" s="527"/>
      <c r="K32" s="527"/>
      <c r="L32" s="527"/>
      <c r="M32" s="527"/>
      <c r="N32" s="527"/>
      <c r="O32" s="527"/>
      <c r="P32" s="527"/>
      <c r="Q32" s="527"/>
      <c r="R32" s="527"/>
      <c r="S32" s="527"/>
      <c r="T32" s="527"/>
      <c r="U32" s="527"/>
      <c r="V32" s="527"/>
      <c r="W32" s="527"/>
      <c r="X32" s="527"/>
      <c r="Y32" s="527"/>
      <c r="Z32" s="527"/>
      <c r="AA32" s="527"/>
      <c r="AB32" s="527"/>
      <c r="AC32" s="527"/>
      <c r="AD32" s="527"/>
      <c r="AE32" s="527"/>
      <c r="AF32" s="527"/>
      <c r="AG32" s="527"/>
      <c r="AH32" s="527"/>
      <c r="AI32" s="527"/>
      <c r="AJ32" s="527"/>
      <c r="AL32" s="622"/>
      <c r="AM32" s="622"/>
      <c r="AN32" s="622"/>
      <c r="AO32" s="622"/>
      <c r="AP32" s="622"/>
      <c r="AQ32" s="622"/>
      <c r="AR32" s="622"/>
      <c r="AS32" s="622"/>
      <c r="AT32" s="622"/>
      <c r="AU32" s="622"/>
      <c r="AV32" s="622"/>
      <c r="AW32" s="622"/>
      <c r="AX32" s="622"/>
      <c r="AY32" s="622"/>
      <c r="AZ32" s="622"/>
      <c r="BA32" s="622"/>
      <c r="BB32" s="622"/>
      <c r="BC32" s="622"/>
      <c r="BD32" s="622"/>
    </row>
    <row r="33" spans="1:56" ht="14.5" x14ac:dyDescent="0.3">
      <c r="A33" s="944"/>
      <c r="B33" s="125"/>
      <c r="C33" s="524" t="s">
        <v>167</v>
      </c>
      <c r="D33" s="526"/>
      <c r="E33" s="526"/>
      <c r="F33" s="526"/>
      <c r="G33" s="526"/>
      <c r="H33" s="526"/>
      <c r="I33" s="526"/>
      <c r="J33" s="526"/>
      <c r="K33" s="526"/>
      <c r="L33" s="526"/>
      <c r="M33" s="526"/>
      <c r="N33" s="526"/>
      <c r="O33" s="526"/>
      <c r="P33" s="526"/>
      <c r="Q33" s="526"/>
      <c r="R33" s="526"/>
      <c r="S33" s="526"/>
      <c r="T33" s="526"/>
      <c r="U33" s="526"/>
      <c r="V33" s="526"/>
      <c r="W33" s="526"/>
      <c r="X33" s="526"/>
      <c r="Y33" s="526"/>
      <c r="Z33" s="526"/>
      <c r="AA33" s="526"/>
      <c r="AB33" s="526"/>
      <c r="AC33" s="526"/>
      <c r="AD33" s="526"/>
      <c r="AE33" s="526"/>
      <c r="AF33" s="526"/>
      <c r="AG33" s="526"/>
      <c r="AH33" s="526"/>
      <c r="AI33" s="526"/>
      <c r="AJ33" s="526"/>
      <c r="AK33" s="526"/>
      <c r="AL33" s="526"/>
      <c r="AM33" s="526"/>
      <c r="AN33" s="526"/>
      <c r="AO33" s="526"/>
      <c r="AP33" s="526"/>
      <c r="AQ33" s="526"/>
      <c r="AR33" s="526"/>
      <c r="AS33" s="526"/>
      <c r="AT33" s="526"/>
      <c r="AU33" s="526"/>
      <c r="AV33" s="526"/>
      <c r="AW33" s="526"/>
      <c r="AX33" s="526"/>
      <c r="AY33" s="526"/>
      <c r="AZ33" s="526"/>
      <c r="BA33" s="526"/>
      <c r="BB33" s="526"/>
      <c r="BC33" s="526"/>
      <c r="BD33" s="526"/>
    </row>
    <row r="34" spans="1:56" ht="14.5" x14ac:dyDescent="0.3">
      <c r="A34" s="944"/>
      <c r="B34" s="125"/>
      <c r="C34" s="525" t="s">
        <v>168</v>
      </c>
      <c r="D34" s="526">
        <v>10619740.440061253</v>
      </c>
      <c r="E34" s="526">
        <v>10743748.865779169</v>
      </c>
      <c r="F34" s="526">
        <v>9864685.8667133506</v>
      </c>
      <c r="G34" s="526">
        <v>10102374.829310875</v>
      </c>
      <c r="H34" s="526">
        <v>10441572.744471667</v>
      </c>
      <c r="I34" s="526">
        <v>10665717.048028577</v>
      </c>
      <c r="J34" s="526">
        <v>11062140.685814507</v>
      </c>
      <c r="K34" s="526">
        <v>11260682.006677117</v>
      </c>
      <c r="L34" s="526">
        <v>11593334.517363831</v>
      </c>
      <c r="M34" s="526">
        <v>11868300.946329547</v>
      </c>
      <c r="N34" s="526">
        <v>12269141.518827399</v>
      </c>
      <c r="O34" s="526">
        <v>12454378.174022589</v>
      </c>
      <c r="P34" s="526">
        <v>12809347.408398246</v>
      </c>
      <c r="Q34" s="526">
        <v>13134036.321132589</v>
      </c>
      <c r="R34" s="526">
        <v>13509101.999355322</v>
      </c>
      <c r="S34" s="526">
        <v>13824040.027359495</v>
      </c>
      <c r="T34" s="526">
        <v>14194897.570680602</v>
      </c>
      <c r="U34" s="526">
        <v>14461149.59614272</v>
      </c>
      <c r="V34" s="526">
        <v>14866846.67526816</v>
      </c>
      <c r="W34" s="526">
        <v>15140781.144716945</v>
      </c>
      <c r="X34" s="526">
        <v>15525018.655106148</v>
      </c>
      <c r="Y34" s="526">
        <v>15858302.56847213</v>
      </c>
      <c r="Z34" s="526">
        <v>16241972.166647723</v>
      </c>
      <c r="AA34" s="526">
        <v>16559467.812588839</v>
      </c>
      <c r="AB34" s="526">
        <v>16946242.039641462</v>
      </c>
      <c r="AC34" s="526">
        <v>17193951.217458818</v>
      </c>
      <c r="AD34" s="526">
        <v>17583424.5227792</v>
      </c>
      <c r="AE34" s="526">
        <v>17865440.068096355</v>
      </c>
      <c r="AF34" s="526">
        <v>18281930.183704648</v>
      </c>
      <c r="AG34" s="526">
        <v>18577258.70457096</v>
      </c>
      <c r="AH34" s="526">
        <v>18914141.412051436</v>
      </c>
      <c r="AI34" s="526">
        <v>19220722.672940645</v>
      </c>
      <c r="AJ34" s="526">
        <v>19568240.236587573</v>
      </c>
      <c r="AK34" s="526">
        <v>19945900.719980035</v>
      </c>
      <c r="AL34" s="526">
        <v>20321975.910394546</v>
      </c>
      <c r="AM34" s="526">
        <v>20703861.458496686</v>
      </c>
      <c r="AN34" s="526">
        <v>21084331.33584094</v>
      </c>
      <c r="AO34" s="526">
        <v>21478998.888951402</v>
      </c>
      <c r="AP34" s="526">
        <v>21873373.850326821</v>
      </c>
      <c r="AQ34" s="526">
        <v>22279607.66227635</v>
      </c>
      <c r="AR34" s="526">
        <v>22683784.48683358</v>
      </c>
      <c r="AS34" s="526">
        <v>23099391.02155757</v>
      </c>
      <c r="AT34" s="526">
        <v>23523006.144531593</v>
      </c>
      <c r="AU34" s="526">
        <v>23958944.123764645</v>
      </c>
      <c r="AV34" s="526">
        <v>24403945.68885152</v>
      </c>
      <c r="AW34" s="526">
        <v>24855601.476725735</v>
      </c>
      <c r="AX34" s="526">
        <v>25314831.586832415</v>
      </c>
      <c r="AY34" s="526">
        <v>25781819.555015486</v>
      </c>
      <c r="AZ34" s="526">
        <v>26257587.26580226</v>
      </c>
      <c r="BA34" s="526">
        <v>26741502.253044341</v>
      </c>
      <c r="BB34" s="526">
        <v>27234502.271142524</v>
      </c>
      <c r="BC34" s="526">
        <v>27736253.647489276</v>
      </c>
      <c r="BD34" s="526">
        <v>28247960.693222698</v>
      </c>
    </row>
    <row r="35" spans="1:56" ht="14.5" x14ac:dyDescent="0.3">
      <c r="A35" s="944"/>
      <c r="B35" s="125"/>
      <c r="C35" s="525" t="s">
        <v>161</v>
      </c>
      <c r="D35" s="526"/>
      <c r="E35" s="527">
        <v>1.1677161642304798E-2</v>
      </c>
      <c r="F35" s="527">
        <v>-8.1820881151252231E-2</v>
      </c>
      <c r="G35" s="527">
        <v>2.4094934781406917E-2</v>
      </c>
      <c r="H35" s="528">
        <v>3.3576057203564484E-2</v>
      </c>
      <c r="I35" s="528">
        <v>2.14665270301913E-2</v>
      </c>
      <c r="J35" s="528">
        <v>3.7168024990800227E-2</v>
      </c>
      <c r="K35" s="528">
        <v>1.7947820996094235E-2</v>
      </c>
      <c r="L35" s="528">
        <v>2.9541062476452586E-2</v>
      </c>
      <c r="M35" s="528">
        <v>2.3717630898503511E-2</v>
      </c>
      <c r="N35" s="528">
        <v>3.3774048560996271E-2</v>
      </c>
      <c r="O35" s="528">
        <v>1.5097768243274228E-2</v>
      </c>
      <c r="P35" s="528">
        <v>2.8501562214969054E-2</v>
      </c>
      <c r="Q35" s="528">
        <v>2.534781065594845E-2</v>
      </c>
      <c r="R35" s="528">
        <v>2.8556771814255918E-2</v>
      </c>
      <c r="S35" s="528">
        <v>2.3313024656946301E-2</v>
      </c>
      <c r="T35" s="528">
        <v>2.6827001555777715E-2</v>
      </c>
      <c r="U35" s="528">
        <v>1.8756882473886915E-2</v>
      </c>
      <c r="V35" s="528">
        <v>2.805427579793884E-2</v>
      </c>
      <c r="W35" s="528">
        <v>1.8425862284871065E-2</v>
      </c>
      <c r="X35" s="528">
        <v>2.5377654344028E-2</v>
      </c>
      <c r="Y35" s="528">
        <v>2.1467537061951682E-2</v>
      </c>
      <c r="Z35" s="528">
        <v>2.4193610666652668E-2</v>
      </c>
      <c r="AA35" s="528">
        <v>1.9547850635594687E-2</v>
      </c>
      <c r="AB35" s="528">
        <v>2.3356682197153093E-2</v>
      </c>
      <c r="AC35" s="528">
        <v>1.4617351577883913E-2</v>
      </c>
      <c r="AD35" s="528">
        <v>2.2651762843488184E-2</v>
      </c>
      <c r="AE35" s="528">
        <v>1.6038715606951609E-2</v>
      </c>
      <c r="AF35" s="528">
        <v>2.3312614412003819E-2</v>
      </c>
      <c r="AG35" s="528">
        <v>1.6154121468506054E-2</v>
      </c>
      <c r="AH35" s="528">
        <v>1.8134145238424486E-2</v>
      </c>
      <c r="AI35" s="528">
        <v>1.6209102713690554E-2</v>
      </c>
      <c r="AJ35" s="528">
        <v>1.808035886892902E-2</v>
      </c>
      <c r="AK35" s="528">
        <v>1.9299665111752556E-2</v>
      </c>
      <c r="AL35" s="528">
        <v>1.8854760970397996E-2</v>
      </c>
      <c r="AM35" s="528">
        <v>1.8791752819016481E-2</v>
      </c>
      <c r="AN35" s="528">
        <v>1.8376759239185882E-2</v>
      </c>
      <c r="AO35" s="528">
        <v>1.8718523572031517E-2</v>
      </c>
      <c r="AP35" s="528">
        <v>1.8360956365535454E-2</v>
      </c>
      <c r="AQ35" s="528">
        <v>1.8572069161770347E-2</v>
      </c>
      <c r="AR35" s="528">
        <v>1.8141110502658212E-2</v>
      </c>
      <c r="AS35" s="528">
        <v>1.8321745869399317E-2</v>
      </c>
      <c r="AT35" s="528">
        <v>1.833880047221521E-2</v>
      </c>
      <c r="AU35" s="528">
        <v>1.8532409359353817E-2</v>
      </c>
      <c r="AV35" s="528">
        <v>1.8573504858483345E-2</v>
      </c>
      <c r="AW35" s="528">
        <v>1.8507490290004324E-2</v>
      </c>
      <c r="AX35" s="528">
        <v>1.8475920228150353E-2</v>
      </c>
      <c r="AY35" s="528">
        <v>1.8447208174435251E-2</v>
      </c>
      <c r="AZ35" s="528">
        <v>1.8453612623094286E-2</v>
      </c>
      <c r="BA35" s="528">
        <v>1.8429529809554538E-2</v>
      </c>
      <c r="BB35" s="528">
        <v>1.8435763759010817E-2</v>
      </c>
      <c r="BC35" s="528">
        <v>1.8423372358759949E-2</v>
      </c>
      <c r="BD35" s="528">
        <v>1.8449032527496471E-2</v>
      </c>
    </row>
    <row r="36" spans="1:56" ht="14.5" x14ac:dyDescent="0.3">
      <c r="A36" s="944"/>
      <c r="B36" s="125"/>
      <c r="C36" s="525"/>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c r="AK36" s="526"/>
      <c r="AL36" s="526"/>
      <c r="AM36" s="526"/>
      <c r="AN36" s="526"/>
      <c r="AO36" s="526"/>
      <c r="AP36" s="526"/>
      <c r="AQ36" s="526"/>
      <c r="AR36" s="526"/>
      <c r="AS36" s="526"/>
      <c r="AT36" s="526"/>
      <c r="AU36" s="526"/>
      <c r="AV36" s="526"/>
      <c r="AW36" s="526"/>
      <c r="AX36" s="526"/>
      <c r="AY36" s="526"/>
      <c r="AZ36" s="526"/>
      <c r="BA36" s="526"/>
      <c r="BB36" s="526"/>
      <c r="BC36" s="526"/>
      <c r="BD36" s="526"/>
    </row>
    <row r="37" spans="1:56" ht="14.5" x14ac:dyDescent="0.3">
      <c r="A37" s="944"/>
      <c r="B37" s="125"/>
      <c r="C37" s="524" t="s">
        <v>169</v>
      </c>
      <c r="D37" s="526"/>
      <c r="E37" s="526"/>
      <c r="F37" s="526"/>
      <c r="G37" s="526"/>
      <c r="H37" s="526"/>
      <c r="I37" s="526"/>
      <c r="J37" s="526"/>
      <c r="K37" s="526"/>
      <c r="L37" s="526"/>
      <c r="M37" s="526"/>
      <c r="N37" s="526"/>
      <c r="O37" s="526"/>
      <c r="P37" s="526"/>
      <c r="Q37" s="526"/>
      <c r="R37" s="526"/>
      <c r="S37" s="526"/>
      <c r="T37" s="526"/>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6"/>
      <c r="AW37" s="526"/>
      <c r="AX37" s="526"/>
      <c r="AY37" s="526"/>
      <c r="AZ37" s="526"/>
      <c r="BA37" s="526"/>
      <c r="BB37" s="526"/>
      <c r="BC37" s="526"/>
      <c r="BD37" s="526"/>
    </row>
    <row r="38" spans="1:56" ht="14.5" x14ac:dyDescent="0.3">
      <c r="A38" s="944"/>
      <c r="B38" s="125"/>
      <c r="C38" s="525" t="s">
        <v>170</v>
      </c>
      <c r="D38" s="526">
        <v>3138868.3872572556</v>
      </c>
      <c r="E38" s="526">
        <v>3445471.9207119127</v>
      </c>
      <c r="F38" s="526">
        <v>3269184.8004295849</v>
      </c>
      <c r="G38" s="526">
        <v>3294063.3185506826</v>
      </c>
      <c r="H38" s="526">
        <v>3555861.7435608581</v>
      </c>
      <c r="I38" s="526">
        <v>3617250.8644866813</v>
      </c>
      <c r="J38" s="526">
        <v>3918049.3264679457</v>
      </c>
      <c r="K38" s="526">
        <v>3974907.2970251949</v>
      </c>
      <c r="L38" s="526">
        <v>4258788.7669565016</v>
      </c>
      <c r="M38" s="526">
        <v>4353139.4224606985</v>
      </c>
      <c r="N38" s="526">
        <v>4665919.7094325433</v>
      </c>
      <c r="O38" s="526">
        <v>4736227.3823269727</v>
      </c>
      <c r="P38" s="526">
        <v>5031785.4891453963</v>
      </c>
      <c r="Q38" s="526">
        <v>5167013.6418712297</v>
      </c>
      <c r="R38" s="526">
        <v>5467260.8951922879</v>
      </c>
      <c r="S38" s="526">
        <v>5613108.4741399754</v>
      </c>
      <c r="T38" s="526">
        <v>5908044.8615841754</v>
      </c>
      <c r="U38" s="526">
        <v>6048487.5446166545</v>
      </c>
      <c r="V38" s="526">
        <v>6354658.6481789183</v>
      </c>
      <c r="W38" s="526">
        <v>6512158.2601662902</v>
      </c>
      <c r="X38" s="526">
        <v>6806903.1022416772</v>
      </c>
      <c r="Y38" s="526">
        <v>7003424.8657854218</v>
      </c>
      <c r="Z38" s="526">
        <v>7296765.3878218792</v>
      </c>
      <c r="AA38" s="526">
        <v>7498696.6770708291</v>
      </c>
      <c r="AB38" s="526">
        <v>7792955.9508191161</v>
      </c>
      <c r="AC38" s="526">
        <v>7973698.881480041</v>
      </c>
      <c r="AD38" s="526">
        <v>8269153.207795918</v>
      </c>
      <c r="AE38" s="526">
        <v>8475254.2168411836</v>
      </c>
      <c r="AF38" s="526">
        <v>8784740.5129739996</v>
      </c>
      <c r="AG38" s="526">
        <v>9006042.8843750488</v>
      </c>
      <c r="AH38" s="526">
        <v>9278775.6218601093</v>
      </c>
      <c r="AI38" s="526">
        <v>9513418.0555362608</v>
      </c>
      <c r="AJ38" s="526">
        <v>9793216.7587573119</v>
      </c>
      <c r="AK38" s="526">
        <v>10096505.605428213</v>
      </c>
      <c r="AL38" s="526">
        <v>10399167.666657368</v>
      </c>
      <c r="AM38" s="526">
        <v>10713079.648130115</v>
      </c>
      <c r="AN38" s="526">
        <v>11027648.520525968</v>
      </c>
      <c r="AO38" s="526">
        <v>11357639.558690414</v>
      </c>
      <c r="AP38" s="526">
        <v>11690143.797135618</v>
      </c>
      <c r="AQ38" s="526">
        <v>12037007.146288622</v>
      </c>
      <c r="AR38" s="526">
        <v>12386672.099165767</v>
      </c>
      <c r="AS38" s="526">
        <v>12750838.28421947</v>
      </c>
      <c r="AT38" s="526">
        <v>13124686.814932087</v>
      </c>
      <c r="AU38" s="526">
        <v>13514306.538441811</v>
      </c>
      <c r="AV38" s="526">
        <v>13915830.460308958</v>
      </c>
      <c r="AW38" s="526">
        <v>14327692.287915539</v>
      </c>
      <c r="AX38" s="526">
        <v>14751248.531073634</v>
      </c>
      <c r="AY38" s="526">
        <v>15186488.920424346</v>
      </c>
      <c r="AZ38" s="526">
        <v>15634767.620169086</v>
      </c>
      <c r="BA38" s="526">
        <v>16095702.068832276</v>
      </c>
      <c r="BB38" s="526">
        <v>16570526.27296775</v>
      </c>
      <c r="BC38" s="526">
        <v>17059099.66077023</v>
      </c>
      <c r="BD38" s="526">
        <v>17562753.490741823</v>
      </c>
    </row>
    <row r="39" spans="1:56" ht="14.5" x14ac:dyDescent="0.3">
      <c r="A39" s="944"/>
      <c r="B39" s="125"/>
      <c r="C39" s="525" t="s">
        <v>161</v>
      </c>
      <c r="D39" s="526"/>
      <c r="E39" s="527">
        <v>9.7679639802472684E-2</v>
      </c>
      <c r="F39" s="527">
        <v>-5.1164869236810621E-2</v>
      </c>
      <c r="G39" s="527">
        <v>7.6100066652177506E-3</v>
      </c>
      <c r="H39" s="528">
        <v>7.9475832639841648E-2</v>
      </c>
      <c r="I39" s="528">
        <v>1.726420354699951E-2</v>
      </c>
      <c r="J39" s="528">
        <v>8.3156649414181633E-2</v>
      </c>
      <c r="K39" s="528">
        <v>1.451180570217722E-2</v>
      </c>
      <c r="L39" s="528">
        <v>7.1418387579444326E-2</v>
      </c>
      <c r="M39" s="528">
        <v>2.215434027539797E-2</v>
      </c>
      <c r="N39" s="528">
        <v>7.1851658450911612E-2</v>
      </c>
      <c r="O39" s="528">
        <v>1.5068341778855866E-2</v>
      </c>
      <c r="P39" s="528">
        <v>6.2403698758485684E-2</v>
      </c>
      <c r="Q39" s="528">
        <v>2.687478490836873E-2</v>
      </c>
      <c r="R39" s="528">
        <v>5.8108469249623235E-2</v>
      </c>
      <c r="S39" s="528">
        <v>2.6676535424885361E-2</v>
      </c>
      <c r="T39" s="528">
        <v>5.254421659638233E-2</v>
      </c>
      <c r="U39" s="528">
        <v>2.3771431382601422E-2</v>
      </c>
      <c r="V39" s="528">
        <v>5.0619448466049294E-2</v>
      </c>
      <c r="W39" s="528">
        <v>2.478490517071397E-2</v>
      </c>
      <c r="X39" s="528">
        <v>4.5260700108946769E-2</v>
      </c>
      <c r="Y39" s="528">
        <v>2.8870950649940236E-2</v>
      </c>
      <c r="Z39" s="528">
        <v>4.1885295788571267E-2</v>
      </c>
      <c r="AA39" s="528">
        <v>2.7674082763571948E-2</v>
      </c>
      <c r="AB39" s="528">
        <v>3.9241389060056198E-2</v>
      </c>
      <c r="AC39" s="528">
        <v>2.3193115911546634E-2</v>
      </c>
      <c r="AD39" s="528">
        <v>3.7053609712063292E-2</v>
      </c>
      <c r="AE39" s="528">
        <v>2.4924076730246037E-2</v>
      </c>
      <c r="AF39" s="528">
        <v>3.651646171483984E-2</v>
      </c>
      <c r="AG39" s="528">
        <v>2.5191679944810249E-2</v>
      </c>
      <c r="AH39" s="528">
        <v>3.0283304330943797E-2</v>
      </c>
      <c r="AI39" s="528">
        <v>2.5288081449383402E-2</v>
      </c>
      <c r="AJ39" s="528">
        <v>2.9410954253001033E-2</v>
      </c>
      <c r="AK39" s="528">
        <v>3.0969277423548516E-2</v>
      </c>
      <c r="AL39" s="528">
        <v>2.9976912117637356E-2</v>
      </c>
      <c r="AM39" s="528">
        <v>3.018626024073421E-2</v>
      </c>
      <c r="AN39" s="528">
        <v>2.9363066711704942E-2</v>
      </c>
      <c r="AO39" s="528">
        <v>2.9923971329901156E-2</v>
      </c>
      <c r="AP39" s="528">
        <v>2.9275822386068236E-2</v>
      </c>
      <c r="AQ39" s="528">
        <v>2.9671435627506616E-2</v>
      </c>
      <c r="AR39" s="528">
        <v>2.9049160528658139E-2</v>
      </c>
      <c r="AS39" s="528">
        <v>2.9399840581735216E-2</v>
      </c>
      <c r="AT39" s="528">
        <v>2.9319525695443528E-2</v>
      </c>
      <c r="AU39" s="528">
        <v>2.9686020626903543E-2</v>
      </c>
      <c r="AV39" s="528">
        <v>2.9711026660894681E-2</v>
      </c>
      <c r="AW39" s="528">
        <v>2.9596640227926154E-2</v>
      </c>
      <c r="AX39" s="528">
        <v>2.9562070056134218E-2</v>
      </c>
      <c r="AY39" s="528">
        <v>2.9505325493897852E-2</v>
      </c>
      <c r="AZ39" s="528">
        <v>2.951825811046084E-2</v>
      </c>
      <c r="BA39" s="528">
        <v>2.9481375090511727E-2</v>
      </c>
      <c r="BB39" s="528">
        <v>2.9500061700006588E-2</v>
      </c>
      <c r="BC39" s="528">
        <v>2.9484482252052038E-2</v>
      </c>
      <c r="BD39" s="528">
        <v>2.9524056954178757E-2</v>
      </c>
    </row>
    <row r="40" spans="1:56" ht="14.5" x14ac:dyDescent="0.3">
      <c r="A40" s="944"/>
      <c r="B40" s="125"/>
      <c r="C40" s="525"/>
      <c r="D40" s="526"/>
      <c r="E40" s="526"/>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c r="AK40" s="526"/>
      <c r="AL40" s="526"/>
      <c r="AM40" s="526"/>
      <c r="AN40" s="526"/>
      <c r="AO40" s="526"/>
      <c r="AP40" s="526"/>
      <c r="AQ40" s="526"/>
      <c r="AR40" s="526"/>
      <c r="AS40" s="526"/>
      <c r="AT40" s="526"/>
      <c r="AU40" s="526"/>
      <c r="AV40" s="526"/>
      <c r="AW40" s="526"/>
      <c r="AX40" s="526"/>
      <c r="AY40" s="526"/>
      <c r="AZ40" s="526"/>
      <c r="BA40" s="526"/>
      <c r="BB40" s="526"/>
      <c r="BC40" s="526"/>
      <c r="BD40" s="526"/>
    </row>
    <row r="41" spans="1:56" ht="14.5" x14ac:dyDescent="0.3">
      <c r="A41" s="49"/>
      <c r="B41" s="523"/>
      <c r="C41" s="524" t="s">
        <v>171</v>
      </c>
      <c r="D41" s="526"/>
      <c r="E41" s="526"/>
      <c r="F41" s="526"/>
      <c r="G41" s="526"/>
      <c r="H41" s="526"/>
      <c r="I41" s="526"/>
      <c r="J41" s="526"/>
      <c r="K41" s="526"/>
      <c r="L41" s="526"/>
      <c r="M41" s="526"/>
      <c r="N41" s="526"/>
      <c r="O41" s="526"/>
      <c r="P41" s="526"/>
      <c r="Q41" s="526"/>
      <c r="R41" s="526"/>
      <c r="S41" s="526"/>
      <c r="T41" s="526"/>
      <c r="U41" s="526"/>
      <c r="V41" s="526"/>
      <c r="W41" s="526"/>
      <c r="X41" s="526"/>
      <c r="Y41" s="526"/>
      <c r="Z41" s="526"/>
      <c r="AA41" s="526"/>
      <c r="AB41" s="526"/>
      <c r="AC41" s="526"/>
      <c r="AD41" s="526"/>
      <c r="AE41" s="526"/>
      <c r="AF41" s="526"/>
      <c r="AG41" s="526"/>
      <c r="AH41" s="526"/>
      <c r="AI41" s="526"/>
      <c r="AJ41" s="526"/>
      <c r="AK41" s="954"/>
      <c r="AL41" s="954"/>
      <c r="AM41" s="954"/>
      <c r="AN41" s="954"/>
      <c r="AO41" s="954"/>
      <c r="AP41" s="954"/>
      <c r="AQ41" s="954"/>
      <c r="AR41" s="954"/>
      <c r="AS41" s="954"/>
      <c r="AT41" s="954"/>
      <c r="AU41" s="954"/>
      <c r="AV41" s="954"/>
      <c r="AW41" s="954"/>
      <c r="AX41" s="954"/>
      <c r="AY41" s="954"/>
      <c r="AZ41" s="954"/>
      <c r="BA41" s="954"/>
      <c r="BB41" s="954"/>
      <c r="BC41" s="954"/>
      <c r="BD41" s="954"/>
    </row>
    <row r="42" spans="1:56" ht="14.5" x14ac:dyDescent="0.3">
      <c r="A42" s="49"/>
      <c r="B42" s="125"/>
      <c r="C42" s="525" t="s">
        <v>172</v>
      </c>
      <c r="D42" s="526">
        <v>12853030.767710369</v>
      </c>
      <c r="E42" s="526">
        <v>12930006.65456903</v>
      </c>
      <c r="F42" s="526">
        <v>12191088.543159954</v>
      </c>
      <c r="G42" s="526">
        <v>12568272.386424376</v>
      </c>
      <c r="H42" s="526">
        <v>13043257.626756303</v>
      </c>
      <c r="I42" s="526">
        <v>13325429.131351719</v>
      </c>
      <c r="J42" s="526">
        <v>13855045.892752003</v>
      </c>
      <c r="K42" s="526">
        <v>14089476.662089169</v>
      </c>
      <c r="L42" s="526">
        <v>14536381.653979262</v>
      </c>
      <c r="M42" s="526">
        <v>14855780.696810592</v>
      </c>
      <c r="N42" s="526">
        <v>15395232.866787368</v>
      </c>
      <c r="O42" s="526">
        <v>15576803.261044765</v>
      </c>
      <c r="P42" s="526">
        <v>16060951.449970307</v>
      </c>
      <c r="Q42" s="526">
        <v>16425140.925108433</v>
      </c>
      <c r="R42" s="526">
        <v>16936157.767844144</v>
      </c>
      <c r="S42" s="526">
        <v>17292844.438000303</v>
      </c>
      <c r="T42" s="526">
        <v>17796821.469167229</v>
      </c>
      <c r="U42" s="526">
        <v>18096406.737473037</v>
      </c>
      <c r="V42" s="526">
        <v>18640911.920531403</v>
      </c>
      <c r="W42" s="526">
        <v>18953075.911680669</v>
      </c>
      <c r="X42" s="526">
        <v>19467025.961429454</v>
      </c>
      <c r="Y42" s="526">
        <v>19856301.60947473</v>
      </c>
      <c r="Z42" s="526">
        <v>20365186.486339137</v>
      </c>
      <c r="AA42" s="526">
        <v>20737732.396170344</v>
      </c>
      <c r="AB42" s="526">
        <v>21246519.398233954</v>
      </c>
      <c r="AC42" s="526">
        <v>21534827.82915315</v>
      </c>
      <c r="AD42" s="526">
        <v>22043312.337401599</v>
      </c>
      <c r="AE42" s="526">
        <v>22377587.67777472</v>
      </c>
      <c r="AF42" s="526">
        <v>22916651.751743086</v>
      </c>
      <c r="AG42" s="526">
        <v>23270156.559389796</v>
      </c>
      <c r="AH42" s="526">
        <v>23706470.512411814</v>
      </c>
      <c r="AI42" s="526">
        <v>24076272.401540495</v>
      </c>
      <c r="AJ42" s="526">
        <v>24523161.791912057</v>
      </c>
      <c r="AK42" s="526">
        <v>24998527.761570543</v>
      </c>
      <c r="AL42" s="526">
        <v>25468918.293000888</v>
      </c>
      <c r="AM42" s="526">
        <v>25949372.024415147</v>
      </c>
      <c r="AN42" s="526">
        <v>26425513.361113984</v>
      </c>
      <c r="AO42" s="526">
        <v>26921872.463301845</v>
      </c>
      <c r="AP42" s="526">
        <v>27415736.471920706</v>
      </c>
      <c r="AQ42" s="526">
        <v>27926585.387288358</v>
      </c>
      <c r="AR42" s="526">
        <v>28433101.467244867</v>
      </c>
      <c r="AS42" s="526">
        <v>28955813.822283909</v>
      </c>
      <c r="AT42" s="526">
        <v>29487172.252284504</v>
      </c>
      <c r="AU42" s="526">
        <v>30035657.191710055</v>
      </c>
      <c r="AV42" s="526">
        <v>30594451.958341025</v>
      </c>
      <c r="AW42" s="526">
        <v>31161473.364885479</v>
      </c>
      <c r="AX42" s="526">
        <v>31738201.216632761</v>
      </c>
      <c r="AY42" s="526">
        <v>32324574.104872711</v>
      </c>
      <c r="AZ42" s="526">
        <v>32922151.981980212</v>
      </c>
      <c r="BA42" s="526">
        <v>33529889.66779507</v>
      </c>
      <c r="BB42" s="526">
        <v>34149198.157952741</v>
      </c>
      <c r="BC42" s="526">
        <v>34779439.214110628</v>
      </c>
      <c r="BD42" s="526">
        <v>35422317.45232939</v>
      </c>
    </row>
    <row r="43" spans="1:56" ht="14.5" x14ac:dyDescent="0.3">
      <c r="A43" s="49"/>
      <c r="B43" s="125"/>
      <c r="C43" s="525" t="s">
        <v>161</v>
      </c>
      <c r="D43" s="526"/>
      <c r="E43" s="527">
        <v>5.9889288565340582E-3</v>
      </c>
      <c r="F43" s="527">
        <v>-5.7147543009807095E-2</v>
      </c>
      <c r="G43" s="527">
        <v>3.0939307997729846E-2</v>
      </c>
      <c r="H43" s="528">
        <v>3.7792405012242E-2</v>
      </c>
      <c r="I43" s="528">
        <v>2.163351462264939E-2</v>
      </c>
      <c r="J43" s="528">
        <v>3.9744818435469058E-2</v>
      </c>
      <c r="K43" s="528">
        <v>1.6920244880589245E-2</v>
      </c>
      <c r="L43" s="528">
        <v>3.1719062574736313E-2</v>
      </c>
      <c r="M43" s="528">
        <v>2.1972389720786929E-2</v>
      </c>
      <c r="N43" s="528">
        <v>3.6312609952070189E-2</v>
      </c>
      <c r="O43" s="528">
        <v>1.1793936202751706E-2</v>
      </c>
      <c r="P43" s="528">
        <v>3.1081357375574201E-2</v>
      </c>
      <c r="Q43" s="528">
        <v>2.2675460807696998E-2</v>
      </c>
      <c r="R43" s="528">
        <v>3.1111869606825791E-2</v>
      </c>
      <c r="S43" s="528">
        <v>2.106066057281198E-2</v>
      </c>
      <c r="T43" s="528">
        <v>2.9143674597538017E-2</v>
      </c>
      <c r="U43" s="528">
        <v>1.6833639019464011E-2</v>
      </c>
      <c r="V43" s="528">
        <v>3.0089132663604152E-2</v>
      </c>
      <c r="W43" s="528">
        <v>1.6746175963926038E-2</v>
      </c>
      <c r="X43" s="528">
        <v>2.71169731047213E-2</v>
      </c>
      <c r="Y43" s="528">
        <v>1.9996667637704791E-2</v>
      </c>
      <c r="Z43" s="528">
        <v>2.5628381703347275E-2</v>
      </c>
      <c r="AA43" s="528">
        <v>1.8293272692646793E-2</v>
      </c>
      <c r="AB43" s="528">
        <v>2.4534360476055127E-2</v>
      </c>
      <c r="AC43" s="528">
        <v>1.3569678191297589E-2</v>
      </c>
      <c r="AD43" s="528">
        <v>2.3612192875769294E-2</v>
      </c>
      <c r="AE43" s="528">
        <v>1.5164478697965254E-2</v>
      </c>
      <c r="AF43" s="528">
        <v>2.4089463159773956E-2</v>
      </c>
      <c r="AG43" s="528">
        <v>1.5425674373213013E-2</v>
      </c>
      <c r="AH43" s="528">
        <v>1.8749936293228762E-2</v>
      </c>
      <c r="AI43" s="528">
        <v>1.5599196385436919E-2</v>
      </c>
      <c r="AJ43" s="528">
        <v>1.8561402816781859E-2</v>
      </c>
      <c r="AK43" s="528">
        <v>1.938436706050144E-2</v>
      </c>
      <c r="AL43" s="528">
        <v>1.8816729365697275E-2</v>
      </c>
      <c r="AM43" s="528">
        <v>1.8864316335974594E-2</v>
      </c>
      <c r="AN43" s="528">
        <v>1.8348857777785454E-2</v>
      </c>
      <c r="AO43" s="528">
        <v>1.878332864928435E-2</v>
      </c>
      <c r="AP43" s="528">
        <v>1.8344340992331173E-2</v>
      </c>
      <c r="AQ43" s="528">
        <v>1.863341938272807E-2</v>
      </c>
      <c r="AR43" s="528">
        <v>1.8137415402996626E-2</v>
      </c>
      <c r="AS43" s="528">
        <v>1.8383937314795137E-2</v>
      </c>
      <c r="AT43" s="528">
        <v>1.8350664680392082E-2</v>
      </c>
      <c r="AU43" s="528">
        <v>1.8600798161751645E-2</v>
      </c>
      <c r="AV43" s="528">
        <v>1.8604379556748898E-2</v>
      </c>
      <c r="AW43" s="528">
        <v>1.8533471601862302E-2</v>
      </c>
      <c r="AX43" s="528">
        <v>1.8507720896059125E-2</v>
      </c>
      <c r="AY43" s="528">
        <v>1.8475303128794082E-2</v>
      </c>
      <c r="AZ43" s="528">
        <v>1.8486798160703952E-2</v>
      </c>
      <c r="BA43" s="528">
        <v>1.8459840843560279E-2</v>
      </c>
      <c r="BB43" s="528">
        <v>1.8470340830035653E-2</v>
      </c>
      <c r="BC43" s="528">
        <v>1.8455515507063616E-2</v>
      </c>
      <c r="BD43" s="528">
        <v>1.8484433698342434E-2</v>
      </c>
    </row>
    <row r="44" spans="1:56" ht="14.5" x14ac:dyDescent="0.3">
      <c r="A44" s="944"/>
      <c r="B44" s="125"/>
      <c r="C44" s="525"/>
      <c r="D44" s="526"/>
      <c r="E44" s="526"/>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c r="AK44" s="526"/>
      <c r="AL44" s="526"/>
      <c r="AM44" s="526"/>
      <c r="AN44" s="526"/>
      <c r="AO44" s="526"/>
      <c r="AP44" s="526"/>
      <c r="AQ44" s="526"/>
      <c r="AR44" s="526"/>
      <c r="AS44" s="526"/>
      <c r="AT44" s="526"/>
      <c r="AU44" s="526"/>
      <c r="AV44" s="526"/>
      <c r="AW44" s="526"/>
      <c r="AX44" s="526"/>
      <c r="AY44" s="526"/>
      <c r="AZ44" s="526"/>
      <c r="BA44" s="526"/>
      <c r="BB44" s="526"/>
      <c r="BC44" s="526"/>
      <c r="BD44" s="526"/>
    </row>
    <row r="45" spans="1:56" ht="14.5" x14ac:dyDescent="0.3">
      <c r="A45" s="944"/>
      <c r="B45" s="125"/>
      <c r="C45" s="524" t="s">
        <v>173</v>
      </c>
      <c r="D45" s="526"/>
      <c r="E45" s="526"/>
      <c r="F45" s="526"/>
      <c r="G45" s="526"/>
      <c r="H45" s="526"/>
      <c r="I45" s="526"/>
      <c r="J45" s="526"/>
      <c r="K45" s="526"/>
      <c r="L45" s="526"/>
      <c r="M45" s="526"/>
      <c r="N45" s="526"/>
      <c r="O45" s="526"/>
      <c r="P45" s="526"/>
      <c r="Q45" s="526"/>
      <c r="R45" s="526"/>
      <c r="S45" s="526"/>
      <c r="T45" s="526"/>
      <c r="U45" s="526"/>
      <c r="V45" s="526"/>
      <c r="W45" s="526"/>
      <c r="X45" s="526"/>
      <c r="Y45" s="526"/>
      <c r="Z45" s="526"/>
      <c r="AA45" s="526"/>
      <c r="AB45" s="526"/>
      <c r="AC45" s="526"/>
      <c r="AD45" s="526"/>
      <c r="AE45" s="526"/>
      <c r="AF45" s="526"/>
      <c r="AG45" s="526"/>
      <c r="AH45" s="526"/>
      <c r="AI45" s="526"/>
      <c r="AJ45" s="526"/>
      <c r="AK45" s="526"/>
      <c r="AL45" s="526"/>
      <c r="AM45" s="526"/>
      <c r="AN45" s="526"/>
      <c r="AO45" s="526"/>
      <c r="AP45" s="526"/>
      <c r="AQ45" s="526"/>
      <c r="AR45" s="526"/>
      <c r="AS45" s="526"/>
      <c r="AT45" s="526"/>
      <c r="AU45" s="526"/>
      <c r="AV45" s="526"/>
      <c r="AW45" s="526"/>
      <c r="AX45" s="526"/>
      <c r="AY45" s="526"/>
      <c r="AZ45" s="526"/>
      <c r="BA45" s="526"/>
      <c r="BB45" s="526"/>
      <c r="BC45" s="526"/>
      <c r="BD45" s="526"/>
    </row>
    <row r="46" spans="1:56" ht="14.5" x14ac:dyDescent="0.3">
      <c r="A46" s="944"/>
      <c r="B46" s="125"/>
      <c r="C46" s="525" t="s">
        <v>174</v>
      </c>
      <c r="D46" s="526">
        <v>9518754.6053851116</v>
      </c>
      <c r="E46" s="526">
        <v>9070046.9433469437</v>
      </c>
      <c r="F46" s="526">
        <v>7251965.099537069</v>
      </c>
      <c r="G46" s="526">
        <v>6770880.0207718099</v>
      </c>
      <c r="H46" s="526">
        <v>7367985.3684235234</v>
      </c>
      <c r="I46" s="526">
        <v>7153337.3166907867</v>
      </c>
      <c r="J46" s="526">
        <v>7918553.7947751433</v>
      </c>
      <c r="K46" s="526">
        <v>7599295.1586791221</v>
      </c>
      <c r="L46" s="526">
        <v>8390540.0426488705</v>
      </c>
      <c r="M46" s="526">
        <v>8096840.5815767376</v>
      </c>
      <c r="N46" s="526">
        <v>8952006.0213259067</v>
      </c>
      <c r="O46" s="526">
        <v>8583815.8330434263</v>
      </c>
      <c r="P46" s="526">
        <v>9375631.340818882</v>
      </c>
      <c r="Q46" s="526">
        <v>9128107.368333254</v>
      </c>
      <c r="R46" s="526">
        <v>9874161.4461647626</v>
      </c>
      <c r="S46" s="526">
        <v>9678381.5023107752</v>
      </c>
      <c r="T46" s="526">
        <v>10358050.886387801</v>
      </c>
      <c r="U46" s="526">
        <v>10190293.736612935</v>
      </c>
      <c r="V46" s="526">
        <v>10835160.148113059</v>
      </c>
      <c r="W46" s="526">
        <v>10730473.939791329</v>
      </c>
      <c r="X46" s="526">
        <v>11308632.581532536</v>
      </c>
      <c r="Y46" s="526">
        <v>11296105.449323747</v>
      </c>
      <c r="Z46" s="526">
        <v>11830552.537134595</v>
      </c>
      <c r="AA46" s="526">
        <v>11848397.666963045</v>
      </c>
      <c r="AB46" s="526">
        <v>12347573.217981704</v>
      </c>
      <c r="AC46" s="526">
        <v>12351037.568471681</v>
      </c>
      <c r="AD46" s="526">
        <v>12819650.176903637</v>
      </c>
      <c r="AE46" s="526">
        <v>12878790.603580603</v>
      </c>
      <c r="AF46" s="526">
        <v>13340233.937649688</v>
      </c>
      <c r="AG46" s="526">
        <v>13434922.521694815</v>
      </c>
      <c r="AH46" s="526">
        <v>13816085.019892231</v>
      </c>
      <c r="AI46" s="526">
        <v>13941344.745454706</v>
      </c>
      <c r="AJ46" s="526">
        <v>14311303.953095958</v>
      </c>
      <c r="AK46" s="526">
        <v>14624445.523090299</v>
      </c>
      <c r="AL46" s="526">
        <v>14910627.411497293</v>
      </c>
      <c r="AM46" s="526">
        <v>15226890.518202359</v>
      </c>
      <c r="AN46" s="526">
        <v>15520903.481524775</v>
      </c>
      <c r="AO46" s="526">
        <v>15847442.146575958</v>
      </c>
      <c r="AP46" s="526">
        <v>16156499.682438031</v>
      </c>
      <c r="AQ46" s="526">
        <v>16493452.708444389</v>
      </c>
      <c r="AR46" s="526">
        <v>16814980.786228705</v>
      </c>
      <c r="AS46" s="526">
        <v>17161726.260924634</v>
      </c>
      <c r="AT46" s="526">
        <v>17503531.147608735</v>
      </c>
      <c r="AU46" s="526">
        <v>17869409.255762819</v>
      </c>
      <c r="AV46" s="526">
        <v>18233783.394876637</v>
      </c>
      <c r="AW46" s="526">
        <v>18603117.998380125</v>
      </c>
      <c r="AX46" s="526">
        <v>18981095.135061413</v>
      </c>
      <c r="AY46" s="526">
        <v>19365211.695457008</v>
      </c>
      <c r="AZ46" s="526">
        <v>19758735.260472737</v>
      </c>
      <c r="BA46" s="526">
        <v>20158966.912436329</v>
      </c>
      <c r="BB46" s="526">
        <v>20568687.233412955</v>
      </c>
      <c r="BC46" s="526">
        <v>20985741.807610553</v>
      </c>
      <c r="BD46" s="526">
        <v>21412744.368563436</v>
      </c>
    </row>
    <row r="47" spans="1:56" ht="14.5" x14ac:dyDescent="0.3">
      <c r="A47" s="944"/>
      <c r="B47" s="125"/>
      <c r="C47" s="525" t="s">
        <v>161</v>
      </c>
      <c r="D47" s="526"/>
      <c r="E47" s="527">
        <v>-4.7139324485192362E-2</v>
      </c>
      <c r="F47" s="527">
        <v>-0.20044900044794953</v>
      </c>
      <c r="G47" s="527">
        <v>-6.6338581634372354E-2</v>
      </c>
      <c r="H47" s="528">
        <v>8.8187258645834002E-2</v>
      </c>
      <c r="I47" s="528">
        <v>-2.9132529585718138E-2</v>
      </c>
      <c r="J47" s="528">
        <v>0.10697335302487233</v>
      </c>
      <c r="K47" s="528">
        <v>-4.0317795947370574E-2</v>
      </c>
      <c r="L47" s="528">
        <v>0.10412082534602844</v>
      </c>
      <c r="M47" s="528">
        <v>-3.5003642146901999E-2</v>
      </c>
      <c r="N47" s="528">
        <v>0.10561717637061821</v>
      </c>
      <c r="O47" s="528">
        <v>-4.1129349936244432E-2</v>
      </c>
      <c r="P47" s="528">
        <v>9.2245164991466774E-2</v>
      </c>
      <c r="Q47" s="528">
        <v>-2.6400779156916899E-2</v>
      </c>
      <c r="R47" s="528">
        <v>8.1731518673814008E-2</v>
      </c>
      <c r="S47" s="528">
        <v>-1.982750078793076E-2</v>
      </c>
      <c r="T47" s="528">
        <v>7.0225521066177257E-2</v>
      </c>
      <c r="U47" s="528">
        <v>-1.6195822130525245E-2</v>
      </c>
      <c r="V47" s="528">
        <v>6.3282416402107161E-2</v>
      </c>
      <c r="W47" s="528">
        <v>-9.6617130610626694E-3</v>
      </c>
      <c r="X47" s="528">
        <v>5.3880065781367531E-2</v>
      </c>
      <c r="Y47" s="528">
        <v>-1.1077495106920434E-3</v>
      </c>
      <c r="Z47" s="528">
        <v>4.7312508741040753E-2</v>
      </c>
      <c r="AA47" s="528">
        <v>1.5083936081967222E-3</v>
      </c>
      <c r="AB47" s="528">
        <v>4.2130215835894255E-2</v>
      </c>
      <c r="AC47" s="528">
        <v>2.80569341749894E-4</v>
      </c>
      <c r="AD47" s="528">
        <v>3.7941153189281568E-2</v>
      </c>
      <c r="AE47" s="528">
        <v>4.6132636897936469E-3</v>
      </c>
      <c r="AF47" s="528">
        <v>3.5829710123619248E-2</v>
      </c>
      <c r="AG47" s="528">
        <v>7.0979702820570985E-3</v>
      </c>
      <c r="AH47" s="528">
        <v>2.8371023173517508E-2</v>
      </c>
      <c r="AI47" s="528">
        <v>9.066224287280239E-3</v>
      </c>
      <c r="AJ47" s="528">
        <v>2.6536838045115346E-2</v>
      </c>
      <c r="AK47" s="528">
        <v>2.1880715483413297E-2</v>
      </c>
      <c r="AL47" s="528">
        <v>1.9568734278174436E-2</v>
      </c>
      <c r="AM47" s="528">
        <v>2.1210583429990593E-2</v>
      </c>
      <c r="AN47" s="528">
        <v>1.9308798665817532E-2</v>
      </c>
      <c r="AO47" s="528">
        <v>2.1038637695278226E-2</v>
      </c>
      <c r="AP47" s="528">
        <v>1.9502045377641559E-2</v>
      </c>
      <c r="AQ47" s="528">
        <v>2.0855570985627733E-2</v>
      </c>
      <c r="AR47" s="528">
        <v>1.9494285609446688E-2</v>
      </c>
      <c r="AS47" s="528">
        <v>2.0621223366482103E-2</v>
      </c>
      <c r="AT47" s="528">
        <v>1.991669611129707E-2</v>
      </c>
      <c r="AU47" s="528">
        <v>2.0903102640753141E-2</v>
      </c>
      <c r="AV47" s="528">
        <v>2.0390944876720218E-2</v>
      </c>
      <c r="AW47" s="528">
        <v>2.0255511185202666E-2</v>
      </c>
      <c r="AX47" s="528">
        <v>2.0317945449477955E-2</v>
      </c>
      <c r="AY47" s="528">
        <v>2.0236796542158628E-2</v>
      </c>
      <c r="AZ47" s="528">
        <v>2.0321159985462363E-2</v>
      </c>
      <c r="BA47" s="528">
        <v>2.0255934739115463E-2</v>
      </c>
      <c r="BB47" s="528">
        <v>2.0324470135613091E-2</v>
      </c>
      <c r="BC47" s="528">
        <v>2.0276188240157214E-2</v>
      </c>
      <c r="BD47" s="528">
        <v>2.0347270297494537E-2</v>
      </c>
    </row>
    <row r="48" spans="1:56" ht="14.5" x14ac:dyDescent="0.3">
      <c r="A48" s="944"/>
      <c r="B48" s="125"/>
      <c r="C48" s="525"/>
      <c r="D48" s="526"/>
      <c r="E48" s="526"/>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c r="AK48" s="526"/>
      <c r="AL48" s="526"/>
      <c r="AM48" s="526"/>
      <c r="AN48" s="526"/>
      <c r="AO48" s="526"/>
      <c r="AP48" s="526"/>
      <c r="AQ48" s="526"/>
      <c r="AR48" s="526"/>
      <c r="AS48" s="526"/>
      <c r="AT48" s="526"/>
      <c r="AU48" s="526"/>
      <c r="AV48" s="526"/>
      <c r="AW48" s="526"/>
      <c r="AX48" s="526"/>
      <c r="AY48" s="526"/>
      <c r="AZ48" s="526"/>
      <c r="BA48" s="526"/>
      <c r="BB48" s="526"/>
      <c r="BC48" s="526"/>
      <c r="BD48" s="526"/>
    </row>
    <row r="49" spans="1:56" ht="14.5" x14ac:dyDescent="0.3">
      <c r="A49" s="944"/>
      <c r="B49" s="125"/>
      <c r="C49" s="524" t="s">
        <v>175</v>
      </c>
      <c r="D49" s="526"/>
      <c r="E49" s="526"/>
      <c r="F49" s="526"/>
      <c r="G49" s="526"/>
      <c r="H49" s="526"/>
      <c r="I49" s="526"/>
      <c r="J49" s="526"/>
      <c r="K49" s="526"/>
      <c r="L49" s="526"/>
      <c r="M49" s="526"/>
      <c r="N49" s="526"/>
      <c r="O49" s="526"/>
      <c r="P49" s="526"/>
      <c r="Q49" s="526"/>
      <c r="R49" s="526"/>
      <c r="S49" s="526"/>
      <c r="T49" s="526"/>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526"/>
      <c r="AT49" s="526"/>
      <c r="AU49" s="526"/>
      <c r="AV49" s="526"/>
      <c r="AW49" s="526"/>
      <c r="AX49" s="526"/>
      <c r="AY49" s="526"/>
      <c r="AZ49" s="526"/>
      <c r="BA49" s="526"/>
      <c r="BB49" s="526"/>
      <c r="BC49" s="526"/>
      <c r="BD49" s="526"/>
    </row>
    <row r="50" spans="1:56" ht="14.5" x14ac:dyDescent="0.3">
      <c r="A50" s="944"/>
      <c r="B50" s="125"/>
      <c r="C50" s="525" t="s">
        <v>176</v>
      </c>
      <c r="D50" s="526">
        <v>11328939.555765411</v>
      </c>
      <c r="E50" s="526">
        <v>11241422.184391102</v>
      </c>
      <c r="F50" s="526">
        <v>10358244.011049248</v>
      </c>
      <c r="G50" s="526">
        <v>11502512.935281703</v>
      </c>
      <c r="H50" s="526">
        <v>11361982.713396629</v>
      </c>
      <c r="I50" s="526">
        <v>12043245.781356076</v>
      </c>
      <c r="J50" s="526">
        <v>11911060.665453589</v>
      </c>
      <c r="K50" s="526">
        <v>12559293.741320055</v>
      </c>
      <c r="L50" s="526">
        <v>12370056.813917076</v>
      </c>
      <c r="M50" s="526">
        <v>13056236.846167313</v>
      </c>
      <c r="N50" s="526">
        <v>12982710.986493219</v>
      </c>
      <c r="O50" s="526">
        <v>13526193.918661058</v>
      </c>
      <c r="P50" s="526">
        <v>13432690.466546355</v>
      </c>
      <c r="Q50" s="526">
        <v>14086371.407761592</v>
      </c>
      <c r="R50" s="526">
        <v>14045427.282414909</v>
      </c>
      <c r="S50" s="526">
        <v>14640449.823072463</v>
      </c>
      <c r="T50" s="526">
        <v>14625271.141225157</v>
      </c>
      <c r="U50" s="526">
        <v>15119889.321809916</v>
      </c>
      <c r="V50" s="526">
        <v>15171018.718097392</v>
      </c>
      <c r="W50" s="526">
        <v>15626828.98373987</v>
      </c>
      <c r="X50" s="526">
        <v>15682984.776761305</v>
      </c>
      <c r="Y50" s="526">
        <v>16156256.113390915</v>
      </c>
      <c r="Z50" s="526">
        <v>16234709.250568816</v>
      </c>
      <c r="AA50" s="526">
        <v>16652527.222321462</v>
      </c>
      <c r="AB50" s="526">
        <v>16754066.906288778</v>
      </c>
      <c r="AC50" s="526">
        <v>17066720.155718286</v>
      </c>
      <c r="AD50" s="526">
        <v>17188337.670690536</v>
      </c>
      <c r="AE50" s="526">
        <v>17502727.929516044</v>
      </c>
      <c r="AF50" s="526">
        <v>17663790.841869395</v>
      </c>
      <c r="AG50" s="526">
        <v>17961988.135676641</v>
      </c>
      <c r="AH50" s="526">
        <v>18056494.89300305</v>
      </c>
      <c r="AI50" s="526">
        <v>18338955.682885591</v>
      </c>
      <c r="AJ50" s="526">
        <v>18451984.735945296</v>
      </c>
      <c r="AK50" s="526">
        <v>18676628.885253061</v>
      </c>
      <c r="AL50" s="526">
        <v>18916434.086188063</v>
      </c>
      <c r="AM50" s="526">
        <v>19137141.00340914</v>
      </c>
      <c r="AN50" s="526">
        <v>19370113.217101391</v>
      </c>
      <c r="AO50" s="526">
        <v>19594497.613091134</v>
      </c>
      <c r="AP50" s="526">
        <v>19829422.490413714</v>
      </c>
      <c r="AQ50" s="526">
        <v>20055804.266408719</v>
      </c>
      <c r="AR50" s="526">
        <v>20288807.749923386</v>
      </c>
      <c r="AS50" s="526">
        <v>20514808.943552636</v>
      </c>
      <c r="AT50" s="526">
        <v>20754289.454305641</v>
      </c>
      <c r="AU50" s="526">
        <v>20989075.846848026</v>
      </c>
      <c r="AV50" s="526">
        <v>21236343.739285849</v>
      </c>
      <c r="AW50" s="526">
        <v>21485764.506986693</v>
      </c>
      <c r="AX50" s="526">
        <v>21735976.185957458</v>
      </c>
      <c r="AY50" s="526">
        <v>21989058.211386673</v>
      </c>
      <c r="AZ50" s="526">
        <v>22244026.789783668</v>
      </c>
      <c r="BA50" s="526">
        <v>22501974.432240434</v>
      </c>
      <c r="BB50" s="526">
        <v>22762109.24029763</v>
      </c>
      <c r="BC50" s="526">
        <v>23025549.47553141</v>
      </c>
      <c r="BD50" s="526">
        <v>23291946.300628681</v>
      </c>
    </row>
    <row r="51" spans="1:56" ht="14.5" x14ac:dyDescent="0.3">
      <c r="A51" s="944"/>
      <c r="B51" s="125"/>
      <c r="C51" s="525" t="s">
        <v>161</v>
      </c>
      <c r="D51" s="526"/>
      <c r="E51" s="527">
        <v>-7.7251159248855374E-3</v>
      </c>
      <c r="F51" s="527">
        <v>-7.8564629888926402E-2</v>
      </c>
      <c r="G51" s="527">
        <v>0.11046939259317035</v>
      </c>
      <c r="H51" s="528">
        <v>-1.221734960662596E-2</v>
      </c>
      <c r="I51" s="528">
        <v>5.9959875414718443E-2</v>
      </c>
      <c r="J51" s="528">
        <v>-1.0975871314286428E-2</v>
      </c>
      <c r="K51" s="528">
        <v>5.4422783501269389E-2</v>
      </c>
      <c r="L51" s="528">
        <v>-1.5067481603713876E-2</v>
      </c>
      <c r="M51" s="528">
        <v>5.5471049371272237E-2</v>
      </c>
      <c r="N51" s="528">
        <v>-5.6314741024078409E-3</v>
      </c>
      <c r="O51" s="528">
        <v>4.186205275102102E-2</v>
      </c>
      <c r="P51" s="528">
        <v>-6.9127688599601956E-3</v>
      </c>
      <c r="Q51" s="528">
        <v>4.8663441091210069E-2</v>
      </c>
      <c r="R51" s="528">
        <v>-2.9066481467415199E-3</v>
      </c>
      <c r="S51" s="528">
        <v>4.2364146614644556E-2</v>
      </c>
      <c r="T51" s="528">
        <v>-1.0367633529528091E-3</v>
      </c>
      <c r="U51" s="528">
        <v>3.381941953818194E-2</v>
      </c>
      <c r="V51" s="528">
        <v>3.3815985817914861E-3</v>
      </c>
      <c r="W51" s="528">
        <v>3.0044802798822243E-2</v>
      </c>
      <c r="X51" s="528">
        <v>3.5935501105097208E-3</v>
      </c>
      <c r="Y51" s="528">
        <v>3.0177376524071705E-2</v>
      </c>
      <c r="Z51" s="528">
        <v>4.8558983360554933E-3</v>
      </c>
      <c r="AA51" s="528">
        <v>2.5736092054620956E-2</v>
      </c>
      <c r="AB51" s="528">
        <v>6.0975539995641141E-3</v>
      </c>
      <c r="AC51" s="528">
        <v>1.8661334658521041E-2</v>
      </c>
      <c r="AD51" s="528">
        <v>7.12600393412453E-3</v>
      </c>
      <c r="AE51" s="528">
        <v>1.8290905429534564E-2</v>
      </c>
      <c r="AF51" s="528">
        <v>9.2021605433139555E-3</v>
      </c>
      <c r="AG51" s="528">
        <v>1.6881840171047165E-2</v>
      </c>
      <c r="AH51" s="528">
        <v>5.2614864575429186E-3</v>
      </c>
      <c r="AI51" s="528">
        <v>1.5643168375496574E-2</v>
      </c>
      <c r="AJ51" s="528">
        <v>6.1633309450213883E-3</v>
      </c>
      <c r="AK51" s="528">
        <v>1.2174524991349338E-2</v>
      </c>
      <c r="AL51" s="528">
        <v>1.283985468728514E-2</v>
      </c>
      <c r="AM51" s="528">
        <v>1.1667469472072794E-2</v>
      </c>
      <c r="AN51" s="528">
        <v>1.2173825424119038E-2</v>
      </c>
      <c r="AO51" s="528">
        <v>1.158405185735522E-2</v>
      </c>
      <c r="AP51" s="528">
        <v>1.1989328941285283E-2</v>
      </c>
      <c r="AQ51" s="528">
        <v>1.141645835144444E-2</v>
      </c>
      <c r="AR51" s="528">
        <v>1.1617758152183572E-2</v>
      </c>
      <c r="AS51" s="528">
        <v>1.1139205241377792E-2</v>
      </c>
      <c r="AT51" s="528">
        <v>1.1673543312635508E-2</v>
      </c>
      <c r="AU51" s="528">
        <v>1.1312668306920865E-2</v>
      </c>
      <c r="AV51" s="528">
        <v>1.1780789885275365E-2</v>
      </c>
      <c r="AW51" s="528">
        <v>1.1744995784723183E-2</v>
      </c>
      <c r="AX51" s="528">
        <v>1.164546315721755E-2</v>
      </c>
      <c r="AY51" s="528">
        <v>1.1643462583139801E-2</v>
      </c>
      <c r="AZ51" s="528">
        <v>1.1595247779414414E-2</v>
      </c>
      <c r="BA51" s="528">
        <v>1.1596265590510708E-2</v>
      </c>
      <c r="BB51" s="528">
        <v>1.1560532558622107E-2</v>
      </c>
      <c r="BC51" s="528">
        <v>1.1573630213820079E-2</v>
      </c>
      <c r="BD51" s="528">
        <v>1.156961858305976E-2</v>
      </c>
    </row>
    <row r="52" spans="1:56" ht="14.5" x14ac:dyDescent="0.3">
      <c r="A52" s="944"/>
      <c r="B52" s="125"/>
      <c r="C52" s="525"/>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c r="AQ52" s="526"/>
      <c r="AR52" s="526"/>
      <c r="AS52" s="526"/>
      <c r="AT52" s="526"/>
      <c r="AU52" s="526"/>
      <c r="AV52" s="526"/>
      <c r="AW52" s="526"/>
      <c r="AX52" s="526"/>
      <c r="AY52" s="526"/>
      <c r="AZ52" s="526"/>
      <c r="BA52" s="526"/>
      <c r="BB52" s="526"/>
      <c r="BC52" s="526"/>
      <c r="BD52" s="526"/>
    </row>
    <row r="53" spans="1:56" ht="14.5" x14ac:dyDescent="0.3">
      <c r="A53" s="944"/>
      <c r="B53" s="125"/>
      <c r="C53" s="524" t="s">
        <v>177</v>
      </c>
      <c r="D53" s="526"/>
      <c r="E53" s="526"/>
      <c r="F53" s="526"/>
      <c r="G53" s="526"/>
      <c r="H53" s="526"/>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s="526"/>
      <c r="AU53" s="526"/>
      <c r="AV53" s="526"/>
      <c r="AW53" s="526"/>
      <c r="AX53" s="526"/>
      <c r="AY53" s="526"/>
      <c r="AZ53" s="526"/>
      <c r="BA53" s="526"/>
      <c r="BB53" s="526"/>
      <c r="BC53" s="526"/>
      <c r="BD53" s="526"/>
    </row>
    <row r="54" spans="1:56" ht="14.5" x14ac:dyDescent="0.3">
      <c r="A54" s="944"/>
      <c r="B54" s="125"/>
      <c r="C54" s="525" t="s">
        <v>178</v>
      </c>
      <c r="D54" s="526">
        <v>8027157.5962930648</v>
      </c>
      <c r="E54" s="526">
        <v>8120225.381963511</v>
      </c>
      <c r="F54" s="526">
        <v>6927977.3365886435</v>
      </c>
      <c r="G54" s="526">
        <v>7835677.5230358457</v>
      </c>
      <c r="H54" s="526">
        <v>7699029.0462169703</v>
      </c>
      <c r="I54" s="526">
        <v>8287017.9116010442</v>
      </c>
      <c r="J54" s="526">
        <v>8193333.5618535122</v>
      </c>
      <c r="K54" s="526">
        <v>8756320.8110029716</v>
      </c>
      <c r="L54" s="526">
        <v>8644358.1216612253</v>
      </c>
      <c r="M54" s="526">
        <v>9240044.1455511749</v>
      </c>
      <c r="N54" s="526">
        <v>9207860.2076341528</v>
      </c>
      <c r="O54" s="526">
        <v>9707414.8216110207</v>
      </c>
      <c r="P54" s="526">
        <v>9663790.1405445207</v>
      </c>
      <c r="Q54" s="526">
        <v>10237035.920771627</v>
      </c>
      <c r="R54" s="526">
        <v>10241449.810219591</v>
      </c>
      <c r="S54" s="526">
        <v>10773068.555737276</v>
      </c>
      <c r="T54" s="526">
        <v>10809776.860513847</v>
      </c>
      <c r="U54" s="526">
        <v>11270024.293425892</v>
      </c>
      <c r="V54" s="526">
        <v>11368569.915049301</v>
      </c>
      <c r="W54" s="526">
        <v>11804026.944514992</v>
      </c>
      <c r="X54" s="526">
        <v>11917571.863140868</v>
      </c>
      <c r="Y54" s="526">
        <v>12371563.691539945</v>
      </c>
      <c r="Z54" s="526">
        <v>12512289.084129119</v>
      </c>
      <c r="AA54" s="526">
        <v>12929805.113642568</v>
      </c>
      <c r="AB54" s="526">
        <v>13097670.627242954</v>
      </c>
      <c r="AC54" s="526">
        <v>13439198.359265607</v>
      </c>
      <c r="AD54" s="526">
        <v>13631463.456596024</v>
      </c>
      <c r="AE54" s="526">
        <v>13980622.83754519</v>
      </c>
      <c r="AF54" s="526">
        <v>14213200.03664311</v>
      </c>
      <c r="AG54" s="526">
        <v>14556718.133710278</v>
      </c>
      <c r="AH54" s="526">
        <v>14743974.454855908</v>
      </c>
      <c r="AI54" s="526">
        <v>15082226.303711738</v>
      </c>
      <c r="AJ54" s="526">
        <v>15292450.01511641</v>
      </c>
      <c r="AK54" s="526">
        <v>15590334.346729239</v>
      </c>
      <c r="AL54" s="526">
        <v>15905507.425425259</v>
      </c>
      <c r="AM54" s="526">
        <v>16208034.023846036</v>
      </c>
      <c r="AN54" s="526">
        <v>16525210.616079759</v>
      </c>
      <c r="AO54" s="526">
        <v>16838819.618051656</v>
      </c>
      <c r="AP54" s="526">
        <v>17165531.031096511</v>
      </c>
      <c r="AQ54" s="526">
        <v>17488887.622769918</v>
      </c>
      <c r="AR54" s="526">
        <v>17821836.212222602</v>
      </c>
      <c r="AS54" s="526">
        <v>18152809.942167901</v>
      </c>
      <c r="AT54" s="526">
        <v>18499348.830798138</v>
      </c>
      <c r="AU54" s="526">
        <v>18846025.709760584</v>
      </c>
      <c r="AV54" s="526">
        <v>19207425.490053676</v>
      </c>
      <c r="AW54" s="526">
        <v>19575227.025617555</v>
      </c>
      <c r="AX54" s="526">
        <v>19948172.760976087</v>
      </c>
      <c r="AY54" s="526">
        <v>20328281.284479346</v>
      </c>
      <c r="AZ54" s="526">
        <v>20714682.2746806</v>
      </c>
      <c r="BA54" s="526">
        <v>21108485.317779142</v>
      </c>
      <c r="BB54" s="526">
        <v>21509023.689429179</v>
      </c>
      <c r="BC54" s="526">
        <v>21917431.57958439</v>
      </c>
      <c r="BD54" s="526">
        <v>22333494.638448849</v>
      </c>
    </row>
    <row r="55" spans="1:56" ht="14.5" x14ac:dyDescent="0.3">
      <c r="A55" s="944"/>
      <c r="B55" s="125"/>
      <c r="C55" s="525" t="s">
        <v>161</v>
      </c>
      <c r="D55" s="526"/>
      <c r="E55" s="527">
        <v>1.1594114673097344E-2</v>
      </c>
      <c r="F55" s="527">
        <v>-0.14682450169709158</v>
      </c>
      <c r="G55" s="527">
        <v>0.13101950863109441</v>
      </c>
      <c r="H55" s="528">
        <v>-1.743926755754651E-2</v>
      </c>
      <c r="I55" s="528">
        <v>7.6371820635355414E-2</v>
      </c>
      <c r="J55" s="528">
        <v>-1.1304953210778365E-2</v>
      </c>
      <c r="K55" s="528">
        <v>6.87128437893232E-2</v>
      </c>
      <c r="L55" s="528">
        <v>-1.2786499233908467E-2</v>
      </c>
      <c r="M55" s="528">
        <v>6.8910382414313243E-2</v>
      </c>
      <c r="N55" s="528">
        <v>-3.4830935231535349E-3</v>
      </c>
      <c r="O55" s="528">
        <v>5.4253062352390156E-2</v>
      </c>
      <c r="P55" s="528">
        <v>-4.4939545561997699E-3</v>
      </c>
      <c r="Q55" s="528">
        <v>5.9318939245384492E-2</v>
      </c>
      <c r="R55" s="528">
        <v>4.3116869786581998E-4</v>
      </c>
      <c r="S55" s="528">
        <v>5.1908543748093172E-2</v>
      </c>
      <c r="T55" s="528">
        <v>3.4074140145541371E-3</v>
      </c>
      <c r="U55" s="528">
        <v>4.2576959621918244E-2</v>
      </c>
      <c r="V55" s="528">
        <v>8.7440469565708227E-3</v>
      </c>
      <c r="W55" s="528">
        <v>3.8303588993128149E-2</v>
      </c>
      <c r="X55" s="528">
        <v>9.6191680313503121E-3</v>
      </c>
      <c r="Y55" s="528">
        <v>3.8094322703704497E-2</v>
      </c>
      <c r="Z55" s="528">
        <v>1.1374907497376952E-2</v>
      </c>
      <c r="AA55" s="528">
        <v>3.336847691946597E-2</v>
      </c>
      <c r="AB55" s="528">
        <v>1.2982834012189982E-2</v>
      </c>
      <c r="AC55" s="528">
        <v>2.6075455838099941E-2</v>
      </c>
      <c r="AD55" s="528">
        <v>1.4306292100961588E-2</v>
      </c>
      <c r="AE55" s="528">
        <v>2.5614225652361162E-2</v>
      </c>
      <c r="AF55" s="528">
        <v>1.663568224395056E-2</v>
      </c>
      <c r="AG55" s="528">
        <v>2.4168948314351627E-2</v>
      </c>
      <c r="AH55" s="528">
        <v>1.2863910630513859E-2</v>
      </c>
      <c r="AI55" s="528">
        <v>2.2941700685355431E-2</v>
      </c>
      <c r="AJ55" s="528">
        <v>1.3938506634987687E-2</v>
      </c>
      <c r="AK55" s="528">
        <v>1.947917641178316E-2</v>
      </c>
      <c r="AL55" s="528">
        <v>2.0215928131274635E-2</v>
      </c>
      <c r="AM55" s="528">
        <v>1.9020241877802692E-2</v>
      </c>
      <c r="AN55" s="528">
        <v>1.9569097138312938E-2</v>
      </c>
      <c r="AO55" s="528">
        <v>1.8977609983786847E-2</v>
      </c>
      <c r="AP55" s="528">
        <v>1.9402275245861869E-2</v>
      </c>
      <c r="AQ55" s="528">
        <v>1.883755248163466E-2</v>
      </c>
      <c r="AR55" s="528">
        <v>1.9037722503242305E-2</v>
      </c>
      <c r="AS55" s="528">
        <v>1.8571247429505097E-2</v>
      </c>
      <c r="AT55" s="528">
        <v>1.9090096229413392E-2</v>
      </c>
      <c r="AU55" s="528">
        <v>1.87399503697823E-2</v>
      </c>
      <c r="AV55" s="528">
        <v>1.9176445254763627E-2</v>
      </c>
      <c r="AW55" s="528">
        <v>1.9148924240489119E-2</v>
      </c>
      <c r="AX55" s="528">
        <v>1.9051923886781345E-2</v>
      </c>
      <c r="AY55" s="528">
        <v>1.905480406941577E-2</v>
      </c>
      <c r="AZ55" s="528">
        <v>1.9008050154061484E-2</v>
      </c>
      <c r="BA55" s="528">
        <v>1.9010817442268266E-2</v>
      </c>
      <c r="BB55" s="528">
        <v>1.8975230369214304E-2</v>
      </c>
      <c r="BC55" s="528">
        <v>1.8987746540812454E-2</v>
      </c>
      <c r="BD55" s="528">
        <v>1.8983203271500649E-2</v>
      </c>
    </row>
    <row r="56" spans="1:56" ht="14.5" x14ac:dyDescent="0.3">
      <c r="A56" s="944"/>
      <c r="B56" s="125"/>
      <c r="C56" s="525"/>
      <c r="D56" s="526"/>
      <c r="E56" s="526"/>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s="526"/>
      <c r="AU56" s="526"/>
      <c r="AV56" s="526"/>
      <c r="AW56" s="526"/>
      <c r="AX56" s="526"/>
      <c r="AY56" s="526"/>
      <c r="AZ56" s="526"/>
      <c r="BA56" s="526"/>
      <c r="BB56" s="526"/>
      <c r="BC56" s="526"/>
      <c r="BD56" s="526"/>
    </row>
    <row r="57" spans="1:56" ht="14.5" x14ac:dyDescent="0.3">
      <c r="A57" s="944"/>
      <c r="B57" s="125"/>
      <c r="C57" s="524" t="s">
        <v>179</v>
      </c>
      <c r="D57" s="526"/>
      <c r="E57" s="526"/>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26"/>
      <c r="AT57" s="526"/>
      <c r="AU57" s="526"/>
      <c r="AV57" s="526"/>
      <c r="AW57" s="526"/>
      <c r="AX57" s="526"/>
      <c r="AY57" s="526"/>
      <c r="AZ57" s="526"/>
      <c r="BA57" s="526"/>
      <c r="BB57" s="526"/>
      <c r="BC57" s="526"/>
      <c r="BD57" s="526"/>
    </row>
    <row r="58" spans="1:56" ht="14.5" x14ac:dyDescent="0.3">
      <c r="A58" s="944"/>
      <c r="B58" s="125"/>
      <c r="C58" s="525" t="s">
        <v>180</v>
      </c>
      <c r="D58" s="526">
        <v>44494361.446944177</v>
      </c>
      <c r="E58" s="526">
        <v>44274116.643562719</v>
      </c>
      <c r="F58" s="526">
        <v>41322172.133995764</v>
      </c>
      <c r="G58" s="526">
        <v>43064009.540893123</v>
      </c>
      <c r="H58" s="526">
        <v>44154791.301187113</v>
      </c>
      <c r="I58" s="526">
        <v>45576913.513485946</v>
      </c>
      <c r="J58" s="526">
        <v>46817316.44490318</v>
      </c>
      <c r="K58" s="526">
        <v>48275646.849459879</v>
      </c>
      <c r="L58" s="526">
        <v>49215413.797873177</v>
      </c>
      <c r="M58" s="526">
        <v>51091640.734534234</v>
      </c>
      <c r="N58" s="526">
        <v>52382601.724987283</v>
      </c>
      <c r="O58" s="526">
        <v>53940030.43716494</v>
      </c>
      <c r="P58" s="526">
        <v>55098580.763527267</v>
      </c>
      <c r="Q58" s="526">
        <v>57289553.252110705</v>
      </c>
      <c r="R58" s="526">
        <v>58643998.048425861</v>
      </c>
      <c r="S58" s="526">
        <v>60782289.558338635</v>
      </c>
      <c r="T58" s="526">
        <v>62216984.038662314</v>
      </c>
      <c r="U58" s="526">
        <v>64099663.537969463</v>
      </c>
      <c r="V58" s="526">
        <v>65762503.641916573</v>
      </c>
      <c r="W58" s="526">
        <v>67617979.263697654</v>
      </c>
      <c r="X58" s="526">
        <v>69233640.944993392</v>
      </c>
      <c r="Y58" s="526">
        <v>71284183.505030841</v>
      </c>
      <c r="Z58" s="526">
        <v>72924673.079148903</v>
      </c>
      <c r="AA58" s="526">
        <v>74831531.839830458</v>
      </c>
      <c r="AB58" s="526">
        <v>76501370.705633134</v>
      </c>
      <c r="AC58" s="526">
        <v>78021141.534422949</v>
      </c>
      <c r="AD58" s="526">
        <v>79714047.872348964</v>
      </c>
      <c r="AE58" s="526">
        <v>81326157.819444746</v>
      </c>
      <c r="AF58" s="526">
        <v>83153778.136790484</v>
      </c>
      <c r="AG58" s="526">
        <v>84778342.981899679</v>
      </c>
      <c r="AH58" s="526">
        <v>86260646.775445595</v>
      </c>
      <c r="AI58" s="526">
        <v>87904027.082095563</v>
      </c>
      <c r="AJ58" s="526">
        <v>89460618.907970071</v>
      </c>
      <c r="AK58" s="526">
        <v>91349185.614722461</v>
      </c>
      <c r="AL58" s="526">
        <v>92846462.660880268</v>
      </c>
      <c r="AM58" s="526">
        <v>94307418.972010255</v>
      </c>
      <c r="AN58" s="526">
        <v>95877453.572899967</v>
      </c>
      <c r="AO58" s="526">
        <v>97399926.790141046</v>
      </c>
      <c r="AP58" s="526">
        <v>99016824.972456962</v>
      </c>
      <c r="AQ58" s="526">
        <v>100431485.32973036</v>
      </c>
      <c r="AR58" s="526">
        <v>101876387.22687754</v>
      </c>
      <c r="AS58" s="526">
        <v>103289379.74465957</v>
      </c>
      <c r="AT58" s="526">
        <v>104654840.15591601</v>
      </c>
      <c r="AU58" s="526">
        <v>105948342.77776605</v>
      </c>
      <c r="AV58" s="526">
        <v>107185340.75047588</v>
      </c>
      <c r="AW58" s="526">
        <v>108395599.46991777</v>
      </c>
      <c r="AX58" s="526">
        <v>109569913.71193591</v>
      </c>
      <c r="AY58" s="526">
        <v>110694318.05244318</v>
      </c>
      <c r="AZ58" s="526">
        <v>111763624.64685667</v>
      </c>
      <c r="BA58" s="526">
        <v>112774187.49008957</v>
      </c>
      <c r="BB58" s="526">
        <v>113723983.12869769</v>
      </c>
      <c r="BC58" s="526">
        <v>114610848.24362674</v>
      </c>
      <c r="BD58" s="526">
        <v>115425311.71311122</v>
      </c>
    </row>
    <row r="59" spans="1:56" ht="14.5" x14ac:dyDescent="0.3">
      <c r="A59" s="944"/>
      <c r="B59" s="125"/>
      <c r="C59" s="525" t="s">
        <v>161</v>
      </c>
      <c r="D59" s="526"/>
      <c r="E59" s="527">
        <v>-4.9499486276273798E-3</v>
      </c>
      <c r="F59" s="527">
        <v>-6.6674272314276792E-2</v>
      </c>
      <c r="G59" s="527">
        <v>4.2152610014040102E-2</v>
      </c>
      <c r="H59" s="528">
        <v>2.5329312619118655E-2</v>
      </c>
      <c r="I59" s="528">
        <v>3.2207653357442065E-2</v>
      </c>
      <c r="J59" s="528">
        <v>2.7215597454843143E-2</v>
      </c>
      <c r="K59" s="528">
        <v>3.1149380513360497E-2</v>
      </c>
      <c r="L59" s="528">
        <v>1.9466687859073437E-2</v>
      </c>
      <c r="M59" s="528">
        <v>3.8122750412435576E-2</v>
      </c>
      <c r="N59" s="528">
        <v>2.5267557899749611E-2</v>
      </c>
      <c r="O59" s="528">
        <v>2.9731793780581536E-2</v>
      </c>
      <c r="P59" s="528">
        <v>2.1478488554283054E-2</v>
      </c>
      <c r="Q59" s="528">
        <v>3.9764590271148349E-2</v>
      </c>
      <c r="R59" s="528">
        <v>2.3642090388708948E-2</v>
      </c>
      <c r="S59" s="528">
        <v>3.6462239633577823E-2</v>
      </c>
      <c r="T59" s="528">
        <v>2.3603824251251095E-2</v>
      </c>
      <c r="U59" s="528">
        <v>3.0259896528208929E-2</v>
      </c>
      <c r="V59" s="528">
        <v>2.5941479442589063E-2</v>
      </c>
      <c r="W59" s="528">
        <v>2.8214795955524015E-2</v>
      </c>
      <c r="X59" s="528">
        <v>2.3893965760126531E-2</v>
      </c>
      <c r="Y59" s="528">
        <v>2.9617719537047303E-2</v>
      </c>
      <c r="Z59" s="528">
        <v>2.3013373983617084E-2</v>
      </c>
      <c r="AA59" s="528">
        <v>2.61483347153568E-2</v>
      </c>
      <c r="AB59" s="528">
        <v>2.2314642300478381E-2</v>
      </c>
      <c r="AC59" s="528">
        <v>1.9865929391483541E-2</v>
      </c>
      <c r="AD59" s="528">
        <v>2.169804625556657E-2</v>
      </c>
      <c r="AE59" s="528">
        <v>2.0223661827804214E-2</v>
      </c>
      <c r="AF59" s="528">
        <v>2.2472724229802014E-2</v>
      </c>
      <c r="AG59" s="528">
        <v>1.9536873507259481E-2</v>
      </c>
      <c r="AH59" s="528">
        <v>1.748446291126958E-2</v>
      </c>
      <c r="AI59" s="528">
        <v>1.9051333001571722E-2</v>
      </c>
      <c r="AJ59" s="528">
        <v>1.7707855686984294E-2</v>
      </c>
      <c r="AK59" s="528">
        <v>2.1110592904518086E-2</v>
      </c>
      <c r="AL59" s="528">
        <v>1.6390699447204438E-2</v>
      </c>
      <c r="AM59" s="528">
        <v>1.5735185479990758E-2</v>
      </c>
      <c r="AN59" s="528">
        <v>1.6648049729318614E-2</v>
      </c>
      <c r="AO59" s="528">
        <v>1.5879366425637007E-2</v>
      </c>
      <c r="AP59" s="528">
        <v>1.6600609832076181E-2</v>
      </c>
      <c r="AQ59" s="528">
        <v>1.4287070481879308E-2</v>
      </c>
      <c r="AR59" s="528">
        <v>1.4386941429805277E-2</v>
      </c>
      <c r="AS59" s="528">
        <v>1.3869676342520024E-2</v>
      </c>
      <c r="AT59" s="528">
        <v>1.3219756132062858E-2</v>
      </c>
      <c r="AU59" s="528">
        <v>1.2359701853473458E-2</v>
      </c>
      <c r="AV59" s="528">
        <v>1.1675482034716892E-2</v>
      </c>
      <c r="AW59" s="528">
        <v>1.1291270904846355E-2</v>
      </c>
      <c r="AX59" s="528">
        <v>1.0833597007266261E-2</v>
      </c>
      <c r="AY59" s="528">
        <v>1.0261980706340402E-2</v>
      </c>
      <c r="AZ59" s="528">
        <v>9.659995320689254E-3</v>
      </c>
      <c r="BA59" s="528">
        <v>9.0419655449258188E-3</v>
      </c>
      <c r="BB59" s="528">
        <v>8.4221013668716923E-3</v>
      </c>
      <c r="BC59" s="528">
        <v>7.7984000430710741E-3</v>
      </c>
      <c r="BD59" s="528">
        <v>7.1063383786601434E-3</v>
      </c>
    </row>
    <row r="80" spans="19:19" x14ac:dyDescent="0.3">
      <c r="S80" t="e" cm="1">
        <f t="array" ref="S80">R80*(1+Drivers_macroeconómicos_USCUSS!D)</f>
        <v>#NAME?</v>
      </c>
    </row>
  </sheetData>
  <mergeCells count="2">
    <mergeCell ref="A2:A5"/>
    <mergeCell ref="D27:G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E4C3-6717-49F1-A404-6E3FB0ECD8AC}">
  <sheetPr>
    <tabColor rgb="FF92D050"/>
  </sheetPr>
  <dimension ref="A1:CD832"/>
  <sheetViews>
    <sheetView zoomScale="90" zoomScaleNormal="90" zoomScaleSheetLayoutView="130" workbookViewId="0">
      <pane xSplit="6" ySplit="1" topLeftCell="Q63" activePane="bottomRight" state="frozen"/>
      <selection pane="topRight" activeCell="A24" sqref="A24:XFD28"/>
      <selection pane="bottomLeft" activeCell="A24" sqref="A24:XFD28"/>
      <selection pane="bottomRight" activeCell="S72" sqref="S72"/>
    </sheetView>
  </sheetViews>
  <sheetFormatPr defaultColWidth="12.6640625" defaultRowHeight="15" customHeight="1" x14ac:dyDescent="0.3"/>
  <cols>
    <col min="1" max="1" width="37.58203125" style="536" customWidth="1"/>
    <col min="2" max="2" width="13.1640625" style="538" bestFit="1" customWidth="1"/>
    <col min="3" max="3" width="15.08203125" style="537" customWidth="1"/>
    <col min="4" max="4" width="3.6640625" style="537" customWidth="1"/>
    <col min="5" max="5" width="20.08203125" style="537" customWidth="1"/>
    <col min="6" max="6" width="46.1640625" style="536" customWidth="1"/>
    <col min="7" max="7" width="12" style="536" customWidth="1"/>
    <col min="8" max="8" width="11" style="536" customWidth="1"/>
    <col min="9" max="9" width="10" style="536" customWidth="1"/>
    <col min="10" max="10" width="11.6640625" style="536" customWidth="1"/>
    <col min="11" max="11" width="10.58203125" style="536" bestFit="1" customWidth="1"/>
    <col min="12" max="12" width="10.4140625" style="536" bestFit="1" customWidth="1"/>
    <col min="13" max="13" width="12.6640625" style="536" bestFit="1" customWidth="1"/>
    <col min="14" max="14" width="9.6640625" style="536" customWidth="1"/>
    <col min="15" max="15" width="11.9140625" style="536" bestFit="1" customWidth="1"/>
    <col min="16" max="16" width="10.4140625" style="536" bestFit="1" customWidth="1"/>
    <col min="17" max="17" width="11" style="536" bestFit="1" customWidth="1"/>
    <col min="18" max="20" width="13.08203125" style="536" bestFit="1" customWidth="1"/>
    <col min="21" max="21" width="10.4140625" style="536" customWidth="1"/>
    <col min="22" max="22" width="13.1640625" style="536" customWidth="1"/>
    <col min="23" max="49" width="10.4140625" style="536" customWidth="1"/>
    <col min="50" max="50" width="8.4140625" style="536" customWidth="1"/>
    <col min="51" max="51" width="21.1640625" style="536" bestFit="1" customWidth="1"/>
    <col min="52" max="69" width="13.58203125" style="536" customWidth="1"/>
    <col min="70" max="70" width="2.9140625" style="536" customWidth="1"/>
    <col min="71" max="82" width="13.58203125" style="536" customWidth="1"/>
    <col min="83" max="16384" width="12.6640625" style="536"/>
  </cols>
  <sheetData>
    <row r="1" spans="2:74" s="601" customFormat="1" ht="19" thickBot="1" x14ac:dyDescent="0.45">
      <c r="B1" s="609" t="s">
        <v>0</v>
      </c>
      <c r="C1" s="608"/>
      <c r="D1" s="607"/>
      <c r="E1" s="606"/>
      <c r="F1" s="605" t="s">
        <v>1</v>
      </c>
      <c r="G1" s="604">
        <v>2008</v>
      </c>
      <c r="H1" s="604">
        <v>2009</v>
      </c>
      <c r="I1" s="604">
        <v>2010</v>
      </c>
      <c r="J1" s="604">
        <v>2011</v>
      </c>
      <c r="K1" s="603">
        <v>2012</v>
      </c>
      <c r="L1" s="603">
        <v>2013</v>
      </c>
      <c r="M1" s="602">
        <v>2014</v>
      </c>
      <c r="N1" s="602">
        <v>2015</v>
      </c>
      <c r="O1" s="602">
        <v>2016</v>
      </c>
      <c r="P1" s="602">
        <v>2017</v>
      </c>
      <c r="Q1" s="602">
        <v>2018</v>
      </c>
      <c r="R1" s="602">
        <v>2019</v>
      </c>
      <c r="S1" s="602">
        <v>2020</v>
      </c>
      <c r="T1" s="602">
        <v>2021</v>
      </c>
      <c r="U1" s="602">
        <v>2022</v>
      </c>
      <c r="V1" s="602">
        <v>2023</v>
      </c>
      <c r="W1" s="602">
        <v>2024</v>
      </c>
      <c r="X1" s="602">
        <v>2025</v>
      </c>
      <c r="Y1" s="602">
        <v>2026</v>
      </c>
      <c r="Z1" s="602">
        <v>2027</v>
      </c>
      <c r="AA1" s="602">
        <v>2028</v>
      </c>
      <c r="AB1" s="602">
        <v>2029</v>
      </c>
      <c r="AC1" s="602">
        <v>2030</v>
      </c>
      <c r="AD1" s="602">
        <v>2031</v>
      </c>
      <c r="AE1" s="602">
        <v>2032</v>
      </c>
      <c r="AF1" s="602">
        <v>2033</v>
      </c>
      <c r="AG1" s="602">
        <v>2034</v>
      </c>
      <c r="AH1" s="602">
        <v>2035</v>
      </c>
      <c r="AI1" s="602">
        <v>2036</v>
      </c>
      <c r="AJ1" s="602">
        <v>2037</v>
      </c>
      <c r="AK1" s="602">
        <v>2038</v>
      </c>
      <c r="AL1" s="602">
        <v>2039</v>
      </c>
      <c r="AM1" s="602">
        <v>2040</v>
      </c>
      <c r="AN1" s="602">
        <v>2041</v>
      </c>
      <c r="AO1" s="602">
        <v>2042</v>
      </c>
      <c r="AP1" s="602">
        <v>2043</v>
      </c>
      <c r="AQ1" s="602">
        <v>2044</v>
      </c>
      <c r="AR1" s="602">
        <v>2045</v>
      </c>
      <c r="AS1" s="602">
        <v>2046</v>
      </c>
      <c r="AT1" s="602">
        <v>2047</v>
      </c>
      <c r="AU1" s="602">
        <v>2048</v>
      </c>
      <c r="AV1" s="602">
        <v>2049</v>
      </c>
      <c r="AW1" s="602">
        <v>2050</v>
      </c>
      <c r="AX1" s="602">
        <v>2051</v>
      </c>
      <c r="AY1" s="602">
        <v>2052</v>
      </c>
      <c r="AZ1" s="602">
        <v>2053</v>
      </c>
      <c r="BA1" s="602">
        <v>2054</v>
      </c>
      <c r="BB1" s="602">
        <v>2055</v>
      </c>
      <c r="BC1" s="602">
        <v>2056</v>
      </c>
      <c r="BD1" s="602">
        <v>2057</v>
      </c>
      <c r="BE1" s="602">
        <v>2058</v>
      </c>
      <c r="BF1" s="602">
        <v>2059</v>
      </c>
      <c r="BG1" s="602">
        <v>2060</v>
      </c>
      <c r="BH1" s="602">
        <v>2061</v>
      </c>
      <c r="BI1" s="602">
        <v>2062</v>
      </c>
      <c r="BJ1" s="602">
        <v>2063</v>
      </c>
      <c r="BK1" s="602">
        <v>2064</v>
      </c>
      <c r="BL1" s="602">
        <v>2065</v>
      </c>
      <c r="BM1" s="602">
        <v>2066</v>
      </c>
      <c r="BN1" s="602">
        <v>2067</v>
      </c>
      <c r="BO1" s="602">
        <v>2068</v>
      </c>
      <c r="BP1" s="602">
        <v>2069</v>
      </c>
      <c r="BQ1" s="602">
        <v>2070</v>
      </c>
      <c r="BR1" s="602"/>
      <c r="BS1" s="602"/>
      <c r="BT1" s="602"/>
      <c r="BU1" s="602"/>
      <c r="BV1" s="602"/>
    </row>
    <row r="2" spans="2:74" ht="14.25" customHeight="1" x14ac:dyDescent="0.3">
      <c r="B2" s="957"/>
      <c r="C2" s="540"/>
      <c r="D2" s="540"/>
      <c r="E2" s="540"/>
      <c r="F2" s="539"/>
      <c r="G2" s="539"/>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row>
    <row r="3" spans="2:74" ht="26" customHeight="1" x14ac:dyDescent="0.3">
      <c r="B3" s="957"/>
      <c r="C3" s="540"/>
      <c r="D3" s="1103" t="s">
        <v>2</v>
      </c>
      <c r="E3" s="1103"/>
      <c r="F3" s="1103"/>
      <c r="G3" s="539"/>
      <c r="H3" s="539"/>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row>
    <row r="4" spans="2:74" ht="14.25" customHeight="1" thickBot="1" x14ac:dyDescent="0.35">
      <c r="B4" s="957"/>
      <c r="C4" s="540"/>
      <c r="D4" s="540"/>
      <c r="E4" s="540"/>
      <c r="F4" s="539"/>
      <c r="G4" s="539"/>
      <c r="H4" s="539"/>
      <c r="I4" s="594"/>
      <c r="J4" s="594"/>
      <c r="K4" s="594"/>
      <c r="L4" s="594"/>
      <c r="M4" s="594"/>
      <c r="N4" s="594"/>
      <c r="O4" s="594"/>
      <c r="P4" s="594"/>
      <c r="Q4" s="594"/>
      <c r="R4" s="594"/>
      <c r="S4" s="594"/>
      <c r="T4" s="594"/>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row>
    <row r="5" spans="2:74" ht="14.25" customHeight="1" x14ac:dyDescent="0.3">
      <c r="B5" s="957"/>
      <c r="C5" s="540"/>
      <c r="D5" s="598"/>
      <c r="E5" s="593"/>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2"/>
      <c r="AJ5" s="592"/>
      <c r="AK5" s="592"/>
      <c r="AL5" s="592"/>
      <c r="AM5" s="592"/>
      <c r="AN5" s="592"/>
      <c r="AO5" s="592"/>
      <c r="AP5" s="592"/>
      <c r="AQ5" s="592"/>
      <c r="AR5" s="592"/>
      <c r="AS5" s="592"/>
      <c r="AT5" s="592"/>
      <c r="AU5" s="592"/>
      <c r="AV5" s="592"/>
      <c r="AW5" s="592"/>
      <c r="AX5" s="591"/>
    </row>
    <row r="6" spans="2:74" ht="14.25" customHeight="1" x14ac:dyDescent="0.3">
      <c r="B6" s="957"/>
      <c r="C6" s="540"/>
      <c r="D6" s="551"/>
      <c r="E6" s="550" t="s">
        <v>3</v>
      </c>
      <c r="F6" s="557" t="s">
        <v>4</v>
      </c>
      <c r="G6" s="549"/>
      <c r="H6" s="549"/>
      <c r="I6" s="549"/>
      <c r="J6" s="549"/>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8"/>
    </row>
    <row r="7" spans="2:74" ht="14.25" hidden="1" customHeight="1" x14ac:dyDescent="0.3">
      <c r="B7" s="957"/>
      <c r="C7" s="540"/>
      <c r="D7" s="551"/>
      <c r="E7" s="556"/>
      <c r="F7" s="631" t="s">
        <v>5</v>
      </c>
      <c r="G7" s="549"/>
      <c r="H7" s="549"/>
      <c r="I7" s="549"/>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8"/>
    </row>
    <row r="8" spans="2:74" s="583" customFormat="1" ht="14.25" hidden="1" customHeight="1" x14ac:dyDescent="0.3">
      <c r="B8" s="1104" t="s">
        <v>6</v>
      </c>
      <c r="C8" s="957"/>
      <c r="D8" s="802"/>
      <c r="E8" s="803"/>
      <c r="F8" s="804" t="s">
        <v>7</v>
      </c>
      <c r="G8" s="804"/>
      <c r="H8" s="804"/>
      <c r="I8" s="805">
        <v>3504127</v>
      </c>
      <c r="J8" s="806">
        <v>3536454</v>
      </c>
      <c r="K8" s="806">
        <v>3583056</v>
      </c>
      <c r="L8" s="806">
        <v>3538424</v>
      </c>
      <c r="M8" s="806">
        <v>5758859</v>
      </c>
      <c r="N8" s="807">
        <v>5729799</v>
      </c>
      <c r="O8" s="807">
        <v>5773290</v>
      </c>
      <c r="P8" s="807">
        <v>5675402</v>
      </c>
      <c r="Q8" s="808">
        <v>5740641</v>
      </c>
      <c r="R8" s="808">
        <v>6040896</v>
      </c>
      <c r="S8" s="808">
        <v>6112324</v>
      </c>
      <c r="T8" s="808">
        <v>5900560</v>
      </c>
      <c r="U8" s="809">
        <v>5900560</v>
      </c>
      <c r="V8" s="809">
        <v>5900560</v>
      </c>
      <c r="W8" s="809">
        <v>5900560</v>
      </c>
      <c r="X8" s="809">
        <v>5900560</v>
      </c>
      <c r="Y8" s="809">
        <v>5900560</v>
      </c>
      <c r="Z8" s="809">
        <v>5900560</v>
      </c>
      <c r="AA8" s="809">
        <v>5900560</v>
      </c>
      <c r="AB8" s="809">
        <v>5900560</v>
      </c>
      <c r="AC8" s="809">
        <v>5900560</v>
      </c>
      <c r="AD8" s="809">
        <v>5900560</v>
      </c>
      <c r="AE8" s="809">
        <v>5900560</v>
      </c>
      <c r="AF8" s="809">
        <v>5900560</v>
      </c>
      <c r="AG8" s="809">
        <v>5900560</v>
      </c>
      <c r="AH8" s="809">
        <v>5900560</v>
      </c>
      <c r="AI8" s="809">
        <v>5900560</v>
      </c>
      <c r="AJ8" s="809">
        <v>5900560</v>
      </c>
      <c r="AK8" s="809">
        <v>5900560</v>
      </c>
      <c r="AL8" s="809">
        <v>5900560</v>
      </c>
      <c r="AM8" s="809">
        <v>5900560</v>
      </c>
      <c r="AN8" s="809">
        <v>5900560</v>
      </c>
      <c r="AO8" s="809">
        <v>5900560</v>
      </c>
      <c r="AP8" s="809">
        <v>5900560</v>
      </c>
      <c r="AQ8" s="809">
        <v>5900560</v>
      </c>
      <c r="AR8" s="809">
        <v>5900560</v>
      </c>
      <c r="AS8" s="809">
        <v>5900560</v>
      </c>
      <c r="AT8" s="809">
        <v>5900560</v>
      </c>
      <c r="AU8" s="809">
        <v>5900560</v>
      </c>
      <c r="AV8" s="809">
        <v>5900560</v>
      </c>
      <c r="AW8" s="809">
        <v>5900560</v>
      </c>
      <c r="AX8" s="810"/>
      <c r="AY8" s="811"/>
      <c r="AZ8" s="811"/>
      <c r="BA8" s="811"/>
      <c r="BB8" s="811"/>
      <c r="BC8" s="811"/>
      <c r="BD8" s="811"/>
      <c r="BE8" s="811"/>
      <c r="BF8" s="811"/>
      <c r="BG8" s="811"/>
      <c r="BH8" s="811"/>
      <c r="BI8" s="811"/>
      <c r="BJ8" s="811"/>
      <c r="BK8" s="811"/>
      <c r="BL8" s="811"/>
      <c r="BM8" s="811"/>
      <c r="BN8" s="811"/>
      <c r="BO8" s="811"/>
      <c r="BP8" s="811"/>
      <c r="BQ8" s="811"/>
      <c r="BR8" s="811"/>
      <c r="BS8" s="811"/>
      <c r="BT8" s="811"/>
      <c r="BU8" s="811"/>
      <c r="BV8" s="811"/>
    </row>
    <row r="9" spans="2:74" s="583" customFormat="1" ht="14.25" hidden="1" customHeight="1" x14ac:dyDescent="0.3">
      <c r="B9" s="1104"/>
      <c r="C9" s="957"/>
      <c r="D9" s="802"/>
      <c r="E9" s="803"/>
      <c r="F9" s="804" t="s">
        <v>8</v>
      </c>
      <c r="G9" s="804"/>
      <c r="H9" s="804"/>
      <c r="I9" s="805">
        <v>1391379</v>
      </c>
      <c r="J9" s="806">
        <v>1379473</v>
      </c>
      <c r="K9" s="806">
        <v>1382918</v>
      </c>
      <c r="L9" s="806">
        <v>1469363</v>
      </c>
      <c r="M9" s="806">
        <v>1417104</v>
      </c>
      <c r="N9" s="807">
        <v>1483366</v>
      </c>
      <c r="O9" s="807">
        <v>1439117</v>
      </c>
      <c r="P9" s="807">
        <v>1430497</v>
      </c>
      <c r="Q9" s="808">
        <v>1385805</v>
      </c>
      <c r="R9" s="808">
        <v>1439504</v>
      </c>
      <c r="S9" s="808">
        <v>1442973</v>
      </c>
      <c r="T9" s="808">
        <v>1423372</v>
      </c>
      <c r="U9" s="809">
        <v>1423372</v>
      </c>
      <c r="V9" s="809">
        <v>1423372</v>
      </c>
      <c r="W9" s="809">
        <v>1423372</v>
      </c>
      <c r="X9" s="809">
        <v>1423372</v>
      </c>
      <c r="Y9" s="809">
        <v>1423372</v>
      </c>
      <c r="Z9" s="809">
        <v>1423372</v>
      </c>
      <c r="AA9" s="809">
        <v>1423372</v>
      </c>
      <c r="AB9" s="809">
        <v>1423372</v>
      </c>
      <c r="AC9" s="809">
        <v>1423372</v>
      </c>
      <c r="AD9" s="809">
        <v>1423372</v>
      </c>
      <c r="AE9" s="809">
        <v>1423372</v>
      </c>
      <c r="AF9" s="809">
        <v>1423372</v>
      </c>
      <c r="AG9" s="809">
        <v>1423372</v>
      </c>
      <c r="AH9" s="809">
        <v>1423372</v>
      </c>
      <c r="AI9" s="809">
        <v>1423372</v>
      </c>
      <c r="AJ9" s="809">
        <v>1423372</v>
      </c>
      <c r="AK9" s="809">
        <v>1423372</v>
      </c>
      <c r="AL9" s="809">
        <v>1423372</v>
      </c>
      <c r="AM9" s="809">
        <v>1423372</v>
      </c>
      <c r="AN9" s="809">
        <v>1423372</v>
      </c>
      <c r="AO9" s="809">
        <v>1423372</v>
      </c>
      <c r="AP9" s="809">
        <v>1423372</v>
      </c>
      <c r="AQ9" s="809">
        <v>1423372</v>
      </c>
      <c r="AR9" s="809">
        <v>1423372</v>
      </c>
      <c r="AS9" s="809">
        <v>1423372</v>
      </c>
      <c r="AT9" s="809">
        <v>1423372</v>
      </c>
      <c r="AU9" s="809">
        <v>1423372</v>
      </c>
      <c r="AV9" s="809">
        <v>1423372</v>
      </c>
      <c r="AW9" s="809">
        <v>1423372</v>
      </c>
      <c r="AX9" s="810"/>
      <c r="AY9" s="811"/>
      <c r="AZ9" s="811"/>
      <c r="BA9" s="811"/>
      <c r="BB9" s="811"/>
      <c r="BC9" s="811"/>
      <c r="BD9" s="811"/>
      <c r="BE9" s="811"/>
      <c r="BF9" s="811"/>
      <c r="BG9" s="811"/>
      <c r="BH9" s="811"/>
      <c r="BI9" s="811"/>
      <c r="BJ9" s="811"/>
      <c r="BK9" s="811"/>
      <c r="BL9" s="811"/>
      <c r="BM9" s="811"/>
      <c r="BN9" s="811"/>
      <c r="BO9" s="811"/>
      <c r="BP9" s="811"/>
      <c r="BQ9" s="811"/>
      <c r="BR9" s="811"/>
      <c r="BS9" s="811"/>
      <c r="BT9" s="811"/>
      <c r="BU9" s="811"/>
      <c r="BV9" s="811"/>
    </row>
    <row r="10" spans="2:74" ht="14.25" hidden="1" customHeight="1" x14ac:dyDescent="0.3">
      <c r="B10" s="1104"/>
      <c r="C10" s="540"/>
      <c r="D10" s="551"/>
      <c r="E10" s="556"/>
      <c r="F10" s="584" t="s">
        <v>9</v>
      </c>
      <c r="G10" s="584"/>
      <c r="H10" s="584"/>
      <c r="I10" s="958">
        <v>992369</v>
      </c>
      <c r="J10" s="958">
        <v>982312</v>
      </c>
      <c r="K10" s="958">
        <v>1020870</v>
      </c>
      <c r="L10" s="958">
        <v>1003271</v>
      </c>
      <c r="M10" s="958">
        <v>876498</v>
      </c>
      <c r="N10" s="958">
        <v>950649</v>
      </c>
      <c r="O10" s="958">
        <v>849685</v>
      </c>
      <c r="P10" s="958">
        <v>904224</v>
      </c>
      <c r="Q10" s="958">
        <v>799494</v>
      </c>
      <c r="R10" s="958">
        <v>769708</v>
      </c>
      <c r="S10" s="958">
        <v>822516</v>
      </c>
      <c r="T10" s="958">
        <v>841994</v>
      </c>
      <c r="U10" s="599">
        <v>841994</v>
      </c>
      <c r="V10" s="599">
        <v>841994</v>
      </c>
      <c r="W10" s="599">
        <v>841994</v>
      </c>
      <c r="X10" s="599">
        <v>841994</v>
      </c>
      <c r="Y10" s="599">
        <v>841994</v>
      </c>
      <c r="Z10" s="599">
        <v>841994</v>
      </c>
      <c r="AA10" s="599">
        <v>841994</v>
      </c>
      <c r="AB10" s="599">
        <v>841994</v>
      </c>
      <c r="AC10" s="599">
        <v>841994</v>
      </c>
      <c r="AD10" s="599">
        <v>841994</v>
      </c>
      <c r="AE10" s="599">
        <v>841994</v>
      </c>
      <c r="AF10" s="599">
        <v>841994</v>
      </c>
      <c r="AG10" s="599">
        <v>841994</v>
      </c>
      <c r="AH10" s="599">
        <v>841994</v>
      </c>
      <c r="AI10" s="599">
        <v>841994</v>
      </c>
      <c r="AJ10" s="599">
        <v>841994</v>
      </c>
      <c r="AK10" s="599">
        <v>841994</v>
      </c>
      <c r="AL10" s="599">
        <v>841994</v>
      </c>
      <c r="AM10" s="599">
        <v>841994</v>
      </c>
      <c r="AN10" s="599">
        <v>841994</v>
      </c>
      <c r="AO10" s="599">
        <v>841994</v>
      </c>
      <c r="AP10" s="599">
        <v>841994</v>
      </c>
      <c r="AQ10" s="599">
        <v>841994</v>
      </c>
      <c r="AR10" s="599">
        <v>841994</v>
      </c>
      <c r="AS10" s="599">
        <v>841994</v>
      </c>
      <c r="AT10" s="599">
        <v>841994</v>
      </c>
      <c r="AU10" s="599">
        <v>841994</v>
      </c>
      <c r="AV10" s="599">
        <v>841994</v>
      </c>
      <c r="AW10" s="599">
        <v>841994</v>
      </c>
      <c r="AX10" s="548"/>
    </row>
    <row r="11" spans="2:74" ht="14.25" hidden="1" customHeight="1" x14ac:dyDescent="0.3">
      <c r="B11" s="1104"/>
      <c r="C11" s="540"/>
      <c r="D11" s="551"/>
      <c r="E11" s="556"/>
      <c r="F11" s="584" t="s">
        <v>10</v>
      </c>
      <c r="G11" s="584"/>
      <c r="H11" s="584"/>
      <c r="I11" s="958">
        <v>193957</v>
      </c>
      <c r="J11" s="590">
        <v>173442</v>
      </c>
      <c r="K11" s="590">
        <v>126982</v>
      </c>
      <c r="L11" s="590">
        <v>191159</v>
      </c>
      <c r="M11" s="590">
        <v>93574</v>
      </c>
      <c r="N11" s="590">
        <v>117390</v>
      </c>
      <c r="O11" s="590">
        <v>125946</v>
      </c>
      <c r="P11" s="590">
        <v>129268</v>
      </c>
      <c r="Q11" s="958">
        <v>168446</v>
      </c>
      <c r="R11" s="958">
        <v>219492</v>
      </c>
      <c r="S11" s="958">
        <v>215014</v>
      </c>
      <c r="T11" s="958">
        <v>163017</v>
      </c>
      <c r="U11" s="599">
        <v>163017</v>
      </c>
      <c r="V11" s="599">
        <v>163017</v>
      </c>
      <c r="W11" s="599">
        <v>163017</v>
      </c>
      <c r="X11" s="599">
        <v>163017</v>
      </c>
      <c r="Y11" s="599">
        <v>163017</v>
      </c>
      <c r="Z11" s="599">
        <v>163017</v>
      </c>
      <c r="AA11" s="599">
        <v>163017</v>
      </c>
      <c r="AB11" s="599">
        <v>163017</v>
      </c>
      <c r="AC11" s="599">
        <v>163017</v>
      </c>
      <c r="AD11" s="599">
        <v>163017</v>
      </c>
      <c r="AE11" s="599">
        <v>163017</v>
      </c>
      <c r="AF11" s="599">
        <v>163017</v>
      </c>
      <c r="AG11" s="599">
        <v>163017</v>
      </c>
      <c r="AH11" s="599">
        <v>163017</v>
      </c>
      <c r="AI11" s="599">
        <v>163017</v>
      </c>
      <c r="AJ11" s="599">
        <v>163017</v>
      </c>
      <c r="AK11" s="599">
        <v>163017</v>
      </c>
      <c r="AL11" s="599">
        <v>163017</v>
      </c>
      <c r="AM11" s="599">
        <v>163017</v>
      </c>
      <c r="AN11" s="599">
        <v>163017</v>
      </c>
      <c r="AO11" s="599">
        <v>163017</v>
      </c>
      <c r="AP11" s="599">
        <v>163017</v>
      </c>
      <c r="AQ11" s="599">
        <v>163017</v>
      </c>
      <c r="AR11" s="599">
        <v>163017</v>
      </c>
      <c r="AS11" s="599">
        <v>163017</v>
      </c>
      <c r="AT11" s="599">
        <v>163017</v>
      </c>
      <c r="AU11" s="599">
        <v>163017</v>
      </c>
      <c r="AV11" s="599">
        <v>163017</v>
      </c>
      <c r="AW11" s="599">
        <v>163017</v>
      </c>
      <c r="AX11" s="548"/>
    </row>
    <row r="12" spans="2:74" ht="14.25" hidden="1" customHeight="1" x14ac:dyDescent="0.3">
      <c r="B12" s="1104"/>
      <c r="C12" s="540"/>
      <c r="D12" s="551"/>
      <c r="E12" s="556"/>
      <c r="F12" s="584" t="s">
        <v>11</v>
      </c>
      <c r="G12" s="584"/>
      <c r="H12" s="584"/>
      <c r="I12" s="958">
        <v>217058</v>
      </c>
      <c r="J12" s="590">
        <v>210584</v>
      </c>
      <c r="K12" s="590">
        <v>205657</v>
      </c>
      <c r="L12" s="590">
        <v>216225</v>
      </c>
      <c r="M12" s="590">
        <v>468180</v>
      </c>
      <c r="N12" s="590">
        <v>612090</v>
      </c>
      <c r="O12" s="590">
        <v>719109</v>
      </c>
      <c r="P12" s="590">
        <v>757791</v>
      </c>
      <c r="Q12" s="958">
        <v>796518</v>
      </c>
      <c r="R12" s="958">
        <v>662305</v>
      </c>
      <c r="S12" s="958">
        <v>681476</v>
      </c>
      <c r="T12" s="958">
        <v>712757</v>
      </c>
      <c r="U12" s="599">
        <v>712757</v>
      </c>
      <c r="V12" s="599">
        <v>712757</v>
      </c>
      <c r="W12" s="599">
        <v>712757</v>
      </c>
      <c r="X12" s="599">
        <v>712757</v>
      </c>
      <c r="Y12" s="599">
        <v>712757</v>
      </c>
      <c r="Z12" s="599">
        <v>712757</v>
      </c>
      <c r="AA12" s="599">
        <v>712757</v>
      </c>
      <c r="AB12" s="599">
        <v>712757</v>
      </c>
      <c r="AC12" s="599">
        <v>712757</v>
      </c>
      <c r="AD12" s="599">
        <v>712757</v>
      </c>
      <c r="AE12" s="599">
        <v>712757</v>
      </c>
      <c r="AF12" s="599">
        <v>712757</v>
      </c>
      <c r="AG12" s="599">
        <v>712757</v>
      </c>
      <c r="AH12" s="599">
        <v>712757</v>
      </c>
      <c r="AI12" s="599">
        <v>712757</v>
      </c>
      <c r="AJ12" s="599">
        <v>712757</v>
      </c>
      <c r="AK12" s="599">
        <v>712757</v>
      </c>
      <c r="AL12" s="599">
        <v>712757</v>
      </c>
      <c r="AM12" s="599">
        <v>712757</v>
      </c>
      <c r="AN12" s="599">
        <v>712757</v>
      </c>
      <c r="AO12" s="599">
        <v>712757</v>
      </c>
      <c r="AP12" s="599">
        <v>712757</v>
      </c>
      <c r="AQ12" s="599">
        <v>712757</v>
      </c>
      <c r="AR12" s="599">
        <v>712757</v>
      </c>
      <c r="AS12" s="599">
        <v>712757</v>
      </c>
      <c r="AT12" s="599">
        <v>712757</v>
      </c>
      <c r="AU12" s="599">
        <v>712757</v>
      </c>
      <c r="AV12" s="599">
        <v>712757</v>
      </c>
      <c r="AW12" s="599">
        <v>712757</v>
      </c>
      <c r="AX12" s="548"/>
      <c r="AY12" s="581"/>
      <c r="AZ12" s="581"/>
      <c r="BA12" s="581"/>
      <c r="BB12" s="581"/>
      <c r="BC12" s="581"/>
      <c r="BD12" s="581"/>
      <c r="BE12" s="581"/>
      <c r="BF12" s="581"/>
      <c r="BG12" s="581"/>
      <c r="BH12" s="581"/>
      <c r="BI12" s="581"/>
    </row>
    <row r="13" spans="2:74" ht="14.25" hidden="1" customHeight="1" x14ac:dyDescent="0.35">
      <c r="B13" s="1104"/>
      <c r="C13" s="540"/>
      <c r="D13" s="551"/>
      <c r="E13" s="556"/>
      <c r="F13" s="584" t="s">
        <v>12</v>
      </c>
      <c r="G13" s="584"/>
      <c r="H13" s="584"/>
      <c r="I13" s="590">
        <v>539475</v>
      </c>
      <c r="J13" s="590">
        <v>565857</v>
      </c>
      <c r="K13" s="590">
        <v>608272</v>
      </c>
      <c r="L13" s="590">
        <v>491891</v>
      </c>
      <c r="M13" s="590">
        <v>499258</v>
      </c>
      <c r="N13" s="590">
        <v>454347</v>
      </c>
      <c r="O13" s="600">
        <v>377791</v>
      </c>
      <c r="P13" s="590">
        <v>332418</v>
      </c>
      <c r="Q13" s="958">
        <v>252612</v>
      </c>
      <c r="R13" s="958">
        <v>270986</v>
      </c>
      <c r="S13" s="958">
        <v>249139</v>
      </c>
      <c r="T13" s="958">
        <v>233074</v>
      </c>
      <c r="U13" s="599">
        <v>233074</v>
      </c>
      <c r="V13" s="599">
        <v>233074</v>
      </c>
      <c r="W13" s="599">
        <v>233074</v>
      </c>
      <c r="X13" s="599">
        <v>233074</v>
      </c>
      <c r="Y13" s="599">
        <v>233074</v>
      </c>
      <c r="Z13" s="599">
        <v>233074</v>
      </c>
      <c r="AA13" s="599">
        <v>233074</v>
      </c>
      <c r="AB13" s="599">
        <v>233074</v>
      </c>
      <c r="AC13" s="599">
        <v>233074</v>
      </c>
      <c r="AD13" s="599">
        <v>233074</v>
      </c>
      <c r="AE13" s="599">
        <v>233074</v>
      </c>
      <c r="AF13" s="599">
        <v>233074</v>
      </c>
      <c r="AG13" s="599">
        <v>233074</v>
      </c>
      <c r="AH13" s="599">
        <v>233074</v>
      </c>
      <c r="AI13" s="599">
        <v>233074</v>
      </c>
      <c r="AJ13" s="599">
        <v>233074</v>
      </c>
      <c r="AK13" s="599">
        <v>233074</v>
      </c>
      <c r="AL13" s="599">
        <v>233074</v>
      </c>
      <c r="AM13" s="599">
        <v>233074</v>
      </c>
      <c r="AN13" s="599">
        <v>233074</v>
      </c>
      <c r="AO13" s="599">
        <v>233074</v>
      </c>
      <c r="AP13" s="599">
        <v>233074</v>
      </c>
      <c r="AQ13" s="599">
        <v>233074</v>
      </c>
      <c r="AR13" s="599">
        <v>233074</v>
      </c>
      <c r="AS13" s="599">
        <v>233074</v>
      </c>
      <c r="AT13" s="599">
        <v>233074</v>
      </c>
      <c r="AU13" s="599">
        <v>233074</v>
      </c>
      <c r="AV13" s="599">
        <v>233074</v>
      </c>
      <c r="AW13" s="599">
        <v>233074</v>
      </c>
      <c r="AX13" s="548"/>
    </row>
    <row r="14" spans="2:74" ht="14.25" hidden="1" customHeight="1" x14ac:dyDescent="0.3">
      <c r="B14" s="1104"/>
      <c r="C14" s="540"/>
      <c r="D14" s="551"/>
      <c r="E14" s="556"/>
      <c r="F14" s="584" t="s">
        <v>13</v>
      </c>
      <c r="G14" s="584"/>
      <c r="H14" s="584"/>
      <c r="I14" s="958">
        <v>3409952</v>
      </c>
      <c r="J14" s="958">
        <v>3425412</v>
      </c>
      <c r="K14" s="958">
        <v>3553008</v>
      </c>
      <c r="L14" s="958">
        <v>3227321</v>
      </c>
      <c r="M14" s="958">
        <v>2259447</v>
      </c>
      <c r="N14" s="958">
        <v>2531442</v>
      </c>
      <c r="O14" s="958">
        <v>2300539</v>
      </c>
      <c r="P14" s="958">
        <v>2447634</v>
      </c>
      <c r="Q14" s="958">
        <v>2379042</v>
      </c>
      <c r="R14" s="958">
        <v>1985494</v>
      </c>
      <c r="S14" s="958">
        <v>2067795</v>
      </c>
      <c r="T14" s="958">
        <v>2376551</v>
      </c>
      <c r="U14" s="599">
        <v>2376551</v>
      </c>
      <c r="V14" s="599">
        <v>2376551</v>
      </c>
      <c r="W14" s="599">
        <v>2376551</v>
      </c>
      <c r="X14" s="599">
        <v>2376551</v>
      </c>
      <c r="Y14" s="599">
        <v>2376551</v>
      </c>
      <c r="Z14" s="599">
        <v>2376551</v>
      </c>
      <c r="AA14" s="599">
        <v>2376551</v>
      </c>
      <c r="AB14" s="599">
        <v>2376551</v>
      </c>
      <c r="AC14" s="599">
        <v>2376551</v>
      </c>
      <c r="AD14" s="599">
        <v>2376551</v>
      </c>
      <c r="AE14" s="599">
        <v>2376551</v>
      </c>
      <c r="AF14" s="599">
        <v>2376551</v>
      </c>
      <c r="AG14" s="599">
        <v>2376551</v>
      </c>
      <c r="AH14" s="599">
        <v>2376551</v>
      </c>
      <c r="AI14" s="599">
        <v>2376551</v>
      </c>
      <c r="AJ14" s="599">
        <v>2376551</v>
      </c>
      <c r="AK14" s="599">
        <v>2376551</v>
      </c>
      <c r="AL14" s="599">
        <v>2376551</v>
      </c>
      <c r="AM14" s="599">
        <v>2376551</v>
      </c>
      <c r="AN14" s="599">
        <v>2376551</v>
      </c>
      <c r="AO14" s="599">
        <v>2376551</v>
      </c>
      <c r="AP14" s="599">
        <v>2376551</v>
      </c>
      <c r="AQ14" s="599">
        <v>2376551</v>
      </c>
      <c r="AR14" s="599">
        <v>2376551</v>
      </c>
      <c r="AS14" s="599">
        <v>2376551</v>
      </c>
      <c r="AT14" s="599">
        <v>2376551</v>
      </c>
      <c r="AU14" s="599">
        <v>2376551</v>
      </c>
      <c r="AV14" s="599">
        <v>2376551</v>
      </c>
      <c r="AW14" s="599">
        <v>2376551</v>
      </c>
      <c r="AX14" s="548"/>
    </row>
    <row r="15" spans="2:74" ht="14.25" hidden="1" customHeight="1" x14ac:dyDescent="0.3">
      <c r="B15" s="1104"/>
      <c r="C15" s="540"/>
      <c r="D15" s="551"/>
      <c r="E15" s="556"/>
      <c r="F15" s="584" t="s">
        <v>14</v>
      </c>
      <c r="G15" s="584"/>
      <c r="H15" s="584"/>
      <c r="I15" s="958">
        <v>1509972</v>
      </c>
      <c r="J15" s="958">
        <v>1385547</v>
      </c>
      <c r="K15" s="958">
        <v>1423114</v>
      </c>
      <c r="L15" s="958">
        <v>1623359</v>
      </c>
      <c r="M15" s="958">
        <v>828333</v>
      </c>
      <c r="N15" s="958">
        <v>706777</v>
      </c>
      <c r="O15" s="958">
        <v>800496</v>
      </c>
      <c r="P15" s="958">
        <v>677911</v>
      </c>
      <c r="Q15" s="958">
        <v>715273</v>
      </c>
      <c r="R15" s="958">
        <v>915843</v>
      </c>
      <c r="S15" s="958">
        <v>841320</v>
      </c>
      <c r="T15" s="958">
        <v>646139</v>
      </c>
      <c r="U15" s="599">
        <v>646139</v>
      </c>
      <c r="V15" s="599">
        <v>646139</v>
      </c>
      <c r="W15" s="599">
        <v>646139</v>
      </c>
      <c r="X15" s="599">
        <v>646139</v>
      </c>
      <c r="Y15" s="599">
        <v>646139</v>
      </c>
      <c r="Z15" s="599">
        <v>646139</v>
      </c>
      <c r="AA15" s="599">
        <v>646139</v>
      </c>
      <c r="AB15" s="599">
        <v>646139</v>
      </c>
      <c r="AC15" s="599">
        <v>646139</v>
      </c>
      <c r="AD15" s="599">
        <v>646139</v>
      </c>
      <c r="AE15" s="599">
        <v>646139</v>
      </c>
      <c r="AF15" s="599">
        <v>646139</v>
      </c>
      <c r="AG15" s="599">
        <v>646139</v>
      </c>
      <c r="AH15" s="599">
        <v>646139</v>
      </c>
      <c r="AI15" s="599">
        <v>646139</v>
      </c>
      <c r="AJ15" s="599">
        <v>646139</v>
      </c>
      <c r="AK15" s="599">
        <v>646139</v>
      </c>
      <c r="AL15" s="599">
        <v>646139</v>
      </c>
      <c r="AM15" s="599">
        <v>646139</v>
      </c>
      <c r="AN15" s="599">
        <v>646139</v>
      </c>
      <c r="AO15" s="599">
        <v>646139</v>
      </c>
      <c r="AP15" s="599">
        <v>646139</v>
      </c>
      <c r="AQ15" s="599">
        <v>646139</v>
      </c>
      <c r="AR15" s="599">
        <v>646139</v>
      </c>
      <c r="AS15" s="599">
        <v>646139</v>
      </c>
      <c r="AT15" s="599">
        <v>646139</v>
      </c>
      <c r="AU15" s="599">
        <v>646139</v>
      </c>
      <c r="AV15" s="599">
        <v>646139</v>
      </c>
      <c r="AW15" s="599">
        <v>646139</v>
      </c>
      <c r="AX15" s="548"/>
    </row>
    <row r="16" spans="2:74" ht="14.25" customHeight="1" x14ac:dyDescent="0.3">
      <c r="B16" s="957"/>
      <c r="C16" s="540"/>
      <c r="D16" s="551"/>
      <c r="E16" s="556"/>
      <c r="F16" s="631" t="s">
        <v>15</v>
      </c>
      <c r="G16" s="549"/>
      <c r="H16" s="549"/>
      <c r="I16" s="549"/>
      <c r="J16" s="549"/>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8"/>
    </row>
    <row r="17" spans="2:61" s="583" customFormat="1" ht="14.25" customHeight="1" x14ac:dyDescent="0.3">
      <c r="B17" s="1104" t="s">
        <v>6</v>
      </c>
      <c r="C17" s="957"/>
      <c r="D17" s="802"/>
      <c r="E17" s="803"/>
      <c r="F17" s="804" t="s">
        <v>16</v>
      </c>
      <c r="G17" s="804"/>
      <c r="H17" s="804"/>
      <c r="I17" s="812">
        <f t="shared" ref="I17:AW17" si="0">I8/1000000</f>
        <v>3.504127</v>
      </c>
      <c r="J17" s="812">
        <f t="shared" si="0"/>
        <v>3.536454</v>
      </c>
      <c r="K17" s="812">
        <f t="shared" si="0"/>
        <v>3.583056</v>
      </c>
      <c r="L17" s="812">
        <f t="shared" si="0"/>
        <v>3.538424</v>
      </c>
      <c r="M17" s="812">
        <f t="shared" si="0"/>
        <v>5.7588590000000002</v>
      </c>
      <c r="N17" s="812">
        <f t="shared" si="0"/>
        <v>5.7297989999999999</v>
      </c>
      <c r="O17" s="812">
        <f t="shared" si="0"/>
        <v>5.7732900000000003</v>
      </c>
      <c r="P17" s="812">
        <f t="shared" si="0"/>
        <v>5.6754020000000001</v>
      </c>
      <c r="Q17" s="812">
        <f t="shared" si="0"/>
        <v>5.7406410000000001</v>
      </c>
      <c r="R17" s="812">
        <f t="shared" si="0"/>
        <v>6.040896</v>
      </c>
      <c r="S17" s="812">
        <f t="shared" si="0"/>
        <v>6.1123240000000001</v>
      </c>
      <c r="T17" s="812">
        <f t="shared" si="0"/>
        <v>5.9005599999999996</v>
      </c>
      <c r="U17" s="812">
        <f>U8/1000000</f>
        <v>5.9005599999999996</v>
      </c>
      <c r="V17" s="812">
        <f t="shared" si="0"/>
        <v>5.9005599999999996</v>
      </c>
      <c r="W17" s="812">
        <f t="shared" si="0"/>
        <v>5.9005599999999996</v>
      </c>
      <c r="X17" s="812">
        <f t="shared" si="0"/>
        <v>5.9005599999999996</v>
      </c>
      <c r="Y17" s="812">
        <f t="shared" si="0"/>
        <v>5.9005599999999996</v>
      </c>
      <c r="Z17" s="812">
        <f t="shared" si="0"/>
        <v>5.9005599999999996</v>
      </c>
      <c r="AA17" s="812">
        <f t="shared" si="0"/>
        <v>5.9005599999999996</v>
      </c>
      <c r="AB17" s="812">
        <f t="shared" si="0"/>
        <v>5.9005599999999996</v>
      </c>
      <c r="AC17" s="812">
        <f t="shared" si="0"/>
        <v>5.9005599999999996</v>
      </c>
      <c r="AD17" s="812">
        <f t="shared" si="0"/>
        <v>5.9005599999999996</v>
      </c>
      <c r="AE17" s="812">
        <f t="shared" si="0"/>
        <v>5.9005599999999996</v>
      </c>
      <c r="AF17" s="812">
        <f t="shared" si="0"/>
        <v>5.9005599999999996</v>
      </c>
      <c r="AG17" s="812">
        <f t="shared" si="0"/>
        <v>5.9005599999999996</v>
      </c>
      <c r="AH17" s="812">
        <f t="shared" si="0"/>
        <v>5.9005599999999996</v>
      </c>
      <c r="AI17" s="812">
        <f t="shared" si="0"/>
        <v>5.9005599999999996</v>
      </c>
      <c r="AJ17" s="812">
        <f t="shared" si="0"/>
        <v>5.9005599999999996</v>
      </c>
      <c r="AK17" s="812">
        <f t="shared" si="0"/>
        <v>5.9005599999999996</v>
      </c>
      <c r="AL17" s="812">
        <f t="shared" si="0"/>
        <v>5.9005599999999996</v>
      </c>
      <c r="AM17" s="812">
        <f t="shared" si="0"/>
        <v>5.9005599999999996</v>
      </c>
      <c r="AN17" s="812">
        <f t="shared" si="0"/>
        <v>5.9005599999999996</v>
      </c>
      <c r="AO17" s="812">
        <f t="shared" si="0"/>
        <v>5.9005599999999996</v>
      </c>
      <c r="AP17" s="812">
        <f t="shared" si="0"/>
        <v>5.9005599999999996</v>
      </c>
      <c r="AQ17" s="812">
        <f t="shared" si="0"/>
        <v>5.9005599999999996</v>
      </c>
      <c r="AR17" s="812">
        <f t="shared" si="0"/>
        <v>5.9005599999999996</v>
      </c>
      <c r="AS17" s="812">
        <f t="shared" si="0"/>
        <v>5.9005599999999996</v>
      </c>
      <c r="AT17" s="812">
        <f t="shared" si="0"/>
        <v>5.9005599999999996</v>
      </c>
      <c r="AU17" s="812">
        <f t="shared" si="0"/>
        <v>5.9005599999999996</v>
      </c>
      <c r="AV17" s="812">
        <f t="shared" si="0"/>
        <v>5.9005599999999996</v>
      </c>
      <c r="AW17" s="812">
        <f t="shared" si="0"/>
        <v>5.9005599999999996</v>
      </c>
      <c r="AX17" s="810"/>
      <c r="AY17" s="811"/>
      <c r="AZ17" s="811"/>
      <c r="BA17" s="811"/>
      <c r="BB17" s="811"/>
      <c r="BC17" s="811"/>
      <c r="BD17" s="811"/>
      <c r="BE17" s="811"/>
      <c r="BF17" s="811"/>
      <c r="BG17" s="811"/>
      <c r="BH17" s="811"/>
      <c r="BI17" s="811"/>
    </row>
    <row r="18" spans="2:61" s="583" customFormat="1" ht="14.25" customHeight="1" x14ac:dyDescent="0.3">
      <c r="B18" s="1104"/>
      <c r="C18" s="957"/>
      <c r="D18" s="802"/>
      <c r="E18" s="803"/>
      <c r="F18" s="804" t="s">
        <v>17</v>
      </c>
      <c r="G18" s="804"/>
      <c r="H18" s="804"/>
      <c r="I18" s="812">
        <f t="shared" ref="I18:AW18" si="1">I9/1000000</f>
        <v>1.3913789999999999</v>
      </c>
      <c r="J18" s="812">
        <f t="shared" si="1"/>
        <v>1.3794729999999999</v>
      </c>
      <c r="K18" s="812">
        <f t="shared" si="1"/>
        <v>1.3829180000000001</v>
      </c>
      <c r="L18" s="812">
        <f t="shared" si="1"/>
        <v>1.469363</v>
      </c>
      <c r="M18" s="812">
        <f t="shared" si="1"/>
        <v>1.4171039999999999</v>
      </c>
      <c r="N18" s="812">
        <f t="shared" si="1"/>
        <v>1.483366</v>
      </c>
      <c r="O18" s="812">
        <f t="shared" si="1"/>
        <v>1.439117</v>
      </c>
      <c r="P18" s="812">
        <f t="shared" si="1"/>
        <v>1.4304969999999999</v>
      </c>
      <c r="Q18" s="812">
        <f t="shared" si="1"/>
        <v>1.385805</v>
      </c>
      <c r="R18" s="812">
        <f t="shared" si="1"/>
        <v>1.4395039999999999</v>
      </c>
      <c r="S18" s="812">
        <f t="shared" si="1"/>
        <v>1.4429730000000001</v>
      </c>
      <c r="T18" s="812">
        <f t="shared" si="1"/>
        <v>1.4233720000000001</v>
      </c>
      <c r="U18" s="812">
        <f t="shared" si="1"/>
        <v>1.4233720000000001</v>
      </c>
      <c r="V18" s="812">
        <f t="shared" si="1"/>
        <v>1.4233720000000001</v>
      </c>
      <c r="W18" s="812">
        <f t="shared" si="1"/>
        <v>1.4233720000000001</v>
      </c>
      <c r="X18" s="812">
        <f t="shared" si="1"/>
        <v>1.4233720000000001</v>
      </c>
      <c r="Y18" s="812">
        <f t="shared" si="1"/>
        <v>1.4233720000000001</v>
      </c>
      <c r="Z18" s="812">
        <f t="shared" si="1"/>
        <v>1.4233720000000001</v>
      </c>
      <c r="AA18" s="812">
        <f t="shared" si="1"/>
        <v>1.4233720000000001</v>
      </c>
      <c r="AB18" s="812">
        <f t="shared" si="1"/>
        <v>1.4233720000000001</v>
      </c>
      <c r="AC18" s="812">
        <f t="shared" si="1"/>
        <v>1.4233720000000001</v>
      </c>
      <c r="AD18" s="812">
        <f t="shared" si="1"/>
        <v>1.4233720000000001</v>
      </c>
      <c r="AE18" s="812">
        <f t="shared" si="1"/>
        <v>1.4233720000000001</v>
      </c>
      <c r="AF18" s="812">
        <f t="shared" si="1"/>
        <v>1.4233720000000001</v>
      </c>
      <c r="AG18" s="812">
        <f t="shared" si="1"/>
        <v>1.4233720000000001</v>
      </c>
      <c r="AH18" s="812">
        <f t="shared" si="1"/>
        <v>1.4233720000000001</v>
      </c>
      <c r="AI18" s="812">
        <f t="shared" si="1"/>
        <v>1.4233720000000001</v>
      </c>
      <c r="AJ18" s="812">
        <f t="shared" si="1"/>
        <v>1.4233720000000001</v>
      </c>
      <c r="AK18" s="812">
        <f t="shared" si="1"/>
        <v>1.4233720000000001</v>
      </c>
      <c r="AL18" s="812">
        <f t="shared" si="1"/>
        <v>1.4233720000000001</v>
      </c>
      <c r="AM18" s="812">
        <f t="shared" si="1"/>
        <v>1.4233720000000001</v>
      </c>
      <c r="AN18" s="812">
        <f t="shared" si="1"/>
        <v>1.4233720000000001</v>
      </c>
      <c r="AO18" s="812">
        <f t="shared" si="1"/>
        <v>1.4233720000000001</v>
      </c>
      <c r="AP18" s="812">
        <f t="shared" si="1"/>
        <v>1.4233720000000001</v>
      </c>
      <c r="AQ18" s="812">
        <f t="shared" si="1"/>
        <v>1.4233720000000001</v>
      </c>
      <c r="AR18" s="812">
        <f t="shared" si="1"/>
        <v>1.4233720000000001</v>
      </c>
      <c r="AS18" s="812">
        <f t="shared" si="1"/>
        <v>1.4233720000000001</v>
      </c>
      <c r="AT18" s="812">
        <f t="shared" si="1"/>
        <v>1.4233720000000001</v>
      </c>
      <c r="AU18" s="812">
        <f t="shared" si="1"/>
        <v>1.4233720000000001</v>
      </c>
      <c r="AV18" s="812">
        <f t="shared" si="1"/>
        <v>1.4233720000000001</v>
      </c>
      <c r="AW18" s="812">
        <f t="shared" si="1"/>
        <v>1.4233720000000001</v>
      </c>
      <c r="AX18" s="810"/>
      <c r="AY18" s="811"/>
      <c r="AZ18" s="811"/>
      <c r="BA18" s="811"/>
      <c r="BB18" s="811"/>
      <c r="BC18" s="811"/>
      <c r="BD18" s="811"/>
      <c r="BE18" s="811"/>
      <c r="BF18" s="811"/>
      <c r="BG18" s="811"/>
      <c r="BH18" s="811"/>
      <c r="BI18" s="811"/>
    </row>
    <row r="19" spans="2:61" ht="14.25" customHeight="1" x14ac:dyDescent="0.3">
      <c r="B19" s="1104"/>
      <c r="C19" s="540"/>
      <c r="D19" s="551"/>
      <c r="E19" s="556"/>
      <c r="F19" s="804" t="s">
        <v>18</v>
      </c>
      <c r="G19" s="584"/>
      <c r="H19" s="584"/>
      <c r="I19" s="812">
        <f t="shared" ref="I19:AW19" si="2">I10/1000000</f>
        <v>0.99236899999999995</v>
      </c>
      <c r="J19" s="812">
        <f t="shared" si="2"/>
        <v>0.98231199999999996</v>
      </c>
      <c r="K19" s="812">
        <f t="shared" si="2"/>
        <v>1.0208699999999999</v>
      </c>
      <c r="L19" s="812">
        <f t="shared" si="2"/>
        <v>1.003271</v>
      </c>
      <c r="M19" s="812">
        <f t="shared" si="2"/>
        <v>0.876498</v>
      </c>
      <c r="N19" s="812">
        <f t="shared" si="2"/>
        <v>0.95064899999999997</v>
      </c>
      <c r="O19" s="812">
        <f t="shared" si="2"/>
        <v>0.84968500000000002</v>
      </c>
      <c r="P19" s="812">
        <f t="shared" si="2"/>
        <v>0.90422400000000003</v>
      </c>
      <c r="Q19" s="812">
        <f t="shared" si="2"/>
        <v>0.79949400000000004</v>
      </c>
      <c r="R19" s="812">
        <f t="shared" si="2"/>
        <v>0.76970799999999995</v>
      </c>
      <c r="S19" s="812">
        <f t="shared" si="2"/>
        <v>0.82251600000000002</v>
      </c>
      <c r="T19" s="812">
        <f t="shared" si="2"/>
        <v>0.84199400000000002</v>
      </c>
      <c r="U19" s="812">
        <f t="shared" si="2"/>
        <v>0.84199400000000002</v>
      </c>
      <c r="V19" s="812">
        <f t="shared" si="2"/>
        <v>0.84199400000000002</v>
      </c>
      <c r="W19" s="812">
        <f t="shared" si="2"/>
        <v>0.84199400000000002</v>
      </c>
      <c r="X19" s="812">
        <f t="shared" si="2"/>
        <v>0.84199400000000002</v>
      </c>
      <c r="Y19" s="812">
        <f t="shared" si="2"/>
        <v>0.84199400000000002</v>
      </c>
      <c r="Z19" s="812">
        <f t="shared" si="2"/>
        <v>0.84199400000000002</v>
      </c>
      <c r="AA19" s="812">
        <f t="shared" si="2"/>
        <v>0.84199400000000002</v>
      </c>
      <c r="AB19" s="812">
        <f t="shared" si="2"/>
        <v>0.84199400000000002</v>
      </c>
      <c r="AC19" s="812">
        <f t="shared" si="2"/>
        <v>0.84199400000000002</v>
      </c>
      <c r="AD19" s="812">
        <f t="shared" si="2"/>
        <v>0.84199400000000002</v>
      </c>
      <c r="AE19" s="812">
        <f t="shared" si="2"/>
        <v>0.84199400000000002</v>
      </c>
      <c r="AF19" s="812">
        <f t="shared" si="2"/>
        <v>0.84199400000000002</v>
      </c>
      <c r="AG19" s="812">
        <f t="shared" si="2"/>
        <v>0.84199400000000002</v>
      </c>
      <c r="AH19" s="812">
        <f t="shared" si="2"/>
        <v>0.84199400000000002</v>
      </c>
      <c r="AI19" s="812">
        <f t="shared" si="2"/>
        <v>0.84199400000000002</v>
      </c>
      <c r="AJ19" s="812">
        <f t="shared" si="2"/>
        <v>0.84199400000000002</v>
      </c>
      <c r="AK19" s="812">
        <f t="shared" si="2"/>
        <v>0.84199400000000002</v>
      </c>
      <c r="AL19" s="812">
        <f t="shared" si="2"/>
        <v>0.84199400000000002</v>
      </c>
      <c r="AM19" s="812">
        <f t="shared" si="2"/>
        <v>0.84199400000000002</v>
      </c>
      <c r="AN19" s="812">
        <f t="shared" si="2"/>
        <v>0.84199400000000002</v>
      </c>
      <c r="AO19" s="812">
        <f t="shared" si="2"/>
        <v>0.84199400000000002</v>
      </c>
      <c r="AP19" s="812">
        <f t="shared" si="2"/>
        <v>0.84199400000000002</v>
      </c>
      <c r="AQ19" s="812">
        <f t="shared" si="2"/>
        <v>0.84199400000000002</v>
      </c>
      <c r="AR19" s="812">
        <f t="shared" si="2"/>
        <v>0.84199400000000002</v>
      </c>
      <c r="AS19" s="812">
        <f t="shared" si="2"/>
        <v>0.84199400000000002</v>
      </c>
      <c r="AT19" s="812">
        <f t="shared" si="2"/>
        <v>0.84199400000000002</v>
      </c>
      <c r="AU19" s="812">
        <f t="shared" si="2"/>
        <v>0.84199400000000002</v>
      </c>
      <c r="AV19" s="812">
        <f t="shared" si="2"/>
        <v>0.84199400000000002</v>
      </c>
      <c r="AW19" s="812">
        <f t="shared" si="2"/>
        <v>0.84199400000000002</v>
      </c>
      <c r="AX19" s="548"/>
    </row>
    <row r="20" spans="2:61" ht="14.25" customHeight="1" x14ac:dyDescent="0.3">
      <c r="B20" s="1104"/>
      <c r="C20" s="540"/>
      <c r="D20" s="551"/>
      <c r="E20" s="556"/>
      <c r="F20" s="804" t="s">
        <v>19</v>
      </c>
      <c r="G20" s="584"/>
      <c r="H20" s="584"/>
      <c r="I20" s="812">
        <f t="shared" ref="I20:AW20" si="3">I11/1000000</f>
        <v>0.19395699999999999</v>
      </c>
      <c r="J20" s="812">
        <f t="shared" si="3"/>
        <v>0.17344200000000001</v>
      </c>
      <c r="K20" s="812">
        <f t="shared" si="3"/>
        <v>0.12698200000000001</v>
      </c>
      <c r="L20" s="812">
        <f t="shared" si="3"/>
        <v>0.191159</v>
      </c>
      <c r="M20" s="812">
        <f t="shared" si="3"/>
        <v>9.3574000000000004E-2</v>
      </c>
      <c r="N20" s="812">
        <f t="shared" si="3"/>
        <v>0.11738999999999999</v>
      </c>
      <c r="O20" s="812">
        <f t="shared" si="3"/>
        <v>0.125946</v>
      </c>
      <c r="P20" s="812">
        <f t="shared" si="3"/>
        <v>0.12926799999999999</v>
      </c>
      <c r="Q20" s="812">
        <f t="shared" si="3"/>
        <v>0.16844600000000001</v>
      </c>
      <c r="R20" s="812">
        <f t="shared" si="3"/>
        <v>0.21949199999999999</v>
      </c>
      <c r="S20" s="812">
        <f t="shared" si="3"/>
        <v>0.21501400000000001</v>
      </c>
      <c r="T20" s="812">
        <f t="shared" si="3"/>
        <v>0.163017</v>
      </c>
      <c r="U20" s="812">
        <f t="shared" si="3"/>
        <v>0.163017</v>
      </c>
      <c r="V20" s="812">
        <f t="shared" si="3"/>
        <v>0.163017</v>
      </c>
      <c r="W20" s="812">
        <f t="shared" si="3"/>
        <v>0.163017</v>
      </c>
      <c r="X20" s="812">
        <f t="shared" si="3"/>
        <v>0.163017</v>
      </c>
      <c r="Y20" s="812">
        <f t="shared" si="3"/>
        <v>0.163017</v>
      </c>
      <c r="Z20" s="812">
        <f t="shared" si="3"/>
        <v>0.163017</v>
      </c>
      <c r="AA20" s="812">
        <f t="shared" si="3"/>
        <v>0.163017</v>
      </c>
      <c r="AB20" s="812">
        <f t="shared" si="3"/>
        <v>0.163017</v>
      </c>
      <c r="AC20" s="812">
        <f t="shared" si="3"/>
        <v>0.163017</v>
      </c>
      <c r="AD20" s="812">
        <f t="shared" si="3"/>
        <v>0.163017</v>
      </c>
      <c r="AE20" s="812">
        <f t="shared" si="3"/>
        <v>0.163017</v>
      </c>
      <c r="AF20" s="812">
        <f t="shared" si="3"/>
        <v>0.163017</v>
      </c>
      <c r="AG20" s="812">
        <f t="shared" si="3"/>
        <v>0.163017</v>
      </c>
      <c r="AH20" s="812">
        <f t="shared" si="3"/>
        <v>0.163017</v>
      </c>
      <c r="AI20" s="812">
        <f t="shared" si="3"/>
        <v>0.163017</v>
      </c>
      <c r="AJ20" s="812">
        <f t="shared" si="3"/>
        <v>0.163017</v>
      </c>
      <c r="AK20" s="812">
        <f t="shared" si="3"/>
        <v>0.163017</v>
      </c>
      <c r="AL20" s="812">
        <f t="shared" si="3"/>
        <v>0.163017</v>
      </c>
      <c r="AM20" s="812">
        <f t="shared" si="3"/>
        <v>0.163017</v>
      </c>
      <c r="AN20" s="812">
        <f t="shared" si="3"/>
        <v>0.163017</v>
      </c>
      <c r="AO20" s="812">
        <f t="shared" si="3"/>
        <v>0.163017</v>
      </c>
      <c r="AP20" s="812">
        <f t="shared" si="3"/>
        <v>0.163017</v>
      </c>
      <c r="AQ20" s="812">
        <f t="shared" si="3"/>
        <v>0.163017</v>
      </c>
      <c r="AR20" s="812">
        <f t="shared" si="3"/>
        <v>0.163017</v>
      </c>
      <c r="AS20" s="812">
        <f t="shared" si="3"/>
        <v>0.163017</v>
      </c>
      <c r="AT20" s="812">
        <f t="shared" si="3"/>
        <v>0.163017</v>
      </c>
      <c r="AU20" s="812">
        <f t="shared" si="3"/>
        <v>0.163017</v>
      </c>
      <c r="AV20" s="812">
        <f t="shared" si="3"/>
        <v>0.163017</v>
      </c>
      <c r="AW20" s="812">
        <f t="shared" si="3"/>
        <v>0.163017</v>
      </c>
      <c r="AX20" s="548"/>
    </row>
    <row r="21" spans="2:61" ht="14.25" customHeight="1" x14ac:dyDescent="0.3">
      <c r="B21" s="1104"/>
      <c r="C21" s="540"/>
      <c r="D21" s="551"/>
      <c r="E21" s="556"/>
      <c r="F21" s="804" t="s">
        <v>20</v>
      </c>
      <c r="G21" s="584"/>
      <c r="H21" s="584"/>
      <c r="I21" s="812">
        <f t="shared" ref="I21:AW21" si="4">I12/1000000</f>
        <v>0.217058</v>
      </c>
      <c r="J21" s="812">
        <f t="shared" si="4"/>
        <v>0.21058399999999999</v>
      </c>
      <c r="K21" s="812">
        <f t="shared" si="4"/>
        <v>0.20565700000000001</v>
      </c>
      <c r="L21" s="812">
        <f t="shared" si="4"/>
        <v>0.216225</v>
      </c>
      <c r="M21" s="812">
        <f t="shared" si="4"/>
        <v>0.46817999999999999</v>
      </c>
      <c r="N21" s="812">
        <f t="shared" si="4"/>
        <v>0.61209000000000002</v>
      </c>
      <c r="O21" s="812">
        <f t="shared" si="4"/>
        <v>0.719109</v>
      </c>
      <c r="P21" s="812">
        <f t="shared" si="4"/>
        <v>0.75779099999999999</v>
      </c>
      <c r="Q21" s="812">
        <f t="shared" si="4"/>
        <v>0.79651799999999995</v>
      </c>
      <c r="R21" s="812">
        <f t="shared" si="4"/>
        <v>0.66230500000000003</v>
      </c>
      <c r="S21" s="812">
        <f t="shared" si="4"/>
        <v>0.68147599999999997</v>
      </c>
      <c r="T21" s="812">
        <f t="shared" si="4"/>
        <v>0.71275699999999997</v>
      </c>
      <c r="U21" s="812">
        <f t="shared" si="4"/>
        <v>0.71275699999999997</v>
      </c>
      <c r="V21" s="812">
        <f t="shared" si="4"/>
        <v>0.71275699999999997</v>
      </c>
      <c r="W21" s="812">
        <f t="shared" si="4"/>
        <v>0.71275699999999997</v>
      </c>
      <c r="X21" s="812">
        <f t="shared" si="4"/>
        <v>0.71275699999999997</v>
      </c>
      <c r="Y21" s="812">
        <f t="shared" si="4"/>
        <v>0.71275699999999997</v>
      </c>
      <c r="Z21" s="812">
        <f t="shared" si="4"/>
        <v>0.71275699999999997</v>
      </c>
      <c r="AA21" s="812">
        <f t="shared" si="4"/>
        <v>0.71275699999999997</v>
      </c>
      <c r="AB21" s="812">
        <f t="shared" si="4"/>
        <v>0.71275699999999997</v>
      </c>
      <c r="AC21" s="812">
        <f t="shared" si="4"/>
        <v>0.71275699999999997</v>
      </c>
      <c r="AD21" s="812">
        <f t="shared" si="4"/>
        <v>0.71275699999999997</v>
      </c>
      <c r="AE21" s="812">
        <f t="shared" si="4"/>
        <v>0.71275699999999997</v>
      </c>
      <c r="AF21" s="812">
        <f t="shared" si="4"/>
        <v>0.71275699999999997</v>
      </c>
      <c r="AG21" s="812">
        <f t="shared" si="4"/>
        <v>0.71275699999999997</v>
      </c>
      <c r="AH21" s="812">
        <f t="shared" si="4"/>
        <v>0.71275699999999997</v>
      </c>
      <c r="AI21" s="812">
        <f t="shared" si="4"/>
        <v>0.71275699999999997</v>
      </c>
      <c r="AJ21" s="812">
        <f t="shared" si="4"/>
        <v>0.71275699999999997</v>
      </c>
      <c r="AK21" s="812">
        <f t="shared" si="4"/>
        <v>0.71275699999999997</v>
      </c>
      <c r="AL21" s="812">
        <f t="shared" si="4"/>
        <v>0.71275699999999997</v>
      </c>
      <c r="AM21" s="812">
        <f t="shared" si="4"/>
        <v>0.71275699999999997</v>
      </c>
      <c r="AN21" s="812">
        <f t="shared" si="4"/>
        <v>0.71275699999999997</v>
      </c>
      <c r="AO21" s="812">
        <f t="shared" si="4"/>
        <v>0.71275699999999997</v>
      </c>
      <c r="AP21" s="812">
        <f t="shared" si="4"/>
        <v>0.71275699999999997</v>
      </c>
      <c r="AQ21" s="812">
        <f t="shared" si="4"/>
        <v>0.71275699999999997</v>
      </c>
      <c r="AR21" s="812">
        <f t="shared" si="4"/>
        <v>0.71275699999999997</v>
      </c>
      <c r="AS21" s="812">
        <f t="shared" si="4"/>
        <v>0.71275699999999997</v>
      </c>
      <c r="AT21" s="812">
        <f t="shared" si="4"/>
        <v>0.71275699999999997</v>
      </c>
      <c r="AU21" s="812">
        <f t="shared" si="4"/>
        <v>0.71275699999999997</v>
      </c>
      <c r="AV21" s="812">
        <f t="shared" si="4"/>
        <v>0.71275699999999997</v>
      </c>
      <c r="AW21" s="812">
        <f t="shared" si="4"/>
        <v>0.71275699999999997</v>
      </c>
      <c r="AX21" s="548"/>
      <c r="AY21" s="581"/>
      <c r="AZ21" s="581"/>
      <c r="BA21" s="581"/>
      <c r="BB21" s="581"/>
      <c r="BC21" s="581"/>
      <c r="BD21" s="581"/>
      <c r="BE21" s="581"/>
      <c r="BF21" s="581"/>
      <c r="BG21" s="581"/>
      <c r="BH21" s="581"/>
      <c r="BI21" s="581"/>
    </row>
    <row r="22" spans="2:61" ht="14.25" customHeight="1" x14ac:dyDescent="0.3">
      <c r="B22" s="1104"/>
      <c r="C22" s="540"/>
      <c r="D22" s="551"/>
      <c r="E22" s="556"/>
      <c r="F22" s="804" t="s">
        <v>21</v>
      </c>
      <c r="G22" s="584"/>
      <c r="H22" s="584"/>
      <c r="I22" s="812">
        <f t="shared" ref="I22:AW22" si="5">I13/1000000</f>
        <v>0.53947500000000004</v>
      </c>
      <c r="J22" s="812">
        <f t="shared" si="5"/>
        <v>0.56585700000000005</v>
      </c>
      <c r="K22" s="812">
        <f t="shared" si="5"/>
        <v>0.60827200000000003</v>
      </c>
      <c r="L22" s="812">
        <f t="shared" si="5"/>
        <v>0.49189100000000002</v>
      </c>
      <c r="M22" s="812">
        <f t="shared" si="5"/>
        <v>0.49925799999999998</v>
      </c>
      <c r="N22" s="812">
        <f t="shared" si="5"/>
        <v>0.454347</v>
      </c>
      <c r="O22" s="812">
        <f t="shared" si="5"/>
        <v>0.37779099999999999</v>
      </c>
      <c r="P22" s="812">
        <f t="shared" si="5"/>
        <v>0.33241799999999999</v>
      </c>
      <c r="Q22" s="812">
        <f t="shared" si="5"/>
        <v>0.252612</v>
      </c>
      <c r="R22" s="812">
        <f t="shared" si="5"/>
        <v>0.270986</v>
      </c>
      <c r="S22" s="812">
        <f t="shared" si="5"/>
        <v>0.249139</v>
      </c>
      <c r="T22" s="812">
        <f t="shared" si="5"/>
        <v>0.233074</v>
      </c>
      <c r="U22" s="812">
        <f t="shared" si="5"/>
        <v>0.233074</v>
      </c>
      <c r="V22" s="812">
        <f t="shared" si="5"/>
        <v>0.233074</v>
      </c>
      <c r="W22" s="812">
        <f t="shared" si="5"/>
        <v>0.233074</v>
      </c>
      <c r="X22" s="812">
        <f t="shared" si="5"/>
        <v>0.233074</v>
      </c>
      <c r="Y22" s="812">
        <f t="shared" si="5"/>
        <v>0.233074</v>
      </c>
      <c r="Z22" s="812">
        <f t="shared" si="5"/>
        <v>0.233074</v>
      </c>
      <c r="AA22" s="812">
        <f t="shared" si="5"/>
        <v>0.233074</v>
      </c>
      <c r="AB22" s="812">
        <f t="shared" si="5"/>
        <v>0.233074</v>
      </c>
      <c r="AC22" s="812">
        <f t="shared" si="5"/>
        <v>0.233074</v>
      </c>
      <c r="AD22" s="812">
        <f t="shared" si="5"/>
        <v>0.233074</v>
      </c>
      <c r="AE22" s="812">
        <f t="shared" si="5"/>
        <v>0.233074</v>
      </c>
      <c r="AF22" s="812">
        <f t="shared" si="5"/>
        <v>0.233074</v>
      </c>
      <c r="AG22" s="812">
        <f t="shared" si="5"/>
        <v>0.233074</v>
      </c>
      <c r="AH22" s="812">
        <f t="shared" si="5"/>
        <v>0.233074</v>
      </c>
      <c r="AI22" s="812">
        <f t="shared" si="5"/>
        <v>0.233074</v>
      </c>
      <c r="AJ22" s="812">
        <f t="shared" si="5"/>
        <v>0.233074</v>
      </c>
      <c r="AK22" s="812">
        <f t="shared" si="5"/>
        <v>0.233074</v>
      </c>
      <c r="AL22" s="812">
        <f t="shared" si="5"/>
        <v>0.233074</v>
      </c>
      <c r="AM22" s="812">
        <f t="shared" si="5"/>
        <v>0.233074</v>
      </c>
      <c r="AN22" s="812">
        <f t="shared" si="5"/>
        <v>0.233074</v>
      </c>
      <c r="AO22" s="812">
        <f t="shared" si="5"/>
        <v>0.233074</v>
      </c>
      <c r="AP22" s="812">
        <f t="shared" si="5"/>
        <v>0.233074</v>
      </c>
      <c r="AQ22" s="812">
        <f t="shared" si="5"/>
        <v>0.233074</v>
      </c>
      <c r="AR22" s="812">
        <f t="shared" si="5"/>
        <v>0.233074</v>
      </c>
      <c r="AS22" s="812">
        <f t="shared" si="5"/>
        <v>0.233074</v>
      </c>
      <c r="AT22" s="812">
        <f t="shared" si="5"/>
        <v>0.233074</v>
      </c>
      <c r="AU22" s="812">
        <f t="shared" si="5"/>
        <v>0.233074</v>
      </c>
      <c r="AV22" s="812">
        <f t="shared" si="5"/>
        <v>0.233074</v>
      </c>
      <c r="AW22" s="812">
        <f t="shared" si="5"/>
        <v>0.233074</v>
      </c>
      <c r="AX22" s="548"/>
    </row>
    <row r="23" spans="2:61" ht="14.25" customHeight="1" x14ac:dyDescent="0.3">
      <c r="B23" s="1104"/>
      <c r="C23" s="540"/>
      <c r="D23" s="551"/>
      <c r="E23" s="556"/>
      <c r="F23" s="804" t="s">
        <v>22</v>
      </c>
      <c r="G23" s="584"/>
      <c r="H23" s="584"/>
      <c r="I23" s="812">
        <f t="shared" ref="I23:AW23" si="6">I14/1000000</f>
        <v>3.4099520000000001</v>
      </c>
      <c r="J23" s="812">
        <f t="shared" si="6"/>
        <v>3.4254120000000001</v>
      </c>
      <c r="K23" s="812">
        <f t="shared" si="6"/>
        <v>3.5530080000000002</v>
      </c>
      <c r="L23" s="812">
        <f t="shared" si="6"/>
        <v>3.2273209999999999</v>
      </c>
      <c r="M23" s="812">
        <f t="shared" si="6"/>
        <v>2.2594470000000002</v>
      </c>
      <c r="N23" s="812">
        <f t="shared" si="6"/>
        <v>2.5314420000000002</v>
      </c>
      <c r="O23" s="812">
        <f t="shared" si="6"/>
        <v>2.3005390000000001</v>
      </c>
      <c r="P23" s="812">
        <f t="shared" si="6"/>
        <v>2.4476339999999999</v>
      </c>
      <c r="Q23" s="812">
        <f t="shared" si="6"/>
        <v>2.3790420000000001</v>
      </c>
      <c r="R23" s="812">
        <f t="shared" si="6"/>
        <v>1.9854940000000001</v>
      </c>
      <c r="S23" s="812">
        <f t="shared" si="6"/>
        <v>2.0677949999999998</v>
      </c>
      <c r="T23" s="812">
        <f t="shared" si="6"/>
        <v>2.3765510000000001</v>
      </c>
      <c r="U23" s="812">
        <f t="shared" si="6"/>
        <v>2.3765510000000001</v>
      </c>
      <c r="V23" s="812">
        <f t="shared" si="6"/>
        <v>2.3765510000000001</v>
      </c>
      <c r="W23" s="812">
        <f t="shared" si="6"/>
        <v>2.3765510000000001</v>
      </c>
      <c r="X23" s="812">
        <f t="shared" si="6"/>
        <v>2.3765510000000001</v>
      </c>
      <c r="Y23" s="812">
        <f t="shared" si="6"/>
        <v>2.3765510000000001</v>
      </c>
      <c r="Z23" s="812">
        <f t="shared" si="6"/>
        <v>2.3765510000000001</v>
      </c>
      <c r="AA23" s="812">
        <f t="shared" si="6"/>
        <v>2.3765510000000001</v>
      </c>
      <c r="AB23" s="812">
        <f t="shared" si="6"/>
        <v>2.3765510000000001</v>
      </c>
      <c r="AC23" s="812">
        <f t="shared" si="6"/>
        <v>2.3765510000000001</v>
      </c>
      <c r="AD23" s="812">
        <f t="shared" si="6"/>
        <v>2.3765510000000001</v>
      </c>
      <c r="AE23" s="812">
        <f t="shared" si="6"/>
        <v>2.3765510000000001</v>
      </c>
      <c r="AF23" s="812">
        <f t="shared" si="6"/>
        <v>2.3765510000000001</v>
      </c>
      <c r="AG23" s="812">
        <f t="shared" si="6"/>
        <v>2.3765510000000001</v>
      </c>
      <c r="AH23" s="812">
        <f t="shared" si="6"/>
        <v>2.3765510000000001</v>
      </c>
      <c r="AI23" s="812">
        <f t="shared" si="6"/>
        <v>2.3765510000000001</v>
      </c>
      <c r="AJ23" s="812">
        <f t="shared" si="6"/>
        <v>2.3765510000000001</v>
      </c>
      <c r="AK23" s="812">
        <f t="shared" si="6"/>
        <v>2.3765510000000001</v>
      </c>
      <c r="AL23" s="812">
        <f t="shared" si="6"/>
        <v>2.3765510000000001</v>
      </c>
      <c r="AM23" s="812">
        <f t="shared" si="6"/>
        <v>2.3765510000000001</v>
      </c>
      <c r="AN23" s="812">
        <f t="shared" si="6"/>
        <v>2.3765510000000001</v>
      </c>
      <c r="AO23" s="812">
        <f t="shared" si="6"/>
        <v>2.3765510000000001</v>
      </c>
      <c r="AP23" s="812">
        <f t="shared" si="6"/>
        <v>2.3765510000000001</v>
      </c>
      <c r="AQ23" s="812">
        <f t="shared" si="6"/>
        <v>2.3765510000000001</v>
      </c>
      <c r="AR23" s="812">
        <f t="shared" si="6"/>
        <v>2.3765510000000001</v>
      </c>
      <c r="AS23" s="812">
        <f t="shared" si="6"/>
        <v>2.3765510000000001</v>
      </c>
      <c r="AT23" s="812">
        <f t="shared" si="6"/>
        <v>2.3765510000000001</v>
      </c>
      <c r="AU23" s="812">
        <f t="shared" si="6"/>
        <v>2.3765510000000001</v>
      </c>
      <c r="AV23" s="812">
        <f t="shared" si="6"/>
        <v>2.3765510000000001</v>
      </c>
      <c r="AW23" s="812">
        <f t="shared" si="6"/>
        <v>2.3765510000000001</v>
      </c>
      <c r="AX23" s="548"/>
    </row>
    <row r="24" spans="2:61" ht="14.25" customHeight="1" x14ac:dyDescent="0.3">
      <c r="B24" s="1104"/>
      <c r="C24" s="540"/>
      <c r="D24" s="551"/>
      <c r="E24" s="556"/>
      <c r="F24" s="804" t="s">
        <v>23</v>
      </c>
      <c r="G24" s="584"/>
      <c r="H24" s="584"/>
      <c r="I24" s="812">
        <f t="shared" ref="I24:AW24" si="7">I15/1000000</f>
        <v>1.5099720000000001</v>
      </c>
      <c r="J24" s="812">
        <f t="shared" si="7"/>
        <v>1.3855470000000001</v>
      </c>
      <c r="K24" s="812">
        <f t="shared" si="7"/>
        <v>1.423114</v>
      </c>
      <c r="L24" s="812">
        <f t="shared" si="7"/>
        <v>1.623359</v>
      </c>
      <c r="M24" s="812">
        <f t="shared" si="7"/>
        <v>0.82833299999999999</v>
      </c>
      <c r="N24" s="812">
        <f t="shared" si="7"/>
        <v>0.70677699999999999</v>
      </c>
      <c r="O24" s="812">
        <f t="shared" si="7"/>
        <v>0.80049599999999999</v>
      </c>
      <c r="P24" s="812">
        <f t="shared" si="7"/>
        <v>0.67791100000000004</v>
      </c>
      <c r="Q24" s="812">
        <f t="shared" si="7"/>
        <v>0.71527300000000005</v>
      </c>
      <c r="R24" s="812">
        <f t="shared" si="7"/>
        <v>0.91584299999999996</v>
      </c>
      <c r="S24" s="812">
        <f t="shared" si="7"/>
        <v>0.84131999999999996</v>
      </c>
      <c r="T24" s="812">
        <f t="shared" si="7"/>
        <v>0.64613900000000002</v>
      </c>
      <c r="U24" s="812">
        <f t="shared" si="7"/>
        <v>0.64613900000000002</v>
      </c>
      <c r="V24" s="812">
        <f t="shared" si="7"/>
        <v>0.64613900000000002</v>
      </c>
      <c r="W24" s="812">
        <f t="shared" si="7"/>
        <v>0.64613900000000002</v>
      </c>
      <c r="X24" s="812">
        <f t="shared" si="7"/>
        <v>0.64613900000000002</v>
      </c>
      <c r="Y24" s="812">
        <f t="shared" si="7"/>
        <v>0.64613900000000002</v>
      </c>
      <c r="Z24" s="812">
        <f t="shared" si="7"/>
        <v>0.64613900000000002</v>
      </c>
      <c r="AA24" s="812">
        <f t="shared" si="7"/>
        <v>0.64613900000000002</v>
      </c>
      <c r="AB24" s="812">
        <f t="shared" si="7"/>
        <v>0.64613900000000002</v>
      </c>
      <c r="AC24" s="812">
        <f t="shared" si="7"/>
        <v>0.64613900000000002</v>
      </c>
      <c r="AD24" s="812">
        <f t="shared" si="7"/>
        <v>0.64613900000000002</v>
      </c>
      <c r="AE24" s="812">
        <f t="shared" si="7"/>
        <v>0.64613900000000002</v>
      </c>
      <c r="AF24" s="812">
        <f t="shared" si="7"/>
        <v>0.64613900000000002</v>
      </c>
      <c r="AG24" s="812">
        <f t="shared" si="7"/>
        <v>0.64613900000000002</v>
      </c>
      <c r="AH24" s="812">
        <f t="shared" si="7"/>
        <v>0.64613900000000002</v>
      </c>
      <c r="AI24" s="812">
        <f t="shared" si="7"/>
        <v>0.64613900000000002</v>
      </c>
      <c r="AJ24" s="812">
        <f t="shared" si="7"/>
        <v>0.64613900000000002</v>
      </c>
      <c r="AK24" s="812">
        <f t="shared" si="7"/>
        <v>0.64613900000000002</v>
      </c>
      <c r="AL24" s="812">
        <f t="shared" si="7"/>
        <v>0.64613900000000002</v>
      </c>
      <c r="AM24" s="812">
        <f t="shared" si="7"/>
        <v>0.64613900000000002</v>
      </c>
      <c r="AN24" s="812">
        <f t="shared" si="7"/>
        <v>0.64613900000000002</v>
      </c>
      <c r="AO24" s="812">
        <f t="shared" si="7"/>
        <v>0.64613900000000002</v>
      </c>
      <c r="AP24" s="812">
        <f t="shared" si="7"/>
        <v>0.64613900000000002</v>
      </c>
      <c r="AQ24" s="812">
        <f t="shared" si="7"/>
        <v>0.64613900000000002</v>
      </c>
      <c r="AR24" s="812">
        <f t="shared" si="7"/>
        <v>0.64613900000000002</v>
      </c>
      <c r="AS24" s="812">
        <f t="shared" si="7"/>
        <v>0.64613900000000002</v>
      </c>
      <c r="AT24" s="812">
        <f t="shared" si="7"/>
        <v>0.64613900000000002</v>
      </c>
      <c r="AU24" s="812">
        <f t="shared" si="7"/>
        <v>0.64613900000000002</v>
      </c>
      <c r="AV24" s="812">
        <f t="shared" si="7"/>
        <v>0.64613900000000002</v>
      </c>
      <c r="AW24" s="812">
        <f t="shared" si="7"/>
        <v>0.64613900000000002</v>
      </c>
      <c r="AX24" s="548"/>
    </row>
    <row r="25" spans="2:61" s="544" customFormat="1" ht="14.25" customHeight="1" x14ac:dyDescent="0.3">
      <c r="B25" s="580"/>
      <c r="C25" s="552"/>
      <c r="D25" s="579"/>
      <c r="E25" s="578"/>
      <c r="F25" s="564" t="s">
        <v>24</v>
      </c>
      <c r="G25" s="564"/>
      <c r="H25" s="564"/>
      <c r="I25" s="563">
        <f t="shared" ref="I25:AW25" si="8">SUM(I17:I24)</f>
        <v>11.758289</v>
      </c>
      <c r="J25" s="563">
        <f t="shared" si="8"/>
        <v>11.659081</v>
      </c>
      <c r="K25" s="563">
        <f t="shared" si="8"/>
        <v>11.903877</v>
      </c>
      <c r="L25" s="563">
        <f t="shared" si="8"/>
        <v>11.761013</v>
      </c>
      <c r="M25" s="563">
        <f t="shared" si="8"/>
        <v>12.201253000000001</v>
      </c>
      <c r="N25" s="563">
        <f t="shared" si="8"/>
        <v>12.585860000000002</v>
      </c>
      <c r="O25" s="563">
        <f t="shared" si="8"/>
        <v>12.385973000000002</v>
      </c>
      <c r="P25" s="563">
        <f t="shared" si="8"/>
        <v>12.355144999999998</v>
      </c>
      <c r="Q25" s="563">
        <f t="shared" si="8"/>
        <v>12.237831</v>
      </c>
      <c r="R25" s="563">
        <f t="shared" si="8"/>
        <v>12.304228</v>
      </c>
      <c r="S25" s="563">
        <f t="shared" si="8"/>
        <v>12.432556999999999</v>
      </c>
      <c r="T25" s="563">
        <f t="shared" si="8"/>
        <v>12.297464</v>
      </c>
      <c r="U25" s="563">
        <f t="shared" si="8"/>
        <v>12.297464</v>
      </c>
      <c r="V25" s="563">
        <f t="shared" si="8"/>
        <v>12.297464</v>
      </c>
      <c r="W25" s="563">
        <f t="shared" si="8"/>
        <v>12.297464</v>
      </c>
      <c r="X25" s="563">
        <f t="shared" si="8"/>
        <v>12.297464</v>
      </c>
      <c r="Y25" s="563">
        <f t="shared" si="8"/>
        <v>12.297464</v>
      </c>
      <c r="Z25" s="563">
        <f t="shared" si="8"/>
        <v>12.297464</v>
      </c>
      <c r="AA25" s="563">
        <f t="shared" si="8"/>
        <v>12.297464</v>
      </c>
      <c r="AB25" s="563">
        <f t="shared" si="8"/>
        <v>12.297464</v>
      </c>
      <c r="AC25" s="563">
        <f t="shared" si="8"/>
        <v>12.297464</v>
      </c>
      <c r="AD25" s="563">
        <f t="shared" si="8"/>
        <v>12.297464</v>
      </c>
      <c r="AE25" s="563">
        <f t="shared" si="8"/>
        <v>12.297464</v>
      </c>
      <c r="AF25" s="563">
        <f t="shared" si="8"/>
        <v>12.297464</v>
      </c>
      <c r="AG25" s="563">
        <f t="shared" si="8"/>
        <v>12.297464</v>
      </c>
      <c r="AH25" s="563">
        <f t="shared" si="8"/>
        <v>12.297464</v>
      </c>
      <c r="AI25" s="563">
        <f t="shared" si="8"/>
        <v>12.297464</v>
      </c>
      <c r="AJ25" s="563">
        <f t="shared" si="8"/>
        <v>12.297464</v>
      </c>
      <c r="AK25" s="563">
        <f t="shared" si="8"/>
        <v>12.297464</v>
      </c>
      <c r="AL25" s="563">
        <f t="shared" si="8"/>
        <v>12.297464</v>
      </c>
      <c r="AM25" s="563">
        <f t="shared" si="8"/>
        <v>12.297464</v>
      </c>
      <c r="AN25" s="563">
        <f t="shared" si="8"/>
        <v>12.297464</v>
      </c>
      <c r="AO25" s="563">
        <f t="shared" si="8"/>
        <v>12.297464</v>
      </c>
      <c r="AP25" s="563">
        <f t="shared" si="8"/>
        <v>12.297464</v>
      </c>
      <c r="AQ25" s="563">
        <f t="shared" si="8"/>
        <v>12.297464</v>
      </c>
      <c r="AR25" s="563">
        <f t="shared" si="8"/>
        <v>12.297464</v>
      </c>
      <c r="AS25" s="563">
        <f t="shared" si="8"/>
        <v>12.297464</v>
      </c>
      <c r="AT25" s="563">
        <f t="shared" si="8"/>
        <v>12.297464</v>
      </c>
      <c r="AU25" s="563">
        <f t="shared" si="8"/>
        <v>12.297464</v>
      </c>
      <c r="AV25" s="563">
        <f t="shared" si="8"/>
        <v>12.297464</v>
      </c>
      <c r="AW25" s="563">
        <f t="shared" si="8"/>
        <v>12.297464</v>
      </c>
      <c r="AX25" s="577"/>
    </row>
    <row r="26" spans="2:61" ht="14.25" customHeight="1" thickBot="1" x14ac:dyDescent="0.35">
      <c r="B26" s="957"/>
      <c r="C26" s="540"/>
      <c r="D26" s="576"/>
      <c r="E26" s="575"/>
      <c r="F26" s="574"/>
      <c r="G26" s="574"/>
      <c r="H26" s="574"/>
      <c r="I26" s="574"/>
      <c r="J26" s="574"/>
      <c r="K26" s="574"/>
      <c r="L26" s="574"/>
      <c r="M26" s="574"/>
      <c r="N26" s="574"/>
      <c r="O26" s="574"/>
      <c r="P26" s="574"/>
      <c r="Q26" s="574"/>
      <c r="R26" s="574"/>
      <c r="S26" s="574"/>
      <c r="T26" s="574"/>
      <c r="U26" s="574"/>
      <c r="V26" s="574"/>
      <c r="W26" s="574"/>
      <c r="X26" s="574"/>
      <c r="Y26" s="574"/>
      <c r="Z26" s="574"/>
      <c r="AA26" s="574"/>
      <c r="AB26" s="574"/>
      <c r="AC26" s="574"/>
      <c r="AD26" s="574"/>
      <c r="AE26" s="574"/>
      <c r="AF26" s="574"/>
      <c r="AG26" s="574"/>
      <c r="AH26" s="574"/>
      <c r="AI26" s="574"/>
      <c r="AJ26" s="574"/>
      <c r="AK26" s="574"/>
      <c r="AL26" s="574"/>
      <c r="AM26" s="574"/>
      <c r="AN26" s="574"/>
      <c r="AO26" s="574"/>
      <c r="AP26" s="574"/>
      <c r="AQ26" s="574"/>
      <c r="AR26" s="574"/>
      <c r="AS26" s="574"/>
      <c r="AT26" s="574"/>
      <c r="AU26" s="574"/>
      <c r="AV26" s="574"/>
      <c r="AW26" s="574"/>
      <c r="AX26" s="573"/>
    </row>
    <row r="27" spans="2:61" ht="14.25" customHeight="1" x14ac:dyDescent="0.3">
      <c r="B27" s="957"/>
      <c r="C27" s="540"/>
      <c r="D27" s="540"/>
      <c r="E27" s="540"/>
      <c r="F27" s="539"/>
      <c r="G27" s="539"/>
      <c r="H27" s="539"/>
      <c r="I27" s="594"/>
      <c r="J27" s="594"/>
      <c r="K27" s="594"/>
      <c r="L27" s="594"/>
      <c r="M27" s="594"/>
      <c r="N27" s="594"/>
      <c r="O27" s="594"/>
      <c r="P27" s="594"/>
      <c r="Q27" s="594"/>
      <c r="R27" s="594"/>
      <c r="S27" s="594"/>
      <c r="T27" s="594"/>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9"/>
      <c r="AS27" s="539"/>
      <c r="AT27" s="539"/>
      <c r="AU27" s="539"/>
      <c r="AV27" s="539"/>
      <c r="AW27" s="539"/>
      <c r="AX27" s="539"/>
    </row>
    <row r="28" spans="2:61" ht="26" x14ac:dyDescent="0.3">
      <c r="B28" s="957"/>
      <c r="C28" s="540"/>
      <c r="D28" s="1103" t="s">
        <v>25</v>
      </c>
      <c r="E28" s="1103"/>
      <c r="F28" s="1103"/>
      <c r="G28" s="539"/>
      <c r="H28" s="539"/>
      <c r="I28" s="539"/>
      <c r="J28" s="539"/>
      <c r="K28" s="539"/>
      <c r="L28" s="539"/>
      <c r="M28" s="539"/>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9"/>
      <c r="AS28" s="539"/>
      <c r="AT28" s="539"/>
      <c r="AU28" s="539"/>
      <c r="AV28" s="539"/>
      <c r="AW28" s="539"/>
      <c r="AX28" s="539"/>
    </row>
    <row r="29" spans="2:61" ht="14.25" customHeight="1" thickBot="1" x14ac:dyDescent="0.35">
      <c r="B29" s="957"/>
      <c r="C29" s="540"/>
      <c r="D29" s="596"/>
      <c r="E29" s="596"/>
      <c r="F29" s="595"/>
      <c r="G29" s="539"/>
      <c r="H29" s="539"/>
      <c r="I29" s="594"/>
      <c r="J29" s="594"/>
      <c r="K29" s="594"/>
      <c r="L29" s="594"/>
      <c r="M29" s="594"/>
      <c r="N29" s="594"/>
      <c r="O29" s="594"/>
      <c r="P29" s="594"/>
      <c r="Q29" s="594"/>
      <c r="R29" s="594"/>
      <c r="S29" s="594"/>
      <c r="T29" s="594"/>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9"/>
      <c r="AS29" s="539"/>
      <c r="AT29" s="539"/>
      <c r="AU29" s="539"/>
      <c r="AV29" s="539"/>
      <c r="AW29" s="539"/>
      <c r="AX29" s="539"/>
    </row>
    <row r="30" spans="2:61" ht="14.25" customHeight="1" x14ac:dyDescent="0.3">
      <c r="B30" s="957"/>
      <c r="C30" s="540"/>
      <c r="D30" s="598"/>
      <c r="E30" s="593"/>
      <c r="F30" s="592"/>
      <c r="G30" s="592"/>
      <c r="H30" s="592"/>
      <c r="I30" s="592"/>
      <c r="J30" s="592"/>
      <c r="K30" s="592"/>
      <c r="L30" s="592"/>
      <c r="M30" s="592"/>
      <c r="N30" s="592"/>
      <c r="O30" s="592"/>
      <c r="P30" s="592"/>
      <c r="Q30" s="592"/>
      <c r="R30" s="592"/>
      <c r="S30" s="592"/>
      <c r="T30" s="592"/>
      <c r="U30" s="592"/>
      <c r="V30" s="592"/>
      <c r="W30" s="592"/>
      <c r="X30" s="592"/>
      <c r="Y30" s="592"/>
      <c r="Z30" s="592"/>
      <c r="AA30" s="592"/>
      <c r="AB30" s="592"/>
      <c r="AC30" s="592"/>
      <c r="AD30" s="592"/>
      <c r="AE30" s="592"/>
      <c r="AF30" s="592"/>
      <c r="AG30" s="592"/>
      <c r="AH30" s="592"/>
      <c r="AI30" s="592"/>
      <c r="AJ30" s="592"/>
      <c r="AK30" s="592"/>
      <c r="AL30" s="592"/>
      <c r="AM30" s="592"/>
      <c r="AN30" s="592"/>
      <c r="AO30" s="592"/>
      <c r="AP30" s="592"/>
      <c r="AQ30" s="592"/>
      <c r="AR30" s="592"/>
      <c r="AS30" s="592"/>
      <c r="AT30" s="592"/>
      <c r="AU30" s="592"/>
      <c r="AV30" s="592"/>
      <c r="AW30" s="592"/>
      <c r="AX30" s="591"/>
    </row>
    <row r="31" spans="2:61" ht="14.25" customHeight="1" x14ac:dyDescent="0.3">
      <c r="B31" s="957"/>
      <c r="C31" s="540"/>
      <c r="D31" s="551"/>
      <c r="E31" s="550" t="s">
        <v>123</v>
      </c>
      <c r="F31" s="557" t="s">
        <v>26</v>
      </c>
      <c r="G31" s="549"/>
      <c r="H31" s="549"/>
      <c r="I31" s="549"/>
      <c r="J31" s="549"/>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8"/>
    </row>
    <row r="32" spans="2:61" ht="14.25" customHeight="1" x14ac:dyDescent="0.3">
      <c r="B32" s="957"/>
      <c r="C32" s="540"/>
      <c r="D32" s="551"/>
      <c r="E32" s="556"/>
      <c r="F32" s="631" t="s">
        <v>27</v>
      </c>
      <c r="G32" s="549"/>
      <c r="H32" s="549"/>
      <c r="I32" s="549"/>
      <c r="J32" s="549"/>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8"/>
    </row>
    <row r="33" spans="1:70" ht="14.25" customHeight="1" x14ac:dyDescent="0.3">
      <c r="B33" s="1104" t="s">
        <v>28</v>
      </c>
      <c r="C33" s="540"/>
      <c r="D33" s="551"/>
      <c r="E33" s="556"/>
      <c r="F33" s="804" t="s">
        <v>29</v>
      </c>
      <c r="G33" s="584"/>
      <c r="H33" s="584"/>
      <c r="I33" s="587">
        <v>0.79579217000000002</v>
      </c>
      <c r="J33" s="587">
        <v>0.79579217000000002</v>
      </c>
      <c r="K33" s="587">
        <v>0.79579217000000002</v>
      </c>
      <c r="L33" s="587">
        <v>0.79579217000000002</v>
      </c>
      <c r="M33" s="587">
        <v>0.79579217000000002</v>
      </c>
      <c r="N33" s="587">
        <v>0.79579217000000002</v>
      </c>
      <c r="O33" s="587">
        <v>0.79579217000000002</v>
      </c>
      <c r="P33" s="587">
        <v>0.79579217000000002</v>
      </c>
      <c r="Q33" s="587">
        <v>0.79579217000000002</v>
      </c>
      <c r="R33" s="587">
        <v>0.79579217000000002</v>
      </c>
      <c r="S33" s="587">
        <v>0.79579217000000002</v>
      </c>
      <c r="T33" s="587">
        <v>0.79579217000000002</v>
      </c>
      <c r="U33" s="587">
        <v>0.79579217000000002</v>
      </c>
      <c r="V33" s="587">
        <v>0.79579217000000002</v>
      </c>
      <c r="W33" s="587">
        <v>0.79579217000000002</v>
      </c>
      <c r="X33" s="587">
        <v>0.79579217000000002</v>
      </c>
      <c r="Y33" s="587">
        <v>0.79579217000000002</v>
      </c>
      <c r="Z33" s="587">
        <v>0.79579217000000002</v>
      </c>
      <c r="AA33" s="587">
        <v>0.79579217000000002</v>
      </c>
      <c r="AB33" s="587">
        <v>0.79579217000000002</v>
      </c>
      <c r="AC33" s="587">
        <v>0.79579217000000002</v>
      </c>
      <c r="AD33" s="587">
        <v>0.79579217000000002</v>
      </c>
      <c r="AE33" s="587">
        <v>0.79579217000000002</v>
      </c>
      <c r="AF33" s="587">
        <v>0.79579217000000002</v>
      </c>
      <c r="AG33" s="587">
        <v>0.79579217000000002</v>
      </c>
      <c r="AH33" s="587">
        <v>0.79579217000000002</v>
      </c>
      <c r="AI33" s="587">
        <v>0.79579217000000002</v>
      </c>
      <c r="AJ33" s="587">
        <v>0.79579217000000002</v>
      </c>
      <c r="AK33" s="587">
        <v>0.79579217000000002</v>
      </c>
      <c r="AL33" s="587">
        <v>0.79579217000000002</v>
      </c>
      <c r="AM33" s="587">
        <v>0.79579217000000002</v>
      </c>
      <c r="AN33" s="587">
        <v>0.79579217000000002</v>
      </c>
      <c r="AO33" s="587">
        <v>0.79579217000000002</v>
      </c>
      <c r="AP33" s="587">
        <v>0.79579217000000002</v>
      </c>
      <c r="AQ33" s="587">
        <v>0.79579217000000002</v>
      </c>
      <c r="AR33" s="587">
        <v>0.79579217000000002</v>
      </c>
      <c r="AS33" s="587">
        <v>0.79579217000000002</v>
      </c>
      <c r="AT33" s="587">
        <v>0.79579217000000002</v>
      </c>
      <c r="AU33" s="587">
        <v>0.79579217000000002</v>
      </c>
      <c r="AV33" s="587">
        <v>0.79579217000000002</v>
      </c>
      <c r="AW33" s="587">
        <v>0.79579217000000002</v>
      </c>
      <c r="AX33" s="548"/>
    </row>
    <row r="34" spans="1:70" ht="14.25" customHeight="1" x14ac:dyDescent="0.3">
      <c r="B34" s="1104"/>
      <c r="C34" s="540"/>
      <c r="D34" s="551"/>
      <c r="E34" s="556"/>
      <c r="F34" s="804" t="s">
        <v>30</v>
      </c>
      <c r="G34" s="584"/>
      <c r="H34" s="584"/>
      <c r="I34" s="587">
        <v>2.2633933100000001</v>
      </c>
      <c r="J34" s="587">
        <v>2.2794223700000003</v>
      </c>
      <c r="K34" s="587">
        <v>2.2794223700000003</v>
      </c>
      <c r="L34" s="587">
        <v>2.2794223700000003</v>
      </c>
      <c r="M34" s="587">
        <v>2.3725856800000003</v>
      </c>
      <c r="N34" s="587">
        <v>2.3725856800000003</v>
      </c>
      <c r="O34" s="587">
        <v>2.37473125</v>
      </c>
      <c r="P34" s="587">
        <v>2.37473125</v>
      </c>
      <c r="Q34" s="587">
        <v>2.4084734000000001</v>
      </c>
      <c r="R34" s="587">
        <v>2.40882109</v>
      </c>
      <c r="S34" s="587">
        <v>2.40882109</v>
      </c>
      <c r="T34" s="587">
        <v>2.4117234999999999</v>
      </c>
      <c r="U34" s="587">
        <v>2.4117234999999999</v>
      </c>
      <c r="V34" s="587">
        <v>2.4117234999999999</v>
      </c>
      <c r="W34" s="587">
        <v>2.4117234999999999</v>
      </c>
      <c r="X34" s="587">
        <v>2.4117234999999999</v>
      </c>
      <c r="Y34" s="587">
        <v>2.4117234999999999</v>
      </c>
      <c r="Z34" s="587">
        <v>2.4117234999999999</v>
      </c>
      <c r="AA34" s="587">
        <v>2.4117234999999999</v>
      </c>
      <c r="AB34" s="587">
        <v>2.4117234999999999</v>
      </c>
      <c r="AC34" s="587">
        <v>2.4117234999999999</v>
      </c>
      <c r="AD34" s="587">
        <v>2.4117234999999999</v>
      </c>
      <c r="AE34" s="587">
        <v>2.4117234999999999</v>
      </c>
      <c r="AF34" s="587">
        <v>2.4117234999999999</v>
      </c>
      <c r="AG34" s="587">
        <v>2.4117234999999999</v>
      </c>
      <c r="AH34" s="587">
        <v>2.4117234999999999</v>
      </c>
      <c r="AI34" s="587">
        <v>2.4117234999999999</v>
      </c>
      <c r="AJ34" s="587">
        <v>2.4117234999999999</v>
      </c>
      <c r="AK34" s="587">
        <v>2.4117234999999999</v>
      </c>
      <c r="AL34" s="587">
        <v>2.4117234999999999</v>
      </c>
      <c r="AM34" s="587">
        <v>2.4117234999999999</v>
      </c>
      <c r="AN34" s="587">
        <v>2.4117234999999999</v>
      </c>
      <c r="AO34" s="587">
        <v>2.4117234999999999</v>
      </c>
      <c r="AP34" s="587">
        <v>2.4117234999999999</v>
      </c>
      <c r="AQ34" s="587">
        <v>2.4117234999999999</v>
      </c>
      <c r="AR34" s="587">
        <v>2.4117234999999999</v>
      </c>
      <c r="AS34" s="587">
        <v>2.4117234999999999</v>
      </c>
      <c r="AT34" s="587">
        <v>2.4117234999999999</v>
      </c>
      <c r="AU34" s="587">
        <v>2.4117234999999999</v>
      </c>
      <c r="AV34" s="587">
        <v>2.4117234999999999</v>
      </c>
      <c r="AW34" s="587">
        <v>2.4117234999999999</v>
      </c>
      <c r="AX34" s="548"/>
    </row>
    <row r="35" spans="1:70" ht="14.25" customHeight="1" x14ac:dyDescent="0.3">
      <c r="B35" s="1104"/>
      <c r="C35" s="540"/>
      <c r="D35" s="551"/>
      <c r="E35" s="556"/>
      <c r="F35" s="804" t="s">
        <v>31</v>
      </c>
      <c r="G35" s="584"/>
      <c r="H35" s="584"/>
      <c r="I35" s="587">
        <v>1.8351788900000003</v>
      </c>
      <c r="J35" s="587">
        <v>1.8351788900000003</v>
      </c>
      <c r="K35" s="587">
        <v>1.8383960400000003</v>
      </c>
      <c r="L35" s="587">
        <v>1.8383960400000003</v>
      </c>
      <c r="M35" s="587">
        <v>1.8383960400000003</v>
      </c>
      <c r="N35" s="587">
        <v>1.8383960400000003</v>
      </c>
      <c r="O35" s="587">
        <v>1.8383960400000003</v>
      </c>
      <c r="P35" s="587">
        <v>1.8914898600000003</v>
      </c>
      <c r="Q35" s="587">
        <v>1.8934445100000001</v>
      </c>
      <c r="R35" s="587">
        <v>1.9224890200000002</v>
      </c>
      <c r="S35" s="587">
        <v>1.9272791500000002</v>
      </c>
      <c r="T35" s="587">
        <v>1.95791001</v>
      </c>
      <c r="U35" s="587">
        <v>1.95791001</v>
      </c>
      <c r="V35" s="587">
        <v>1.95791001</v>
      </c>
      <c r="W35" s="587">
        <v>1.95791001</v>
      </c>
      <c r="X35" s="587">
        <v>1.95791001</v>
      </c>
      <c r="Y35" s="587">
        <v>1.95791001</v>
      </c>
      <c r="Z35" s="587">
        <v>1.95791001</v>
      </c>
      <c r="AA35" s="587">
        <v>1.95791001</v>
      </c>
      <c r="AB35" s="587">
        <v>1.95791001</v>
      </c>
      <c r="AC35" s="587">
        <v>1.95791001</v>
      </c>
      <c r="AD35" s="587">
        <v>1.95791001</v>
      </c>
      <c r="AE35" s="587">
        <v>1.95791001</v>
      </c>
      <c r="AF35" s="587">
        <v>1.95791001</v>
      </c>
      <c r="AG35" s="587">
        <v>1.95791001</v>
      </c>
      <c r="AH35" s="587">
        <v>1.95791001</v>
      </c>
      <c r="AI35" s="587">
        <v>1.95791001</v>
      </c>
      <c r="AJ35" s="587">
        <v>1.95791001</v>
      </c>
      <c r="AK35" s="587">
        <v>1.95791001</v>
      </c>
      <c r="AL35" s="587">
        <v>1.95791001</v>
      </c>
      <c r="AM35" s="587">
        <v>1.95791001</v>
      </c>
      <c r="AN35" s="587">
        <v>1.95791001</v>
      </c>
      <c r="AO35" s="587">
        <v>1.95791001</v>
      </c>
      <c r="AP35" s="587">
        <v>1.95791001</v>
      </c>
      <c r="AQ35" s="587">
        <v>1.95791001</v>
      </c>
      <c r="AR35" s="587">
        <v>1.95791001</v>
      </c>
      <c r="AS35" s="587">
        <v>1.95791001</v>
      </c>
      <c r="AT35" s="587">
        <v>1.95791001</v>
      </c>
      <c r="AU35" s="587">
        <v>1.95791001</v>
      </c>
      <c r="AV35" s="587">
        <v>1.95791001</v>
      </c>
      <c r="AW35" s="587">
        <v>1.95791001</v>
      </c>
      <c r="AX35" s="548"/>
    </row>
    <row r="36" spans="1:70" ht="14.25" customHeight="1" x14ac:dyDescent="0.3">
      <c r="B36" s="1104"/>
      <c r="C36" s="540"/>
      <c r="D36" s="551"/>
      <c r="E36" s="556"/>
      <c r="F36" s="804" t="s">
        <v>32</v>
      </c>
      <c r="G36" s="584"/>
      <c r="H36" s="584"/>
      <c r="I36" s="587">
        <v>0.37320953000000001</v>
      </c>
      <c r="J36" s="587">
        <v>0.37568765999999998</v>
      </c>
      <c r="K36" s="587">
        <v>0.38884295999999996</v>
      </c>
      <c r="L36" s="587">
        <v>0.38884295999999996</v>
      </c>
      <c r="M36" s="587">
        <v>0.38884295999999996</v>
      </c>
      <c r="N36" s="587">
        <v>0.53110941</v>
      </c>
      <c r="O36" s="587">
        <v>0.57106191000000006</v>
      </c>
      <c r="P36" s="587">
        <v>0.57106191000000006</v>
      </c>
      <c r="Q36" s="587">
        <v>0.57106191000000006</v>
      </c>
      <c r="R36" s="587">
        <v>0.57106191000000006</v>
      </c>
      <c r="S36" s="587">
        <v>0.57106191000000006</v>
      </c>
      <c r="T36" s="587">
        <v>0.57106191000000006</v>
      </c>
      <c r="U36" s="587">
        <v>0.57106191000000006</v>
      </c>
      <c r="V36" s="587">
        <v>0.57106191000000006</v>
      </c>
      <c r="W36" s="587">
        <v>0.57106191000000006</v>
      </c>
      <c r="X36" s="587">
        <v>0.57106191000000006</v>
      </c>
      <c r="Y36" s="587">
        <v>0.57106191000000006</v>
      </c>
      <c r="Z36" s="587">
        <v>0.57106191000000006</v>
      </c>
      <c r="AA36" s="587">
        <v>0.57106191000000006</v>
      </c>
      <c r="AB36" s="587">
        <v>0.57106191000000006</v>
      </c>
      <c r="AC36" s="587">
        <v>0.57106191000000006</v>
      </c>
      <c r="AD36" s="587">
        <v>0.57106191000000006</v>
      </c>
      <c r="AE36" s="587">
        <v>0.57106191000000006</v>
      </c>
      <c r="AF36" s="587">
        <v>0.57106191000000006</v>
      </c>
      <c r="AG36" s="587">
        <v>0.57106191000000006</v>
      </c>
      <c r="AH36" s="587">
        <v>0.57106191000000006</v>
      </c>
      <c r="AI36" s="587">
        <v>0.57106191000000006</v>
      </c>
      <c r="AJ36" s="587">
        <v>0.57106191000000006</v>
      </c>
      <c r="AK36" s="587">
        <v>0.57106191000000006</v>
      </c>
      <c r="AL36" s="587">
        <v>0.57106191000000006</v>
      </c>
      <c r="AM36" s="587">
        <v>0.57106191000000006</v>
      </c>
      <c r="AN36" s="587">
        <v>0.57106191000000006</v>
      </c>
      <c r="AO36" s="587">
        <v>0.57106191000000006</v>
      </c>
      <c r="AP36" s="587">
        <v>0.57106191000000006</v>
      </c>
      <c r="AQ36" s="587">
        <v>0.57106191000000006</v>
      </c>
      <c r="AR36" s="587">
        <v>0.57106191000000006</v>
      </c>
      <c r="AS36" s="587">
        <v>0.57106191000000006</v>
      </c>
      <c r="AT36" s="587">
        <v>0.57106191000000006</v>
      </c>
      <c r="AU36" s="587">
        <v>0.57106191000000006</v>
      </c>
      <c r="AV36" s="587">
        <v>0.57106191000000006</v>
      </c>
      <c r="AW36" s="587">
        <v>0.57106191000000006</v>
      </c>
      <c r="AX36" s="548"/>
    </row>
    <row r="37" spans="1:70" ht="14.25" customHeight="1" thickBot="1" x14ac:dyDescent="0.35">
      <c r="B37" s="957"/>
      <c r="C37" s="540"/>
      <c r="D37" s="576"/>
      <c r="E37" s="575"/>
      <c r="F37" s="574"/>
      <c r="G37" s="574"/>
      <c r="H37" s="574"/>
      <c r="I37" s="574"/>
      <c r="J37" s="574"/>
      <c r="K37" s="574"/>
      <c r="L37" s="574"/>
      <c r="M37" s="574"/>
      <c r="N37" s="574"/>
      <c r="O37" s="574"/>
      <c r="P37" s="574"/>
      <c r="Q37" s="574"/>
      <c r="R37" s="574"/>
      <c r="S37" s="574"/>
      <c r="T37" s="574"/>
      <c r="U37" s="574"/>
      <c r="V37" s="574"/>
      <c r="W37" s="574"/>
      <c r="X37" s="574"/>
      <c r="Y37" s="574"/>
      <c r="Z37" s="574"/>
      <c r="AA37" s="574"/>
      <c r="AB37" s="574"/>
      <c r="AC37" s="574"/>
      <c r="AD37" s="574"/>
      <c r="AE37" s="574"/>
      <c r="AF37" s="574"/>
      <c r="AG37" s="574"/>
      <c r="AH37" s="574"/>
      <c r="AI37" s="574"/>
      <c r="AJ37" s="574"/>
      <c r="AK37" s="574"/>
      <c r="AL37" s="574"/>
      <c r="AM37" s="574"/>
      <c r="AN37" s="574"/>
      <c r="AO37" s="574"/>
      <c r="AP37" s="574"/>
      <c r="AQ37" s="574"/>
      <c r="AR37" s="574"/>
      <c r="AS37" s="574"/>
      <c r="AT37" s="574"/>
      <c r="AU37" s="574"/>
      <c r="AV37" s="574"/>
      <c r="AW37" s="574"/>
      <c r="AX37" s="573"/>
    </row>
    <row r="38" spans="1:70" ht="14.25" customHeight="1" x14ac:dyDescent="0.3">
      <c r="B38" s="957"/>
      <c r="C38" s="540"/>
      <c r="D38" s="540"/>
      <c r="E38" s="540"/>
      <c r="F38" s="539"/>
      <c r="G38" s="539"/>
      <c r="H38" s="539"/>
      <c r="I38" s="539"/>
      <c r="J38" s="539"/>
      <c r="K38" s="539"/>
      <c r="L38" s="539"/>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9"/>
      <c r="AQ38" s="539"/>
      <c r="AR38" s="539"/>
      <c r="AS38" s="539"/>
      <c r="AT38" s="539"/>
      <c r="AU38" s="539"/>
      <c r="AV38" s="539"/>
      <c r="AW38" s="539"/>
      <c r="AX38" s="539"/>
      <c r="AZ38" s="572">
        <f>U79-AW79</f>
        <v>1.8558031398731079E-2</v>
      </c>
    </row>
    <row r="39" spans="1:70" ht="26" x14ac:dyDescent="0.3">
      <c r="B39" s="957"/>
      <c r="C39" s="540"/>
      <c r="D39" s="1103" t="s">
        <v>33</v>
      </c>
      <c r="E39" s="1103"/>
      <c r="F39" s="1103"/>
      <c r="G39" s="539"/>
      <c r="H39" s="539"/>
      <c r="I39" s="539"/>
      <c r="J39" s="539"/>
      <c r="K39" s="539"/>
      <c r="L39" s="539"/>
      <c r="M39" s="539"/>
      <c r="N39" s="539"/>
      <c r="O39" s="539"/>
      <c r="P39" s="539"/>
      <c r="Q39" s="539"/>
      <c r="R39" s="597"/>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9"/>
      <c r="AQ39" s="539"/>
      <c r="AR39" s="539"/>
      <c r="AS39" s="539"/>
      <c r="AT39" s="539"/>
      <c r="AU39" s="539"/>
      <c r="AV39" s="539"/>
      <c r="AW39" s="539"/>
      <c r="AX39" s="539"/>
    </row>
    <row r="40" spans="1:70" ht="14.25" customHeight="1" x14ac:dyDescent="0.3">
      <c r="B40" s="957"/>
      <c r="C40" s="540"/>
      <c r="D40" s="540"/>
      <c r="E40" s="540"/>
      <c r="F40" s="539"/>
      <c r="G40" s="539"/>
      <c r="H40" s="539"/>
      <c r="I40" s="594"/>
      <c r="J40" s="594"/>
      <c r="K40" s="594"/>
      <c r="L40" s="594"/>
      <c r="M40" s="594"/>
      <c r="N40" s="594"/>
      <c r="O40" s="594"/>
      <c r="P40" s="594"/>
      <c r="Q40" s="558"/>
      <c r="R40" s="539"/>
      <c r="S40" s="594"/>
      <c r="T40" s="594"/>
      <c r="U40" s="908">
        <f>(T64-U64)/T64</f>
        <v>7.6000000000000009E-3</v>
      </c>
      <c r="V40" s="908">
        <f>(U64-V64)/U64</f>
        <v>7.6000000000000737E-3</v>
      </c>
      <c r="W40" s="908">
        <f t="shared" ref="W40:AD40" si="9">(V64-W64)/V64</f>
        <v>7.6000000000001101E-3</v>
      </c>
      <c r="X40" s="908">
        <f t="shared" si="9"/>
        <v>7.6000000000000434E-3</v>
      </c>
      <c r="Y40" s="908">
        <f t="shared" si="9"/>
        <v>7.6000000000000451E-3</v>
      </c>
      <c r="Z40" s="908">
        <f t="shared" si="9"/>
        <v>7.6000000000000668E-3</v>
      </c>
      <c r="AA40" s="908">
        <f t="shared" si="9"/>
        <v>7.6000000000000919E-3</v>
      </c>
      <c r="AB40" s="908">
        <f t="shared" si="9"/>
        <v>7.6000000000000911E-3</v>
      </c>
      <c r="AC40" s="908">
        <f t="shared" si="9"/>
        <v>7.5999999999999818E-3</v>
      </c>
      <c r="AD40" s="908">
        <f t="shared" si="9"/>
        <v>7.6000000000000685E-3</v>
      </c>
      <c r="AE40" s="539"/>
      <c r="AF40" s="539"/>
      <c r="AG40" s="539"/>
      <c r="AH40" s="539"/>
      <c r="AI40" s="539"/>
      <c r="AJ40" s="539"/>
      <c r="AK40" s="539"/>
      <c r="AL40" s="539"/>
      <c r="AM40" s="539"/>
      <c r="AN40" s="539"/>
      <c r="AO40" s="539"/>
      <c r="AP40" s="539"/>
      <c r="AQ40" s="539"/>
      <c r="AR40" s="539"/>
      <c r="AS40" s="539"/>
      <c r="AT40" s="539"/>
      <c r="AU40" s="539">
        <f>1-AU64/AT64</f>
        <v>7.6000000000000512E-3</v>
      </c>
      <c r="AV40" s="539">
        <f>1-AV64/AU64</f>
        <v>7.6000000000000512E-3</v>
      </c>
      <c r="AW40" s="539">
        <f>1-AW64/AV64</f>
        <v>7.6000000000000512E-3</v>
      </c>
      <c r="AX40" s="539"/>
    </row>
    <row r="41" spans="1:70" ht="14.25" customHeight="1" x14ac:dyDescent="0.3">
      <c r="B41" s="957"/>
      <c r="C41" s="1105"/>
      <c r="D41" s="611"/>
      <c r="E41" s="567"/>
      <c r="F41" s="612"/>
      <c r="G41" s="612"/>
      <c r="H41" s="612"/>
      <c r="I41" s="612"/>
      <c r="J41" s="612"/>
      <c r="K41" s="612"/>
      <c r="L41" s="612"/>
      <c r="M41" s="612"/>
      <c r="N41" s="612"/>
      <c r="O41" s="612"/>
      <c r="P41" s="612"/>
      <c r="Q41" s="612"/>
      <c r="R41" s="612"/>
      <c r="S41" s="612"/>
      <c r="T41" s="612"/>
      <c r="U41" s="612"/>
      <c r="V41" s="612"/>
      <c r="W41" s="612"/>
      <c r="X41" s="612"/>
      <c r="Y41" s="612"/>
      <c r="Z41" s="612"/>
      <c r="AA41" s="612"/>
      <c r="AB41" s="612"/>
      <c r="AC41" s="612"/>
      <c r="AD41" s="612"/>
      <c r="AE41" s="612"/>
      <c r="AF41" s="612"/>
      <c r="AG41" s="612"/>
      <c r="AH41" s="612"/>
      <c r="AI41" s="612"/>
      <c r="AJ41" s="612"/>
      <c r="AK41" s="612"/>
      <c r="AL41" s="612"/>
      <c r="AM41" s="612"/>
      <c r="AN41" s="612"/>
      <c r="AO41" s="612"/>
      <c r="AP41" s="612"/>
      <c r="AQ41" s="612"/>
      <c r="AR41" s="612"/>
      <c r="AS41" s="612"/>
      <c r="AT41" s="612"/>
      <c r="AU41" s="612"/>
      <c r="AV41" s="612"/>
      <c r="AW41" s="612"/>
      <c r="AX41" s="612"/>
      <c r="AY41" s="612"/>
      <c r="AZ41" s="612"/>
      <c r="BA41" s="612"/>
      <c r="BB41" s="612"/>
      <c r="BC41" s="612"/>
      <c r="BD41" s="612"/>
      <c r="BE41" s="612"/>
      <c r="BF41" s="612"/>
      <c r="BG41" s="612"/>
      <c r="BH41" s="612"/>
      <c r="BI41" s="612"/>
      <c r="BJ41" s="612"/>
      <c r="BK41" s="612"/>
      <c r="BL41" s="612"/>
      <c r="BM41" s="612"/>
      <c r="BN41" s="612"/>
      <c r="BO41" s="612"/>
      <c r="BP41" s="612"/>
      <c r="BQ41" s="612"/>
      <c r="BR41" s="613"/>
    </row>
    <row r="42" spans="1:70" ht="14.25" customHeight="1" x14ac:dyDescent="0.3">
      <c r="A42" s="557" t="s">
        <v>124</v>
      </c>
      <c r="B42" s="957"/>
      <c r="C42" s="1106"/>
      <c r="D42" s="565"/>
      <c r="E42" s="550" t="s">
        <v>125</v>
      </c>
      <c r="F42" s="557" t="s">
        <v>35</v>
      </c>
      <c r="G42" s="549"/>
      <c r="H42" s="549"/>
      <c r="I42" s="549"/>
      <c r="J42" s="549"/>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614"/>
    </row>
    <row r="43" spans="1:70" ht="14.25" hidden="1" customHeight="1" x14ac:dyDescent="0.3">
      <c r="B43" s="957"/>
      <c r="C43" s="1106"/>
      <c r="D43" s="565"/>
      <c r="E43" s="556"/>
      <c r="F43" s="631" t="s">
        <v>36</v>
      </c>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614"/>
    </row>
    <row r="44" spans="1:70" s="583" customFormat="1" ht="14.25" hidden="1" customHeight="1" x14ac:dyDescent="0.3">
      <c r="A44" s="811"/>
      <c r="B44" s="1104" t="s">
        <v>37</v>
      </c>
      <c r="C44" s="813"/>
      <c r="D44" s="1107" t="s">
        <v>38</v>
      </c>
      <c r="E44" s="1108"/>
      <c r="F44" s="804" t="s">
        <v>39</v>
      </c>
      <c r="G44" s="805">
        <v>13038367.32</v>
      </c>
      <c r="H44" s="804"/>
      <c r="I44" s="805"/>
      <c r="J44" s="806"/>
      <c r="K44" s="806"/>
      <c r="L44" s="806"/>
      <c r="M44" s="806">
        <v>12753386.910000002</v>
      </c>
      <c r="N44" s="807"/>
      <c r="O44" s="807">
        <v>12631197.689999999</v>
      </c>
      <c r="P44" s="807"/>
      <c r="Q44" s="808">
        <v>12514339.529999999</v>
      </c>
      <c r="R44" s="808"/>
      <c r="S44" s="808"/>
      <c r="T44" s="808"/>
      <c r="U44" s="814"/>
      <c r="V44" s="814"/>
      <c r="W44" s="814"/>
      <c r="X44" s="814"/>
      <c r="Y44" s="814"/>
      <c r="Z44" s="814"/>
      <c r="AA44" s="814"/>
      <c r="AB44" s="814"/>
      <c r="AC44" s="814"/>
      <c r="AD44" s="814"/>
      <c r="AE44" s="814"/>
      <c r="AF44" s="814"/>
      <c r="AG44" s="814"/>
      <c r="AH44" s="814"/>
      <c r="AI44" s="814"/>
      <c r="AJ44" s="814"/>
      <c r="AK44" s="814"/>
      <c r="AL44" s="814"/>
      <c r="AM44" s="814"/>
      <c r="AN44" s="814"/>
      <c r="AO44" s="814"/>
      <c r="AP44" s="814"/>
      <c r="AQ44" s="814"/>
      <c r="AR44" s="814"/>
      <c r="AS44" s="814"/>
      <c r="AT44" s="814"/>
      <c r="AU44" s="814"/>
      <c r="AV44" s="814"/>
      <c r="AW44" s="814"/>
      <c r="AX44" s="814"/>
      <c r="AY44" s="814"/>
      <c r="AZ44" s="814"/>
      <c r="BA44" s="814"/>
      <c r="BB44" s="814"/>
      <c r="BC44" s="814"/>
      <c r="BD44" s="814"/>
      <c r="BE44" s="814"/>
      <c r="BF44" s="814"/>
      <c r="BG44" s="814"/>
      <c r="BH44" s="814"/>
      <c r="BI44" s="814"/>
      <c r="BJ44" s="814"/>
      <c r="BK44" s="814"/>
      <c r="BL44" s="814"/>
      <c r="BM44" s="814"/>
      <c r="BN44" s="814"/>
      <c r="BO44" s="814"/>
      <c r="BP44" s="814"/>
      <c r="BQ44" s="814"/>
      <c r="BR44" s="614"/>
    </row>
    <row r="45" spans="1:70" s="583" customFormat="1" ht="14.25" hidden="1" customHeight="1" x14ac:dyDescent="0.3">
      <c r="A45" s="811"/>
      <c r="B45" s="1104"/>
      <c r="C45" s="815"/>
      <c r="D45" s="1107"/>
      <c r="E45" s="1108"/>
      <c r="F45" s="804" t="s">
        <v>40</v>
      </c>
      <c r="G45" s="805">
        <v>62196.93</v>
      </c>
      <c r="H45" s="804"/>
      <c r="I45" s="805"/>
      <c r="J45" s="806"/>
      <c r="K45" s="806"/>
      <c r="L45" s="806"/>
      <c r="M45" s="806">
        <v>130072.41000000002</v>
      </c>
      <c r="N45" s="807"/>
      <c r="O45" s="807">
        <v>123719.94</v>
      </c>
      <c r="P45" s="807"/>
      <c r="Q45" s="808">
        <v>121995.27</v>
      </c>
      <c r="R45" s="808"/>
      <c r="S45" s="808"/>
      <c r="T45" s="808"/>
      <c r="U45" s="814"/>
      <c r="V45" s="814"/>
      <c r="W45" s="814"/>
      <c r="X45" s="814"/>
      <c r="Y45" s="814"/>
      <c r="Z45" s="814"/>
      <c r="AA45" s="814"/>
      <c r="AB45" s="814"/>
      <c r="AC45" s="814"/>
      <c r="AD45" s="814"/>
      <c r="AE45" s="814"/>
      <c r="AF45" s="814"/>
      <c r="AG45" s="814"/>
      <c r="AH45" s="814"/>
      <c r="AI45" s="814"/>
      <c r="AJ45" s="814"/>
      <c r="AK45" s="814"/>
      <c r="AL45" s="814"/>
      <c r="AM45" s="814"/>
      <c r="AN45" s="814"/>
      <c r="AO45" s="814"/>
      <c r="AP45" s="814"/>
      <c r="AQ45" s="814"/>
      <c r="AR45" s="814"/>
      <c r="AS45" s="814"/>
      <c r="AT45" s="814"/>
      <c r="AU45" s="814"/>
      <c r="AV45" s="814"/>
      <c r="AW45" s="814"/>
      <c r="AX45" s="814"/>
      <c r="AY45" s="814"/>
      <c r="AZ45" s="814"/>
      <c r="BA45" s="814"/>
      <c r="BB45" s="814"/>
      <c r="BC45" s="814"/>
      <c r="BD45" s="814"/>
      <c r="BE45" s="814"/>
      <c r="BF45" s="814"/>
      <c r="BG45" s="814"/>
      <c r="BH45" s="814"/>
      <c r="BI45" s="814"/>
      <c r="BJ45" s="814"/>
      <c r="BK45" s="814"/>
      <c r="BL45" s="814"/>
      <c r="BM45" s="814"/>
      <c r="BN45" s="814"/>
      <c r="BO45" s="814"/>
      <c r="BP45" s="814"/>
      <c r="BQ45" s="814"/>
      <c r="BR45" s="614"/>
    </row>
    <row r="46" spans="1:70" ht="14.25" hidden="1" customHeight="1" x14ac:dyDescent="0.3">
      <c r="B46" s="1104"/>
      <c r="C46" s="1109"/>
      <c r="D46" s="1110" t="s">
        <v>41</v>
      </c>
      <c r="E46" s="1111"/>
      <c r="F46" s="584" t="s">
        <v>42</v>
      </c>
      <c r="G46" s="615">
        <v>611941.94999999995</v>
      </c>
      <c r="H46" s="584"/>
      <c r="I46" s="615"/>
      <c r="J46" s="958"/>
      <c r="K46" s="958"/>
      <c r="L46" s="958"/>
      <c r="M46" s="615">
        <v>1094904.6299999997</v>
      </c>
      <c r="N46" s="958"/>
      <c r="O46" s="1112">
        <v>8933864.4900000002</v>
      </c>
      <c r="P46" s="958"/>
      <c r="Q46" s="1113">
        <v>8999553.2400000002</v>
      </c>
      <c r="R46" s="958"/>
      <c r="S46" s="958"/>
      <c r="T46" s="958"/>
      <c r="U46" s="587"/>
      <c r="V46" s="587"/>
      <c r="W46" s="587"/>
      <c r="X46" s="587"/>
      <c r="Y46" s="587"/>
      <c r="Z46" s="587"/>
      <c r="AA46" s="587"/>
      <c r="AB46" s="587"/>
      <c r="AC46" s="587"/>
      <c r="AD46" s="587"/>
      <c r="AE46" s="587"/>
      <c r="AF46" s="587"/>
      <c r="AG46" s="587"/>
      <c r="AH46" s="587"/>
      <c r="AI46" s="587"/>
      <c r="AJ46" s="587"/>
      <c r="AK46" s="587"/>
      <c r="AL46" s="587"/>
      <c r="AM46" s="587"/>
      <c r="AN46" s="587"/>
      <c r="AO46" s="587"/>
      <c r="AP46" s="587"/>
      <c r="AQ46" s="587"/>
      <c r="AR46" s="587"/>
      <c r="AS46" s="587"/>
      <c r="AT46" s="587"/>
      <c r="AU46" s="587"/>
      <c r="AV46" s="587"/>
      <c r="AW46" s="587"/>
      <c r="AX46" s="587"/>
      <c r="AY46" s="587"/>
      <c r="AZ46" s="587"/>
      <c r="BA46" s="587"/>
      <c r="BB46" s="587"/>
      <c r="BC46" s="587"/>
      <c r="BD46" s="587"/>
      <c r="BE46" s="587"/>
      <c r="BF46" s="587"/>
      <c r="BG46" s="587"/>
      <c r="BH46" s="587"/>
      <c r="BI46" s="587"/>
      <c r="BJ46" s="587"/>
      <c r="BK46" s="587"/>
      <c r="BL46" s="587"/>
      <c r="BM46" s="587"/>
      <c r="BN46" s="587"/>
      <c r="BO46" s="587"/>
      <c r="BP46" s="587"/>
      <c r="BQ46" s="587"/>
      <c r="BR46" s="614"/>
    </row>
    <row r="47" spans="1:70" ht="14.25" hidden="1" customHeight="1" x14ac:dyDescent="0.3">
      <c r="B47" s="1104"/>
      <c r="C47" s="1109"/>
      <c r="D47" s="1110"/>
      <c r="E47" s="1111"/>
      <c r="F47" s="584" t="s">
        <v>43</v>
      </c>
      <c r="G47" s="615">
        <v>260389.08</v>
      </c>
      <c r="H47" s="584"/>
      <c r="I47" s="615"/>
      <c r="J47" s="590"/>
      <c r="K47" s="590"/>
      <c r="L47" s="590"/>
      <c r="M47" s="616">
        <v>480131.91000000009</v>
      </c>
      <c r="N47" s="590"/>
      <c r="O47" s="1112"/>
      <c r="P47" s="590"/>
      <c r="Q47" s="1113"/>
      <c r="R47" s="958"/>
      <c r="S47" s="958"/>
      <c r="T47" s="958"/>
      <c r="U47" s="587"/>
      <c r="V47" s="587"/>
      <c r="W47" s="587"/>
      <c r="X47" s="587"/>
      <c r="Y47" s="587"/>
      <c r="Z47" s="587"/>
      <c r="AA47" s="587"/>
      <c r="AB47" s="587"/>
      <c r="AC47" s="587"/>
      <c r="AD47" s="587"/>
      <c r="AE47" s="587"/>
      <c r="AF47" s="587"/>
      <c r="AG47" s="587"/>
      <c r="AH47" s="587"/>
      <c r="AI47" s="587"/>
      <c r="AJ47" s="587"/>
      <c r="AK47" s="587"/>
      <c r="AL47" s="587"/>
      <c r="AM47" s="587"/>
      <c r="AN47" s="587"/>
      <c r="AO47" s="587"/>
      <c r="AP47" s="587"/>
      <c r="AQ47" s="587"/>
      <c r="AR47" s="587"/>
      <c r="AS47" s="587"/>
      <c r="AT47" s="587"/>
      <c r="AU47" s="587"/>
      <c r="AV47" s="587"/>
      <c r="AW47" s="587"/>
      <c r="AX47" s="587"/>
      <c r="AY47" s="587"/>
      <c r="AZ47" s="587"/>
      <c r="BA47" s="587"/>
      <c r="BB47" s="587"/>
      <c r="BC47" s="587"/>
      <c r="BD47" s="587"/>
      <c r="BE47" s="587"/>
      <c r="BF47" s="587"/>
      <c r="BG47" s="587"/>
      <c r="BH47" s="587"/>
      <c r="BI47" s="587"/>
      <c r="BJ47" s="587"/>
      <c r="BK47" s="587"/>
      <c r="BL47" s="587"/>
      <c r="BM47" s="587"/>
      <c r="BN47" s="587"/>
      <c r="BO47" s="587"/>
      <c r="BP47" s="587"/>
      <c r="BQ47" s="587"/>
      <c r="BR47" s="614"/>
    </row>
    <row r="48" spans="1:70" ht="14.25" hidden="1" customHeight="1" x14ac:dyDescent="0.3">
      <c r="B48" s="1104"/>
      <c r="C48" s="1109"/>
      <c r="D48" s="1110"/>
      <c r="E48" s="1111"/>
      <c r="F48" s="584" t="s">
        <v>44</v>
      </c>
      <c r="G48" s="615">
        <v>167305.59</v>
      </c>
      <c r="H48" s="584"/>
      <c r="I48" s="615"/>
      <c r="J48" s="590"/>
      <c r="K48" s="590"/>
      <c r="L48" s="590"/>
      <c r="M48" s="616">
        <v>917407.35000000009</v>
      </c>
      <c r="N48" s="590"/>
      <c r="O48" s="1112"/>
      <c r="P48" s="590"/>
      <c r="Q48" s="1113"/>
      <c r="R48" s="958"/>
      <c r="S48" s="958"/>
      <c r="T48" s="958"/>
      <c r="U48" s="587"/>
      <c r="V48" s="587"/>
      <c r="W48" s="587"/>
      <c r="X48" s="587"/>
      <c r="Y48" s="587"/>
      <c r="Z48" s="587"/>
      <c r="AA48" s="587"/>
      <c r="AB48" s="587"/>
      <c r="AC48" s="587"/>
      <c r="AD48" s="587"/>
      <c r="AE48" s="587"/>
      <c r="AF48" s="587"/>
      <c r="AG48" s="587"/>
      <c r="AH48" s="587"/>
      <c r="AI48" s="587"/>
      <c r="AJ48" s="587"/>
      <c r="AK48" s="587"/>
      <c r="AL48" s="587"/>
      <c r="AM48" s="587"/>
      <c r="AN48" s="587"/>
      <c r="AO48" s="587"/>
      <c r="AP48" s="587"/>
      <c r="AQ48" s="587"/>
      <c r="AR48" s="587"/>
      <c r="AS48" s="587"/>
      <c r="AT48" s="587"/>
      <c r="AU48" s="587"/>
      <c r="AV48" s="587"/>
      <c r="AW48" s="587"/>
      <c r="AX48" s="587"/>
      <c r="AY48" s="587"/>
      <c r="AZ48" s="587"/>
      <c r="BA48" s="587"/>
      <c r="BB48" s="587"/>
      <c r="BC48" s="587"/>
      <c r="BD48" s="587"/>
      <c r="BE48" s="587"/>
      <c r="BF48" s="587"/>
      <c r="BG48" s="587"/>
      <c r="BH48" s="587"/>
      <c r="BI48" s="587"/>
      <c r="BJ48" s="587"/>
      <c r="BK48" s="587"/>
      <c r="BL48" s="587"/>
      <c r="BM48" s="587"/>
      <c r="BN48" s="587"/>
      <c r="BO48" s="587"/>
      <c r="BP48" s="587"/>
      <c r="BQ48" s="587"/>
      <c r="BR48" s="614"/>
    </row>
    <row r="49" spans="1:82" ht="14.25" hidden="1" customHeight="1" x14ac:dyDescent="0.3">
      <c r="B49" s="1104"/>
      <c r="C49" s="1109"/>
      <c r="D49" s="1110"/>
      <c r="E49" s="1111"/>
      <c r="F49" s="584" t="s">
        <v>45</v>
      </c>
      <c r="G49" s="616">
        <v>1454890.32</v>
      </c>
      <c r="H49" s="584"/>
      <c r="I49" s="616"/>
      <c r="J49" s="590"/>
      <c r="K49" s="590"/>
      <c r="L49" s="590"/>
      <c r="M49" s="616">
        <v>4959938.7</v>
      </c>
      <c r="N49" s="590"/>
      <c r="O49" s="1112"/>
      <c r="P49" s="590"/>
      <c r="Q49" s="1113"/>
      <c r="R49" s="958"/>
      <c r="S49" s="958"/>
      <c r="T49" s="958"/>
      <c r="U49" s="587"/>
      <c r="V49" s="587"/>
      <c r="W49" s="587"/>
      <c r="X49" s="587"/>
      <c r="Y49" s="587"/>
      <c r="Z49" s="587"/>
      <c r="AA49" s="587"/>
      <c r="AB49" s="587"/>
      <c r="AC49" s="587"/>
      <c r="AD49" s="587"/>
      <c r="AE49" s="587"/>
      <c r="AF49" s="587"/>
      <c r="AG49" s="587"/>
      <c r="AH49" s="587"/>
      <c r="AI49" s="587"/>
      <c r="AJ49" s="587"/>
      <c r="AK49" s="587"/>
      <c r="AL49" s="587"/>
      <c r="AM49" s="587"/>
      <c r="AN49" s="587"/>
      <c r="AO49" s="587"/>
      <c r="AP49" s="587"/>
      <c r="AQ49" s="587"/>
      <c r="AR49" s="587"/>
      <c r="AS49" s="587"/>
      <c r="AT49" s="587"/>
      <c r="AU49" s="587"/>
      <c r="AV49" s="587"/>
      <c r="AW49" s="587"/>
      <c r="AX49" s="587"/>
      <c r="AY49" s="587"/>
      <c r="AZ49" s="587"/>
      <c r="BA49" s="587"/>
      <c r="BB49" s="587"/>
      <c r="BC49" s="587"/>
      <c r="BD49" s="587"/>
      <c r="BE49" s="587"/>
      <c r="BF49" s="587"/>
      <c r="BG49" s="587"/>
      <c r="BH49" s="587"/>
      <c r="BI49" s="587"/>
      <c r="BJ49" s="587"/>
      <c r="BK49" s="587"/>
      <c r="BL49" s="587"/>
      <c r="BM49" s="587"/>
      <c r="BN49" s="587"/>
      <c r="BO49" s="587"/>
      <c r="BP49" s="587"/>
      <c r="BQ49" s="587"/>
      <c r="BR49" s="614"/>
    </row>
    <row r="50" spans="1:82" s="583" customFormat="1" ht="14.25" hidden="1" customHeight="1" x14ac:dyDescent="0.3">
      <c r="A50" s="811"/>
      <c r="B50" s="1104"/>
      <c r="C50" s="1109"/>
      <c r="D50" s="1110"/>
      <c r="E50" s="1111"/>
      <c r="F50" s="804" t="s">
        <v>46</v>
      </c>
      <c r="G50" s="805">
        <v>6337045.3499999996</v>
      </c>
      <c r="H50" s="804"/>
      <c r="I50" s="805"/>
      <c r="J50" s="806"/>
      <c r="K50" s="806"/>
      <c r="L50" s="806"/>
      <c r="M50" s="806">
        <v>1266774.3000000003</v>
      </c>
      <c r="N50" s="807"/>
      <c r="O50" s="1112"/>
      <c r="P50" s="807"/>
      <c r="Q50" s="1113"/>
      <c r="R50" s="808"/>
      <c r="S50" s="808"/>
      <c r="T50" s="808"/>
      <c r="U50" s="804"/>
      <c r="V50" s="814"/>
      <c r="W50" s="814"/>
      <c r="X50" s="814"/>
      <c r="Y50" s="814"/>
      <c r="Z50" s="814"/>
      <c r="AA50" s="814"/>
      <c r="AB50" s="814"/>
      <c r="AC50" s="814"/>
      <c r="AD50" s="814"/>
      <c r="AE50" s="814"/>
      <c r="AF50" s="814"/>
      <c r="AG50" s="814"/>
      <c r="AH50" s="814"/>
      <c r="AI50" s="814"/>
      <c r="AJ50" s="814"/>
      <c r="AK50" s="814"/>
      <c r="AL50" s="814"/>
      <c r="AM50" s="814"/>
      <c r="AN50" s="814"/>
      <c r="AO50" s="814"/>
      <c r="AP50" s="814"/>
      <c r="AQ50" s="814"/>
      <c r="AR50" s="814"/>
      <c r="AS50" s="814"/>
      <c r="AT50" s="814"/>
      <c r="AU50" s="814"/>
      <c r="AV50" s="814"/>
      <c r="AW50" s="814"/>
      <c r="AX50" s="814"/>
      <c r="AY50" s="814"/>
      <c r="AZ50" s="814"/>
      <c r="BA50" s="814"/>
      <c r="BB50" s="814"/>
      <c r="BC50" s="814"/>
      <c r="BD50" s="814"/>
      <c r="BE50" s="814"/>
      <c r="BF50" s="814"/>
      <c r="BG50" s="814"/>
      <c r="BH50" s="814"/>
      <c r="BI50" s="814"/>
      <c r="BJ50" s="814"/>
      <c r="BK50" s="814"/>
      <c r="BL50" s="814"/>
      <c r="BM50" s="814"/>
      <c r="BN50" s="814"/>
      <c r="BO50" s="814"/>
      <c r="BP50" s="814"/>
      <c r="BQ50" s="814"/>
      <c r="BR50" s="614"/>
      <c r="BS50" s="811"/>
      <c r="BT50" s="811"/>
      <c r="BU50" s="811"/>
      <c r="BV50" s="811"/>
      <c r="BW50" s="811"/>
      <c r="BX50" s="811"/>
      <c r="BY50" s="811"/>
      <c r="BZ50" s="811"/>
      <c r="CA50" s="811"/>
      <c r="CB50" s="811"/>
      <c r="CC50" s="811"/>
      <c r="CD50" s="811"/>
    </row>
    <row r="51" spans="1:82" s="583" customFormat="1" ht="14.25" hidden="1" customHeight="1" x14ac:dyDescent="0.3">
      <c r="A51" s="811"/>
      <c r="B51" s="1104"/>
      <c r="C51" s="815"/>
      <c r="D51" s="1114" t="s">
        <v>47</v>
      </c>
      <c r="E51" s="1115"/>
      <c r="F51" s="804" t="s">
        <v>48</v>
      </c>
      <c r="G51" s="805">
        <v>587499.84</v>
      </c>
      <c r="H51" s="804"/>
      <c r="I51" s="805"/>
      <c r="J51" s="812"/>
      <c r="K51" s="812"/>
      <c r="L51" s="812"/>
      <c r="M51" s="805">
        <v>810626.93999999983</v>
      </c>
      <c r="N51" s="812"/>
      <c r="O51" s="808">
        <v>763180.11</v>
      </c>
      <c r="P51" s="812"/>
      <c r="Q51" s="808">
        <v>768908.61</v>
      </c>
      <c r="R51" s="812"/>
      <c r="S51" s="812"/>
      <c r="T51" s="812"/>
      <c r="U51" s="804"/>
      <c r="V51" s="804"/>
      <c r="W51" s="814"/>
      <c r="X51" s="814"/>
      <c r="Y51" s="814"/>
      <c r="Z51" s="814"/>
      <c r="AA51" s="814"/>
      <c r="AB51" s="814"/>
      <c r="AC51" s="814"/>
      <c r="AD51" s="814"/>
      <c r="AE51" s="814"/>
      <c r="AF51" s="814"/>
      <c r="AG51" s="814"/>
      <c r="AH51" s="814"/>
      <c r="AI51" s="814"/>
      <c r="AJ51" s="814"/>
      <c r="AK51" s="814"/>
      <c r="AL51" s="814"/>
      <c r="AM51" s="814"/>
      <c r="AN51" s="814"/>
      <c r="AO51" s="814"/>
      <c r="AP51" s="814"/>
      <c r="AQ51" s="814"/>
      <c r="AR51" s="814"/>
      <c r="AS51" s="814"/>
      <c r="AT51" s="814"/>
      <c r="AU51" s="814"/>
      <c r="AV51" s="814"/>
      <c r="AW51" s="814"/>
      <c r="AX51" s="814"/>
      <c r="AY51" s="814"/>
      <c r="AZ51" s="814"/>
      <c r="BA51" s="814"/>
      <c r="BB51" s="814"/>
      <c r="BC51" s="814"/>
      <c r="BD51" s="814"/>
      <c r="BE51" s="814"/>
      <c r="BF51" s="814"/>
      <c r="BG51" s="814"/>
      <c r="BH51" s="814"/>
      <c r="BI51" s="814"/>
      <c r="BJ51" s="814"/>
      <c r="BK51" s="814"/>
      <c r="BL51" s="814"/>
      <c r="BM51" s="814"/>
      <c r="BN51" s="814"/>
      <c r="BO51" s="814"/>
      <c r="BP51" s="814"/>
      <c r="BQ51" s="814"/>
      <c r="BR51" s="614"/>
      <c r="BS51" s="811"/>
      <c r="BT51" s="811"/>
      <c r="BU51" s="811"/>
      <c r="BV51" s="811"/>
      <c r="BW51" s="811"/>
      <c r="BX51" s="811"/>
      <c r="BY51" s="811"/>
      <c r="BZ51" s="811"/>
      <c r="CA51" s="811"/>
      <c r="CB51" s="811"/>
      <c r="CC51" s="811"/>
      <c r="CD51" s="811"/>
    </row>
    <row r="52" spans="1:82" s="583" customFormat="1" ht="14.25" hidden="1" customHeight="1" x14ac:dyDescent="0.3">
      <c r="A52" s="811"/>
      <c r="B52" s="1104"/>
      <c r="C52" s="815"/>
      <c r="D52" s="1114"/>
      <c r="E52" s="1115"/>
      <c r="F52" s="804" t="s">
        <v>49</v>
      </c>
      <c r="G52" s="805">
        <v>109528.02</v>
      </c>
      <c r="H52" s="804"/>
      <c r="I52" s="805"/>
      <c r="J52" s="812"/>
      <c r="K52" s="812"/>
      <c r="L52" s="812"/>
      <c r="M52" s="805">
        <v>89167.14</v>
      </c>
      <c r="N52" s="812"/>
      <c r="O52" s="808">
        <v>83035.17</v>
      </c>
      <c r="P52" s="812"/>
      <c r="Q52" s="808">
        <v>85768.2</v>
      </c>
      <c r="R52" s="812"/>
      <c r="S52" s="812"/>
      <c r="T52" s="812"/>
      <c r="U52" s="814"/>
      <c r="V52" s="814"/>
      <c r="W52" s="814"/>
      <c r="X52" s="814"/>
      <c r="Y52" s="814"/>
      <c r="Z52" s="814"/>
      <c r="AA52" s="814"/>
      <c r="AB52" s="814"/>
      <c r="AC52" s="814"/>
      <c r="AD52" s="814"/>
      <c r="AE52" s="814"/>
      <c r="AF52" s="814"/>
      <c r="AG52" s="814"/>
      <c r="AH52" s="814"/>
      <c r="AI52" s="814"/>
      <c r="AJ52" s="814"/>
      <c r="AK52" s="814"/>
      <c r="AL52" s="814"/>
      <c r="AM52" s="814"/>
      <c r="AN52" s="814"/>
      <c r="AO52" s="814"/>
      <c r="AP52" s="814"/>
      <c r="AQ52" s="814"/>
      <c r="AR52" s="814"/>
      <c r="AS52" s="814"/>
      <c r="AT52" s="814"/>
      <c r="AU52" s="814"/>
      <c r="AV52" s="814"/>
      <c r="AW52" s="814"/>
      <c r="AX52" s="814"/>
      <c r="AY52" s="814"/>
      <c r="AZ52" s="814"/>
      <c r="BA52" s="814"/>
      <c r="BB52" s="814"/>
      <c r="BC52" s="814"/>
      <c r="BD52" s="814"/>
      <c r="BE52" s="814"/>
      <c r="BF52" s="814"/>
      <c r="BG52" s="814"/>
      <c r="BH52" s="814"/>
      <c r="BI52" s="814"/>
      <c r="BJ52" s="814"/>
      <c r="BK52" s="814"/>
      <c r="BL52" s="814"/>
      <c r="BM52" s="814"/>
      <c r="BN52" s="814"/>
      <c r="BO52" s="814"/>
      <c r="BP52" s="814"/>
      <c r="BQ52" s="814"/>
      <c r="BR52" s="614"/>
      <c r="BS52" s="811"/>
      <c r="BT52" s="811"/>
      <c r="BU52" s="811"/>
      <c r="BV52" s="811"/>
      <c r="BW52" s="811"/>
      <c r="BX52" s="811"/>
      <c r="BY52" s="811"/>
      <c r="BZ52" s="811"/>
      <c r="CA52" s="811"/>
      <c r="CB52" s="811"/>
      <c r="CC52" s="811"/>
      <c r="CD52" s="811"/>
    </row>
    <row r="53" spans="1:82" ht="14.25" hidden="1" customHeight="1" x14ac:dyDescent="0.3">
      <c r="B53" s="1104"/>
      <c r="C53" s="959"/>
      <c r="D53" s="1114"/>
      <c r="E53" s="1115"/>
      <c r="F53" s="584" t="s">
        <v>50</v>
      </c>
      <c r="G53" s="805">
        <v>1465935.84</v>
      </c>
      <c r="H53" s="584"/>
      <c r="I53" s="805"/>
      <c r="J53" s="812"/>
      <c r="K53" s="812"/>
      <c r="L53" s="812"/>
      <c r="M53" s="805">
        <v>1523970.09</v>
      </c>
      <c r="N53" s="812"/>
      <c r="O53" s="808">
        <v>1515272.49</v>
      </c>
      <c r="P53" s="812"/>
      <c r="Q53" s="808">
        <v>1521159.66</v>
      </c>
      <c r="R53" s="812"/>
      <c r="S53" s="812"/>
      <c r="T53" s="812"/>
      <c r="U53" s="587"/>
      <c r="V53" s="587"/>
      <c r="W53" s="587"/>
      <c r="X53" s="587"/>
      <c r="Y53" s="587"/>
      <c r="Z53" s="587"/>
      <c r="AA53" s="587"/>
      <c r="AB53" s="587"/>
      <c r="AC53" s="587"/>
      <c r="AD53" s="587"/>
      <c r="AE53" s="587"/>
      <c r="AF53" s="587"/>
      <c r="AG53" s="587"/>
      <c r="AH53" s="587"/>
      <c r="AI53" s="587"/>
      <c r="AJ53" s="587"/>
      <c r="AK53" s="587"/>
      <c r="AL53" s="587"/>
      <c r="AM53" s="587"/>
      <c r="AN53" s="587"/>
      <c r="AO53" s="587"/>
      <c r="AP53" s="587"/>
      <c r="AQ53" s="587"/>
      <c r="AR53" s="587"/>
      <c r="AS53" s="587"/>
      <c r="AT53" s="587"/>
      <c r="AU53" s="587"/>
      <c r="AV53" s="587"/>
      <c r="AW53" s="587"/>
      <c r="AX53" s="587"/>
      <c r="AY53" s="587"/>
      <c r="AZ53" s="587"/>
      <c r="BA53" s="587"/>
      <c r="BB53" s="587"/>
      <c r="BC53" s="587"/>
      <c r="BD53" s="587"/>
      <c r="BE53" s="587"/>
      <c r="BF53" s="587"/>
      <c r="BG53" s="587"/>
      <c r="BH53" s="587"/>
      <c r="BI53" s="587"/>
      <c r="BJ53" s="587"/>
      <c r="BK53" s="587"/>
      <c r="BL53" s="587"/>
      <c r="BM53" s="587"/>
      <c r="BN53" s="587"/>
      <c r="BO53" s="587"/>
      <c r="BP53" s="587"/>
      <c r="BQ53" s="587"/>
      <c r="BR53" s="614"/>
    </row>
    <row r="54" spans="1:82" ht="14.25" hidden="1" customHeight="1" x14ac:dyDescent="0.3">
      <c r="B54" s="1104"/>
      <c r="C54" s="959"/>
      <c r="D54" s="1110" t="s">
        <v>51</v>
      </c>
      <c r="E54" s="1111"/>
      <c r="F54" s="584" t="s">
        <v>52</v>
      </c>
      <c r="G54" s="805">
        <v>348472.62</v>
      </c>
      <c r="H54" s="584"/>
      <c r="I54" s="805"/>
      <c r="J54" s="812"/>
      <c r="K54" s="812"/>
      <c r="L54" s="812"/>
      <c r="M54" s="805">
        <v>305169.38999999996</v>
      </c>
      <c r="N54" s="812"/>
      <c r="O54" s="808">
        <v>295476.12</v>
      </c>
      <c r="P54" s="812"/>
      <c r="Q54" s="808">
        <v>291292.2</v>
      </c>
      <c r="R54" s="812"/>
      <c r="S54" s="812"/>
      <c r="T54" s="812"/>
      <c r="U54" s="587"/>
      <c r="V54" s="587"/>
      <c r="W54" s="587"/>
      <c r="X54" s="587"/>
      <c r="Y54" s="587"/>
      <c r="Z54" s="587"/>
      <c r="AA54" s="587"/>
      <c r="AB54" s="587"/>
      <c r="AC54" s="587"/>
      <c r="AD54" s="587"/>
      <c r="AE54" s="587"/>
      <c r="AF54" s="587"/>
      <c r="AG54" s="587"/>
      <c r="AH54" s="587"/>
      <c r="AI54" s="587"/>
      <c r="AJ54" s="587"/>
      <c r="AK54" s="587"/>
      <c r="AL54" s="587"/>
      <c r="AM54" s="587"/>
      <c r="AN54" s="587"/>
      <c r="AO54" s="587"/>
      <c r="AP54" s="587"/>
      <c r="AQ54" s="587"/>
      <c r="AR54" s="587"/>
      <c r="AS54" s="587"/>
      <c r="AT54" s="587"/>
      <c r="AU54" s="587"/>
      <c r="AV54" s="587"/>
      <c r="AW54" s="587"/>
      <c r="AX54" s="587"/>
      <c r="AY54" s="587"/>
      <c r="AZ54" s="587"/>
      <c r="BA54" s="587"/>
      <c r="BB54" s="587"/>
      <c r="BC54" s="587"/>
      <c r="BD54" s="587"/>
      <c r="BE54" s="587"/>
      <c r="BF54" s="587"/>
      <c r="BG54" s="587"/>
      <c r="BH54" s="587"/>
      <c r="BI54" s="587"/>
      <c r="BJ54" s="587"/>
      <c r="BK54" s="587"/>
      <c r="BL54" s="587"/>
      <c r="BM54" s="587"/>
      <c r="BN54" s="587"/>
      <c r="BO54" s="587"/>
      <c r="BP54" s="587"/>
      <c r="BQ54" s="587"/>
      <c r="BR54" s="614"/>
    </row>
    <row r="55" spans="1:82" ht="14.25" hidden="1" customHeight="1" x14ac:dyDescent="0.3">
      <c r="B55" s="1104"/>
      <c r="C55" s="959"/>
      <c r="D55" s="1110"/>
      <c r="E55" s="1111"/>
      <c r="F55" s="584" t="s">
        <v>53</v>
      </c>
      <c r="G55" s="805">
        <v>157677.57</v>
      </c>
      <c r="H55" s="584"/>
      <c r="I55" s="805"/>
      <c r="J55" s="812"/>
      <c r="K55" s="812"/>
      <c r="L55" s="812"/>
      <c r="M55" s="805">
        <v>199934.1</v>
      </c>
      <c r="N55" s="812"/>
      <c r="O55" s="808">
        <v>199287.27</v>
      </c>
      <c r="P55" s="812"/>
      <c r="Q55" s="808">
        <v>200705.67</v>
      </c>
      <c r="R55" s="812"/>
      <c r="S55" s="812"/>
      <c r="T55" s="812"/>
      <c r="U55" s="587"/>
      <c r="V55" s="587"/>
      <c r="W55" s="587"/>
      <c r="X55" s="587"/>
      <c r="Y55" s="587"/>
      <c r="Z55" s="587"/>
      <c r="AA55" s="587"/>
      <c r="AB55" s="587"/>
      <c r="AC55" s="587"/>
      <c r="AD55" s="587"/>
      <c r="AE55" s="587"/>
      <c r="AF55" s="587"/>
      <c r="AG55" s="587"/>
      <c r="AH55" s="587"/>
      <c r="AI55" s="587"/>
      <c r="AJ55" s="587"/>
      <c r="AK55" s="587"/>
      <c r="AL55" s="587"/>
      <c r="AM55" s="587"/>
      <c r="AN55" s="587"/>
      <c r="AO55" s="587"/>
      <c r="AP55" s="587"/>
      <c r="AQ55" s="587"/>
      <c r="AR55" s="587"/>
      <c r="AS55" s="587"/>
      <c r="AT55" s="587"/>
      <c r="AU55" s="587"/>
      <c r="AV55" s="587"/>
      <c r="AW55" s="587"/>
      <c r="AX55" s="587"/>
      <c r="AY55" s="587"/>
      <c r="AZ55" s="587"/>
      <c r="BA55" s="587"/>
      <c r="BB55" s="587"/>
      <c r="BC55" s="587"/>
      <c r="BD55" s="587"/>
      <c r="BE55" s="587"/>
      <c r="BF55" s="587"/>
      <c r="BG55" s="587"/>
      <c r="BH55" s="587"/>
      <c r="BI55" s="587"/>
      <c r="BJ55" s="587"/>
      <c r="BK55" s="587"/>
      <c r="BL55" s="587"/>
      <c r="BM55" s="587"/>
      <c r="BN55" s="587"/>
      <c r="BO55" s="587"/>
      <c r="BP55" s="587"/>
      <c r="BQ55" s="587"/>
      <c r="BR55" s="614"/>
    </row>
    <row r="56" spans="1:82" ht="14.25" hidden="1" customHeight="1" x14ac:dyDescent="0.3">
      <c r="B56" s="1104"/>
      <c r="C56" s="959"/>
      <c r="D56" s="1110" t="s">
        <v>54</v>
      </c>
      <c r="E56" s="1111"/>
      <c r="F56" s="584" t="s">
        <v>55</v>
      </c>
      <c r="G56" s="805">
        <v>165538.44</v>
      </c>
      <c r="H56" s="584"/>
      <c r="I56" s="805"/>
      <c r="J56" s="812"/>
      <c r="K56" s="812"/>
      <c r="L56" s="812"/>
      <c r="M56" s="805">
        <v>224935.38000000003</v>
      </c>
      <c r="N56" s="812"/>
      <c r="O56" s="808">
        <v>229182.39</v>
      </c>
      <c r="P56" s="812"/>
      <c r="Q56" s="808">
        <v>255251.97</v>
      </c>
      <c r="R56" s="812"/>
      <c r="S56" s="812"/>
      <c r="T56" s="812"/>
      <c r="U56" s="587"/>
      <c r="V56" s="587"/>
      <c r="W56" s="587"/>
      <c r="X56" s="587"/>
      <c r="Y56" s="587"/>
      <c r="Z56" s="587"/>
      <c r="AA56" s="587"/>
      <c r="AB56" s="587"/>
      <c r="AC56" s="587"/>
      <c r="AD56" s="587"/>
      <c r="AE56" s="587"/>
      <c r="AF56" s="587"/>
      <c r="AG56" s="587"/>
      <c r="AH56" s="587"/>
      <c r="AI56" s="587"/>
      <c r="AJ56" s="587"/>
      <c r="AK56" s="587"/>
      <c r="AL56" s="587"/>
      <c r="AM56" s="587"/>
      <c r="AN56" s="587"/>
      <c r="AO56" s="587"/>
      <c r="AP56" s="587"/>
      <c r="AQ56" s="587"/>
      <c r="AR56" s="587"/>
      <c r="AS56" s="587"/>
      <c r="AT56" s="587"/>
      <c r="AU56" s="587"/>
      <c r="AV56" s="587"/>
      <c r="AW56" s="587"/>
      <c r="AX56" s="587"/>
      <c r="AY56" s="587"/>
      <c r="AZ56" s="587"/>
      <c r="BA56" s="587"/>
      <c r="BB56" s="587"/>
      <c r="BC56" s="587"/>
      <c r="BD56" s="587"/>
      <c r="BE56" s="587"/>
      <c r="BF56" s="587"/>
      <c r="BG56" s="587"/>
      <c r="BH56" s="587"/>
      <c r="BI56" s="587"/>
      <c r="BJ56" s="587"/>
      <c r="BK56" s="587"/>
      <c r="BL56" s="587"/>
      <c r="BM56" s="587"/>
      <c r="BN56" s="587"/>
      <c r="BO56" s="587"/>
      <c r="BP56" s="587"/>
      <c r="BQ56" s="587"/>
      <c r="BR56" s="614"/>
    </row>
    <row r="57" spans="1:82" ht="14.25" hidden="1" customHeight="1" x14ac:dyDescent="0.3">
      <c r="B57" s="1104"/>
      <c r="C57" s="959"/>
      <c r="D57" s="1110"/>
      <c r="E57" s="1111"/>
      <c r="F57" s="584" t="s">
        <v>56</v>
      </c>
      <c r="G57" s="615">
        <v>11615.85</v>
      </c>
      <c r="H57" s="584"/>
      <c r="I57" s="615"/>
      <c r="J57" s="587"/>
      <c r="K57" s="587"/>
      <c r="L57" s="587"/>
      <c r="M57" s="615">
        <v>21206.79</v>
      </c>
      <c r="N57" s="587"/>
      <c r="O57" s="958">
        <v>23884.2</v>
      </c>
      <c r="P57" s="587"/>
      <c r="Q57" s="958">
        <v>30656.25</v>
      </c>
      <c r="R57" s="587"/>
      <c r="S57" s="587"/>
      <c r="T57" s="587"/>
      <c r="U57" s="587"/>
      <c r="V57" s="587"/>
      <c r="W57" s="587"/>
      <c r="X57" s="587"/>
      <c r="Y57" s="587"/>
      <c r="Z57" s="587"/>
      <c r="AA57" s="587"/>
      <c r="AB57" s="587"/>
      <c r="AC57" s="587"/>
      <c r="AD57" s="587"/>
      <c r="AE57" s="587"/>
      <c r="AF57" s="587"/>
      <c r="AG57" s="587"/>
      <c r="AH57" s="587"/>
      <c r="AI57" s="587"/>
      <c r="AJ57" s="587"/>
      <c r="AK57" s="587"/>
      <c r="AL57" s="587"/>
      <c r="AM57" s="587"/>
      <c r="AN57" s="587"/>
      <c r="AO57" s="587"/>
      <c r="AP57" s="587"/>
      <c r="AQ57" s="587"/>
      <c r="AR57" s="587"/>
      <c r="AS57" s="587"/>
      <c r="AT57" s="587"/>
      <c r="AU57" s="587"/>
      <c r="AV57" s="587"/>
      <c r="AW57" s="587"/>
      <c r="AX57" s="587"/>
      <c r="AY57" s="587"/>
      <c r="AZ57" s="587"/>
      <c r="BA57" s="587"/>
      <c r="BB57" s="587"/>
      <c r="BC57" s="587"/>
      <c r="BD57" s="587"/>
      <c r="BE57" s="587"/>
      <c r="BF57" s="587"/>
      <c r="BG57" s="587"/>
      <c r="BH57" s="587"/>
      <c r="BI57" s="587"/>
      <c r="BJ57" s="587"/>
      <c r="BK57" s="587"/>
      <c r="BL57" s="587"/>
      <c r="BM57" s="587"/>
      <c r="BN57" s="587"/>
      <c r="BO57" s="587"/>
      <c r="BP57" s="587"/>
      <c r="BQ57" s="587"/>
      <c r="BR57" s="614"/>
    </row>
    <row r="58" spans="1:82" ht="14.25" hidden="1" customHeight="1" x14ac:dyDescent="0.3">
      <c r="B58" s="1104"/>
      <c r="C58" s="959"/>
      <c r="D58" s="1116" t="s">
        <v>57</v>
      </c>
      <c r="E58" s="1117"/>
      <c r="F58" s="584" t="s">
        <v>58</v>
      </c>
      <c r="G58" s="805">
        <v>109686.69</v>
      </c>
      <c r="H58" s="584"/>
      <c r="I58" s="805"/>
      <c r="J58" s="812"/>
      <c r="K58" s="812"/>
      <c r="L58" s="812"/>
      <c r="M58" s="805">
        <v>112568.04000000002</v>
      </c>
      <c r="N58" s="812"/>
      <c r="O58" s="808">
        <v>93841.919999999998</v>
      </c>
      <c r="P58" s="812"/>
      <c r="Q58" s="808">
        <v>102446.37</v>
      </c>
      <c r="R58" s="812"/>
      <c r="S58" s="812"/>
      <c r="T58" s="812"/>
      <c r="U58" s="587"/>
      <c r="V58" s="587"/>
      <c r="W58" s="587"/>
      <c r="X58" s="587"/>
      <c r="Y58" s="587"/>
      <c r="Z58" s="587"/>
      <c r="AA58" s="587"/>
      <c r="AB58" s="587"/>
      <c r="AC58" s="587"/>
      <c r="AD58" s="587"/>
      <c r="AE58" s="587"/>
      <c r="AF58" s="587"/>
      <c r="AG58" s="587"/>
      <c r="AH58" s="587"/>
      <c r="AI58" s="587"/>
      <c r="AJ58" s="587"/>
      <c r="AK58" s="587"/>
      <c r="AL58" s="587"/>
      <c r="AM58" s="587"/>
      <c r="AN58" s="587"/>
      <c r="AO58" s="587"/>
      <c r="AP58" s="587"/>
      <c r="AQ58" s="587"/>
      <c r="AR58" s="587"/>
      <c r="AS58" s="587"/>
      <c r="AT58" s="587"/>
      <c r="AU58" s="587"/>
      <c r="AV58" s="587"/>
      <c r="AW58" s="587"/>
      <c r="AX58" s="587"/>
      <c r="AY58" s="587"/>
      <c r="AZ58" s="587"/>
      <c r="BA58" s="587"/>
      <c r="BB58" s="587"/>
      <c r="BC58" s="587"/>
      <c r="BD58" s="587"/>
      <c r="BE58" s="587"/>
      <c r="BF58" s="587"/>
      <c r="BG58" s="587"/>
      <c r="BH58" s="587"/>
      <c r="BI58" s="587"/>
      <c r="BJ58" s="587"/>
      <c r="BK58" s="587"/>
      <c r="BL58" s="587"/>
      <c r="BM58" s="587"/>
      <c r="BN58" s="587"/>
      <c r="BO58" s="587"/>
      <c r="BP58" s="587"/>
      <c r="BQ58" s="587"/>
      <c r="BR58" s="614"/>
    </row>
    <row r="59" spans="1:82" ht="14.25" hidden="1" customHeight="1" x14ac:dyDescent="0.3">
      <c r="B59" s="1104"/>
      <c r="C59" s="959"/>
      <c r="D59" s="1116"/>
      <c r="E59" s="1117"/>
      <c r="F59" s="584" t="s">
        <v>59</v>
      </c>
      <c r="G59" s="805">
        <v>9968.49</v>
      </c>
      <c r="H59" s="584"/>
      <c r="I59" s="805"/>
      <c r="J59" s="812"/>
      <c r="K59" s="812"/>
      <c r="L59" s="812"/>
      <c r="M59" s="805">
        <v>7865.73</v>
      </c>
      <c r="N59" s="812"/>
      <c r="O59" s="808">
        <v>6279.21</v>
      </c>
      <c r="P59" s="812"/>
      <c r="Q59" s="808">
        <v>6144.03</v>
      </c>
      <c r="R59" s="812"/>
      <c r="S59" s="812"/>
      <c r="T59" s="812"/>
      <c r="U59" s="587"/>
      <c r="V59" s="587"/>
      <c r="W59" s="587"/>
      <c r="X59" s="587"/>
      <c r="Y59" s="587"/>
      <c r="Z59" s="587"/>
      <c r="AA59" s="587"/>
      <c r="AB59" s="587"/>
      <c r="AC59" s="587"/>
      <c r="AD59" s="587"/>
      <c r="AE59" s="587"/>
      <c r="AF59" s="587"/>
      <c r="AG59" s="587"/>
      <c r="AH59" s="587"/>
      <c r="AI59" s="587"/>
      <c r="AJ59" s="587"/>
      <c r="AK59" s="587"/>
      <c r="AL59" s="587"/>
      <c r="AM59" s="587"/>
      <c r="AN59" s="587"/>
      <c r="AO59" s="587"/>
      <c r="AP59" s="587"/>
      <c r="AQ59" s="587"/>
      <c r="AR59" s="587"/>
      <c r="AS59" s="587"/>
      <c r="AT59" s="587"/>
      <c r="AU59" s="587"/>
      <c r="AV59" s="587"/>
      <c r="AW59" s="587"/>
      <c r="AX59" s="587"/>
      <c r="AY59" s="587"/>
      <c r="AZ59" s="587"/>
      <c r="BA59" s="587"/>
      <c r="BB59" s="587"/>
      <c r="BC59" s="587"/>
      <c r="BD59" s="587"/>
      <c r="BE59" s="587"/>
      <c r="BF59" s="587"/>
      <c r="BG59" s="587"/>
      <c r="BH59" s="587"/>
      <c r="BI59" s="587"/>
      <c r="BJ59" s="587"/>
      <c r="BK59" s="587"/>
      <c r="BL59" s="587"/>
      <c r="BM59" s="587"/>
      <c r="BN59" s="587"/>
      <c r="BO59" s="587"/>
      <c r="BP59" s="587"/>
      <c r="BQ59" s="587"/>
      <c r="BR59" s="614"/>
    </row>
    <row r="60" spans="1:82" ht="14.25" hidden="1" customHeight="1" x14ac:dyDescent="0.3">
      <c r="B60" s="1104"/>
      <c r="C60" s="959"/>
      <c r="D60" s="1116"/>
      <c r="E60" s="1117"/>
      <c r="F60" s="584" t="s">
        <v>60</v>
      </c>
      <c r="G60" s="615">
        <v>0</v>
      </c>
      <c r="H60" s="584"/>
      <c r="I60" s="615"/>
      <c r="J60" s="587"/>
      <c r="K60" s="587"/>
      <c r="L60" s="587"/>
      <c r="M60" s="615">
        <v>0</v>
      </c>
      <c r="N60" s="587"/>
      <c r="O60" s="958">
        <v>0</v>
      </c>
      <c r="P60" s="587"/>
      <c r="Q60" s="958">
        <v>0</v>
      </c>
      <c r="R60" s="587"/>
      <c r="S60" s="587"/>
      <c r="T60" s="587"/>
      <c r="U60" s="587"/>
      <c r="V60" s="587"/>
      <c r="W60" s="587"/>
      <c r="X60" s="587"/>
      <c r="Y60" s="587"/>
      <c r="Z60" s="587"/>
      <c r="AA60" s="587"/>
      <c r="AB60" s="587"/>
      <c r="AC60" s="587"/>
      <c r="AD60" s="587"/>
      <c r="AE60" s="587"/>
      <c r="AF60" s="587"/>
      <c r="AG60" s="587"/>
      <c r="AH60" s="587"/>
      <c r="AI60" s="587"/>
      <c r="AJ60" s="587"/>
      <c r="AK60" s="587"/>
      <c r="AL60" s="587"/>
      <c r="AM60" s="587"/>
      <c r="AN60" s="587"/>
      <c r="AO60" s="587"/>
      <c r="AP60" s="587"/>
      <c r="AQ60" s="587"/>
      <c r="AR60" s="587"/>
      <c r="AS60" s="587"/>
      <c r="AT60" s="587"/>
      <c r="AU60" s="587"/>
      <c r="AV60" s="587"/>
      <c r="AW60" s="587"/>
      <c r="AX60" s="587"/>
      <c r="AY60" s="587"/>
      <c r="AZ60" s="587"/>
      <c r="BA60" s="587"/>
      <c r="BB60" s="587"/>
      <c r="BC60" s="587"/>
      <c r="BD60" s="587"/>
      <c r="BE60" s="587"/>
      <c r="BF60" s="587"/>
      <c r="BG60" s="587"/>
      <c r="BH60" s="587"/>
      <c r="BI60" s="587"/>
      <c r="BJ60" s="587"/>
      <c r="BK60" s="587"/>
      <c r="BL60" s="587"/>
      <c r="BM60" s="587"/>
      <c r="BN60" s="587"/>
      <c r="BO60" s="587"/>
      <c r="BP60" s="587"/>
      <c r="BQ60" s="587"/>
      <c r="BR60" s="614"/>
    </row>
    <row r="61" spans="1:82" s="544" customFormat="1" ht="14.25" customHeight="1" x14ac:dyDescent="0.3">
      <c r="B61" s="580"/>
      <c r="C61" s="886"/>
      <c r="D61" s="617"/>
      <c r="E61" s="578"/>
      <c r="F61" s="564" t="s">
        <v>61</v>
      </c>
      <c r="G61" s="618">
        <f>SUM(G44:G60)</f>
        <v>24898059.900000002</v>
      </c>
      <c r="H61" s="618"/>
      <c r="I61" s="618"/>
      <c r="J61" s="618"/>
      <c r="K61" s="618"/>
      <c r="L61" s="618"/>
      <c r="M61" s="618">
        <f>SUM(M44:M60)</f>
        <v>24898059.810000002</v>
      </c>
      <c r="N61" s="618"/>
      <c r="O61" s="618">
        <f>SUM(O44:O60)</f>
        <v>24898221</v>
      </c>
      <c r="P61" s="618"/>
      <c r="Q61" s="618">
        <f>SUM(Q44:Q60)</f>
        <v>24898221</v>
      </c>
      <c r="R61" s="563"/>
      <c r="S61" s="563"/>
      <c r="T61" s="563"/>
      <c r="U61" s="563"/>
      <c r="V61" s="563"/>
      <c r="W61" s="563"/>
      <c r="X61" s="563"/>
      <c r="Y61" s="563"/>
      <c r="Z61" s="563"/>
      <c r="AA61" s="563"/>
      <c r="AB61" s="563"/>
      <c r="AC61" s="563"/>
      <c r="AD61" s="563"/>
      <c r="AE61" s="563"/>
      <c r="AF61" s="563"/>
      <c r="AG61" s="563"/>
      <c r="AH61" s="563"/>
      <c r="AI61" s="563"/>
      <c r="AJ61" s="563"/>
      <c r="AK61" s="563"/>
      <c r="AL61" s="563"/>
      <c r="AM61" s="563"/>
      <c r="AN61" s="563"/>
      <c r="AO61" s="563"/>
      <c r="AP61" s="563"/>
      <c r="AQ61" s="563"/>
      <c r="AR61" s="563"/>
      <c r="AS61" s="563"/>
      <c r="AT61" s="563"/>
      <c r="AU61" s="563"/>
      <c r="AV61" s="563"/>
      <c r="AW61" s="563"/>
      <c r="AX61" s="563"/>
      <c r="AY61" s="563"/>
      <c r="AZ61" s="563"/>
      <c r="BA61" s="563"/>
      <c r="BB61" s="563"/>
      <c r="BC61" s="563"/>
      <c r="BD61" s="563"/>
      <c r="BE61" s="563"/>
      <c r="BF61" s="563"/>
      <c r="BG61" s="563"/>
      <c r="BH61" s="563"/>
      <c r="BI61" s="563"/>
      <c r="BJ61" s="563"/>
      <c r="BK61" s="563"/>
      <c r="BL61" s="563"/>
      <c r="BM61" s="563"/>
      <c r="BN61" s="563"/>
      <c r="BO61" s="563"/>
      <c r="BP61" s="563"/>
      <c r="BQ61" s="563"/>
      <c r="BR61" s="614"/>
    </row>
    <row r="62" spans="1:82" ht="14.25" customHeight="1" x14ac:dyDescent="0.3">
      <c r="B62" s="957"/>
      <c r="C62" s="886"/>
      <c r="D62" s="565"/>
      <c r="E62" s="556"/>
      <c r="F62" s="631" t="s">
        <v>62</v>
      </c>
      <c r="G62" s="549"/>
      <c r="H62" s="549"/>
      <c r="I62" s="549"/>
      <c r="J62" s="549"/>
      <c r="K62" s="549"/>
      <c r="L62" s="549"/>
      <c r="M62" s="549"/>
      <c r="N62" s="549"/>
      <c r="O62" s="549"/>
      <c r="P62" s="549"/>
      <c r="Q62" s="549"/>
      <c r="R62" s="718"/>
      <c r="S62" s="718"/>
      <c r="T62" s="718"/>
      <c r="U62" s="718"/>
      <c r="V62" s="718"/>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614"/>
    </row>
    <row r="63" spans="1:82" ht="32.25" customHeight="1" x14ac:dyDescent="0.3">
      <c r="B63" s="957"/>
      <c r="C63" s="589" t="s">
        <v>63</v>
      </c>
      <c r="D63" s="1118" t="s">
        <v>64</v>
      </c>
      <c r="E63" s="1119"/>
      <c r="F63" s="588" t="s">
        <v>65</v>
      </c>
      <c r="G63" s="584"/>
      <c r="H63" s="584"/>
      <c r="I63" s="615"/>
      <c r="J63" s="587"/>
      <c r="K63" s="587"/>
      <c r="L63" s="587"/>
      <c r="M63" s="587"/>
      <c r="N63" s="587"/>
      <c r="O63" s="816"/>
      <c r="P63" s="816"/>
      <c r="Q63" s="816"/>
      <c r="R63" s="816"/>
      <c r="S63" s="816"/>
      <c r="T63" s="816"/>
      <c r="U63" s="816"/>
      <c r="V63" s="816"/>
      <c r="W63" s="816"/>
      <c r="X63" s="816"/>
      <c r="Y63" s="816"/>
      <c r="Z63" s="816"/>
      <c r="AA63" s="816"/>
      <c r="AB63" s="816"/>
      <c r="AC63" s="816"/>
      <c r="AD63" s="816"/>
      <c r="AE63" s="816"/>
      <c r="AF63" s="816"/>
      <c r="AG63" s="816"/>
      <c r="AH63" s="816"/>
      <c r="AI63" s="816"/>
      <c r="AJ63" s="816"/>
      <c r="AK63" s="816"/>
      <c r="AL63" s="816"/>
      <c r="AM63" s="816"/>
      <c r="AN63" s="816"/>
      <c r="AO63" s="816"/>
      <c r="AP63" s="816"/>
      <c r="AQ63" s="816"/>
      <c r="AR63" s="816"/>
      <c r="AS63" s="816"/>
      <c r="AT63" s="816"/>
      <c r="AU63" s="816"/>
      <c r="AV63" s="816"/>
      <c r="AW63" s="816"/>
      <c r="AX63" s="816"/>
      <c r="AY63" s="816"/>
      <c r="AZ63" s="816"/>
      <c r="BA63" s="816"/>
      <c r="BB63" s="816"/>
      <c r="BC63" s="816"/>
      <c r="BD63" s="816"/>
      <c r="BE63" s="816"/>
      <c r="BF63" s="816"/>
      <c r="BG63" s="816"/>
      <c r="BH63" s="816"/>
      <c r="BI63" s="816"/>
      <c r="BJ63" s="816"/>
      <c r="BK63" s="816"/>
      <c r="BL63" s="816"/>
      <c r="BM63" s="816"/>
      <c r="BN63" s="816"/>
      <c r="BO63" s="816"/>
      <c r="BP63" s="816"/>
      <c r="BQ63" s="816"/>
      <c r="BR63" s="614"/>
    </row>
    <row r="64" spans="1:82" s="907" customFormat="1" ht="24" customHeight="1" x14ac:dyDescent="0.3">
      <c r="A64" s="920" t="s">
        <v>181</v>
      </c>
      <c r="B64" s="1104" t="s">
        <v>37</v>
      </c>
      <c r="C64" s="1123" t="s">
        <v>67</v>
      </c>
      <c r="D64" s="1120" t="s">
        <v>38</v>
      </c>
      <c r="E64" s="1121"/>
      <c r="F64" s="902" t="s">
        <v>182</v>
      </c>
      <c r="G64" s="903">
        <f>G44/1000000</f>
        <v>13.038367320000001</v>
      </c>
      <c r="H64" s="903"/>
      <c r="I64" s="903"/>
      <c r="J64" s="903"/>
      <c r="K64" s="903"/>
      <c r="L64" s="903"/>
      <c r="M64" s="903">
        <f>M44/1000000</f>
        <v>12.753386910000001</v>
      </c>
      <c r="N64" s="903"/>
      <c r="O64" s="904">
        <f>O44/1000000</f>
        <v>12.631197689999999</v>
      </c>
      <c r="P64" s="904"/>
      <c r="Q64" s="904">
        <f>Q44/1000000</f>
        <v>12.514339529999999</v>
      </c>
      <c r="R64" s="904">
        <f>Q64*(1-0.0046)</f>
        <v>12.456773568161999</v>
      </c>
      <c r="S64" s="904">
        <f>R64*(1-0.0076)</f>
        <v>12.362102089043967</v>
      </c>
      <c r="T64" s="904">
        <f>S64*(1-0.0076)</f>
        <v>12.268150113167232</v>
      </c>
      <c r="U64" s="904">
        <f>T64*(1-0.0076)</f>
        <v>12.174912172307161</v>
      </c>
      <c r="V64" s="904">
        <f t="shared" ref="V64:BQ64" si="10">U64*(1-0.0076)</f>
        <v>12.082382839797626</v>
      </c>
      <c r="W64" s="904">
        <f t="shared" si="10"/>
        <v>11.990556730215163</v>
      </c>
      <c r="X64" s="904">
        <f t="shared" si="10"/>
        <v>11.899428499065527</v>
      </c>
      <c r="Y64" s="904">
        <f t="shared" si="10"/>
        <v>11.808992842472628</v>
      </c>
      <c r="Z64" s="904">
        <f t="shared" si="10"/>
        <v>11.719244496869836</v>
      </c>
      <c r="AA64" s="904">
        <f t="shared" si="10"/>
        <v>11.630178238693624</v>
      </c>
      <c r="AB64" s="904">
        <f t="shared" si="10"/>
        <v>11.541788884079551</v>
      </c>
      <c r="AC64" s="904">
        <f t="shared" si="10"/>
        <v>11.454071288560547</v>
      </c>
      <c r="AD64" s="904">
        <f t="shared" si="10"/>
        <v>11.367020346767486</v>
      </c>
      <c r="AE64" s="904">
        <f t="shared" si="10"/>
        <v>11.280630992132053</v>
      </c>
      <c r="AF64" s="904">
        <f t="shared" si="10"/>
        <v>11.194898196591849</v>
      </c>
      <c r="AG64" s="904">
        <f t="shared" si="10"/>
        <v>11.10981697029775</v>
      </c>
      <c r="AH64" s="904">
        <f t="shared" si="10"/>
        <v>11.025382361323487</v>
      </c>
      <c r="AI64" s="904">
        <f t="shared" si="10"/>
        <v>10.941589455377429</v>
      </c>
      <c r="AJ64" s="904">
        <f t="shared" si="10"/>
        <v>10.85843337551656</v>
      </c>
      <c r="AK64" s="904">
        <f t="shared" si="10"/>
        <v>10.775909281862633</v>
      </c>
      <c r="AL64" s="904">
        <f t="shared" si="10"/>
        <v>10.694012371320477</v>
      </c>
      <c r="AM64" s="904">
        <f t="shared" si="10"/>
        <v>10.612737877298441</v>
      </c>
      <c r="AN64" s="904">
        <f t="shared" si="10"/>
        <v>10.532081069430973</v>
      </c>
      <c r="AO64" s="904">
        <f t="shared" si="10"/>
        <v>10.452037253303297</v>
      </c>
      <c r="AP64" s="904">
        <f t="shared" si="10"/>
        <v>10.372601770178191</v>
      </c>
      <c r="AQ64" s="904">
        <f t="shared" si="10"/>
        <v>10.293769996724837</v>
      </c>
      <c r="AR64" s="904">
        <f t="shared" si="10"/>
        <v>10.215537344749729</v>
      </c>
      <c r="AS64" s="904">
        <f t="shared" si="10"/>
        <v>10.137899260929631</v>
      </c>
      <c r="AT64" s="904">
        <f t="shared" si="10"/>
        <v>10.060851226546566</v>
      </c>
      <c r="AU64" s="904">
        <f>AT64*(1-0.0076)</f>
        <v>9.9843887572248118</v>
      </c>
      <c r="AV64" s="904">
        <f t="shared" si="10"/>
        <v>9.9085074026699029</v>
      </c>
      <c r="AW64" s="904">
        <f t="shared" si="10"/>
        <v>9.8332027464096114</v>
      </c>
      <c r="AX64" s="904">
        <f t="shared" si="10"/>
        <v>9.7584704055368974</v>
      </c>
      <c r="AY64" s="904">
        <f t="shared" si="10"/>
        <v>9.6843060304548167</v>
      </c>
      <c r="AZ64" s="904">
        <f t="shared" si="10"/>
        <v>9.6107053046233588</v>
      </c>
      <c r="BA64" s="904">
        <f t="shared" si="10"/>
        <v>9.5376639443082212</v>
      </c>
      <c r="BB64" s="904">
        <f t="shared" si="10"/>
        <v>9.4651776983314786</v>
      </c>
      <c r="BC64" s="904">
        <f t="shared" si="10"/>
        <v>9.3932423478241596</v>
      </c>
      <c r="BD64" s="904">
        <f t="shared" si="10"/>
        <v>9.3218537059806952</v>
      </c>
      <c r="BE64" s="904">
        <f t="shared" si="10"/>
        <v>9.2510076178152421</v>
      </c>
      <c r="BF64" s="904">
        <f t="shared" si="10"/>
        <v>9.1806999599198456</v>
      </c>
      <c r="BG64" s="904">
        <f t="shared" si="10"/>
        <v>9.110926640224454</v>
      </c>
      <c r="BH64" s="904">
        <f t="shared" si="10"/>
        <v>9.0416835977587482</v>
      </c>
      <c r="BI64" s="904">
        <f t="shared" si="10"/>
        <v>8.9729668024157814</v>
      </c>
      <c r="BJ64" s="904">
        <f t="shared" si="10"/>
        <v>8.9047722547174217</v>
      </c>
      <c r="BK64" s="904">
        <f t="shared" si="10"/>
        <v>8.8370959855815681</v>
      </c>
      <c r="BL64" s="904">
        <f t="shared" si="10"/>
        <v>8.769934056091147</v>
      </c>
      <c r="BM64" s="904">
        <f t="shared" si="10"/>
        <v>8.7032825572648544</v>
      </c>
      <c r="BN64" s="904">
        <f t="shared" si="10"/>
        <v>8.637137609829642</v>
      </c>
      <c r="BO64" s="904">
        <f t="shared" si="10"/>
        <v>8.5714953639949361</v>
      </c>
      <c r="BP64" s="904">
        <f>BO64*(1-0.0076)</f>
        <v>8.5063519992285741</v>
      </c>
      <c r="BQ64" s="904">
        <f t="shared" si="10"/>
        <v>8.4417037240344364</v>
      </c>
      <c r="BR64" s="905"/>
      <c r="BS64" s="906"/>
      <c r="BT64" s="906"/>
      <c r="BU64" s="906"/>
      <c r="BV64" s="906"/>
      <c r="BW64" s="906"/>
      <c r="BX64" s="906"/>
      <c r="BY64" s="906"/>
      <c r="BZ64" s="906"/>
      <c r="CA64" s="906"/>
      <c r="CB64" s="906"/>
      <c r="CC64" s="906"/>
      <c r="CD64" s="906"/>
    </row>
    <row r="65" spans="1:82" s="907" customFormat="1" ht="36.75" customHeight="1" x14ac:dyDescent="0.3">
      <c r="A65" s="919" t="s">
        <v>183</v>
      </c>
      <c r="B65" s="1104"/>
      <c r="C65" s="1123"/>
      <c r="D65" s="1120"/>
      <c r="E65" s="1121"/>
      <c r="F65" s="902" t="s">
        <v>184</v>
      </c>
      <c r="G65" s="903"/>
      <c r="H65" s="903"/>
      <c r="I65" s="903"/>
      <c r="J65" s="903"/>
      <c r="K65" s="903"/>
      <c r="L65" s="903"/>
      <c r="M65" s="903"/>
      <c r="N65" s="903"/>
      <c r="O65" s="904"/>
      <c r="P65" s="904"/>
      <c r="Q65" s="904">
        <v>12.49023996</v>
      </c>
      <c r="R65" s="904">
        <f>Q64*(1-0.0075)</f>
        <v>12.420481983524999</v>
      </c>
      <c r="S65" s="904">
        <f>R64*(1-0.0078)</f>
        <v>12.359610734330335</v>
      </c>
      <c r="T65" s="904">
        <f>S64*(1-0.0078)</f>
        <v>12.265677692749424</v>
      </c>
      <c r="U65" s="904">
        <f t="shared" ref="U65:BQ65" si="11">T64*(1-0.0078)</f>
        <v>12.172458542284527</v>
      </c>
      <c r="V65" s="904">
        <f t="shared" si="11"/>
        <v>12.079947857363166</v>
      </c>
      <c r="W65" s="904">
        <f t="shared" si="11"/>
        <v>11.988140253647204</v>
      </c>
      <c r="X65" s="904">
        <f t="shared" si="11"/>
        <v>11.897030387719484</v>
      </c>
      <c r="Y65" s="904">
        <f t="shared" si="11"/>
        <v>11.806612956772815</v>
      </c>
      <c r="Z65" s="904">
        <f t="shared" si="11"/>
        <v>11.716882698301342</v>
      </c>
      <c r="AA65" s="904">
        <f t="shared" si="11"/>
        <v>11.62783438979425</v>
      </c>
      <c r="AB65" s="904">
        <f t="shared" si="11"/>
        <v>11.539462848431814</v>
      </c>
      <c r="AC65" s="904">
        <f t="shared" si="11"/>
        <v>11.45176293078373</v>
      </c>
      <c r="AD65" s="904">
        <f t="shared" si="11"/>
        <v>11.364729532509774</v>
      </c>
      <c r="AE65" s="904">
        <f t="shared" si="11"/>
        <v>11.278357588062699</v>
      </c>
      <c r="AF65" s="904">
        <f t="shared" si="11"/>
        <v>11.192642070393424</v>
      </c>
      <c r="AG65" s="904">
        <f t="shared" si="11"/>
        <v>11.107577990658433</v>
      </c>
      <c r="AH65" s="904">
        <f t="shared" si="11"/>
        <v>11.023160397929427</v>
      </c>
      <c r="AI65" s="904">
        <f t="shared" si="11"/>
        <v>10.939384378905164</v>
      </c>
      <c r="AJ65" s="904">
        <f t="shared" si="11"/>
        <v>10.856245057625484</v>
      </c>
      <c r="AK65" s="904">
        <f t="shared" si="11"/>
        <v>10.77373759518753</v>
      </c>
      <c r="AL65" s="904">
        <f t="shared" si="11"/>
        <v>10.691857189464104</v>
      </c>
      <c r="AM65" s="904">
        <f t="shared" si="11"/>
        <v>10.610599074824178</v>
      </c>
      <c r="AN65" s="904">
        <f t="shared" si="11"/>
        <v>10.529958521855512</v>
      </c>
      <c r="AO65" s="904">
        <f t="shared" si="11"/>
        <v>10.449930837089411</v>
      </c>
      <c r="AP65" s="904">
        <f t="shared" si="11"/>
        <v>10.370511362727532</v>
      </c>
      <c r="AQ65" s="904">
        <f t="shared" si="11"/>
        <v>10.291695476370801</v>
      </c>
      <c r="AR65" s="904">
        <f t="shared" si="11"/>
        <v>10.213478590750382</v>
      </c>
      <c r="AS65" s="904">
        <f t="shared" si="11"/>
        <v>10.135856153460681</v>
      </c>
      <c r="AT65" s="904">
        <f t="shared" si="11"/>
        <v>10.05882364669438</v>
      </c>
      <c r="AU65" s="904">
        <f t="shared" si="11"/>
        <v>9.9823765869795018</v>
      </c>
      <c r="AV65" s="904">
        <f t="shared" si="11"/>
        <v>9.906510524918458</v>
      </c>
      <c r="AW65" s="904">
        <f t="shared" si="11"/>
        <v>9.8312210449290767</v>
      </c>
      <c r="AX65" s="904">
        <f t="shared" si="11"/>
        <v>9.7565037649876167</v>
      </c>
      <c r="AY65" s="904">
        <f t="shared" si="11"/>
        <v>9.6823543363737095</v>
      </c>
      <c r="AZ65" s="904">
        <f t="shared" si="11"/>
        <v>9.6087684434172687</v>
      </c>
      <c r="BA65" s="904">
        <f t="shared" si="11"/>
        <v>9.535741803247296</v>
      </c>
      <c r="BB65" s="904">
        <f t="shared" si="11"/>
        <v>9.4632701655426175</v>
      </c>
      <c r="BC65" s="904">
        <f t="shared" si="11"/>
        <v>9.3913493122844933</v>
      </c>
      <c r="BD65" s="904">
        <f t="shared" si="11"/>
        <v>9.3199750575111313</v>
      </c>
      <c r="BE65" s="904">
        <f t="shared" si="11"/>
        <v>9.2491432470740449</v>
      </c>
      <c r="BF65" s="904">
        <f t="shared" si="11"/>
        <v>9.1788497583962823</v>
      </c>
      <c r="BG65" s="904">
        <f t="shared" si="11"/>
        <v>9.1090905002324707</v>
      </c>
      <c r="BH65" s="904">
        <f t="shared" si="11"/>
        <v>9.0398614124307031</v>
      </c>
      <c r="BI65" s="904">
        <f t="shared" si="11"/>
        <v>8.9711584656962291</v>
      </c>
      <c r="BJ65" s="904">
        <f t="shared" si="11"/>
        <v>8.9029776613569371</v>
      </c>
      <c r="BK65" s="904">
        <f t="shared" si="11"/>
        <v>8.8353150311306248</v>
      </c>
      <c r="BL65" s="904">
        <f t="shared" si="11"/>
        <v>8.7681666368940316</v>
      </c>
      <c r="BM65" s="904">
        <f t="shared" si="11"/>
        <v>8.701528570453636</v>
      </c>
      <c r="BN65" s="904">
        <f t="shared" si="11"/>
        <v>8.6353969533181889</v>
      </c>
      <c r="BO65" s="904">
        <f t="shared" si="11"/>
        <v>8.5697679364729709</v>
      </c>
      <c r="BP65" s="904">
        <f>BO64*(1-0.0078)</f>
        <v>8.5046377001557758</v>
      </c>
      <c r="BQ65" s="904">
        <f t="shared" si="11"/>
        <v>8.440002453634591</v>
      </c>
      <c r="BR65" s="905"/>
      <c r="BS65" s="906"/>
      <c r="BT65" s="906"/>
      <c r="BU65" s="906"/>
      <c r="BV65" s="906"/>
      <c r="BW65" s="906"/>
      <c r="BX65" s="906"/>
      <c r="BY65" s="906"/>
      <c r="BZ65" s="906"/>
      <c r="CA65" s="906"/>
      <c r="CB65" s="906"/>
      <c r="CC65" s="906"/>
      <c r="CD65" s="906"/>
    </row>
    <row r="66" spans="1:82" s="583" customFormat="1" ht="14.25" customHeight="1" x14ac:dyDescent="0.3">
      <c r="A66" s="586"/>
      <c r="B66" s="1104"/>
      <c r="C66" s="1123"/>
      <c r="D66" s="1120"/>
      <c r="E66" s="1121"/>
      <c r="F66" s="804" t="s">
        <v>185</v>
      </c>
      <c r="G66" s="956"/>
      <c r="H66" s="956"/>
      <c r="I66" s="956"/>
      <c r="J66" s="956"/>
      <c r="K66" s="956"/>
      <c r="L66" s="956"/>
      <c r="M66" s="956"/>
      <c r="N66" s="956"/>
      <c r="O66" s="816"/>
      <c r="P66" s="816"/>
      <c r="Q66" s="816">
        <v>8.2529000000000005E-2</v>
      </c>
      <c r="R66" s="816">
        <f t="shared" ref="R66:W66" si="12">Q64-R65</f>
        <v>9.385754647500022E-2</v>
      </c>
      <c r="S66" s="816">
        <f t="shared" si="12"/>
        <v>9.716283383166413E-2</v>
      </c>
      <c r="T66" s="816">
        <f>S64-T65</f>
        <v>9.6424396294542802E-2</v>
      </c>
      <c r="U66" s="816">
        <f>T64-U65</f>
        <v>9.5691570882705079E-2</v>
      </c>
      <c r="V66" s="816">
        <f t="shared" si="12"/>
        <v>9.4964314943995376E-2</v>
      </c>
      <c r="W66" s="816">
        <f t="shared" si="12"/>
        <v>9.4242586150421914E-2</v>
      </c>
      <c r="X66" s="816">
        <f t="shared" ref="X66:BP66" si="13">W64-X65</f>
        <v>9.3526342495678705E-2</v>
      </c>
      <c r="Y66" s="816">
        <f t="shared" si="13"/>
        <v>9.2815542292711939E-2</v>
      </c>
      <c r="Z66" s="816">
        <f t="shared" si="13"/>
        <v>9.2110144171286379E-2</v>
      </c>
      <c r="AA66" s="816">
        <f t="shared" si="13"/>
        <v>9.1410107075585501E-2</v>
      </c>
      <c r="AB66" s="816">
        <f t="shared" si="13"/>
        <v>9.0715390261809858E-2</v>
      </c>
      <c r="AC66" s="816">
        <f t="shared" si="13"/>
        <v>9.0025953295821637E-2</v>
      </c>
      <c r="AD66" s="816">
        <f t="shared" si="13"/>
        <v>8.9341756050773213E-2</v>
      </c>
      <c r="AE66" s="816">
        <f t="shared" si="13"/>
        <v>8.8662758704787237E-2</v>
      </c>
      <c r="AF66" s="816">
        <f t="shared" si="13"/>
        <v>8.79889217386296E-2</v>
      </c>
      <c r="AG66" s="816">
        <f t="shared" si="13"/>
        <v>8.7320205933416162E-2</v>
      </c>
      <c r="AH66" s="816">
        <f t="shared" si="13"/>
        <v>8.6656572368323026E-2</v>
      </c>
      <c r="AI66" s="816">
        <f t="shared" si="13"/>
        <v>8.599798241832346E-2</v>
      </c>
      <c r="AJ66" s="816">
        <f t="shared" si="13"/>
        <v>8.5344397751944356E-2</v>
      </c>
      <c r="AK66" s="816">
        <f t="shared" si="13"/>
        <v>8.4695780329029802E-2</v>
      </c>
      <c r="AL66" s="816">
        <f t="shared" si="13"/>
        <v>8.405209239852951E-2</v>
      </c>
      <c r="AM66" s="816">
        <f t="shared" si="13"/>
        <v>8.3413296496299694E-2</v>
      </c>
      <c r="AN66" s="816">
        <f t="shared" si="13"/>
        <v>8.2779355442928804E-2</v>
      </c>
      <c r="AO66" s="816">
        <f t="shared" si="13"/>
        <v>8.2150232341561491E-2</v>
      </c>
      <c r="AP66" s="816">
        <f t="shared" si="13"/>
        <v>8.1525890575765203E-2</v>
      </c>
      <c r="AQ66" s="816">
        <f t="shared" si="13"/>
        <v>8.0906293807389673E-2</v>
      </c>
      <c r="AR66" s="816">
        <f t="shared" si="13"/>
        <v>8.0291405974454833E-2</v>
      </c>
      <c r="AS66" s="816">
        <f t="shared" si="13"/>
        <v>7.9681191289047604E-2</v>
      </c>
      <c r="AT66" s="816">
        <f t="shared" si="13"/>
        <v>7.9075614235250669E-2</v>
      </c>
      <c r="AU66" s="816">
        <f t="shared" si="13"/>
        <v>7.8474639567064131E-2</v>
      </c>
      <c r="AV66" s="816">
        <f t="shared" si="13"/>
        <v>7.7878232306353823E-2</v>
      </c>
      <c r="AW66" s="816">
        <f t="shared" si="13"/>
        <v>7.7286357740826261E-2</v>
      </c>
      <c r="AX66" s="816">
        <f t="shared" si="13"/>
        <v>7.6698981421994716E-2</v>
      </c>
      <c r="AY66" s="816">
        <f t="shared" si="13"/>
        <v>7.6116069163187916E-2</v>
      </c>
      <c r="AZ66" s="816">
        <f t="shared" si="13"/>
        <v>7.5537587037548093E-2</v>
      </c>
      <c r="BA66" s="816">
        <f t="shared" si="13"/>
        <v>7.496350137606278E-2</v>
      </c>
      <c r="BB66" s="816">
        <f t="shared" si="13"/>
        <v>7.4393778765603713E-2</v>
      </c>
      <c r="BC66" s="816">
        <f t="shared" si="13"/>
        <v>7.3828386046985273E-2</v>
      </c>
      <c r="BD66" s="816">
        <f t="shared" si="13"/>
        <v>7.3267290313028255E-2</v>
      </c>
      <c r="BE66" s="816">
        <f t="shared" si="13"/>
        <v>7.2710458906650288E-2</v>
      </c>
      <c r="BF66" s="816">
        <f t="shared" si="13"/>
        <v>7.2157859418959802E-2</v>
      </c>
      <c r="BG66" s="816">
        <f t="shared" si="13"/>
        <v>7.1609459687374866E-2</v>
      </c>
      <c r="BH66" s="816">
        <f t="shared" si="13"/>
        <v>7.1065227793750907E-2</v>
      </c>
      <c r="BI66" s="816">
        <f>BH64-BI65</f>
        <v>7.0525132062519091E-2</v>
      </c>
      <c r="BJ66" s="816">
        <f t="shared" si="13"/>
        <v>6.998914105884424E-2</v>
      </c>
      <c r="BK66" s="816">
        <f t="shared" si="13"/>
        <v>6.9457223586796957E-2</v>
      </c>
      <c r="BL66" s="816">
        <f t="shared" si="13"/>
        <v>6.8929348687536418E-2</v>
      </c>
      <c r="BM66" s="816">
        <f t="shared" si="13"/>
        <v>6.8405485637510921E-2</v>
      </c>
      <c r="BN66" s="816">
        <f t="shared" si="13"/>
        <v>6.788560394666554E-2</v>
      </c>
      <c r="BO66" s="816">
        <f t="shared" si="13"/>
        <v>6.73696733566711E-2</v>
      </c>
      <c r="BP66" s="816">
        <f t="shared" si="13"/>
        <v>6.6857663839160253E-2</v>
      </c>
      <c r="BQ66" s="816">
        <f>BP64-BQ65</f>
        <v>6.6349545593983095E-2</v>
      </c>
      <c r="BR66" s="614"/>
      <c r="BS66" s="817"/>
      <c r="BT66" s="811"/>
      <c r="BU66" s="811"/>
      <c r="BV66" s="811"/>
      <c r="BW66" s="811"/>
      <c r="BX66" s="811"/>
      <c r="BY66" s="811"/>
      <c r="BZ66" s="811"/>
      <c r="CA66" s="811"/>
      <c r="CB66" s="811"/>
      <c r="CC66" s="811"/>
      <c r="CD66" s="811"/>
    </row>
    <row r="67" spans="1:82" s="583" customFormat="1" ht="14.25" customHeight="1" x14ac:dyDescent="0.3">
      <c r="A67" s="586"/>
      <c r="B67" s="1104"/>
      <c r="C67" s="1123"/>
      <c r="D67" s="1120"/>
      <c r="E67" s="1121"/>
      <c r="F67" s="804" t="s">
        <v>186</v>
      </c>
      <c r="G67" s="956"/>
      <c r="H67" s="956"/>
      <c r="I67" s="956"/>
      <c r="J67" s="956"/>
      <c r="K67" s="956"/>
      <c r="L67" s="956"/>
      <c r="M67" s="956"/>
      <c r="N67" s="956"/>
      <c r="O67" s="816"/>
      <c r="P67" s="816"/>
      <c r="Q67" s="816">
        <f t="shared" ref="Q67:W67" si="14">Q64-Q65</f>
        <v>2.4099569999998849E-2</v>
      </c>
      <c r="R67" s="816">
        <f t="shared" si="14"/>
        <v>3.629158463700044E-2</v>
      </c>
      <c r="S67" s="816">
        <f>S64-S65</f>
        <v>2.4913547136318215E-3</v>
      </c>
      <c r="T67" s="816">
        <f t="shared" si="14"/>
        <v>2.4724204178081521E-3</v>
      </c>
      <c r="U67" s="816">
        <f>U64-U65</f>
        <v>2.4536300226341012E-3</v>
      </c>
      <c r="V67" s="816">
        <f t="shared" si="14"/>
        <v>2.4349824344600535E-3</v>
      </c>
      <c r="W67" s="816">
        <f t="shared" si="14"/>
        <v>2.4164765679586253E-3</v>
      </c>
      <c r="X67" s="816">
        <f t="shared" ref="X67:BO67" si="15">X64-X65</f>
        <v>2.3981113460429526E-3</v>
      </c>
      <c r="Y67" s="816">
        <f t="shared" si="15"/>
        <v>2.3798856998133999E-3</v>
      </c>
      <c r="Z67" s="816">
        <f t="shared" si="15"/>
        <v>2.3617985684936116E-3</v>
      </c>
      <c r="AA67" s="816">
        <f t="shared" si="15"/>
        <v>2.3438488993736684E-3</v>
      </c>
      <c r="AB67" s="816">
        <f t="shared" si="15"/>
        <v>2.3260356477372568E-3</v>
      </c>
      <c r="AC67" s="816">
        <f t="shared" si="15"/>
        <v>2.3083577768172603E-3</v>
      </c>
      <c r="AD67" s="816">
        <f t="shared" si="15"/>
        <v>2.2908142577122703E-3</v>
      </c>
      <c r="AE67" s="816">
        <f t="shared" si="15"/>
        <v>2.273404069354612E-3</v>
      </c>
      <c r="AF67" s="816">
        <f t="shared" si="15"/>
        <v>2.2561261984250791E-3</v>
      </c>
      <c r="AG67" s="816">
        <f t="shared" si="15"/>
        <v>2.2389796393174066E-3</v>
      </c>
      <c r="AH67" s="816">
        <f t="shared" si="15"/>
        <v>2.2219633940601113E-3</v>
      </c>
      <c r="AI67" s="816">
        <f t="shared" si="15"/>
        <v>2.2050764722649774E-3</v>
      </c>
      <c r="AJ67" s="816">
        <f t="shared" si="15"/>
        <v>2.1883178910755419E-3</v>
      </c>
      <c r="AK67" s="816">
        <f t="shared" si="15"/>
        <v>2.1716866751031461E-3</v>
      </c>
      <c r="AL67" s="816">
        <f t="shared" si="15"/>
        <v>2.1551818563736447E-3</v>
      </c>
      <c r="AM67" s="816">
        <f t="shared" si="15"/>
        <v>2.138802474263457E-3</v>
      </c>
      <c r="AN67" s="816">
        <f t="shared" si="15"/>
        <v>2.1225475754604872E-3</v>
      </c>
      <c r="AO67" s="816">
        <f t="shared" si="15"/>
        <v>2.1064162138859643E-3</v>
      </c>
      <c r="AP67" s="816">
        <f t="shared" si="15"/>
        <v>2.0904074506589154E-3</v>
      </c>
      <c r="AQ67" s="816">
        <f t="shared" si="15"/>
        <v>2.0745203540357693E-3</v>
      </c>
      <c r="AR67" s="816">
        <f t="shared" si="15"/>
        <v>2.0587539993464077E-3</v>
      </c>
      <c r="AS67" s="816">
        <f t="shared" si="15"/>
        <v>2.0431074689497564E-3</v>
      </c>
      <c r="AT67" s="816">
        <f t="shared" si="15"/>
        <v>2.0275798521858235E-3</v>
      </c>
      <c r="AU67" s="816">
        <f t="shared" si="15"/>
        <v>2.0121702453099743E-3</v>
      </c>
      <c r="AV67" s="816">
        <f t="shared" si="15"/>
        <v>1.9968777514449698E-3</v>
      </c>
      <c r="AW67" s="816">
        <f t="shared" si="15"/>
        <v>1.981701480534781E-3</v>
      </c>
      <c r="AX67" s="816">
        <f t="shared" si="15"/>
        <v>1.9666405492806405E-3</v>
      </c>
      <c r="AY67" s="816">
        <f>AY64-AY65</f>
        <v>1.9516940811072914E-3</v>
      </c>
      <c r="AZ67" s="816">
        <f t="shared" si="15"/>
        <v>1.9368612060901569E-3</v>
      </c>
      <c r="BA67" s="816">
        <f t="shared" si="15"/>
        <v>1.9221410609251421E-3</v>
      </c>
      <c r="BB67" s="816">
        <f t="shared" si="15"/>
        <v>1.9075327888611326E-3</v>
      </c>
      <c r="BC67" s="816">
        <f t="shared" si="15"/>
        <v>1.8930355396662435E-3</v>
      </c>
      <c r="BD67" s="816">
        <f t="shared" si="15"/>
        <v>1.8786484695638705E-3</v>
      </c>
      <c r="BE67" s="816">
        <f t="shared" si="15"/>
        <v>1.8643707411971633E-3</v>
      </c>
      <c r="BF67" s="816">
        <f t="shared" si="15"/>
        <v>1.8502015235632996E-3</v>
      </c>
      <c r="BG67" s="816">
        <f t="shared" si="15"/>
        <v>1.8361399919832877E-3</v>
      </c>
      <c r="BH67" s="816">
        <f t="shared" si="15"/>
        <v>1.8221853280451228E-3</v>
      </c>
      <c r="BI67" s="816">
        <f t="shared" si="15"/>
        <v>1.8083367195522726E-3</v>
      </c>
      <c r="BJ67" s="816">
        <f t="shared" si="15"/>
        <v>1.7945933604845976E-3</v>
      </c>
      <c r="BK67" s="816">
        <f t="shared" si="15"/>
        <v>1.780954450943284E-3</v>
      </c>
      <c r="BL67" s="816">
        <f t="shared" si="15"/>
        <v>1.7674191971153164E-3</v>
      </c>
      <c r="BM67" s="816">
        <f t="shared" si="15"/>
        <v>1.7539868112184109E-3</v>
      </c>
      <c r="BN67" s="816">
        <f t="shared" si="15"/>
        <v>1.7406565114530537E-3</v>
      </c>
      <c r="BO67" s="816">
        <f t="shared" si="15"/>
        <v>1.7274275219651969E-3</v>
      </c>
      <c r="BP67" s="816">
        <f>BP64-BP65</f>
        <v>1.7142990727982976E-3</v>
      </c>
      <c r="BQ67" s="816">
        <f>BQ64-BQ65</f>
        <v>1.701270399845356E-3</v>
      </c>
      <c r="BR67" s="614"/>
      <c r="BS67" s="817"/>
      <c r="BT67" s="811"/>
      <c r="BU67" s="811"/>
      <c r="BV67" s="811"/>
      <c r="BW67" s="811"/>
      <c r="BX67" s="811"/>
      <c r="BY67" s="811"/>
      <c r="BZ67" s="811"/>
      <c r="CA67" s="811"/>
      <c r="CB67" s="811"/>
      <c r="CC67" s="811"/>
      <c r="CD67" s="811"/>
    </row>
    <row r="68" spans="1:82" s="583" customFormat="1" ht="14.25" customHeight="1" x14ac:dyDescent="0.3">
      <c r="A68" s="586"/>
      <c r="B68" s="1104"/>
      <c r="C68" s="1123"/>
      <c r="D68" s="1120"/>
      <c r="E68" s="1121"/>
      <c r="F68" s="804" t="s">
        <v>187</v>
      </c>
      <c r="G68" s="956"/>
      <c r="H68" s="956"/>
      <c r="I68" s="956"/>
      <c r="J68" s="956"/>
      <c r="K68" s="956"/>
      <c r="L68" s="956"/>
      <c r="M68" s="956"/>
      <c r="N68" s="956"/>
      <c r="O68" s="816"/>
      <c r="P68" s="816"/>
      <c r="Q68" s="816"/>
      <c r="R68" s="816"/>
      <c r="S68" s="816">
        <f>S64-S69</f>
        <v>6.4022094690439673</v>
      </c>
      <c r="T68" s="816">
        <f>T64-T69</f>
        <v>6.3082574931672326</v>
      </c>
      <c r="U68" s="816">
        <f t="shared" ref="U68:BP68" si="16">U64-U69</f>
        <v>6.2150195523071616</v>
      </c>
      <c r="V68" s="816">
        <f t="shared" si="16"/>
        <v>6.1224902197976263</v>
      </c>
      <c r="W68" s="816">
        <f t="shared" si="16"/>
        <v>6.030664110215163</v>
      </c>
      <c r="X68" s="816">
        <f t="shared" si="16"/>
        <v>5.9395358790655273</v>
      </c>
      <c r="Y68" s="816">
        <f t="shared" si="16"/>
        <v>5.8491002224726287</v>
      </c>
      <c r="Z68" s="816">
        <f t="shared" si="16"/>
        <v>5.759351876869836</v>
      </c>
      <c r="AA68" s="816">
        <f t="shared" si="16"/>
        <v>5.6702856186936241</v>
      </c>
      <c r="AB68" s="816">
        <f t="shared" si="16"/>
        <v>5.5818962640795515</v>
      </c>
      <c r="AC68" s="816">
        <f t="shared" si="16"/>
        <v>5.4941786685605472</v>
      </c>
      <c r="AD68" s="816">
        <f t="shared" si="16"/>
        <v>5.4071277267674862</v>
      </c>
      <c r="AE68" s="816">
        <f t="shared" si="16"/>
        <v>5.3207383721320536</v>
      </c>
      <c r="AF68" s="816">
        <f t="shared" si="16"/>
        <v>5.2350055765918491</v>
      </c>
      <c r="AG68" s="816">
        <f t="shared" si="16"/>
        <v>5.1499243502977503</v>
      </c>
      <c r="AH68" s="816">
        <f t="shared" si="16"/>
        <v>5.0654897413234874</v>
      </c>
      <c r="AI68" s="816">
        <f t="shared" si="16"/>
        <v>4.9816968353774289</v>
      </c>
      <c r="AJ68" s="816">
        <f t="shared" si="16"/>
        <v>4.8985407555165601</v>
      </c>
      <c r="AK68" s="816">
        <f t="shared" si="16"/>
        <v>4.8160166618626334</v>
      </c>
      <c r="AL68" s="816">
        <f t="shared" si="16"/>
        <v>4.7341197513204776</v>
      </c>
      <c r="AM68" s="816">
        <f t="shared" si="16"/>
        <v>4.6528452572984413</v>
      </c>
      <c r="AN68" s="816">
        <f t="shared" si="16"/>
        <v>4.572188449430973</v>
      </c>
      <c r="AO68" s="816">
        <f t="shared" si="16"/>
        <v>4.4921446333032975</v>
      </c>
      <c r="AP68" s="816">
        <f t="shared" si="16"/>
        <v>4.4127091501781912</v>
      </c>
      <c r="AQ68" s="816">
        <f t="shared" si="16"/>
        <v>4.3338773767248373</v>
      </c>
      <c r="AR68" s="816">
        <f t="shared" si="16"/>
        <v>4.2556447247497289</v>
      </c>
      <c r="AS68" s="816">
        <f t="shared" si="16"/>
        <v>4.178006640929631</v>
      </c>
      <c r="AT68" s="816">
        <f t="shared" si="16"/>
        <v>4.1009586065465662</v>
      </c>
      <c r="AU68" s="816">
        <f t="shared" si="16"/>
        <v>4.024496137224812</v>
      </c>
      <c r="AV68" s="816">
        <f t="shared" si="16"/>
        <v>3.9486147826699032</v>
      </c>
      <c r="AW68" s="816">
        <f t="shared" si="16"/>
        <v>3.8733101264096117</v>
      </c>
      <c r="AX68" s="816">
        <f t="shared" si="16"/>
        <v>3.7985777855368976</v>
      </c>
      <c r="AY68" s="816">
        <f t="shared" si="16"/>
        <v>3.724413410454817</v>
      </c>
      <c r="AZ68" s="816">
        <f t="shared" si="16"/>
        <v>3.6508126846233591</v>
      </c>
      <c r="BA68" s="816">
        <f t="shared" si="16"/>
        <v>3.5777713243082214</v>
      </c>
      <c r="BB68" s="816">
        <f t="shared" si="16"/>
        <v>3.5052850783314788</v>
      </c>
      <c r="BC68" s="816">
        <f t="shared" si="16"/>
        <v>3.4333497278241598</v>
      </c>
      <c r="BD68" s="816">
        <f t="shared" si="16"/>
        <v>3.3619610859806954</v>
      </c>
      <c r="BE68" s="816">
        <f t="shared" si="16"/>
        <v>3.2911149978152423</v>
      </c>
      <c r="BF68" s="816">
        <f t="shared" si="16"/>
        <v>3.2208073399198458</v>
      </c>
      <c r="BG68" s="816">
        <f t="shared" si="16"/>
        <v>3.1510340202244542</v>
      </c>
      <c r="BH68" s="816">
        <f t="shared" si="16"/>
        <v>3.0817909777587484</v>
      </c>
      <c r="BI68" s="816">
        <f t="shared" si="16"/>
        <v>3.0130741824157816</v>
      </c>
      <c r="BJ68" s="816">
        <f t="shared" si="16"/>
        <v>2.944879634717422</v>
      </c>
      <c r="BK68" s="816">
        <f t="shared" si="16"/>
        <v>2.8772033655815683</v>
      </c>
      <c r="BL68" s="816">
        <f t="shared" si="16"/>
        <v>2.8100414360911472</v>
      </c>
      <c r="BM68" s="816">
        <f t="shared" si="16"/>
        <v>2.7433899372648547</v>
      </c>
      <c r="BN68" s="816">
        <f t="shared" si="16"/>
        <v>2.6772449898296422</v>
      </c>
      <c r="BO68" s="816">
        <f t="shared" si="16"/>
        <v>2.6116027439949363</v>
      </c>
      <c r="BP68" s="816">
        <f t="shared" si="16"/>
        <v>2.5464593792285743</v>
      </c>
      <c r="BQ68" s="816">
        <f>BQ64-BQ69</f>
        <v>2.4818111040344366</v>
      </c>
      <c r="BR68" s="614"/>
      <c r="BS68" s="817"/>
      <c r="BT68" s="811"/>
      <c r="BU68" s="811"/>
      <c r="BV68" s="811"/>
      <c r="BW68" s="811"/>
      <c r="BX68" s="811"/>
      <c r="BY68" s="811"/>
      <c r="BZ68" s="811"/>
      <c r="CA68" s="811"/>
      <c r="CB68" s="811"/>
      <c r="CC68" s="811"/>
      <c r="CD68" s="811"/>
    </row>
    <row r="69" spans="1:82" s="583" customFormat="1" ht="14.25" customHeight="1" x14ac:dyDescent="0.3">
      <c r="A69" s="586"/>
      <c r="B69" s="1104"/>
      <c r="C69" s="1123"/>
      <c r="D69" s="1120"/>
      <c r="E69" s="1121"/>
      <c r="F69" s="804" t="s">
        <v>188</v>
      </c>
      <c r="G69" s="956"/>
      <c r="H69" s="956"/>
      <c r="I69" s="956"/>
      <c r="J69" s="956"/>
      <c r="K69" s="956"/>
      <c r="L69" s="956"/>
      <c r="M69" s="956"/>
      <c r="N69" s="956"/>
      <c r="O69" s="816"/>
      <c r="P69" s="816"/>
      <c r="Q69" s="816">
        <v>5.9598926199999998</v>
      </c>
      <c r="R69" s="816">
        <v>5.9598926199999998</v>
      </c>
      <c r="S69" s="816">
        <v>5.9598926199999998</v>
      </c>
      <c r="T69" s="816">
        <v>5.9598926199999998</v>
      </c>
      <c r="U69" s="816">
        <v>5.9598926199999998</v>
      </c>
      <c r="V69" s="816">
        <v>5.9598926199999998</v>
      </c>
      <c r="W69" s="816">
        <v>5.9598926199999998</v>
      </c>
      <c r="X69" s="816">
        <v>5.9598926199999998</v>
      </c>
      <c r="Y69" s="816">
        <v>5.9598926199999998</v>
      </c>
      <c r="Z69" s="816">
        <v>5.9598926199999998</v>
      </c>
      <c r="AA69" s="816">
        <v>5.9598926199999998</v>
      </c>
      <c r="AB69" s="816">
        <v>5.9598926199999998</v>
      </c>
      <c r="AC69" s="816">
        <v>5.9598926199999998</v>
      </c>
      <c r="AD69" s="816">
        <v>5.9598926199999998</v>
      </c>
      <c r="AE69" s="816">
        <v>5.9598926199999998</v>
      </c>
      <c r="AF69" s="816">
        <v>5.9598926199999998</v>
      </c>
      <c r="AG69" s="816">
        <v>5.9598926199999998</v>
      </c>
      <c r="AH69" s="816">
        <v>5.9598926199999998</v>
      </c>
      <c r="AI69" s="816">
        <v>5.9598926199999998</v>
      </c>
      <c r="AJ69" s="816">
        <v>5.9598926199999998</v>
      </c>
      <c r="AK69" s="816">
        <v>5.9598926199999998</v>
      </c>
      <c r="AL69" s="816">
        <v>5.9598926199999998</v>
      </c>
      <c r="AM69" s="816">
        <v>5.9598926199999998</v>
      </c>
      <c r="AN69" s="816">
        <v>5.9598926199999998</v>
      </c>
      <c r="AO69" s="816">
        <v>5.9598926199999998</v>
      </c>
      <c r="AP69" s="816">
        <v>5.9598926199999998</v>
      </c>
      <c r="AQ69" s="816">
        <v>5.9598926199999998</v>
      </c>
      <c r="AR69" s="816">
        <v>5.9598926199999998</v>
      </c>
      <c r="AS69" s="816">
        <v>5.9598926199999998</v>
      </c>
      <c r="AT69" s="816">
        <v>5.9598926199999998</v>
      </c>
      <c r="AU69" s="816">
        <v>5.9598926199999998</v>
      </c>
      <c r="AV69" s="816">
        <v>5.9598926199999998</v>
      </c>
      <c r="AW69" s="816">
        <v>5.9598926199999998</v>
      </c>
      <c r="AX69" s="816">
        <v>5.9598926199999998</v>
      </c>
      <c r="AY69" s="816">
        <v>5.9598926199999998</v>
      </c>
      <c r="AZ69" s="816">
        <v>5.9598926199999998</v>
      </c>
      <c r="BA69" s="816">
        <v>5.9598926199999998</v>
      </c>
      <c r="BB69" s="816">
        <v>5.9598926199999998</v>
      </c>
      <c r="BC69" s="816">
        <v>5.9598926199999998</v>
      </c>
      <c r="BD69" s="816">
        <v>5.9598926199999998</v>
      </c>
      <c r="BE69" s="816">
        <v>5.9598926199999998</v>
      </c>
      <c r="BF69" s="816">
        <v>5.9598926199999998</v>
      </c>
      <c r="BG69" s="816">
        <v>5.9598926199999998</v>
      </c>
      <c r="BH69" s="816">
        <v>5.9598926199999998</v>
      </c>
      <c r="BI69" s="816">
        <v>5.9598926199999998</v>
      </c>
      <c r="BJ69" s="816">
        <v>5.9598926199999998</v>
      </c>
      <c r="BK69" s="816">
        <v>5.9598926199999998</v>
      </c>
      <c r="BL69" s="816">
        <v>5.9598926199999998</v>
      </c>
      <c r="BM69" s="816">
        <v>5.9598926199999998</v>
      </c>
      <c r="BN69" s="816">
        <v>5.9598926199999998</v>
      </c>
      <c r="BO69" s="816">
        <v>5.9598926199999998</v>
      </c>
      <c r="BP69" s="816">
        <v>5.9598926199999998</v>
      </c>
      <c r="BQ69" s="816">
        <v>5.9598926199999998</v>
      </c>
      <c r="BR69" s="614"/>
      <c r="BS69" s="811"/>
      <c r="BT69" s="811"/>
      <c r="BU69" s="811"/>
      <c r="BV69" s="811"/>
      <c r="BW69" s="811"/>
      <c r="BX69" s="811"/>
      <c r="BY69" s="811"/>
      <c r="BZ69" s="811"/>
      <c r="CA69" s="811"/>
      <c r="CB69" s="811"/>
      <c r="CC69" s="811"/>
      <c r="CD69" s="811"/>
    </row>
    <row r="70" spans="1:82" s="583" customFormat="1" ht="37.5" customHeight="1" x14ac:dyDescent="0.3">
      <c r="A70" s="585" t="s">
        <v>189</v>
      </c>
      <c r="B70" s="1104"/>
      <c r="C70" s="1123"/>
      <c r="D70" s="1107"/>
      <c r="E70" s="1108"/>
      <c r="F70" s="804" t="s">
        <v>70</v>
      </c>
      <c r="G70" s="956">
        <f>G45/1000000</f>
        <v>6.2196929999999997E-2</v>
      </c>
      <c r="H70" s="956"/>
      <c r="I70" s="956"/>
      <c r="J70" s="956"/>
      <c r="K70" s="956"/>
      <c r="L70" s="956"/>
      <c r="M70" s="956">
        <f>M45/1000000</f>
        <v>0.13007241000000003</v>
      </c>
      <c r="N70" s="956"/>
      <c r="O70" s="816">
        <f>O45/1000000</f>
        <v>0.12371994</v>
      </c>
      <c r="P70" s="816"/>
      <c r="Q70" s="816">
        <f>Q45/1000000</f>
        <v>0.12199527</v>
      </c>
      <c r="R70" s="816">
        <f>Q70*(1+ 0.01*Drivers_macroeconómicos_USCUSS!E17)</f>
        <v>0.12199541767652902</v>
      </c>
      <c r="S70" s="816">
        <f>R70*(1+ 0.01*Drivers_macroeconómicos_USCUSS!F17)</f>
        <v>0.1219004124385531</v>
      </c>
      <c r="T70" s="816">
        <f>S70*(1+ 0.01*Drivers_macroeconómicos_USCUSS!G17)</f>
        <v>0.12195204032586783</v>
      </c>
      <c r="U70" s="816">
        <f>T70*(1+ 0.01*Drivers_macroeconómicos_USCUSS!H17)</f>
        <v>0.12198496737675582</v>
      </c>
      <c r="V70" s="816">
        <f>U70*(1+ 0.01*Drivers_macroeconómicos_USCUSS!I17)</f>
        <v>0.12202278271664262</v>
      </c>
      <c r="W70" s="816">
        <f>V70*(1+ 0.01*Drivers_macroeconómicos_USCUSS!J17)</f>
        <v>0.12205938955145761</v>
      </c>
      <c r="X70" s="816">
        <f>W70*(1+ 0.01*Drivers_macroeconómicos_USCUSS!K17)</f>
        <v>0.12209234558663649</v>
      </c>
      <c r="Y70" s="816">
        <f>X70*(1+ 0.01*Drivers_macroeconómicos_USCUSS!L17)</f>
        <v>0.12212042682612141</v>
      </c>
      <c r="Z70" s="816">
        <f>Y70*(1+ 0.01*Drivers_macroeconómicos_USCUSS!M17)</f>
        <v>0.12215932001557797</v>
      </c>
      <c r="AA70" s="816">
        <f>Z70*(1+ 0.01*Drivers_macroeconómicos_USCUSS!N17)</f>
        <v>0.12219408866489563</v>
      </c>
      <c r="AB70" s="816">
        <f>AA70*(1+ 0.01*Drivers_macroeconómicos_USCUSS!O17)</f>
        <v>0.12222092220827215</v>
      </c>
      <c r="AC70" s="816">
        <f>AB70*(1+ 0.01*Drivers_macroeconómicos_USCUSS!P17)</f>
        <v>0.12225003575034303</v>
      </c>
      <c r="AD70" s="816">
        <f>AC70*(1+ 0.01*Drivers_macroeconómicos_USCUSS!Q17)</f>
        <v>0.12228876236451829</v>
      </c>
      <c r="AE70" s="816">
        <f>AD70*(1+ 0.01*Drivers_macroeconómicos_USCUSS!R17)</f>
        <v>0.12231892931849726</v>
      </c>
      <c r="AF70" s="816">
        <f>AE70*(1+ 0.01*Drivers_macroeconómicos_USCUSS!S17)</f>
        <v>0.12235429702027176</v>
      </c>
      <c r="AG70" s="816">
        <f>AF70*(1+ 0.01*Drivers_macroeconómicos_USCUSS!T17)</f>
        <v>0.1223832540730076</v>
      </c>
      <c r="AH70" s="816">
        <f>AG70*(1+ 0.01*Drivers_macroeconómicos_USCUSS!U17)</f>
        <v>0.12241219105914225</v>
      </c>
      <c r="AI70" s="816">
        <f>AH70*(1+ 0.01*Drivers_macroeconómicos_USCUSS!V17)</f>
        <v>0.12244345252219345</v>
      </c>
      <c r="AJ70" s="816">
        <f>AI70*(1+ 0.01*Drivers_macroeconómicos_USCUSS!W17)</f>
        <v>0.12247123647040797</v>
      </c>
      <c r="AK70" s="816">
        <f>AJ70*(1+ 0.01*Drivers_macroeconómicos_USCUSS!X17)</f>
        <v>0.12249992779370776</v>
      </c>
      <c r="AL70" s="816">
        <f>AK70*(1+ 0.01*Drivers_macroeconómicos_USCUSS!Y17)</f>
        <v>0.12253081117423069</v>
      </c>
      <c r="AM70" s="816">
        <f>AL70*(1+ 0.01*Drivers_macroeconómicos_USCUSS!Z17)</f>
        <v>0.12255864361434209</v>
      </c>
      <c r="AN70" s="816">
        <f>AM70*(1+ 0.01*Drivers_macroeconómicos_USCUSS!AA17)</f>
        <v>0.12258661854184366</v>
      </c>
      <c r="AO70" s="816">
        <f>AN70*(1+ 0.01*Drivers_macroeconómicos_USCUSS!AB17)</f>
        <v>0.12261393195486771</v>
      </c>
      <c r="AP70" s="816">
        <f>AO70*(1+ 0.01*Drivers_macroeconómicos_USCUSS!AC17)</f>
        <v>0.12263538059752589</v>
      </c>
      <c r="AQ70" s="816">
        <f>AP70*(1+ 0.01*Drivers_macroeconómicos_USCUSS!AD17)</f>
        <v>0.12266225788943139</v>
      </c>
      <c r="AR70" s="816">
        <f>AQ70*(1+ 0.01*Drivers_macroeconómicos_USCUSS!AE17)</f>
        <v>0.12268506163279781</v>
      </c>
      <c r="AS70" s="816">
        <f>AR70*(1+ 0.01*Drivers_macroeconómicos_USCUSS!AF17)</f>
        <v>0.12271310901720857</v>
      </c>
      <c r="AT70" s="816">
        <f>AS70*(1+ 0.01*Drivers_macroeconómicos_USCUSS!AG17)</f>
        <v>0.1227357253860405</v>
      </c>
      <c r="AU70" s="816">
        <f>AT70*(1+ 0.01*Drivers_macroeconómicos_USCUSS!AH17)</f>
        <v>0.1227577194090826</v>
      </c>
      <c r="AV70" s="816">
        <f>AU70*(1+ 0.01*Drivers_macroeconómicos_USCUSS!AI17)</f>
        <v>0.12278012648945236</v>
      </c>
      <c r="AW70" s="816">
        <f>AV70*(1+ 0.01*Drivers_macroeconómicos_USCUSS!AJ17)</f>
        <v>0.12280230039334175</v>
      </c>
      <c r="AX70" s="816">
        <f>AW70*(1+ 0.01*Drivers_macroeconómicos_USCUSS!AK17)</f>
        <v>0.12282703191545674</v>
      </c>
      <c r="AY70" s="816">
        <f>AX70*(1+ 0.01*Drivers_macroeconómicos_USCUSS!AL17)</f>
        <v>0.12284912142664531</v>
      </c>
      <c r="AZ70" s="816">
        <f>AY70*(1+ 0.01*Drivers_macroeconómicos_USCUSS!AM17)</f>
        <v>0.12287083581797514</v>
      </c>
      <c r="BA70" s="816">
        <f>AZ70*(1+ 0.01*Drivers_macroeconómicos_USCUSS!AN17)</f>
        <v>0.12289286280750207</v>
      </c>
      <c r="BB70" s="816">
        <f>BA70*(1+ 0.01*Drivers_macroeconómicos_USCUSS!AO17)</f>
        <v>0.12291470740732989</v>
      </c>
      <c r="BC70" s="816">
        <f>BB70*(1+ 0.01*Drivers_macroeconómicos_USCUSS!AP17)</f>
        <v>0.12293676661809479</v>
      </c>
      <c r="BD70" s="816">
        <f>BC70*(1+ 0.01*Drivers_macroeconómicos_USCUSS!AQ17)</f>
        <v>0.12295776119991882</v>
      </c>
      <c r="BE70" s="816">
        <f>BD70*(1+ 0.01*Drivers_macroeconómicos_USCUSS!AR17)</f>
        <v>0.12297860522965563</v>
      </c>
      <c r="BF70" s="816">
        <f>BE70*(1+ 0.01*Drivers_macroeconómicos_USCUSS!AS17)</f>
        <v>0.12299929241301802</v>
      </c>
      <c r="BG70" s="816">
        <f>BF70*(1+ 0.01*Drivers_macroeconómicos_USCUSS!AT17)</f>
        <v>0.12301973209028777</v>
      </c>
      <c r="BH70" s="816">
        <f>BG70*(1+ 0.01*Drivers_macroeconómicos_USCUSS!AU17)</f>
        <v>0.12303984596330385</v>
      </c>
      <c r="BI70" s="816">
        <f>BH70*(1+ 0.01*Drivers_macroeconómicos_USCUSS!AV17)</f>
        <v>0.12305969604276679</v>
      </c>
      <c r="BJ70" s="816">
        <f>BI70*(1+ 0.01*Drivers_macroeconómicos_USCUSS!AW17)</f>
        <v>0.12307930939062688</v>
      </c>
      <c r="BK70" s="816">
        <f>BJ70*(1+ 0.01*Drivers_macroeconómicos_USCUSS!AX17)</f>
        <v>0.12309869514663153</v>
      </c>
      <c r="BL70" s="816">
        <f>BK70*(1+ 0.01*Drivers_macroeconómicos_USCUSS!AY17)</f>
        <v>0.12311780440817649</v>
      </c>
      <c r="BM70" s="816">
        <f>BL70*(1+ 0.01*Drivers_macroeconómicos_USCUSS!AZ17)</f>
        <v>0.123136640439137</v>
      </c>
      <c r="BN70" s="816">
        <f>BM70*(1+ 0.01*Drivers_macroeconómicos_USCUSS!BA17)</f>
        <v>0.12315518494684194</v>
      </c>
      <c r="BO70" s="816">
        <f>BN70*(1+ 0.01*Drivers_macroeconómicos_USCUSS!BB17)</f>
        <v>0.12317348189336395</v>
      </c>
      <c r="BP70" s="816">
        <f>BO70*(1+ 0.01*Drivers_macroeconómicos_USCUSS!BC17)</f>
        <v>0.12319152363204226</v>
      </c>
      <c r="BQ70" s="816">
        <f>BP70*(1+ 0.01*Drivers_macroeconómicos_USCUSS!BD17)</f>
        <v>0.12320930372724981</v>
      </c>
      <c r="BR70" s="614"/>
      <c r="BS70" s="811"/>
      <c r="BT70" s="811"/>
      <c r="BU70" s="811"/>
      <c r="BV70" s="811"/>
      <c r="BW70" s="811"/>
      <c r="BX70" s="811"/>
      <c r="BY70" s="811"/>
      <c r="BZ70" s="811"/>
      <c r="CA70" s="811"/>
      <c r="CB70" s="811"/>
      <c r="CC70" s="811"/>
      <c r="CD70" s="811"/>
    </row>
    <row r="71" spans="1:82" ht="25.5" customHeight="1" x14ac:dyDescent="0.3">
      <c r="A71" s="1122" t="s">
        <v>190</v>
      </c>
      <c r="B71" s="1104"/>
      <c r="C71" s="1123" t="s">
        <v>71</v>
      </c>
      <c r="D71" s="1110" t="s">
        <v>41</v>
      </c>
      <c r="E71" s="1111"/>
      <c r="F71" s="804"/>
      <c r="G71" s="610"/>
      <c r="H71" s="610"/>
      <c r="I71" s="956"/>
      <c r="J71" s="956"/>
      <c r="K71" s="956"/>
      <c r="L71" s="956"/>
      <c r="M71" s="956"/>
      <c r="N71" s="956"/>
      <c r="O71" s="816"/>
      <c r="P71" s="816"/>
      <c r="Q71" s="816"/>
      <c r="R71" s="816"/>
      <c r="S71" s="816"/>
      <c r="T71" s="816"/>
      <c r="U71" s="816"/>
      <c r="V71" s="816"/>
      <c r="W71" s="816"/>
      <c r="X71" s="816"/>
      <c r="Y71" s="816"/>
      <c r="Z71" s="816"/>
      <c r="AA71" s="816"/>
      <c r="AB71" s="816"/>
      <c r="AC71" s="816"/>
      <c r="AD71" s="816"/>
      <c r="AE71" s="816"/>
      <c r="AF71" s="816"/>
      <c r="AG71" s="816"/>
      <c r="AH71" s="816"/>
      <c r="AI71" s="816"/>
      <c r="AJ71" s="816"/>
      <c r="AK71" s="816"/>
      <c r="AL71" s="816"/>
      <c r="AM71" s="816"/>
      <c r="AN71" s="816"/>
      <c r="AO71" s="816"/>
      <c r="AP71" s="816"/>
      <c r="AQ71" s="816"/>
      <c r="AR71" s="816"/>
      <c r="AS71" s="816"/>
      <c r="AT71" s="816"/>
      <c r="AU71" s="816"/>
      <c r="AV71" s="816"/>
      <c r="AW71" s="816"/>
      <c r="AX71" s="816"/>
      <c r="AY71" s="816"/>
      <c r="AZ71" s="816"/>
      <c r="BA71" s="816"/>
      <c r="BB71" s="816"/>
      <c r="BC71" s="816"/>
      <c r="BD71" s="816"/>
      <c r="BE71" s="816"/>
      <c r="BF71" s="816"/>
      <c r="BG71" s="816"/>
      <c r="BH71" s="816"/>
      <c r="BI71" s="816"/>
      <c r="BJ71" s="816"/>
      <c r="BK71" s="816"/>
      <c r="BL71" s="816"/>
      <c r="BM71" s="816"/>
      <c r="BN71" s="816"/>
      <c r="BO71" s="816"/>
      <c r="BP71" s="816"/>
      <c r="BQ71" s="816"/>
      <c r="BR71" s="614"/>
    </row>
    <row r="72" spans="1:82" ht="14.25" customHeight="1" x14ac:dyDescent="0.3">
      <c r="A72" s="1122"/>
      <c r="B72" s="1104"/>
      <c r="C72" s="1123"/>
      <c r="D72" s="1110"/>
      <c r="E72" s="1111"/>
      <c r="F72" s="804" t="s">
        <v>128</v>
      </c>
      <c r="G72" s="956">
        <v>7.3766819699999999</v>
      </c>
      <c r="H72" s="610"/>
      <c r="I72" s="956"/>
      <c r="J72" s="956"/>
      <c r="K72" s="956"/>
      <c r="L72" s="956"/>
      <c r="M72" s="956">
        <v>3.7592181899999999</v>
      </c>
      <c r="N72" s="956"/>
      <c r="O72" s="816">
        <v>3.8522799999999999</v>
      </c>
      <c r="P72" s="816"/>
      <c r="Q72" s="816">
        <v>3.8806069999999999</v>
      </c>
      <c r="R72" s="956">
        <f>Q72*(1+0.34*Drivers_macroeconómicos_USCUSS!E31)</f>
        <v>3.9019481566842646</v>
      </c>
      <c r="S72" s="956">
        <f>R72*(1+0.34*Drivers_macroeconómicos_USCUSS!F31)</f>
        <v>3.9066919824128141</v>
      </c>
      <c r="T72" s="956">
        <f>S72*(1+0.34*Drivers_macroeconómicos_USCUSS!G31)</f>
        <v>3.951672727972213</v>
      </c>
      <c r="U72" s="956">
        <f>T72*(1+0.34*Drivers_macroeconómicos_USCUSS!H31)</f>
        <v>3.997942977882706</v>
      </c>
      <c r="V72" s="956">
        <f>U72*(1+0.34*Drivers_macroeconómicos_USCUSS!I31)</f>
        <v>4.0379279180725449</v>
      </c>
      <c r="W72" s="956">
        <f>V72*(1+0.34*Drivers_macroeconómicos_USCUSS!J31)</f>
        <v>4.0806905252637522</v>
      </c>
      <c r="X72" s="956">
        <f>W72*(1+0.34*Drivers_macroeconómicos_USCUSS!K31)</f>
        <v>4.1134669490763196</v>
      </c>
      <c r="Y72" s="956">
        <f>X72*(1+0.34*Drivers_macroeconómicos_USCUSS!L31)</f>
        <v>4.1407382892015052</v>
      </c>
      <c r="Z72" s="956">
        <f>Y72*(1+0.34*Drivers_macroeconómicos_USCUSS!M31)</f>
        <v>4.1765105943737693</v>
      </c>
      <c r="AA72" s="956">
        <f>Z72*(1+0.34*Drivers_macroeconómicos_USCUSS!N31)</f>
        <v>4.2070879077261329</v>
      </c>
      <c r="AB72" s="956">
        <f>AA72*(1+0.34*Drivers_macroeconómicos_USCUSS!O31)</f>
        <v>4.2249668409769665</v>
      </c>
      <c r="AC72" s="956">
        <f>AB72*(1+0.34*Drivers_macroeconómicos_USCUSS!P31)</f>
        <v>4.2458298841549222</v>
      </c>
      <c r="AD72" s="956">
        <f>AC72*(1+0.34*Drivers_macroeconómicos_USCUSS!Q31)</f>
        <v>4.2760125340181814</v>
      </c>
      <c r="AE72" s="956">
        <f>AD72*(1+0.34*Drivers_macroeconómicos_USCUSS!R31)</f>
        <v>4.2956230310373718</v>
      </c>
      <c r="AF72" s="956">
        <f>AE72*(1+0.34*Drivers_macroeconómicos_USCUSS!S31)</f>
        <v>4.3207400028850147</v>
      </c>
      <c r="AG72" s="956">
        <f>AF72*(1+0.34*Drivers_macroeconómicos_USCUSS!T31)</f>
        <v>4.3383251897924939</v>
      </c>
      <c r="AH72" s="956">
        <f>AG72*(1+0.34*Drivers_macroeconómicos_USCUSS!U31)</f>
        <v>4.3566466140845872</v>
      </c>
      <c r="AI72" s="956">
        <f>AH72*(1+0.34*Drivers_macroeconómicos_USCUSS!V31)</f>
        <v>4.3786447934366537</v>
      </c>
      <c r="AJ72" s="956">
        <f>AI72*(1+0.34*Drivers_macroeconómicos_USCUSS!W31)</f>
        <v>4.3983374209364339</v>
      </c>
      <c r="AK72" s="956">
        <f>AJ72*(1+0.34*Drivers_macroeconómicos_USCUSS!X31)</f>
        <v>4.4207652747331734</v>
      </c>
      <c r="AL72" s="956">
        <f>AK72*(1+0.34*Drivers_macroeconómicos_USCUSS!Y31)</f>
        <v>4.4484252824289294</v>
      </c>
      <c r="AM72" s="956">
        <f>AL72*(1+0.34*Drivers_macroeconómicos_USCUSS!Z31)</f>
        <v>4.4744432864224413</v>
      </c>
      <c r="AN72" s="956">
        <f>AM72*(1+0.34*Drivers_macroeconómicos_USCUSS!AA31)</f>
        <v>4.5034968525465002</v>
      </c>
      <c r="AO72" s="956">
        <f>AN72*(1+0.34*Drivers_macroeconómicos_USCUSS!AB31)</f>
        <v>4.5338486218058476</v>
      </c>
      <c r="AP72" s="956">
        <f>AO72*(1+0.34*Drivers_macroeconómicos_USCUSS!AC31)</f>
        <v>4.5595652353897282</v>
      </c>
      <c r="AQ72" s="956">
        <f>AP72*(1+0.34*Drivers_macroeconómicos_USCUSS!AD31)</f>
        <v>4.5939071272333871</v>
      </c>
      <c r="AR72" s="956">
        <f>AQ72*(1+0.34*Drivers_macroeconómicos_USCUSS!AE31)</f>
        <v>4.6253574230025114</v>
      </c>
      <c r="AS72" s="956">
        <f>AR72*(1+0.34*Drivers_macroeconómicos_USCUSS!AF31)</f>
        <v>4.664858463980158</v>
      </c>
      <c r="AT72" s="956">
        <f>AS72*(1+0.34*Drivers_macroeconómicos_USCUSS!AG31)</f>
        <v>4.6990519005315123</v>
      </c>
      <c r="AU72" s="956">
        <f>AT72*(1+0.34*Drivers_macroeconómicos_USCUSS!AH31)</f>
        <v>4.7331692887346462</v>
      </c>
      <c r="AV72" s="956">
        <f>AU72*(1+0.34*Drivers_macroeconómicos_USCUSS!AI31)</f>
        <v>4.7687775035584927</v>
      </c>
      <c r="AW72" s="956">
        <f>AV72*(1+0.34*Drivers_macroeconómicos_USCUSS!AJ31)</f>
        <v>4.8042268976384088</v>
      </c>
      <c r="AX72" s="956">
        <f>AW72*(1+0.34*Drivers_macroeconómicos_USCUSS!AK31)</f>
        <v>4.8349574297727758</v>
      </c>
      <c r="AY72" s="956">
        <f>AX72*(1+0.34*Drivers_macroeconómicos_USCUSS!AL31)</f>
        <v>4.8665413017743848</v>
      </c>
      <c r="AZ72" s="956">
        <f>AY72*(1+0.34*Drivers_macroeconómicos_USCUSS!AM31)</f>
        <v>4.8987825785305859</v>
      </c>
      <c r="BA72" s="956">
        <f>AZ72*(1+0.34*Drivers_macroeconómicos_USCUSS!AN31)</f>
        <v>4.9318888922797992</v>
      </c>
      <c r="BB72" s="956">
        <f>BA72*(1+0.34*Drivers_macroeconómicos_USCUSS!AO31)</f>
        <v>4.9657302862438213</v>
      </c>
      <c r="BC72" s="956">
        <f>BB72*(1+0.34*Drivers_macroeconómicos_USCUSS!AP31)</f>
        <v>4.999991631445118</v>
      </c>
      <c r="BD72" s="956">
        <f>BC72*(1+0.34*Drivers_macroeconómicos_USCUSS!AQ31)</f>
        <v>5.0348177223779178</v>
      </c>
      <c r="BE72" s="956">
        <f>BD72*(1+0.34*Drivers_macroeconómicos_USCUSS!AR31)</f>
        <v>5.0700349137480529</v>
      </c>
      <c r="BF72" s="956">
        <f>BE72*(1+0.34*Drivers_macroeconómicos_USCUSS!AS31)</f>
        <v>5.1055792846630856</v>
      </c>
      <c r="BG72" s="956">
        <f>BF72*(1+0.34*Drivers_macroeconómicos_USCUSS!AT31)</f>
        <v>5.1417999714103635</v>
      </c>
      <c r="BH72" s="956">
        <f>BG72*(1+0.34*Drivers_macroeconómicos_USCUSS!AU31)</f>
        <v>5.1781370236188096</v>
      </c>
      <c r="BI72" s="956">
        <f>BH72*(1+0.34*Drivers_macroeconómicos_USCUSS!AV31)</f>
        <v>5.2148023607060709</v>
      </c>
      <c r="BJ72" s="956">
        <f>BI72*(1+0.34*Drivers_macroeconómicos_USCUSS!AW31)</f>
        <v>5.2512516922199639</v>
      </c>
      <c r="BK72" s="956">
        <f>BJ72*(1+0.34*Drivers_macroeconómicos_USCUSS!AX31)</f>
        <v>5.2878440643414688</v>
      </c>
      <c r="BL72" s="956">
        <f>BK72*(1+0.34*Drivers_macroeconómicos_USCUSS!AY31)</f>
        <v>5.3245948645713437</v>
      </c>
      <c r="BM72" s="956">
        <f>BL72*(1+0.34*Drivers_macroeconómicos_USCUSS!AZ31)</f>
        <v>5.3614103747164075</v>
      </c>
      <c r="BN72" s="956">
        <f>BM72*(1+0.34*Drivers_macroeconómicos_USCUSS!BA31)</f>
        <v>5.3983063888604823</v>
      </c>
      <c r="BO72" s="956">
        <f>BN72*(1+0.34*Drivers_macroeconómicos_USCUSS!BB31)</f>
        <v>5.4356200209153167</v>
      </c>
      <c r="BP72" s="956">
        <f>BO72*(1+0.34*Drivers_macroeconómicos_USCUSS!BC31)</f>
        <v>5.4733205627515655</v>
      </c>
      <c r="BQ72" s="956">
        <f>BP72*(1+0.34*Drivers_macroeconómicos_USCUSS!BD31)</f>
        <v>5.5113888880572297</v>
      </c>
      <c r="BR72" s="614"/>
    </row>
    <row r="73" spans="1:82" ht="14.25" customHeight="1" x14ac:dyDescent="0.3">
      <c r="A73" s="1122"/>
      <c r="B73" s="1104"/>
      <c r="C73" s="1123"/>
      <c r="D73" s="1110"/>
      <c r="E73" s="1111"/>
      <c r="F73" s="804"/>
      <c r="G73" s="818"/>
      <c r="H73" s="610"/>
      <c r="I73" s="956"/>
      <c r="J73" s="956"/>
      <c r="K73" s="956"/>
      <c r="L73" s="956"/>
      <c r="M73" s="818"/>
      <c r="N73" s="956"/>
      <c r="O73" s="818"/>
      <c r="P73" s="956"/>
      <c r="Q73" s="818"/>
      <c r="R73" s="956"/>
      <c r="S73" s="956"/>
      <c r="T73" s="956"/>
      <c r="U73" s="610"/>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4"/>
    </row>
    <row r="74" spans="1:82" ht="14.25" customHeight="1" x14ac:dyDescent="0.3">
      <c r="A74" s="1122"/>
      <c r="B74" s="1104"/>
      <c r="C74" s="1123"/>
      <c r="D74" s="1110"/>
      <c r="E74" s="1111"/>
      <c r="F74" s="804"/>
      <c r="G74" s="818"/>
      <c r="H74" s="956"/>
      <c r="I74" s="956"/>
      <c r="J74" s="956"/>
      <c r="K74" s="956"/>
      <c r="L74" s="956"/>
      <c r="M74" s="818"/>
      <c r="N74" s="956"/>
      <c r="O74" s="818"/>
      <c r="P74" s="956"/>
      <c r="Q74" s="818"/>
      <c r="R74" s="956"/>
      <c r="S74" s="956"/>
      <c r="T74" s="956"/>
      <c r="U74" s="610"/>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4"/>
    </row>
    <row r="75" spans="1:82" s="928" customFormat="1" ht="14.25" customHeight="1" x14ac:dyDescent="0.3">
      <c r="A75" s="936" t="s">
        <v>129</v>
      </c>
      <c r="B75" s="1104"/>
      <c r="C75" s="1123"/>
      <c r="D75" s="1124"/>
      <c r="E75" s="1125"/>
      <c r="F75" s="923" t="s">
        <v>73</v>
      </c>
      <c r="G75" s="925">
        <f>G49/1000000</f>
        <v>1.4548903200000001</v>
      </c>
      <c r="H75" s="925"/>
      <c r="I75" s="925"/>
      <c r="J75" s="925"/>
      <c r="K75" s="925"/>
      <c r="L75" s="925"/>
      <c r="M75" s="925">
        <f>M49/1000000</f>
        <v>4.9599387000000004</v>
      </c>
      <c r="N75" s="925"/>
      <c r="O75" s="925">
        <v>5.0815799999999998</v>
      </c>
      <c r="P75" s="925"/>
      <c r="Q75" s="925">
        <v>5.1189450000000001</v>
      </c>
      <c r="R75" s="922">
        <f>$Q$88-R64-R70-R72-R77-R79-R81-R84</f>
        <v>5.1571371616316766</v>
      </c>
      <c r="S75" s="922">
        <f>$Q$88-S64-S70-S72-S77-S79-S81-S84</f>
        <v>5.249474870897604</v>
      </c>
      <c r="T75" s="922">
        <f>$Q$86-T64-T70-T72-T77-T79-T81-T84</f>
        <v>5.3007450408180077</v>
      </c>
      <c r="U75" s="922">
        <f t="shared" ref="U75:BQ75" si="17">$Q$86-U64-U70-U72-U77-U79-U81-U84</f>
        <v>5.3500272160124549</v>
      </c>
      <c r="V75" s="922">
        <f t="shared" si="17"/>
        <v>5.4048967658735538</v>
      </c>
      <c r="W75" s="922">
        <f t="shared" si="17"/>
        <v>5.4563043438037937</v>
      </c>
      <c r="X75" s="922">
        <f t="shared" si="17"/>
        <v>5.5170221029878004</v>
      </c>
      <c r="Y75" s="922">
        <f t="shared" si="17"/>
        <v>5.5825796125328901</v>
      </c>
      <c r="Z75" s="922">
        <f t="shared" si="17"/>
        <v>5.6389616330705223</v>
      </c>
      <c r="AA75" s="922">
        <f t="shared" si="17"/>
        <v>5.6998867876054078</v>
      </c>
      <c r="AB75" s="922">
        <f t="shared" si="17"/>
        <v>5.7728677618705797</v>
      </c>
      <c r="AC75" s="922">
        <f t="shared" si="17"/>
        <v>5.842220939783231</v>
      </c>
      <c r="AD75" s="922">
        <f t="shared" si="17"/>
        <v>5.9016103215328775</v>
      </c>
      <c r="AE75" s="922">
        <f t="shared" si="17"/>
        <v>5.970953198603441</v>
      </c>
      <c r="AF75" s="922">
        <f t="shared" si="17"/>
        <v>6.0341649036447436</v>
      </c>
      <c r="AG75" s="922">
        <f t="shared" si="17"/>
        <v>6.1043014924793644</v>
      </c>
      <c r="AH75" s="922">
        <f t="shared" si="17"/>
        <v>6.1730957706713196</v>
      </c>
      <c r="AI75" s="922">
        <f t="shared" si="17"/>
        <v>6.2376110123653277</v>
      </c>
      <c r="AJ75" s="922">
        <f t="shared" si="17"/>
        <v>6.3038427826532315</v>
      </c>
      <c r="AK75" s="922">
        <f t="shared" si="17"/>
        <v>6.3667516212655624</v>
      </c>
      <c r="AL75" s="922">
        <f t="shared" si="17"/>
        <v>6.4238459527113072</v>
      </c>
      <c r="AM75" s="922">
        <f t="shared" si="17"/>
        <v>6.4820111363237718</v>
      </c>
      <c r="AN75" s="922">
        <f t="shared" si="17"/>
        <v>6.5365712570834216</v>
      </c>
      <c r="AO75" s="922">
        <f t="shared" si="17"/>
        <v>6.5892699210585048</v>
      </c>
      <c r="AP75" s="922">
        <f t="shared" si="17"/>
        <v>6.6460518668072055</v>
      </c>
      <c r="AQ75" s="922">
        <f t="shared" si="17"/>
        <v>6.6936500769686429</v>
      </c>
      <c r="AR75" s="922">
        <f t="shared" si="17"/>
        <v>6.743597026947258</v>
      </c>
      <c r="AS75" s="922">
        <f t="shared" si="17"/>
        <v>6.7849457750677944</v>
      </c>
      <c r="AT75" s="922">
        <f t="shared" si="17"/>
        <v>6.8310691508241481</v>
      </c>
      <c r="AU75" s="922">
        <f t="shared" si="17"/>
        <v>6.8767371430642967</v>
      </c>
      <c r="AV75" s="922">
        <f t="shared" si="17"/>
        <v>6.9203853356286009</v>
      </c>
      <c r="AW75" s="922">
        <f t="shared" si="17"/>
        <v>6.9636673107674412</v>
      </c>
      <c r="AX75" s="922">
        <f t="shared" si="17"/>
        <v>7.0111459388039998</v>
      </c>
      <c r="AY75" s="922">
        <f t="shared" si="17"/>
        <v>7.0572597544043019</v>
      </c>
      <c r="AZ75" s="922">
        <f t="shared" si="17"/>
        <v>7.1022078780904687</v>
      </c>
      <c r="BA75" s="922">
        <f t="shared" si="17"/>
        <v>7.1457873562178005</v>
      </c>
      <c r="BB75" s="922">
        <f t="shared" si="17"/>
        <v>7.1881339194813494</v>
      </c>
      <c r="BC75" s="922">
        <f t="shared" si="17"/>
        <v>7.2295674900581135</v>
      </c>
      <c r="BD75" s="922">
        <f t="shared" si="17"/>
        <v>7.2699496528694816</v>
      </c>
      <c r="BE75" s="922">
        <f t="shared" si="17"/>
        <v>7.3094581480415677</v>
      </c>
      <c r="BF75" s="922">
        <f t="shared" si="17"/>
        <v>7.3481618192155924</v>
      </c>
      <c r="BG75" s="922">
        <f t="shared" si="17"/>
        <v>7.385716443634176</v>
      </c>
      <c r="BH75" s="922">
        <f t="shared" si="17"/>
        <v>7.4226867781822632</v>
      </c>
      <c r="BI75" s="922">
        <f t="shared" si="17"/>
        <v>7.4588654739839644</v>
      </c>
      <c r="BJ75" s="922">
        <f t="shared" si="17"/>
        <v>7.4948013303736376</v>
      </c>
      <c r="BK75" s="922">
        <f t="shared" si="17"/>
        <v>7.5301397304866828</v>
      </c>
      <c r="BL75" s="922">
        <f t="shared" si="17"/>
        <v>7.5648696758806135</v>
      </c>
      <c r="BM75" s="922">
        <f t="shared" si="17"/>
        <v>7.5990891225963084</v>
      </c>
      <c r="BN75" s="922">
        <f t="shared" si="17"/>
        <v>7.6327864362368283</v>
      </c>
      <c r="BO75" s="922">
        <f t="shared" si="17"/>
        <v>7.6656285000036846</v>
      </c>
      <c r="BP75" s="922">
        <f t="shared" si="17"/>
        <v>7.69764996990087</v>
      </c>
      <c r="BQ75" s="922">
        <f t="shared" si="17"/>
        <v>7.7288738176025031</v>
      </c>
      <c r="BR75" s="926"/>
      <c r="BS75" s="927"/>
      <c r="BT75" s="927"/>
      <c r="BU75" s="927"/>
      <c r="BV75" s="927"/>
      <c r="BW75" s="927"/>
      <c r="BX75" s="927"/>
      <c r="BY75" s="927"/>
      <c r="BZ75" s="927"/>
      <c r="CA75" s="927"/>
      <c r="CB75" s="927"/>
      <c r="CC75" s="927"/>
      <c r="CD75" s="927"/>
    </row>
    <row r="76" spans="1:82" s="583" customFormat="1" ht="14.25" customHeight="1" x14ac:dyDescent="0.3">
      <c r="A76" s="1137" t="s">
        <v>191</v>
      </c>
      <c r="B76" s="1104"/>
      <c r="C76" s="1138" t="s">
        <v>74</v>
      </c>
      <c r="D76" s="1139" t="s">
        <v>75</v>
      </c>
      <c r="E76" s="1140"/>
      <c r="F76" s="956"/>
      <c r="G76" s="956"/>
      <c r="H76" s="956"/>
      <c r="I76" s="956"/>
      <c r="J76" s="956"/>
      <c r="K76" s="956"/>
      <c r="L76" s="956"/>
      <c r="M76" s="956"/>
      <c r="N76" s="956"/>
      <c r="O76" s="956"/>
      <c r="P76" s="956"/>
      <c r="Q76" s="956"/>
      <c r="R76" s="956"/>
      <c r="S76" s="818"/>
      <c r="T76" s="956"/>
      <c r="U76" s="818"/>
      <c r="V76" s="956"/>
      <c r="W76" s="818"/>
      <c r="X76" s="956"/>
      <c r="Y76" s="818"/>
      <c r="Z76" s="956"/>
      <c r="AA76" s="818"/>
      <c r="AB76" s="956"/>
      <c r="AC76" s="818"/>
      <c r="AD76" s="956"/>
      <c r="AE76" s="818"/>
      <c r="AF76" s="956"/>
      <c r="AG76" s="818"/>
      <c r="AH76" s="956"/>
      <c r="AI76" s="818"/>
      <c r="AJ76" s="956"/>
      <c r="AK76" s="818"/>
      <c r="AL76" s="956"/>
      <c r="AM76" s="818"/>
      <c r="AN76" s="956"/>
      <c r="AO76" s="818"/>
      <c r="AP76" s="956"/>
      <c r="AQ76" s="818"/>
      <c r="AR76" s="956"/>
      <c r="AS76" s="818"/>
      <c r="AT76" s="956"/>
      <c r="AU76" s="818"/>
      <c r="AV76" s="956"/>
      <c r="AW76" s="818"/>
      <c r="AX76" s="818"/>
      <c r="AY76" s="818"/>
      <c r="AZ76" s="818"/>
      <c r="BA76" s="818"/>
      <c r="BB76" s="818"/>
      <c r="BC76" s="818"/>
      <c r="BD76" s="818"/>
      <c r="BE76" s="818"/>
      <c r="BF76" s="818"/>
      <c r="BG76" s="818"/>
      <c r="BH76" s="818"/>
      <c r="BI76" s="818"/>
      <c r="BJ76" s="818"/>
      <c r="BK76" s="818"/>
      <c r="BL76" s="818"/>
      <c r="BM76" s="818"/>
      <c r="BN76" s="818"/>
      <c r="BO76" s="818"/>
      <c r="BP76" s="818"/>
      <c r="BQ76" s="818"/>
      <c r="BR76" s="614"/>
      <c r="BS76" s="811"/>
      <c r="BT76" s="811"/>
      <c r="BU76" s="811"/>
      <c r="BV76" s="811"/>
      <c r="BW76" s="811"/>
      <c r="BX76" s="811"/>
      <c r="BY76" s="811"/>
      <c r="BZ76" s="811"/>
      <c r="CA76" s="811"/>
      <c r="CB76" s="811"/>
      <c r="CC76" s="811"/>
      <c r="CD76" s="811"/>
    </row>
    <row r="77" spans="1:82" s="928" customFormat="1" ht="14.25" customHeight="1" x14ac:dyDescent="0.3">
      <c r="A77" s="1137"/>
      <c r="B77" s="1104"/>
      <c r="C77" s="1138"/>
      <c r="D77" s="1114"/>
      <c r="E77" s="1141"/>
      <c r="F77" s="923" t="s">
        <v>76</v>
      </c>
      <c r="G77" s="924">
        <v>2.1629636999999997</v>
      </c>
      <c r="H77" s="925"/>
      <c r="I77" s="925"/>
      <c r="J77" s="925"/>
      <c r="K77" s="925"/>
      <c r="L77" s="925"/>
      <c r="M77" s="925">
        <v>2.4237641700000001</v>
      </c>
      <c r="N77" s="925"/>
      <c r="O77" s="925">
        <v>2.3614877700000001</v>
      </c>
      <c r="P77" s="925"/>
      <c r="Q77" s="925">
        <v>2.3758364699999999</v>
      </c>
      <c r="R77" s="922">
        <v>2.369059</v>
      </c>
      <c r="S77" s="922">
        <v>2.3619680000000001</v>
      </c>
      <c r="T77" s="922">
        <v>2.3548770000000001</v>
      </c>
      <c r="U77" s="922">
        <v>2.3477860000000002</v>
      </c>
      <c r="V77" s="922">
        <v>2.3406950000000002</v>
      </c>
      <c r="W77" s="922">
        <v>2.3336039999999998</v>
      </c>
      <c r="X77" s="922">
        <v>2.3265129999999998</v>
      </c>
      <c r="Y77" s="922">
        <v>2.3194219999999999</v>
      </c>
      <c r="Z77" s="922">
        <v>2.3123309999999999</v>
      </c>
      <c r="AA77" s="922">
        <v>2.30524</v>
      </c>
      <c r="AB77" s="922">
        <v>2.298149</v>
      </c>
      <c r="AC77" s="922">
        <v>2.291058</v>
      </c>
      <c r="AD77" s="922">
        <v>2.2839670000000001</v>
      </c>
      <c r="AE77" s="922">
        <v>2.2768760000000001</v>
      </c>
      <c r="AF77" s="922">
        <v>2.2697850000000002</v>
      </c>
      <c r="AG77" s="922">
        <v>2.2626940000000002</v>
      </c>
      <c r="AH77" s="922">
        <v>2.2556029999999998</v>
      </c>
      <c r="AI77" s="922">
        <v>2.2485119999999998</v>
      </c>
      <c r="AJ77" s="922">
        <v>2.2414209999999999</v>
      </c>
      <c r="AK77" s="922">
        <v>2.2343299999999999</v>
      </c>
      <c r="AL77" s="922">
        <v>2.227239</v>
      </c>
      <c r="AM77" s="922">
        <v>2.220148</v>
      </c>
      <c r="AN77" s="922">
        <v>2.2130570000000001</v>
      </c>
      <c r="AO77" s="922">
        <v>2.2059660000000001</v>
      </c>
      <c r="AP77" s="922">
        <v>2.1988750000000001</v>
      </c>
      <c r="AQ77" s="922">
        <v>2.1917840000000002</v>
      </c>
      <c r="AR77" s="922">
        <v>2.1846930000000002</v>
      </c>
      <c r="AS77" s="922">
        <v>2.1776019999999998</v>
      </c>
      <c r="AT77" s="922">
        <v>2.1705109999999999</v>
      </c>
      <c r="AU77" s="922">
        <v>2.1634199999999999</v>
      </c>
      <c r="AV77" s="922">
        <v>2.1563289999999999</v>
      </c>
      <c r="AW77" s="922">
        <v>2.149238</v>
      </c>
      <c r="AX77" s="922">
        <v>2.142147</v>
      </c>
      <c r="AY77" s="922">
        <v>2.1350560000000001</v>
      </c>
      <c r="AZ77" s="922">
        <v>2.1279650000000001</v>
      </c>
      <c r="BA77" s="922">
        <v>2.1208740000000001</v>
      </c>
      <c r="BB77" s="922">
        <v>2.1137830000000002</v>
      </c>
      <c r="BC77" s="922">
        <v>2.1066919999999998</v>
      </c>
      <c r="BD77" s="922">
        <v>2.0996009999999998</v>
      </c>
      <c r="BE77" s="922">
        <v>2.0925099999999999</v>
      </c>
      <c r="BF77" s="922">
        <v>2.0854189999999999</v>
      </c>
      <c r="BG77" s="922">
        <v>2.078328</v>
      </c>
      <c r="BH77" s="922">
        <v>2.071237</v>
      </c>
      <c r="BI77" s="922">
        <v>2.064146</v>
      </c>
      <c r="BJ77" s="922">
        <v>2.0570550000000001</v>
      </c>
      <c r="BK77" s="922">
        <v>2.0499640000000001</v>
      </c>
      <c r="BL77" s="922">
        <v>2.0428730000000002</v>
      </c>
      <c r="BM77" s="922">
        <v>2.0357820000000002</v>
      </c>
      <c r="BN77" s="922">
        <v>2.0286909999999998</v>
      </c>
      <c r="BO77" s="922">
        <v>2.0215999999999998</v>
      </c>
      <c r="BP77" s="922">
        <v>2.0145089999999999</v>
      </c>
      <c r="BQ77" s="922">
        <v>2.0074179999999999</v>
      </c>
      <c r="BR77" s="926"/>
      <c r="BS77" s="927"/>
      <c r="BT77" s="927"/>
      <c r="BU77" s="927"/>
      <c r="BV77" s="927"/>
      <c r="BW77" s="927"/>
      <c r="BX77" s="927"/>
      <c r="BY77" s="927"/>
      <c r="BZ77" s="927"/>
      <c r="CA77" s="927"/>
      <c r="CB77" s="927"/>
      <c r="CC77" s="927"/>
      <c r="CD77" s="927"/>
    </row>
    <row r="78" spans="1:82" ht="14.25" customHeight="1" x14ac:dyDescent="0.3">
      <c r="A78" s="1137"/>
      <c r="B78" s="1104"/>
      <c r="C78" s="1138"/>
      <c r="D78" s="1142"/>
      <c r="E78" s="1143"/>
      <c r="F78" s="804"/>
      <c r="G78" s="818"/>
      <c r="H78" s="610"/>
      <c r="I78" s="956"/>
      <c r="J78" s="956"/>
      <c r="K78" s="956"/>
      <c r="L78" s="956"/>
      <c r="M78" s="956"/>
      <c r="N78" s="956"/>
      <c r="O78" s="956"/>
      <c r="P78" s="956"/>
      <c r="Q78" s="956"/>
      <c r="R78" s="956"/>
      <c r="S78" s="956"/>
      <c r="T78" s="956"/>
      <c r="U78" s="956"/>
      <c r="V78" s="956"/>
      <c r="W78" s="956"/>
      <c r="X78" s="956"/>
      <c r="Y78" s="956"/>
      <c r="Z78" s="956"/>
      <c r="AA78" s="956"/>
      <c r="AB78" s="956"/>
      <c r="AC78" s="956"/>
      <c r="AD78" s="956"/>
      <c r="AE78" s="956"/>
      <c r="AF78" s="956"/>
      <c r="AG78" s="956"/>
      <c r="AH78" s="956"/>
      <c r="AI78" s="956"/>
      <c r="AJ78" s="956"/>
      <c r="AK78" s="956"/>
      <c r="AL78" s="956"/>
      <c r="AM78" s="956"/>
      <c r="AN78" s="956"/>
      <c r="AO78" s="956"/>
      <c r="AP78" s="956"/>
      <c r="AQ78" s="956"/>
      <c r="AR78" s="956"/>
      <c r="AS78" s="956"/>
      <c r="AT78" s="956"/>
      <c r="AU78" s="956"/>
      <c r="AV78" s="956"/>
      <c r="AW78" s="956"/>
      <c r="AX78" s="956"/>
      <c r="AY78" s="956"/>
      <c r="AZ78" s="956"/>
      <c r="BA78" s="956"/>
      <c r="BB78" s="956"/>
      <c r="BC78" s="956"/>
      <c r="BD78" s="956"/>
      <c r="BE78" s="956"/>
      <c r="BF78" s="956"/>
      <c r="BG78" s="956"/>
      <c r="BH78" s="956"/>
      <c r="BI78" s="956"/>
      <c r="BJ78" s="956"/>
      <c r="BK78" s="956"/>
      <c r="BL78" s="956"/>
      <c r="BM78" s="956"/>
      <c r="BN78" s="956"/>
      <c r="BO78" s="956"/>
      <c r="BP78" s="956"/>
      <c r="BQ78" s="956"/>
      <c r="BR78" s="614"/>
    </row>
    <row r="79" spans="1:82" ht="14.25" customHeight="1" x14ac:dyDescent="0.3">
      <c r="A79" s="1122" t="s">
        <v>192</v>
      </c>
      <c r="B79" s="1104"/>
      <c r="C79" s="1144" t="s">
        <v>77</v>
      </c>
      <c r="D79" s="1146" t="s">
        <v>78</v>
      </c>
      <c r="E79" s="1147"/>
      <c r="F79" s="804" t="s">
        <v>79</v>
      </c>
      <c r="G79" s="1096">
        <v>0.50615019000000006</v>
      </c>
      <c r="H79" s="610"/>
      <c r="I79" s="956"/>
      <c r="J79" s="956"/>
      <c r="K79" s="956"/>
      <c r="L79" s="956"/>
      <c r="M79" s="1096">
        <v>0.50510348999999999</v>
      </c>
      <c r="N79" s="956"/>
      <c r="O79" s="956">
        <v>0.49476339000000003</v>
      </c>
      <c r="P79" s="956"/>
      <c r="Q79" s="956">
        <v>0.49199787</v>
      </c>
      <c r="R79" s="956">
        <f>Q79*(1-0.00138)</f>
        <v>0.4913189129394</v>
      </c>
      <c r="S79" s="956">
        <f>R79*(1-0.00138)</f>
        <v>0.4906408928395436</v>
      </c>
      <c r="T79" s="956">
        <f t="shared" ref="T79:BQ79" si="18">S79*(1-0.00138)</f>
        <v>0.48996380840742498</v>
      </c>
      <c r="U79" s="956">
        <f>T79*(1-0.00138)</f>
        <v>0.4892876583518227</v>
      </c>
      <c r="V79" s="956">
        <f t="shared" si="18"/>
        <v>0.48861244138329718</v>
      </c>
      <c r="W79" s="956">
        <f t="shared" si="18"/>
        <v>0.48793815621418823</v>
      </c>
      <c r="X79" s="956">
        <f t="shared" si="18"/>
        <v>0.48726480155861263</v>
      </c>
      <c r="Y79" s="956">
        <f t="shared" si="18"/>
        <v>0.4865923761324617</v>
      </c>
      <c r="Z79" s="956">
        <f t="shared" si="18"/>
        <v>0.48592087865339889</v>
      </c>
      <c r="AA79" s="956">
        <f t="shared" si="18"/>
        <v>0.48525030784085715</v>
      </c>
      <c r="AB79" s="956">
        <f t="shared" si="18"/>
        <v>0.48458066241603676</v>
      </c>
      <c r="AC79" s="956">
        <f t="shared" si="18"/>
        <v>0.48391194110190261</v>
      </c>
      <c r="AD79" s="956">
        <f t="shared" si="18"/>
        <v>0.48324414262318194</v>
      </c>
      <c r="AE79" s="956">
        <f t="shared" si="18"/>
        <v>0.48257726570636195</v>
      </c>
      <c r="AF79" s="956">
        <f t="shared" si="18"/>
        <v>0.48191130907968716</v>
      </c>
      <c r="AG79" s="956">
        <f t="shared" si="18"/>
        <v>0.48124627147315718</v>
      </c>
      <c r="AH79" s="956">
        <f t="shared" si="18"/>
        <v>0.48058215161852419</v>
      </c>
      <c r="AI79" s="956">
        <f t="shared" si="18"/>
        <v>0.4799189482492906</v>
      </c>
      <c r="AJ79" s="956">
        <f t="shared" si="18"/>
        <v>0.47925666010070656</v>
      </c>
      <c r="AK79" s="956">
        <f t="shared" si="18"/>
        <v>0.47859528590976758</v>
      </c>
      <c r="AL79" s="956">
        <f t="shared" si="18"/>
        <v>0.47793482441521207</v>
      </c>
      <c r="AM79" s="956">
        <f t="shared" si="18"/>
        <v>0.47727527435751904</v>
      </c>
      <c r="AN79" s="956">
        <f t="shared" si="18"/>
        <v>0.47661663447890562</v>
      </c>
      <c r="AO79" s="956">
        <f t="shared" si="18"/>
        <v>0.47595890352332471</v>
      </c>
      <c r="AP79" s="956">
        <f t="shared" si="18"/>
        <v>0.47530208023646248</v>
      </c>
      <c r="AQ79" s="956">
        <f t="shared" si="18"/>
        <v>0.47464616336573612</v>
      </c>
      <c r="AR79" s="956">
        <f t="shared" si="18"/>
        <v>0.47399115166029138</v>
      </c>
      <c r="AS79" s="956">
        <f t="shared" si="18"/>
        <v>0.47333704387100017</v>
      </c>
      <c r="AT79" s="956">
        <f t="shared" si="18"/>
        <v>0.47268383875045816</v>
      </c>
      <c r="AU79" s="956">
        <f t="shared" si="18"/>
        <v>0.47203153505298251</v>
      </c>
      <c r="AV79" s="956">
        <f t="shared" si="18"/>
        <v>0.47138013153460939</v>
      </c>
      <c r="AW79" s="956">
        <f t="shared" si="18"/>
        <v>0.47072962695309162</v>
      </c>
      <c r="AX79" s="956">
        <f t="shared" si="18"/>
        <v>0.47008002006789634</v>
      </c>
      <c r="AY79" s="956">
        <f t="shared" si="18"/>
        <v>0.46943130964020263</v>
      </c>
      <c r="AZ79" s="956">
        <f t="shared" si="18"/>
        <v>0.46878349443289913</v>
      </c>
      <c r="BA79" s="956">
        <f t="shared" si="18"/>
        <v>0.46813657321058172</v>
      </c>
      <c r="BB79" s="956">
        <f t="shared" si="18"/>
        <v>0.46749054473955109</v>
      </c>
      <c r="BC79" s="956">
        <f t="shared" si="18"/>
        <v>0.46684540778781047</v>
      </c>
      <c r="BD79" s="956">
        <f t="shared" si="18"/>
        <v>0.46620116112506327</v>
      </c>
      <c r="BE79" s="956">
        <f t="shared" si="18"/>
        <v>0.46555780352271064</v>
      </c>
      <c r="BF79" s="956">
        <f t="shared" si="18"/>
        <v>0.4649153337538493</v>
      </c>
      <c r="BG79" s="956">
        <f t="shared" si="18"/>
        <v>0.46427375059326897</v>
      </c>
      <c r="BH79" s="956">
        <f t="shared" si="18"/>
        <v>0.46363305281745026</v>
      </c>
      <c r="BI79" s="956">
        <f t="shared" si="18"/>
        <v>0.46299323920456215</v>
      </c>
      <c r="BJ79" s="956">
        <f t="shared" si="18"/>
        <v>0.4623543085344598</v>
      </c>
      <c r="BK79" s="956">
        <f t="shared" si="18"/>
        <v>0.46171625958868223</v>
      </c>
      <c r="BL79" s="956">
        <f t="shared" si="18"/>
        <v>0.46107909115044982</v>
      </c>
      <c r="BM79" s="956">
        <f t="shared" si="18"/>
        <v>0.4604428020046622</v>
      </c>
      <c r="BN79" s="956">
        <f t="shared" si="18"/>
        <v>0.45980739093789574</v>
      </c>
      <c r="BO79" s="956">
        <f t="shared" si="18"/>
        <v>0.45917285673840141</v>
      </c>
      <c r="BP79" s="956">
        <f t="shared" si="18"/>
        <v>0.45853919819610239</v>
      </c>
      <c r="BQ79" s="956">
        <f t="shared" si="18"/>
        <v>0.45790641410259175</v>
      </c>
      <c r="BR79" s="614"/>
    </row>
    <row r="80" spans="1:82" ht="14.25" customHeight="1" x14ac:dyDescent="0.3">
      <c r="A80" s="1122"/>
      <c r="B80" s="1104"/>
      <c r="C80" s="1145"/>
      <c r="D80" s="1101"/>
      <c r="E80" s="1102"/>
      <c r="F80" s="804"/>
      <c r="G80" s="1096"/>
      <c r="H80" s="610"/>
      <c r="I80" s="956"/>
      <c r="J80" s="956"/>
      <c r="K80" s="956"/>
      <c r="L80" s="956"/>
      <c r="M80" s="1096"/>
      <c r="N80" s="956"/>
      <c r="O80" s="818"/>
      <c r="P80" s="956"/>
      <c r="Q80" s="818"/>
      <c r="R80" s="956"/>
      <c r="S80" s="956"/>
      <c r="T80" s="956"/>
      <c r="U80" s="610"/>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4"/>
    </row>
    <row r="81" spans="1:71" ht="14.25" customHeight="1" x14ac:dyDescent="0.3">
      <c r="A81" s="1122" t="s">
        <v>193</v>
      </c>
      <c r="B81" s="1104"/>
      <c r="C81" s="1097" t="s">
        <v>80</v>
      </c>
      <c r="D81" s="1099" t="s">
        <v>54</v>
      </c>
      <c r="E81" s="1100"/>
      <c r="F81" s="804" t="s">
        <v>81</v>
      </c>
      <c r="G81" s="1096">
        <v>0.17715429000000002</v>
      </c>
      <c r="H81" s="610"/>
      <c r="I81" s="956"/>
      <c r="J81" s="956"/>
      <c r="K81" s="956"/>
      <c r="L81" s="956"/>
      <c r="M81" s="956">
        <v>0.24614217000000005</v>
      </c>
      <c r="N81" s="956"/>
      <c r="O81" s="956">
        <v>0.25306659000000004</v>
      </c>
      <c r="P81" s="956"/>
      <c r="Q81" s="956">
        <v>0.28590821999999999</v>
      </c>
      <c r="R81" s="956">
        <f>Q81*(1+Drivers_macroeconómicos_USCUSS!E8)</f>
        <v>0.29001590869730198</v>
      </c>
      <c r="S81" s="956">
        <f>R81*(1+Drivers_macroeconómicos_USCUSS!F8)</f>
        <v>0.29409133419027844</v>
      </c>
      <c r="T81" s="956">
        <f>S81*(1+Drivers_macroeconómicos_USCUSS!G8)</f>
        <v>0.29813278338843435</v>
      </c>
      <c r="U81" s="956">
        <f>T81*(1+Drivers_macroeconómicos_USCUSS!H8)</f>
        <v>0.30214065937188611</v>
      </c>
      <c r="V81" s="956">
        <f>U81*(1+Drivers_macroeconómicos_USCUSS!I8)</f>
        <v>0.30611435752045896</v>
      </c>
      <c r="W81" s="956">
        <f>V81*(1+Drivers_macroeconómicos_USCUSS!J8)</f>
        <v>0.3100515097384684</v>
      </c>
      <c r="X81" s="956">
        <f>W81*(1+Drivers_macroeconómicos_USCUSS!K8)</f>
        <v>0.31395137704570092</v>
      </c>
      <c r="Y81" s="956">
        <f>X81*(1+Drivers_macroeconómicos_USCUSS!L8)</f>
        <v>0.31780959274089426</v>
      </c>
      <c r="Z81" s="956">
        <f>Y81*(1+Drivers_macroeconómicos_USCUSS!M8)</f>
        <v>0.32162469565862611</v>
      </c>
      <c r="AA81" s="956">
        <f>Z81*(1+Drivers_macroeconómicos_USCUSS!N8)</f>
        <v>0.32539394821310519</v>
      </c>
      <c r="AB81" s="956">
        <f>AA81*(1+Drivers_macroeconómicos_USCUSS!O8)</f>
        <v>0.32911681296417622</v>
      </c>
      <c r="AC81" s="956">
        <f>AB81*(1+Drivers_macroeconómicos_USCUSS!P8)</f>
        <v>0.33278910795563033</v>
      </c>
      <c r="AD81" s="956">
        <f>AC81*(1+Drivers_macroeconómicos_USCUSS!Q8)</f>
        <v>0.33640886817189958</v>
      </c>
      <c r="AE81" s="956">
        <f>AD81*(1+Drivers_macroeconómicos_USCUSS!R8)</f>
        <v>0.33997355756725095</v>
      </c>
      <c r="AF81" s="956">
        <f>AE81*(1+Drivers_macroeconómicos_USCUSS!S8)</f>
        <v>0.34348023701583491</v>
      </c>
      <c r="AG81" s="956">
        <f>AF81*(1+Drivers_macroeconómicos_USCUSS!T8)</f>
        <v>0.34692746214723402</v>
      </c>
      <c r="AH81" s="956">
        <f>AG81*(1+Drivers_macroeconómicos_USCUSS!U8)</f>
        <v>0.35031271371072004</v>
      </c>
      <c r="AI81" s="956">
        <f>AH81*(1+Drivers_macroeconómicos_USCUSS!V8)</f>
        <v>0.3536345137458658</v>
      </c>
      <c r="AJ81" s="956">
        <f>AI81*(1+Drivers_macroeconómicos_USCUSS!W8)</f>
        <v>0.35689002389685087</v>
      </c>
      <c r="AK81" s="956">
        <f>AJ81*(1+Drivers_macroeconómicos_USCUSS!X8)</f>
        <v>0.36007811889835001</v>
      </c>
      <c r="AL81" s="956">
        <f>AK81*(1+Drivers_macroeconómicos_USCUSS!Y8)</f>
        <v>0.3631966993747564</v>
      </c>
      <c r="AM81" s="956">
        <f>AL81*(1+Drivers_macroeconómicos_USCUSS!Z8)</f>
        <v>0.36624430416064768</v>
      </c>
      <c r="AN81" s="956">
        <f>AM81*(1+Drivers_macroeconómicos_USCUSS!AA8)</f>
        <v>0.36922054697091222</v>
      </c>
      <c r="AO81" s="956">
        <f>AN81*(1+Drivers_macroeconómicos_USCUSS!AB8)</f>
        <v>0.37212440331025387</v>
      </c>
      <c r="AP81" s="956">
        <f>AO81*(1+Drivers_macroeconómicos_USCUSS!AC8)</f>
        <v>0.37495407611315323</v>
      </c>
      <c r="AQ81" s="956">
        <f>AP81*(1+Drivers_macroeconómicos_USCUSS!AD8)</f>
        <v>0.37770919588950352</v>
      </c>
      <c r="AR81" s="956">
        <f>AQ81*(1+Drivers_macroeconómicos_USCUSS!AE8)</f>
        <v>0.38038796557378529</v>
      </c>
      <c r="AS81" s="956">
        <f>AR81*(1+Drivers_macroeconómicos_USCUSS!AF8)</f>
        <v>0.38298993170086754</v>
      </c>
      <c r="AT81" s="956">
        <f>AS81*(1+Drivers_macroeconómicos_USCUSS!AG8)</f>
        <v>0.38551551414587154</v>
      </c>
      <c r="AU81" s="956">
        <f>AT81*(1+Drivers_macroeconómicos_USCUSS!AH8)</f>
        <v>0.38796254635317101</v>
      </c>
      <c r="AV81" s="956">
        <f>AU81*(1+Drivers_macroeconómicos_USCUSS!AI8)</f>
        <v>0.39033168332795537</v>
      </c>
      <c r="AW81" s="956">
        <f>AV81*(1+Drivers_macroeconómicos_USCUSS!AJ8)</f>
        <v>0.39262374802546246</v>
      </c>
      <c r="AX81" s="956">
        <f>AW81*(1+Drivers_macroeconómicos_USCUSS!AK8)</f>
        <v>0.39483719473578344</v>
      </c>
      <c r="AY81" s="956">
        <f>AX81*(1+Drivers_macroeconómicos_USCUSS!AL8)</f>
        <v>0.39697052362188057</v>
      </c>
      <c r="AZ81" s="956">
        <f>AY81*(1+Drivers_macroeconómicos_USCUSS!AM8)</f>
        <v>0.39902228240666837</v>
      </c>
      <c r="BA81" s="956">
        <f>AZ81*(1+Drivers_macroeconómicos_USCUSS!AN8)</f>
        <v>0.40099106801462875</v>
      </c>
      <c r="BB81" s="956">
        <f>BA81*(1+Drivers_macroeconómicos_USCUSS!AO8)</f>
        <v>0.40287552816537259</v>
      </c>
      <c r="BC81" s="956">
        <f>BB81*(1+Drivers_macroeconómicos_USCUSS!AP8)</f>
        <v>0.4046743629166234</v>
      </c>
      <c r="BD81" s="956">
        <f>BC81*(1+Drivers_macroeconómicos_USCUSS!AQ8)</f>
        <v>0.4063863261541672</v>
      </c>
      <c r="BE81" s="956">
        <f>BD81*(1+Drivers_macroeconómicos_USCUSS!AR8)</f>
        <v>0.40801022702638418</v>
      </c>
      <c r="BF81" s="956">
        <f>BE81*(1+Drivers_macroeconómicos_USCUSS!AS8)</f>
        <v>0.40954493132105907</v>
      </c>
      <c r="BG81" s="956">
        <f>BF81*(1+Drivers_macroeconómicos_USCUSS!AT8)</f>
        <v>0.4109893627822464</v>
      </c>
      <c r="BH81" s="956">
        <f>BG81*(1+Drivers_macroeconómicos_USCUSS!AU8)</f>
        <v>0.41234250436505715</v>
      </c>
      <c r="BI81" s="956">
        <f>BH81*(1+Drivers_macroeconómicos_USCUSS!AV8)</f>
        <v>0.41360339942632346</v>
      </c>
      <c r="BJ81" s="956">
        <f>BI81*(1+Drivers_macroeconómicos_USCUSS!AW8)</f>
        <v>0.41477115284919464</v>
      </c>
      <c r="BK81" s="956">
        <f>BJ81*(1+Drivers_macroeconómicos_USCUSS!AX8)</f>
        <v>0.41584493209981832</v>
      </c>
      <c r="BL81" s="956">
        <f>BK81*(1+Drivers_macroeconómicos_USCUSS!AY8)</f>
        <v>0.41682396821436435</v>
      </c>
      <c r="BM81" s="956">
        <f>BL81*(1+Drivers_macroeconómicos_USCUSS!AZ8)</f>
        <v>0.41770755671475718</v>
      </c>
      <c r="BN81" s="956">
        <f>BM81*(1+Drivers_macroeconómicos_USCUSS!BA8)</f>
        <v>0.41849505845159263</v>
      </c>
      <c r="BO81" s="956">
        <f>BN81*(1+Drivers_macroeconómicos_USCUSS!BB8)</f>
        <v>0.41918590037283127</v>
      </c>
      <c r="BP81" s="956">
        <f>BO81*(1+Drivers_macroeconómicos_USCUSS!BC8)</f>
        <v>0.4197795762169767</v>
      </c>
      <c r="BQ81" s="956">
        <f>BP81*(1+Drivers_macroeconómicos_USCUSS!BD8)</f>
        <v>0.42027564712956833</v>
      </c>
      <c r="BR81" s="614"/>
    </row>
    <row r="82" spans="1:71" ht="14.25" customHeight="1" x14ac:dyDescent="0.3">
      <c r="A82" s="1122"/>
      <c r="B82" s="1104"/>
      <c r="C82" s="1098"/>
      <c r="D82" s="1101"/>
      <c r="E82" s="1102"/>
      <c r="F82" s="582"/>
      <c r="G82" s="1096"/>
      <c r="H82" s="610"/>
      <c r="I82" s="956"/>
      <c r="J82" s="956"/>
      <c r="K82" s="956"/>
      <c r="L82" s="956"/>
      <c r="M82" s="818"/>
      <c r="N82" s="956"/>
      <c r="O82" s="818"/>
      <c r="P82" s="956"/>
      <c r="Q82" s="818"/>
      <c r="R82" s="956"/>
      <c r="S82" s="956"/>
      <c r="T82" s="956"/>
      <c r="U82" s="610"/>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4"/>
    </row>
    <row r="83" spans="1:71" ht="14.25" customHeight="1" x14ac:dyDescent="0.3">
      <c r="A83" s="1122" t="s">
        <v>194</v>
      </c>
      <c r="B83" s="1104"/>
      <c r="C83" s="1097" t="s">
        <v>57</v>
      </c>
      <c r="D83" s="1127" t="s">
        <v>57</v>
      </c>
      <c r="E83" s="1128"/>
      <c r="F83" s="804" t="s">
        <v>82</v>
      </c>
      <c r="G83" s="1096">
        <v>0.11965518</v>
      </c>
      <c r="H83" s="610"/>
      <c r="I83" s="956"/>
      <c r="J83" s="956"/>
      <c r="K83" s="956"/>
      <c r="L83" s="956"/>
      <c r="M83" s="956"/>
      <c r="N83" s="956"/>
      <c r="O83" s="956"/>
      <c r="P83" s="956"/>
      <c r="Q83" s="818"/>
      <c r="R83" s="818"/>
      <c r="S83" s="818"/>
      <c r="T83" s="818"/>
      <c r="U83" s="619"/>
      <c r="V83" s="619"/>
      <c r="W83" s="619"/>
      <c r="X83" s="619"/>
      <c r="Y83" s="619"/>
      <c r="Z83" s="619"/>
      <c r="AA83" s="619"/>
      <c r="AB83" s="619"/>
      <c r="AC83" s="619"/>
      <c r="AD83" s="619"/>
      <c r="AE83" s="619"/>
      <c r="AF83" s="619"/>
      <c r="AG83" s="619"/>
      <c r="AH83" s="619"/>
      <c r="AI83" s="619"/>
      <c r="AJ83" s="619"/>
      <c r="AK83" s="619"/>
      <c r="AL83" s="619"/>
      <c r="AM83" s="619"/>
      <c r="AN83" s="619"/>
      <c r="AO83" s="619"/>
      <c r="AP83" s="619"/>
      <c r="AQ83" s="619"/>
      <c r="AR83" s="619"/>
      <c r="AS83" s="619"/>
      <c r="AT83" s="619"/>
      <c r="AU83" s="619"/>
      <c r="AV83" s="619"/>
      <c r="AW83" s="619"/>
      <c r="AX83" s="619"/>
      <c r="AY83" s="619"/>
      <c r="AZ83" s="619"/>
      <c r="BA83" s="619"/>
      <c r="BB83" s="619"/>
      <c r="BC83" s="619"/>
      <c r="BD83" s="619"/>
      <c r="BE83" s="619"/>
      <c r="BF83" s="619"/>
      <c r="BG83" s="619"/>
      <c r="BH83" s="619"/>
      <c r="BI83" s="619"/>
      <c r="BJ83" s="619"/>
      <c r="BK83" s="619"/>
      <c r="BL83" s="619"/>
      <c r="BM83" s="619"/>
      <c r="BN83" s="619"/>
      <c r="BO83" s="619"/>
      <c r="BP83" s="619"/>
      <c r="BQ83" s="619"/>
      <c r="BR83" s="614"/>
    </row>
    <row r="84" spans="1:71" ht="14.25" customHeight="1" x14ac:dyDescent="0.3">
      <c r="A84" s="1122"/>
      <c r="B84" s="1104"/>
      <c r="C84" s="1126"/>
      <c r="D84" s="1129"/>
      <c r="E84" s="1130"/>
      <c r="F84" s="717"/>
      <c r="G84" s="1096"/>
      <c r="H84" s="610"/>
      <c r="I84" s="956"/>
      <c r="J84" s="956"/>
      <c r="K84" s="956"/>
      <c r="L84" s="956"/>
      <c r="M84" s="956">
        <v>0.12043377000000002</v>
      </c>
      <c r="N84" s="956"/>
      <c r="O84" s="956">
        <v>0.10012113</v>
      </c>
      <c r="P84" s="956"/>
      <c r="Q84" s="956">
        <v>0.10859039999999999</v>
      </c>
      <c r="R84" s="956">
        <f>Q84*(1+0.0669*((-0.0119))+ 0.933087*(0.01429))</f>
        <v>0.10995187420882699</v>
      </c>
      <c r="S84" s="956">
        <f>R84*(1+0.0669*((-0.0119))+ 0.933087*(0.01429))</f>
        <v>0.11133041817723956</v>
      </c>
      <c r="T84" s="956">
        <f>S84*(1+0.0669*((-0.0119))+ 0.933087*(0.01429))</f>
        <v>0.11272624592081759</v>
      </c>
      <c r="U84" s="956">
        <f>T84*(0.0669*(1-0.0119)+ 0.933087*(1+0.01429))</f>
        <v>0.11413810869720784</v>
      </c>
      <c r="V84" s="956">
        <f t="shared" ref="V84:AW84" si="19">U84*(0.0669*(1-0.0119)+ 0.933087*(1+0.01429))</f>
        <v>0.11556765463587385</v>
      </c>
      <c r="W84" s="956">
        <f t="shared" si="19"/>
        <v>0.11701510521317529</v>
      </c>
      <c r="X84" s="956">
        <f t="shared" si="19"/>
        <v>0.11848068467939754</v>
      </c>
      <c r="Y84" s="956">
        <f t="shared" si="19"/>
        <v>0.11996462009349421</v>
      </c>
      <c r="Z84" s="956">
        <f t="shared" si="19"/>
        <v>0.12146714135826492</v>
      </c>
      <c r="AA84" s="956">
        <f t="shared" si="19"/>
        <v>0.12298848125597364</v>
      </c>
      <c r="AB84" s="956">
        <f t="shared" si="19"/>
        <v>0.12452887548441313</v>
      </c>
      <c r="AC84" s="956">
        <f t="shared" si="19"/>
        <v>0.12608856269342103</v>
      </c>
      <c r="AD84" s="956">
        <f t="shared" si="19"/>
        <v>0.12766778452185337</v>
      </c>
      <c r="AE84" s="956">
        <f t="shared" si="19"/>
        <v>0.12926678563502117</v>
      </c>
      <c r="AF84" s="956">
        <f t="shared" si="19"/>
        <v>0.13088581376259584</v>
      </c>
      <c r="AG84" s="956">
        <f t="shared" si="19"/>
        <v>0.13252511973698941</v>
      </c>
      <c r="AH84" s="956">
        <f t="shared" si="19"/>
        <v>0.1341849575322154</v>
      </c>
      <c r="AI84" s="956">
        <f t="shared" si="19"/>
        <v>0.13586558430323656</v>
      </c>
      <c r="AJ84" s="956">
        <f t="shared" si="19"/>
        <v>0.13756726042580514</v>
      </c>
      <c r="AK84" s="956">
        <f t="shared" si="19"/>
        <v>0.13929024953680247</v>
      </c>
      <c r="AL84" s="956">
        <f t="shared" si="19"/>
        <v>0.14103481857508357</v>
      </c>
      <c r="AM84" s="956">
        <f t="shared" si="19"/>
        <v>0.14280123782283338</v>
      </c>
      <c r="AN84" s="956">
        <f t="shared" si="19"/>
        <v>0.14458978094744102</v>
      </c>
      <c r="AO84" s="956">
        <f t="shared" si="19"/>
        <v>0.14640072504389842</v>
      </c>
      <c r="AP84" s="956">
        <f t="shared" si="19"/>
        <v>0.14823435067773008</v>
      </c>
      <c r="AQ84" s="956">
        <f t="shared" si="19"/>
        <v>0.1500909419284604</v>
      </c>
      <c r="AR84" s="956">
        <f t="shared" si="19"/>
        <v>0.15197078643362552</v>
      </c>
      <c r="AS84" s="956">
        <f t="shared" si="19"/>
        <v>0.1538741754333364</v>
      </c>
      <c r="AT84" s="956">
        <f t="shared" si="19"/>
        <v>0.15580140381539989</v>
      </c>
      <c r="AU84" s="956">
        <f t="shared" si="19"/>
        <v>0.15775277016100517</v>
      </c>
      <c r="AV84" s="956">
        <f t="shared" si="19"/>
        <v>0.15972857679098215</v>
      </c>
      <c r="AW84" s="956">
        <f t="shared" si="19"/>
        <v>0.16172912981263945</v>
      </c>
      <c r="AX84" s="956">
        <f t="shared" ref="AX84" si="20">AW84*(0.0669*(1-0.0119)+ 0.933087*(1+0.01429))</f>
        <v>0.16375473916718891</v>
      </c>
      <c r="AY84" s="956">
        <f t="shared" ref="AY84" si="21">AX84*(0.0669*(1-0.0119)+ 0.933087*(1+0.01429))</f>
        <v>0.165805718677764</v>
      </c>
      <c r="AZ84" s="956">
        <f t="shared" ref="AZ84" si="22">AY84*(0.0669*(1-0.0119)+ 0.933087*(1+0.01429))</f>
        <v>0.16788238609803988</v>
      </c>
      <c r="BA84" s="956">
        <f t="shared" ref="BA84" si="23">AZ84*(0.0669*(1-0.0119)+ 0.933087*(1+0.01429))</f>
        <v>0.16998506316146211</v>
      </c>
      <c r="BB84" s="956">
        <f t="shared" ref="BB84" si="24">BA84*(0.0669*(1-0.0119)+ 0.933087*(1+0.01429))</f>
        <v>0.17211407563109224</v>
      </c>
      <c r="BC84" s="956">
        <f t="shared" ref="BC84" si="25">BB84*(0.0669*(1-0.0119)+ 0.933087*(1+0.01429))</f>
        <v>0.17426975335007744</v>
      </c>
      <c r="BD84" s="956">
        <f t="shared" ref="BD84" si="26">BC84*(0.0669*(1-0.0119)+ 0.933087*(1+0.01429))</f>
        <v>0.17645243029275245</v>
      </c>
      <c r="BE84" s="956">
        <f t="shared" ref="BE84" si="27">BD84*(0.0669*(1-0.0119)+ 0.933087*(1+0.01429))</f>
        <v>0.17866244461638145</v>
      </c>
      <c r="BF84" s="956">
        <f t="shared" ref="BF84" si="28">BE84*(0.0669*(1-0.0119)+ 0.933087*(1+0.01429))</f>
        <v>0.18090013871354793</v>
      </c>
      <c r="BG84" s="956">
        <f t="shared" ref="BG84" si="29">BF84*(0.0669*(1-0.0119)+ 0.933087*(1+0.01429))</f>
        <v>0.18316585926520096</v>
      </c>
      <c r="BH84" s="956">
        <f t="shared" ref="BH84" si="30">BG84*(0.0669*(1-0.0119)+ 0.933087*(1+0.01429))</f>
        <v>0.18545995729436554</v>
      </c>
      <c r="BI84" s="956">
        <f t="shared" ref="BI84" si="31">BH84*(0.0669*(1-0.0119)+ 0.933087*(1+0.01429))</f>
        <v>0.18778278822052594</v>
      </c>
      <c r="BJ84" s="956">
        <f t="shared" ref="BJ84" si="32">BI84*(0.0669*(1-0.0119)+ 0.933087*(1+0.01429))</f>
        <v>0.19013471191468997</v>
      </c>
      <c r="BK84" s="956">
        <f t="shared" ref="BK84" si="33">BJ84*(0.0669*(1-0.0119)+ 0.933087*(1+0.01429))</f>
        <v>0.192516092755143</v>
      </c>
      <c r="BL84" s="956">
        <f t="shared" ref="BL84" si="34">BK84*(0.0669*(1-0.0119)+ 0.933087*(1+0.01429))</f>
        <v>0.19492729968390032</v>
      </c>
      <c r="BM84" s="956">
        <f t="shared" ref="BM84" si="35">BL84*(0.0669*(1-0.0119)+ 0.933087*(1+0.01429))</f>
        <v>0.19736870626386643</v>
      </c>
      <c r="BN84" s="956">
        <f t="shared" ref="BN84" si="36">BM84*(0.0669*(1-0.0119)+ 0.933087*(1+0.01429))</f>
        <v>0.1998406907367104</v>
      </c>
      <c r="BO84" s="956">
        <f t="shared" ref="BO84" si="37">BN84*(0.0669*(1-0.0119)+ 0.933087*(1+0.01429))</f>
        <v>0.20234363608146591</v>
      </c>
      <c r="BP84" s="956">
        <f t="shared" ref="BP84" si="38">BO84*(0.0669*(1-0.0119)+ 0.933087*(1+0.01429))</f>
        <v>0.2048779300738654</v>
      </c>
      <c r="BQ84" s="956">
        <f t="shared" ref="BQ84" si="39">BP84*(0.0669*(1-0.0119)+ 0.933087*(1+0.01429))</f>
        <v>0.20744396534641726</v>
      </c>
      <c r="BR84" s="614"/>
    </row>
    <row r="85" spans="1:71" ht="33" customHeight="1" x14ac:dyDescent="0.3">
      <c r="A85" s="1122"/>
      <c r="B85" s="1104"/>
      <c r="C85" s="1098"/>
      <c r="D85" s="1131"/>
      <c r="E85" s="1132"/>
      <c r="F85" s="818"/>
      <c r="G85" s="1096"/>
      <c r="H85" s="610"/>
      <c r="I85" s="956"/>
      <c r="J85" s="956"/>
      <c r="K85" s="956"/>
      <c r="L85" s="956"/>
      <c r="M85" s="818"/>
      <c r="N85" s="956"/>
      <c r="O85" s="818"/>
      <c r="P85" s="956"/>
      <c r="Q85" s="818"/>
      <c r="R85" s="818"/>
      <c r="S85" s="818"/>
      <c r="T85" s="818"/>
      <c r="U85" s="619"/>
      <c r="V85" s="619"/>
      <c r="W85" s="619"/>
      <c r="X85" s="619"/>
      <c r="Y85" s="619"/>
      <c r="Z85" s="619"/>
      <c r="AA85" s="619"/>
      <c r="AB85" s="619"/>
      <c r="AC85" s="619"/>
      <c r="AD85" s="619"/>
      <c r="AE85" s="619"/>
      <c r="AF85" s="619"/>
      <c r="AG85" s="619"/>
      <c r="AH85" s="619"/>
      <c r="AI85" s="619"/>
      <c r="AJ85" s="619"/>
      <c r="AK85" s="619"/>
      <c r="AL85" s="619"/>
      <c r="AM85" s="619"/>
      <c r="AN85" s="619"/>
      <c r="AO85" s="619"/>
      <c r="AP85" s="619"/>
      <c r="AQ85" s="619"/>
      <c r="AR85" s="619"/>
      <c r="AS85" s="619"/>
      <c r="AT85" s="619"/>
      <c r="AU85" s="619"/>
      <c r="AV85" s="619"/>
      <c r="AW85" s="619"/>
      <c r="AX85" s="619"/>
      <c r="AY85" s="619"/>
      <c r="AZ85" s="619"/>
      <c r="BA85" s="619"/>
      <c r="BB85" s="619"/>
      <c r="BC85" s="619"/>
      <c r="BD85" s="619"/>
      <c r="BE85" s="619"/>
      <c r="BF85" s="619"/>
      <c r="BG85" s="619"/>
      <c r="BH85" s="619"/>
      <c r="BI85" s="619"/>
      <c r="BJ85" s="619"/>
      <c r="BK85" s="619"/>
      <c r="BL85" s="619"/>
      <c r="BM85" s="619"/>
      <c r="BN85" s="619"/>
      <c r="BO85" s="619"/>
      <c r="BP85" s="619"/>
      <c r="BQ85" s="619"/>
      <c r="BR85" s="614"/>
    </row>
    <row r="86" spans="1:71" s="544" customFormat="1" ht="14.25" customHeight="1" x14ac:dyDescent="0.3">
      <c r="B86" s="580"/>
      <c r="C86" s="552"/>
      <c r="D86" s="617"/>
      <c r="E86" s="578"/>
      <c r="F86" s="564" t="s">
        <v>24</v>
      </c>
      <c r="G86" s="563">
        <f>SUM(G64:G85)</f>
        <v>24.8980599</v>
      </c>
      <c r="H86" s="563"/>
      <c r="I86" s="563"/>
      <c r="J86" s="563"/>
      <c r="K86" s="563"/>
      <c r="L86" s="563"/>
      <c r="M86" s="563">
        <f>SUM(M64:M85)</f>
        <v>24.898059809999999</v>
      </c>
      <c r="N86" s="563"/>
      <c r="O86" s="563">
        <f>SUM(O64:O85)</f>
        <v>24.898216509999997</v>
      </c>
      <c r="P86" s="563"/>
      <c r="Q86" s="563">
        <f>Q64+Q70+Q72+Q75+Q77+Q79+Q81+Q84</f>
        <v>24.898219759999996</v>
      </c>
      <c r="R86" s="563">
        <f>R64+R70+R72+R75+R77+R79+R81+R84</f>
        <v>24.898199999999999</v>
      </c>
      <c r="S86" s="563">
        <f t="shared" ref="S86" si="40">S64+S70+S72+S75+S77+S79+S81+S84</f>
        <v>24.898199999999999</v>
      </c>
      <c r="T86" s="563">
        <f>T64+T70+T72+T75+T77+T79+T81+T84</f>
        <v>24.89821976</v>
      </c>
      <c r="U86" s="563">
        <f>U64+U70+U72+U75+U77+U79+U81+U84</f>
        <v>24.898219759999996</v>
      </c>
      <c r="V86" s="563">
        <f t="shared" ref="V86:BQ86" si="41">V64+V70+V72+V75+V77+V79+V81+V84</f>
        <v>24.898219759999996</v>
      </c>
      <c r="W86" s="563">
        <f t="shared" si="41"/>
        <v>24.898219759999996</v>
      </c>
      <c r="X86" s="563">
        <f t="shared" si="41"/>
        <v>24.898219759999996</v>
      </c>
      <c r="Y86" s="563">
        <f t="shared" si="41"/>
        <v>24.898219759999993</v>
      </c>
      <c r="Z86" s="563">
        <f t="shared" si="41"/>
        <v>24.89821976</v>
      </c>
      <c r="AA86" s="563">
        <f t="shared" si="41"/>
        <v>24.898219759999996</v>
      </c>
      <c r="AB86" s="563">
        <f t="shared" si="41"/>
        <v>24.898219759999993</v>
      </c>
      <c r="AC86" s="563">
        <f t="shared" si="41"/>
        <v>24.898219759999996</v>
      </c>
      <c r="AD86" s="563">
        <f t="shared" si="41"/>
        <v>24.89821976</v>
      </c>
      <c r="AE86" s="563">
        <f t="shared" si="41"/>
        <v>24.898219759999996</v>
      </c>
      <c r="AF86" s="563">
        <f t="shared" si="41"/>
        <v>24.898219759999996</v>
      </c>
      <c r="AG86" s="563">
        <f t="shared" si="41"/>
        <v>24.898219759999996</v>
      </c>
      <c r="AH86" s="563">
        <f t="shared" si="41"/>
        <v>24.89821976</v>
      </c>
      <c r="AI86" s="563">
        <f t="shared" si="41"/>
        <v>24.89821976</v>
      </c>
      <c r="AJ86" s="563">
        <f t="shared" si="41"/>
        <v>24.898219759999996</v>
      </c>
      <c r="AK86" s="563">
        <f t="shared" si="41"/>
        <v>24.89821976</v>
      </c>
      <c r="AL86" s="563">
        <f t="shared" si="41"/>
        <v>24.898219759999996</v>
      </c>
      <c r="AM86" s="563">
        <f t="shared" si="41"/>
        <v>24.89821976</v>
      </c>
      <c r="AN86" s="563">
        <f t="shared" si="41"/>
        <v>24.898219759999996</v>
      </c>
      <c r="AO86" s="563">
        <f t="shared" si="41"/>
        <v>24.898219759999993</v>
      </c>
      <c r="AP86" s="563">
        <f t="shared" si="41"/>
        <v>24.898219759999996</v>
      </c>
      <c r="AQ86" s="563">
        <f t="shared" si="41"/>
        <v>24.898219759999996</v>
      </c>
      <c r="AR86" s="563">
        <f t="shared" si="41"/>
        <v>24.89821976</v>
      </c>
      <c r="AS86" s="563">
        <f t="shared" si="41"/>
        <v>24.898219759999996</v>
      </c>
      <c r="AT86" s="563">
        <f t="shared" si="41"/>
        <v>24.89821976</v>
      </c>
      <c r="AU86" s="563">
        <f t="shared" si="41"/>
        <v>24.898219759999993</v>
      </c>
      <c r="AV86" s="563">
        <f t="shared" si="41"/>
        <v>24.898219759999993</v>
      </c>
      <c r="AW86" s="563">
        <f t="shared" si="41"/>
        <v>24.898219759999996</v>
      </c>
      <c r="AX86" s="563">
        <f t="shared" si="41"/>
        <v>24.898219759999996</v>
      </c>
      <c r="AY86" s="563">
        <f t="shared" si="41"/>
        <v>24.898219759999996</v>
      </c>
      <c r="AZ86" s="563">
        <f t="shared" si="41"/>
        <v>24.898219759999996</v>
      </c>
      <c r="BA86" s="563">
        <f t="shared" si="41"/>
        <v>24.898219759999996</v>
      </c>
      <c r="BB86" s="563">
        <f t="shared" si="41"/>
        <v>24.898219759999996</v>
      </c>
      <c r="BC86" s="563">
        <f t="shared" si="41"/>
        <v>24.898219759999996</v>
      </c>
      <c r="BD86" s="563">
        <f t="shared" si="41"/>
        <v>24.898219759999996</v>
      </c>
      <c r="BE86" s="563">
        <f t="shared" si="41"/>
        <v>24.898219759999996</v>
      </c>
      <c r="BF86" s="563">
        <f t="shared" si="41"/>
        <v>24.898219759999996</v>
      </c>
      <c r="BG86" s="563">
        <f t="shared" si="41"/>
        <v>24.898219759999996</v>
      </c>
      <c r="BH86" s="563">
        <f t="shared" si="41"/>
        <v>24.898219759999996</v>
      </c>
      <c r="BI86" s="563">
        <f t="shared" si="41"/>
        <v>24.89821976</v>
      </c>
      <c r="BJ86" s="563">
        <f t="shared" si="41"/>
        <v>24.89821976</v>
      </c>
      <c r="BK86" s="563">
        <f t="shared" si="41"/>
        <v>24.898219759999996</v>
      </c>
      <c r="BL86" s="563">
        <f t="shared" si="41"/>
        <v>24.898219759999993</v>
      </c>
      <c r="BM86" s="563">
        <f t="shared" si="41"/>
        <v>24.898219759999989</v>
      </c>
      <c r="BN86" s="563">
        <f t="shared" si="41"/>
        <v>24.898219759999993</v>
      </c>
      <c r="BO86" s="563">
        <f t="shared" si="41"/>
        <v>24.89821976</v>
      </c>
      <c r="BP86" s="563">
        <f t="shared" si="41"/>
        <v>24.89821976</v>
      </c>
      <c r="BQ86" s="563">
        <f t="shared" si="41"/>
        <v>24.89821976</v>
      </c>
      <c r="BR86" s="614"/>
    </row>
    <row r="87" spans="1:71" ht="14.25" customHeight="1" thickBot="1" x14ac:dyDescent="0.35">
      <c r="B87" s="957"/>
      <c r="C87" s="540"/>
      <c r="D87" s="561"/>
      <c r="E87" s="56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620"/>
      <c r="BJ87" s="620"/>
      <c r="BK87" s="620"/>
      <c r="BL87" s="620"/>
      <c r="BM87" s="620"/>
      <c r="BN87" s="620"/>
      <c r="BO87" s="620"/>
      <c r="BP87" s="620"/>
      <c r="BQ87" s="620"/>
      <c r="BR87" s="621"/>
    </row>
    <row r="88" spans="1:71" ht="14.25" customHeight="1" x14ac:dyDescent="0.3">
      <c r="B88" s="957"/>
      <c r="C88" s="540"/>
      <c r="D88" s="540"/>
      <c r="E88" s="540"/>
      <c r="F88" s="539"/>
      <c r="G88" s="539"/>
      <c r="H88" s="539"/>
      <c r="I88" s="539"/>
      <c r="J88" s="539"/>
      <c r="K88" s="539"/>
      <c r="L88" s="539"/>
      <c r="M88" s="539"/>
      <c r="N88" s="539"/>
      <c r="O88" s="539"/>
      <c r="P88" s="539"/>
      <c r="Q88" s="720">
        <f>24.8982</f>
        <v>24.898199999999999</v>
      </c>
      <c r="R88" s="572"/>
      <c r="S88" s="539"/>
      <c r="T88" s="558"/>
      <c r="U88" s="558"/>
      <c r="V88" s="558"/>
      <c r="W88" s="558"/>
      <c r="X88" s="558"/>
      <c r="Y88" s="558"/>
      <c r="Z88" s="558"/>
      <c r="AA88" s="558"/>
      <c r="AB88" s="558"/>
      <c r="AC88" s="558"/>
      <c r="AD88" s="558"/>
      <c r="AE88" s="558"/>
      <c r="AF88" s="558"/>
      <c r="AG88" s="558"/>
      <c r="AH88" s="558"/>
      <c r="AI88" s="558"/>
      <c r="AJ88" s="558"/>
      <c r="AK88" s="558"/>
      <c r="AL88" s="558"/>
      <c r="AM88" s="558"/>
      <c r="AN88" s="558"/>
      <c r="AO88" s="558"/>
      <c r="AP88" s="558"/>
      <c r="AQ88" s="558"/>
      <c r="AR88" s="558"/>
      <c r="AS88" s="558"/>
      <c r="AT88" s="558"/>
      <c r="AU88" s="558"/>
      <c r="AV88" s="558"/>
      <c r="AW88" s="558"/>
      <c r="AX88" s="539"/>
    </row>
    <row r="89" spans="1:71" ht="14.25" hidden="1" customHeight="1" x14ac:dyDescent="0.3">
      <c r="B89" s="957"/>
      <c r="C89" s="540"/>
      <c r="D89" s="540"/>
      <c r="E89" s="540"/>
      <c r="F89" s="539"/>
      <c r="G89" s="539"/>
      <c r="H89" s="539"/>
      <c r="I89" s="539"/>
      <c r="J89" s="539"/>
      <c r="K89" s="539"/>
      <c r="L89" s="539"/>
      <c r="M89" s="539"/>
      <c r="N89" s="539"/>
      <c r="O89" s="539"/>
      <c r="P89" s="539"/>
      <c r="Q89" s="558"/>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9"/>
      <c r="AQ89" s="539"/>
      <c r="AR89" s="539"/>
      <c r="AS89" s="539"/>
      <c r="AT89" s="539"/>
      <c r="AU89" s="539"/>
      <c r="AV89" s="539"/>
      <c r="AW89" s="539"/>
      <c r="AX89" s="539"/>
    </row>
    <row r="90" spans="1:71" ht="14.25" hidden="1" customHeight="1" x14ac:dyDescent="0.3">
      <c r="B90" s="957"/>
      <c r="C90" s="540"/>
      <c r="D90" s="540"/>
      <c r="E90" s="540"/>
      <c r="F90" s="539"/>
      <c r="G90" s="539"/>
      <c r="H90" s="539"/>
      <c r="I90" s="539"/>
      <c r="J90" s="539"/>
      <c r="K90" s="539"/>
      <c r="L90" s="539"/>
      <c r="M90" s="539"/>
      <c r="N90" s="539"/>
      <c r="O90" s="558"/>
      <c r="P90" s="558"/>
      <c r="Q90" s="558"/>
      <c r="R90" s="558"/>
      <c r="S90" s="558"/>
      <c r="T90" s="558"/>
      <c r="U90" s="558"/>
      <c r="V90" s="558"/>
      <c r="W90" s="558"/>
      <c r="X90" s="558"/>
      <c r="Y90" s="558"/>
      <c r="Z90" s="558"/>
      <c r="AA90" s="558"/>
      <c r="AB90" s="558"/>
      <c r="AC90" s="558"/>
      <c r="AD90" s="558"/>
      <c r="AE90" s="558"/>
      <c r="AF90" s="558"/>
      <c r="AG90" s="558"/>
      <c r="AH90" s="558"/>
      <c r="AI90" s="558"/>
      <c r="AJ90" s="558"/>
      <c r="AK90" s="558"/>
      <c r="AL90" s="558"/>
      <c r="AM90" s="558"/>
      <c r="AN90" s="558"/>
      <c r="AO90" s="558"/>
      <c r="AP90" s="558"/>
      <c r="AQ90" s="558"/>
      <c r="AR90" s="558"/>
      <c r="AS90" s="558"/>
      <c r="AT90" s="558"/>
      <c r="AU90" s="558"/>
      <c r="AV90" s="558"/>
      <c r="AW90" s="558"/>
      <c r="AX90" s="539"/>
    </row>
    <row r="91" spans="1:71" ht="23.25" hidden="1" customHeight="1" thickBot="1" x14ac:dyDescent="0.35">
      <c r="B91" s="957"/>
      <c r="C91" s="540"/>
      <c r="D91" s="1103" t="s">
        <v>83</v>
      </c>
      <c r="E91" s="1103"/>
      <c r="F91" s="1103"/>
      <c r="G91" s="539"/>
      <c r="H91" s="569"/>
      <c r="J91" s="539"/>
      <c r="K91" s="539"/>
      <c r="L91" s="569"/>
      <c r="M91" s="539"/>
      <c r="N91" s="539"/>
      <c r="O91" s="539"/>
      <c r="P91" s="539"/>
      <c r="Q91" s="539"/>
      <c r="R91" s="539"/>
      <c r="S91" s="539"/>
      <c r="T91" s="539"/>
      <c r="U91" s="558"/>
      <c r="V91" s="558"/>
      <c r="W91" s="558"/>
      <c r="X91" s="558"/>
      <c r="Y91" s="539"/>
      <c r="Z91" s="539"/>
      <c r="AA91" s="539"/>
      <c r="AB91" s="539"/>
      <c r="AC91" s="539"/>
      <c r="AD91" s="539"/>
      <c r="AE91" s="539"/>
      <c r="AF91" s="539"/>
      <c r="AG91" s="539"/>
      <c r="AH91" s="539"/>
      <c r="AI91" s="539"/>
      <c r="AJ91" s="539"/>
      <c r="AK91" s="539"/>
      <c r="AL91" s="539"/>
      <c r="AM91" s="539"/>
      <c r="AN91" s="539"/>
      <c r="AO91" s="539"/>
      <c r="AP91" s="539"/>
      <c r="AQ91" s="539"/>
      <c r="AR91" s="539"/>
      <c r="AS91" s="539"/>
      <c r="AT91" s="539"/>
      <c r="AU91" s="539"/>
      <c r="AV91" s="539"/>
      <c r="AW91" s="539"/>
      <c r="AX91" s="539"/>
    </row>
    <row r="92" spans="1:71" ht="46.5" hidden="1" customHeight="1" x14ac:dyDescent="0.3">
      <c r="B92" s="1104" t="s">
        <v>84</v>
      </c>
      <c r="C92" s="540"/>
      <c r="D92" s="1133" t="s">
        <v>85</v>
      </c>
      <c r="E92" s="1134"/>
      <c r="F92" s="571" t="s">
        <v>86</v>
      </c>
      <c r="G92" s="567"/>
      <c r="H92" s="567"/>
      <c r="I92" s="567"/>
      <c r="J92" s="567"/>
      <c r="K92" s="567"/>
      <c r="L92" s="567"/>
      <c r="M92" s="567"/>
      <c r="N92" s="567"/>
      <c r="O92" s="567"/>
      <c r="P92" s="567"/>
      <c r="Q92" s="567"/>
      <c r="R92" s="567"/>
      <c r="S92" s="567"/>
      <c r="T92" s="567"/>
      <c r="U92" s="567"/>
      <c r="V92" s="567"/>
      <c r="W92" s="567"/>
      <c r="X92" s="567"/>
      <c r="Y92" s="567"/>
      <c r="Z92" s="567"/>
      <c r="AA92" s="567"/>
      <c r="AB92" s="567"/>
      <c r="AC92" s="567"/>
      <c r="AD92" s="567"/>
      <c r="AE92" s="567"/>
      <c r="AF92" s="567"/>
      <c r="AG92" s="567"/>
      <c r="AH92" s="567"/>
      <c r="AI92" s="567"/>
      <c r="AJ92" s="567"/>
      <c r="AK92" s="567"/>
      <c r="AL92" s="567"/>
      <c r="AM92" s="567"/>
      <c r="AN92" s="567"/>
      <c r="AO92" s="567"/>
      <c r="AP92" s="567"/>
      <c r="AQ92" s="567"/>
      <c r="AR92" s="567"/>
      <c r="AS92" s="567"/>
      <c r="AT92" s="567"/>
      <c r="AU92" s="567"/>
      <c r="AV92" s="567"/>
      <c r="AW92" s="567"/>
      <c r="AX92" s="566"/>
    </row>
    <row r="93" spans="1:71" ht="14.25" hidden="1" customHeight="1" x14ac:dyDescent="0.3">
      <c r="A93" s="536" t="s">
        <v>134</v>
      </c>
      <c r="B93" s="1104"/>
      <c r="C93" s="540"/>
      <c r="D93" s="1135" t="s">
        <v>87</v>
      </c>
      <c r="E93" s="1136"/>
      <c r="F93" s="956"/>
      <c r="G93" s="956"/>
      <c r="H93" s="956"/>
      <c r="I93" s="956"/>
      <c r="J93" s="956"/>
      <c r="K93" s="956"/>
      <c r="L93" s="956"/>
      <c r="M93" s="956"/>
      <c r="N93" s="956"/>
      <c r="O93" s="956"/>
      <c r="P93" s="956"/>
      <c r="Q93" s="956"/>
      <c r="R93" s="956"/>
      <c r="S93" s="956"/>
      <c r="T93" s="956">
        <v>1.959779E-2</v>
      </c>
      <c r="U93" s="956">
        <f>T93*(1+((U70-T70)/U70))</f>
        <v>1.9603079975006751E-2</v>
      </c>
      <c r="V93" s="956">
        <f t="shared" ref="V93:AW93" si="42">U93*(1+((V70-U70)/V70))</f>
        <v>1.9609155046526834E-2</v>
      </c>
      <c r="W93" s="956">
        <f t="shared" si="42"/>
        <v>1.9615036028746126E-2</v>
      </c>
      <c r="X93" s="956">
        <f t="shared" si="42"/>
        <v>1.9620330658923737E-2</v>
      </c>
      <c r="Y93" s="956">
        <f t="shared" si="42"/>
        <v>1.962484229729846E-2</v>
      </c>
      <c r="Z93" s="956">
        <f t="shared" si="42"/>
        <v>1.9631090471481375E-2</v>
      </c>
      <c r="AA93" s="956">
        <f t="shared" si="42"/>
        <v>1.9636676228597643E-2</v>
      </c>
      <c r="AB93" s="956">
        <f t="shared" si="42"/>
        <v>1.9640987451208552E-2</v>
      </c>
      <c r="AC93" s="956">
        <f t="shared" si="42"/>
        <v>1.9645664903537828E-2</v>
      </c>
      <c r="AD93" s="956">
        <f t="shared" si="42"/>
        <v>1.9651886326260776E-2</v>
      </c>
      <c r="AE93" s="956">
        <f t="shared" si="42"/>
        <v>1.9656732980443473E-2</v>
      </c>
      <c r="AF93" s="956">
        <f t="shared" si="42"/>
        <v>1.9662414950646759E-2</v>
      </c>
      <c r="AG93" s="956">
        <f t="shared" si="42"/>
        <v>1.9667067266774096E-2</v>
      </c>
      <c r="AH93" s="956">
        <f t="shared" si="42"/>
        <v>1.9671716359710708E-2</v>
      </c>
      <c r="AI93" s="956">
        <f t="shared" si="42"/>
        <v>1.9676738813924999E-2</v>
      </c>
      <c r="AJ93" s="956">
        <f t="shared" si="42"/>
        <v>1.9681202698735772E-2</v>
      </c>
      <c r="AK93" s="956">
        <f t="shared" si="42"/>
        <v>1.9685812332061511E-2</v>
      </c>
      <c r="AL93" s="956">
        <f t="shared" si="42"/>
        <v>1.9690774059053506E-2</v>
      </c>
      <c r="AM93" s="956">
        <f t="shared" si="42"/>
        <v>1.9695245732968811E-2</v>
      </c>
      <c r="AN93" s="956">
        <f t="shared" si="42"/>
        <v>1.9699740294268072E-2</v>
      </c>
      <c r="AO93" s="956">
        <f t="shared" si="42"/>
        <v>1.9704128597738527E-2</v>
      </c>
      <c r="AP93" s="956">
        <f t="shared" si="42"/>
        <v>1.9707574803973012E-2</v>
      </c>
      <c r="AQ93" s="956">
        <f t="shared" si="42"/>
        <v>1.9711893053529717E-2</v>
      </c>
      <c r="AR93" s="956">
        <f t="shared" si="42"/>
        <v>1.9715556946627025E-2</v>
      </c>
      <c r="AS93" s="956">
        <f t="shared" si="42"/>
        <v>1.9720063146567542E-2</v>
      </c>
      <c r="AT93" s="956">
        <f t="shared" si="42"/>
        <v>1.9723696939581831E-2</v>
      </c>
      <c r="AU93" s="956">
        <f t="shared" si="42"/>
        <v>1.9727230757634603E-2</v>
      </c>
      <c r="AV93" s="956">
        <f t="shared" si="42"/>
        <v>1.9730830930217068E-2</v>
      </c>
      <c r="AW93" s="956">
        <f t="shared" si="42"/>
        <v>1.9734393644818528E-2</v>
      </c>
      <c r="AX93" s="562"/>
    </row>
    <row r="94" spans="1:71" ht="14.25" hidden="1" customHeight="1" x14ac:dyDescent="0.3">
      <c r="A94" s="536" t="s">
        <v>134</v>
      </c>
      <c r="B94" s="1104"/>
      <c r="C94" s="540"/>
      <c r="D94" s="1135" t="s">
        <v>88</v>
      </c>
      <c r="E94" s="1136"/>
      <c r="F94" s="956"/>
      <c r="G94" s="956"/>
      <c r="H94" s="956"/>
      <c r="I94" s="956"/>
      <c r="J94" s="956"/>
      <c r="K94" s="956"/>
      <c r="L94" s="956"/>
      <c r="M94" s="956"/>
      <c r="N94" s="956"/>
      <c r="O94" s="956"/>
      <c r="P94" s="956"/>
      <c r="Q94" s="956"/>
      <c r="R94" s="956"/>
      <c r="S94" s="956"/>
      <c r="T94" s="956">
        <v>15.487761259999999</v>
      </c>
      <c r="U94" s="956">
        <f>T94*(1+((U70-T70)/U70))</f>
        <v>15.491941826787167</v>
      </c>
      <c r="V94" s="956">
        <f t="shared" ref="V94:AW94" si="43">U94*(1+((V70-U70)/V70))</f>
        <v>15.496742840439239</v>
      </c>
      <c r="W94" s="956">
        <f t="shared" si="43"/>
        <v>15.5013904690028</v>
      </c>
      <c r="X94" s="956">
        <f t="shared" si="43"/>
        <v>15.505574714683094</v>
      </c>
      <c r="Y94" s="956">
        <f t="shared" si="43"/>
        <v>15.509140176811179</v>
      </c>
      <c r="Z94" s="956">
        <f t="shared" si="43"/>
        <v>15.514077990210339</v>
      </c>
      <c r="AA94" s="956">
        <f t="shared" si="43"/>
        <v>15.518492307981532</v>
      </c>
      <c r="AB94" s="956">
        <f t="shared" si="43"/>
        <v>15.521899385337523</v>
      </c>
      <c r="AC94" s="956">
        <f t="shared" si="43"/>
        <v>15.525595887084958</v>
      </c>
      <c r="AD94" s="956">
        <f t="shared" si="43"/>
        <v>15.530512559313335</v>
      </c>
      <c r="AE94" s="956">
        <f t="shared" si="43"/>
        <v>15.534342778072256</v>
      </c>
      <c r="AF94" s="956">
        <f t="shared" si="43"/>
        <v>15.538833131218958</v>
      </c>
      <c r="AG94" s="956">
        <f t="shared" si="43"/>
        <v>15.542509768303356</v>
      </c>
      <c r="AH94" s="956">
        <f t="shared" si="43"/>
        <v>15.546183858161333</v>
      </c>
      <c r="AI94" s="956">
        <f t="shared" si="43"/>
        <v>15.550153008346648</v>
      </c>
      <c r="AJ94" s="956">
        <f t="shared" si="43"/>
        <v>15.553680731740021</v>
      </c>
      <c r="AK94" s="956">
        <f t="shared" si="43"/>
        <v>15.557323637416895</v>
      </c>
      <c r="AL94" s="956">
        <f t="shared" si="43"/>
        <v>15.561244796031682</v>
      </c>
      <c r="AM94" s="956">
        <f t="shared" si="43"/>
        <v>15.564778675006446</v>
      </c>
      <c r="AN94" s="956">
        <f t="shared" si="43"/>
        <v>15.568330641446101</v>
      </c>
      <c r="AO94" s="956">
        <f t="shared" si="43"/>
        <v>15.571798634341567</v>
      </c>
      <c r="AP94" s="956">
        <f t="shared" si="43"/>
        <v>15.574522105682592</v>
      </c>
      <c r="AQ94" s="956">
        <f t="shared" si="43"/>
        <v>15.577934736300399</v>
      </c>
      <c r="AR94" s="956">
        <f t="shared" si="43"/>
        <v>15.580830241435073</v>
      </c>
      <c r="AS94" s="956">
        <f t="shared" si="43"/>
        <v>15.584391405671886</v>
      </c>
      <c r="AT94" s="956">
        <f t="shared" si="43"/>
        <v>15.587263123282574</v>
      </c>
      <c r="AU94" s="956">
        <f t="shared" si="43"/>
        <v>15.590055832579775</v>
      </c>
      <c r="AV94" s="956">
        <f t="shared" si="43"/>
        <v>15.592900980601671</v>
      </c>
      <c r="AW94" s="956">
        <f t="shared" si="43"/>
        <v>15.595716526292534</v>
      </c>
      <c r="AX94" s="562"/>
    </row>
    <row r="95" spans="1:71" ht="14.25" hidden="1" customHeight="1" x14ac:dyDescent="0.3">
      <c r="B95" s="957"/>
      <c r="C95" s="540"/>
      <c r="D95" s="565"/>
      <c r="E95" s="556"/>
      <c r="F95" s="564" t="s">
        <v>89</v>
      </c>
      <c r="G95" s="564"/>
      <c r="H95" s="956"/>
      <c r="I95" s="956"/>
      <c r="J95" s="956"/>
      <c r="K95" s="956"/>
      <c r="L95" s="956"/>
      <c r="M95" s="956"/>
      <c r="N95" s="956"/>
      <c r="O95" s="956"/>
      <c r="P95" s="956"/>
      <c r="Q95" s="956"/>
      <c r="R95" s="956"/>
      <c r="S95" s="956"/>
      <c r="T95" s="563">
        <f t="shared" ref="T95:AW95" si="44">SUM(T93:T94)</f>
        <v>15.50735905</v>
      </c>
      <c r="U95" s="563">
        <f t="shared" si="44"/>
        <v>15.511544906762174</v>
      </c>
      <c r="V95" s="563">
        <f t="shared" si="44"/>
        <v>15.516351995485767</v>
      </c>
      <c r="W95" s="563">
        <f t="shared" si="44"/>
        <v>15.521005505031546</v>
      </c>
      <c r="X95" s="563">
        <f t="shared" si="44"/>
        <v>15.525195045342018</v>
      </c>
      <c r="Y95" s="563">
        <f t="shared" si="44"/>
        <v>15.528765019108478</v>
      </c>
      <c r="Z95" s="563">
        <f t="shared" si="44"/>
        <v>15.53370908068182</v>
      </c>
      <c r="AA95" s="563">
        <f t="shared" si="44"/>
        <v>15.538128984210129</v>
      </c>
      <c r="AB95" s="563">
        <f t="shared" si="44"/>
        <v>15.541540372788731</v>
      </c>
      <c r="AC95" s="563">
        <f t="shared" si="44"/>
        <v>15.545241551988495</v>
      </c>
      <c r="AD95" s="563">
        <f t="shared" si="44"/>
        <v>15.550164445639595</v>
      </c>
      <c r="AE95" s="563">
        <f t="shared" si="44"/>
        <v>15.5539995110527</v>
      </c>
      <c r="AF95" s="563">
        <f t="shared" si="44"/>
        <v>15.558495546169604</v>
      </c>
      <c r="AG95" s="563">
        <f t="shared" si="44"/>
        <v>15.56217683557013</v>
      </c>
      <c r="AH95" s="563">
        <f t="shared" si="44"/>
        <v>15.565855574521043</v>
      </c>
      <c r="AI95" s="563">
        <f t="shared" si="44"/>
        <v>15.569829747160572</v>
      </c>
      <c r="AJ95" s="563">
        <f t="shared" si="44"/>
        <v>15.573361934438758</v>
      </c>
      <c r="AK95" s="563">
        <f t="shared" si="44"/>
        <v>15.577009449748957</v>
      </c>
      <c r="AL95" s="563">
        <f t="shared" si="44"/>
        <v>15.580935570090736</v>
      </c>
      <c r="AM95" s="563">
        <f t="shared" si="44"/>
        <v>15.584473920739415</v>
      </c>
      <c r="AN95" s="563">
        <f t="shared" si="44"/>
        <v>15.588030381740369</v>
      </c>
      <c r="AO95" s="563">
        <f t="shared" si="44"/>
        <v>15.591502762939305</v>
      </c>
      <c r="AP95" s="563">
        <f t="shared" si="44"/>
        <v>15.594229680486565</v>
      </c>
      <c r="AQ95" s="563">
        <f t="shared" si="44"/>
        <v>15.597646629353928</v>
      </c>
      <c r="AR95" s="563">
        <f t="shared" si="44"/>
        <v>15.600545798381701</v>
      </c>
      <c r="AS95" s="563">
        <f t="shared" si="44"/>
        <v>15.604111468818454</v>
      </c>
      <c r="AT95" s="563">
        <f t="shared" si="44"/>
        <v>15.606986820222156</v>
      </c>
      <c r="AU95" s="563">
        <f t="shared" si="44"/>
        <v>15.60978306333741</v>
      </c>
      <c r="AV95" s="563">
        <f t="shared" si="44"/>
        <v>15.612631811531887</v>
      </c>
      <c r="AW95" s="563">
        <f t="shared" si="44"/>
        <v>15.615450919937352</v>
      </c>
      <c r="AX95" s="562"/>
    </row>
    <row r="96" spans="1:71" ht="14.25" hidden="1" customHeight="1" thickBot="1" x14ac:dyDescent="0.35">
      <c r="B96" s="957"/>
      <c r="C96" s="540"/>
      <c r="D96" s="561"/>
      <c r="E96" s="560"/>
      <c r="F96" s="560"/>
      <c r="G96" s="560"/>
      <c r="H96" s="560"/>
      <c r="I96" s="560"/>
      <c r="J96" s="560"/>
      <c r="K96" s="560"/>
      <c r="L96" s="560"/>
      <c r="M96" s="560"/>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60"/>
      <c r="AQ96" s="560"/>
      <c r="AR96" s="560"/>
      <c r="AS96" s="560"/>
      <c r="AT96" s="560"/>
      <c r="AU96" s="560"/>
      <c r="AV96" s="560"/>
      <c r="AW96" s="560"/>
      <c r="AX96" s="559"/>
      <c r="AY96" s="540"/>
      <c r="AZ96" s="540"/>
      <c r="BA96" s="540"/>
      <c r="BB96" s="540"/>
      <c r="BC96" s="540"/>
      <c r="BD96" s="540"/>
      <c r="BE96" s="540"/>
      <c r="BF96" s="540"/>
      <c r="BG96" s="540"/>
      <c r="BH96" s="540"/>
      <c r="BI96" s="540"/>
      <c r="BJ96" s="540"/>
      <c r="BK96" s="540"/>
      <c r="BL96" s="540"/>
      <c r="BM96" s="540"/>
      <c r="BN96" s="540"/>
      <c r="BO96" s="540"/>
      <c r="BP96" s="540"/>
      <c r="BQ96" s="540"/>
      <c r="BR96" s="540"/>
      <c r="BS96" s="540"/>
    </row>
    <row r="97" spans="1:70" ht="14.25" hidden="1" customHeight="1" x14ac:dyDescent="0.3">
      <c r="B97" s="957"/>
      <c r="C97" s="540"/>
      <c r="F97" s="570"/>
      <c r="G97" s="570"/>
      <c r="H97" s="819"/>
      <c r="I97" s="819"/>
      <c r="J97" s="819"/>
      <c r="K97" s="819"/>
      <c r="L97" s="819"/>
      <c r="M97" s="819"/>
      <c r="N97" s="819"/>
      <c r="O97" s="819"/>
      <c r="P97" s="819"/>
      <c r="Q97" s="819"/>
      <c r="R97" s="819"/>
      <c r="S97" s="819"/>
      <c r="T97" s="819"/>
      <c r="U97" s="819"/>
      <c r="V97" s="819"/>
      <c r="W97" s="819"/>
      <c r="X97" s="819"/>
      <c r="Y97" s="819"/>
      <c r="Z97" s="819"/>
      <c r="AA97" s="819"/>
      <c r="AB97" s="819"/>
      <c r="AC97" s="819"/>
      <c r="AD97" s="819"/>
      <c r="AE97" s="819"/>
      <c r="AF97" s="819"/>
      <c r="AG97" s="819"/>
      <c r="AH97" s="819"/>
      <c r="AI97" s="819"/>
      <c r="AJ97" s="819"/>
      <c r="AK97" s="819"/>
      <c r="AL97" s="819"/>
      <c r="AM97" s="819"/>
      <c r="AN97" s="819"/>
      <c r="AO97" s="819"/>
      <c r="AP97" s="819"/>
      <c r="AQ97" s="819"/>
      <c r="AR97" s="819"/>
      <c r="AS97" s="819"/>
      <c r="AT97" s="819"/>
      <c r="AU97" s="819"/>
      <c r="AV97" s="819"/>
      <c r="AW97" s="819"/>
      <c r="AX97" s="819"/>
    </row>
    <row r="98" spans="1:70" ht="14.25" hidden="1" customHeight="1" x14ac:dyDescent="0.3">
      <c r="B98" s="957"/>
      <c r="C98" s="540"/>
      <c r="F98" s="570"/>
      <c r="G98" s="570"/>
      <c r="H98" s="819"/>
      <c r="I98" s="819"/>
      <c r="J98" s="819"/>
      <c r="K98" s="819"/>
      <c r="L98" s="819"/>
      <c r="M98" s="819"/>
      <c r="N98" s="819"/>
      <c r="O98" s="819"/>
      <c r="P98" s="819"/>
      <c r="Q98" s="819"/>
      <c r="R98" s="819"/>
      <c r="S98" s="819"/>
      <c r="T98" s="819"/>
      <c r="U98" s="819"/>
      <c r="V98" s="819"/>
      <c r="W98" s="819"/>
      <c r="X98" s="819"/>
      <c r="Y98" s="819"/>
      <c r="Z98" s="819"/>
      <c r="AA98" s="819"/>
      <c r="AB98" s="819"/>
      <c r="AC98" s="819"/>
      <c r="AD98" s="819"/>
      <c r="AE98" s="819"/>
      <c r="AF98" s="819"/>
      <c r="AG98" s="819"/>
      <c r="AH98" s="819"/>
      <c r="AI98" s="819"/>
      <c r="AJ98" s="819"/>
      <c r="AK98" s="819"/>
      <c r="AL98" s="819"/>
      <c r="AM98" s="819"/>
      <c r="AN98" s="819"/>
      <c r="AO98" s="819"/>
      <c r="AP98" s="819"/>
      <c r="AQ98" s="819"/>
      <c r="AR98" s="819"/>
      <c r="AS98" s="819"/>
      <c r="AT98" s="819"/>
      <c r="AU98" s="819"/>
      <c r="AV98" s="819"/>
      <c r="AW98" s="819"/>
      <c r="AX98" s="819"/>
    </row>
    <row r="99" spans="1:70" ht="14.25" hidden="1" customHeight="1" thickBot="1" x14ac:dyDescent="0.35">
      <c r="B99" s="957"/>
      <c r="C99" s="540"/>
      <c r="D99" s="1103" t="s">
        <v>90</v>
      </c>
      <c r="E99" s="1103"/>
      <c r="F99" s="1103"/>
      <c r="G99" s="539"/>
      <c r="H99" s="569"/>
      <c r="J99" s="539"/>
      <c r="K99" s="819"/>
      <c r="L99" s="819"/>
      <c r="M99" s="819"/>
      <c r="N99" s="819"/>
      <c r="O99" s="819"/>
      <c r="P99" s="819"/>
      <c r="Q99" s="819"/>
      <c r="R99" s="819"/>
      <c r="S99" s="819"/>
      <c r="U99" s="819"/>
      <c r="V99" s="819"/>
      <c r="W99" s="819"/>
      <c r="X99" s="819"/>
      <c r="Y99" s="819"/>
      <c r="Z99" s="819"/>
      <c r="AA99" s="819"/>
      <c r="AB99" s="819"/>
      <c r="AC99" s="819"/>
      <c r="AD99" s="819"/>
      <c r="AE99" s="819"/>
      <c r="AF99" s="819"/>
      <c r="AG99" s="819"/>
      <c r="AH99" s="819"/>
      <c r="AI99" s="819"/>
      <c r="AJ99" s="819"/>
      <c r="AK99" s="819"/>
      <c r="AL99" s="819"/>
      <c r="AM99" s="819"/>
      <c r="AN99" s="819"/>
      <c r="AO99" s="819"/>
      <c r="AP99" s="819"/>
      <c r="AQ99" s="819"/>
      <c r="AR99" s="819"/>
      <c r="AS99" s="819"/>
      <c r="AT99" s="819"/>
      <c r="AU99" s="819"/>
      <c r="AV99" s="819"/>
      <c r="AW99" s="819"/>
      <c r="AX99" s="540"/>
    </row>
    <row r="100" spans="1:70" ht="39.75" hidden="1" customHeight="1" x14ac:dyDescent="0.3">
      <c r="B100" s="1148" t="s">
        <v>91</v>
      </c>
      <c r="C100" s="540"/>
      <c r="D100" s="1133" t="s">
        <v>85</v>
      </c>
      <c r="E100" s="1149"/>
      <c r="F100" s="568" t="s">
        <v>92</v>
      </c>
      <c r="G100" s="567"/>
      <c r="H100" s="567"/>
      <c r="I100" s="567"/>
      <c r="J100" s="567"/>
      <c r="K100" s="567"/>
      <c r="L100" s="567"/>
      <c r="M100" s="567"/>
      <c r="N100" s="567"/>
      <c r="O100" s="567"/>
      <c r="P100" s="567"/>
      <c r="Q100" s="567"/>
      <c r="R100" s="567"/>
      <c r="S100" s="567"/>
      <c r="T100" s="567"/>
      <c r="U100" s="567"/>
      <c r="V100" s="567"/>
      <c r="W100" s="567"/>
      <c r="X100" s="567"/>
      <c r="Y100" s="567"/>
      <c r="Z100" s="567"/>
      <c r="AA100" s="567"/>
      <c r="AB100" s="567"/>
      <c r="AC100" s="567"/>
      <c r="AD100" s="567"/>
      <c r="AE100" s="567"/>
      <c r="AF100" s="567"/>
      <c r="AG100" s="567"/>
      <c r="AH100" s="567"/>
      <c r="AI100" s="567"/>
      <c r="AJ100" s="567"/>
      <c r="AK100" s="567"/>
      <c r="AL100" s="567"/>
      <c r="AM100" s="567"/>
      <c r="AN100" s="567"/>
      <c r="AO100" s="567"/>
      <c r="AP100" s="567"/>
      <c r="AQ100" s="567"/>
      <c r="AR100" s="567"/>
      <c r="AS100" s="567"/>
      <c r="AT100" s="567"/>
      <c r="AU100" s="567"/>
      <c r="AV100" s="567"/>
      <c r="AW100" s="567"/>
      <c r="AX100" s="566"/>
    </row>
    <row r="101" spans="1:70" ht="14.25" hidden="1" customHeight="1" x14ac:dyDescent="0.3">
      <c r="A101" s="536" t="s">
        <v>135</v>
      </c>
      <c r="B101" s="1148"/>
      <c r="C101" s="540"/>
      <c r="D101" s="1135" t="s">
        <v>87</v>
      </c>
      <c r="E101" s="1136"/>
      <c r="F101" s="956"/>
      <c r="G101" s="956"/>
      <c r="H101" s="956"/>
      <c r="I101" s="956"/>
      <c r="J101" s="956"/>
      <c r="K101" s="956"/>
      <c r="L101" s="956"/>
      <c r="M101" s="956"/>
      <c r="N101" s="956"/>
      <c r="O101" s="956"/>
      <c r="P101" s="956"/>
      <c r="Q101" s="956"/>
      <c r="R101" s="956"/>
      <c r="S101" s="956">
        <v>0.21000466600000001</v>
      </c>
      <c r="T101" s="956">
        <f>S101*(1+ Drivers_macroeconómicos_USCUSS!G8)</f>
        <v>0.21289058302761826</v>
      </c>
      <c r="U101" s="956">
        <f>T101*(1+ Drivers_macroeconómicos_USCUSS!H8)</f>
        <v>0.21575252610251905</v>
      </c>
      <c r="V101" s="956">
        <f>U101*(1+ Drivers_macroeconómicos_USCUSS!I8)</f>
        <v>0.21859006347768001</v>
      </c>
      <c r="W101" s="956">
        <f>V101*(1+ Drivers_macroeconómicos_USCUSS!J8)</f>
        <v>0.22140150414392989</v>
      </c>
      <c r="X101" s="956">
        <f>W101*(1+ Drivers_macroeconómicos_USCUSS!K8)</f>
        <v>0.2241863204104636</v>
      </c>
      <c r="Y101" s="956">
        <f>X101*(1+ Drivers_macroeconómicos_USCUSS!L8)</f>
        <v>0.22694139410434133</v>
      </c>
      <c r="Z101" s="956">
        <f>Y101*(1+ Drivers_macroeconómicos_USCUSS!M8)</f>
        <v>0.22966568183692557</v>
      </c>
      <c r="AA101" s="956">
        <f>Z101*(1+ Drivers_macroeconómicos_USCUSS!N8)</f>
        <v>0.23235722875364254</v>
      </c>
      <c r="AB101" s="956">
        <f>AA101*(1+ Drivers_macroeconómicos_USCUSS!O8)</f>
        <v>0.23501565107936126</v>
      </c>
      <c r="AC101" s="956">
        <f>AB101*(1+ Drivers_macroeconómicos_USCUSS!P8)</f>
        <v>0.23763796256384323</v>
      </c>
      <c r="AD101" s="956">
        <f>AC101*(1+ Drivers_macroeconómicos_USCUSS!Q8)</f>
        <v>0.2402227600292656</v>
      </c>
      <c r="AE101" s="956">
        <f>AD101*(1+ Drivers_macroeconómicos_USCUSS!R8)</f>
        <v>0.24276823253672872</v>
      </c>
      <c r="AF101" s="956">
        <f>AE101*(1+ Drivers_macroeconómicos_USCUSS!S8)</f>
        <v>0.24527228131598472</v>
      </c>
      <c r="AG101" s="956">
        <f>AF101*(1+ Drivers_macroeconómicos_USCUSS!T8)</f>
        <v>0.24773387497136895</v>
      </c>
      <c r="AH101" s="956">
        <f>AG101*(1+ Drivers_macroeconómicos_USCUSS!U8)</f>
        <v>0.2501512145569546</v>
      </c>
      <c r="AI101" s="956">
        <f>AH101*(1+ Drivers_macroeconómicos_USCUSS!V8)</f>
        <v>0.2525232446911313</v>
      </c>
      <c r="AJ101" s="956">
        <f>AI101*(1+ Drivers_macroeconómicos_USCUSS!W8)</f>
        <v>0.25484793856148824</v>
      </c>
      <c r="AK101" s="956">
        <f>AJ101*(1+ Drivers_macroeconómicos_USCUSS!X8)</f>
        <v>0.25712449263884479</v>
      </c>
      <c r="AL101" s="956">
        <f>AK101*(1+ Drivers_macroeconómicos_USCUSS!Y8)</f>
        <v>0.25935140780159527</v>
      </c>
      <c r="AM101" s="956">
        <f>AL101*(1+ Drivers_macroeconómicos_USCUSS!Z8)</f>
        <v>0.26152764066110212</v>
      </c>
      <c r="AN101" s="956">
        <f>AM101*(1+ Drivers_macroeconómicos_USCUSS!AA8)</f>
        <v>0.26365291537898999</v>
      </c>
      <c r="AO101" s="956">
        <f>AN101*(1+ Drivers_macroeconómicos_USCUSS!AB8)</f>
        <v>0.26572650038391527</v>
      </c>
      <c r="AP101" s="956">
        <f>AO101*(1+ Drivers_macroeconómicos_USCUSS!AC8)</f>
        <v>0.26774711242778354</v>
      </c>
      <c r="AQ101" s="956">
        <f>AP101*(1+ Drivers_macroeconómicos_USCUSS!AD8)</f>
        <v>0.26971448766519224</v>
      </c>
      <c r="AR101" s="956">
        <f>AQ101*(1+ Drivers_macroeconómicos_USCUSS!AE8)</f>
        <v>0.2716273428480469</v>
      </c>
      <c r="AS101" s="956">
        <f>AR101*(1+ Drivers_macroeconómicos_USCUSS!AF8)</f>
        <v>0.27348535416608077</v>
      </c>
      <c r="AT101" s="956">
        <f>AS101*(1+ Drivers_macroeconómicos_USCUSS!AG8)</f>
        <v>0.27528882144361494</v>
      </c>
      <c r="AU101" s="956">
        <f>AT101*(1+ Drivers_macroeconómicos_USCUSS!AH8)</f>
        <v>0.27703619758715231</v>
      </c>
      <c r="AV101" s="956">
        <f>AU101*(1+ Drivers_macroeconómicos_USCUSS!AI8)</f>
        <v>0.27872795032263392</v>
      </c>
      <c r="AW101" s="956">
        <f>AV101*(1+ Drivers_macroeconómicos_USCUSS!AJ8)</f>
        <v>0.28036466730572918</v>
      </c>
      <c r="AX101" s="562"/>
    </row>
    <row r="102" spans="1:70" ht="14.25" hidden="1" customHeight="1" x14ac:dyDescent="0.3">
      <c r="B102" s="1148"/>
      <c r="C102" s="540"/>
      <c r="D102" s="1135" t="s">
        <v>88</v>
      </c>
      <c r="E102" s="1136"/>
      <c r="F102" s="956"/>
      <c r="G102" s="956"/>
      <c r="H102" s="956"/>
      <c r="I102" s="956"/>
      <c r="J102" s="956"/>
      <c r="K102" s="956"/>
      <c r="L102" s="956"/>
      <c r="M102" s="956"/>
      <c r="N102" s="956"/>
      <c r="O102" s="956"/>
      <c r="P102" s="956"/>
      <c r="Q102" s="956"/>
      <c r="R102" s="956"/>
      <c r="S102" s="956">
        <v>0</v>
      </c>
      <c r="T102" s="956">
        <v>0</v>
      </c>
      <c r="U102" s="956">
        <v>0</v>
      </c>
      <c r="V102" s="956">
        <v>0</v>
      </c>
      <c r="W102" s="956">
        <v>0</v>
      </c>
      <c r="X102" s="956">
        <v>0</v>
      </c>
      <c r="Y102" s="956">
        <v>0</v>
      </c>
      <c r="Z102" s="956">
        <v>0</v>
      </c>
      <c r="AA102" s="956">
        <v>0</v>
      </c>
      <c r="AB102" s="956">
        <v>0</v>
      </c>
      <c r="AC102" s="956">
        <v>0</v>
      </c>
      <c r="AD102" s="956">
        <v>0</v>
      </c>
      <c r="AE102" s="956">
        <v>0</v>
      </c>
      <c r="AF102" s="956">
        <v>0</v>
      </c>
      <c r="AG102" s="956">
        <v>0</v>
      </c>
      <c r="AH102" s="956">
        <v>0</v>
      </c>
      <c r="AI102" s="956">
        <v>0</v>
      </c>
      <c r="AJ102" s="956">
        <v>0</v>
      </c>
      <c r="AK102" s="956">
        <v>0</v>
      </c>
      <c r="AL102" s="956">
        <v>0</v>
      </c>
      <c r="AM102" s="956">
        <v>0</v>
      </c>
      <c r="AN102" s="956">
        <v>0</v>
      </c>
      <c r="AO102" s="956">
        <v>0</v>
      </c>
      <c r="AP102" s="956">
        <v>0</v>
      </c>
      <c r="AQ102" s="956">
        <v>0</v>
      </c>
      <c r="AR102" s="956">
        <v>0</v>
      </c>
      <c r="AS102" s="956">
        <v>0</v>
      </c>
      <c r="AT102" s="956">
        <v>0</v>
      </c>
      <c r="AU102" s="956">
        <v>0</v>
      </c>
      <c r="AV102" s="956">
        <v>0</v>
      </c>
      <c r="AW102" s="956">
        <v>0</v>
      </c>
      <c r="AX102" s="562"/>
    </row>
    <row r="103" spans="1:70" ht="14.25" hidden="1" customHeight="1" x14ac:dyDescent="0.3">
      <c r="B103" s="1148"/>
      <c r="C103" s="540"/>
      <c r="D103" s="565"/>
      <c r="E103" s="556"/>
      <c r="F103" s="564" t="s">
        <v>93</v>
      </c>
      <c r="G103" s="564"/>
      <c r="H103" s="956"/>
      <c r="I103" s="956"/>
      <c r="J103" s="956"/>
      <c r="K103" s="956"/>
      <c r="L103" s="956"/>
      <c r="M103" s="956"/>
      <c r="N103" s="956"/>
      <c r="O103" s="956"/>
      <c r="P103" s="956"/>
      <c r="Q103" s="956"/>
      <c r="R103" s="956"/>
      <c r="S103" s="563">
        <f t="shared" ref="S103:AW103" si="45">SUM(S101:S102)</f>
        <v>0.21000466600000001</v>
      </c>
      <c r="T103" s="563">
        <f t="shared" si="45"/>
        <v>0.21289058302761826</v>
      </c>
      <c r="U103" s="563">
        <f t="shared" si="45"/>
        <v>0.21575252610251905</v>
      </c>
      <c r="V103" s="563">
        <f t="shared" si="45"/>
        <v>0.21859006347768001</v>
      </c>
      <c r="W103" s="563">
        <f t="shared" si="45"/>
        <v>0.22140150414392989</v>
      </c>
      <c r="X103" s="563">
        <f t="shared" si="45"/>
        <v>0.2241863204104636</v>
      </c>
      <c r="Y103" s="563">
        <f t="shared" si="45"/>
        <v>0.22694139410434133</v>
      </c>
      <c r="Z103" s="563">
        <f t="shared" si="45"/>
        <v>0.22966568183692557</v>
      </c>
      <c r="AA103" s="563">
        <f t="shared" si="45"/>
        <v>0.23235722875364254</v>
      </c>
      <c r="AB103" s="563">
        <f t="shared" si="45"/>
        <v>0.23501565107936126</v>
      </c>
      <c r="AC103" s="563">
        <f t="shared" si="45"/>
        <v>0.23763796256384323</v>
      </c>
      <c r="AD103" s="563">
        <f t="shared" si="45"/>
        <v>0.2402227600292656</v>
      </c>
      <c r="AE103" s="563">
        <f t="shared" si="45"/>
        <v>0.24276823253672872</v>
      </c>
      <c r="AF103" s="563">
        <f t="shared" si="45"/>
        <v>0.24527228131598472</v>
      </c>
      <c r="AG103" s="563">
        <f t="shared" si="45"/>
        <v>0.24773387497136895</v>
      </c>
      <c r="AH103" s="563">
        <f t="shared" si="45"/>
        <v>0.2501512145569546</v>
      </c>
      <c r="AI103" s="563">
        <f t="shared" si="45"/>
        <v>0.2525232446911313</v>
      </c>
      <c r="AJ103" s="563">
        <f t="shared" si="45"/>
        <v>0.25484793856148824</v>
      </c>
      <c r="AK103" s="563">
        <f t="shared" si="45"/>
        <v>0.25712449263884479</v>
      </c>
      <c r="AL103" s="563">
        <f t="shared" si="45"/>
        <v>0.25935140780159527</v>
      </c>
      <c r="AM103" s="563">
        <f t="shared" si="45"/>
        <v>0.26152764066110212</v>
      </c>
      <c r="AN103" s="563">
        <f t="shared" si="45"/>
        <v>0.26365291537898999</v>
      </c>
      <c r="AO103" s="563">
        <f t="shared" si="45"/>
        <v>0.26572650038391527</v>
      </c>
      <c r="AP103" s="563">
        <f t="shared" si="45"/>
        <v>0.26774711242778354</v>
      </c>
      <c r="AQ103" s="563">
        <f t="shared" si="45"/>
        <v>0.26971448766519224</v>
      </c>
      <c r="AR103" s="563">
        <f t="shared" si="45"/>
        <v>0.2716273428480469</v>
      </c>
      <c r="AS103" s="563">
        <f t="shared" si="45"/>
        <v>0.27348535416608077</v>
      </c>
      <c r="AT103" s="563">
        <f t="shared" si="45"/>
        <v>0.27528882144361494</v>
      </c>
      <c r="AU103" s="563">
        <f t="shared" si="45"/>
        <v>0.27703619758715231</v>
      </c>
      <c r="AV103" s="563">
        <f t="shared" si="45"/>
        <v>0.27872795032263392</v>
      </c>
      <c r="AW103" s="563">
        <f t="shared" si="45"/>
        <v>0.28036466730572918</v>
      </c>
      <c r="AX103" s="562"/>
    </row>
    <row r="104" spans="1:70" ht="14.25" hidden="1" customHeight="1" thickBot="1" x14ac:dyDescent="0.35">
      <c r="B104" s="955"/>
      <c r="C104" s="540"/>
      <c r="D104" s="561"/>
      <c r="E104" s="560"/>
      <c r="F104" s="560"/>
      <c r="G104" s="560"/>
      <c r="H104" s="560"/>
      <c r="I104" s="560"/>
      <c r="J104" s="560"/>
      <c r="K104" s="560"/>
      <c r="L104" s="560"/>
      <c r="M104" s="560"/>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60"/>
      <c r="AQ104" s="560"/>
      <c r="AR104" s="560"/>
      <c r="AS104" s="560"/>
      <c r="AT104" s="560"/>
      <c r="AU104" s="560"/>
      <c r="AV104" s="560"/>
      <c r="AW104" s="560"/>
      <c r="AX104" s="559"/>
    </row>
    <row r="105" spans="1:70" ht="14.25" hidden="1" customHeight="1" x14ac:dyDescent="0.3">
      <c r="B105" s="957"/>
      <c r="C105" s="540"/>
      <c r="D105" s="540"/>
      <c r="E105" s="540"/>
      <c r="F105" s="539"/>
      <c r="G105" s="539"/>
      <c r="H105" s="539"/>
      <c r="I105" s="539"/>
      <c r="J105" s="539"/>
      <c r="K105" s="539"/>
      <c r="L105" s="539"/>
      <c r="M105" s="539"/>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9"/>
      <c r="AQ105" s="539"/>
      <c r="AR105" s="539"/>
      <c r="AS105" s="539"/>
      <c r="AT105" s="539"/>
      <c r="AU105" s="539"/>
      <c r="AV105" s="539"/>
      <c r="AW105" s="539"/>
      <c r="AX105" s="539"/>
    </row>
    <row r="106" spans="1:70" ht="26" x14ac:dyDescent="0.3">
      <c r="B106" s="957"/>
      <c r="C106" s="540"/>
      <c r="D106" s="1103" t="s">
        <v>136</v>
      </c>
      <c r="E106" s="1103"/>
      <c r="F106" s="1103"/>
      <c r="G106" s="539"/>
      <c r="H106" s="539"/>
      <c r="I106" s="539"/>
      <c r="J106" s="539"/>
      <c r="K106" s="539"/>
      <c r="L106" s="539"/>
      <c r="M106" s="539"/>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9"/>
      <c r="AQ106" s="539"/>
      <c r="AR106" s="539"/>
      <c r="AS106" s="539"/>
      <c r="AT106" s="539"/>
      <c r="AU106" s="539"/>
      <c r="AV106" s="539"/>
      <c r="AW106" s="539"/>
      <c r="AX106" s="539"/>
    </row>
    <row r="107" spans="1:70" ht="14.25" customHeight="1" thickBot="1" x14ac:dyDescent="0.35">
      <c r="B107" s="957"/>
      <c r="C107" s="540"/>
      <c r="D107" s="540"/>
      <c r="E107" s="540"/>
      <c r="F107" s="539"/>
      <c r="G107" s="539"/>
      <c r="H107" s="539"/>
      <c r="I107" s="539"/>
      <c r="J107" s="539"/>
      <c r="K107" s="539"/>
      <c r="L107" s="539"/>
      <c r="M107" s="539"/>
      <c r="N107" s="539"/>
      <c r="O107" s="539"/>
      <c r="P107" s="539"/>
      <c r="Q107" s="539"/>
      <c r="R107" s="539"/>
      <c r="S107" s="539"/>
      <c r="T107" s="539"/>
      <c r="U107" s="539"/>
      <c r="V107" s="558"/>
      <c r="W107" s="539"/>
      <c r="X107" s="539"/>
      <c r="Y107" s="539"/>
      <c r="Z107" s="539"/>
      <c r="AA107" s="539"/>
      <c r="AB107" s="539"/>
      <c r="AC107" s="539"/>
      <c r="AD107" s="539"/>
      <c r="AE107" s="539"/>
      <c r="AF107" s="539"/>
      <c r="AG107" s="539"/>
      <c r="AH107" s="539"/>
      <c r="AI107" s="539"/>
      <c r="AJ107" s="539"/>
      <c r="AK107" s="539"/>
      <c r="AL107" s="539"/>
      <c r="AM107" s="539"/>
      <c r="AN107" s="539"/>
      <c r="AO107" s="539"/>
      <c r="AP107" s="539"/>
      <c r="AQ107" s="539"/>
      <c r="AR107" s="539"/>
      <c r="AS107" s="539"/>
      <c r="AT107" s="539"/>
      <c r="AU107" s="539"/>
      <c r="AV107" s="539"/>
      <c r="AW107" s="539"/>
      <c r="AX107" s="539"/>
    </row>
    <row r="108" spans="1:70" ht="14.25" customHeight="1" x14ac:dyDescent="0.35">
      <c r="B108" s="543"/>
      <c r="C108" s="1150" t="s">
        <v>195</v>
      </c>
      <c r="D108" s="869" t="s">
        <v>95</v>
      </c>
      <c r="E108" s="870" t="s">
        <v>95</v>
      </c>
      <c r="F108" s="870" t="s">
        <v>95</v>
      </c>
      <c r="G108" s="870" t="s">
        <v>95</v>
      </c>
      <c r="H108" s="870" t="s">
        <v>95</v>
      </c>
      <c r="I108" s="870" t="s">
        <v>95</v>
      </c>
      <c r="J108" s="870" t="s">
        <v>95</v>
      </c>
      <c r="K108" s="870" t="s">
        <v>95</v>
      </c>
      <c r="L108" s="870" t="s">
        <v>95</v>
      </c>
      <c r="M108" s="870" t="s">
        <v>95</v>
      </c>
      <c r="N108" s="870" t="s">
        <v>95</v>
      </c>
      <c r="O108" s="870" t="s">
        <v>95</v>
      </c>
      <c r="P108" s="870" t="s">
        <v>95</v>
      </c>
      <c r="Q108" s="870" t="s">
        <v>95</v>
      </c>
      <c r="R108" s="870" t="s">
        <v>95</v>
      </c>
      <c r="S108" s="870" t="s">
        <v>95</v>
      </c>
      <c r="T108" s="870" t="s">
        <v>95</v>
      </c>
      <c r="U108" s="870" t="s">
        <v>95</v>
      </c>
      <c r="V108" s="870" t="s">
        <v>95</v>
      </c>
      <c r="W108" s="870" t="s">
        <v>95</v>
      </c>
      <c r="X108" s="870" t="s">
        <v>95</v>
      </c>
      <c r="Y108" s="870" t="s">
        <v>95</v>
      </c>
      <c r="Z108" s="870" t="s">
        <v>95</v>
      </c>
      <c r="AA108" s="870" t="s">
        <v>95</v>
      </c>
      <c r="AB108" s="870" t="s">
        <v>95</v>
      </c>
      <c r="AC108" s="870" t="s">
        <v>95</v>
      </c>
      <c r="AD108" s="870" t="s">
        <v>95</v>
      </c>
      <c r="AE108" s="870" t="s">
        <v>95</v>
      </c>
      <c r="AF108" s="870" t="s">
        <v>95</v>
      </c>
      <c r="AG108" s="870" t="s">
        <v>95</v>
      </c>
      <c r="AH108" s="870" t="s">
        <v>95</v>
      </c>
      <c r="AI108" s="870" t="s">
        <v>95</v>
      </c>
      <c r="AJ108" s="870" t="s">
        <v>95</v>
      </c>
      <c r="AK108" s="870" t="s">
        <v>95</v>
      </c>
      <c r="AL108" s="870" t="s">
        <v>95</v>
      </c>
      <c r="AM108" s="870" t="s">
        <v>95</v>
      </c>
      <c r="AN108" s="870" t="s">
        <v>95</v>
      </c>
      <c r="AO108" s="870" t="s">
        <v>95</v>
      </c>
      <c r="AP108" s="870" t="s">
        <v>95</v>
      </c>
      <c r="AQ108" s="870" t="s">
        <v>95</v>
      </c>
      <c r="AR108" s="870" t="s">
        <v>95</v>
      </c>
      <c r="AS108" s="870" t="s">
        <v>95</v>
      </c>
      <c r="AT108" s="870" t="s">
        <v>95</v>
      </c>
      <c r="AU108" s="870" t="s">
        <v>95</v>
      </c>
      <c r="AV108" s="870" t="s">
        <v>95</v>
      </c>
      <c r="AW108" s="870" t="s">
        <v>95</v>
      </c>
      <c r="AX108" s="870" t="s">
        <v>95</v>
      </c>
      <c r="AY108" s="870"/>
      <c r="AZ108" s="870"/>
      <c r="BA108" s="870"/>
      <c r="BB108" s="870"/>
      <c r="BC108" s="870"/>
      <c r="BD108" s="870"/>
      <c r="BE108" s="870"/>
      <c r="BF108" s="870"/>
      <c r="BG108" s="870"/>
      <c r="BH108" s="870"/>
      <c r="BI108" s="870"/>
      <c r="BJ108" s="870"/>
      <c r="BK108" s="870"/>
      <c r="BL108" s="870"/>
      <c r="BM108" s="870"/>
      <c r="BN108" s="870"/>
      <c r="BO108" s="870"/>
      <c r="BP108" s="870"/>
      <c r="BQ108" s="870"/>
      <c r="BR108" s="871"/>
    </row>
    <row r="109" spans="1:70" ht="14.25" customHeight="1" x14ac:dyDescent="0.3">
      <c r="B109" s="957"/>
      <c r="C109" s="1150"/>
      <c r="D109" s="565"/>
      <c r="E109" s="550" t="s">
        <v>138</v>
      </c>
      <c r="F109" s="557" t="s">
        <v>96</v>
      </c>
      <c r="G109" s="549"/>
      <c r="H109" s="549"/>
      <c r="I109" s="549"/>
      <c r="J109" s="549"/>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614"/>
    </row>
    <row r="110" spans="1:70" ht="14.25" customHeight="1" x14ac:dyDescent="0.3">
      <c r="B110" s="957"/>
      <c r="C110" s="1150"/>
      <c r="D110" s="565"/>
      <c r="E110" s="556"/>
      <c r="F110" s="631" t="s">
        <v>97</v>
      </c>
      <c r="G110" s="549"/>
      <c r="H110" s="549"/>
      <c r="I110" s="549"/>
      <c r="J110" s="549"/>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614"/>
    </row>
    <row r="111" spans="1:70" ht="14.25" customHeight="1" x14ac:dyDescent="0.35">
      <c r="B111" s="1151" t="s">
        <v>140</v>
      </c>
      <c r="C111" s="547">
        <v>0.23449999999999999</v>
      </c>
      <c r="D111" s="1152" t="s">
        <v>99</v>
      </c>
      <c r="E111" s="1153"/>
      <c r="F111" s="872" t="s">
        <v>100</v>
      </c>
      <c r="G111" s="872" t="s">
        <v>95</v>
      </c>
      <c r="H111" s="872" t="s">
        <v>95</v>
      </c>
      <c r="I111" s="872">
        <v>9.4719999999999999E-2</v>
      </c>
      <c r="J111" s="872" t="s">
        <v>95</v>
      </c>
      <c r="K111" s="872">
        <v>9.4719999999999999E-2</v>
      </c>
      <c r="L111" s="872" t="s">
        <v>95</v>
      </c>
      <c r="M111" s="872">
        <v>9.4719999999999999E-2</v>
      </c>
      <c r="N111" s="872" t="s">
        <v>95</v>
      </c>
      <c r="O111" s="872">
        <v>9.0789999999999982E-2</v>
      </c>
      <c r="P111" s="872" t="s">
        <v>95</v>
      </c>
      <c r="Q111" s="872">
        <v>7.7460000000000001E-2</v>
      </c>
      <c r="R111" s="873">
        <f>R66*$C$111</f>
        <v>2.2009594648387549E-2</v>
      </c>
      <c r="S111" s="873">
        <f>S66*$C$111</f>
        <v>2.2784684533525237E-2</v>
      </c>
      <c r="T111" s="873">
        <f>T66*$C$111</f>
        <v>2.2611520931070286E-2</v>
      </c>
      <c r="U111" s="873">
        <f>U66*$C$111</f>
        <v>2.2439673371994338E-2</v>
      </c>
      <c r="V111" s="873">
        <f t="shared" ref="V111:BQ111" si="46">V66*$C$111</f>
        <v>2.2269131854366915E-2</v>
      </c>
      <c r="W111" s="873">
        <f t="shared" si="46"/>
        <v>2.2099886452273936E-2</v>
      </c>
      <c r="X111" s="873">
        <f t="shared" si="46"/>
        <v>2.1931927315236657E-2</v>
      </c>
      <c r="Y111" s="873">
        <f t="shared" si="46"/>
        <v>2.1765244667640949E-2</v>
      </c>
      <c r="Z111" s="873">
        <f t="shared" si="46"/>
        <v>2.1599828808166653E-2</v>
      </c>
      <c r="AA111" s="873">
        <f t="shared" si="46"/>
        <v>2.14356701092248E-2</v>
      </c>
      <c r="AB111" s="873">
        <f t="shared" si="46"/>
        <v>2.1272759016394409E-2</v>
      </c>
      <c r="AC111" s="873">
        <f t="shared" si="46"/>
        <v>2.1111086047870174E-2</v>
      </c>
      <c r="AD111" s="873">
        <f t="shared" si="46"/>
        <v>2.0950641793906318E-2</v>
      </c>
      <c r="AE111" s="873">
        <f t="shared" si="46"/>
        <v>2.0791416916272606E-2</v>
      </c>
      <c r="AF111" s="873">
        <f t="shared" si="46"/>
        <v>2.0633402147708639E-2</v>
      </c>
      <c r="AG111" s="873">
        <f t="shared" si="46"/>
        <v>2.0476588291386089E-2</v>
      </c>
      <c r="AH111" s="873">
        <f t="shared" si="46"/>
        <v>2.0320966220371748E-2</v>
      </c>
      <c r="AI111" s="873">
        <f t="shared" si="46"/>
        <v>2.0166526877096851E-2</v>
      </c>
      <c r="AJ111" s="873">
        <f t="shared" si="46"/>
        <v>2.001326127283095E-2</v>
      </c>
      <c r="AK111" s="873">
        <f t="shared" si="46"/>
        <v>1.9861160487157487E-2</v>
      </c>
      <c r="AL111" s="873">
        <f t="shared" si="46"/>
        <v>1.9710215667455167E-2</v>
      </c>
      <c r="AM111" s="873">
        <f t="shared" si="46"/>
        <v>1.9560418028382279E-2</v>
      </c>
      <c r="AN111" s="873">
        <f t="shared" si="46"/>
        <v>1.9411758851366805E-2</v>
      </c>
      <c r="AO111" s="873">
        <f t="shared" si="46"/>
        <v>1.926422948409617E-2</v>
      </c>
      <c r="AP111" s="873">
        <f t="shared" si="46"/>
        <v>1.9117821340016938E-2</v>
      </c>
      <c r="AQ111" s="873">
        <f t="shared" si="46"/>
        <v>1.8972525897832878E-2</v>
      </c>
      <c r="AR111" s="873">
        <f t="shared" si="46"/>
        <v>1.8828334701009659E-2</v>
      </c>
      <c r="AS111" s="873">
        <f t="shared" si="46"/>
        <v>1.8685239357281662E-2</v>
      </c>
      <c r="AT111" s="873">
        <f t="shared" si="46"/>
        <v>1.8543231538166279E-2</v>
      </c>
      <c r="AU111" s="873">
        <f t="shared" si="46"/>
        <v>1.8402302978476538E-2</v>
      </c>
      <c r="AV111" s="873">
        <f t="shared" si="46"/>
        <v>1.826244547583997E-2</v>
      </c>
      <c r="AW111" s="873">
        <f t="shared" si="46"/>
        <v>1.8123650890223757E-2</v>
      </c>
      <c r="AX111" s="873">
        <f t="shared" si="46"/>
        <v>1.798591114345776E-2</v>
      </c>
      <c r="AY111" s="873">
        <f t="shared" si="46"/>
        <v>1.7849218218767567E-2</v>
      </c>
      <c r="AZ111" s="873">
        <f t="shared" si="46"/>
        <v>1.7713564160305027E-2</v>
      </c>
      <c r="BA111" s="873">
        <f t="shared" si="46"/>
        <v>1.7578941072686722E-2</v>
      </c>
      <c r="BB111" s="873">
        <f t="shared" si="46"/>
        <v>1.7445341120534068E-2</v>
      </c>
      <c r="BC111" s="873">
        <f t="shared" si="46"/>
        <v>1.7312756528018045E-2</v>
      </c>
      <c r="BD111" s="873">
        <f t="shared" si="46"/>
        <v>1.7181179578405124E-2</v>
      </c>
      <c r="BE111" s="873">
        <f t="shared" si="46"/>
        <v>1.7050602613609491E-2</v>
      </c>
      <c r="BF111" s="873">
        <f t="shared" si="46"/>
        <v>1.6921018033746071E-2</v>
      </c>
      <c r="BG111" s="873">
        <f t="shared" si="46"/>
        <v>1.6792418296689406E-2</v>
      </c>
      <c r="BH111" s="873">
        <f t="shared" si="46"/>
        <v>1.6664795917634586E-2</v>
      </c>
      <c r="BI111" s="873">
        <f t="shared" si="46"/>
        <v>1.6538143468660726E-2</v>
      </c>
      <c r="BJ111" s="873">
        <f t="shared" si="46"/>
        <v>1.6412453578298972E-2</v>
      </c>
      <c r="BK111" s="873">
        <f t="shared" si="46"/>
        <v>1.6287718931103885E-2</v>
      </c>
      <c r="BL111" s="873">
        <f t="shared" si="46"/>
        <v>1.6163932267227288E-2</v>
      </c>
      <c r="BM111" s="873">
        <f t="shared" si="46"/>
        <v>1.6041086381996309E-2</v>
      </c>
      <c r="BN111" s="873">
        <f t="shared" si="46"/>
        <v>1.5919174125493069E-2</v>
      </c>
      <c r="BO111" s="873">
        <f t="shared" si="46"/>
        <v>1.5798188402139372E-2</v>
      </c>
      <c r="BP111" s="873">
        <f t="shared" si="46"/>
        <v>1.5678122170283079E-2</v>
      </c>
      <c r="BQ111" s="873">
        <f t="shared" si="46"/>
        <v>1.5558968441789035E-2</v>
      </c>
      <c r="BR111" s="614"/>
    </row>
    <row r="112" spans="1:70" ht="14.25" customHeight="1" x14ac:dyDescent="0.35">
      <c r="B112" s="1151"/>
      <c r="C112" s="547">
        <v>0.48314606775000002</v>
      </c>
      <c r="D112" s="1152" t="s">
        <v>101</v>
      </c>
      <c r="E112" s="1153"/>
      <c r="F112" s="872" t="s">
        <v>100</v>
      </c>
      <c r="G112" s="872" t="s">
        <v>95</v>
      </c>
      <c r="H112" s="872" t="s">
        <v>95</v>
      </c>
      <c r="I112" s="872">
        <v>2.3E-3</v>
      </c>
      <c r="J112" s="872" t="s">
        <v>95</v>
      </c>
      <c r="K112" s="872">
        <v>2.3E-3</v>
      </c>
      <c r="L112" s="872" t="s">
        <v>95</v>
      </c>
      <c r="M112" s="872">
        <v>2.3E-3</v>
      </c>
      <c r="N112" s="872" t="s">
        <v>95</v>
      </c>
      <c r="O112" s="872">
        <v>1.1140000000000001E-2</v>
      </c>
      <c r="P112" s="872" t="s">
        <v>95</v>
      </c>
      <c r="Q112" s="872">
        <v>8.6E-3</v>
      </c>
      <c r="R112" s="874">
        <f>(R70-Q70)*$C$112</f>
        <v>7.1349334294623423E-8</v>
      </c>
      <c r="S112" s="874">
        <f t="shared" ref="S112:T112" si="47">(S70-R70)*$C$112</f>
        <v>-4.5901407143721548E-5</v>
      </c>
      <c r="T112" s="874">
        <f t="shared" si="47"/>
        <v>2.4943810742353892E-5</v>
      </c>
      <c r="U112" s="874">
        <f>(U70-T70)*$C$112</f>
        <v>1.5908575159136661E-5</v>
      </c>
      <c r="V112" s="874">
        <f t="shared" ref="V112:AW112" si="48">(V70-U70)*$C$112</f>
        <v>1.8270332766935151E-5</v>
      </c>
      <c r="W112" s="874">
        <f t="shared" si="48"/>
        <v>1.7686448293635974E-5</v>
      </c>
      <c r="X112" s="874">
        <f t="shared" si="48"/>
        <v>1.5922578805310519E-5</v>
      </c>
      <c r="Y112" s="874">
        <f t="shared" si="48"/>
        <v>1.3567340434683808E-5</v>
      </c>
      <c r="Z112" s="874">
        <f t="shared" si="48"/>
        <v>1.8791091548192594E-5</v>
      </c>
      <c r="AA112" s="874">
        <f t="shared" si="48"/>
        <v>1.6798336198805988E-5</v>
      </c>
      <c r="AB112" s="874">
        <f t="shared" si="48"/>
        <v>1.2964520966161959E-5</v>
      </c>
      <c r="AC112" s="874">
        <f t="shared" si="48"/>
        <v>1.4066093369822501E-5</v>
      </c>
      <c r="AD112" s="874">
        <f t="shared" si="48"/>
        <v>1.8710611356045929E-5</v>
      </c>
      <c r="AE112" s="874">
        <f t="shared" si="48"/>
        <v>1.4575045190938092E-5</v>
      </c>
      <c r="AF112" s="874">
        <f t="shared" si="48"/>
        <v>1.7087766037701528E-5</v>
      </c>
      <c r="AG112" s="874">
        <f t="shared" si="48"/>
        <v>1.399048616295028E-5</v>
      </c>
      <c r="AH112" s="874">
        <f t="shared" si="48"/>
        <v>1.3980791063494034E-5</v>
      </c>
      <c r="AI112" s="874">
        <f t="shared" si="48"/>
        <v>1.5103852945298839E-5</v>
      </c>
      <c r="AJ112" s="874">
        <f t="shared" si="48"/>
        <v>1.3423705326417018E-5</v>
      </c>
      <c r="AK112" s="874">
        <f t="shared" si="48"/>
        <v>1.3862100030836081E-5</v>
      </c>
      <c r="AL112" s="874">
        <f t="shared" si="48"/>
        <v>1.4921183858479627E-5</v>
      </c>
      <c r="AM112" s="874">
        <f t="shared" si="48"/>
        <v>1.3447133995708921E-5</v>
      </c>
      <c r="AN112" s="874">
        <f t="shared" si="48"/>
        <v>1.3515976217977583E-5</v>
      </c>
      <c r="AO112" s="874">
        <f t="shared" si="48"/>
        <v>1.3196368099399728E-5</v>
      </c>
      <c r="AP112" s="874">
        <f t="shared" si="48"/>
        <v>1.0362827358876466E-5</v>
      </c>
      <c r="AQ112" s="874">
        <f t="shared" si="48"/>
        <v>1.2985657895908511E-5</v>
      </c>
      <c r="AR112" s="874">
        <f t="shared" si="48"/>
        <v>1.1017538937468757E-5</v>
      </c>
      <c r="AS112" s="874">
        <f t="shared" si="48"/>
        <v>1.3550983488729652E-5</v>
      </c>
      <c r="AT112" s="874">
        <f t="shared" si="48"/>
        <v>1.0927009667928908E-5</v>
      </c>
      <c r="AU112" s="874">
        <f t="shared" si="48"/>
        <v>1.062632574679703E-5</v>
      </c>
      <c r="AV112" s="874">
        <f t="shared" si="48"/>
        <v>1.0825892770405143E-5</v>
      </c>
      <c r="AW112" s="874">
        <f t="shared" si="48"/>
        <v>1.0713234470827249E-5</v>
      </c>
      <c r="AX112" s="874">
        <f t="shared" ref="AX112" si="49">(AX70-AW70)*$C$112</f>
        <v>1.1948937659329673E-5</v>
      </c>
      <c r="AY112" s="874">
        <f t="shared" ref="AY112" si="50">(AY70-AX70)*$C$112</f>
        <v>1.0672460469275588E-5</v>
      </c>
      <c r="AZ112" s="874">
        <f t="shared" ref="AZ112" si="51">(AZ70-AY70)*$C$112</f>
        <v>1.0491222784594792E-5</v>
      </c>
      <c r="BA112" s="874">
        <f t="shared" ref="BA112" si="52">(BA70-AZ70)*$C$112</f>
        <v>1.064225337430524E-5</v>
      </c>
      <c r="BB112" s="874">
        <f t="shared" ref="BB112" si="53">(BB70-BA70)*$C$112</f>
        <v>1.0554132508383265E-5</v>
      </c>
      <c r="BC112" s="874">
        <f t="shared" ref="BC112" si="54">(BC70-BB70)*$C$112</f>
        <v>1.0657820938728202E-5</v>
      </c>
      <c r="BD112" s="874">
        <f t="shared" ref="BD112" si="55">(BD70-BC70)*$C$112</f>
        <v>1.0143449652335622E-5</v>
      </c>
      <c r="BE112" s="874">
        <f t="shared" ref="BE112" si="56">(BE70-BD70)*$C$112</f>
        <v>1.0070711003406817E-5</v>
      </c>
      <c r="BF112" s="874">
        <f t="shared" ref="BF112" si="57">(BF70-BE70)*$C$112</f>
        <v>9.9949312943601034E-6</v>
      </c>
      <c r="BG112" s="874">
        <f t="shared" ref="BG112" si="58">(BG70-BF70)*$C$112</f>
        <v>9.8753496989593815E-6</v>
      </c>
      <c r="BH112" s="874">
        <f t="shared" ref="BH112" si="59">(BH70-BG70)*$C$112</f>
        <v>9.7179386549410413E-6</v>
      </c>
      <c r="BI112" s="874">
        <f t="shared" ref="BI112" si="60">(BI70-BH70)*$C$112</f>
        <v>9.5904878370435474E-6</v>
      </c>
      <c r="BJ112" s="874">
        <f t="shared" ref="BJ112" si="61">(BJ70-BI70)*$C$112</f>
        <v>9.4761118940151737E-6</v>
      </c>
      <c r="BK112" s="874">
        <f t="shared" ref="BK112" si="62">(BK70-BJ70)*$C$112</f>
        <v>9.3661517840116643E-6</v>
      </c>
      <c r="BL112" s="874">
        <f t="shared" ref="BL112" si="63">(BL70-BK70)*$C$112</f>
        <v>9.2325645730516009E-6</v>
      </c>
      <c r="BM112" s="874">
        <f t="shared" ref="BM112" si="64">(BM70-BL70)*$C$112</f>
        <v>9.1005542905858433E-6</v>
      </c>
      <c r="BN112" s="874">
        <f t="shared" ref="BN112" si="65">(BN70-BM70)*$C$112</f>
        <v>8.9597059760027245E-6</v>
      </c>
      <c r="BO112" s="874">
        <f t="shared" ref="BO112" si="66">(BO70-BN70)*$C$112</f>
        <v>8.8400977639433557E-6</v>
      </c>
      <c r="BP112" s="874">
        <f t="shared" ref="BP112" si="67">(BP70-BO70)*$C$112</f>
        <v>8.7167950977982604E-6</v>
      </c>
      <c r="BQ112" s="874">
        <f t="shared" ref="BQ112" si="68">(BQ70-BP70)*$C$112</f>
        <v>8.5903830837460832E-6</v>
      </c>
      <c r="BR112" s="614"/>
    </row>
    <row r="113" spans="2:70" s="932" customFormat="1" ht="14.25" customHeight="1" x14ac:dyDescent="0.35">
      <c r="B113" s="1151"/>
      <c r="C113" s="929">
        <v>0.4</v>
      </c>
      <c r="D113" s="1154" t="s">
        <v>141</v>
      </c>
      <c r="E113" s="1155"/>
      <c r="F113" s="930" t="s">
        <v>100</v>
      </c>
      <c r="G113" s="930"/>
      <c r="H113" s="930"/>
      <c r="I113" s="930"/>
      <c r="J113" s="930"/>
      <c r="K113" s="930"/>
      <c r="L113" s="930"/>
      <c r="M113" s="930"/>
      <c r="N113" s="930"/>
      <c r="O113" s="930"/>
      <c r="P113" s="930"/>
      <c r="Q113" s="930"/>
      <c r="R113" s="931">
        <f>(R75-Q75)*$C$113</f>
        <v>1.5276864652670597E-2</v>
      </c>
      <c r="S113" s="931">
        <f t="shared" ref="S113:T113" si="69">(S75-R75)*$C$113</f>
        <v>3.6935083706370976E-2</v>
      </c>
      <c r="T113" s="931">
        <f t="shared" si="69"/>
        <v>2.0508067968161472E-2</v>
      </c>
      <c r="U113" s="931">
        <f>(U75-T75)*$C$113</f>
        <v>1.9712870077778888E-2</v>
      </c>
      <c r="V113" s="931">
        <f t="shared" ref="V113:BP113" si="70">(V75-U75)*$C$113</f>
        <v>2.1947819944439576E-2</v>
      </c>
      <c r="W113" s="931">
        <f t="shared" si="70"/>
        <v>2.0563031172095948E-2</v>
      </c>
      <c r="X113" s="931">
        <f t="shared" si="70"/>
        <v>2.4287103673602674E-2</v>
      </c>
      <c r="Y113" s="931">
        <f t="shared" si="70"/>
        <v>2.6223003818035908E-2</v>
      </c>
      <c r="Z113" s="931">
        <f t="shared" si="70"/>
        <v>2.2552808215052879E-2</v>
      </c>
      <c r="AA113" s="931">
        <f t="shared" si="70"/>
        <v>2.437006181395418E-2</v>
      </c>
      <c r="AB113" s="931">
        <f t="shared" si="70"/>
        <v>2.9192389706068769E-2</v>
      </c>
      <c r="AC113" s="931">
        <f t="shared" si="70"/>
        <v>2.7741271165060512E-2</v>
      </c>
      <c r="AD113" s="931">
        <f t="shared" si="70"/>
        <v>2.3755752699858593E-2</v>
      </c>
      <c r="AE113" s="931">
        <f t="shared" si="70"/>
        <v>2.773715082822541E-2</v>
      </c>
      <c r="AF113" s="931">
        <f t="shared" si="70"/>
        <v>2.5284682016521034E-2</v>
      </c>
      <c r="AG113" s="931">
        <f t="shared" si="70"/>
        <v>2.8054635533848328E-2</v>
      </c>
      <c r="AH113" s="931">
        <f t="shared" si="70"/>
        <v>2.7517711276782111E-2</v>
      </c>
      <c r="AI113" s="931">
        <f t="shared" si="70"/>
        <v>2.580609667760321E-2</v>
      </c>
      <c r="AJ113" s="931">
        <f t="shared" si="70"/>
        <v>2.6492708115161537E-2</v>
      </c>
      <c r="AK113" s="931">
        <f t="shared" si="70"/>
        <v>2.5163535444932352E-2</v>
      </c>
      <c r="AL113" s="931">
        <f t="shared" si="70"/>
        <v>2.2837732578297933E-2</v>
      </c>
      <c r="AM113" s="931">
        <f t="shared" si="70"/>
        <v>2.3266073444985838E-2</v>
      </c>
      <c r="AN113" s="931">
        <f t="shared" si="70"/>
        <v>2.1824048303859912E-2</v>
      </c>
      <c r="AO113" s="931">
        <f t="shared" si="70"/>
        <v>2.1079465590033309E-2</v>
      </c>
      <c r="AP113" s="931">
        <f t="shared" si="70"/>
        <v>2.2712778299480263E-2</v>
      </c>
      <c r="AQ113" s="931">
        <f t="shared" si="70"/>
        <v>1.903928406457496E-2</v>
      </c>
      <c r="AR113" s="931">
        <f t="shared" si="70"/>
        <v>1.9978779991446063E-2</v>
      </c>
      <c r="AS113" s="931">
        <f t="shared" si="70"/>
        <v>1.6539499248214542E-2</v>
      </c>
      <c r="AT113" s="931">
        <f t="shared" si="70"/>
        <v>1.8449350302541492E-2</v>
      </c>
      <c r="AU113" s="931">
        <f t="shared" si="70"/>
        <v>1.8267196896059445E-2</v>
      </c>
      <c r="AV113" s="931">
        <f t="shared" si="70"/>
        <v>1.7459277025721677E-2</v>
      </c>
      <c r="AW113" s="931">
        <f t="shared" si="70"/>
        <v>1.7312790055536098E-2</v>
      </c>
      <c r="AX113" s="931">
        <f t="shared" si="70"/>
        <v>1.8991451214623468E-2</v>
      </c>
      <c r="AY113" s="931">
        <f t="shared" si="70"/>
        <v>1.8445526240120812E-2</v>
      </c>
      <c r="AZ113" s="931">
        <f t="shared" si="70"/>
        <v>1.7979249474466743E-2</v>
      </c>
      <c r="BA113" s="931">
        <f t="shared" si="70"/>
        <v>1.7431791250932704E-2</v>
      </c>
      <c r="BB113" s="931">
        <f t="shared" si="70"/>
        <v>1.6938625305419563E-2</v>
      </c>
      <c r="BC113" s="931">
        <f t="shared" si="70"/>
        <v>1.6573428230705647E-2</v>
      </c>
      <c r="BD113" s="931">
        <f t="shared" si="70"/>
        <v>1.6152865124547233E-2</v>
      </c>
      <c r="BE113" s="931">
        <f t="shared" si="70"/>
        <v>1.5803398068834441E-2</v>
      </c>
      <c r="BF113" s="931">
        <f t="shared" si="70"/>
        <v>1.5481468469609894E-2</v>
      </c>
      <c r="BG113" s="931">
        <f t="shared" si="70"/>
        <v>1.5021849767433438E-2</v>
      </c>
      <c r="BH113" s="931">
        <f t="shared" si="70"/>
        <v>1.4788133819234873E-2</v>
      </c>
      <c r="BI113" s="931">
        <f t="shared" si="70"/>
        <v>1.4471478320680476E-2</v>
      </c>
      <c r="BJ113" s="931">
        <f t="shared" si="70"/>
        <v>1.4374342555869292E-2</v>
      </c>
      <c r="BK113" s="931">
        <f t="shared" si="70"/>
        <v>1.4135360045218093E-2</v>
      </c>
      <c r="BL113" s="931">
        <f t="shared" si="70"/>
        <v>1.3891978157572283E-2</v>
      </c>
      <c r="BM113" s="931">
        <f t="shared" si="70"/>
        <v>1.3687778686277952E-2</v>
      </c>
      <c r="BN113" s="931">
        <f t="shared" si="70"/>
        <v>1.3478925456207947E-2</v>
      </c>
      <c r="BO113" s="931">
        <f t="shared" si="70"/>
        <v>1.3136825506742512E-2</v>
      </c>
      <c r="BP113" s="931">
        <f t="shared" si="70"/>
        <v>1.2808587958874185E-2</v>
      </c>
      <c r="BQ113" s="931">
        <f>(BQ75-BP75)*$C$113</f>
        <v>1.2489539080653245E-2</v>
      </c>
      <c r="BR113" s="926"/>
    </row>
    <row r="114" spans="2:70" s="932" customFormat="1" ht="14.25" customHeight="1" x14ac:dyDescent="0.35">
      <c r="B114" s="1151"/>
      <c r="C114" s="929">
        <v>0.58509999999999995</v>
      </c>
      <c r="D114" s="1156" t="s">
        <v>102</v>
      </c>
      <c r="E114" s="1157"/>
      <c r="F114" s="930" t="s">
        <v>100</v>
      </c>
      <c r="G114" s="930" t="s">
        <v>95</v>
      </c>
      <c r="H114" s="930" t="s">
        <v>95</v>
      </c>
      <c r="I114" s="930">
        <v>2.4389999999999998E-2</v>
      </c>
      <c r="J114" s="930" t="s">
        <v>95</v>
      </c>
      <c r="K114" s="930">
        <v>2.4389999999999998E-2</v>
      </c>
      <c r="L114" s="930" t="s">
        <v>95</v>
      </c>
      <c r="M114" s="930">
        <v>2.4389999999999998E-2</v>
      </c>
      <c r="N114" s="930" t="s">
        <v>95</v>
      </c>
      <c r="O114" s="930">
        <v>5.355E-2</v>
      </c>
      <c r="P114" s="930" t="s">
        <v>95</v>
      </c>
      <c r="Q114" s="930">
        <v>1.486E-2</v>
      </c>
      <c r="R114" s="931">
        <f>(R77-Q77)*$C$114</f>
        <v>-3.9654976969999067E-3</v>
      </c>
      <c r="S114" s="931">
        <f t="shared" ref="S114:T114" si="71">(S77-R77)*$C$114</f>
        <v>-4.1489440999999752E-3</v>
      </c>
      <c r="T114" s="931">
        <f t="shared" si="71"/>
        <v>-4.1489440999999752E-3</v>
      </c>
      <c r="U114" s="931">
        <f>(U77-T77)*$C$114</f>
        <v>-4.1489440999999752E-3</v>
      </c>
      <c r="V114" s="931">
        <f t="shared" ref="V114:BQ114" si="72">(V77-U77)*$C$114</f>
        <v>-4.1489440999999752E-3</v>
      </c>
      <c r="W114" s="931">
        <f t="shared" si="72"/>
        <v>-4.1489441000002354E-3</v>
      </c>
      <c r="X114" s="931">
        <f t="shared" si="72"/>
        <v>-4.1489440999999752E-3</v>
      </c>
      <c r="Y114" s="931">
        <f t="shared" si="72"/>
        <v>-4.1489440999999752E-3</v>
      </c>
      <c r="Z114" s="931">
        <f t="shared" si="72"/>
        <v>-4.1489440999999752E-3</v>
      </c>
      <c r="AA114" s="931">
        <f t="shared" si="72"/>
        <v>-4.1489440999999752E-3</v>
      </c>
      <c r="AB114" s="931">
        <f t="shared" si="72"/>
        <v>-4.1489440999999752E-3</v>
      </c>
      <c r="AC114" s="931">
        <f t="shared" si="72"/>
        <v>-4.1489440999999752E-3</v>
      </c>
      <c r="AD114" s="931">
        <f t="shared" si="72"/>
        <v>-4.1489440999999752E-3</v>
      </c>
      <c r="AE114" s="931">
        <f t="shared" si="72"/>
        <v>-4.1489440999999752E-3</v>
      </c>
      <c r="AF114" s="931">
        <f t="shared" si="72"/>
        <v>-4.1489440999999752E-3</v>
      </c>
      <c r="AG114" s="931">
        <f t="shared" si="72"/>
        <v>-4.1489440999999752E-3</v>
      </c>
      <c r="AH114" s="931">
        <f t="shared" si="72"/>
        <v>-4.1489441000002354E-3</v>
      </c>
      <c r="AI114" s="931">
        <f t="shared" si="72"/>
        <v>-4.1489440999999752E-3</v>
      </c>
      <c r="AJ114" s="931">
        <f t="shared" si="72"/>
        <v>-4.1489440999999752E-3</v>
      </c>
      <c r="AK114" s="931">
        <f t="shared" si="72"/>
        <v>-4.1489440999999752E-3</v>
      </c>
      <c r="AL114" s="931">
        <f t="shared" si="72"/>
        <v>-4.1489440999999752E-3</v>
      </c>
      <c r="AM114" s="931">
        <f t="shared" si="72"/>
        <v>-4.1489440999999752E-3</v>
      </c>
      <c r="AN114" s="931">
        <f t="shared" si="72"/>
        <v>-4.1489440999999752E-3</v>
      </c>
      <c r="AO114" s="931">
        <f t="shared" si="72"/>
        <v>-4.1489440999999752E-3</v>
      </c>
      <c r="AP114" s="931">
        <f t="shared" si="72"/>
        <v>-4.1489440999999752E-3</v>
      </c>
      <c r="AQ114" s="931">
        <f t="shared" si="72"/>
        <v>-4.1489440999999752E-3</v>
      </c>
      <c r="AR114" s="931">
        <f t="shared" si="72"/>
        <v>-4.1489440999999752E-3</v>
      </c>
      <c r="AS114" s="931">
        <f t="shared" si="72"/>
        <v>-4.1489441000002354E-3</v>
      </c>
      <c r="AT114" s="931">
        <f t="shared" si="72"/>
        <v>-4.1489440999999752E-3</v>
      </c>
      <c r="AU114" s="931">
        <f t="shared" si="72"/>
        <v>-4.1489440999999752E-3</v>
      </c>
      <c r="AV114" s="931">
        <f t="shared" si="72"/>
        <v>-4.1489440999999752E-3</v>
      </c>
      <c r="AW114" s="931">
        <f t="shared" si="72"/>
        <v>-4.1489440999999752E-3</v>
      </c>
      <c r="AX114" s="931">
        <f t="shared" si="72"/>
        <v>-4.1489440999999752E-3</v>
      </c>
      <c r="AY114" s="931">
        <f t="shared" si="72"/>
        <v>-4.1489440999999752E-3</v>
      </c>
      <c r="AZ114" s="931">
        <f t="shared" si="72"/>
        <v>-4.1489440999999752E-3</v>
      </c>
      <c r="BA114" s="931">
        <f t="shared" si="72"/>
        <v>-4.1489440999999752E-3</v>
      </c>
      <c r="BB114" s="931">
        <f t="shared" si="72"/>
        <v>-4.1489440999999752E-3</v>
      </c>
      <c r="BC114" s="931">
        <f t="shared" si="72"/>
        <v>-4.1489441000002354E-3</v>
      </c>
      <c r="BD114" s="931">
        <f t="shared" si="72"/>
        <v>-4.1489440999999752E-3</v>
      </c>
      <c r="BE114" s="931">
        <f t="shared" si="72"/>
        <v>-4.1489440999999752E-3</v>
      </c>
      <c r="BF114" s="931">
        <f t="shared" si="72"/>
        <v>-4.1489440999999752E-3</v>
      </c>
      <c r="BG114" s="931">
        <f t="shared" si="72"/>
        <v>-4.1489440999999752E-3</v>
      </c>
      <c r="BH114" s="931">
        <f t="shared" si="72"/>
        <v>-4.1489440999999752E-3</v>
      </c>
      <c r="BI114" s="931">
        <f t="shared" si="72"/>
        <v>-4.1489440999999752E-3</v>
      </c>
      <c r="BJ114" s="931">
        <f t="shared" si="72"/>
        <v>-4.1489440999999752E-3</v>
      </c>
      <c r="BK114" s="931">
        <f t="shared" si="72"/>
        <v>-4.1489440999999752E-3</v>
      </c>
      <c r="BL114" s="931">
        <f t="shared" si="72"/>
        <v>-4.1489440999999752E-3</v>
      </c>
      <c r="BM114" s="931">
        <f t="shared" si="72"/>
        <v>-4.1489440999999752E-3</v>
      </c>
      <c r="BN114" s="931">
        <f t="shared" si="72"/>
        <v>-4.1489441000002354E-3</v>
      </c>
      <c r="BO114" s="931">
        <f t="shared" si="72"/>
        <v>-4.1489440999999752E-3</v>
      </c>
      <c r="BP114" s="931">
        <f t="shared" si="72"/>
        <v>-4.1489440999999752E-3</v>
      </c>
      <c r="BQ114" s="931">
        <f t="shared" si="72"/>
        <v>-4.1489440999999752E-3</v>
      </c>
      <c r="BR114" s="926"/>
    </row>
    <row r="115" spans="2:70" ht="14.25" customHeight="1" x14ac:dyDescent="0.35">
      <c r="B115" s="1151"/>
      <c r="C115" s="547">
        <v>0.41610000000000003</v>
      </c>
      <c r="D115" s="1152" t="s">
        <v>103</v>
      </c>
      <c r="E115" s="1153"/>
      <c r="F115" s="872" t="s">
        <v>100</v>
      </c>
      <c r="G115" s="872" t="s">
        <v>95</v>
      </c>
      <c r="H115" s="872" t="s">
        <v>95</v>
      </c>
      <c r="I115" s="872">
        <v>8.3199999999999993E-3</v>
      </c>
      <c r="J115" s="872" t="s">
        <v>95</v>
      </c>
      <c r="K115" s="872">
        <v>8.3199999999999993E-3</v>
      </c>
      <c r="L115" s="872" t="s">
        <v>95</v>
      </c>
      <c r="M115" s="872">
        <v>8.3199999999999993E-3</v>
      </c>
      <c r="N115" s="872" t="s">
        <v>95</v>
      </c>
      <c r="O115" s="872">
        <v>1.022E-2</v>
      </c>
      <c r="P115" s="872" t="s">
        <v>95</v>
      </c>
      <c r="Q115" s="872">
        <v>6.7299999999999999E-3</v>
      </c>
      <c r="R115" s="874">
        <f>(R79-Q79)*$C$115</f>
        <v>-2.825140329156621E-4</v>
      </c>
      <c r="S115" s="874">
        <f t="shared" ref="S115:T115" si="73">(S79-R79)*$C$115</f>
        <v>-2.82124163550249E-4</v>
      </c>
      <c r="T115" s="874">
        <f t="shared" si="73"/>
        <v>-2.8173483220455495E-4</v>
      </c>
      <c r="U115" s="874">
        <f>(U79-T79)*$C$115</f>
        <v>-2.8134603813611165E-4</v>
      </c>
      <c r="V115" s="874">
        <f t="shared" ref="V115:BQ115" si="74">(V79-U79)*$C$115</f>
        <v>-2.8095778060346726E-4</v>
      </c>
      <c r="W115" s="874">
        <f t="shared" si="74"/>
        <v>-2.8057005886623237E-4</v>
      </c>
      <c r="X115" s="874">
        <f t="shared" si="74"/>
        <v>-2.8018287218501081E-4</v>
      </c>
      <c r="Y115" s="874">
        <f t="shared" si="74"/>
        <v>-2.7979621982139965E-4</v>
      </c>
      <c r="Z115" s="874">
        <f t="shared" si="74"/>
        <v>-2.7941010103803537E-4</v>
      </c>
      <c r="AA115" s="874">
        <f t="shared" si="74"/>
        <v>-2.7902451509861703E-4</v>
      </c>
      <c r="AB115" s="874">
        <f t="shared" si="74"/>
        <v>-2.7863946126776743E-4</v>
      </c>
      <c r="AC115" s="874">
        <f t="shared" si="74"/>
        <v>-2.782549388112183E-4</v>
      </c>
      <c r="AD115" s="874">
        <f t="shared" si="74"/>
        <v>-2.7787094699567138E-4</v>
      </c>
      <c r="AE115" s="874">
        <f t="shared" si="74"/>
        <v>-2.7748748508879859E-4</v>
      </c>
      <c r="AF115" s="874">
        <f t="shared" si="74"/>
        <v>-2.7710455235938042E-4</v>
      </c>
      <c r="AG115" s="874">
        <f t="shared" si="74"/>
        <v>-2.767221480771215E-4</v>
      </c>
      <c r="AH115" s="874">
        <f t="shared" si="74"/>
        <v>-2.7634027151278884E-4</v>
      </c>
      <c r="AI115" s="874">
        <f t="shared" si="74"/>
        <v>-2.7595892193809648E-4</v>
      </c>
      <c r="AJ115" s="874">
        <f t="shared" si="74"/>
        <v>-2.7557809862582106E-4</v>
      </c>
      <c r="AK115" s="874">
        <f t="shared" si="74"/>
        <v>-2.7519780084970928E-4</v>
      </c>
      <c r="AL115" s="874">
        <f t="shared" si="74"/>
        <v>-2.7481802788454718E-4</v>
      </c>
      <c r="AM115" s="874">
        <f t="shared" si="74"/>
        <v>-2.7443877900606804E-4</v>
      </c>
      <c r="AN115" s="874">
        <f t="shared" si="74"/>
        <v>-2.7406005349104435E-4</v>
      </c>
      <c r="AO115" s="874">
        <f t="shared" si="74"/>
        <v>-2.7368185061721882E-4</v>
      </c>
      <c r="AP115" s="874">
        <f t="shared" si="74"/>
        <v>-2.7330416966337361E-4</v>
      </c>
      <c r="AQ115" s="874">
        <f t="shared" si="74"/>
        <v>-2.7292700990923778E-4</v>
      </c>
      <c r="AR115" s="874">
        <f t="shared" si="74"/>
        <v>-2.725503706355569E-4</v>
      </c>
      <c r="AS115" s="874">
        <f t="shared" si="74"/>
        <v>-2.7217425112406954E-4</v>
      </c>
      <c r="AT115" s="874">
        <f t="shared" si="74"/>
        <v>-2.7179865065753075E-4</v>
      </c>
      <c r="AU115" s="874">
        <f t="shared" si="74"/>
        <v>-2.7142356851961948E-4</v>
      </c>
      <c r="AV115" s="874">
        <f t="shared" si="74"/>
        <v>-2.71049003995054E-4</v>
      </c>
      <c r="AW115" s="874">
        <f t="shared" si="74"/>
        <v>-2.7067495636954599E-4</v>
      </c>
      <c r="AX115" s="874">
        <f t="shared" si="74"/>
        <v>-2.7030142492975401E-4</v>
      </c>
      <c r="AY115" s="874">
        <f t="shared" si="74"/>
        <v>-2.6992840896335299E-4</v>
      </c>
      <c r="AZ115" s="874">
        <f t="shared" si="74"/>
        <v>-2.6955590775898792E-4</v>
      </c>
      <c r="BA115" s="874">
        <f t="shared" si="74"/>
        <v>-2.6918392060627398E-4</v>
      </c>
      <c r="BB115" s="874">
        <f t="shared" si="74"/>
        <v>-2.6881244679584273E-4</v>
      </c>
      <c r="BC115" s="874">
        <f t="shared" si="74"/>
        <v>-2.6844148561927256E-4</v>
      </c>
      <c r="BD115" s="874">
        <f t="shared" si="74"/>
        <v>-2.6807103636911219E-4</v>
      </c>
      <c r="BE115" s="874">
        <f t="shared" si="74"/>
        <v>-2.6770109833892659E-4</v>
      </c>
      <c r="BF115" s="874">
        <f t="shared" si="74"/>
        <v>-2.6733167082320454E-4</v>
      </c>
      <c r="BG115" s="874">
        <f t="shared" si="74"/>
        <v>-2.6696275311747445E-4</v>
      </c>
      <c r="BH115" s="874">
        <f t="shared" si="74"/>
        <v>-2.6659434451816545E-4</v>
      </c>
      <c r="BI115" s="874">
        <f t="shared" si="74"/>
        <v>-2.6622644432274602E-4</v>
      </c>
      <c r="BJ115" s="874">
        <f t="shared" si="74"/>
        <v>-2.6585905182958556E-4</v>
      </c>
      <c r="BK115" s="874">
        <f t="shared" si="74"/>
        <v>-2.6549216633804673E-4</v>
      </c>
      <c r="BL115" s="874">
        <f t="shared" si="74"/>
        <v>-2.6512578714850833E-4</v>
      </c>
      <c r="BM115" s="874">
        <f t="shared" si="74"/>
        <v>-2.6475991356222716E-4</v>
      </c>
      <c r="BN115" s="874">
        <f t="shared" si="74"/>
        <v>-2.6439454488152232E-4</v>
      </c>
      <c r="BO115" s="874">
        <f t="shared" si="74"/>
        <v>-2.6402968040959069E-4</v>
      </c>
      <c r="BP115" s="874">
        <f t="shared" si="74"/>
        <v>-2.6366531945062243E-4</v>
      </c>
      <c r="BQ115" s="874">
        <f t="shared" si="74"/>
        <v>-2.6330146130977772E-4</v>
      </c>
      <c r="BR115" s="614"/>
    </row>
    <row r="116" spans="2:70" ht="14.25" customHeight="1" x14ac:dyDescent="0.35">
      <c r="B116" s="1151"/>
      <c r="C116" s="542"/>
      <c r="D116" s="1152" t="s">
        <v>80</v>
      </c>
      <c r="E116" s="1153"/>
      <c r="F116" s="872" t="s">
        <v>100</v>
      </c>
      <c r="G116" s="872" t="s">
        <v>95</v>
      </c>
      <c r="H116" s="872" t="s">
        <v>95</v>
      </c>
      <c r="I116" s="872">
        <v>0</v>
      </c>
      <c r="J116" s="872" t="s">
        <v>95</v>
      </c>
      <c r="K116" s="872">
        <v>0</v>
      </c>
      <c r="L116" s="872" t="s">
        <v>95</v>
      </c>
      <c r="M116" s="872">
        <v>0</v>
      </c>
      <c r="N116" s="872" t="s">
        <v>95</v>
      </c>
      <c r="O116" s="872">
        <v>0</v>
      </c>
      <c r="P116" s="872" t="s">
        <v>95</v>
      </c>
      <c r="Q116" s="872">
        <v>0</v>
      </c>
      <c r="R116" s="874"/>
      <c r="S116" s="874"/>
      <c r="T116" s="874"/>
      <c r="U116" s="874"/>
      <c r="V116" s="874"/>
      <c r="W116" s="874">
        <f t="shared" ref="W116:AW116" si="75">(W72-V72)*$C$116</f>
        <v>0</v>
      </c>
      <c r="X116" s="874">
        <f t="shared" si="75"/>
        <v>0</v>
      </c>
      <c r="Y116" s="874">
        <f t="shared" si="75"/>
        <v>0</v>
      </c>
      <c r="Z116" s="874">
        <f t="shared" si="75"/>
        <v>0</v>
      </c>
      <c r="AA116" s="874">
        <f t="shared" si="75"/>
        <v>0</v>
      </c>
      <c r="AB116" s="874">
        <f t="shared" si="75"/>
        <v>0</v>
      </c>
      <c r="AC116" s="874">
        <f t="shared" si="75"/>
        <v>0</v>
      </c>
      <c r="AD116" s="874">
        <f t="shared" si="75"/>
        <v>0</v>
      </c>
      <c r="AE116" s="874">
        <f t="shared" si="75"/>
        <v>0</v>
      </c>
      <c r="AF116" s="874">
        <f t="shared" si="75"/>
        <v>0</v>
      </c>
      <c r="AG116" s="874">
        <f t="shared" si="75"/>
        <v>0</v>
      </c>
      <c r="AH116" s="874">
        <f t="shared" si="75"/>
        <v>0</v>
      </c>
      <c r="AI116" s="874">
        <f t="shared" si="75"/>
        <v>0</v>
      </c>
      <c r="AJ116" s="874">
        <f t="shared" si="75"/>
        <v>0</v>
      </c>
      <c r="AK116" s="874">
        <f t="shared" si="75"/>
        <v>0</v>
      </c>
      <c r="AL116" s="874">
        <f t="shared" si="75"/>
        <v>0</v>
      </c>
      <c r="AM116" s="874">
        <f t="shared" si="75"/>
        <v>0</v>
      </c>
      <c r="AN116" s="874">
        <f t="shared" si="75"/>
        <v>0</v>
      </c>
      <c r="AO116" s="874">
        <f t="shared" si="75"/>
        <v>0</v>
      </c>
      <c r="AP116" s="874">
        <f t="shared" si="75"/>
        <v>0</v>
      </c>
      <c r="AQ116" s="874">
        <f t="shared" si="75"/>
        <v>0</v>
      </c>
      <c r="AR116" s="874">
        <f t="shared" si="75"/>
        <v>0</v>
      </c>
      <c r="AS116" s="874">
        <f t="shared" si="75"/>
        <v>0</v>
      </c>
      <c r="AT116" s="874">
        <f t="shared" si="75"/>
        <v>0</v>
      </c>
      <c r="AU116" s="874">
        <f t="shared" si="75"/>
        <v>0</v>
      </c>
      <c r="AV116" s="874">
        <f t="shared" si="75"/>
        <v>0</v>
      </c>
      <c r="AW116" s="874">
        <f t="shared" si="75"/>
        <v>0</v>
      </c>
      <c r="AX116" s="874" t="s">
        <v>95</v>
      </c>
      <c r="AY116" s="874"/>
      <c r="AZ116" s="874"/>
      <c r="BA116" s="874"/>
      <c r="BB116" s="874"/>
      <c r="BC116" s="874"/>
      <c r="BD116" s="874"/>
      <c r="BE116" s="874"/>
      <c r="BF116" s="874"/>
      <c r="BG116" s="874"/>
      <c r="BH116" s="874"/>
      <c r="BI116" s="874"/>
      <c r="BJ116" s="874"/>
      <c r="BK116" s="874"/>
      <c r="BL116" s="874"/>
      <c r="BM116" s="874"/>
      <c r="BN116" s="874"/>
      <c r="BO116" s="874"/>
      <c r="BP116" s="874"/>
      <c r="BQ116" s="874"/>
      <c r="BR116" s="614"/>
    </row>
    <row r="117" spans="2:70" ht="14.25" customHeight="1" x14ac:dyDescent="0.35">
      <c r="B117" s="1151"/>
      <c r="C117" s="547">
        <v>0.1573</v>
      </c>
      <c r="D117" s="1152" t="s">
        <v>57</v>
      </c>
      <c r="E117" s="1153"/>
      <c r="F117" s="872" t="s">
        <v>100</v>
      </c>
      <c r="G117" s="872" t="s">
        <v>95</v>
      </c>
      <c r="H117" s="872" t="s">
        <v>95</v>
      </c>
      <c r="I117" s="872">
        <v>1.2800000000000001E-3</v>
      </c>
      <c r="J117" s="872" t="s">
        <v>95</v>
      </c>
      <c r="K117" s="872">
        <v>1.2800000000000001E-3</v>
      </c>
      <c r="L117" s="872" t="s">
        <v>95</v>
      </c>
      <c r="M117" s="872">
        <v>1.2800000000000001E-3</v>
      </c>
      <c r="N117" s="872" t="s">
        <v>95</v>
      </c>
      <c r="O117" s="872">
        <v>9.2300000000000004E-3</v>
      </c>
      <c r="P117" s="872" t="s">
        <v>95</v>
      </c>
      <c r="Q117" s="872">
        <v>1.5499999999999999E-3</v>
      </c>
      <c r="R117" s="874">
        <f>(R84-Q84)*$C$117</f>
        <v>2.1415989304848689E-4</v>
      </c>
      <c r="S117" s="874">
        <f t="shared" ref="S117:T117" si="76">(S84-R84)*$C$117</f>
        <v>2.1684496623129698E-4</v>
      </c>
      <c r="T117" s="874">
        <f t="shared" si="76"/>
        <v>2.1956370406482485E-4</v>
      </c>
      <c r="U117" s="874">
        <f>(U84-T84)*$C$117</f>
        <v>2.2208601472618531E-4</v>
      </c>
      <c r="V117" s="874">
        <f t="shared" ref="V117:BQ117" si="77">(V84-U84)*$C$117</f>
        <v>2.2486757615216343E-4</v>
      </c>
      <c r="W117" s="874">
        <f t="shared" si="77"/>
        <v>2.276839758095174E-4</v>
      </c>
      <c r="X117" s="874">
        <f t="shared" si="77"/>
        <v>2.3053565003675991E-4</v>
      </c>
      <c r="Y117" s="874">
        <f t="shared" si="77"/>
        <v>2.3342304063740546E-4</v>
      </c>
      <c r="Z117" s="874">
        <f t="shared" si="77"/>
        <v>2.3634659494843298E-4</v>
      </c>
      <c r="AA117" s="874">
        <f t="shared" si="77"/>
        <v>2.3930676590958218E-4</v>
      </c>
      <c r="AB117" s="874">
        <f t="shared" si="77"/>
        <v>2.4230401213353177E-4</v>
      </c>
      <c r="AC117" s="874">
        <f t="shared" si="77"/>
        <v>2.4533879797694239E-4</v>
      </c>
      <c r="AD117" s="874">
        <f t="shared" si="77"/>
        <v>2.4841159361240742E-4</v>
      </c>
      <c r="AE117" s="874">
        <f t="shared" si="77"/>
        <v>2.515228751012945E-4</v>
      </c>
      <c r="AF117" s="874">
        <f t="shared" si="77"/>
        <v>2.546731244674952E-4</v>
      </c>
      <c r="AG117" s="874">
        <f t="shared" si="77"/>
        <v>2.5786282977210907E-4</v>
      </c>
      <c r="AH117" s="874">
        <f t="shared" si="77"/>
        <v>2.6109248518904875E-4</v>
      </c>
      <c r="AI117" s="874">
        <f t="shared" si="77"/>
        <v>2.6436259108162757E-4</v>
      </c>
      <c r="AJ117" s="874">
        <f t="shared" si="77"/>
        <v>2.6767365408003754E-4</v>
      </c>
      <c r="AK117" s="874">
        <f t="shared" si="77"/>
        <v>2.710261871598801E-4</v>
      </c>
      <c r="AL117" s="874">
        <f t="shared" si="77"/>
        <v>2.744207097216173E-4</v>
      </c>
      <c r="AM117" s="874">
        <f t="shared" si="77"/>
        <v>2.7785774767104542E-4</v>
      </c>
      <c r="AN117" s="874">
        <f t="shared" si="77"/>
        <v>2.813378335007807E-4</v>
      </c>
      <c r="AO117" s="874">
        <f t="shared" si="77"/>
        <v>2.8486150637275001E-4</v>
      </c>
      <c r="AP117" s="874">
        <f t="shared" si="77"/>
        <v>2.8842931220171997E-4</v>
      </c>
      <c r="AQ117" s="874">
        <f t="shared" si="77"/>
        <v>2.9204180373987873E-4</v>
      </c>
      <c r="AR117" s="874">
        <f t="shared" si="77"/>
        <v>2.9569954066247395E-4</v>
      </c>
      <c r="AS117" s="874">
        <f t="shared" si="77"/>
        <v>2.9940308965452068E-4</v>
      </c>
      <c r="AT117" s="874">
        <f t="shared" si="77"/>
        <v>3.0315302449858774E-4</v>
      </c>
      <c r="AU117" s="874">
        <f t="shared" si="77"/>
        <v>3.0694992616371001E-4</v>
      </c>
      <c r="AV117" s="874">
        <f t="shared" si="77"/>
        <v>3.1079438289537955E-4</v>
      </c>
      <c r="AW117" s="874">
        <f t="shared" si="77"/>
        <v>3.1468699030669375E-4</v>
      </c>
      <c r="AX117" s="874">
        <f t="shared" si="77"/>
        <v>3.1862835147062956E-4</v>
      </c>
      <c r="AY117" s="874">
        <f t="shared" si="77"/>
        <v>3.2261907701346175E-4</v>
      </c>
      <c r="AZ117" s="874">
        <f t="shared" si="77"/>
        <v>3.2665978520939493E-4</v>
      </c>
      <c r="BA117" s="874">
        <f t="shared" si="77"/>
        <v>3.3075110207631784E-4</v>
      </c>
      <c r="BB117" s="874">
        <f t="shared" si="77"/>
        <v>3.348936614728188E-4</v>
      </c>
      <c r="BC117" s="874">
        <f t="shared" si="77"/>
        <v>3.3908810519637188E-4</v>
      </c>
      <c r="BD117" s="874">
        <f t="shared" si="77"/>
        <v>3.4333508308277997E-4</v>
      </c>
      <c r="BE117" s="874">
        <f t="shared" si="77"/>
        <v>3.4763525310684088E-4</v>
      </c>
      <c r="BF117" s="874">
        <f t="shared" si="77"/>
        <v>3.5198928148428752E-4</v>
      </c>
      <c r="BG117" s="874">
        <f t="shared" si="77"/>
        <v>3.5639784277502126E-4</v>
      </c>
      <c r="BH117" s="874">
        <f t="shared" si="77"/>
        <v>3.6086161998758869E-4</v>
      </c>
      <c r="BI117" s="874">
        <f t="shared" si="77"/>
        <v>3.6538130468503032E-4</v>
      </c>
      <c r="BJ117" s="874">
        <f t="shared" si="77"/>
        <v>3.6995759709200309E-4</v>
      </c>
      <c r="BK117" s="874">
        <f t="shared" si="77"/>
        <v>3.7459120620326146E-4</v>
      </c>
      <c r="BL117" s="874">
        <f t="shared" si="77"/>
        <v>3.7928284989352642E-4</v>
      </c>
      <c r="BM117" s="874">
        <f t="shared" si="77"/>
        <v>3.8403325502866907E-4</v>
      </c>
      <c r="BN117" s="874">
        <f t="shared" si="77"/>
        <v>3.8884315757835628E-4</v>
      </c>
      <c r="BO117" s="874">
        <f t="shared" si="77"/>
        <v>3.9371330273004146E-4</v>
      </c>
      <c r="BP117" s="874">
        <f t="shared" si="77"/>
        <v>3.9864444500443958E-4</v>
      </c>
      <c r="BQ117" s="874">
        <f t="shared" si="77"/>
        <v>4.0363734837240822E-4</v>
      </c>
      <c r="BR117" s="614"/>
    </row>
    <row r="118" spans="2:70" ht="14.25" customHeight="1" x14ac:dyDescent="0.35">
      <c r="B118" s="546" t="s">
        <v>95</v>
      </c>
      <c r="C118" s="545"/>
      <c r="D118" s="875" t="s">
        <v>95</v>
      </c>
      <c r="E118" s="876" t="s">
        <v>95</v>
      </c>
      <c r="F118" s="877" t="s">
        <v>24</v>
      </c>
      <c r="G118" s="877" t="s">
        <v>95</v>
      </c>
      <c r="H118" s="877" t="s">
        <v>95</v>
      </c>
      <c r="I118" s="877">
        <v>0.13102</v>
      </c>
      <c r="J118" s="877" t="s">
        <v>95</v>
      </c>
      <c r="K118" s="877">
        <v>0.13102</v>
      </c>
      <c r="L118" s="877" t="s">
        <v>95</v>
      </c>
      <c r="M118" s="877">
        <v>0.13102</v>
      </c>
      <c r="N118" s="877" t="s">
        <v>95</v>
      </c>
      <c r="O118" s="877">
        <v>0.1749</v>
      </c>
      <c r="P118" s="877" t="s">
        <v>95</v>
      </c>
      <c r="Q118" s="877">
        <v>0.10920000000000001</v>
      </c>
      <c r="R118" s="878">
        <v>0.10920000000000001</v>
      </c>
      <c r="S118" s="878">
        <v>0.10920000000000001</v>
      </c>
      <c r="T118" s="878">
        <v>0.10920000000000001</v>
      </c>
      <c r="U118" s="879">
        <f t="shared" ref="U118:BQ118" si="78">SUM(U111:U117)</f>
        <v>3.7960247901522456E-2</v>
      </c>
      <c r="V118" s="879">
        <f t="shared" si="78"/>
        <v>4.0030187827122143E-2</v>
      </c>
      <c r="W118" s="879">
        <f t="shared" si="78"/>
        <v>3.8478773889606563E-2</v>
      </c>
      <c r="X118" s="879">
        <f t="shared" si="78"/>
        <v>4.2036362245496416E-2</v>
      </c>
      <c r="Y118" s="879">
        <f t="shared" si="78"/>
        <v>4.3806498546927572E-2</v>
      </c>
      <c r="Z118" s="879">
        <f t="shared" si="78"/>
        <v>3.997942050867815E-2</v>
      </c>
      <c r="AA118" s="879">
        <f t="shared" si="78"/>
        <v>4.1633868410188769E-2</v>
      </c>
      <c r="AB118" s="879">
        <f t="shared" si="78"/>
        <v>4.6292833694295127E-2</v>
      </c>
      <c r="AC118" s="879">
        <f t="shared" si="78"/>
        <v>4.4684563065466254E-2</v>
      </c>
      <c r="AD118" s="879">
        <f t="shared" si="78"/>
        <v>4.0546701651737717E-2</v>
      </c>
      <c r="AE118" s="879">
        <f t="shared" si="78"/>
        <v>4.4368234079701474E-2</v>
      </c>
      <c r="AF118" s="879">
        <f t="shared" si="78"/>
        <v>4.1763796402375514E-2</v>
      </c>
      <c r="AG118" s="879">
        <f t="shared" si="78"/>
        <v>4.4377410893092384E-2</v>
      </c>
      <c r="AH118" s="879">
        <f t="shared" si="78"/>
        <v>4.3688466401893368E-2</v>
      </c>
      <c r="AI118" s="879">
        <f t="shared" si="78"/>
        <v>4.1827186976788916E-2</v>
      </c>
      <c r="AJ118" s="879">
        <f t="shared" si="78"/>
        <v>4.236254454877314E-2</v>
      </c>
      <c r="AK118" s="879">
        <f t="shared" si="78"/>
        <v>4.0885442318430866E-2</v>
      </c>
      <c r="AL118" s="879">
        <f t="shared" si="78"/>
        <v>3.8413528011448678E-2</v>
      </c>
      <c r="AM118" s="879">
        <f t="shared" si="78"/>
        <v>3.8694413476028824E-2</v>
      </c>
      <c r="AN118" s="879">
        <f t="shared" si="78"/>
        <v>3.7107656811454455E-2</v>
      </c>
      <c r="AO118" s="879">
        <f t="shared" si="78"/>
        <v>3.6219126997984429E-2</v>
      </c>
      <c r="AP118" s="879">
        <f t="shared" si="78"/>
        <v>3.7707143509394449E-2</v>
      </c>
      <c r="AQ118" s="879">
        <f t="shared" si="78"/>
        <v>3.3894966314134412E-2</v>
      </c>
      <c r="AR118" s="879">
        <f t="shared" si="78"/>
        <v>3.4692337301420129E-2</v>
      </c>
      <c r="AS118" s="879">
        <f t="shared" si="78"/>
        <v>3.1116574327515151E-2</v>
      </c>
      <c r="AT118" s="879">
        <f t="shared" si="78"/>
        <v>3.2885919124216789E-2</v>
      </c>
      <c r="AU118" s="879">
        <f t="shared" si="78"/>
        <v>3.2566708457926898E-2</v>
      </c>
      <c r="AV118" s="879">
        <f t="shared" si="78"/>
        <v>3.1623349673232402E-2</v>
      </c>
      <c r="AW118" s="879">
        <f t="shared" si="78"/>
        <v>3.1342222114167859E-2</v>
      </c>
      <c r="AX118" s="879">
        <f t="shared" si="78"/>
        <v>3.2888694122281459E-2</v>
      </c>
      <c r="AY118" s="879">
        <f t="shared" si="78"/>
        <v>3.2209163487407787E-2</v>
      </c>
      <c r="AZ118" s="879">
        <f t="shared" si="78"/>
        <v>3.1611464635006796E-2</v>
      </c>
      <c r="BA118" s="879">
        <f t="shared" si="78"/>
        <v>3.0933997658463799E-2</v>
      </c>
      <c r="BB118" s="879">
        <f t="shared" si="78"/>
        <v>3.0311657673139012E-2</v>
      </c>
      <c r="BC118" s="879">
        <f t="shared" si="78"/>
        <v>2.9818545099239282E-2</v>
      </c>
      <c r="BD118" s="879">
        <f t="shared" si="78"/>
        <v>2.9270508099318384E-2</v>
      </c>
      <c r="BE118" s="879">
        <f t="shared" si="78"/>
        <v>2.8795061448215278E-2</v>
      </c>
      <c r="BF118" s="879">
        <f t="shared" si="78"/>
        <v>2.834819494531143E-2</v>
      </c>
      <c r="BG118" s="879">
        <f t="shared" si="78"/>
        <v>2.7764634403479375E-2</v>
      </c>
      <c r="BH118" s="879">
        <f t="shared" si="78"/>
        <v>2.7407970850993845E-2</v>
      </c>
      <c r="BI118" s="879">
        <f t="shared" si="78"/>
        <v>2.696942303754055E-2</v>
      </c>
      <c r="BJ118" s="879">
        <f t="shared" si="78"/>
        <v>2.6751426691324721E-2</v>
      </c>
      <c r="BK118" s="879">
        <f t="shared" si="78"/>
        <v>2.6392600067971228E-2</v>
      </c>
      <c r="BL118" s="879">
        <f t="shared" si="78"/>
        <v>2.6030355952117664E-2</v>
      </c>
      <c r="BM118" s="879">
        <f t="shared" si="78"/>
        <v>2.5708294864031318E-2</v>
      </c>
      <c r="BN118" s="879">
        <f t="shared" si="78"/>
        <v>2.5382563800373618E-2</v>
      </c>
      <c r="BO118" s="879">
        <f t="shared" si="78"/>
        <v>2.4924593528966303E-2</v>
      </c>
      <c r="BP118" s="879">
        <f t="shared" si="78"/>
        <v>2.4481461949808905E-2</v>
      </c>
      <c r="BQ118" s="879">
        <f t="shared" si="78"/>
        <v>2.404848969258868E-2</v>
      </c>
      <c r="BR118" s="614"/>
    </row>
    <row r="119" spans="2:70" ht="14.25" customHeight="1" x14ac:dyDescent="0.35">
      <c r="B119" s="546"/>
      <c r="C119" s="545"/>
      <c r="D119" s="875"/>
      <c r="E119" s="876"/>
      <c r="F119" s="876"/>
      <c r="G119" s="876"/>
      <c r="H119" s="876"/>
      <c r="I119" s="876"/>
      <c r="J119" s="876"/>
      <c r="K119" s="876"/>
      <c r="L119" s="876"/>
      <c r="M119" s="876"/>
      <c r="N119" s="876"/>
      <c r="O119" s="876"/>
      <c r="P119" s="876"/>
      <c r="Q119" s="876"/>
      <c r="R119" s="876"/>
      <c r="S119" s="876"/>
      <c r="T119" s="876"/>
      <c r="U119" s="876"/>
      <c r="V119" s="876"/>
      <c r="W119" s="876"/>
      <c r="X119" s="876"/>
      <c r="Y119" s="876"/>
      <c r="Z119" s="876"/>
      <c r="AA119" s="876"/>
      <c r="AB119" s="876"/>
      <c r="AC119" s="876"/>
      <c r="AD119" s="876"/>
      <c r="AE119" s="876"/>
      <c r="AF119" s="876"/>
      <c r="AG119" s="876"/>
      <c r="AH119" s="876"/>
      <c r="AI119" s="876"/>
      <c r="AJ119" s="876"/>
      <c r="AK119" s="876"/>
      <c r="AL119" s="876"/>
      <c r="AM119" s="876"/>
      <c r="AN119" s="876"/>
      <c r="AO119" s="876"/>
      <c r="AP119" s="876"/>
      <c r="AQ119" s="876"/>
      <c r="AR119" s="876"/>
      <c r="AS119" s="876"/>
      <c r="AT119" s="876"/>
      <c r="AU119" s="876"/>
      <c r="AV119" s="876"/>
      <c r="AW119" s="876"/>
      <c r="AX119" s="876"/>
      <c r="AY119" s="876"/>
      <c r="AZ119" s="876"/>
      <c r="BA119" s="876"/>
      <c r="BB119" s="876"/>
      <c r="BC119" s="876"/>
      <c r="BD119" s="876"/>
      <c r="BE119" s="876"/>
      <c r="BF119" s="876"/>
      <c r="BG119" s="876"/>
      <c r="BH119" s="876"/>
      <c r="BI119" s="876"/>
      <c r="BJ119" s="876"/>
      <c r="BK119" s="876"/>
      <c r="BL119" s="876"/>
      <c r="BM119" s="876"/>
      <c r="BN119" s="876"/>
      <c r="BO119" s="876"/>
      <c r="BP119" s="876"/>
      <c r="BQ119" s="876"/>
      <c r="BR119" s="614"/>
    </row>
    <row r="120" spans="2:70" ht="14.25" customHeight="1" x14ac:dyDescent="0.35">
      <c r="B120" s="546"/>
      <c r="C120" s="545"/>
      <c r="D120" s="565"/>
      <c r="E120" s="556"/>
      <c r="F120" s="631" t="s">
        <v>142</v>
      </c>
      <c r="G120" s="549"/>
      <c r="H120" s="549"/>
      <c r="I120" s="549"/>
      <c r="J120" s="549"/>
      <c r="K120" s="549"/>
      <c r="L120" s="549"/>
      <c r="M120" s="549"/>
      <c r="N120" s="549"/>
      <c r="O120" s="549"/>
      <c r="P120" s="549"/>
      <c r="Q120" s="874"/>
      <c r="R120" s="874"/>
      <c r="S120" s="878"/>
      <c r="T120" s="878"/>
      <c r="U120" s="879"/>
      <c r="V120" s="879"/>
      <c r="W120" s="879"/>
      <c r="X120" s="879"/>
      <c r="Y120" s="879"/>
      <c r="Z120" s="879"/>
      <c r="AA120" s="879"/>
      <c r="AB120" s="879"/>
      <c r="AC120" s="879"/>
      <c r="AD120" s="879"/>
      <c r="AE120" s="879"/>
      <c r="AF120" s="879"/>
      <c r="AG120" s="879"/>
      <c r="AH120" s="879"/>
      <c r="AI120" s="879"/>
      <c r="AJ120" s="879"/>
      <c r="AK120" s="879"/>
      <c r="AL120" s="879"/>
      <c r="AM120" s="879"/>
      <c r="AN120" s="879"/>
      <c r="AO120" s="879"/>
      <c r="AP120" s="879"/>
      <c r="AQ120" s="879"/>
      <c r="AR120" s="879"/>
      <c r="AS120" s="879"/>
      <c r="AT120" s="879"/>
      <c r="AU120" s="879"/>
      <c r="AV120" s="879"/>
      <c r="AW120" s="879"/>
      <c r="AX120" s="879"/>
      <c r="AY120" s="879"/>
      <c r="AZ120" s="879"/>
      <c r="BA120" s="879"/>
      <c r="BB120" s="879"/>
      <c r="BC120" s="879"/>
      <c r="BD120" s="879"/>
      <c r="BE120" s="879"/>
      <c r="BF120" s="879"/>
      <c r="BG120" s="879"/>
      <c r="BH120" s="879"/>
      <c r="BI120" s="879"/>
      <c r="BJ120" s="879"/>
      <c r="BK120" s="879"/>
      <c r="BL120" s="879"/>
      <c r="BM120" s="879"/>
      <c r="BN120" s="879"/>
      <c r="BO120" s="879"/>
      <c r="BP120" s="879"/>
      <c r="BQ120" s="879"/>
      <c r="BR120" s="614"/>
    </row>
    <row r="121" spans="2:70" ht="14.25" customHeight="1" x14ac:dyDescent="0.35">
      <c r="B121" s="546"/>
      <c r="C121" s="547">
        <v>0.70350000000000001</v>
      </c>
      <c r="D121" s="1152" t="s">
        <v>99</v>
      </c>
      <c r="E121" s="1153"/>
      <c r="F121" s="874" t="s">
        <v>143</v>
      </c>
      <c r="G121" s="874" t="s">
        <v>95</v>
      </c>
      <c r="H121" s="874" t="s">
        <v>95</v>
      </c>
      <c r="I121" s="874"/>
      <c r="J121" s="874"/>
      <c r="K121" s="874"/>
      <c r="L121" s="874"/>
      <c r="M121" s="874"/>
      <c r="N121" s="874"/>
      <c r="O121" s="874"/>
      <c r="P121" s="874"/>
      <c r="Q121" s="874">
        <f>(Q66)*$C$121</f>
        <v>5.8059151500000003E-2</v>
      </c>
      <c r="R121" s="874">
        <f>(R66)*$C$121</f>
        <v>6.602878394516265E-2</v>
      </c>
      <c r="S121" s="874">
        <f>(S66)*$C$121</f>
        <v>6.8354053600575712E-2</v>
      </c>
      <c r="T121" s="874">
        <f>(T66)*$C$121</f>
        <v>6.7834562793210859E-2</v>
      </c>
      <c r="U121" s="874">
        <f t="shared" ref="U121:BQ121" si="79">(U66)*$C$121</f>
        <v>6.7319020115983022E-2</v>
      </c>
      <c r="V121" s="874">
        <f t="shared" si="79"/>
        <v>6.6807395563100752E-2</v>
      </c>
      <c r="W121" s="874">
        <f t="shared" si="79"/>
        <v>6.6299659356821819E-2</v>
      </c>
      <c r="X121" s="874">
        <f t="shared" si="79"/>
        <v>6.5795781945709966E-2</v>
      </c>
      <c r="Y121" s="874">
        <f t="shared" si="79"/>
        <v>6.5295734002922851E-2</v>
      </c>
      <c r="Z121" s="874">
        <f t="shared" si="79"/>
        <v>6.4799486424499966E-2</v>
      </c>
      <c r="AA121" s="874">
        <f t="shared" si="79"/>
        <v>6.4307010327674399E-2</v>
      </c>
      <c r="AB121" s="874">
        <f t="shared" si="79"/>
        <v>6.3818277049183234E-2</v>
      </c>
      <c r="AC121" s="874">
        <f t="shared" si="79"/>
        <v>6.333325814361053E-2</v>
      </c>
      <c r="AD121" s="874">
        <f t="shared" si="79"/>
        <v>6.2851925381718951E-2</v>
      </c>
      <c r="AE121" s="874">
        <f t="shared" si="79"/>
        <v>6.2374250748817819E-2</v>
      </c>
      <c r="AF121" s="874">
        <f t="shared" si="79"/>
        <v>6.1900206443125924E-2</v>
      </c>
      <c r="AG121" s="874">
        <f t="shared" si="79"/>
        <v>6.1429764874158271E-2</v>
      </c>
      <c r="AH121" s="874">
        <f t="shared" si="79"/>
        <v>6.0962898661115247E-2</v>
      </c>
      <c r="AI121" s="874">
        <f t="shared" si="79"/>
        <v>6.0499580631290552E-2</v>
      </c>
      <c r="AJ121" s="874">
        <f t="shared" si="79"/>
        <v>6.0039783818492856E-2</v>
      </c>
      <c r="AK121" s="874">
        <f t="shared" si="79"/>
        <v>5.9583481461472465E-2</v>
      </c>
      <c r="AL121" s="874">
        <f t="shared" si="79"/>
        <v>5.9130647002365512E-2</v>
      </c>
      <c r="AM121" s="874">
        <f t="shared" si="79"/>
        <v>5.8681254085146836E-2</v>
      </c>
      <c r="AN121" s="874">
        <f t="shared" si="79"/>
        <v>5.8235276554100414E-2</v>
      </c>
      <c r="AO121" s="874">
        <f t="shared" si="79"/>
        <v>5.7792688452288507E-2</v>
      </c>
      <c r="AP121" s="874">
        <f t="shared" si="79"/>
        <v>5.7353464020050822E-2</v>
      </c>
      <c r="AQ121" s="874">
        <f t="shared" si="79"/>
        <v>5.6917577693498637E-2</v>
      </c>
      <c r="AR121" s="874">
        <f t="shared" si="79"/>
        <v>5.6485004103028973E-2</v>
      </c>
      <c r="AS121" s="874">
        <f t="shared" si="79"/>
        <v>5.6055718071844993E-2</v>
      </c>
      <c r="AT121" s="874">
        <f t="shared" si="79"/>
        <v>5.5629694614498848E-2</v>
      </c>
      <c r="AU121" s="874">
        <f t="shared" si="79"/>
        <v>5.5206908935429615E-2</v>
      </c>
      <c r="AV121" s="874">
        <f t="shared" si="79"/>
        <v>5.4787336427519914E-2</v>
      </c>
      <c r="AW121" s="874">
        <f t="shared" si="79"/>
        <v>5.4370952670671276E-2</v>
      </c>
      <c r="AX121" s="874">
        <f t="shared" si="79"/>
        <v>5.3957733430373286E-2</v>
      </c>
      <c r="AY121" s="874">
        <f t="shared" si="79"/>
        <v>5.35476546563027E-2</v>
      </c>
      <c r="AZ121" s="874">
        <f t="shared" si="79"/>
        <v>5.3140692480915082E-2</v>
      </c>
      <c r="BA121" s="874">
        <f t="shared" si="79"/>
        <v>5.2736823218060169E-2</v>
      </c>
      <c r="BB121" s="874">
        <f t="shared" si="79"/>
        <v>5.2336023361602216E-2</v>
      </c>
      <c r="BC121" s="874">
        <f t="shared" si="79"/>
        <v>5.1938269584054141E-2</v>
      </c>
      <c r="BD121" s="874">
        <f t="shared" si="79"/>
        <v>5.1543538735215381E-2</v>
      </c>
      <c r="BE121" s="874">
        <f t="shared" si="79"/>
        <v>5.1151807840828477E-2</v>
      </c>
      <c r="BF121" s="874">
        <f t="shared" si="79"/>
        <v>5.0763054101238221E-2</v>
      </c>
      <c r="BG121" s="874">
        <f t="shared" si="79"/>
        <v>5.0377254890068217E-2</v>
      </c>
      <c r="BH121" s="874">
        <f t="shared" si="79"/>
        <v>4.9994387752903761E-2</v>
      </c>
      <c r="BI121" s="874">
        <f t="shared" si="79"/>
        <v>4.9614430405982179E-2</v>
      </c>
      <c r="BJ121" s="874">
        <f t="shared" si="79"/>
        <v>4.9237360734896922E-2</v>
      </c>
      <c r="BK121" s="874">
        <f t="shared" si="79"/>
        <v>4.8863156793311657E-2</v>
      </c>
      <c r="BL121" s="874">
        <f t="shared" si="79"/>
        <v>4.849179680168187E-2</v>
      </c>
      <c r="BM121" s="874">
        <f t="shared" si="79"/>
        <v>4.8123259145988931E-2</v>
      </c>
      <c r="BN121" s="874">
        <f t="shared" si="79"/>
        <v>4.7757522376479206E-2</v>
      </c>
      <c r="BO121" s="874">
        <f t="shared" si="79"/>
        <v>4.7394565206418118E-2</v>
      </c>
      <c r="BP121" s="874">
        <f t="shared" si="79"/>
        <v>4.7034366510849239E-2</v>
      </c>
      <c r="BQ121" s="874">
        <f t="shared" si="79"/>
        <v>4.6676905325367106E-2</v>
      </c>
      <c r="BR121" s="614"/>
    </row>
    <row r="122" spans="2:70" ht="14.25" customHeight="1" x14ac:dyDescent="0.35">
      <c r="B122" s="546"/>
      <c r="C122" s="547">
        <v>0.16104868924999999</v>
      </c>
      <c r="D122" s="1152" t="s">
        <v>101</v>
      </c>
      <c r="E122" s="1153"/>
      <c r="F122" s="872" t="s">
        <v>143</v>
      </c>
      <c r="G122" s="872" t="s">
        <v>95</v>
      </c>
      <c r="H122" s="872" t="s">
        <v>95</v>
      </c>
      <c r="I122" s="872"/>
      <c r="J122" s="872"/>
      <c r="K122" s="872"/>
      <c r="L122" s="872"/>
      <c r="M122" s="872"/>
      <c r="N122" s="872"/>
      <c r="O122" s="872"/>
      <c r="P122" s="872"/>
      <c r="Q122" s="874">
        <f t="shared" ref="Q122:T122" si="80">(Q70-P70)*$C$122</f>
        <v>1.9647178328199847E-2</v>
      </c>
      <c r="R122" s="874">
        <f t="shared" si="80"/>
        <v>2.3783111431541139E-8</v>
      </c>
      <c r="S122" s="874">
        <f t="shared" si="80"/>
        <v>-1.5300469047907183E-5</v>
      </c>
      <c r="T122" s="874">
        <f t="shared" si="80"/>
        <v>8.3146035807846302E-6</v>
      </c>
      <c r="U122" s="874">
        <f>(U70-T70)*$C$122</f>
        <v>5.3028583863788873E-6</v>
      </c>
      <c r="V122" s="874">
        <f t="shared" ref="V122:BQ122" si="81">(V70-U70)*$C$122</f>
        <v>6.0901109223117165E-6</v>
      </c>
      <c r="W122" s="874">
        <f t="shared" si="81"/>
        <v>5.8954827645453243E-6</v>
      </c>
      <c r="X122" s="874">
        <f t="shared" si="81"/>
        <v>5.307526268436839E-6</v>
      </c>
      <c r="Y122" s="874">
        <f t="shared" si="81"/>
        <v>4.5224468115612684E-6</v>
      </c>
      <c r="Z122" s="874">
        <f t="shared" si="81"/>
        <v>6.2636971827308641E-6</v>
      </c>
      <c r="AA122" s="874">
        <f t="shared" si="81"/>
        <v>5.599445399601995E-6</v>
      </c>
      <c r="AB122" s="874">
        <f t="shared" si="81"/>
        <v>4.3215069887206526E-6</v>
      </c>
      <c r="AC122" s="874">
        <f t="shared" si="81"/>
        <v>4.6886977899408334E-6</v>
      </c>
      <c r="AD122" s="874">
        <f t="shared" si="81"/>
        <v>6.2368704520153088E-6</v>
      </c>
      <c r="AE122" s="874">
        <f t="shared" si="81"/>
        <v>4.8583483969793636E-6</v>
      </c>
      <c r="AF122" s="874">
        <f t="shared" si="81"/>
        <v>5.6959220125671747E-6</v>
      </c>
      <c r="AG122" s="874">
        <f t="shared" si="81"/>
        <v>4.6634953876500925E-6</v>
      </c>
      <c r="AH122" s="874">
        <f t="shared" si="81"/>
        <v>4.6602636878313444E-6</v>
      </c>
      <c r="AI122" s="874">
        <f t="shared" si="81"/>
        <v>5.0346176484329453E-6</v>
      </c>
      <c r="AJ122" s="874">
        <f t="shared" si="81"/>
        <v>4.4745684421390057E-6</v>
      </c>
      <c r="AK122" s="874">
        <f t="shared" si="81"/>
        <v>4.6207000102786928E-6</v>
      </c>
      <c r="AL122" s="874">
        <f t="shared" si="81"/>
        <v>4.9737279528265416E-6</v>
      </c>
      <c r="AM122" s="874">
        <f t="shared" si="81"/>
        <v>4.4823779985696403E-6</v>
      </c>
      <c r="AN122" s="874">
        <f t="shared" si="81"/>
        <v>4.5053254059925266E-6</v>
      </c>
      <c r="AO122" s="874">
        <f t="shared" si="81"/>
        <v>4.3987893664665753E-6</v>
      </c>
      <c r="AP122" s="874">
        <f t="shared" si="81"/>
        <v>3.454275786292155E-6</v>
      </c>
      <c r="AQ122" s="874">
        <f t="shared" si="81"/>
        <v>4.3285526319695031E-6</v>
      </c>
      <c r="AR122" s="874">
        <f t="shared" si="81"/>
        <v>3.6725129791562519E-6</v>
      </c>
      <c r="AS122" s="874">
        <f t="shared" si="81"/>
        <v>4.5169944962432167E-6</v>
      </c>
      <c r="AT122" s="874">
        <f t="shared" si="81"/>
        <v>3.6423365559763024E-6</v>
      </c>
      <c r="AU122" s="874">
        <f t="shared" si="81"/>
        <v>3.5421085822656765E-6</v>
      </c>
      <c r="AV122" s="874">
        <f t="shared" si="81"/>
        <v>3.608630923468381E-6</v>
      </c>
      <c r="AW122" s="874">
        <f t="shared" si="81"/>
        <v>3.5710781569424156E-6</v>
      </c>
      <c r="AX122" s="874">
        <f t="shared" si="81"/>
        <v>3.9829792197765572E-6</v>
      </c>
      <c r="AY122" s="874">
        <f t="shared" si="81"/>
        <v>3.5574868230918624E-6</v>
      </c>
      <c r="AZ122" s="874">
        <f t="shared" si="81"/>
        <v>3.4970742615315971E-6</v>
      </c>
      <c r="BA122" s="874">
        <f t="shared" si="81"/>
        <v>3.5474177914350793E-6</v>
      </c>
      <c r="BB122" s="874">
        <f t="shared" si="81"/>
        <v>3.5180441694610879E-6</v>
      </c>
      <c r="BC122" s="874">
        <f t="shared" si="81"/>
        <v>3.5526069795760668E-6</v>
      </c>
      <c r="BD122" s="874">
        <f t="shared" si="81"/>
        <v>3.3811498841118734E-6</v>
      </c>
      <c r="BE122" s="874">
        <f t="shared" si="81"/>
        <v>3.3569036678022722E-6</v>
      </c>
      <c r="BF122" s="874">
        <f t="shared" si="81"/>
        <v>3.3316437647867008E-6</v>
      </c>
      <c r="BG122" s="874">
        <f t="shared" si="81"/>
        <v>3.2917832329864598E-6</v>
      </c>
      <c r="BH122" s="874">
        <f t="shared" si="81"/>
        <v>3.2393128849803468E-6</v>
      </c>
      <c r="BI122" s="874">
        <f t="shared" si="81"/>
        <v>3.1968292790145152E-6</v>
      </c>
      <c r="BJ122" s="874">
        <f t="shared" si="81"/>
        <v>3.1587039646717246E-6</v>
      </c>
      <c r="BK122" s="874">
        <f t="shared" si="81"/>
        <v>3.1220505946705548E-6</v>
      </c>
      <c r="BL122" s="874">
        <f t="shared" si="81"/>
        <v>3.0775215243505331E-6</v>
      </c>
      <c r="BM122" s="874">
        <f t="shared" si="81"/>
        <v>3.0335180968619473E-6</v>
      </c>
      <c r="BN122" s="874">
        <f t="shared" si="81"/>
        <v>2.9865686586675746E-6</v>
      </c>
      <c r="BO122" s="874">
        <f t="shared" si="81"/>
        <v>2.9466992546477851E-6</v>
      </c>
      <c r="BP122" s="874">
        <f t="shared" si="81"/>
        <v>2.9055983659327532E-6</v>
      </c>
      <c r="BQ122" s="874">
        <f t="shared" si="81"/>
        <v>2.8634610279153609E-6</v>
      </c>
      <c r="BR122" s="614"/>
    </row>
    <row r="123" spans="2:70" ht="14.25" customHeight="1" x14ac:dyDescent="0.35">
      <c r="B123" s="546"/>
      <c r="C123" s="547">
        <v>0.09</v>
      </c>
      <c r="D123" s="1158" t="s">
        <v>106</v>
      </c>
      <c r="E123" s="1159"/>
      <c r="F123" s="872" t="s">
        <v>143</v>
      </c>
      <c r="G123" s="872"/>
      <c r="H123" s="872"/>
      <c r="I123" s="872"/>
      <c r="J123" s="872"/>
      <c r="K123" s="872"/>
      <c r="L123" s="872"/>
      <c r="M123" s="872"/>
      <c r="N123" s="872"/>
      <c r="O123" s="872"/>
      <c r="P123" s="872"/>
      <c r="Q123" s="874">
        <f t="shared" ref="Q123:T123" si="82">(Q72-P72)*$C$123</f>
        <v>0.34925462999999995</v>
      </c>
      <c r="R123" s="874">
        <f t="shared" si="82"/>
        <v>1.9207041015838254E-3</v>
      </c>
      <c r="S123" s="874">
        <f t="shared" si="82"/>
        <v>4.2694431556945301E-4</v>
      </c>
      <c r="T123" s="874">
        <f t="shared" si="82"/>
        <v>4.0482671003459012E-3</v>
      </c>
      <c r="U123" s="874">
        <f>(U72-T72)*$C$123</f>
        <v>4.1643224919443696E-3</v>
      </c>
      <c r="V123" s="874">
        <f t="shared" ref="V123:BQ123" si="83">(V72-U72)*$C$123</f>
        <v>3.5986446170855001E-3</v>
      </c>
      <c r="W123" s="874">
        <f t="shared" si="83"/>
        <v>3.8486346472086552E-3</v>
      </c>
      <c r="X123" s="874">
        <f t="shared" si="83"/>
        <v>2.949878143131066E-3</v>
      </c>
      <c r="Y123" s="874">
        <f t="shared" si="83"/>
        <v>2.4544206112667053E-3</v>
      </c>
      <c r="Z123" s="874">
        <f t="shared" si="83"/>
        <v>3.2195074655037635E-3</v>
      </c>
      <c r="AA123" s="874">
        <f t="shared" si="83"/>
        <v>2.7519582017127317E-3</v>
      </c>
      <c r="AB123" s="874">
        <f t="shared" si="83"/>
        <v>1.6091039925750204E-3</v>
      </c>
      <c r="AC123" s="874">
        <f t="shared" si="83"/>
        <v>1.8776738860160158E-3</v>
      </c>
      <c r="AD123" s="874">
        <f t="shared" si="83"/>
        <v>2.7164384876933222E-3</v>
      </c>
      <c r="AE123" s="874">
        <f t="shared" si="83"/>
        <v>1.7649447317271338E-3</v>
      </c>
      <c r="AF123" s="874">
        <f t="shared" si="83"/>
        <v>2.2605274662878647E-3</v>
      </c>
      <c r="AG123" s="874">
        <f t="shared" si="83"/>
        <v>1.5826668216731309E-3</v>
      </c>
      <c r="AH123" s="874">
        <f t="shared" si="83"/>
        <v>1.6489281862883942E-3</v>
      </c>
      <c r="AI123" s="874">
        <f t="shared" si="83"/>
        <v>1.9798361416859846E-3</v>
      </c>
      <c r="AJ123" s="874">
        <f t="shared" si="83"/>
        <v>1.7723364749802162E-3</v>
      </c>
      <c r="AK123" s="874">
        <f t="shared" si="83"/>
        <v>2.0185068417065554E-3</v>
      </c>
      <c r="AL123" s="874">
        <f t="shared" si="83"/>
        <v>2.4894006926180446E-3</v>
      </c>
      <c r="AM123" s="874">
        <f t="shared" si="83"/>
        <v>2.3416203594160655E-3</v>
      </c>
      <c r="AN123" s="874">
        <f t="shared" si="83"/>
        <v>2.6148209511653061E-3</v>
      </c>
      <c r="AO123" s="874">
        <f t="shared" si="83"/>
        <v>2.7316592333412612E-3</v>
      </c>
      <c r="AP123" s="874">
        <f t="shared" si="83"/>
        <v>2.3144952225492596E-3</v>
      </c>
      <c r="AQ123" s="874">
        <f t="shared" si="83"/>
        <v>3.090770265929299E-3</v>
      </c>
      <c r="AR123" s="874">
        <f t="shared" si="83"/>
        <v>2.8305266192211851E-3</v>
      </c>
      <c r="AS123" s="874">
        <f t="shared" si="83"/>
        <v>3.5550936879881955E-3</v>
      </c>
      <c r="AT123" s="874">
        <f t="shared" si="83"/>
        <v>3.0774092896218882E-3</v>
      </c>
      <c r="AU123" s="874">
        <f t="shared" si="83"/>
        <v>3.0705649382820432E-3</v>
      </c>
      <c r="AV123" s="874">
        <f t="shared" si="83"/>
        <v>3.2047393341461915E-3</v>
      </c>
      <c r="AW123" s="874">
        <f t="shared" si="83"/>
        <v>3.1904454671924484E-3</v>
      </c>
      <c r="AX123" s="874">
        <f t="shared" si="83"/>
        <v>2.7657478920930243E-3</v>
      </c>
      <c r="AY123" s="874">
        <f t="shared" si="83"/>
        <v>2.8425484801448153E-3</v>
      </c>
      <c r="AZ123" s="874">
        <f t="shared" si="83"/>
        <v>2.9017149080580928E-3</v>
      </c>
      <c r="BA123" s="874">
        <f t="shared" si="83"/>
        <v>2.9795682374292019E-3</v>
      </c>
      <c r="BB123" s="874">
        <f t="shared" si="83"/>
        <v>3.0457254567619872E-3</v>
      </c>
      <c r="BC123" s="874">
        <f t="shared" si="83"/>
        <v>3.0835210681167077E-3</v>
      </c>
      <c r="BD123" s="874">
        <f t="shared" si="83"/>
        <v>3.1343481839519781E-3</v>
      </c>
      <c r="BE123" s="874">
        <f t="shared" si="83"/>
        <v>3.1695472233121613E-3</v>
      </c>
      <c r="BF123" s="874">
        <f t="shared" si="83"/>
        <v>3.1989933823529438E-3</v>
      </c>
      <c r="BG123" s="874">
        <f t="shared" si="83"/>
        <v>3.2598618072550065E-3</v>
      </c>
      <c r="BH123" s="874">
        <f t="shared" si="83"/>
        <v>3.2703346987601467E-3</v>
      </c>
      <c r="BI123" s="874">
        <f t="shared" si="83"/>
        <v>3.2998803378535245E-3</v>
      </c>
      <c r="BJ123" s="874">
        <f t="shared" si="83"/>
        <v>3.2804398362503658E-3</v>
      </c>
      <c r="BK123" s="874">
        <f t="shared" si="83"/>
        <v>3.2933134909354411E-3</v>
      </c>
      <c r="BL123" s="874">
        <f t="shared" si="83"/>
        <v>3.307572020688738E-3</v>
      </c>
      <c r="BM123" s="874">
        <f t="shared" si="83"/>
        <v>3.3133959130557411E-3</v>
      </c>
      <c r="BN123" s="874">
        <f t="shared" si="83"/>
        <v>3.3206412729667356E-3</v>
      </c>
      <c r="BO123" s="874">
        <f t="shared" si="83"/>
        <v>3.3582268849350959E-3</v>
      </c>
      <c r="BP123" s="874">
        <f t="shared" si="83"/>
        <v>3.3930487652623939E-3</v>
      </c>
      <c r="BQ123" s="874">
        <f t="shared" si="83"/>
        <v>3.4261492775097754E-3</v>
      </c>
      <c r="BR123" s="614"/>
    </row>
    <row r="124" spans="2:70" s="932" customFormat="1" ht="14.25" customHeight="1" x14ac:dyDescent="0.35">
      <c r="B124" s="933"/>
      <c r="C124" s="929">
        <v>0.19500000000000001</v>
      </c>
      <c r="D124" s="1156" t="s">
        <v>102</v>
      </c>
      <c r="E124" s="1157"/>
      <c r="F124" s="930" t="s">
        <v>143</v>
      </c>
      <c r="G124" s="930" t="s">
        <v>95</v>
      </c>
      <c r="H124" s="930" t="s">
        <v>95</v>
      </c>
      <c r="I124" s="930"/>
      <c r="J124" s="930"/>
      <c r="K124" s="930"/>
      <c r="L124" s="930"/>
      <c r="M124" s="930"/>
      <c r="N124" s="930"/>
      <c r="O124" s="930"/>
      <c r="P124" s="930"/>
      <c r="Q124" s="931">
        <f>((R77-Q77)*$C$124)*-1</f>
        <v>1.3216066499999691E-3</v>
      </c>
      <c r="R124" s="931">
        <f t="shared" ref="R124:T124" si="84">(R77-Q77)*$C$124</f>
        <v>-1.3216066499999691E-3</v>
      </c>
      <c r="S124" s="931">
        <f t="shared" si="84"/>
        <v>-1.3827449999999919E-3</v>
      </c>
      <c r="T124" s="931">
        <f t="shared" si="84"/>
        <v>-1.3827449999999919E-3</v>
      </c>
      <c r="U124" s="931">
        <f>(U77-T77)*$C$124</f>
        <v>-1.3827449999999919E-3</v>
      </c>
      <c r="V124" s="931">
        <f t="shared" ref="V124:BQ124" si="85">(V77-U77)*$C$124</f>
        <v>-1.3827449999999919E-3</v>
      </c>
      <c r="W124" s="931">
        <f t="shared" si="85"/>
        <v>-1.3827450000000786E-3</v>
      </c>
      <c r="X124" s="931">
        <f t="shared" si="85"/>
        <v>-1.3827449999999919E-3</v>
      </c>
      <c r="Y124" s="931">
        <f t="shared" si="85"/>
        <v>-1.3827449999999919E-3</v>
      </c>
      <c r="Z124" s="931">
        <f t="shared" si="85"/>
        <v>-1.3827449999999919E-3</v>
      </c>
      <c r="AA124" s="931">
        <f t="shared" si="85"/>
        <v>-1.3827449999999919E-3</v>
      </c>
      <c r="AB124" s="931">
        <f t="shared" si="85"/>
        <v>-1.3827449999999919E-3</v>
      </c>
      <c r="AC124" s="931">
        <f t="shared" si="85"/>
        <v>-1.3827449999999919E-3</v>
      </c>
      <c r="AD124" s="931">
        <f t="shared" si="85"/>
        <v>-1.3827449999999919E-3</v>
      </c>
      <c r="AE124" s="931">
        <f t="shared" si="85"/>
        <v>-1.3827449999999919E-3</v>
      </c>
      <c r="AF124" s="931">
        <f t="shared" si="85"/>
        <v>-1.3827449999999919E-3</v>
      </c>
      <c r="AG124" s="931">
        <f t="shared" si="85"/>
        <v>-1.3827449999999919E-3</v>
      </c>
      <c r="AH124" s="931">
        <f t="shared" si="85"/>
        <v>-1.3827450000000786E-3</v>
      </c>
      <c r="AI124" s="931">
        <f t="shared" si="85"/>
        <v>-1.3827449999999919E-3</v>
      </c>
      <c r="AJ124" s="931">
        <f t="shared" si="85"/>
        <v>-1.3827449999999919E-3</v>
      </c>
      <c r="AK124" s="931">
        <f t="shared" si="85"/>
        <v>-1.3827449999999919E-3</v>
      </c>
      <c r="AL124" s="931">
        <f t="shared" si="85"/>
        <v>-1.3827449999999919E-3</v>
      </c>
      <c r="AM124" s="931">
        <f t="shared" si="85"/>
        <v>-1.3827449999999919E-3</v>
      </c>
      <c r="AN124" s="931">
        <f t="shared" si="85"/>
        <v>-1.3827449999999919E-3</v>
      </c>
      <c r="AO124" s="931">
        <f t="shared" si="85"/>
        <v>-1.3827449999999919E-3</v>
      </c>
      <c r="AP124" s="931">
        <f t="shared" si="85"/>
        <v>-1.3827449999999919E-3</v>
      </c>
      <c r="AQ124" s="931">
        <f t="shared" si="85"/>
        <v>-1.3827449999999919E-3</v>
      </c>
      <c r="AR124" s="931">
        <f t="shared" si="85"/>
        <v>-1.3827449999999919E-3</v>
      </c>
      <c r="AS124" s="931">
        <f t="shared" si="85"/>
        <v>-1.3827450000000786E-3</v>
      </c>
      <c r="AT124" s="931">
        <f t="shared" si="85"/>
        <v>-1.3827449999999919E-3</v>
      </c>
      <c r="AU124" s="931">
        <f t="shared" si="85"/>
        <v>-1.3827449999999919E-3</v>
      </c>
      <c r="AV124" s="931">
        <f t="shared" si="85"/>
        <v>-1.3827449999999919E-3</v>
      </c>
      <c r="AW124" s="931">
        <f t="shared" si="85"/>
        <v>-1.3827449999999919E-3</v>
      </c>
      <c r="AX124" s="931">
        <f t="shared" si="85"/>
        <v>-1.3827449999999919E-3</v>
      </c>
      <c r="AY124" s="931">
        <f t="shared" si="85"/>
        <v>-1.3827449999999919E-3</v>
      </c>
      <c r="AZ124" s="931">
        <f t="shared" si="85"/>
        <v>-1.3827449999999919E-3</v>
      </c>
      <c r="BA124" s="931">
        <f t="shared" si="85"/>
        <v>-1.3827449999999919E-3</v>
      </c>
      <c r="BB124" s="931">
        <f t="shared" si="85"/>
        <v>-1.3827449999999919E-3</v>
      </c>
      <c r="BC124" s="931">
        <f t="shared" si="85"/>
        <v>-1.3827450000000786E-3</v>
      </c>
      <c r="BD124" s="931">
        <f t="shared" si="85"/>
        <v>-1.3827449999999919E-3</v>
      </c>
      <c r="BE124" s="931">
        <f t="shared" si="85"/>
        <v>-1.3827449999999919E-3</v>
      </c>
      <c r="BF124" s="931">
        <f t="shared" si="85"/>
        <v>-1.3827449999999919E-3</v>
      </c>
      <c r="BG124" s="931">
        <f t="shared" si="85"/>
        <v>-1.3827449999999919E-3</v>
      </c>
      <c r="BH124" s="931">
        <f t="shared" si="85"/>
        <v>-1.3827449999999919E-3</v>
      </c>
      <c r="BI124" s="931">
        <f t="shared" si="85"/>
        <v>-1.3827449999999919E-3</v>
      </c>
      <c r="BJ124" s="931">
        <f t="shared" si="85"/>
        <v>-1.3827449999999919E-3</v>
      </c>
      <c r="BK124" s="931">
        <f t="shared" si="85"/>
        <v>-1.3827449999999919E-3</v>
      </c>
      <c r="BL124" s="931">
        <f t="shared" si="85"/>
        <v>-1.3827449999999919E-3</v>
      </c>
      <c r="BM124" s="931">
        <f t="shared" si="85"/>
        <v>-1.3827449999999919E-3</v>
      </c>
      <c r="BN124" s="931">
        <f t="shared" si="85"/>
        <v>-1.3827450000000786E-3</v>
      </c>
      <c r="BO124" s="931">
        <f t="shared" si="85"/>
        <v>-1.3827449999999919E-3</v>
      </c>
      <c r="BP124" s="931">
        <f t="shared" si="85"/>
        <v>-1.3827449999999919E-3</v>
      </c>
      <c r="BQ124" s="931">
        <f t="shared" si="85"/>
        <v>-1.3827449999999919E-3</v>
      </c>
      <c r="BR124" s="926"/>
    </row>
    <row r="125" spans="2:70" ht="14.25" customHeight="1" x14ac:dyDescent="0.35">
      <c r="B125" s="546"/>
      <c r="C125" s="547">
        <v>0.13869999999999999</v>
      </c>
      <c r="D125" s="1152" t="s">
        <v>103</v>
      </c>
      <c r="E125" s="1153"/>
      <c r="F125" s="872" t="s">
        <v>143</v>
      </c>
      <c r="G125" s="872" t="s">
        <v>95</v>
      </c>
      <c r="H125" s="872" t="s">
        <v>95</v>
      </c>
      <c r="I125" s="872"/>
      <c r="J125" s="872"/>
      <c r="K125" s="872"/>
      <c r="L125" s="872"/>
      <c r="M125" s="872"/>
      <c r="N125" s="872"/>
      <c r="O125" s="872"/>
      <c r="P125" s="872"/>
      <c r="Q125" s="874">
        <f t="shared" ref="Q125:T125" si="86">(Q79-P79)*$C$125</f>
        <v>6.8240104568999996E-2</v>
      </c>
      <c r="R125" s="874">
        <f t="shared" si="86"/>
        <v>-9.417134430522069E-5</v>
      </c>
      <c r="S125" s="874">
        <f t="shared" si="86"/>
        <v>-9.4041387850082999E-5</v>
      </c>
      <c r="T125" s="874">
        <f t="shared" si="86"/>
        <v>-9.3911610734851637E-5</v>
      </c>
      <c r="U125" s="874">
        <f>(U79-T79)*$C$125</f>
        <v>-9.3782012712037197E-5</v>
      </c>
      <c r="V125" s="874">
        <f t="shared" ref="V125:BQ125" si="87">(V79-U79)*$C$125</f>
        <v>-9.3652593534489072E-5</v>
      </c>
      <c r="W125" s="874">
        <f t="shared" si="87"/>
        <v>-9.3523352955410767E-5</v>
      </c>
      <c r="X125" s="874">
        <f t="shared" si="87"/>
        <v>-9.339429072833692E-5</v>
      </c>
      <c r="Y125" s="874">
        <f t="shared" si="87"/>
        <v>-9.3265406607133199E-5</v>
      </c>
      <c r="Z125" s="874">
        <f t="shared" si="87"/>
        <v>-9.3136700346011786E-5</v>
      </c>
      <c r="AA125" s="874">
        <f t="shared" si="87"/>
        <v>-9.3008171699538987E-5</v>
      </c>
      <c r="AB125" s="874">
        <f t="shared" si="87"/>
        <v>-9.2879820422589135E-5</v>
      </c>
      <c r="AC125" s="874">
        <f t="shared" si="87"/>
        <v>-9.2751646270406094E-5</v>
      </c>
      <c r="AD125" s="874">
        <f t="shared" si="87"/>
        <v>-9.2623648998557123E-5</v>
      </c>
      <c r="AE125" s="874">
        <f t="shared" si="87"/>
        <v>-9.2495828362932841E-5</v>
      </c>
      <c r="AF125" s="874">
        <f t="shared" si="87"/>
        <v>-9.2368184119793461E-5</v>
      </c>
      <c r="AG125" s="874">
        <f t="shared" si="87"/>
        <v>-9.2240716025707162E-5</v>
      </c>
      <c r="AH125" s="874">
        <f t="shared" si="87"/>
        <v>-9.2113423837596263E-5</v>
      </c>
      <c r="AI125" s="874">
        <f t="shared" si="87"/>
        <v>-9.1986307312698817E-5</v>
      </c>
      <c r="AJ125" s="874">
        <f t="shared" si="87"/>
        <v>-9.1859366208607007E-5</v>
      </c>
      <c r="AK125" s="874">
        <f t="shared" si="87"/>
        <v>-9.1732600283236403E-5</v>
      </c>
      <c r="AL125" s="874">
        <f t="shared" si="87"/>
        <v>-9.160600929484906E-5</v>
      </c>
      <c r="AM125" s="874">
        <f t="shared" si="87"/>
        <v>-9.1479593002022672E-5</v>
      </c>
      <c r="AN125" s="874">
        <f t="shared" si="87"/>
        <v>-9.1353351163681444E-5</v>
      </c>
      <c r="AO125" s="874">
        <f t="shared" si="87"/>
        <v>-9.122728353907293E-5</v>
      </c>
      <c r="AP125" s="874">
        <f t="shared" si="87"/>
        <v>-9.1101389887791195E-5</v>
      </c>
      <c r="AQ125" s="874">
        <f t="shared" si="87"/>
        <v>-9.0975669969745916E-5</v>
      </c>
      <c r="AR125" s="874">
        <f t="shared" si="87"/>
        <v>-9.085012354518561E-5</v>
      </c>
      <c r="AS125" s="874">
        <f t="shared" si="87"/>
        <v>-9.0724750374689828E-5</v>
      </c>
      <c r="AT125" s="874">
        <f t="shared" si="87"/>
        <v>-9.0599550219176893E-5</v>
      </c>
      <c r="AU125" s="874">
        <f t="shared" si="87"/>
        <v>-9.0474522839873136E-5</v>
      </c>
      <c r="AV125" s="874">
        <f t="shared" si="87"/>
        <v>-9.0349667998351334E-5</v>
      </c>
      <c r="AW125" s="874">
        <f t="shared" si="87"/>
        <v>-9.0224985456515322E-5</v>
      </c>
      <c r="AX125" s="874">
        <f t="shared" si="87"/>
        <v>-9.0100474976584669E-5</v>
      </c>
      <c r="AY125" s="874">
        <f t="shared" si="87"/>
        <v>-8.997613632111765E-5</v>
      </c>
      <c r="AZ125" s="874">
        <f t="shared" si="87"/>
        <v>-8.9851969252995956E-5</v>
      </c>
      <c r="BA125" s="874">
        <f t="shared" si="87"/>
        <v>-8.9727973535424656E-5</v>
      </c>
      <c r="BB125" s="874">
        <f t="shared" si="87"/>
        <v>-8.9604148931947563E-5</v>
      </c>
      <c r="BC125" s="874">
        <f t="shared" si="87"/>
        <v>-8.948049520642417E-5</v>
      </c>
      <c r="BD125" s="874">
        <f t="shared" si="87"/>
        <v>-8.9357012123037388E-5</v>
      </c>
      <c r="BE125" s="874">
        <f t="shared" si="87"/>
        <v>-8.9233699446308846E-5</v>
      </c>
      <c r="BF125" s="874">
        <f t="shared" si="87"/>
        <v>-8.911055694106818E-5</v>
      </c>
      <c r="BG125" s="874">
        <f t="shared" si="87"/>
        <v>-8.8987584372491484E-5</v>
      </c>
      <c r="BH125" s="874">
        <f t="shared" si="87"/>
        <v>-8.8864781506055136E-5</v>
      </c>
      <c r="BI125" s="874">
        <f t="shared" si="87"/>
        <v>-8.8742148107581997E-5</v>
      </c>
      <c r="BJ125" s="874">
        <f t="shared" si="87"/>
        <v>-8.8619683943195169E-5</v>
      </c>
      <c r="BK125" s="874">
        <f t="shared" si="87"/>
        <v>-8.8497388779348887E-5</v>
      </c>
      <c r="BL125" s="874">
        <f t="shared" si="87"/>
        <v>-8.83752623828361E-5</v>
      </c>
      <c r="BM125" s="874">
        <f t="shared" si="87"/>
        <v>-8.8253304520742373E-5</v>
      </c>
      <c r="BN125" s="874">
        <f t="shared" si="87"/>
        <v>-8.8131514960507423E-5</v>
      </c>
      <c r="BO125" s="874">
        <f t="shared" si="87"/>
        <v>-8.8009893469863541E-5</v>
      </c>
      <c r="BP125" s="874">
        <f t="shared" si="87"/>
        <v>-8.7888439816874119E-5</v>
      </c>
      <c r="BQ125" s="874">
        <f t="shared" si="87"/>
        <v>-8.7767153769925899E-5</v>
      </c>
      <c r="BR125" s="614"/>
    </row>
    <row r="126" spans="2:70" ht="14.25" customHeight="1" x14ac:dyDescent="0.35">
      <c r="B126" s="546"/>
      <c r="C126" s="542"/>
      <c r="D126" s="1152" t="s">
        <v>80</v>
      </c>
      <c r="E126" s="1153"/>
      <c r="F126" s="872" t="s">
        <v>143</v>
      </c>
      <c r="G126" s="872" t="s">
        <v>95</v>
      </c>
      <c r="H126" s="872" t="s">
        <v>95</v>
      </c>
      <c r="I126" s="872"/>
      <c r="J126" s="872"/>
      <c r="K126" s="872"/>
      <c r="L126" s="872"/>
      <c r="M126" s="872"/>
      <c r="N126" s="872"/>
      <c r="O126" s="872"/>
      <c r="P126" s="872"/>
      <c r="Q126" s="878"/>
      <c r="R126" s="878"/>
      <c r="S126" s="878"/>
      <c r="T126" s="878"/>
      <c r="U126" s="874"/>
      <c r="V126" s="879"/>
      <c r="W126" s="879"/>
      <c r="X126" s="879"/>
      <c r="Y126" s="879"/>
      <c r="Z126" s="879"/>
      <c r="AA126" s="879"/>
      <c r="AB126" s="879"/>
      <c r="AC126" s="879"/>
      <c r="AD126" s="879"/>
      <c r="AE126" s="879"/>
      <c r="AF126" s="879"/>
      <c r="AG126" s="879"/>
      <c r="AH126" s="879"/>
      <c r="AI126" s="879"/>
      <c r="AJ126" s="879"/>
      <c r="AK126" s="879"/>
      <c r="AL126" s="879"/>
      <c r="AM126" s="879"/>
      <c r="AN126" s="879"/>
      <c r="AO126" s="879"/>
      <c r="AP126" s="879"/>
      <c r="AQ126" s="879"/>
      <c r="AR126" s="879"/>
      <c r="AS126" s="879"/>
      <c r="AT126" s="879"/>
      <c r="AU126" s="879"/>
      <c r="AV126" s="879"/>
      <c r="AW126" s="874"/>
      <c r="AX126" s="874"/>
      <c r="AY126" s="874"/>
      <c r="AZ126" s="874"/>
      <c r="BA126" s="874"/>
      <c r="BB126" s="874"/>
      <c r="BC126" s="874"/>
      <c r="BD126" s="874"/>
      <c r="BE126" s="874"/>
      <c r="BF126" s="874"/>
      <c r="BG126" s="874"/>
      <c r="BH126" s="874"/>
      <c r="BI126" s="874"/>
      <c r="BJ126" s="874"/>
      <c r="BK126" s="874"/>
      <c r="BL126" s="874"/>
      <c r="BM126" s="874"/>
      <c r="BN126" s="874"/>
      <c r="BO126" s="874"/>
      <c r="BP126" s="874"/>
      <c r="BQ126" s="874"/>
      <c r="BR126" s="614"/>
    </row>
    <row r="127" spans="2:70" ht="14.25" customHeight="1" x14ac:dyDescent="0.35">
      <c r="B127" s="546"/>
      <c r="C127" s="547">
        <v>5.2420000000000001E-2</v>
      </c>
      <c r="D127" s="1152" t="s">
        <v>57</v>
      </c>
      <c r="E127" s="1153"/>
      <c r="F127" s="872" t="s">
        <v>143</v>
      </c>
      <c r="G127" s="872" t="s">
        <v>95</v>
      </c>
      <c r="H127" s="872" t="s">
        <v>95</v>
      </c>
      <c r="I127" s="872"/>
      <c r="J127" s="872"/>
      <c r="K127" s="872"/>
      <c r="L127" s="872"/>
      <c r="M127" s="872"/>
      <c r="N127" s="872"/>
      <c r="O127" s="872"/>
      <c r="P127" s="872"/>
      <c r="Q127" s="874">
        <f t="shared" ref="Q127:T127" si="88">(Q84-P84)*$C$127</f>
        <v>5.6923087679999996E-3</v>
      </c>
      <c r="R127" s="874">
        <f t="shared" si="88"/>
        <v>7.1368478026711271E-5</v>
      </c>
      <c r="S127" s="874">
        <f t="shared" si="88"/>
        <v>7.2263274824186827E-5</v>
      </c>
      <c r="T127" s="874">
        <f t="shared" si="88"/>
        <v>7.3169290318360583E-5</v>
      </c>
      <c r="U127" s="874">
        <f>(U84-T84)*$C$127</f>
        <v>7.4009846738376574E-5</v>
      </c>
      <c r="V127" s="874">
        <f t="shared" ref="V127:BQ127" si="89">(V84-U84)*$C$127</f>
        <v>7.4936798104872259E-5</v>
      </c>
      <c r="W127" s="874">
        <f t="shared" si="89"/>
        <v>7.5875359262141779E-5</v>
      </c>
      <c r="X127" s="874">
        <f t="shared" si="89"/>
        <v>7.6825675619370342E-5</v>
      </c>
      <c r="Y127" s="874">
        <f t="shared" si="89"/>
        <v>7.7787894406947206E-5</v>
      </c>
      <c r="Z127" s="874">
        <f t="shared" si="89"/>
        <v>7.8762164699280732E-5</v>
      </c>
      <c r="AA127" s="874">
        <f t="shared" si="89"/>
        <v>7.9748637437891285E-5</v>
      </c>
      <c r="AB127" s="874">
        <f t="shared" si="89"/>
        <v>8.0747465454798068E-5</v>
      </c>
      <c r="AC127" s="874">
        <f t="shared" si="89"/>
        <v>8.175880349619403E-5</v>
      </c>
      <c r="AD127" s="874">
        <f t="shared" si="89"/>
        <v>8.2782808246423384E-5</v>
      </c>
      <c r="AE127" s="874">
        <f t="shared" si="89"/>
        <v>8.3819638352255934E-5</v>
      </c>
      <c r="AF127" s="874">
        <f t="shared" si="89"/>
        <v>8.4869454447464079E-5</v>
      </c>
      <c r="AG127" s="874">
        <f t="shared" si="89"/>
        <v>8.5932419177711113E-5</v>
      </c>
      <c r="AH127" s="874">
        <f t="shared" si="89"/>
        <v>8.7008697225746584E-5</v>
      </c>
      <c r="AI127" s="874">
        <f t="shared" si="89"/>
        <v>8.8098455336928911E-5</v>
      </c>
      <c r="AJ127" s="874">
        <f t="shared" si="89"/>
        <v>8.9201862345044943E-5</v>
      </c>
      <c r="AK127" s="874">
        <f t="shared" si="89"/>
        <v>9.0319089198480064E-5</v>
      </c>
      <c r="AL127" s="874">
        <f t="shared" si="89"/>
        <v>9.1450308986695361E-5</v>
      </c>
      <c r="AM127" s="874">
        <f t="shared" si="89"/>
        <v>9.2595696967045143E-5</v>
      </c>
      <c r="AN127" s="874">
        <f t="shared" si="89"/>
        <v>9.3755430591932145E-5</v>
      </c>
      <c r="AO127" s="874">
        <f t="shared" si="89"/>
        <v>9.492968953629724E-5</v>
      </c>
      <c r="AP127" s="874">
        <f t="shared" si="89"/>
        <v>9.6118655725455573E-5</v>
      </c>
      <c r="AQ127" s="874">
        <f t="shared" si="89"/>
        <v>9.7322513363283172E-5</v>
      </c>
      <c r="AR127" s="874">
        <f t="shared" si="89"/>
        <v>9.8541448960755783E-5</v>
      </c>
      <c r="AS127" s="874">
        <f t="shared" si="89"/>
        <v>9.9775651364844101E-5</v>
      </c>
      <c r="AT127" s="874">
        <f t="shared" si="89"/>
        <v>1.0102531178776842E-4</v>
      </c>
      <c r="AU127" s="874">
        <f t="shared" si="89"/>
        <v>1.0229062383662859E-4</v>
      </c>
      <c r="AV127" s="874">
        <f t="shared" si="89"/>
        <v>1.035717835433935E-4</v>
      </c>
      <c r="AW127" s="874">
        <f t="shared" si="89"/>
        <v>1.0486898939527583E-4</v>
      </c>
      <c r="AX127" s="874">
        <f t="shared" si="89"/>
        <v>1.0618244236548254E-4</v>
      </c>
      <c r="AY127" s="874">
        <f t="shared" si="89"/>
        <v>1.0751234594434625E-4</v>
      </c>
      <c r="AZ127" s="874">
        <f t="shared" si="89"/>
        <v>1.0885890617086131E-4</v>
      </c>
      <c r="BA127" s="874">
        <f t="shared" si="89"/>
        <v>1.1022233166459366E-4</v>
      </c>
      <c r="BB127" s="874">
        <f t="shared" si="89"/>
        <v>1.1160283365801121E-4</v>
      </c>
      <c r="BC127" s="874">
        <f t="shared" si="89"/>
        <v>1.1300062602920415E-4</v>
      </c>
      <c r="BD127" s="874">
        <f t="shared" si="89"/>
        <v>1.1441592533502434E-4</v>
      </c>
      <c r="BE127" s="874">
        <f t="shared" si="89"/>
        <v>1.1584895084463192E-4</v>
      </c>
      <c r="BF127" s="874">
        <f t="shared" si="89"/>
        <v>1.1729992457346697E-4</v>
      </c>
      <c r="BG127" s="874">
        <f t="shared" si="89"/>
        <v>1.1876907131765171E-4</v>
      </c>
      <c r="BH127" s="874">
        <f t="shared" si="89"/>
        <v>1.2025661868880739E-4</v>
      </c>
      <c r="BI127" s="874">
        <f t="shared" si="89"/>
        <v>1.2176279714932798E-4</v>
      </c>
      <c r="BJ127" s="874">
        <f t="shared" si="89"/>
        <v>1.2328784004807884E-4</v>
      </c>
      <c r="BK127" s="874">
        <f t="shared" si="89"/>
        <v>1.2483198365654779E-4</v>
      </c>
      <c r="BL127" s="874">
        <f t="shared" si="89"/>
        <v>1.2639546720545871E-4</v>
      </c>
      <c r="BM127" s="874">
        <f t="shared" si="89"/>
        <v>1.2797853292182348E-4</v>
      </c>
      <c r="BN127" s="874">
        <f t="shared" si="89"/>
        <v>1.2958142606648085E-4</v>
      </c>
      <c r="BO127" s="874">
        <f t="shared" si="89"/>
        <v>1.3120439497208374E-4</v>
      </c>
      <c r="BP127" s="874">
        <f t="shared" si="89"/>
        <v>1.3284769108158121E-4</v>
      </c>
      <c r="BQ127" s="874">
        <f t="shared" si="89"/>
        <v>1.3451156898716871E-4</v>
      </c>
      <c r="BR127" s="614"/>
    </row>
    <row r="128" spans="2:70" ht="14.25" customHeight="1" x14ac:dyDescent="0.35">
      <c r="B128" s="546"/>
      <c r="C128" s="545"/>
      <c r="D128" s="875" t="s">
        <v>95</v>
      </c>
      <c r="E128" s="876" t="s">
        <v>95</v>
      </c>
      <c r="F128" s="877" t="s">
        <v>24</v>
      </c>
      <c r="G128" s="877" t="s">
        <v>95</v>
      </c>
      <c r="H128" s="877" t="s">
        <v>95</v>
      </c>
      <c r="I128" s="877">
        <v>0.13102</v>
      </c>
      <c r="J128" s="877" t="s">
        <v>95</v>
      </c>
      <c r="K128" s="877">
        <v>0.13102</v>
      </c>
      <c r="L128" s="877" t="s">
        <v>95</v>
      </c>
      <c r="M128" s="877">
        <v>0.13102</v>
      </c>
      <c r="N128" s="877" t="s">
        <v>95</v>
      </c>
      <c r="O128" s="877">
        <v>0.1749</v>
      </c>
      <c r="P128" s="877" t="s">
        <v>95</v>
      </c>
      <c r="Q128" s="877">
        <v>0.10920000000000001</v>
      </c>
      <c r="R128" s="880">
        <f>SUM(U121:U127)</f>
        <v>7.0086128300340111E-2</v>
      </c>
      <c r="S128" s="880">
        <f t="shared" ref="S128:BQ128" si="90">SUM(S121:S127)</f>
        <v>6.7361174334071364E-2</v>
      </c>
      <c r="T128" s="880">
        <f t="shared" si="90"/>
        <v>7.0487657176721064E-2</v>
      </c>
      <c r="U128" s="880">
        <f t="shared" si="90"/>
        <v>7.0086128300340111E-2</v>
      </c>
      <c r="V128" s="880">
        <f t="shared" si="90"/>
        <v>6.9010669495678967E-2</v>
      </c>
      <c r="W128" s="880">
        <f t="shared" si="90"/>
        <v>6.8753796493101663E-2</v>
      </c>
      <c r="X128" s="880">
        <f t="shared" si="90"/>
        <v>6.735165400000051E-2</v>
      </c>
      <c r="Y128" s="880">
        <f t="shared" si="90"/>
        <v>6.6356454548800944E-2</v>
      </c>
      <c r="Z128" s="880">
        <f t="shared" si="90"/>
        <v>6.6628138051539734E-2</v>
      </c>
      <c r="AA128" s="880">
        <f t="shared" si="90"/>
        <v>6.5668563440525088E-2</v>
      </c>
      <c r="AB128" s="880">
        <f t="shared" si="90"/>
        <v>6.4036825193779179E-2</v>
      </c>
      <c r="AC128" s="880">
        <f t="shared" si="90"/>
        <v>6.3821882884642286E-2</v>
      </c>
      <c r="AD128" s="880">
        <f t="shared" si="90"/>
        <v>6.4182014899112141E-2</v>
      </c>
      <c r="AE128" s="880">
        <f t="shared" si="90"/>
        <v>6.2752632638931272E-2</v>
      </c>
      <c r="AF128" s="880">
        <f t="shared" si="90"/>
        <v>6.2776186101754033E-2</v>
      </c>
      <c r="AG128" s="880">
        <f t="shared" si="90"/>
        <v>6.1628041894371065E-2</v>
      </c>
      <c r="AH128" s="880">
        <f t="shared" si="90"/>
        <v>6.1228637384479541E-2</v>
      </c>
      <c r="AI128" s="880">
        <f t="shared" si="90"/>
        <v>6.1097818538649214E-2</v>
      </c>
      <c r="AJ128" s="880">
        <f t="shared" si="90"/>
        <v>6.0431192358051659E-2</v>
      </c>
      <c r="AK128" s="880">
        <f t="shared" si="90"/>
        <v>6.0222450492104548E-2</v>
      </c>
      <c r="AL128" s="880">
        <f t="shared" si="90"/>
        <v>6.0242120722628238E-2</v>
      </c>
      <c r="AM128" s="880">
        <f t="shared" si="90"/>
        <v>5.9645727926526504E-2</v>
      </c>
      <c r="AN128" s="880">
        <f t="shared" si="90"/>
        <v>5.9474259910099969E-2</v>
      </c>
      <c r="AO128" s="880">
        <f t="shared" si="90"/>
        <v>5.9149703880993464E-2</v>
      </c>
      <c r="AP128" s="880">
        <f t="shared" si="90"/>
        <v>5.8293685784224038E-2</v>
      </c>
      <c r="AQ128" s="880">
        <f t="shared" si="90"/>
        <v>5.8636278355453458E-2</v>
      </c>
      <c r="AR128" s="880">
        <f t="shared" si="90"/>
        <v>5.7944149560644899E-2</v>
      </c>
      <c r="AS128" s="880">
        <f t="shared" si="90"/>
        <v>5.8241634655319507E-2</v>
      </c>
      <c r="AT128" s="880">
        <f t="shared" si="90"/>
        <v>5.7338427002245305E-2</v>
      </c>
      <c r="AU128" s="880">
        <f t="shared" si="90"/>
        <v>5.6910087083290678E-2</v>
      </c>
      <c r="AV128" s="880">
        <f t="shared" si="90"/>
        <v>5.6626161508134626E-2</v>
      </c>
      <c r="AW128" s="880">
        <f t="shared" si="90"/>
        <v>5.6196868219959437E-2</v>
      </c>
      <c r="AX128" s="880">
        <f t="shared" si="90"/>
        <v>5.5360801269074993E-2</v>
      </c>
      <c r="AY128" s="880">
        <f t="shared" si="90"/>
        <v>5.5028551832893839E-2</v>
      </c>
      <c r="AZ128" s="880">
        <f t="shared" si="90"/>
        <v>5.4682166400152582E-2</v>
      </c>
      <c r="BA128" s="880">
        <f t="shared" si="90"/>
        <v>5.4357688231409983E-2</v>
      </c>
      <c r="BB128" s="880">
        <f t="shared" si="90"/>
        <v>5.4024520547259737E-2</v>
      </c>
      <c r="BC128" s="880">
        <f t="shared" si="90"/>
        <v>5.3666118389973115E-2</v>
      </c>
      <c r="BD128" s="880">
        <f t="shared" si="90"/>
        <v>5.3323581982263467E-2</v>
      </c>
      <c r="BE128" s="880">
        <f t="shared" si="90"/>
        <v>5.2968582219206778E-2</v>
      </c>
      <c r="BF128" s="880">
        <f t="shared" si="90"/>
        <v>5.2610823494988364E-2</v>
      </c>
      <c r="BG128" s="880">
        <f t="shared" si="90"/>
        <v>5.228744496750138E-2</v>
      </c>
      <c r="BH128" s="880">
        <f t="shared" si="90"/>
        <v>5.1916608601731647E-2</v>
      </c>
      <c r="BI128" s="880">
        <f t="shared" si="90"/>
        <v>5.156778322215648E-2</v>
      </c>
      <c r="BJ128" s="880">
        <f t="shared" si="90"/>
        <v>5.1172882431216857E-2</v>
      </c>
      <c r="BK128" s="880">
        <f t="shared" si="90"/>
        <v>5.0813181929718981E-2</v>
      </c>
      <c r="BL128" s="880">
        <f t="shared" si="90"/>
        <v>5.0457721548717582E-2</v>
      </c>
      <c r="BM128" s="880">
        <f t="shared" si="90"/>
        <v>5.0096668805542623E-2</v>
      </c>
      <c r="BN128" s="880">
        <f t="shared" si="90"/>
        <v>4.9739855129210503E-2</v>
      </c>
      <c r="BO128" s="880">
        <f t="shared" si="90"/>
        <v>4.94161882921101E-2</v>
      </c>
      <c r="BP128" s="880">
        <f t="shared" si="90"/>
        <v>4.9092535125742277E-2</v>
      </c>
      <c r="BQ128" s="880">
        <f t="shared" si="90"/>
        <v>4.876991747912205E-2</v>
      </c>
      <c r="BR128" s="614"/>
    </row>
    <row r="129" spans="2:70" ht="14.25" customHeight="1" x14ac:dyDescent="0.35">
      <c r="B129" s="546"/>
      <c r="C129" s="545"/>
      <c r="D129" s="875"/>
      <c r="E129" s="876"/>
      <c r="F129" s="876"/>
      <c r="G129" s="876"/>
      <c r="H129" s="876"/>
      <c r="I129" s="876"/>
      <c r="J129" s="876"/>
      <c r="K129" s="876"/>
      <c r="L129" s="876"/>
      <c r="M129" s="876"/>
      <c r="N129" s="876"/>
      <c r="O129" s="876"/>
      <c r="P129" s="876"/>
      <c r="Q129" s="876"/>
      <c r="R129" s="876"/>
      <c r="S129" s="876"/>
      <c r="T129" s="876"/>
      <c r="U129" s="876"/>
      <c r="V129" s="876"/>
      <c r="W129" s="876"/>
      <c r="X129" s="876"/>
      <c r="Y129" s="876"/>
      <c r="Z129" s="876"/>
      <c r="AA129" s="876"/>
      <c r="AB129" s="876"/>
      <c r="AC129" s="876"/>
      <c r="AD129" s="876"/>
      <c r="AE129" s="876"/>
      <c r="AF129" s="876"/>
      <c r="AG129" s="876"/>
      <c r="AH129" s="876"/>
      <c r="AI129" s="876"/>
      <c r="AJ129" s="876"/>
      <c r="AK129" s="876"/>
      <c r="AL129" s="876"/>
      <c r="AM129" s="876"/>
      <c r="AN129" s="876"/>
      <c r="AO129" s="876"/>
      <c r="AP129" s="876"/>
      <c r="AQ129" s="876"/>
      <c r="AR129" s="876"/>
      <c r="AS129" s="876"/>
      <c r="AT129" s="876"/>
      <c r="AU129" s="876"/>
      <c r="AV129" s="876"/>
      <c r="AW129" s="876"/>
      <c r="AX129" s="876"/>
      <c r="AY129" s="876"/>
      <c r="AZ129" s="876"/>
      <c r="BA129" s="876"/>
      <c r="BB129" s="876"/>
      <c r="BC129" s="876"/>
      <c r="BD129" s="876"/>
      <c r="BE129" s="876"/>
      <c r="BF129" s="876"/>
      <c r="BG129" s="876"/>
      <c r="BH129" s="876"/>
      <c r="BI129" s="876"/>
      <c r="BJ129" s="876"/>
      <c r="BK129" s="876"/>
      <c r="BL129" s="876"/>
      <c r="BM129" s="876"/>
      <c r="BN129" s="876"/>
      <c r="BO129" s="876"/>
      <c r="BP129" s="876"/>
      <c r="BQ129" s="876"/>
      <c r="BR129" s="614"/>
    </row>
    <row r="130" spans="2:70" ht="14.25" customHeight="1" x14ac:dyDescent="0.35">
      <c r="B130" s="957"/>
      <c r="C130" s="542"/>
      <c r="D130" s="565"/>
      <c r="E130" s="550" t="s">
        <v>144</v>
      </c>
      <c r="F130" s="631" t="s">
        <v>104</v>
      </c>
      <c r="G130" s="549"/>
      <c r="H130" s="549"/>
      <c r="I130" s="549"/>
      <c r="J130" s="549"/>
      <c r="K130" s="549"/>
      <c r="L130" s="549"/>
      <c r="M130" s="549"/>
      <c r="N130" s="549"/>
      <c r="O130" s="549"/>
      <c r="P130" s="549"/>
      <c r="Q130" s="549"/>
      <c r="R130" s="881"/>
      <c r="S130" s="881"/>
      <c r="T130" s="881"/>
      <c r="U130" s="881"/>
      <c r="V130" s="881"/>
      <c r="W130" s="881"/>
      <c r="X130" s="881"/>
      <c r="Y130" s="881"/>
      <c r="Z130" s="881"/>
      <c r="AA130" s="881"/>
      <c r="AB130" s="881"/>
      <c r="AC130" s="881"/>
      <c r="AD130" s="881"/>
      <c r="AE130" s="881"/>
      <c r="AF130" s="881"/>
      <c r="AG130" s="881"/>
      <c r="AH130" s="881"/>
      <c r="AI130" s="881"/>
      <c r="AJ130" s="879"/>
      <c r="AK130" s="879"/>
      <c r="AL130" s="879"/>
      <c r="AM130" s="879"/>
      <c r="AN130" s="879"/>
      <c r="AO130" s="879"/>
      <c r="AP130" s="879"/>
      <c r="AQ130" s="879"/>
      <c r="AR130" s="879"/>
      <c r="AS130" s="879"/>
      <c r="AT130" s="879"/>
      <c r="AU130" s="879"/>
      <c r="AV130" s="879"/>
      <c r="AW130" s="879"/>
      <c r="AX130" s="879"/>
      <c r="AY130" s="879"/>
      <c r="AZ130" s="879"/>
      <c r="BA130" s="879"/>
      <c r="BB130" s="879"/>
      <c r="BC130" s="879"/>
      <c r="BD130" s="879"/>
      <c r="BE130" s="879"/>
      <c r="BF130" s="879"/>
      <c r="BG130" s="879"/>
      <c r="BH130" s="879"/>
      <c r="BI130" s="879"/>
      <c r="BJ130" s="879"/>
      <c r="BK130" s="879"/>
      <c r="BL130" s="879"/>
      <c r="BM130" s="879"/>
      <c r="BN130" s="879"/>
      <c r="BO130" s="879"/>
      <c r="BP130" s="879"/>
      <c r="BQ130" s="879"/>
      <c r="BR130" s="614"/>
    </row>
    <row r="131" spans="2:70" ht="14.25" customHeight="1" x14ac:dyDescent="0.35">
      <c r="B131" s="1151" t="s">
        <v>140</v>
      </c>
      <c r="C131" s="861">
        <v>2.1999999999999999E-2</v>
      </c>
      <c r="D131" s="1152" t="s">
        <v>99</v>
      </c>
      <c r="E131" s="1153"/>
      <c r="F131" s="872" t="s">
        <v>105</v>
      </c>
      <c r="G131" s="872" t="s">
        <v>95</v>
      </c>
      <c r="H131" s="872" t="s">
        <v>95</v>
      </c>
      <c r="I131" s="872">
        <v>0</v>
      </c>
      <c r="J131" s="872" t="s">
        <v>95</v>
      </c>
      <c r="K131" s="872">
        <v>0</v>
      </c>
      <c r="L131" s="872" t="s">
        <v>95</v>
      </c>
      <c r="M131" s="872">
        <v>0</v>
      </c>
      <c r="N131" s="872" t="s">
        <v>95</v>
      </c>
      <c r="O131" s="872">
        <v>0</v>
      </c>
      <c r="P131" s="872" t="s">
        <v>95</v>
      </c>
      <c r="Q131" s="872">
        <v>1.8E-3</v>
      </c>
      <c r="R131" s="872">
        <f>(R66)*$C$131</f>
        <v>2.0648660224500048E-3</v>
      </c>
      <c r="S131" s="872">
        <f>(S66)*$C$131</f>
        <v>2.1375823442966106E-3</v>
      </c>
      <c r="T131" s="872">
        <f t="shared" ref="T131:BQ131" si="91">(T66)*$C$131</f>
        <v>2.1213367184799415E-3</v>
      </c>
      <c r="U131" s="872">
        <f t="shared" si="91"/>
        <v>2.1052145594195118E-3</v>
      </c>
      <c r="V131" s="872">
        <f t="shared" si="91"/>
        <v>2.0892149287678984E-3</v>
      </c>
      <c r="W131" s="872">
        <f t="shared" si="91"/>
        <v>2.0733368953092818E-3</v>
      </c>
      <c r="X131" s="872">
        <f t="shared" si="91"/>
        <v>2.0575795349049315E-3</v>
      </c>
      <c r="Y131" s="872">
        <f t="shared" si="91"/>
        <v>2.0419419304396626E-3</v>
      </c>
      <c r="Z131" s="872">
        <f t="shared" si="91"/>
        <v>2.0264231717683004E-3</v>
      </c>
      <c r="AA131" s="872">
        <f t="shared" si="91"/>
        <v>2.011022355662881E-3</v>
      </c>
      <c r="AB131" s="872">
        <f t="shared" si="91"/>
        <v>1.9957385857598169E-3</v>
      </c>
      <c r="AC131" s="872">
        <f t="shared" si="91"/>
        <v>1.9805709725080759E-3</v>
      </c>
      <c r="AD131" s="872">
        <f t="shared" si="91"/>
        <v>1.9655186331170105E-3</v>
      </c>
      <c r="AE131" s="872">
        <f t="shared" si="91"/>
        <v>1.9505806915053191E-3</v>
      </c>
      <c r="AF131" s="872">
        <f t="shared" si="91"/>
        <v>1.9357562782498512E-3</v>
      </c>
      <c r="AG131" s="872">
        <f t="shared" si="91"/>
        <v>1.9210445305351555E-3</v>
      </c>
      <c r="AH131" s="872">
        <f t="shared" si="91"/>
        <v>1.9064445921031065E-3</v>
      </c>
      <c r="AI131" s="872">
        <f t="shared" si="91"/>
        <v>1.891955613203116E-3</v>
      </c>
      <c r="AJ131" s="872">
        <f t="shared" si="91"/>
        <v>1.8775767505427757E-3</v>
      </c>
      <c r="AK131" s="872">
        <f t="shared" si="91"/>
        <v>1.8633071672386555E-3</v>
      </c>
      <c r="AL131" s="872">
        <f t="shared" si="91"/>
        <v>1.8491460327676491E-3</v>
      </c>
      <c r="AM131" s="872">
        <f t="shared" si="91"/>
        <v>1.8350925229185932E-3</v>
      </c>
      <c r="AN131" s="872">
        <f t="shared" si="91"/>
        <v>1.8211458197444335E-3</v>
      </c>
      <c r="AO131" s="872">
        <f t="shared" si="91"/>
        <v>1.8073051115143526E-3</v>
      </c>
      <c r="AP131" s="872">
        <f t="shared" si="91"/>
        <v>1.7935695926668343E-3</v>
      </c>
      <c r="AQ131" s="872">
        <f t="shared" si="91"/>
        <v>1.7799384637625726E-3</v>
      </c>
      <c r="AR131" s="872">
        <f t="shared" si="91"/>
        <v>1.7664109314380063E-3</v>
      </c>
      <c r="AS131" s="872">
        <f t="shared" si="91"/>
        <v>1.7529862083590472E-3</v>
      </c>
      <c r="AT131" s="872">
        <f t="shared" si="91"/>
        <v>1.7396635131755147E-3</v>
      </c>
      <c r="AU131" s="872">
        <f t="shared" si="91"/>
        <v>1.7264420704754108E-3</v>
      </c>
      <c r="AV131" s="872">
        <f t="shared" si="91"/>
        <v>1.713321110739784E-3</v>
      </c>
      <c r="AW131" s="872">
        <f t="shared" si="91"/>
        <v>1.7002998702981777E-3</v>
      </c>
      <c r="AX131" s="872">
        <f t="shared" si="91"/>
        <v>1.6873775912838837E-3</v>
      </c>
      <c r="AY131" s="872">
        <f t="shared" si="91"/>
        <v>1.674553521590134E-3</v>
      </c>
      <c r="AZ131" s="872">
        <f t="shared" si="91"/>
        <v>1.6618269148260579E-3</v>
      </c>
      <c r="BA131" s="872">
        <f t="shared" si="91"/>
        <v>1.6491970302733811E-3</v>
      </c>
      <c r="BB131" s="872">
        <f t="shared" si="91"/>
        <v>1.6366631328432815E-3</v>
      </c>
      <c r="BC131" s="872">
        <f t="shared" si="91"/>
        <v>1.6242244930336758E-3</v>
      </c>
      <c r="BD131" s="872">
        <f t="shared" si="91"/>
        <v>1.6118803868866215E-3</v>
      </c>
      <c r="BE131" s="872">
        <f t="shared" si="91"/>
        <v>1.5996300959463063E-3</v>
      </c>
      <c r="BF131" s="872">
        <f t="shared" si="91"/>
        <v>1.5874729072171156E-3</v>
      </c>
      <c r="BG131" s="872">
        <f t="shared" si="91"/>
        <v>1.575408113122247E-3</v>
      </c>
      <c r="BH131" s="872">
        <f t="shared" si="91"/>
        <v>1.5634350114625199E-3</v>
      </c>
      <c r="BI131" s="872">
        <f t="shared" si="91"/>
        <v>1.5515529053754199E-3</v>
      </c>
      <c r="BJ131" s="872">
        <f t="shared" si="91"/>
        <v>1.5397611032945731E-3</v>
      </c>
      <c r="BK131" s="872">
        <f t="shared" si="91"/>
        <v>1.528058918909533E-3</v>
      </c>
      <c r="BL131" s="872">
        <f t="shared" si="91"/>
        <v>1.5164456711258011E-3</v>
      </c>
      <c r="BM131" s="872">
        <f t="shared" si="91"/>
        <v>1.5049206840252402E-3</v>
      </c>
      <c r="BN131" s="872">
        <f t="shared" si="91"/>
        <v>1.4934832868266417E-3</v>
      </c>
      <c r="BO131" s="872">
        <f t="shared" si="91"/>
        <v>1.4821328138467642E-3</v>
      </c>
      <c r="BP131" s="872">
        <f t="shared" si="91"/>
        <v>1.4708686044615255E-3</v>
      </c>
      <c r="BQ131" s="872">
        <f t="shared" si="91"/>
        <v>1.459690003067628E-3</v>
      </c>
      <c r="BR131" s="614"/>
    </row>
    <row r="132" spans="2:70" ht="14.25" customHeight="1" x14ac:dyDescent="0.35">
      <c r="B132" s="1151"/>
      <c r="C132" s="555">
        <v>0.33</v>
      </c>
      <c r="D132" s="1152" t="s">
        <v>101</v>
      </c>
      <c r="E132" s="1153"/>
      <c r="F132" s="872" t="s">
        <v>105</v>
      </c>
      <c r="G132" s="872" t="s">
        <v>95</v>
      </c>
      <c r="H132" s="872" t="s">
        <v>95</v>
      </c>
      <c r="I132" s="872">
        <v>1.6299999999999999E-3</v>
      </c>
      <c r="J132" s="872" t="s">
        <v>95</v>
      </c>
      <c r="K132" s="872">
        <v>1.6299999999999999E-3</v>
      </c>
      <c r="L132" s="872" t="s">
        <v>95</v>
      </c>
      <c r="M132" s="872">
        <v>1.6299999999999999E-3</v>
      </c>
      <c r="N132" s="872" t="s">
        <v>95</v>
      </c>
      <c r="O132" s="872">
        <v>1.1E-4</v>
      </c>
      <c r="P132" s="872" t="s">
        <v>95</v>
      </c>
      <c r="Q132" s="872">
        <v>4.3699999999999998E-3</v>
      </c>
      <c r="R132" s="873">
        <f>(R70-Q70)*$C$132</f>
        <v>4.8733254576355249E-8</v>
      </c>
      <c r="S132" s="873">
        <f t="shared" ref="S132:T132" si="92">(S70-R70)*$C$132</f>
        <v>-3.1351728532055536E-5</v>
      </c>
      <c r="T132" s="873">
        <f t="shared" si="92"/>
        <v>1.7037202813862258E-5</v>
      </c>
      <c r="U132" s="873">
        <f>(U70-T70)*$C$132</f>
        <v>1.0865926793036801E-5</v>
      </c>
      <c r="V132" s="873">
        <f t="shared" ref="V132:BQ132" si="93">(V70-U70)*$C$132</f>
        <v>1.2479062162642635E-5</v>
      </c>
      <c r="W132" s="873">
        <f t="shared" si="93"/>
        <v>1.2080255488946535E-5</v>
      </c>
      <c r="X132" s="873">
        <f t="shared" si="93"/>
        <v>1.0875491609033118E-5</v>
      </c>
      <c r="Y132" s="873">
        <f t="shared" si="93"/>
        <v>9.2668090300226936E-6</v>
      </c>
      <c r="Z132" s="873">
        <f t="shared" si="93"/>
        <v>1.2834752520664712E-5</v>
      </c>
      <c r="AA132" s="873">
        <f t="shared" si="93"/>
        <v>1.1473654274827689E-5</v>
      </c>
      <c r="AB132" s="873">
        <f t="shared" si="93"/>
        <v>8.8550693142497311E-6</v>
      </c>
      <c r="AC132" s="873">
        <f t="shared" si="93"/>
        <v>9.6074688833922006E-6</v>
      </c>
      <c r="AD132" s="873">
        <f t="shared" si="93"/>
        <v>1.2779782677834196E-5</v>
      </c>
      <c r="AE132" s="873">
        <f t="shared" si="93"/>
        <v>9.9550948130625037E-6</v>
      </c>
      <c r="AF132" s="873">
        <f t="shared" si="93"/>
        <v>1.1671341585583057E-5</v>
      </c>
      <c r="AG132" s="873">
        <f t="shared" si="93"/>
        <v>9.5558274028270668E-6</v>
      </c>
      <c r="AH132" s="873">
        <f t="shared" si="93"/>
        <v>9.549205424435603E-6</v>
      </c>
      <c r="AI132" s="873">
        <f t="shared" si="93"/>
        <v>1.0316282806895755E-5</v>
      </c>
      <c r="AJ132" s="873">
        <f t="shared" si="93"/>
        <v>9.1687029107929979E-6</v>
      </c>
      <c r="AK132" s="873">
        <f t="shared" si="93"/>
        <v>9.4681366889297348E-6</v>
      </c>
      <c r="AL132" s="873">
        <f t="shared" si="93"/>
        <v>1.0191515572566258E-5</v>
      </c>
      <c r="AM132" s="873">
        <f t="shared" si="93"/>
        <v>9.1847052367610712E-6</v>
      </c>
      <c r="AN132" s="873">
        <f t="shared" si="93"/>
        <v>9.2317260755199477E-6</v>
      </c>
      <c r="AO132" s="873">
        <f t="shared" si="93"/>
        <v>9.0134262979353623E-6</v>
      </c>
      <c r="AP132" s="873">
        <f t="shared" si="93"/>
        <v>7.0780520772006923E-6</v>
      </c>
      <c r="AQ132" s="873">
        <f t="shared" si="93"/>
        <v>8.8695063288131436E-6</v>
      </c>
      <c r="AR132" s="873">
        <f t="shared" si="93"/>
        <v>7.5252353109205028E-6</v>
      </c>
      <c r="AS132" s="873">
        <f t="shared" si="93"/>
        <v>9.2556368555496434E-6</v>
      </c>
      <c r="AT132" s="873">
        <f t="shared" si="93"/>
        <v>7.4634017145357175E-6</v>
      </c>
      <c r="AU132" s="873">
        <f t="shared" si="93"/>
        <v>7.2580276038954062E-6</v>
      </c>
      <c r="AV132" s="873">
        <f t="shared" si="93"/>
        <v>7.3943365220190131E-6</v>
      </c>
      <c r="AW132" s="873">
        <f t="shared" si="93"/>
        <v>7.3173882835000929E-6</v>
      </c>
      <c r="AX132" s="873">
        <f t="shared" si="93"/>
        <v>8.1614022979467631E-6</v>
      </c>
      <c r="AY132" s="873">
        <f t="shared" si="93"/>
        <v>7.2895386922269824E-6</v>
      </c>
      <c r="AZ132" s="873">
        <f t="shared" si="93"/>
        <v>7.1657491388457675E-6</v>
      </c>
      <c r="BA132" s="873">
        <f t="shared" si="93"/>
        <v>7.2689065438859284E-6</v>
      </c>
      <c r="BB132" s="873">
        <f t="shared" si="93"/>
        <v>7.2087179431803982E-6</v>
      </c>
      <c r="BC132" s="873">
        <f t="shared" si="93"/>
        <v>7.2795395524158371E-6</v>
      </c>
      <c r="BD132" s="873">
        <f t="shared" si="93"/>
        <v>6.9282120019298345E-6</v>
      </c>
      <c r="BE132" s="873">
        <f t="shared" si="93"/>
        <v>6.8785298131493479E-6</v>
      </c>
      <c r="BF132" s="873">
        <f t="shared" si="93"/>
        <v>6.8267705095874378E-6</v>
      </c>
      <c r="BG132" s="873">
        <f t="shared" si="93"/>
        <v>6.7450934990179184E-6</v>
      </c>
      <c r="BH132" s="873">
        <f t="shared" si="93"/>
        <v>6.6375780953058243E-6</v>
      </c>
      <c r="BI132" s="873">
        <f t="shared" si="93"/>
        <v>6.5505262227695538E-6</v>
      </c>
      <c r="BJ132" s="873">
        <f t="shared" si="93"/>
        <v>6.472404793829573E-6</v>
      </c>
      <c r="BK132" s="873">
        <f t="shared" si="93"/>
        <v>6.3972994815372779E-6</v>
      </c>
      <c r="BL132" s="873">
        <f t="shared" si="93"/>
        <v>6.306056309835356E-6</v>
      </c>
      <c r="BM132" s="873">
        <f t="shared" si="93"/>
        <v>6.2158902169670577E-6</v>
      </c>
      <c r="BN132" s="873">
        <f t="shared" si="93"/>
        <v>6.1196875426311471E-6</v>
      </c>
      <c r="BO132" s="873">
        <f t="shared" si="93"/>
        <v>6.0379923522647933E-6</v>
      </c>
      <c r="BP132" s="873">
        <f t="shared" si="93"/>
        <v>5.9537737638420967E-6</v>
      </c>
      <c r="BQ132" s="873">
        <f t="shared" si="93"/>
        <v>5.8674314184899156E-6</v>
      </c>
      <c r="BR132" s="614"/>
    </row>
    <row r="133" spans="2:70" ht="14.25" customHeight="1" x14ac:dyDescent="0.35">
      <c r="B133" s="1151"/>
      <c r="C133" s="547">
        <v>0.30940000000000001</v>
      </c>
      <c r="D133" s="1152" t="s">
        <v>106</v>
      </c>
      <c r="E133" s="1153"/>
      <c r="F133" s="872" t="s">
        <v>105</v>
      </c>
      <c r="G133" s="872" t="s">
        <v>95</v>
      </c>
      <c r="H133" s="872" t="s">
        <v>95</v>
      </c>
      <c r="I133" s="872">
        <v>6.6530000000000006E-2</v>
      </c>
      <c r="J133" s="872" t="s">
        <v>95</v>
      </c>
      <c r="K133" s="872">
        <v>6.6530000000000006E-2</v>
      </c>
      <c r="L133" s="872" t="s">
        <v>95</v>
      </c>
      <c r="M133" s="872">
        <v>6.6530000000000006E-2</v>
      </c>
      <c r="N133" s="872" t="s">
        <v>95</v>
      </c>
      <c r="O133" s="872">
        <v>2.1950000000000001E-2</v>
      </c>
      <c r="P133" s="872" t="s">
        <v>95</v>
      </c>
      <c r="Q133" s="872">
        <v>1.6049999999999998E-2</v>
      </c>
      <c r="R133" s="873">
        <f t="shared" ref="R133:T133" si="94">(R72-Q72)*$C$133</f>
        <v>6.6029538781115071E-3</v>
      </c>
      <c r="S133" s="873">
        <f t="shared" si="94"/>
        <v>1.4677396804132084E-3</v>
      </c>
      <c r="T133" s="873">
        <f t="shared" si="94"/>
        <v>1.3917042676078021E-2</v>
      </c>
      <c r="U133" s="873">
        <f>(U72-T72)*$C$133</f>
        <v>1.4316015322306535E-2</v>
      </c>
      <c r="V133" s="873">
        <f t="shared" ref="V133:BQ133" si="95">(V72-U72)*$C$133</f>
        <v>1.2371340494736153E-2</v>
      </c>
      <c r="W133" s="873">
        <f t="shared" si="95"/>
        <v>1.3230750664959533E-2</v>
      </c>
      <c r="X133" s="873">
        <f t="shared" si="95"/>
        <v>1.0141025527608354E-2</v>
      </c>
      <c r="Y133" s="873">
        <f t="shared" si="95"/>
        <v>8.4377526347324296E-3</v>
      </c>
      <c r="Z133" s="873">
        <f t="shared" si="95"/>
        <v>1.1067951220298494E-2</v>
      </c>
      <c r="AA133" s="873">
        <f t="shared" si="95"/>
        <v>9.4606207512213259E-3</v>
      </c>
      <c r="AB133" s="873">
        <f t="shared" si="95"/>
        <v>5.531741947807904E-3</v>
      </c>
      <c r="AC133" s="873">
        <f t="shared" si="95"/>
        <v>6.4550255592595038E-3</v>
      </c>
      <c r="AD133" s="873">
        <f t="shared" si="95"/>
        <v>9.338511867692377E-3</v>
      </c>
      <c r="AE133" s="873">
        <f t="shared" si="95"/>
        <v>6.0674877777375028E-3</v>
      </c>
      <c r="AF133" s="873">
        <f t="shared" si="95"/>
        <v>7.771191089660727E-3</v>
      </c>
      <c r="AG133" s="873">
        <f t="shared" si="95"/>
        <v>5.4408568291740749E-3</v>
      </c>
      <c r="AH133" s="873">
        <f t="shared" si="95"/>
        <v>5.6686486759736573E-3</v>
      </c>
      <c r="AI133" s="873">
        <f t="shared" si="95"/>
        <v>6.8062366915293731E-3</v>
      </c>
      <c r="AJ133" s="873">
        <f t="shared" si="95"/>
        <v>6.0928989484319877E-3</v>
      </c>
      <c r="AK133" s="873">
        <f t="shared" si="95"/>
        <v>6.9391779647112028E-3</v>
      </c>
      <c r="AL133" s="873">
        <f t="shared" si="95"/>
        <v>8.5580063810669228E-3</v>
      </c>
      <c r="AM133" s="873">
        <f t="shared" si="95"/>
        <v>8.0499704355925638E-3</v>
      </c>
      <c r="AN133" s="873">
        <f t="shared" si="95"/>
        <v>8.9891733587838425E-3</v>
      </c>
      <c r="AO133" s="873">
        <f t="shared" si="95"/>
        <v>9.3908374088420704E-3</v>
      </c>
      <c r="AP133" s="873">
        <f t="shared" si="95"/>
        <v>7.9567202428526777E-3</v>
      </c>
      <c r="AQ133" s="873">
        <f t="shared" si="95"/>
        <v>1.0625381336428057E-2</v>
      </c>
      <c r="AR133" s="873">
        <f t="shared" si="95"/>
        <v>9.7307215109670529E-3</v>
      </c>
      <c r="AS133" s="873">
        <f t="shared" si="95"/>
        <v>1.2221622078483863E-2</v>
      </c>
      <c r="AT133" s="873">
        <f t="shared" si="95"/>
        <v>1.0579449268989027E-2</v>
      </c>
      <c r="AU133" s="873">
        <f t="shared" si="95"/>
        <v>1.0555919910049602E-2</v>
      </c>
      <c r="AV133" s="873">
        <f t="shared" si="95"/>
        <v>1.101718166649813E-2</v>
      </c>
      <c r="AW133" s="873">
        <f t="shared" si="95"/>
        <v>1.096804252832604E-2</v>
      </c>
      <c r="AX133" s="873">
        <f t="shared" si="95"/>
        <v>9.5080266423731314E-3</v>
      </c>
      <c r="AY133" s="873">
        <f t="shared" si="95"/>
        <v>9.7720499972978429E-3</v>
      </c>
      <c r="AZ133" s="873">
        <f t="shared" si="95"/>
        <v>9.9754510283685989E-3</v>
      </c>
      <c r="BA133" s="873">
        <f t="shared" si="95"/>
        <v>1.0243093474006613E-2</v>
      </c>
      <c r="BB133" s="873">
        <f t="shared" si="95"/>
        <v>1.0470527292468432E-2</v>
      </c>
      <c r="BC133" s="873">
        <f t="shared" si="95"/>
        <v>1.0600460205281216E-2</v>
      </c>
      <c r="BD133" s="873">
        <f t="shared" si="95"/>
        <v>1.0775192534608246E-2</v>
      </c>
      <c r="BE133" s="873">
        <f t="shared" si="95"/>
        <v>1.0896199009919809E-2</v>
      </c>
      <c r="BF133" s="873">
        <f t="shared" si="95"/>
        <v>1.099742836111112E-2</v>
      </c>
      <c r="BG133" s="873">
        <f t="shared" si="95"/>
        <v>1.1206680479607769E-2</v>
      </c>
      <c r="BH133" s="873">
        <f t="shared" si="95"/>
        <v>1.1242683953293215E-2</v>
      </c>
      <c r="BI133" s="873">
        <f t="shared" si="95"/>
        <v>1.1344255294798673E-2</v>
      </c>
      <c r="BJ133" s="873">
        <f t="shared" si="95"/>
        <v>1.1277423170398482E-2</v>
      </c>
      <c r="BK133" s="873">
        <f t="shared" si="95"/>
        <v>1.1321679934393617E-2</v>
      </c>
      <c r="BL133" s="873">
        <f t="shared" si="95"/>
        <v>1.1370697591123285E-2</v>
      </c>
      <c r="BM133" s="873">
        <f t="shared" si="95"/>
        <v>1.1390718838882737E-2</v>
      </c>
      <c r="BN133" s="873">
        <f t="shared" si="95"/>
        <v>1.1415626776176756E-2</v>
      </c>
      <c r="BO133" s="873">
        <f t="shared" si="95"/>
        <v>1.1544837757765764E-2</v>
      </c>
      <c r="BP133" s="873">
        <f t="shared" si="95"/>
        <v>1.1664547644135386E-2</v>
      </c>
      <c r="BQ133" s="873">
        <f t="shared" si="95"/>
        <v>1.1778339849572496E-2</v>
      </c>
      <c r="BR133" s="614"/>
    </row>
    <row r="134" spans="2:70" s="932" customFormat="1" ht="14.25" customHeight="1" x14ac:dyDescent="0.35">
      <c r="B134" s="1151"/>
      <c r="C134" s="929">
        <v>0.22944000000000001</v>
      </c>
      <c r="D134" s="1154" t="s">
        <v>141</v>
      </c>
      <c r="E134" s="1155"/>
      <c r="F134" s="930" t="s">
        <v>105</v>
      </c>
      <c r="G134" s="930"/>
      <c r="H134" s="930"/>
      <c r="I134" s="930"/>
      <c r="J134" s="930"/>
      <c r="K134" s="930"/>
      <c r="L134" s="930"/>
      <c r="M134" s="930"/>
      <c r="N134" s="930"/>
      <c r="O134" s="930"/>
      <c r="P134" s="930"/>
      <c r="Q134" s="930"/>
      <c r="R134" s="934">
        <f>(R75-Q75)*$C$135</f>
        <v>2.2342414554530747E-3</v>
      </c>
      <c r="S134" s="934">
        <f t="shared" ref="S134:T134" si="96">(S75-R75)*$C$135</f>
        <v>5.4017559920567556E-3</v>
      </c>
      <c r="T134" s="934">
        <f t="shared" si="96"/>
        <v>2.999304940343615E-3</v>
      </c>
      <c r="U134" s="934">
        <f>(U75-T75)*$C$135</f>
        <v>2.8830072488751626E-3</v>
      </c>
      <c r="V134" s="934">
        <f t="shared" ref="V134:BQ134" si="97">(V75-U75)*$C$135</f>
        <v>3.2098686668742878E-3</v>
      </c>
      <c r="W134" s="934">
        <f t="shared" si="97"/>
        <v>3.0073433089190323E-3</v>
      </c>
      <c r="X134" s="934">
        <f t="shared" si="97"/>
        <v>3.551988912264391E-3</v>
      </c>
      <c r="Y134" s="934">
        <f t="shared" si="97"/>
        <v>3.8351143083877517E-3</v>
      </c>
      <c r="Z134" s="934">
        <f t="shared" si="97"/>
        <v>3.2983482014514835E-3</v>
      </c>
      <c r="AA134" s="934">
        <f t="shared" si="97"/>
        <v>3.564121540290799E-3</v>
      </c>
      <c r="AB134" s="934">
        <f t="shared" si="97"/>
        <v>4.2693869945125574E-3</v>
      </c>
      <c r="AC134" s="934">
        <f t="shared" si="97"/>
        <v>4.0571609078900997E-3</v>
      </c>
      <c r="AD134" s="934">
        <f t="shared" si="97"/>
        <v>3.4742788323543191E-3</v>
      </c>
      <c r="AE134" s="934">
        <f t="shared" si="97"/>
        <v>4.0565583086279661E-3</v>
      </c>
      <c r="AF134" s="934">
        <f t="shared" si="97"/>
        <v>3.697884744916201E-3</v>
      </c>
      <c r="AG134" s="934">
        <f t="shared" si="97"/>
        <v>4.102990446825318E-3</v>
      </c>
      <c r="AH134" s="934">
        <f t="shared" si="97"/>
        <v>4.0244652742293836E-3</v>
      </c>
      <c r="AI134" s="934">
        <f t="shared" si="97"/>
        <v>3.7741416390994695E-3</v>
      </c>
      <c r="AJ134" s="934">
        <f t="shared" si="97"/>
        <v>3.8745585618423744E-3</v>
      </c>
      <c r="AK134" s="934">
        <f t="shared" si="97"/>
        <v>3.6801670588213565E-3</v>
      </c>
      <c r="AL134" s="934">
        <f t="shared" si="97"/>
        <v>3.3400183895760725E-3</v>
      </c>
      <c r="AM134" s="934">
        <f t="shared" si="97"/>
        <v>3.4026632413291786E-3</v>
      </c>
      <c r="AN134" s="934">
        <f t="shared" si="97"/>
        <v>3.1917670644395122E-3</v>
      </c>
      <c r="AO134" s="934">
        <f t="shared" si="97"/>
        <v>3.0828718425423714E-3</v>
      </c>
      <c r="AP134" s="934">
        <f t="shared" si="97"/>
        <v>3.3217438262989887E-3</v>
      </c>
      <c r="AQ134" s="934">
        <f t="shared" si="97"/>
        <v>2.7844952944440877E-3</v>
      </c>
      <c r="AR134" s="934">
        <f t="shared" si="97"/>
        <v>2.9218965737489865E-3</v>
      </c>
      <c r="AS134" s="934">
        <f t="shared" si="97"/>
        <v>2.4189017650513766E-3</v>
      </c>
      <c r="AT134" s="934">
        <f t="shared" si="97"/>
        <v>2.698217481746693E-3</v>
      </c>
      <c r="AU134" s="934">
        <f t="shared" si="97"/>
        <v>2.6715775460486942E-3</v>
      </c>
      <c r="AV134" s="934">
        <f t="shared" si="97"/>
        <v>2.5534192650117954E-3</v>
      </c>
      <c r="AW134" s="934">
        <f t="shared" si="97"/>
        <v>2.5319955456221547E-3</v>
      </c>
      <c r="AX134" s="934">
        <f t="shared" si="97"/>
        <v>2.7774997401386822E-3</v>
      </c>
      <c r="AY134" s="934">
        <f t="shared" si="97"/>
        <v>2.697658212617669E-3</v>
      </c>
      <c r="AZ134" s="934">
        <f t="shared" si="97"/>
        <v>2.6294652356407609E-3</v>
      </c>
      <c r="BA134" s="934">
        <f t="shared" si="97"/>
        <v>2.5493994704489081E-3</v>
      </c>
      <c r="BB134" s="934">
        <f t="shared" si="97"/>
        <v>2.4772739509176115E-3</v>
      </c>
      <c r="BC134" s="934">
        <f t="shared" si="97"/>
        <v>2.4238638787407005E-3</v>
      </c>
      <c r="BD134" s="934">
        <f t="shared" si="97"/>
        <v>2.362356524465033E-3</v>
      </c>
      <c r="BE134" s="934">
        <f t="shared" si="97"/>
        <v>2.3112469675670368E-3</v>
      </c>
      <c r="BF134" s="934">
        <f t="shared" si="97"/>
        <v>2.2641647636804469E-3</v>
      </c>
      <c r="BG134" s="934">
        <f t="shared" si="97"/>
        <v>2.1969455284871404E-3</v>
      </c>
      <c r="BH134" s="934">
        <f t="shared" si="97"/>
        <v>2.1627645710631002E-3</v>
      </c>
      <c r="BI134" s="934">
        <f t="shared" si="97"/>
        <v>2.1164537043995195E-3</v>
      </c>
      <c r="BJ134" s="934">
        <f t="shared" si="97"/>
        <v>2.1022475987958838E-3</v>
      </c>
      <c r="BK134" s="934">
        <f t="shared" si="97"/>
        <v>2.0672964066131461E-3</v>
      </c>
      <c r="BL134" s="934">
        <f t="shared" si="97"/>
        <v>2.0317018055449462E-3</v>
      </c>
      <c r="BM134" s="934">
        <f t="shared" si="97"/>
        <v>2.0018376328681505E-3</v>
      </c>
      <c r="BN134" s="934">
        <f t="shared" si="97"/>
        <v>1.9712928479704121E-3</v>
      </c>
      <c r="BO134" s="934">
        <f t="shared" si="97"/>
        <v>1.9212607303610923E-3</v>
      </c>
      <c r="BP134" s="934">
        <f t="shared" si="97"/>
        <v>1.8732559889853497E-3</v>
      </c>
      <c r="BQ134" s="934">
        <f t="shared" si="97"/>
        <v>1.8265950905455371E-3</v>
      </c>
      <c r="BR134" s="926"/>
    </row>
    <row r="135" spans="2:70" ht="14.25" customHeight="1" x14ac:dyDescent="0.35">
      <c r="B135" s="1151"/>
      <c r="C135" s="547">
        <v>5.8500000000000003E-2</v>
      </c>
      <c r="D135" s="1152" t="s">
        <v>103</v>
      </c>
      <c r="E135" s="1153"/>
      <c r="F135" s="872" t="s">
        <v>105</v>
      </c>
      <c r="G135" s="872" t="s">
        <v>95</v>
      </c>
      <c r="H135" s="872" t="s">
        <v>95</v>
      </c>
      <c r="I135" s="872">
        <v>1.0000000000000001E-5</v>
      </c>
      <c r="J135" s="872" t="s">
        <v>95</v>
      </c>
      <c r="K135" s="872">
        <v>1.0000000000000001E-5</v>
      </c>
      <c r="L135" s="872" t="s">
        <v>95</v>
      </c>
      <c r="M135" s="872">
        <v>1.0000000000000001E-5</v>
      </c>
      <c r="N135" s="872" t="s">
        <v>95</v>
      </c>
      <c r="O135" s="872">
        <v>2.7399999999999998E-3</v>
      </c>
      <c r="P135" s="872" t="s">
        <v>95</v>
      </c>
      <c r="Q135" s="872">
        <v>7.1000000000000002E-4</v>
      </c>
      <c r="R135" s="873">
        <f t="shared" ref="R135:T135" si="98">(R79-Q79)*$C$135</f>
        <v>-3.9718988045100301E-5</v>
      </c>
      <c r="S135" s="873">
        <f t="shared" si="98"/>
        <v>-3.966417584159954E-5</v>
      </c>
      <c r="T135" s="873">
        <f t="shared" si="98"/>
        <v>-3.9609439278938873E-5</v>
      </c>
      <c r="U135" s="873">
        <f>(U79-T79)*$C$135</f>
        <v>-3.955477825273379E-5</v>
      </c>
      <c r="V135" s="873">
        <f t="shared" ref="V135:BQ135" si="99">(V79-U79)*$C$135</f>
        <v>-3.950019265874269E-5</v>
      </c>
      <c r="W135" s="873">
        <f t="shared" si="99"/>
        <v>-3.9445682392873327E-5</v>
      </c>
      <c r="X135" s="873">
        <f t="shared" si="99"/>
        <v>-3.9391247351173109E-5</v>
      </c>
      <c r="Y135" s="873">
        <f t="shared" si="99"/>
        <v>-3.9336887429829075E-5</v>
      </c>
      <c r="Z135" s="873">
        <f t="shared" si="99"/>
        <v>-3.9282602525174408E-5</v>
      </c>
      <c r="AA135" s="873">
        <f t="shared" si="99"/>
        <v>-3.9228392533691652E-5</v>
      </c>
      <c r="AB135" s="873">
        <f t="shared" si="99"/>
        <v>-3.917425735199326E-5</v>
      </c>
      <c r="AC135" s="873">
        <f t="shared" si="99"/>
        <v>-3.9120196876847566E-5</v>
      </c>
      <c r="AD135" s="873">
        <f t="shared" si="99"/>
        <v>-3.9066211005159283E-5</v>
      </c>
      <c r="AE135" s="873">
        <f t="shared" si="99"/>
        <v>-3.9012299633969517E-5</v>
      </c>
      <c r="AF135" s="873">
        <f t="shared" si="99"/>
        <v>-3.8958462660475261E-5</v>
      </c>
      <c r="AG135" s="873">
        <f t="shared" si="99"/>
        <v>-3.8904699982003383E-5</v>
      </c>
      <c r="AH135" s="873">
        <f t="shared" si="99"/>
        <v>-3.8851011496030152E-5</v>
      </c>
      <c r="AI135" s="873">
        <f t="shared" si="99"/>
        <v>-3.8797397100164974E-5</v>
      </c>
      <c r="AJ135" s="873">
        <f t="shared" si="99"/>
        <v>-3.8743856692166627E-5</v>
      </c>
      <c r="AK135" s="873">
        <f t="shared" si="99"/>
        <v>-3.8690390169930284E-5</v>
      </c>
      <c r="AL135" s="873">
        <f t="shared" si="99"/>
        <v>-3.863699743149726E-5</v>
      </c>
      <c r="AM135" s="873">
        <f t="shared" si="99"/>
        <v>-3.8583678375042012E-5</v>
      </c>
      <c r="AN135" s="873">
        <f t="shared" si="99"/>
        <v>-3.8530432898885113E-5</v>
      </c>
      <c r="AO135" s="873">
        <f t="shared" si="99"/>
        <v>-3.8477260901483541E-5</v>
      </c>
      <c r="AP135" s="873">
        <f t="shared" si="99"/>
        <v>-3.8424162281440412E-5</v>
      </c>
      <c r="AQ135" s="873">
        <f t="shared" si="99"/>
        <v>-3.8371136937491974E-5</v>
      </c>
      <c r="AR135" s="873">
        <f t="shared" si="99"/>
        <v>-3.8318184768517369E-5</v>
      </c>
      <c r="AS135" s="873">
        <f t="shared" si="99"/>
        <v>-3.8265305673535366E-5</v>
      </c>
      <c r="AT135" s="873">
        <f t="shared" si="99"/>
        <v>-3.8212499551707637E-5</v>
      </c>
      <c r="AU135" s="873">
        <f t="shared" si="99"/>
        <v>-3.8159766302325731E-5</v>
      </c>
      <c r="AV135" s="873">
        <f t="shared" si="99"/>
        <v>-3.8107105824827348E-5</v>
      </c>
      <c r="AW135" s="873">
        <f t="shared" si="99"/>
        <v>-3.8054518018789815E-5</v>
      </c>
      <c r="AX135" s="873">
        <f t="shared" si="99"/>
        <v>-3.8002002783923604E-5</v>
      </c>
      <c r="AY135" s="873">
        <f t="shared" si="99"/>
        <v>-3.7949560020082071E-5</v>
      </c>
      <c r="AZ135" s="873">
        <f t="shared" si="99"/>
        <v>-3.7897189627254972E-5</v>
      </c>
      <c r="BA135" s="873">
        <f t="shared" si="99"/>
        <v>-3.7844891505568443E-5</v>
      </c>
      <c r="BB135" s="873">
        <f t="shared" si="99"/>
        <v>-3.7792665555291509E-5</v>
      </c>
      <c r="BC135" s="873">
        <f t="shared" si="99"/>
        <v>-3.7740511676826351E-5</v>
      </c>
      <c r="BD135" s="873">
        <f t="shared" si="99"/>
        <v>-3.768842977071152E-5</v>
      </c>
      <c r="BE135" s="873">
        <f t="shared" si="99"/>
        <v>-3.7636419737628467E-5</v>
      </c>
      <c r="BF135" s="873">
        <f t="shared" si="99"/>
        <v>-3.7584481478388529E-5</v>
      </c>
      <c r="BG135" s="873">
        <f t="shared" si="99"/>
        <v>-3.7532614893949186E-5</v>
      </c>
      <c r="BH135" s="873">
        <f t="shared" si="99"/>
        <v>-3.7480819885394562E-5</v>
      </c>
      <c r="BI135" s="873">
        <f t="shared" si="99"/>
        <v>-3.7429096353954916E-5</v>
      </c>
      <c r="BJ135" s="873">
        <f t="shared" si="99"/>
        <v>-3.7377444200987155E-5</v>
      </c>
      <c r="BK135" s="873">
        <f t="shared" si="99"/>
        <v>-3.732586332798782E-5</v>
      </c>
      <c r="BL135" s="873">
        <f t="shared" si="99"/>
        <v>-3.7274353636596341E-5</v>
      </c>
      <c r="BM135" s="873">
        <f t="shared" si="99"/>
        <v>-3.7222915028575558E-5</v>
      </c>
      <c r="BN135" s="873">
        <f t="shared" si="99"/>
        <v>-3.7171547405837673E-5</v>
      </c>
      <c r="BO135" s="873">
        <f t="shared" si="99"/>
        <v>-3.7120250670418298E-5</v>
      </c>
      <c r="BP135" s="873">
        <f t="shared" si="99"/>
        <v>-3.7069024724492697E-5</v>
      </c>
      <c r="BQ135" s="873">
        <f t="shared" si="99"/>
        <v>-3.7017869470372505E-5</v>
      </c>
      <c r="BR135" s="614"/>
    </row>
    <row r="136" spans="2:70" ht="14.25" customHeight="1" x14ac:dyDescent="0.35">
      <c r="B136" s="1151"/>
      <c r="C136" s="547">
        <v>0.44640000000000002</v>
      </c>
      <c r="D136" s="1152" t="s">
        <v>57</v>
      </c>
      <c r="E136" s="1153"/>
      <c r="F136" s="872" t="s">
        <v>105</v>
      </c>
      <c r="G136" s="872" t="s">
        <v>95</v>
      </c>
      <c r="H136" s="872" t="s">
        <v>95</v>
      </c>
      <c r="I136" s="872">
        <v>3.6900000000000001E-3</v>
      </c>
      <c r="J136" s="872" t="s">
        <v>95</v>
      </c>
      <c r="K136" s="872">
        <v>3.6900000000000001E-3</v>
      </c>
      <c r="L136" s="872" t="s">
        <v>95</v>
      </c>
      <c r="M136" s="872">
        <v>3.6900000000000001E-3</v>
      </c>
      <c r="N136" s="872" t="s">
        <v>95</v>
      </c>
      <c r="O136" s="872">
        <v>4.4400000000000004E-3</v>
      </c>
      <c r="P136" s="872" t="s">
        <v>95</v>
      </c>
      <c r="Q136" s="872">
        <v>3.3E-3</v>
      </c>
      <c r="R136" s="873">
        <f t="shared" ref="R136:T136" si="100">(R84-Q84)*$C$136</f>
        <v>6.0776208682037226E-4</v>
      </c>
      <c r="S136" s="873">
        <f t="shared" si="100"/>
        <v>6.1538202749937055E-4</v>
      </c>
      <c r="T136" s="873">
        <f t="shared" si="100"/>
        <v>6.2309750473323478E-4</v>
      </c>
      <c r="U136" s="873">
        <f>(U84-T84)*$C$136</f>
        <v>6.3025554338060476E-4</v>
      </c>
      <c r="V136" s="873">
        <f t="shared" ref="V136:BQ136" si="101">(V84-U84)*$C$136</f>
        <v>6.3814930702050707E-4</v>
      </c>
      <c r="W136" s="873">
        <f t="shared" si="101"/>
        <v>6.4614193770736535E-4</v>
      </c>
      <c r="X136" s="873">
        <f t="shared" si="101"/>
        <v>6.5423467372161242E-4</v>
      </c>
      <c r="Y136" s="873">
        <f t="shared" si="101"/>
        <v>6.6242876885275149E-4</v>
      </c>
      <c r="Z136" s="873">
        <f t="shared" si="101"/>
        <v>6.7072549259364583E-4</v>
      </c>
      <c r="AA136" s="873">
        <f t="shared" si="101"/>
        <v>6.7912613033717416E-4</v>
      </c>
      <c r="AB136" s="873">
        <f t="shared" si="101"/>
        <v>6.8763198357538842E-4</v>
      </c>
      <c r="AC136" s="873">
        <f t="shared" si="101"/>
        <v>6.962443701011259E-4</v>
      </c>
      <c r="AD136" s="873">
        <f t="shared" si="101"/>
        <v>7.0496462421219765E-4</v>
      </c>
      <c r="AE136" s="873">
        <f t="shared" si="101"/>
        <v>7.1379409691810474E-4</v>
      </c>
      <c r="AF136" s="873">
        <f t="shared" si="101"/>
        <v>7.2273415614933169E-4</v>
      </c>
      <c r="AG136" s="873">
        <f t="shared" si="101"/>
        <v>7.3178618696929118E-4</v>
      </c>
      <c r="AH136" s="873">
        <f t="shared" si="101"/>
        <v>7.4095159178888352E-4</v>
      </c>
      <c r="AI136" s="873">
        <f t="shared" si="101"/>
        <v>7.5023179058384326E-4</v>
      </c>
      <c r="AJ136" s="873">
        <f t="shared" si="101"/>
        <v>7.5962822111461396E-4</v>
      </c>
      <c r="AK136" s="873">
        <f t="shared" si="101"/>
        <v>7.6914233914920839E-4</v>
      </c>
      <c r="AL136" s="873">
        <f t="shared" si="101"/>
        <v>7.7877561868868394E-4</v>
      </c>
      <c r="AM136" s="873">
        <f t="shared" si="101"/>
        <v>7.8852955219551614E-4</v>
      </c>
      <c r="AN136" s="873">
        <f t="shared" si="101"/>
        <v>7.9840565082484754E-4</v>
      </c>
      <c r="AO136" s="873">
        <f t="shared" si="101"/>
        <v>8.0840544465858621E-4</v>
      </c>
      <c r="AP136" s="873">
        <f t="shared" si="101"/>
        <v>8.1853048294245267E-4</v>
      </c>
      <c r="AQ136" s="873">
        <f t="shared" si="101"/>
        <v>8.2878233432601318E-4</v>
      </c>
      <c r="AR136" s="873">
        <f t="shared" si="101"/>
        <v>8.3916258710571123E-4</v>
      </c>
      <c r="AS136" s="873">
        <f t="shared" si="101"/>
        <v>8.4967284947093488E-4</v>
      </c>
      <c r="AT136" s="873">
        <f t="shared" si="101"/>
        <v>8.6031474975314416E-4</v>
      </c>
      <c r="AU136" s="873">
        <f t="shared" si="101"/>
        <v>8.7108993667819553E-4</v>
      </c>
      <c r="AV136" s="873">
        <f t="shared" si="101"/>
        <v>8.8200007962172563E-4</v>
      </c>
      <c r="AW136" s="873">
        <f t="shared" si="101"/>
        <v>8.9304686886782013E-4</v>
      </c>
      <c r="AX136" s="873">
        <f t="shared" si="101"/>
        <v>9.0423201587087757E-4</v>
      </c>
      <c r="AY136" s="873">
        <f t="shared" si="101"/>
        <v>9.1555725352072048E-4</v>
      </c>
      <c r="AZ136" s="873">
        <f t="shared" si="101"/>
        <v>9.2702433641115016E-4</v>
      </c>
      <c r="BA136" s="873">
        <f t="shared" si="101"/>
        <v>9.3863504111168659E-4</v>
      </c>
      <c r="BB136" s="873">
        <f t="shared" si="101"/>
        <v>9.5039116644288831E-4</v>
      </c>
      <c r="BC136" s="873">
        <f t="shared" si="101"/>
        <v>9.6229453375499304E-4</v>
      </c>
      <c r="BD136" s="873">
        <f t="shared" si="101"/>
        <v>9.7434698721012708E-4</v>
      </c>
      <c r="BE136" s="873">
        <f t="shared" si="101"/>
        <v>9.8655039406798342E-4</v>
      </c>
      <c r="BF136" s="873">
        <f t="shared" si="101"/>
        <v>9.9890664497511751E-4</v>
      </c>
      <c r="BG136" s="873">
        <f t="shared" si="101"/>
        <v>1.0114176542579117E-3</v>
      </c>
      <c r="BH136" s="873">
        <f t="shared" si="101"/>
        <v>1.0240853602190693E-3</v>
      </c>
      <c r="BI136" s="873">
        <f t="shared" si="101"/>
        <v>1.0369117254380009E-3</v>
      </c>
      <c r="BJ136" s="873">
        <f t="shared" si="101"/>
        <v>1.0498987370748264E-3</v>
      </c>
      <c r="BK136" s="873">
        <f t="shared" si="101"/>
        <v>1.0630484071782321E-3</v>
      </c>
      <c r="BL136" s="873">
        <f t="shared" si="101"/>
        <v>1.0763627729972677E-3</v>
      </c>
      <c r="BM136" s="873">
        <f t="shared" si="101"/>
        <v>1.0898438972968716E-3</v>
      </c>
      <c r="BN136" s="873">
        <f t="shared" si="101"/>
        <v>1.1034938686775477E-3</v>
      </c>
      <c r="BO136" s="873">
        <f t="shared" si="101"/>
        <v>1.1173148018988591E-3</v>
      </c>
      <c r="BP136" s="873">
        <f t="shared" si="101"/>
        <v>1.1313088382071319E-3</v>
      </c>
      <c r="BQ136" s="873">
        <f t="shared" si="101"/>
        <v>1.1454781456671523E-3</v>
      </c>
      <c r="BR136" s="614"/>
    </row>
    <row r="137" spans="2:70" ht="14.25" customHeight="1" x14ac:dyDescent="0.35">
      <c r="B137" s="546" t="s">
        <v>95</v>
      </c>
      <c r="C137" s="542"/>
      <c r="D137" s="875" t="s">
        <v>95</v>
      </c>
      <c r="E137" s="876" t="s">
        <v>95</v>
      </c>
      <c r="F137" s="877" t="s">
        <v>24</v>
      </c>
      <c r="G137" s="877" t="s">
        <v>95</v>
      </c>
      <c r="H137" s="877" t="s">
        <v>95</v>
      </c>
      <c r="I137" s="877">
        <v>7.1859999999999993E-2</v>
      </c>
      <c r="J137" s="877" t="s">
        <v>95</v>
      </c>
      <c r="K137" s="877">
        <v>7.1859999999999993E-2</v>
      </c>
      <c r="L137" s="877" t="s">
        <v>95</v>
      </c>
      <c r="M137" s="877">
        <v>7.1859999999999993E-2</v>
      </c>
      <c r="N137" s="877" t="s">
        <v>95</v>
      </c>
      <c r="O137" s="877">
        <v>2.9239999999999999E-2</v>
      </c>
      <c r="P137" s="877" t="s">
        <v>95</v>
      </c>
      <c r="Q137" s="877">
        <v>2.623E-2</v>
      </c>
      <c r="R137" s="879">
        <f>SUM(R131:R136)</f>
        <v>1.1470153188044434E-2</v>
      </c>
      <c r="S137" s="879">
        <f>SUM(S131:S136)</f>
        <v>9.5514441398922897E-3</v>
      </c>
      <c r="T137" s="879">
        <f>SUM(T131:T136)</f>
        <v>1.9638209603169733E-2</v>
      </c>
      <c r="U137" s="879">
        <f>SUM(U132:U136)</f>
        <v>1.7800589263102604E-2</v>
      </c>
      <c r="V137" s="879">
        <f t="shared" ref="V137:BQ137" si="102">SUM(V131:V136)</f>
        <v>1.8281552266902746E-2</v>
      </c>
      <c r="W137" s="879">
        <f t="shared" si="102"/>
        <v>1.8930207379991286E-2</v>
      </c>
      <c r="X137" s="879">
        <f t="shared" si="102"/>
        <v>1.637631289275715E-2</v>
      </c>
      <c r="Y137" s="879">
        <f t="shared" si="102"/>
        <v>1.494716756401279E-2</v>
      </c>
      <c r="Z137" s="879">
        <f t="shared" si="102"/>
        <v>1.7037000236107415E-2</v>
      </c>
      <c r="AA137" s="879">
        <f t="shared" si="102"/>
        <v>1.5687136039253317E-2</v>
      </c>
      <c r="AB137" s="879">
        <f t="shared" si="102"/>
        <v>1.2454180323617923E-2</v>
      </c>
      <c r="AC137" s="879">
        <f t="shared" si="102"/>
        <v>1.3159489081765348E-2</v>
      </c>
      <c r="AD137" s="879">
        <f t="shared" si="102"/>
        <v>1.5456987529048581E-2</v>
      </c>
      <c r="AE137" s="879">
        <f t="shared" si="102"/>
        <v>1.2759363669967983E-2</v>
      </c>
      <c r="AF137" s="879">
        <f t="shared" si="102"/>
        <v>1.4100279147901219E-2</v>
      </c>
      <c r="AG137" s="879">
        <f t="shared" si="102"/>
        <v>1.2167329120924662E-2</v>
      </c>
      <c r="AH137" s="879">
        <f t="shared" si="102"/>
        <v>1.2311208328023437E-2</v>
      </c>
      <c r="AI137" s="879">
        <f t="shared" si="102"/>
        <v>1.3194084620122533E-2</v>
      </c>
      <c r="AJ137" s="879">
        <f t="shared" si="102"/>
        <v>1.2575087328150381E-2</v>
      </c>
      <c r="AK137" s="879">
        <f t="shared" si="102"/>
        <v>1.3222572276439424E-2</v>
      </c>
      <c r="AL137" s="879">
        <f t="shared" si="102"/>
        <v>1.4497500940240399E-2</v>
      </c>
      <c r="AM137" s="879">
        <f t="shared" si="102"/>
        <v>1.4046856778897571E-2</v>
      </c>
      <c r="AN137" s="879">
        <f t="shared" si="102"/>
        <v>1.477119318696927E-2</v>
      </c>
      <c r="AO137" s="879">
        <f t="shared" si="102"/>
        <v>1.5059955972953834E-2</v>
      </c>
      <c r="AP137" s="879">
        <f t="shared" si="102"/>
        <v>1.3859218034556713E-2</v>
      </c>
      <c r="AQ137" s="879">
        <f t="shared" si="102"/>
        <v>1.5989095798352053E-2</v>
      </c>
      <c r="AR137" s="879">
        <f t="shared" si="102"/>
        <v>1.522739865380216E-2</v>
      </c>
      <c r="AS137" s="879">
        <f t="shared" si="102"/>
        <v>1.7214173232547238E-2</v>
      </c>
      <c r="AT137" s="879">
        <f t="shared" si="102"/>
        <v>1.5846895915827205E-2</v>
      </c>
      <c r="AU137" s="879">
        <f t="shared" si="102"/>
        <v>1.5794127724553471E-2</v>
      </c>
      <c r="AV137" s="879">
        <f t="shared" si="102"/>
        <v>1.6135209352568628E-2</v>
      </c>
      <c r="AW137" s="879">
        <f t="shared" si="102"/>
        <v>1.6062647683378901E-2</v>
      </c>
      <c r="AX137" s="879">
        <f t="shared" si="102"/>
        <v>1.4847295389180597E-2</v>
      </c>
      <c r="AY137" s="879">
        <f t="shared" si="102"/>
        <v>1.5029158963698512E-2</v>
      </c>
      <c r="AZ137" s="879">
        <f t="shared" si="102"/>
        <v>1.5163036074758159E-2</v>
      </c>
      <c r="BA137" s="879">
        <f t="shared" si="102"/>
        <v>1.5349749030878908E-2</v>
      </c>
      <c r="BB137" s="879">
        <f t="shared" si="102"/>
        <v>1.5504271595060104E-2</v>
      </c>
      <c r="BC137" s="879">
        <f t="shared" si="102"/>
        <v>1.5580382138686174E-2</v>
      </c>
      <c r="BD137" s="879">
        <f t="shared" si="102"/>
        <v>1.5693016215401246E-2</v>
      </c>
      <c r="BE137" s="879">
        <f t="shared" si="102"/>
        <v>1.5762868577576656E-2</v>
      </c>
      <c r="BF137" s="879">
        <f t="shared" si="102"/>
        <v>1.5817214966015E-2</v>
      </c>
      <c r="BG137" s="879">
        <f t="shared" si="102"/>
        <v>1.5959664254080134E-2</v>
      </c>
      <c r="BH137" s="879">
        <f t="shared" si="102"/>
        <v>1.5962125654247816E-2</v>
      </c>
      <c r="BI137" s="879">
        <f t="shared" si="102"/>
        <v>1.6018295059880425E-2</v>
      </c>
      <c r="BJ137" s="879">
        <f t="shared" si="102"/>
        <v>1.5938425570156609E-2</v>
      </c>
      <c r="BK137" s="879">
        <f t="shared" si="102"/>
        <v>1.5949155103248076E-2</v>
      </c>
      <c r="BL137" s="879">
        <f t="shared" si="102"/>
        <v>1.5964239543464539E-2</v>
      </c>
      <c r="BM137" s="879">
        <f t="shared" si="102"/>
        <v>1.5956314028261389E-2</v>
      </c>
      <c r="BN137" s="879">
        <f t="shared" si="102"/>
        <v>1.5952844919788149E-2</v>
      </c>
      <c r="BO137" s="879">
        <f t="shared" si="102"/>
        <v>1.6034463845554327E-2</v>
      </c>
      <c r="BP137" s="879">
        <f t="shared" si="102"/>
        <v>1.6108865824828743E-2</v>
      </c>
      <c r="BQ137" s="879">
        <f t="shared" si="102"/>
        <v>1.617895265080093E-2</v>
      </c>
      <c r="BR137" s="614"/>
    </row>
    <row r="138" spans="2:70" ht="14.25" customHeight="1" x14ac:dyDescent="0.35">
      <c r="B138" s="546" t="s">
        <v>95</v>
      </c>
      <c r="C138" s="545"/>
      <c r="D138" s="875" t="s">
        <v>95</v>
      </c>
      <c r="E138" s="876" t="s">
        <v>95</v>
      </c>
      <c r="F138" s="876" t="s">
        <v>95</v>
      </c>
      <c r="G138" s="876" t="s">
        <v>95</v>
      </c>
      <c r="H138" s="876" t="s">
        <v>95</v>
      </c>
      <c r="I138" s="876" t="s">
        <v>95</v>
      </c>
      <c r="J138" s="876" t="s">
        <v>95</v>
      </c>
      <c r="K138" s="876" t="s">
        <v>95</v>
      </c>
      <c r="L138" s="876" t="s">
        <v>95</v>
      </c>
      <c r="M138" s="876" t="s">
        <v>95</v>
      </c>
      <c r="N138" s="876" t="s">
        <v>95</v>
      </c>
      <c r="O138" s="876" t="s">
        <v>95</v>
      </c>
      <c r="P138" s="876" t="s">
        <v>95</v>
      </c>
      <c r="Q138" s="876" t="s">
        <v>95</v>
      </c>
      <c r="R138" s="876" t="s">
        <v>95</v>
      </c>
      <c r="S138" s="876" t="s">
        <v>95</v>
      </c>
      <c r="T138" s="876" t="s">
        <v>95</v>
      </c>
      <c r="U138" s="876" t="s">
        <v>95</v>
      </c>
      <c r="V138" s="876" t="s">
        <v>95</v>
      </c>
      <c r="W138" s="876" t="s">
        <v>95</v>
      </c>
      <c r="X138" s="876" t="s">
        <v>95</v>
      </c>
      <c r="Y138" s="876" t="s">
        <v>95</v>
      </c>
      <c r="Z138" s="876" t="s">
        <v>95</v>
      </c>
      <c r="AA138" s="876" t="s">
        <v>95</v>
      </c>
      <c r="AB138" s="876" t="s">
        <v>95</v>
      </c>
      <c r="AC138" s="876" t="s">
        <v>95</v>
      </c>
      <c r="AD138" s="876" t="s">
        <v>95</v>
      </c>
      <c r="AE138" s="876" t="s">
        <v>95</v>
      </c>
      <c r="AF138" s="876" t="s">
        <v>95</v>
      </c>
      <c r="AG138" s="876" t="s">
        <v>95</v>
      </c>
      <c r="AH138" s="876" t="s">
        <v>95</v>
      </c>
      <c r="AI138" s="876" t="s">
        <v>95</v>
      </c>
      <c r="AJ138" s="876" t="s">
        <v>95</v>
      </c>
      <c r="AK138" s="876" t="s">
        <v>95</v>
      </c>
      <c r="AL138" s="876" t="s">
        <v>95</v>
      </c>
      <c r="AM138" s="876" t="s">
        <v>95</v>
      </c>
      <c r="AN138" s="876" t="s">
        <v>95</v>
      </c>
      <c r="AO138" s="876" t="s">
        <v>95</v>
      </c>
      <c r="AP138" s="876" t="s">
        <v>95</v>
      </c>
      <c r="AQ138" s="876" t="s">
        <v>95</v>
      </c>
      <c r="AR138" s="876" t="s">
        <v>95</v>
      </c>
      <c r="AS138" s="876" t="s">
        <v>95</v>
      </c>
      <c r="AT138" s="876" t="s">
        <v>95</v>
      </c>
      <c r="AU138" s="876" t="s">
        <v>95</v>
      </c>
      <c r="AV138" s="876" t="s">
        <v>95</v>
      </c>
      <c r="AW138" s="876" t="s">
        <v>95</v>
      </c>
      <c r="AX138" s="876" t="s">
        <v>95</v>
      </c>
      <c r="AY138" s="876"/>
      <c r="AZ138" s="876"/>
      <c r="BA138" s="876"/>
      <c r="BB138" s="876"/>
      <c r="BC138" s="876"/>
      <c r="BD138" s="876"/>
      <c r="BE138" s="876"/>
      <c r="BF138" s="876"/>
      <c r="BG138" s="876"/>
      <c r="BH138" s="876"/>
      <c r="BI138" s="876"/>
      <c r="BJ138" s="876"/>
      <c r="BK138" s="876"/>
      <c r="BL138" s="876"/>
      <c r="BM138" s="876"/>
      <c r="BN138" s="876"/>
      <c r="BO138" s="876"/>
      <c r="BP138" s="876"/>
      <c r="BQ138" s="876"/>
      <c r="BR138" s="614"/>
    </row>
    <row r="139" spans="2:70" ht="14.25" customHeight="1" x14ac:dyDescent="0.35">
      <c r="B139" s="957"/>
      <c r="C139" s="552"/>
      <c r="D139" s="565"/>
      <c r="E139" s="550" t="s">
        <v>145</v>
      </c>
      <c r="F139" s="631" t="s">
        <v>107</v>
      </c>
      <c r="G139" s="549"/>
      <c r="H139" s="549"/>
      <c r="I139" s="549"/>
      <c r="J139" s="549"/>
      <c r="K139" s="549"/>
      <c r="L139" s="549"/>
      <c r="M139" s="549"/>
      <c r="N139" s="549"/>
      <c r="O139" s="549"/>
      <c r="P139" s="549"/>
      <c r="Q139" s="549"/>
      <c r="R139" s="881"/>
      <c r="S139" s="881"/>
      <c r="T139" s="881"/>
      <c r="U139" s="881"/>
      <c r="V139" s="881"/>
      <c r="W139" s="881"/>
      <c r="X139" s="881"/>
      <c r="Y139" s="881"/>
      <c r="Z139" s="881"/>
      <c r="AA139" s="881"/>
      <c r="AB139" s="881"/>
      <c r="AC139" s="881"/>
      <c r="AD139" s="881"/>
      <c r="AE139" s="881"/>
      <c r="AF139" s="881"/>
      <c r="AG139" s="881"/>
      <c r="AH139" s="881"/>
      <c r="AI139" s="881"/>
      <c r="AJ139" s="881"/>
      <c r="AK139" s="881"/>
      <c r="AL139" s="881"/>
      <c r="AM139" s="881"/>
      <c r="AN139" s="881"/>
      <c r="AO139" s="881"/>
      <c r="AP139" s="881"/>
      <c r="AQ139" s="881"/>
      <c r="AR139" s="881"/>
      <c r="AS139" s="881"/>
      <c r="AT139" s="881"/>
      <c r="AU139" s="881"/>
      <c r="AV139" s="881"/>
      <c r="AW139" s="881"/>
      <c r="AX139" s="879"/>
      <c r="AY139" s="879"/>
      <c r="AZ139" s="879"/>
      <c r="BA139" s="879"/>
      <c r="BB139" s="879"/>
      <c r="BC139" s="879"/>
      <c r="BD139" s="879"/>
      <c r="BE139" s="879"/>
      <c r="BF139" s="879"/>
      <c r="BG139" s="879"/>
      <c r="BH139" s="879"/>
      <c r="BI139" s="879"/>
      <c r="BJ139" s="879"/>
      <c r="BK139" s="879"/>
      <c r="BL139" s="879"/>
      <c r="BM139" s="879"/>
      <c r="BN139" s="879"/>
      <c r="BO139" s="879"/>
      <c r="BP139" s="879"/>
      <c r="BQ139" s="879"/>
      <c r="BR139" s="614"/>
    </row>
    <row r="140" spans="2:70" ht="14.25" customHeight="1" x14ac:dyDescent="0.35">
      <c r="B140" s="1151" t="s">
        <v>140</v>
      </c>
      <c r="C140" s="547">
        <v>1.2999999999999999E-2</v>
      </c>
      <c r="D140" s="1152" t="s">
        <v>99</v>
      </c>
      <c r="E140" s="1153"/>
      <c r="F140" s="872" t="s">
        <v>108</v>
      </c>
      <c r="G140" s="872" t="s">
        <v>95</v>
      </c>
      <c r="H140" s="872" t="s">
        <v>95</v>
      </c>
      <c r="I140" s="872">
        <v>9.2000000000000003E-4</v>
      </c>
      <c r="J140" s="872" t="s">
        <v>95</v>
      </c>
      <c r="K140" s="872">
        <v>9.2000000000000003E-4</v>
      </c>
      <c r="L140" s="872" t="s">
        <v>95</v>
      </c>
      <c r="M140" s="872">
        <v>9.2000000000000003E-4</v>
      </c>
      <c r="N140" s="872" t="s">
        <v>95</v>
      </c>
      <c r="O140" s="872">
        <v>1.1900000000000001E-3</v>
      </c>
      <c r="P140" s="872" t="s">
        <v>95</v>
      </c>
      <c r="Q140" s="872">
        <v>1.1100000000000001E-3</v>
      </c>
      <c r="R140" s="872">
        <f>(R66)*$C$140</f>
        <v>1.2201481041750027E-3</v>
      </c>
      <c r="S140" s="872">
        <f>(S66)*$C$140</f>
        <v>1.2631168398116335E-3</v>
      </c>
      <c r="T140" s="872">
        <f>(T66)*$C$140</f>
        <v>1.2535171518290563E-3</v>
      </c>
      <c r="U140" s="872">
        <f t="shared" ref="U140:BQ140" si="103">(U66)*$C$140</f>
        <v>1.2439904214751659E-3</v>
      </c>
      <c r="V140" s="872">
        <f t="shared" si="103"/>
        <v>1.2345360942719399E-3</v>
      </c>
      <c r="W140" s="872">
        <f t="shared" si="103"/>
        <v>1.2251536199554848E-3</v>
      </c>
      <c r="X140" s="872">
        <f t="shared" si="103"/>
        <v>1.215842452443823E-3</v>
      </c>
      <c r="Y140" s="872">
        <f t="shared" si="103"/>
        <v>1.2066020498052552E-3</v>
      </c>
      <c r="Z140" s="872">
        <f t="shared" si="103"/>
        <v>1.1974318742267228E-3</v>
      </c>
      <c r="AA140" s="872">
        <f t="shared" si="103"/>
        <v>1.1883313919826115E-3</v>
      </c>
      <c r="AB140" s="872">
        <f t="shared" si="103"/>
        <v>1.1793000734035281E-3</v>
      </c>
      <c r="AC140" s="872">
        <f t="shared" si="103"/>
        <v>1.1703373928456811E-3</v>
      </c>
      <c r="AD140" s="872">
        <f t="shared" si="103"/>
        <v>1.1614428286600518E-3</v>
      </c>
      <c r="AE140" s="872">
        <f t="shared" si="103"/>
        <v>1.152615863162234E-3</v>
      </c>
      <c r="AF140" s="872">
        <f t="shared" si="103"/>
        <v>1.1438559826021848E-3</v>
      </c>
      <c r="AG140" s="872">
        <f t="shared" si="103"/>
        <v>1.1351626771344101E-3</v>
      </c>
      <c r="AH140" s="872">
        <f t="shared" si="103"/>
        <v>1.1265354407881992E-3</v>
      </c>
      <c r="AI140" s="872">
        <f t="shared" si="103"/>
        <v>1.117973771438205E-3</v>
      </c>
      <c r="AJ140" s="872">
        <f t="shared" si="103"/>
        <v>1.1094771707752765E-3</v>
      </c>
      <c r="AK140" s="872">
        <f t="shared" si="103"/>
        <v>1.1010451442773873E-3</v>
      </c>
      <c r="AL140" s="872">
        <f t="shared" si="103"/>
        <v>1.0926772011808836E-3</v>
      </c>
      <c r="AM140" s="872">
        <f t="shared" si="103"/>
        <v>1.0843728544518961E-3</v>
      </c>
      <c r="AN140" s="872">
        <f t="shared" si="103"/>
        <v>1.0761316207580744E-3</v>
      </c>
      <c r="AO140" s="872">
        <f t="shared" si="103"/>
        <v>1.0679530204402994E-3</v>
      </c>
      <c r="AP140" s="872">
        <f t="shared" si="103"/>
        <v>1.0598365774849476E-3</v>
      </c>
      <c r="AQ140" s="872">
        <f t="shared" si="103"/>
        <v>1.0517818194960657E-3</v>
      </c>
      <c r="AR140" s="872">
        <f t="shared" si="103"/>
        <v>1.0437882776679127E-3</v>
      </c>
      <c r="AS140" s="872">
        <f t="shared" si="103"/>
        <v>1.0358554867576188E-3</v>
      </c>
      <c r="AT140" s="872">
        <f t="shared" si="103"/>
        <v>1.0279829850582587E-3</v>
      </c>
      <c r="AU140" s="872">
        <f t="shared" si="103"/>
        <v>1.0201703143718336E-3</v>
      </c>
      <c r="AV140" s="872">
        <f t="shared" si="103"/>
        <v>1.0124170199825996E-3</v>
      </c>
      <c r="AW140" s="872">
        <f t="shared" si="103"/>
        <v>1.0047226506307413E-3</v>
      </c>
      <c r="AX140" s="872">
        <f t="shared" si="103"/>
        <v>9.9708675848593129E-4</v>
      </c>
      <c r="AY140" s="872">
        <f t="shared" si="103"/>
        <v>9.8950889912144293E-4</v>
      </c>
      <c r="AZ140" s="872">
        <f t="shared" si="103"/>
        <v>9.8198863148812507E-4</v>
      </c>
      <c r="BA140" s="872">
        <f t="shared" si="103"/>
        <v>9.745255178888161E-4</v>
      </c>
      <c r="BB140" s="872">
        <f t="shared" si="103"/>
        <v>9.6711912395284821E-4</v>
      </c>
      <c r="BC140" s="872">
        <f t="shared" si="103"/>
        <v>9.597690186108085E-4</v>
      </c>
      <c r="BD140" s="872">
        <f t="shared" si="103"/>
        <v>9.5247477406936723E-4</v>
      </c>
      <c r="BE140" s="872">
        <f t="shared" si="103"/>
        <v>9.4523596578645374E-4</v>
      </c>
      <c r="BF140" s="872">
        <f t="shared" si="103"/>
        <v>9.3805217244647744E-4</v>
      </c>
      <c r="BG140" s="872">
        <f t="shared" si="103"/>
        <v>9.3092297593587317E-4</v>
      </c>
      <c r="BH140" s="872">
        <f t="shared" si="103"/>
        <v>9.2384796131876178E-4</v>
      </c>
      <c r="BI140" s="872">
        <f t="shared" si="103"/>
        <v>9.1682671681274819E-4</v>
      </c>
      <c r="BJ140" s="872">
        <f t="shared" si="103"/>
        <v>9.0985883376497507E-4</v>
      </c>
      <c r="BK140" s="872">
        <f t="shared" si="103"/>
        <v>9.029439066283604E-4</v>
      </c>
      <c r="BL140" s="872">
        <f t="shared" si="103"/>
        <v>8.9608153293797344E-4</v>
      </c>
      <c r="BM140" s="872">
        <f t="shared" si="103"/>
        <v>8.8927131328764189E-4</v>
      </c>
      <c r="BN140" s="872">
        <f t="shared" si="103"/>
        <v>8.8251285130665203E-4</v>
      </c>
      <c r="BO140" s="872">
        <f t="shared" si="103"/>
        <v>8.7580575363672422E-4</v>
      </c>
      <c r="BP140" s="872">
        <f t="shared" si="103"/>
        <v>8.6914962990908328E-4</v>
      </c>
      <c r="BQ140" s="872">
        <f t="shared" si="103"/>
        <v>8.6254409272178015E-4</v>
      </c>
      <c r="BR140" s="614"/>
    </row>
    <row r="141" spans="2:70" ht="14.25" customHeight="1" x14ac:dyDescent="0.35">
      <c r="B141" s="1151"/>
      <c r="C141" s="547">
        <v>1.5E-3</v>
      </c>
      <c r="D141" s="1152" t="s">
        <v>101</v>
      </c>
      <c r="E141" s="1153"/>
      <c r="F141" s="872" t="s">
        <v>108</v>
      </c>
      <c r="G141" s="872" t="s">
        <v>95</v>
      </c>
      <c r="H141" s="872" t="s">
        <v>95</v>
      </c>
      <c r="I141" s="872">
        <v>0</v>
      </c>
      <c r="J141" s="872" t="s">
        <v>95</v>
      </c>
      <c r="K141" s="872">
        <v>0</v>
      </c>
      <c r="L141" s="872" t="s">
        <v>95</v>
      </c>
      <c r="M141" s="872">
        <v>0</v>
      </c>
      <c r="N141" s="872" t="s">
        <v>95</v>
      </c>
      <c r="O141" s="872">
        <v>1.1E-4</v>
      </c>
      <c r="P141" s="872" t="s">
        <v>95</v>
      </c>
      <c r="Q141" s="872">
        <v>2.0000000000000002E-5</v>
      </c>
      <c r="R141" s="873">
        <f t="shared" ref="R141:T141" si="104">(R70-Q70)*$C$141</f>
        <v>2.2151479352888748E-10</v>
      </c>
      <c r="S141" s="873">
        <f t="shared" si="104"/>
        <v>-1.4250785696388879E-7</v>
      </c>
      <c r="T141" s="873">
        <f t="shared" si="104"/>
        <v>7.7441830972101165E-8</v>
      </c>
      <c r="U141" s="873">
        <f>(U70-T70)*$C$141</f>
        <v>4.9390576331985457E-8</v>
      </c>
      <c r="V141" s="873">
        <f t="shared" ref="V141:BQ141" si="105">(V70-U70)*$C$141</f>
        <v>5.6723009830193797E-8</v>
      </c>
      <c r="W141" s="873">
        <f t="shared" si="105"/>
        <v>5.4910252222484249E-8</v>
      </c>
      <c r="X141" s="873">
        <f t="shared" si="105"/>
        <v>4.9434052768332351E-8</v>
      </c>
      <c r="Y141" s="873">
        <f t="shared" si="105"/>
        <v>4.212185922737588E-8</v>
      </c>
      <c r="Z141" s="873">
        <f t="shared" si="105"/>
        <v>5.8339784184839598E-8</v>
      </c>
      <c r="AA141" s="873">
        <f t="shared" si="105"/>
        <v>5.2152973976489491E-8</v>
      </c>
      <c r="AB141" s="873">
        <f t="shared" si="105"/>
        <v>4.0250315064771502E-8</v>
      </c>
      <c r="AC141" s="873">
        <f t="shared" si="105"/>
        <v>4.3670313106328189E-8</v>
      </c>
      <c r="AD141" s="873">
        <f t="shared" si="105"/>
        <v>5.8089921262882708E-8</v>
      </c>
      <c r="AE141" s="873">
        <f t="shared" si="105"/>
        <v>4.5250430968465929E-8</v>
      </c>
      <c r="AF141" s="873">
        <f t="shared" si="105"/>
        <v>5.3051552661741162E-8</v>
      </c>
      <c r="AG141" s="873">
        <f t="shared" si="105"/>
        <v>4.3435579103759393E-8</v>
      </c>
      <c r="AH141" s="873">
        <f t="shared" si="105"/>
        <v>4.3405479201980017E-8</v>
      </c>
      <c r="AI141" s="873">
        <f t="shared" si="105"/>
        <v>4.6892194576798887E-8</v>
      </c>
      <c r="AJ141" s="873">
        <f t="shared" si="105"/>
        <v>4.1675922321786351E-8</v>
      </c>
      <c r="AK141" s="873">
        <f t="shared" si="105"/>
        <v>4.3036984949680613E-8</v>
      </c>
      <c r="AL141" s="873">
        <f t="shared" si="105"/>
        <v>4.6325070784392077E-8</v>
      </c>
      <c r="AM141" s="873">
        <f t="shared" si="105"/>
        <v>4.1748660167095774E-8</v>
      </c>
      <c r="AN141" s="873">
        <f t="shared" si="105"/>
        <v>4.1962391252363399E-8</v>
      </c>
      <c r="AO141" s="873">
        <f t="shared" si="105"/>
        <v>4.0970119536069825E-8</v>
      </c>
      <c r="AP141" s="873">
        <f t="shared" si="105"/>
        <v>3.2172963987275872E-8</v>
      </c>
      <c r="AQ141" s="873">
        <f t="shared" si="105"/>
        <v>4.031593785824156E-8</v>
      </c>
      <c r="AR141" s="873">
        <f t="shared" si="105"/>
        <v>3.4205615049638647E-8</v>
      </c>
      <c r="AS141" s="873">
        <f t="shared" si="105"/>
        <v>4.2071076616134741E-8</v>
      </c>
      <c r="AT141" s="873">
        <f t="shared" si="105"/>
        <v>3.3924553247889619E-8</v>
      </c>
      <c r="AU141" s="873">
        <f t="shared" si="105"/>
        <v>3.2991034563160938E-8</v>
      </c>
      <c r="AV141" s="873">
        <f t="shared" si="105"/>
        <v>3.3610620554631874E-8</v>
      </c>
      <c r="AW141" s="873">
        <f t="shared" si="105"/>
        <v>3.3260855834091329E-8</v>
      </c>
      <c r="AX141" s="873">
        <f t="shared" si="105"/>
        <v>3.7097283172485288E-8</v>
      </c>
      <c r="AY141" s="873">
        <f t="shared" si="105"/>
        <v>3.3134266782849922E-8</v>
      </c>
      <c r="AZ141" s="873">
        <f t="shared" si="105"/>
        <v>3.2571586994753491E-8</v>
      </c>
      <c r="BA141" s="873">
        <f t="shared" si="105"/>
        <v>3.3040484290390581E-8</v>
      </c>
      <c r="BB141" s="873">
        <f t="shared" si="105"/>
        <v>3.2766899741729086E-8</v>
      </c>
      <c r="BC141" s="873">
        <f t="shared" si="105"/>
        <v>3.3088816147344717E-8</v>
      </c>
      <c r="BD141" s="873">
        <f t="shared" si="105"/>
        <v>3.1491872736044705E-8</v>
      </c>
      <c r="BE141" s="873">
        <f t="shared" si="105"/>
        <v>3.1266044605224308E-8</v>
      </c>
      <c r="BF141" s="873">
        <f t="shared" si="105"/>
        <v>3.1030775043579262E-8</v>
      </c>
      <c r="BG141" s="873">
        <f t="shared" si="105"/>
        <v>3.0659515904626898E-8</v>
      </c>
      <c r="BH141" s="873">
        <f t="shared" si="105"/>
        <v>3.017080952411738E-8</v>
      </c>
      <c r="BI141" s="873">
        <f t="shared" si="105"/>
        <v>2.9775119194407063E-8</v>
      </c>
      <c r="BJ141" s="873">
        <f t="shared" si="105"/>
        <v>2.942002179013442E-8</v>
      </c>
      <c r="BK141" s="873">
        <f t="shared" si="105"/>
        <v>2.9078634006987626E-8</v>
      </c>
      <c r="BL141" s="873">
        <f t="shared" si="105"/>
        <v>2.8663892317433438E-8</v>
      </c>
      <c r="BM141" s="873">
        <f t="shared" si="105"/>
        <v>2.8254046440759352E-8</v>
      </c>
      <c r="BN141" s="873">
        <f t="shared" si="105"/>
        <v>2.7816761557414304E-8</v>
      </c>
      <c r="BO141" s="873">
        <f t="shared" si="105"/>
        <v>2.7445419783021787E-8</v>
      </c>
      <c r="BP141" s="873">
        <f t="shared" si="105"/>
        <v>2.7062608017464075E-8</v>
      </c>
      <c r="BQ141" s="873">
        <f t="shared" si="105"/>
        <v>2.6670142811317799E-8</v>
      </c>
      <c r="BR141" s="614"/>
    </row>
    <row r="142" spans="2:70" ht="14.25" customHeight="1" x14ac:dyDescent="0.35">
      <c r="B142" s="1151"/>
      <c r="C142" s="547">
        <v>0.1012</v>
      </c>
      <c r="D142" s="1152" t="s">
        <v>106</v>
      </c>
      <c r="E142" s="1153"/>
      <c r="F142" s="872" t="s">
        <v>108</v>
      </c>
      <c r="G142" s="872" t="s">
        <v>95</v>
      </c>
      <c r="H142" s="872" t="s">
        <v>95</v>
      </c>
      <c r="I142" s="872">
        <v>7.7400000000000004E-3</v>
      </c>
      <c r="J142" s="872" t="s">
        <v>95</v>
      </c>
      <c r="K142" s="872">
        <v>7.7400000000000004E-3</v>
      </c>
      <c r="L142" s="872" t="s">
        <v>95</v>
      </c>
      <c r="M142" s="872">
        <v>7.7400000000000004E-3</v>
      </c>
      <c r="N142" s="872" t="s">
        <v>95</v>
      </c>
      <c r="O142" s="872">
        <v>7.5300000000000002E-3</v>
      </c>
      <c r="P142" s="872" t="s">
        <v>95</v>
      </c>
      <c r="Q142" s="872">
        <v>8.3400000000000002E-3</v>
      </c>
      <c r="R142" s="873">
        <f t="shared" ref="R142:T142" si="106">(R72-Q72)*$C$142</f>
        <v>2.1597250564475905E-3</v>
      </c>
      <c r="S142" s="873">
        <f t="shared" si="106"/>
        <v>4.8007516372920717E-4</v>
      </c>
      <c r="T142" s="873">
        <f t="shared" si="106"/>
        <v>4.5520514506111687E-3</v>
      </c>
      <c r="U142" s="873">
        <f>(U72-T72)*$C$142</f>
        <v>4.6825492909418915E-3</v>
      </c>
      <c r="V142" s="873">
        <f t="shared" ref="V142:BQ142" si="107">(V72-U72)*$C$142</f>
        <v>4.0464759472116961E-3</v>
      </c>
      <c r="W142" s="873">
        <f t="shared" si="107"/>
        <v>4.3275758477501767E-3</v>
      </c>
      <c r="X142" s="873">
        <f t="shared" si="107"/>
        <v>3.3169740898318211E-3</v>
      </c>
      <c r="Y142" s="873">
        <f t="shared" si="107"/>
        <v>2.7598596206687845E-3</v>
      </c>
      <c r="Z142" s="873">
        <f t="shared" si="107"/>
        <v>3.6201572834331209E-3</v>
      </c>
      <c r="AA142" s="873">
        <f t="shared" si="107"/>
        <v>3.0944241112592051E-3</v>
      </c>
      <c r="AB142" s="873">
        <f t="shared" si="107"/>
        <v>1.8093480449843564E-3</v>
      </c>
      <c r="AC142" s="873">
        <f t="shared" si="107"/>
        <v>2.1113399696091198E-3</v>
      </c>
      <c r="AD142" s="873">
        <f t="shared" si="107"/>
        <v>3.0544841661618244E-3</v>
      </c>
      <c r="AE142" s="873">
        <f t="shared" si="107"/>
        <v>1.9845822983420658E-3</v>
      </c>
      <c r="AF142" s="873">
        <f t="shared" si="107"/>
        <v>2.5418375509814657E-3</v>
      </c>
      <c r="AG142" s="873">
        <f t="shared" si="107"/>
        <v>1.7796209150368985E-3</v>
      </c>
      <c r="AH142" s="873">
        <f t="shared" si="107"/>
        <v>1.8541281383598388E-3</v>
      </c>
      <c r="AI142" s="873">
        <f t="shared" si="107"/>
        <v>2.2262157504291291E-3</v>
      </c>
      <c r="AJ142" s="873">
        <f t="shared" si="107"/>
        <v>1.9928939029777541E-3</v>
      </c>
      <c r="AK142" s="873">
        <f t="shared" si="107"/>
        <v>2.2696988042300377E-3</v>
      </c>
      <c r="AL142" s="873">
        <f t="shared" si="107"/>
        <v>2.7991927788105124E-3</v>
      </c>
      <c r="AM142" s="873">
        <f t="shared" si="107"/>
        <v>2.6330220041433984E-3</v>
      </c>
      <c r="AN142" s="873">
        <f t="shared" si="107"/>
        <v>2.9402208917547667E-3</v>
      </c>
      <c r="AO142" s="873">
        <f t="shared" si="107"/>
        <v>3.0715990490459517E-3</v>
      </c>
      <c r="AP142" s="873">
        <f t="shared" si="107"/>
        <v>2.6025212946887231E-3</v>
      </c>
      <c r="AQ142" s="873">
        <f t="shared" si="107"/>
        <v>3.4753994545782783E-3</v>
      </c>
      <c r="AR142" s="873">
        <f t="shared" si="107"/>
        <v>3.1827699318353773E-3</v>
      </c>
      <c r="AS142" s="873">
        <f t="shared" si="107"/>
        <v>3.997505346937838E-3</v>
      </c>
      <c r="AT142" s="873">
        <f t="shared" si="107"/>
        <v>3.4603757789970569E-3</v>
      </c>
      <c r="AU142" s="873">
        <f t="shared" si="107"/>
        <v>3.4526796861571417E-3</v>
      </c>
      <c r="AV142" s="873">
        <f t="shared" si="107"/>
        <v>3.6035513401732732E-3</v>
      </c>
      <c r="AW142" s="873">
        <f t="shared" si="107"/>
        <v>3.587478680887509E-3</v>
      </c>
      <c r="AX142" s="873">
        <f t="shared" si="107"/>
        <v>3.109929851997934E-3</v>
      </c>
      <c r="AY142" s="873">
        <f t="shared" si="107"/>
        <v>3.1962878465628367E-3</v>
      </c>
      <c r="AZ142" s="873">
        <f t="shared" si="107"/>
        <v>3.2628172077275443E-3</v>
      </c>
      <c r="BA142" s="873">
        <f t="shared" si="107"/>
        <v>3.3503589514203916E-3</v>
      </c>
      <c r="BB142" s="873">
        <f t="shared" si="107"/>
        <v>3.4247490691590348E-3</v>
      </c>
      <c r="BC142" s="873">
        <f t="shared" si="107"/>
        <v>3.4672481343712316E-3</v>
      </c>
      <c r="BD142" s="873">
        <f t="shared" si="107"/>
        <v>3.5244004023993357E-3</v>
      </c>
      <c r="BE142" s="873">
        <f t="shared" si="107"/>
        <v>3.5639797666576745E-3</v>
      </c>
      <c r="BF142" s="873">
        <f t="shared" si="107"/>
        <v>3.59709033660131E-3</v>
      </c>
      <c r="BG142" s="873">
        <f t="shared" si="107"/>
        <v>3.6655334988245185E-3</v>
      </c>
      <c r="BH142" s="873">
        <f t="shared" si="107"/>
        <v>3.6773096834947427E-3</v>
      </c>
      <c r="BI142" s="873">
        <f t="shared" si="107"/>
        <v>3.7105321132308521E-3</v>
      </c>
      <c r="BJ142" s="873">
        <f t="shared" si="107"/>
        <v>3.6886723492059671E-3</v>
      </c>
      <c r="BK142" s="873">
        <f t="shared" si="107"/>
        <v>3.7031480586962959E-3</v>
      </c>
      <c r="BL142" s="873">
        <f t="shared" si="107"/>
        <v>3.7191809832633365E-3</v>
      </c>
      <c r="BM142" s="873">
        <f t="shared" si="107"/>
        <v>3.7257296266804555E-3</v>
      </c>
      <c r="BN142" s="873">
        <f t="shared" si="107"/>
        <v>3.7338766313803739E-3</v>
      </c>
      <c r="BO142" s="873">
        <f t="shared" si="107"/>
        <v>3.7761395639492414E-3</v>
      </c>
      <c r="BP142" s="873">
        <f t="shared" si="107"/>
        <v>3.8152948338283808E-3</v>
      </c>
      <c r="BQ142" s="873">
        <f t="shared" si="107"/>
        <v>3.8525145209332146E-3</v>
      </c>
      <c r="BR142" s="614"/>
    </row>
    <row r="143" spans="2:70" s="932" customFormat="1" ht="14.25" customHeight="1" x14ac:dyDescent="0.35">
      <c r="B143" s="1151"/>
      <c r="C143" s="929">
        <v>5.1189999999999999E-2</v>
      </c>
      <c r="D143" s="1154" t="s">
        <v>146</v>
      </c>
      <c r="E143" s="1155"/>
      <c r="F143" s="930" t="s">
        <v>108</v>
      </c>
      <c r="G143" s="930"/>
      <c r="H143" s="930"/>
      <c r="I143" s="930"/>
      <c r="J143" s="930"/>
      <c r="K143" s="930"/>
      <c r="L143" s="930"/>
      <c r="M143" s="930"/>
      <c r="N143" s="930"/>
      <c r="O143" s="930"/>
      <c r="P143" s="930"/>
      <c r="Q143" s="930"/>
      <c r="R143" s="934">
        <f t="shared" ref="R143:T143" si="108">(R75-Q75)*$C$143</f>
        <v>1.9550567539255194E-3</v>
      </c>
      <c r="S143" s="934">
        <f t="shared" si="108"/>
        <v>4.7267673373228257E-3</v>
      </c>
      <c r="T143" s="934">
        <f t="shared" si="108"/>
        <v>2.6245199982254642E-3</v>
      </c>
      <c r="U143" s="934">
        <f>(U75-T75)*$C$143</f>
        <v>2.5227545482037531E-3</v>
      </c>
      <c r="V143" s="934">
        <f t="shared" ref="V143:BQ143" si="109">(V75-U75)*$C$143</f>
        <v>2.8087722573896545E-3</v>
      </c>
      <c r="W143" s="934">
        <f t="shared" si="109"/>
        <v>2.6315539142489786E-3</v>
      </c>
      <c r="X143" s="934">
        <f t="shared" si="109"/>
        <v>3.1081420926293022E-3</v>
      </c>
      <c r="Y143" s="934">
        <f t="shared" si="109"/>
        <v>3.3558889136131452E-3</v>
      </c>
      <c r="Z143" s="934">
        <f t="shared" si="109"/>
        <v>2.8861956313213921E-3</v>
      </c>
      <c r="AA143" s="934">
        <f t="shared" si="109"/>
        <v>3.1187586606407861E-3</v>
      </c>
      <c r="AB143" s="934">
        <f t="shared" si="109"/>
        <v>3.7358960726341503E-3</v>
      </c>
      <c r="AC143" s="934">
        <f t="shared" si="109"/>
        <v>3.5501891773486189E-3</v>
      </c>
      <c r="AD143" s="934">
        <f t="shared" si="109"/>
        <v>3.0401424517644028E-3</v>
      </c>
      <c r="AE143" s="934">
        <f t="shared" si="109"/>
        <v>3.5496618772421469E-3</v>
      </c>
      <c r="AF143" s="934">
        <f t="shared" si="109"/>
        <v>3.2358071810642789E-3</v>
      </c>
      <c r="AG143" s="934">
        <f t="shared" si="109"/>
        <v>3.5902919824442395E-3</v>
      </c>
      <c r="AH143" s="934">
        <f t="shared" si="109"/>
        <v>3.5215791006461901E-3</v>
      </c>
      <c r="AI143" s="934">
        <f t="shared" si="109"/>
        <v>3.3025352223162705E-3</v>
      </c>
      <c r="AJ143" s="934">
        <f t="shared" si="109"/>
        <v>3.3904043210377971E-3</v>
      </c>
      <c r="AK143" s="934">
        <f t="shared" si="109"/>
        <v>3.2203034485652174E-3</v>
      </c>
      <c r="AL143" s="934">
        <f t="shared" si="109"/>
        <v>2.9226588267076779E-3</v>
      </c>
      <c r="AM143" s="934">
        <f t="shared" si="109"/>
        <v>2.9774757491220624E-3</v>
      </c>
      <c r="AN143" s="934">
        <f t="shared" si="109"/>
        <v>2.7929325816864721E-3</v>
      </c>
      <c r="AO143" s="934">
        <f t="shared" si="109"/>
        <v>2.6976446088845126E-3</v>
      </c>
      <c r="AP143" s="934">
        <f t="shared" si="109"/>
        <v>2.9066678028759865E-3</v>
      </c>
      <c r="AQ143" s="934">
        <f t="shared" si="109"/>
        <v>2.43655237816398E-3</v>
      </c>
      <c r="AR143" s="934">
        <f t="shared" si="109"/>
        <v>2.5567843694053096E-3</v>
      </c>
      <c r="AS143" s="934">
        <f t="shared" si="109"/>
        <v>2.1166424162902559E-3</v>
      </c>
      <c r="AT143" s="934">
        <f t="shared" si="109"/>
        <v>2.3610556049677473E-3</v>
      </c>
      <c r="AU143" s="934">
        <f t="shared" si="109"/>
        <v>2.3377445227732076E-3</v>
      </c>
      <c r="AV143" s="934">
        <f t="shared" si="109"/>
        <v>2.2343509773667313E-3</v>
      </c>
      <c r="AW143" s="934">
        <f t="shared" si="109"/>
        <v>2.215604307357232E-3</v>
      </c>
      <c r="AX143" s="934">
        <f t="shared" si="109"/>
        <v>2.430430969191438E-3</v>
      </c>
      <c r="AY143" s="934">
        <f t="shared" si="109"/>
        <v>2.3605662205794611E-3</v>
      </c>
      <c r="AZ143" s="934">
        <f t="shared" si="109"/>
        <v>2.3008944514948809E-3</v>
      </c>
      <c r="BA143" s="934">
        <f t="shared" si="109"/>
        <v>2.2308334853381128E-3</v>
      </c>
      <c r="BB143" s="934">
        <f t="shared" si="109"/>
        <v>2.1677205734610687E-3</v>
      </c>
      <c r="BC143" s="934">
        <f t="shared" si="109"/>
        <v>2.1209844778245549E-3</v>
      </c>
      <c r="BD143" s="934">
        <f t="shared" si="109"/>
        <v>2.0671629143139323E-3</v>
      </c>
      <c r="BE143" s="934">
        <f t="shared" si="109"/>
        <v>2.0224398678590876E-3</v>
      </c>
      <c r="BF143" s="934">
        <f t="shared" si="109"/>
        <v>1.9812409273983261E-3</v>
      </c>
      <c r="BG143" s="934">
        <f t="shared" si="109"/>
        <v>1.9224212239872941E-3</v>
      </c>
      <c r="BH143" s="934">
        <f t="shared" si="109"/>
        <v>1.8925114255165828E-3</v>
      </c>
      <c r="BI143" s="934">
        <f t="shared" si="109"/>
        <v>1.8519874380890837E-3</v>
      </c>
      <c r="BJ143" s="934">
        <f t="shared" si="109"/>
        <v>1.8395564885873724E-3</v>
      </c>
      <c r="BK143" s="934">
        <f t="shared" si="109"/>
        <v>1.8089727017867854E-3</v>
      </c>
      <c r="BL143" s="934">
        <f t="shared" si="109"/>
        <v>1.7778259047153129E-3</v>
      </c>
      <c r="BM143" s="934">
        <f t="shared" si="109"/>
        <v>1.7516934773764209E-3</v>
      </c>
      <c r="BN143" s="934">
        <f t="shared" si="109"/>
        <v>1.7249654852582118E-3</v>
      </c>
      <c r="BO143" s="934">
        <f t="shared" si="109"/>
        <v>1.6811852442253728E-3</v>
      </c>
      <c r="BP143" s="934">
        <f t="shared" si="109"/>
        <v>1.6391790440369238E-3</v>
      </c>
      <c r="BQ143" s="934">
        <f t="shared" si="109"/>
        <v>1.5983487638465989E-3</v>
      </c>
      <c r="BR143" s="926"/>
    </row>
    <row r="144" spans="2:70" s="932" customFormat="1" ht="14.25" customHeight="1" x14ac:dyDescent="0.35">
      <c r="B144" s="1151"/>
      <c r="C144" s="929">
        <v>8.8999999999999999E-3</v>
      </c>
      <c r="D144" s="1156" t="s">
        <v>102</v>
      </c>
      <c r="E144" s="1157"/>
      <c r="F144" s="930" t="s">
        <v>108</v>
      </c>
      <c r="G144" s="930" t="s">
        <v>95</v>
      </c>
      <c r="H144" s="930" t="s">
        <v>95</v>
      </c>
      <c r="I144" s="930">
        <v>4.2000000000000002E-4</v>
      </c>
      <c r="J144" s="930" t="s">
        <v>95</v>
      </c>
      <c r="K144" s="930">
        <v>4.2000000000000002E-4</v>
      </c>
      <c r="L144" s="930" t="s">
        <v>95</v>
      </c>
      <c r="M144" s="930">
        <v>4.2000000000000002E-4</v>
      </c>
      <c r="N144" s="930" t="s">
        <v>95</v>
      </c>
      <c r="O144" s="930">
        <v>8.8999999999999995E-4</v>
      </c>
      <c r="P144" s="930" t="s">
        <v>95</v>
      </c>
      <c r="Q144" s="930">
        <v>1.7000000000000001E-4</v>
      </c>
      <c r="R144" s="934">
        <f t="shared" ref="R144:T144" si="110">(R77-Q77)*$C$144</f>
        <v>-6.0319482999998588E-5</v>
      </c>
      <c r="S144" s="934">
        <f t="shared" si="110"/>
        <v>-6.3109899999999624E-5</v>
      </c>
      <c r="T144" s="934">
        <f t="shared" si="110"/>
        <v>-6.3109899999999624E-5</v>
      </c>
      <c r="U144" s="934">
        <f>(U77-T77)*$C$144</f>
        <v>-6.3109899999999624E-5</v>
      </c>
      <c r="V144" s="934">
        <f t="shared" ref="V144:BQ144" si="111">(V77-U77)*$C$144</f>
        <v>-6.3109899999999624E-5</v>
      </c>
      <c r="W144" s="934">
        <f t="shared" si="111"/>
        <v>-6.3109900000003582E-5</v>
      </c>
      <c r="X144" s="934">
        <f t="shared" si="111"/>
        <v>-6.3109899999999624E-5</v>
      </c>
      <c r="Y144" s="934">
        <f t="shared" si="111"/>
        <v>-6.3109899999999624E-5</v>
      </c>
      <c r="Z144" s="934">
        <f t="shared" si="111"/>
        <v>-6.3109899999999624E-5</v>
      </c>
      <c r="AA144" s="934">
        <f t="shared" si="111"/>
        <v>-6.3109899999999624E-5</v>
      </c>
      <c r="AB144" s="934">
        <f t="shared" si="111"/>
        <v>-6.3109899999999624E-5</v>
      </c>
      <c r="AC144" s="934">
        <f t="shared" si="111"/>
        <v>-6.3109899999999624E-5</v>
      </c>
      <c r="AD144" s="934">
        <f t="shared" si="111"/>
        <v>-6.3109899999999624E-5</v>
      </c>
      <c r="AE144" s="934">
        <f t="shared" si="111"/>
        <v>-6.3109899999999624E-5</v>
      </c>
      <c r="AF144" s="934">
        <f t="shared" si="111"/>
        <v>-6.3109899999999624E-5</v>
      </c>
      <c r="AG144" s="934">
        <f t="shared" si="111"/>
        <v>-6.3109899999999624E-5</v>
      </c>
      <c r="AH144" s="934">
        <f t="shared" si="111"/>
        <v>-6.3109900000003582E-5</v>
      </c>
      <c r="AI144" s="934">
        <f t="shared" si="111"/>
        <v>-6.3109899999999624E-5</v>
      </c>
      <c r="AJ144" s="934">
        <f t="shared" si="111"/>
        <v>-6.3109899999999624E-5</v>
      </c>
      <c r="AK144" s="934">
        <f t="shared" si="111"/>
        <v>-6.3109899999999624E-5</v>
      </c>
      <c r="AL144" s="934">
        <f t="shared" si="111"/>
        <v>-6.3109899999999624E-5</v>
      </c>
      <c r="AM144" s="934">
        <f t="shared" si="111"/>
        <v>-6.3109899999999624E-5</v>
      </c>
      <c r="AN144" s="934">
        <f t="shared" si="111"/>
        <v>-6.3109899999999624E-5</v>
      </c>
      <c r="AO144" s="934">
        <f t="shared" si="111"/>
        <v>-6.3109899999999624E-5</v>
      </c>
      <c r="AP144" s="934">
        <f t="shared" si="111"/>
        <v>-6.3109899999999624E-5</v>
      </c>
      <c r="AQ144" s="934">
        <f t="shared" si="111"/>
        <v>-6.3109899999999624E-5</v>
      </c>
      <c r="AR144" s="934">
        <f t="shared" si="111"/>
        <v>-6.3109899999999624E-5</v>
      </c>
      <c r="AS144" s="934">
        <f t="shared" si="111"/>
        <v>-6.3109900000003582E-5</v>
      </c>
      <c r="AT144" s="934">
        <f t="shared" si="111"/>
        <v>-6.3109899999999624E-5</v>
      </c>
      <c r="AU144" s="934">
        <f t="shared" si="111"/>
        <v>-6.3109899999999624E-5</v>
      </c>
      <c r="AV144" s="934">
        <f t="shared" si="111"/>
        <v>-6.3109899999999624E-5</v>
      </c>
      <c r="AW144" s="934">
        <f t="shared" si="111"/>
        <v>-6.3109899999999624E-5</v>
      </c>
      <c r="AX144" s="934">
        <f t="shared" si="111"/>
        <v>-6.3109899999999624E-5</v>
      </c>
      <c r="AY144" s="934">
        <f t="shared" si="111"/>
        <v>-6.3109899999999624E-5</v>
      </c>
      <c r="AZ144" s="934">
        <f t="shared" si="111"/>
        <v>-6.3109899999999624E-5</v>
      </c>
      <c r="BA144" s="934">
        <f t="shared" si="111"/>
        <v>-6.3109899999999624E-5</v>
      </c>
      <c r="BB144" s="934">
        <f t="shared" si="111"/>
        <v>-6.3109899999999624E-5</v>
      </c>
      <c r="BC144" s="934">
        <f t="shared" si="111"/>
        <v>-6.3109900000003582E-5</v>
      </c>
      <c r="BD144" s="934">
        <f t="shared" si="111"/>
        <v>-6.3109899999999624E-5</v>
      </c>
      <c r="BE144" s="934">
        <f t="shared" si="111"/>
        <v>-6.3109899999999624E-5</v>
      </c>
      <c r="BF144" s="934">
        <f t="shared" si="111"/>
        <v>-6.3109899999999624E-5</v>
      </c>
      <c r="BG144" s="934">
        <f t="shared" si="111"/>
        <v>-6.3109899999999624E-5</v>
      </c>
      <c r="BH144" s="934">
        <f t="shared" si="111"/>
        <v>-6.3109899999999624E-5</v>
      </c>
      <c r="BI144" s="934">
        <f t="shared" si="111"/>
        <v>-6.3109899999999624E-5</v>
      </c>
      <c r="BJ144" s="934">
        <f t="shared" si="111"/>
        <v>-6.3109899999999624E-5</v>
      </c>
      <c r="BK144" s="934">
        <f t="shared" si="111"/>
        <v>-6.3109899999999624E-5</v>
      </c>
      <c r="BL144" s="934">
        <f t="shared" si="111"/>
        <v>-6.3109899999999624E-5</v>
      </c>
      <c r="BM144" s="934">
        <f t="shared" si="111"/>
        <v>-6.3109899999999624E-5</v>
      </c>
      <c r="BN144" s="934">
        <f t="shared" si="111"/>
        <v>-6.3109900000003582E-5</v>
      </c>
      <c r="BO144" s="934">
        <f t="shared" si="111"/>
        <v>-6.3109899999999624E-5</v>
      </c>
      <c r="BP144" s="934">
        <f t="shared" si="111"/>
        <v>-6.3109899999999624E-5</v>
      </c>
      <c r="BQ144" s="934">
        <f t="shared" si="111"/>
        <v>-6.3109899999999624E-5</v>
      </c>
      <c r="BR144" s="926"/>
    </row>
    <row r="145" spans="2:70" ht="14.25" customHeight="1" x14ac:dyDescent="0.35">
      <c r="B145" s="1151"/>
      <c r="C145" s="547">
        <v>0.2286</v>
      </c>
      <c r="D145" s="1152" t="s">
        <v>57</v>
      </c>
      <c r="E145" s="1153"/>
      <c r="F145" s="872" t="s">
        <v>108</v>
      </c>
      <c r="G145" s="872" t="s">
        <v>95</v>
      </c>
      <c r="H145" s="872" t="s">
        <v>95</v>
      </c>
      <c r="I145" s="872">
        <v>1.8500000000000001E-3</v>
      </c>
      <c r="J145" s="872" t="s">
        <v>95</v>
      </c>
      <c r="K145" s="872">
        <v>1.8500000000000001E-3</v>
      </c>
      <c r="L145" s="872" t="s">
        <v>95</v>
      </c>
      <c r="M145" s="872">
        <v>1.8500000000000001E-3</v>
      </c>
      <c r="N145" s="872" t="s">
        <v>95</v>
      </c>
      <c r="O145" s="872">
        <v>3.64E-3</v>
      </c>
      <c r="P145" s="872" t="s">
        <v>95</v>
      </c>
      <c r="Q145" s="872">
        <v>1.6900000000000001E-3</v>
      </c>
      <c r="R145" s="873">
        <f t="shared" ref="R145:T145" si="112">(R84-Q84)*$C$145</f>
        <v>3.1123300413785191E-4</v>
      </c>
      <c r="S145" s="873">
        <f t="shared" si="112"/>
        <v>3.1513515117911309E-4</v>
      </c>
      <c r="T145" s="873">
        <f t="shared" si="112"/>
        <v>3.1908622218193875E-4</v>
      </c>
      <c r="U145" s="873">
        <f>(U84-T84)*$C$145</f>
        <v>3.2275183068280968E-4</v>
      </c>
      <c r="V145" s="873">
        <f t="shared" ref="V145:BQ145" si="113">(V84-U84)*$C$145</f>
        <v>3.2679420157904994E-4</v>
      </c>
      <c r="W145" s="873">
        <f t="shared" si="113"/>
        <v>3.308872019711105E-4</v>
      </c>
      <c r="X145" s="873">
        <f t="shared" si="113"/>
        <v>3.3503146597840632E-4</v>
      </c>
      <c r="Y145" s="873">
        <f t="shared" si="113"/>
        <v>3.3922763566249773E-4</v>
      </c>
      <c r="Z145" s="873">
        <f t="shared" si="113"/>
        <v>3.4347636112658475E-4</v>
      </c>
      <c r="AA145" s="873">
        <f t="shared" si="113"/>
        <v>3.4777830061621414E-4</v>
      </c>
      <c r="AB145" s="873">
        <f t="shared" si="113"/>
        <v>3.5213412062126741E-4</v>
      </c>
      <c r="AC145" s="873">
        <f t="shared" si="113"/>
        <v>3.5654449597920555E-4</v>
      </c>
      <c r="AD145" s="873">
        <f t="shared" si="113"/>
        <v>3.6101010997963346E-4</v>
      </c>
      <c r="AE145" s="873">
        <f t="shared" si="113"/>
        <v>3.6553165447015845E-4</v>
      </c>
      <c r="AF145" s="873">
        <f t="shared" si="113"/>
        <v>3.7010982996356904E-4</v>
      </c>
      <c r="AG145" s="873">
        <f t="shared" si="113"/>
        <v>3.7474534574637088E-4</v>
      </c>
      <c r="AH145" s="873">
        <f t="shared" si="113"/>
        <v>3.7943891998866214E-4</v>
      </c>
      <c r="AI145" s="873">
        <f t="shared" si="113"/>
        <v>3.8419127985543584E-4</v>
      </c>
      <c r="AJ145" s="873">
        <f t="shared" si="113"/>
        <v>3.8900316161917726E-4</v>
      </c>
      <c r="AK145" s="873">
        <f t="shared" si="113"/>
        <v>3.9387531077398973E-4</v>
      </c>
      <c r="AL145" s="873">
        <f t="shared" si="113"/>
        <v>3.9880848215105986E-4</v>
      </c>
      <c r="AM145" s="873">
        <f t="shared" si="113"/>
        <v>4.0380344003560702E-4</v>
      </c>
      <c r="AN145" s="873">
        <f t="shared" si="113"/>
        <v>4.0886095828530499E-4</v>
      </c>
      <c r="AO145" s="873">
        <f t="shared" si="113"/>
        <v>4.1398182045016311E-4</v>
      </c>
      <c r="AP145" s="873">
        <f t="shared" si="113"/>
        <v>4.191668198939173E-4</v>
      </c>
      <c r="AQ145" s="873">
        <f t="shared" si="113"/>
        <v>4.2441675991695027E-4</v>
      </c>
      <c r="AR145" s="873">
        <f t="shared" si="113"/>
        <v>4.2973245388074722E-4</v>
      </c>
      <c r="AS145" s="873">
        <f t="shared" si="113"/>
        <v>4.3511472533390612E-4</v>
      </c>
      <c r="AT145" s="873">
        <f t="shared" si="113"/>
        <v>4.4056440813971496E-4</v>
      </c>
      <c r="AU145" s="873">
        <f t="shared" si="113"/>
        <v>4.460823466053662E-4</v>
      </c>
      <c r="AV145" s="873">
        <f t="shared" si="113"/>
        <v>4.5166939561273851E-4</v>
      </c>
      <c r="AW145" s="873">
        <f t="shared" si="113"/>
        <v>4.5732642075085948E-4</v>
      </c>
      <c r="AX145" s="873">
        <f t="shared" si="113"/>
        <v>4.6305429845000583E-4</v>
      </c>
      <c r="AY145" s="873">
        <f t="shared" si="113"/>
        <v>4.6885391611746567E-4</v>
      </c>
      <c r="AZ145" s="873">
        <f t="shared" si="113"/>
        <v>4.7472617227506479E-4</v>
      </c>
      <c r="BA145" s="873">
        <f t="shared" si="113"/>
        <v>4.8067197669832335E-4</v>
      </c>
      <c r="BB145" s="873">
        <f t="shared" si="113"/>
        <v>4.866922505574468E-4</v>
      </c>
      <c r="BC145" s="873">
        <f t="shared" si="113"/>
        <v>4.927879265600166E-4</v>
      </c>
      <c r="BD145" s="873">
        <f t="shared" si="113"/>
        <v>4.9895994909550866E-4</v>
      </c>
      <c r="BE145" s="873">
        <f t="shared" si="113"/>
        <v>5.0520927438158826E-4</v>
      </c>
      <c r="BF145" s="873">
        <f t="shared" si="113"/>
        <v>5.1153687061225768E-4</v>
      </c>
      <c r="BG145" s="873">
        <f t="shared" si="113"/>
        <v>5.1794371810788217E-4</v>
      </c>
      <c r="BH145" s="873">
        <f t="shared" si="113"/>
        <v>5.2443080946702335E-4</v>
      </c>
      <c r="BI145" s="873">
        <f t="shared" si="113"/>
        <v>5.3099914972026656E-4</v>
      </c>
      <c r="BJ145" s="873">
        <f t="shared" si="113"/>
        <v>5.3764975648589895E-4</v>
      </c>
      <c r="BK145" s="873">
        <f t="shared" si="113"/>
        <v>5.4438366012756238E-4</v>
      </c>
      <c r="BL145" s="873">
        <f t="shared" si="113"/>
        <v>5.5120190391392339E-4</v>
      </c>
      <c r="BM145" s="873">
        <f t="shared" si="113"/>
        <v>5.5810554418025276E-4</v>
      </c>
      <c r="BN145" s="873">
        <f t="shared" si="113"/>
        <v>5.6509565049213124E-4</v>
      </c>
      <c r="BO145" s="873">
        <f t="shared" si="113"/>
        <v>5.7217330581110922E-4</v>
      </c>
      <c r="BP145" s="873">
        <f t="shared" si="113"/>
        <v>5.7933960666252317E-4</v>
      </c>
      <c r="BQ145" s="873">
        <f t="shared" si="113"/>
        <v>5.8659566330535615E-4</v>
      </c>
      <c r="BR145" s="614"/>
    </row>
    <row r="146" spans="2:70" ht="14.25" customHeight="1" x14ac:dyDescent="0.35">
      <c r="B146" s="546" t="s">
        <v>95</v>
      </c>
      <c r="C146" s="545"/>
      <c r="D146" s="875" t="s">
        <v>95</v>
      </c>
      <c r="E146" s="876" t="s">
        <v>95</v>
      </c>
      <c r="F146" s="877" t="s">
        <v>24</v>
      </c>
      <c r="G146" s="877" t="s">
        <v>95</v>
      </c>
      <c r="H146" s="877" t="s">
        <v>95</v>
      </c>
      <c r="I146" s="877">
        <v>1.0919999999999999E-2</v>
      </c>
      <c r="J146" s="877" t="s">
        <v>95</v>
      </c>
      <c r="K146" s="877">
        <v>1.0919999999999999E-2</v>
      </c>
      <c r="L146" s="877" t="s">
        <v>95</v>
      </c>
      <c r="M146" s="877">
        <v>1.0919999999999999E-2</v>
      </c>
      <c r="N146" s="877" t="s">
        <v>95</v>
      </c>
      <c r="O146" s="877">
        <v>1.336E-2</v>
      </c>
      <c r="P146" s="877" t="s">
        <v>95</v>
      </c>
      <c r="Q146" s="877">
        <v>1.133E-2</v>
      </c>
      <c r="R146" s="879">
        <f>SUM(R140:R145)</f>
        <v>5.5858436572007583E-3</v>
      </c>
      <c r="S146" s="879">
        <f>SUM(S140:S145)</f>
        <v>6.7218420841858159E-3</v>
      </c>
      <c r="T146" s="879">
        <f>SUM(T140:T145)</f>
        <v>8.6861423646786007E-3</v>
      </c>
      <c r="U146" s="879">
        <f>SUM(U141:U145)</f>
        <v>7.464995160404787E-3</v>
      </c>
      <c r="V146" s="879">
        <f t="shared" ref="V146:BQ146" si="114">SUM(V140:V145)</f>
        <v>8.3535253234621708E-3</v>
      </c>
      <c r="W146" s="879">
        <f t="shared" si="114"/>
        <v>8.4521155941779686E-3</v>
      </c>
      <c r="X146" s="879">
        <f t="shared" si="114"/>
        <v>7.9129296349361219E-3</v>
      </c>
      <c r="Y146" s="879">
        <f t="shared" si="114"/>
        <v>7.5985104416089111E-3</v>
      </c>
      <c r="Z146" s="879">
        <f t="shared" si="114"/>
        <v>7.9842095898920058E-3</v>
      </c>
      <c r="AA146" s="879">
        <f t="shared" si="114"/>
        <v>7.686234717472794E-3</v>
      </c>
      <c r="AB146" s="879">
        <f t="shared" si="114"/>
        <v>7.0136086619583676E-3</v>
      </c>
      <c r="AC146" s="879">
        <f t="shared" si="114"/>
        <v>7.1253448060957332E-3</v>
      </c>
      <c r="AD146" s="879">
        <f t="shared" si="114"/>
        <v>7.5540277464871755E-3</v>
      </c>
      <c r="AE146" s="879">
        <f t="shared" si="114"/>
        <v>6.9893270436475743E-3</v>
      </c>
      <c r="AF146" s="879">
        <f t="shared" si="114"/>
        <v>7.2285536961641606E-3</v>
      </c>
      <c r="AG146" s="879">
        <f t="shared" si="114"/>
        <v>6.8167544559410232E-3</v>
      </c>
      <c r="AH146" s="879">
        <f t="shared" si="114"/>
        <v>6.8186151052620882E-3</v>
      </c>
      <c r="AI146" s="879">
        <f t="shared" si="114"/>
        <v>6.9678530162336182E-3</v>
      </c>
      <c r="AJ146" s="879">
        <f t="shared" si="114"/>
        <v>6.818710332332327E-3</v>
      </c>
      <c r="AK146" s="879">
        <f t="shared" si="114"/>
        <v>6.9218558448315834E-3</v>
      </c>
      <c r="AL146" s="879">
        <f t="shared" si="114"/>
        <v>7.1502737139209193E-3</v>
      </c>
      <c r="AM146" s="879">
        <f t="shared" si="114"/>
        <v>7.0356058964131316E-3</v>
      </c>
      <c r="AN146" s="879">
        <f t="shared" si="114"/>
        <v>7.1550781148758706E-3</v>
      </c>
      <c r="AO146" s="879">
        <f t="shared" si="114"/>
        <v>7.1881095689404631E-3</v>
      </c>
      <c r="AP146" s="879">
        <f t="shared" si="114"/>
        <v>6.9251147679075626E-3</v>
      </c>
      <c r="AQ146" s="879">
        <f t="shared" si="114"/>
        <v>7.3250808280931326E-3</v>
      </c>
      <c r="AR146" s="879">
        <f t="shared" si="114"/>
        <v>7.1499993384043972E-3</v>
      </c>
      <c r="AS146" s="879">
        <f t="shared" si="114"/>
        <v>7.5220501463962308E-3</v>
      </c>
      <c r="AT146" s="879">
        <f t="shared" si="114"/>
        <v>7.2269028017160255E-3</v>
      </c>
      <c r="AU146" s="879">
        <f t="shared" si="114"/>
        <v>7.1935999609421134E-3</v>
      </c>
      <c r="AV146" s="879">
        <f t="shared" si="114"/>
        <v>7.2389124437558985E-3</v>
      </c>
      <c r="AW146" s="879">
        <f t="shared" si="114"/>
        <v>7.2020554204821766E-3</v>
      </c>
      <c r="AX146" s="879">
        <f t="shared" si="114"/>
        <v>6.9374290754084826E-3</v>
      </c>
      <c r="AY146" s="879">
        <f t="shared" si="114"/>
        <v>6.9521401166479889E-3</v>
      </c>
      <c r="AZ146" s="879">
        <f t="shared" si="114"/>
        <v>6.9573491345726107E-3</v>
      </c>
      <c r="BA146" s="879">
        <f t="shared" si="114"/>
        <v>6.9733130718299353E-3</v>
      </c>
      <c r="BB146" s="879">
        <f t="shared" si="114"/>
        <v>6.9832038840301402E-3</v>
      </c>
      <c r="BC146" s="879">
        <f t="shared" si="114"/>
        <v>6.9777127461827558E-3</v>
      </c>
      <c r="BD146" s="879">
        <f t="shared" si="114"/>
        <v>6.979919631750881E-3</v>
      </c>
      <c r="BE146" s="879">
        <f t="shared" si="114"/>
        <v>6.9737862407294095E-3</v>
      </c>
      <c r="BF146" s="879">
        <f t="shared" si="114"/>
        <v>6.9648414378334156E-3</v>
      </c>
      <c r="BG146" s="879">
        <f t="shared" si="114"/>
        <v>6.9737421763714736E-3</v>
      </c>
      <c r="BH146" s="879">
        <f t="shared" si="114"/>
        <v>6.9550201506066358E-3</v>
      </c>
      <c r="BI146" s="879">
        <f t="shared" si="114"/>
        <v>6.947265292972145E-3</v>
      </c>
      <c r="BJ146" s="879">
        <f t="shared" si="114"/>
        <v>6.9126569480660038E-3</v>
      </c>
      <c r="BK146" s="879">
        <f t="shared" si="114"/>
        <v>6.8963675058730124E-3</v>
      </c>
      <c r="BL146" s="879">
        <f t="shared" si="114"/>
        <v>6.8812090887228634E-3</v>
      </c>
      <c r="BM146" s="879">
        <f t="shared" si="114"/>
        <v>6.8617183155712125E-3</v>
      </c>
      <c r="BN146" s="879">
        <f t="shared" si="114"/>
        <v>6.8433685351989232E-3</v>
      </c>
      <c r="BO146" s="879">
        <f t="shared" si="114"/>
        <v>6.8422214130422314E-3</v>
      </c>
      <c r="BP146" s="879">
        <f t="shared" si="114"/>
        <v>6.8398802770449291E-3</v>
      </c>
      <c r="BQ146" s="879">
        <f t="shared" si="114"/>
        <v>6.8369198109497625E-3</v>
      </c>
      <c r="BR146" s="614"/>
    </row>
    <row r="147" spans="2:70" ht="14.25" customHeight="1" x14ac:dyDescent="0.35">
      <c r="B147" s="546" t="s">
        <v>95</v>
      </c>
      <c r="C147" s="545"/>
      <c r="D147" s="875" t="s">
        <v>95</v>
      </c>
      <c r="E147" s="876" t="s">
        <v>95</v>
      </c>
      <c r="F147" s="876" t="s">
        <v>95</v>
      </c>
      <c r="G147" s="876" t="s">
        <v>95</v>
      </c>
      <c r="H147" s="876" t="s">
        <v>95</v>
      </c>
      <c r="I147" s="876" t="s">
        <v>95</v>
      </c>
      <c r="J147" s="876" t="s">
        <v>95</v>
      </c>
      <c r="K147" s="876" t="s">
        <v>95</v>
      </c>
      <c r="L147" s="876" t="s">
        <v>95</v>
      </c>
      <c r="M147" s="876" t="s">
        <v>95</v>
      </c>
      <c r="N147" s="876" t="s">
        <v>95</v>
      </c>
      <c r="O147" s="876" t="s">
        <v>95</v>
      </c>
      <c r="P147" s="876" t="s">
        <v>95</v>
      </c>
      <c r="Q147" s="876" t="s">
        <v>95</v>
      </c>
      <c r="R147" s="876" t="s">
        <v>95</v>
      </c>
      <c r="S147" s="876" t="s">
        <v>95</v>
      </c>
      <c r="T147" s="876" t="s">
        <v>95</v>
      </c>
      <c r="U147" s="876" t="s">
        <v>95</v>
      </c>
      <c r="V147" s="876" t="s">
        <v>95</v>
      </c>
      <c r="W147" s="876" t="s">
        <v>95</v>
      </c>
      <c r="X147" s="876" t="s">
        <v>95</v>
      </c>
      <c r="Y147" s="876" t="s">
        <v>95</v>
      </c>
      <c r="Z147" s="876" t="s">
        <v>95</v>
      </c>
      <c r="AA147" s="876" t="s">
        <v>95</v>
      </c>
      <c r="AB147" s="876" t="s">
        <v>95</v>
      </c>
      <c r="AC147" s="876" t="s">
        <v>95</v>
      </c>
      <c r="AD147" s="876" t="s">
        <v>95</v>
      </c>
      <c r="AE147" s="876" t="s">
        <v>95</v>
      </c>
      <c r="AF147" s="876" t="s">
        <v>95</v>
      </c>
      <c r="AG147" s="876" t="s">
        <v>95</v>
      </c>
      <c r="AH147" s="876" t="s">
        <v>95</v>
      </c>
      <c r="AI147" s="876" t="s">
        <v>95</v>
      </c>
      <c r="AJ147" s="876" t="s">
        <v>95</v>
      </c>
      <c r="AK147" s="876" t="s">
        <v>95</v>
      </c>
      <c r="AL147" s="876" t="s">
        <v>95</v>
      </c>
      <c r="AM147" s="876" t="s">
        <v>95</v>
      </c>
      <c r="AN147" s="876" t="s">
        <v>95</v>
      </c>
      <c r="AO147" s="876" t="s">
        <v>95</v>
      </c>
      <c r="AP147" s="876" t="s">
        <v>95</v>
      </c>
      <c r="AQ147" s="876" t="s">
        <v>95</v>
      </c>
      <c r="AR147" s="876" t="s">
        <v>95</v>
      </c>
      <c r="AS147" s="876" t="s">
        <v>95</v>
      </c>
      <c r="AT147" s="876" t="s">
        <v>95</v>
      </c>
      <c r="AU147" s="876" t="s">
        <v>95</v>
      </c>
      <c r="AV147" s="876" t="s">
        <v>95</v>
      </c>
      <c r="AW147" s="876" t="s">
        <v>95</v>
      </c>
      <c r="AX147" s="876" t="s">
        <v>95</v>
      </c>
      <c r="AY147" s="876"/>
      <c r="AZ147" s="876"/>
      <c r="BA147" s="876"/>
      <c r="BB147" s="876"/>
      <c r="BC147" s="876"/>
      <c r="BD147" s="876"/>
      <c r="BE147" s="876"/>
      <c r="BF147" s="876"/>
      <c r="BG147" s="876"/>
      <c r="BH147" s="876"/>
      <c r="BI147" s="876"/>
      <c r="BJ147" s="876"/>
      <c r="BK147" s="876"/>
      <c r="BL147" s="876"/>
      <c r="BM147" s="876"/>
      <c r="BN147" s="876"/>
      <c r="BO147" s="876"/>
      <c r="BP147" s="876"/>
      <c r="BQ147" s="876"/>
      <c r="BR147" s="614"/>
    </row>
    <row r="148" spans="2:70" ht="14.25" customHeight="1" x14ac:dyDescent="0.35">
      <c r="B148" s="957"/>
      <c r="C148" s="552"/>
      <c r="D148" s="565"/>
      <c r="E148" s="550" t="s">
        <v>147</v>
      </c>
      <c r="F148" s="631" t="s">
        <v>109</v>
      </c>
      <c r="G148" s="549"/>
      <c r="H148" s="549"/>
      <c r="I148" s="549"/>
      <c r="J148" s="549"/>
      <c r="K148" s="549"/>
      <c r="L148" s="549"/>
      <c r="M148" s="549"/>
      <c r="N148" s="549"/>
      <c r="O148" s="549"/>
      <c r="P148" s="549"/>
      <c r="Q148" s="549"/>
      <c r="R148" s="881"/>
      <c r="S148" s="881"/>
      <c r="T148" s="881"/>
      <c r="U148" s="881"/>
      <c r="V148" s="881"/>
      <c r="W148" s="881"/>
      <c r="X148" s="881"/>
      <c r="Y148" s="881"/>
      <c r="Z148" s="881"/>
      <c r="AA148" s="881"/>
      <c r="AB148" s="881"/>
      <c r="AC148" s="881"/>
      <c r="AD148" s="881"/>
      <c r="AE148" s="881"/>
      <c r="AF148" s="881"/>
      <c r="AG148" s="881"/>
      <c r="AH148" s="881"/>
      <c r="AI148" s="881"/>
      <c r="AJ148" s="881"/>
      <c r="AK148" s="881"/>
      <c r="AL148" s="881"/>
      <c r="AM148" s="881"/>
      <c r="AN148" s="879"/>
      <c r="AO148" s="879"/>
      <c r="AP148" s="879"/>
      <c r="AQ148" s="879"/>
      <c r="AR148" s="879"/>
      <c r="AS148" s="879"/>
      <c r="AT148" s="879"/>
      <c r="AU148" s="879"/>
      <c r="AV148" s="879"/>
      <c r="AW148" s="879"/>
      <c r="AX148" s="879"/>
      <c r="AY148" s="879"/>
      <c r="AZ148" s="879"/>
      <c r="BA148" s="879"/>
      <c r="BB148" s="879"/>
      <c r="BC148" s="879"/>
      <c r="BD148" s="879"/>
      <c r="BE148" s="879"/>
      <c r="BF148" s="879"/>
      <c r="BG148" s="879"/>
      <c r="BH148" s="879"/>
      <c r="BI148" s="879"/>
      <c r="BJ148" s="879"/>
      <c r="BK148" s="879"/>
      <c r="BL148" s="879"/>
      <c r="BM148" s="879"/>
      <c r="BN148" s="879"/>
      <c r="BO148" s="879"/>
      <c r="BP148" s="879"/>
      <c r="BQ148" s="879"/>
      <c r="BR148" s="614"/>
    </row>
    <row r="149" spans="2:70" ht="14.25" customHeight="1" x14ac:dyDescent="0.35">
      <c r="B149" s="1151" t="s">
        <v>140</v>
      </c>
      <c r="C149" s="547">
        <v>7.0000000000000001E-3</v>
      </c>
      <c r="D149" s="1152" t="s">
        <v>99</v>
      </c>
      <c r="E149" s="1153"/>
      <c r="F149" s="872" t="s">
        <v>81</v>
      </c>
      <c r="G149" s="872" t="s">
        <v>95</v>
      </c>
      <c r="H149" s="872" t="s">
        <v>95</v>
      </c>
      <c r="I149" s="872">
        <v>0</v>
      </c>
      <c r="J149" s="872" t="s">
        <v>95</v>
      </c>
      <c r="K149" s="872">
        <v>6.6E-4</v>
      </c>
      <c r="L149" s="872"/>
      <c r="M149" s="872">
        <v>6.6E-4</v>
      </c>
      <c r="N149" s="872"/>
      <c r="O149" s="872">
        <v>3.5000000000000005E-4</v>
      </c>
      <c r="P149" s="872"/>
      <c r="Q149" s="872">
        <v>5.6000000000000017E-4</v>
      </c>
      <c r="R149" s="872">
        <f>(R66)*$C$149</f>
        <v>6.5700282532500155E-4</v>
      </c>
      <c r="S149" s="872">
        <f>(S66)*$C$149</f>
        <v>6.8013983682164894E-4</v>
      </c>
      <c r="T149" s="872">
        <f>(T66)*$C$149</f>
        <v>6.7497077406179968E-4</v>
      </c>
      <c r="U149" s="872">
        <f t="shared" ref="U149:BQ149" si="115">(U66)*$C$149</f>
        <v>6.6984099617893556E-4</v>
      </c>
      <c r="V149" s="872">
        <f t="shared" si="115"/>
        <v>6.647502046079677E-4</v>
      </c>
      <c r="W149" s="872">
        <f t="shared" si="115"/>
        <v>6.5969810305295344E-4</v>
      </c>
      <c r="X149" s="872">
        <f t="shared" si="115"/>
        <v>6.546843974697509E-4</v>
      </c>
      <c r="Y149" s="872">
        <f t="shared" si="115"/>
        <v>6.497087960489836E-4</v>
      </c>
      <c r="Z149" s="872">
        <f t="shared" si="115"/>
        <v>6.4477100919900466E-4</v>
      </c>
      <c r="AA149" s="872">
        <f t="shared" si="115"/>
        <v>6.3987074952909847E-4</v>
      </c>
      <c r="AB149" s="872">
        <f t="shared" si="115"/>
        <v>6.3500773183266905E-4</v>
      </c>
      <c r="AC149" s="872">
        <f t="shared" si="115"/>
        <v>6.3018167307075143E-4</v>
      </c>
      <c r="AD149" s="872">
        <f t="shared" si="115"/>
        <v>6.2539229235541245E-4</v>
      </c>
      <c r="AE149" s="872">
        <f t="shared" si="115"/>
        <v>6.2063931093351069E-4</v>
      </c>
      <c r="AF149" s="872">
        <f t="shared" si="115"/>
        <v>6.1592245217040721E-4</v>
      </c>
      <c r="AG149" s="872">
        <f t="shared" si="115"/>
        <v>6.1124144153391316E-4</v>
      </c>
      <c r="AH149" s="872">
        <f t="shared" si="115"/>
        <v>6.065960065782612E-4</v>
      </c>
      <c r="AI149" s="872">
        <f t="shared" si="115"/>
        <v>6.0198587692826425E-4</v>
      </c>
      <c r="AJ149" s="872">
        <f t="shared" si="115"/>
        <v>5.9741078426361048E-4</v>
      </c>
      <c r="AK149" s="872">
        <f t="shared" si="115"/>
        <v>5.9287046230320863E-4</v>
      </c>
      <c r="AL149" s="872">
        <f t="shared" si="115"/>
        <v>5.8836464678970661E-4</v>
      </c>
      <c r="AM149" s="872">
        <f t="shared" si="115"/>
        <v>5.8389307547409783E-4</v>
      </c>
      <c r="AN149" s="872">
        <f t="shared" si="115"/>
        <v>5.7945548810050163E-4</v>
      </c>
      <c r="AO149" s="872">
        <f t="shared" si="115"/>
        <v>5.7505162639093048E-4</v>
      </c>
      <c r="AP149" s="872">
        <f t="shared" si="115"/>
        <v>5.7068123403035648E-4</v>
      </c>
      <c r="AQ149" s="872">
        <f t="shared" si="115"/>
        <v>5.6634405665172767E-4</v>
      </c>
      <c r="AR149" s="872">
        <f t="shared" si="115"/>
        <v>5.620398418211838E-4</v>
      </c>
      <c r="AS149" s="872">
        <f t="shared" si="115"/>
        <v>5.5776833902333321E-4</v>
      </c>
      <c r="AT149" s="872">
        <f t="shared" si="115"/>
        <v>5.5352929964675465E-4</v>
      </c>
      <c r="AU149" s="872">
        <f t="shared" si="115"/>
        <v>5.4932247696944895E-4</v>
      </c>
      <c r="AV149" s="872">
        <f t="shared" si="115"/>
        <v>5.4514762614447682E-4</v>
      </c>
      <c r="AW149" s="872">
        <f t="shared" si="115"/>
        <v>5.4100450418578382E-4</v>
      </c>
      <c r="AX149" s="872">
        <f t="shared" si="115"/>
        <v>5.36892869953963E-4</v>
      </c>
      <c r="AY149" s="872">
        <f t="shared" si="115"/>
        <v>5.3281248414231545E-4</v>
      </c>
      <c r="AZ149" s="872">
        <f t="shared" si="115"/>
        <v>5.2876310926283665E-4</v>
      </c>
      <c r="BA149" s="872">
        <f t="shared" si="115"/>
        <v>5.247445096324395E-4</v>
      </c>
      <c r="BB149" s="872">
        <f t="shared" si="115"/>
        <v>5.2075645135922597E-4</v>
      </c>
      <c r="BC149" s="872">
        <f t="shared" si="115"/>
        <v>5.1679870232889692E-4</v>
      </c>
      <c r="BD149" s="872">
        <f t="shared" si="115"/>
        <v>5.1287103219119776E-4</v>
      </c>
      <c r="BE149" s="872">
        <f t="shared" si="115"/>
        <v>5.0897321234655204E-4</v>
      </c>
      <c r="BF149" s="872">
        <f t="shared" si="115"/>
        <v>5.0510501593271863E-4</v>
      </c>
      <c r="BG149" s="872">
        <f t="shared" si="115"/>
        <v>5.0126621781162409E-4</v>
      </c>
      <c r="BH149" s="872">
        <f t="shared" si="115"/>
        <v>4.974565945562564E-4</v>
      </c>
      <c r="BI149" s="872">
        <f t="shared" si="115"/>
        <v>4.936759244376336E-4</v>
      </c>
      <c r="BJ149" s="872">
        <f t="shared" si="115"/>
        <v>4.8992398741190969E-4</v>
      </c>
      <c r="BK149" s="872">
        <f t="shared" si="115"/>
        <v>4.8620056510757873E-4</v>
      </c>
      <c r="BL149" s="872">
        <f t="shared" si="115"/>
        <v>4.8250544081275494E-4</v>
      </c>
      <c r="BM149" s="872">
        <f t="shared" si="115"/>
        <v>4.7883839946257645E-4</v>
      </c>
      <c r="BN149" s="872">
        <f t="shared" si="115"/>
        <v>4.7519922762665878E-4</v>
      </c>
      <c r="BO149" s="872">
        <f t="shared" si="115"/>
        <v>4.7158771349669769E-4</v>
      </c>
      <c r="BP149" s="872">
        <f t="shared" si="115"/>
        <v>4.680036468741218E-4</v>
      </c>
      <c r="BQ149" s="872">
        <f t="shared" si="115"/>
        <v>4.644468191578817E-4</v>
      </c>
      <c r="BR149" s="614"/>
    </row>
    <row r="150" spans="2:70" ht="14.25" customHeight="1" x14ac:dyDescent="0.35">
      <c r="B150" s="1151"/>
      <c r="C150" s="547">
        <v>1.35E-2</v>
      </c>
      <c r="D150" s="1152" t="s">
        <v>101</v>
      </c>
      <c r="E150" s="1153"/>
      <c r="F150" s="872" t="s">
        <v>81</v>
      </c>
      <c r="G150" s="872" t="s">
        <v>95</v>
      </c>
      <c r="H150" s="872" t="s">
        <v>95</v>
      </c>
      <c r="I150" s="872">
        <v>2.0000000000000002E-5</v>
      </c>
      <c r="J150" s="872" t="s">
        <v>95</v>
      </c>
      <c r="K150" s="872">
        <v>2.0000000000000002E-5</v>
      </c>
      <c r="L150" s="872" t="s">
        <v>95</v>
      </c>
      <c r="M150" s="872">
        <v>2.0000000000000002E-5</v>
      </c>
      <c r="N150" s="872" t="s">
        <v>95</v>
      </c>
      <c r="O150" s="872">
        <v>6.9999999999999994E-5</v>
      </c>
      <c r="P150" s="872" t="s">
        <v>95</v>
      </c>
      <c r="Q150" s="872">
        <v>1.8000000000000001E-4</v>
      </c>
      <c r="R150" s="882">
        <f t="shared" ref="R150:T150" si="116">(R70-Q70)*$C$150</f>
        <v>1.9936331417599874E-9</v>
      </c>
      <c r="S150" s="882">
        <f t="shared" si="116"/>
        <v>-1.2825707126749991E-6</v>
      </c>
      <c r="T150" s="882">
        <f t="shared" si="116"/>
        <v>6.969764787489105E-7</v>
      </c>
      <c r="U150" s="882">
        <f>(U70-T70)*$C$150</f>
        <v>4.4451518698786914E-7</v>
      </c>
      <c r="V150" s="882">
        <f t="shared" ref="V150:BQ150" si="117">(V70-U70)*$C$150</f>
        <v>5.105070884717441E-7</v>
      </c>
      <c r="W150" s="882">
        <f t="shared" si="117"/>
        <v>4.9419227000235823E-7</v>
      </c>
      <c r="X150" s="882">
        <f t="shared" si="117"/>
        <v>4.4490647491499114E-7</v>
      </c>
      <c r="Y150" s="882">
        <f t="shared" si="117"/>
        <v>3.790967330463829E-7</v>
      </c>
      <c r="Z150" s="882">
        <f t="shared" si="117"/>
        <v>5.2505805766355636E-7</v>
      </c>
      <c r="AA150" s="882">
        <f t="shared" si="117"/>
        <v>4.6937676578840541E-7</v>
      </c>
      <c r="AB150" s="882">
        <f t="shared" si="117"/>
        <v>3.622528355829435E-7</v>
      </c>
      <c r="AC150" s="882">
        <f t="shared" si="117"/>
        <v>3.9303281795695365E-7</v>
      </c>
      <c r="AD150" s="882">
        <f t="shared" si="117"/>
        <v>5.2280929136594431E-7</v>
      </c>
      <c r="AE150" s="882">
        <f t="shared" si="117"/>
        <v>4.0725387871619334E-7</v>
      </c>
      <c r="AF150" s="882">
        <f t="shared" si="117"/>
        <v>4.7746397395567048E-7</v>
      </c>
      <c r="AG150" s="882">
        <f t="shared" si="117"/>
        <v>3.9092021193383453E-7</v>
      </c>
      <c r="AH150" s="882">
        <f t="shared" si="117"/>
        <v>3.9064931281782012E-7</v>
      </c>
      <c r="AI150" s="882">
        <f t="shared" si="117"/>
        <v>4.2202975119118997E-7</v>
      </c>
      <c r="AJ150" s="882">
        <f t="shared" si="117"/>
        <v>3.7508330089607716E-7</v>
      </c>
      <c r="AK150" s="882">
        <f t="shared" si="117"/>
        <v>3.873328645471255E-7</v>
      </c>
      <c r="AL150" s="882">
        <f t="shared" si="117"/>
        <v>4.1692563705952865E-7</v>
      </c>
      <c r="AM150" s="882">
        <f t="shared" si="117"/>
        <v>3.7573794150386199E-7</v>
      </c>
      <c r="AN150" s="882">
        <f t="shared" si="117"/>
        <v>3.7766152127127058E-7</v>
      </c>
      <c r="AO150" s="882">
        <f t="shared" si="117"/>
        <v>3.6873107582462843E-7</v>
      </c>
      <c r="AP150" s="882">
        <f t="shared" si="117"/>
        <v>2.8955667588548286E-7</v>
      </c>
      <c r="AQ150" s="882">
        <f t="shared" si="117"/>
        <v>3.6284344072417402E-7</v>
      </c>
      <c r="AR150" s="882">
        <f t="shared" si="117"/>
        <v>3.0785053544674786E-7</v>
      </c>
      <c r="AS150" s="882">
        <f t="shared" si="117"/>
        <v>3.7863968954521265E-7</v>
      </c>
      <c r="AT150" s="882">
        <f t="shared" si="117"/>
        <v>3.0532097923100657E-7</v>
      </c>
      <c r="AU150" s="882">
        <f t="shared" si="117"/>
        <v>2.9691931106844844E-7</v>
      </c>
      <c r="AV150" s="882">
        <f t="shared" si="117"/>
        <v>3.0249558499168689E-7</v>
      </c>
      <c r="AW150" s="882">
        <f t="shared" si="117"/>
        <v>2.9934770250682197E-7</v>
      </c>
      <c r="AX150" s="882">
        <f t="shared" si="117"/>
        <v>3.3387554855236757E-7</v>
      </c>
      <c r="AY150" s="882">
        <f t="shared" si="117"/>
        <v>2.982084010456493E-7</v>
      </c>
      <c r="AZ150" s="882">
        <f t="shared" si="117"/>
        <v>2.9314428295278137E-7</v>
      </c>
      <c r="BA150" s="882">
        <f t="shared" si="117"/>
        <v>2.9736435861351522E-7</v>
      </c>
      <c r="BB150" s="882">
        <f t="shared" si="117"/>
        <v>2.9490209767556173E-7</v>
      </c>
      <c r="BC150" s="882">
        <f t="shared" si="117"/>
        <v>2.9779934532610243E-7</v>
      </c>
      <c r="BD150" s="882">
        <f t="shared" si="117"/>
        <v>2.8342685462440232E-7</v>
      </c>
      <c r="BE150" s="882">
        <f t="shared" si="117"/>
        <v>2.8139440144701876E-7</v>
      </c>
      <c r="BF150" s="882">
        <f t="shared" si="117"/>
        <v>2.7927697539221335E-7</v>
      </c>
      <c r="BG150" s="882">
        <f t="shared" si="117"/>
        <v>2.7593564314164211E-7</v>
      </c>
      <c r="BH150" s="882">
        <f t="shared" si="117"/>
        <v>2.7153728571705644E-7</v>
      </c>
      <c r="BI150" s="882">
        <f t="shared" si="117"/>
        <v>2.6797607274966359E-7</v>
      </c>
      <c r="BJ150" s="882">
        <f t="shared" si="117"/>
        <v>2.647801961112098E-7</v>
      </c>
      <c r="BK150" s="882">
        <f t="shared" si="117"/>
        <v>2.6170770606288862E-7</v>
      </c>
      <c r="BL150" s="882">
        <f t="shared" si="117"/>
        <v>2.5797503085690094E-7</v>
      </c>
      <c r="BM150" s="882">
        <f t="shared" si="117"/>
        <v>2.5428641796683417E-7</v>
      </c>
      <c r="BN150" s="882">
        <f t="shared" si="117"/>
        <v>2.5035085401672873E-7</v>
      </c>
      <c r="BO150" s="882">
        <f t="shared" si="117"/>
        <v>2.4700877804719604E-7</v>
      </c>
      <c r="BP150" s="882">
        <f t="shared" si="117"/>
        <v>2.4356347215717664E-7</v>
      </c>
      <c r="BQ150" s="882">
        <f t="shared" si="117"/>
        <v>2.4003128530186016E-7</v>
      </c>
      <c r="BR150" s="614"/>
    </row>
    <row r="151" spans="2:70" ht="14.25" customHeight="1" x14ac:dyDescent="0.35">
      <c r="B151" s="1151"/>
      <c r="C151" s="547">
        <v>0.29187999999999997</v>
      </c>
      <c r="D151" s="1152" t="s">
        <v>106</v>
      </c>
      <c r="E151" s="1153"/>
      <c r="F151" s="872" t="s">
        <v>81</v>
      </c>
      <c r="G151" s="872" t="s">
        <v>95</v>
      </c>
      <c r="H151" s="872" t="s">
        <v>95</v>
      </c>
      <c r="I151" s="872">
        <v>9.6900000000000007E-3</v>
      </c>
      <c r="J151" s="872" t="s">
        <v>95</v>
      </c>
      <c r="K151" s="872">
        <v>9.6900000000000007E-3</v>
      </c>
      <c r="L151" s="872" t="s">
        <v>95</v>
      </c>
      <c r="M151" s="872">
        <v>9.6900000000000007E-3</v>
      </c>
      <c r="N151" s="872" t="s">
        <v>95</v>
      </c>
      <c r="O151" s="872">
        <v>2.32E-3</v>
      </c>
      <c r="P151" s="872" t="s">
        <v>95</v>
      </c>
      <c r="Q151" s="872">
        <v>1.422E-2</v>
      </c>
      <c r="R151" s="882">
        <f>(R72-Q72)*$C$151</f>
        <v>6.2290568130031884E-3</v>
      </c>
      <c r="S151" s="882">
        <f t="shared" ref="S151" si="118">(S72-R72)*$C$151</f>
        <v>1.3846278536490215E-3</v>
      </c>
      <c r="T151" s="882">
        <f>(T72-S72)*$C$151</f>
        <v>1.3128980013877351E-2</v>
      </c>
      <c r="U151" s="882">
        <f>(U72-T72)*$C$151</f>
        <v>1.3505360543874696E-2</v>
      </c>
      <c r="V151" s="882">
        <f t="shared" ref="V151:BQ151" si="119">(V72-U72)*$C$151</f>
        <v>1.1670804342610175E-2</v>
      </c>
      <c r="W151" s="882">
        <f t="shared" si="119"/>
        <v>1.248154978696958E-2</v>
      </c>
      <c r="X151" s="882">
        <f t="shared" si="119"/>
        <v>9.5667825824121717E-3</v>
      </c>
      <c r="Y151" s="882">
        <f t="shared" si="119"/>
        <v>7.9599587557391775E-3</v>
      </c>
      <c r="Z151" s="882">
        <f t="shared" si="119"/>
        <v>1.0441220433680428E-2</v>
      </c>
      <c r="AA151" s="882">
        <f t="shared" si="119"/>
        <v>8.9249062212879132E-3</v>
      </c>
      <c r="AB151" s="882">
        <f t="shared" si="119"/>
        <v>5.2185030372532996E-3</v>
      </c>
      <c r="AC151" s="882">
        <f t="shared" si="119"/>
        <v>6.0895050427817185E-3</v>
      </c>
      <c r="AD151" s="882">
        <f t="shared" si="119"/>
        <v>8.8097118420880759E-3</v>
      </c>
      <c r="AE151" s="882">
        <f t="shared" si="119"/>
        <v>5.7239118699612861E-3</v>
      </c>
      <c r="AF151" s="882">
        <f t="shared" si="119"/>
        <v>7.3311417428900214E-3</v>
      </c>
      <c r="AG151" s="882">
        <f t="shared" si="119"/>
        <v>5.1327643545550378E-3</v>
      </c>
      <c r="AH151" s="882">
        <f t="shared" si="119"/>
        <v>5.3476573223761826E-3</v>
      </c>
      <c r="AI151" s="882">
        <f t="shared" si="119"/>
        <v>6.4208285892811672E-3</v>
      </c>
      <c r="AJ151" s="882">
        <f t="shared" si="119"/>
        <v>5.7478841146358381E-3</v>
      </c>
      <c r="AK151" s="882">
        <f t="shared" si="119"/>
        <v>6.5462419661923262E-3</v>
      </c>
      <c r="AL151" s="882">
        <f t="shared" si="119"/>
        <v>8.073403046237276E-3</v>
      </c>
      <c r="AM151" s="882">
        <f t="shared" si="119"/>
        <v>7.5941350056262348E-3</v>
      </c>
      <c r="AN151" s="882">
        <f t="shared" si="119"/>
        <v>8.4801548802903286E-3</v>
      </c>
      <c r="AO151" s="882">
        <f t="shared" si="119"/>
        <v>8.8590744114183037E-3</v>
      </c>
      <c r="AP151" s="882">
        <f t="shared" si="119"/>
        <v>7.506165172863088E-3</v>
      </c>
      <c r="AQ151" s="882">
        <f t="shared" si="119"/>
        <v>1.0023711391327152E-2</v>
      </c>
      <c r="AR151" s="882">
        <f t="shared" si="119"/>
        <v>9.1797123290919946E-3</v>
      </c>
      <c r="AS151" s="882">
        <f t="shared" si="119"/>
        <v>1.1529563840555493E-2</v>
      </c>
      <c r="AT151" s="882">
        <f t="shared" si="119"/>
        <v>9.9803802606092968E-3</v>
      </c>
      <c r="AU151" s="882">
        <f t="shared" si="119"/>
        <v>9.9581832687306963E-3</v>
      </c>
      <c r="AV151" s="882">
        <f t="shared" si="119"/>
        <v>1.0393325742784338E-2</v>
      </c>
      <c r="AW151" s="882">
        <f t="shared" si="119"/>
        <v>1.034696914404591E-2</v>
      </c>
      <c r="AX151" s="882">
        <f t="shared" si="119"/>
        <v>8.9696277193790207E-3</v>
      </c>
      <c r="AY151" s="882">
        <f t="shared" si="119"/>
        <v>9.2187005598296512E-3</v>
      </c>
      <c r="AZ151" s="882">
        <f t="shared" si="119"/>
        <v>9.4105838595999556E-3</v>
      </c>
      <c r="BA151" s="882">
        <f t="shared" si="119"/>
        <v>9.6630708571203931E-3</v>
      </c>
      <c r="BB151" s="882">
        <f t="shared" si="119"/>
        <v>9.8776260702187636E-3</v>
      </c>
      <c r="BC151" s="882">
        <f t="shared" si="119"/>
        <v>1.0000201437354497E-2</v>
      </c>
      <c r="BD151" s="882">
        <f t="shared" si="119"/>
        <v>1.0165039421465592E-2</v>
      </c>
      <c r="BE151" s="882">
        <f t="shared" si="119"/>
        <v>1.027919381711504E-2</v>
      </c>
      <c r="BF151" s="882">
        <f t="shared" si="119"/>
        <v>1.0374690982679746E-2</v>
      </c>
      <c r="BG151" s="882">
        <f t="shared" si="119"/>
        <v>1.0572094047795459E-2</v>
      </c>
      <c r="BH151" s="882">
        <f t="shared" si="119"/>
        <v>1.0606058798601239E-2</v>
      </c>
      <c r="BI151" s="882">
        <f t="shared" si="119"/>
        <v>1.0701878589029852E-2</v>
      </c>
      <c r="BJ151" s="882">
        <f t="shared" si="119"/>
        <v>1.0638830882275076E-2</v>
      </c>
      <c r="BK151" s="882">
        <f t="shared" si="119"/>
        <v>1.0680581574824849E-2</v>
      </c>
      <c r="BL151" s="882">
        <f t="shared" si="119"/>
        <v>1.0726823571095875E-2</v>
      </c>
      <c r="BM151" s="882">
        <f t="shared" si="119"/>
        <v>1.0745711101141218E-2</v>
      </c>
      <c r="BN151" s="882">
        <f t="shared" si="119"/>
        <v>1.0769208608372563E-2</v>
      </c>
      <c r="BO151" s="882">
        <f t="shared" si="119"/>
        <v>1.0891102924165064E-2</v>
      </c>
      <c r="BP151" s="882">
        <f t="shared" si="119"/>
        <v>1.1004034151164306E-2</v>
      </c>
      <c r="BQ151" s="882">
        <f t="shared" si="119"/>
        <v>1.1111382790217257E-2</v>
      </c>
      <c r="BR151" s="614"/>
    </row>
    <row r="152" spans="2:70" s="932" customFormat="1" ht="14.25" customHeight="1" x14ac:dyDescent="0.35">
      <c r="B152" s="1151"/>
      <c r="C152" s="929">
        <v>0.15187999999999999</v>
      </c>
      <c r="D152" s="1154" t="s">
        <v>146</v>
      </c>
      <c r="E152" s="1155"/>
      <c r="F152" s="930" t="s">
        <v>81</v>
      </c>
      <c r="G152" s="930"/>
      <c r="H152" s="930"/>
      <c r="I152" s="930"/>
      <c r="J152" s="930"/>
      <c r="K152" s="930"/>
      <c r="L152" s="930"/>
      <c r="M152" s="930"/>
      <c r="N152" s="930"/>
      <c r="O152" s="930"/>
      <c r="P152" s="930"/>
      <c r="Q152" s="930"/>
      <c r="R152" s="935">
        <f t="shared" ref="R152:T152" si="120">(R75-Q75)*$C$152</f>
        <v>5.8006255086190247E-3</v>
      </c>
      <c r="S152" s="935">
        <f t="shared" si="120"/>
        <v>1.4024251283309058E-2</v>
      </c>
      <c r="T152" s="935">
        <f t="shared" si="120"/>
        <v>7.786913407510909E-3</v>
      </c>
      <c r="U152" s="935">
        <f>(U75-T75)*$C$152</f>
        <v>7.4849767685326429E-3</v>
      </c>
      <c r="V152" s="935">
        <f t="shared" ref="V152:BQ152" si="121">(V75-U75)*$C$152</f>
        <v>8.3335872329037049E-3</v>
      </c>
      <c r="W152" s="935">
        <f t="shared" si="121"/>
        <v>7.8077829360448303E-3</v>
      </c>
      <c r="X152" s="935">
        <f t="shared" si="121"/>
        <v>9.2218132648669345E-3</v>
      </c>
      <c r="Y152" s="935">
        <f t="shared" si="121"/>
        <v>9.956874549708233E-3</v>
      </c>
      <c r="Z152" s="935">
        <f t="shared" si="121"/>
        <v>8.5633012792555776E-3</v>
      </c>
      <c r="AA152" s="935">
        <f t="shared" si="121"/>
        <v>9.2533124707584007E-3</v>
      </c>
      <c r="AB152" s="935">
        <f t="shared" si="121"/>
        <v>1.1084350371394309E-2</v>
      </c>
      <c r="AC152" s="935">
        <f t="shared" si="121"/>
        <v>1.0533360661373475E-2</v>
      </c>
      <c r="AD152" s="935">
        <f t="shared" si="121"/>
        <v>9.0200593001363051E-3</v>
      </c>
      <c r="AE152" s="935">
        <f t="shared" si="121"/>
        <v>1.0531796169477187E-2</v>
      </c>
      <c r="AF152" s="935">
        <f t="shared" si="121"/>
        <v>9.6005937616730347E-3</v>
      </c>
      <c r="AG152" s="935">
        <f t="shared" si="121"/>
        <v>1.0652345112202208E-2</v>
      </c>
      <c r="AH152" s="935">
        <f t="shared" si="121"/>
        <v>1.0448474971794165E-2</v>
      </c>
      <c r="AI152" s="935">
        <f t="shared" si="121"/>
        <v>9.7985749084859367E-3</v>
      </c>
      <c r="AJ152" s="935">
        <f t="shared" si="121"/>
        <v>1.0059281271326834E-2</v>
      </c>
      <c r="AK152" s="935">
        <f t="shared" si="121"/>
        <v>9.554594408440812E-3</v>
      </c>
      <c r="AL152" s="935">
        <f t="shared" si="121"/>
        <v>8.6714870599797246E-3</v>
      </c>
      <c r="AM152" s="935">
        <f t="shared" si="121"/>
        <v>8.8341280870611206E-3</v>
      </c>
      <c r="AN152" s="935">
        <f t="shared" si="121"/>
        <v>8.2865911409756073E-3</v>
      </c>
      <c r="AO152" s="935">
        <f t="shared" si="121"/>
        <v>8.0038730845356457E-3</v>
      </c>
      <c r="AP152" s="935">
        <f t="shared" si="121"/>
        <v>8.6240419203126549E-3</v>
      </c>
      <c r="AQ152" s="935">
        <f t="shared" si="121"/>
        <v>7.229216159319111E-3</v>
      </c>
      <c r="AR152" s="935">
        <f t="shared" si="121"/>
        <v>7.585942762752069E-3</v>
      </c>
      <c r="AS152" s="935">
        <f t="shared" si="121"/>
        <v>6.2800478645470602E-3</v>
      </c>
      <c r="AT152" s="935">
        <f t="shared" si="121"/>
        <v>7.0052183098750029E-3</v>
      </c>
      <c r="AU152" s="935">
        <f t="shared" si="121"/>
        <v>6.9360546614337711E-3</v>
      </c>
      <c r="AV152" s="935">
        <f t="shared" si="121"/>
        <v>6.6292874866665198E-3</v>
      </c>
      <c r="AW152" s="935">
        <f t="shared" si="121"/>
        <v>6.5736663840870561E-3</v>
      </c>
      <c r="AX152" s="935">
        <f t="shared" si="121"/>
        <v>7.2110540261925296E-3</v>
      </c>
      <c r="AY152" s="935">
        <f t="shared" si="121"/>
        <v>7.0037663133738718E-3</v>
      </c>
      <c r="AZ152" s="935">
        <f t="shared" si="121"/>
        <v>6.8267210254550209E-3</v>
      </c>
      <c r="BA152" s="935">
        <f t="shared" si="121"/>
        <v>6.6188511379791475E-3</v>
      </c>
      <c r="BB152" s="935">
        <f t="shared" si="121"/>
        <v>6.4315960284678075E-3</v>
      </c>
      <c r="BC152" s="935">
        <f t="shared" si="121"/>
        <v>6.2929306991989327E-3</v>
      </c>
      <c r="BD152" s="935">
        <f t="shared" si="121"/>
        <v>6.1332428877905838E-3</v>
      </c>
      <c r="BE152" s="935">
        <f t="shared" si="121"/>
        <v>6.0005502467364363E-3</v>
      </c>
      <c r="BF152" s="935">
        <f t="shared" si="121"/>
        <v>5.8783135779108759E-3</v>
      </c>
      <c r="BG152" s="935">
        <f t="shared" si="121"/>
        <v>5.7037963566944757E-3</v>
      </c>
      <c r="BH152" s="935">
        <f t="shared" si="121"/>
        <v>5.6150544111634804E-3</v>
      </c>
      <c r="BI152" s="935">
        <f t="shared" si="121"/>
        <v>5.4948203183623756E-3</v>
      </c>
      <c r="BJ152" s="935">
        <f t="shared" si="121"/>
        <v>5.4579378684635688E-3</v>
      </c>
      <c r="BK152" s="935">
        <f t="shared" si="121"/>
        <v>5.3671962091693098E-3</v>
      </c>
      <c r="BL152" s="935">
        <f t="shared" si="121"/>
        <v>5.2747841064301948E-3</v>
      </c>
      <c r="BM152" s="935">
        <f t="shared" si="121"/>
        <v>5.1972495671797382E-3</v>
      </c>
      <c r="BN152" s="935">
        <f t="shared" si="121"/>
        <v>5.1179479957221569E-3</v>
      </c>
      <c r="BO152" s="935">
        <f t="shared" si="121"/>
        <v>4.9880526449101311E-3</v>
      </c>
      <c r="BP152" s="935">
        <f t="shared" si="121"/>
        <v>4.8634208479845275E-3</v>
      </c>
      <c r="BQ152" s="935">
        <f t="shared" si="121"/>
        <v>4.7422779889240369E-3</v>
      </c>
      <c r="BR152" s="926"/>
    </row>
    <row r="153" spans="2:70" s="932" customFormat="1" ht="14.25" customHeight="1" x14ac:dyDescent="0.35">
      <c r="B153" s="1151"/>
      <c r="C153" s="929">
        <v>1.47E-2</v>
      </c>
      <c r="D153" s="1156" t="s">
        <v>102</v>
      </c>
      <c r="E153" s="1157"/>
      <c r="F153" s="930" t="s">
        <v>81</v>
      </c>
      <c r="G153" s="930" t="s">
        <v>95</v>
      </c>
      <c r="H153" s="930" t="s">
        <v>95</v>
      </c>
      <c r="I153" s="930">
        <v>6.0999999999999997E-4</v>
      </c>
      <c r="J153" s="930" t="s">
        <v>95</v>
      </c>
      <c r="K153" s="930">
        <v>6.0999999999999997E-4</v>
      </c>
      <c r="L153" s="930" t="s">
        <v>95</v>
      </c>
      <c r="M153" s="930">
        <v>6.0999999999999997E-4</v>
      </c>
      <c r="N153" s="930" t="s">
        <v>95</v>
      </c>
      <c r="O153" s="930">
        <v>3.5E-4</v>
      </c>
      <c r="P153" s="930" t="s">
        <v>95</v>
      </c>
      <c r="Q153" s="930">
        <v>2.7999999999999998E-4</v>
      </c>
      <c r="R153" s="935">
        <f t="shared" ref="R153:T153" si="122">(R77-Q77)*$C$153</f>
        <v>-9.9628808999997664E-5</v>
      </c>
      <c r="S153" s="935">
        <f t="shared" si="122"/>
        <v>-1.0423769999999938E-4</v>
      </c>
      <c r="T153" s="935">
        <f t="shared" si="122"/>
        <v>-1.0423769999999938E-4</v>
      </c>
      <c r="U153" s="935">
        <f>(U77-T77)*$C$153</f>
        <v>-1.0423769999999938E-4</v>
      </c>
      <c r="V153" s="935">
        <f t="shared" ref="V153:BQ153" si="123">(V77-U77)*$C$153</f>
        <v>-1.0423769999999938E-4</v>
      </c>
      <c r="W153" s="935">
        <f t="shared" si="123"/>
        <v>-1.0423770000000592E-4</v>
      </c>
      <c r="X153" s="935">
        <f t="shared" si="123"/>
        <v>-1.0423769999999938E-4</v>
      </c>
      <c r="Y153" s="935">
        <f t="shared" si="123"/>
        <v>-1.0423769999999938E-4</v>
      </c>
      <c r="Z153" s="935">
        <f t="shared" si="123"/>
        <v>-1.0423769999999938E-4</v>
      </c>
      <c r="AA153" s="935">
        <f t="shared" si="123"/>
        <v>-1.0423769999999938E-4</v>
      </c>
      <c r="AB153" s="935">
        <f t="shared" si="123"/>
        <v>-1.0423769999999938E-4</v>
      </c>
      <c r="AC153" s="935">
        <f t="shared" si="123"/>
        <v>-1.0423769999999938E-4</v>
      </c>
      <c r="AD153" s="935">
        <f t="shared" si="123"/>
        <v>-1.0423769999999938E-4</v>
      </c>
      <c r="AE153" s="935">
        <f t="shared" si="123"/>
        <v>-1.0423769999999938E-4</v>
      </c>
      <c r="AF153" s="935">
        <f t="shared" si="123"/>
        <v>-1.0423769999999938E-4</v>
      </c>
      <c r="AG153" s="935">
        <f t="shared" si="123"/>
        <v>-1.0423769999999938E-4</v>
      </c>
      <c r="AH153" s="935">
        <f t="shared" si="123"/>
        <v>-1.0423770000000592E-4</v>
      </c>
      <c r="AI153" s="935">
        <f t="shared" si="123"/>
        <v>-1.0423769999999938E-4</v>
      </c>
      <c r="AJ153" s="935">
        <f t="shared" si="123"/>
        <v>-1.0423769999999938E-4</v>
      </c>
      <c r="AK153" s="935">
        <f t="shared" si="123"/>
        <v>-1.0423769999999938E-4</v>
      </c>
      <c r="AL153" s="935">
        <f t="shared" si="123"/>
        <v>-1.0423769999999938E-4</v>
      </c>
      <c r="AM153" s="935">
        <f t="shared" si="123"/>
        <v>-1.0423769999999938E-4</v>
      </c>
      <c r="AN153" s="935">
        <f t="shared" si="123"/>
        <v>-1.0423769999999938E-4</v>
      </c>
      <c r="AO153" s="935">
        <f t="shared" si="123"/>
        <v>-1.0423769999999938E-4</v>
      </c>
      <c r="AP153" s="935">
        <f t="shared" si="123"/>
        <v>-1.0423769999999938E-4</v>
      </c>
      <c r="AQ153" s="935">
        <f t="shared" si="123"/>
        <v>-1.0423769999999938E-4</v>
      </c>
      <c r="AR153" s="935">
        <f t="shared" si="123"/>
        <v>-1.0423769999999938E-4</v>
      </c>
      <c r="AS153" s="935">
        <f t="shared" si="123"/>
        <v>-1.0423770000000592E-4</v>
      </c>
      <c r="AT153" s="935">
        <f t="shared" si="123"/>
        <v>-1.0423769999999938E-4</v>
      </c>
      <c r="AU153" s="935">
        <f t="shared" si="123"/>
        <v>-1.0423769999999938E-4</v>
      </c>
      <c r="AV153" s="935">
        <f t="shared" si="123"/>
        <v>-1.0423769999999938E-4</v>
      </c>
      <c r="AW153" s="935">
        <f t="shared" si="123"/>
        <v>-1.0423769999999938E-4</v>
      </c>
      <c r="AX153" s="935">
        <f t="shared" si="123"/>
        <v>-1.0423769999999938E-4</v>
      </c>
      <c r="AY153" s="935">
        <f t="shared" si="123"/>
        <v>-1.0423769999999938E-4</v>
      </c>
      <c r="AZ153" s="935">
        <f t="shared" si="123"/>
        <v>-1.0423769999999938E-4</v>
      </c>
      <c r="BA153" s="935">
        <f t="shared" si="123"/>
        <v>-1.0423769999999938E-4</v>
      </c>
      <c r="BB153" s="935">
        <f t="shared" si="123"/>
        <v>-1.0423769999999938E-4</v>
      </c>
      <c r="BC153" s="935">
        <f t="shared" si="123"/>
        <v>-1.0423770000000592E-4</v>
      </c>
      <c r="BD153" s="935">
        <f t="shared" si="123"/>
        <v>-1.0423769999999938E-4</v>
      </c>
      <c r="BE153" s="935">
        <f t="shared" si="123"/>
        <v>-1.0423769999999938E-4</v>
      </c>
      <c r="BF153" s="935">
        <f t="shared" si="123"/>
        <v>-1.0423769999999938E-4</v>
      </c>
      <c r="BG153" s="935">
        <f t="shared" si="123"/>
        <v>-1.0423769999999938E-4</v>
      </c>
      <c r="BH153" s="935">
        <f t="shared" si="123"/>
        <v>-1.0423769999999938E-4</v>
      </c>
      <c r="BI153" s="935">
        <f t="shared" si="123"/>
        <v>-1.0423769999999938E-4</v>
      </c>
      <c r="BJ153" s="935">
        <f t="shared" si="123"/>
        <v>-1.0423769999999938E-4</v>
      </c>
      <c r="BK153" s="935">
        <f t="shared" si="123"/>
        <v>-1.0423769999999938E-4</v>
      </c>
      <c r="BL153" s="935">
        <f t="shared" si="123"/>
        <v>-1.0423769999999938E-4</v>
      </c>
      <c r="BM153" s="935">
        <f t="shared" si="123"/>
        <v>-1.0423769999999938E-4</v>
      </c>
      <c r="BN153" s="935">
        <f t="shared" si="123"/>
        <v>-1.0423770000000592E-4</v>
      </c>
      <c r="BO153" s="935">
        <f t="shared" si="123"/>
        <v>-1.0423769999999938E-4</v>
      </c>
      <c r="BP153" s="935">
        <f t="shared" si="123"/>
        <v>-1.0423769999999938E-4</v>
      </c>
      <c r="BQ153" s="935">
        <f t="shared" si="123"/>
        <v>-1.0423769999999938E-4</v>
      </c>
      <c r="BR153" s="926"/>
    </row>
    <row r="154" spans="2:70" ht="14.25" customHeight="1" x14ac:dyDescent="0.35">
      <c r="B154" s="1151"/>
      <c r="C154" s="547">
        <v>3.6299999999999999E-2</v>
      </c>
      <c r="D154" s="1152" t="s">
        <v>103</v>
      </c>
      <c r="E154" s="1153"/>
      <c r="F154" s="872" t="s">
        <v>81</v>
      </c>
      <c r="G154" s="872" t="s">
        <v>95</v>
      </c>
      <c r="H154" s="872" t="s">
        <v>95</v>
      </c>
      <c r="I154" s="872">
        <v>2.7999999999999998E-4</v>
      </c>
      <c r="J154" s="872" t="s">
        <v>95</v>
      </c>
      <c r="K154" s="872">
        <v>2.7999999999999998E-4</v>
      </c>
      <c r="L154" s="872" t="s">
        <v>95</v>
      </c>
      <c r="M154" s="872">
        <v>2.7999999999999998E-4</v>
      </c>
      <c r="N154" s="872" t="s">
        <v>95</v>
      </c>
      <c r="O154" s="872">
        <v>2.5000000000000001E-4</v>
      </c>
      <c r="P154" s="872" t="s">
        <v>95</v>
      </c>
      <c r="Q154" s="872">
        <v>4.4000000000000002E-4</v>
      </c>
      <c r="R154" s="882">
        <f t="shared" ref="R154:T154" si="124">(R79-Q79)*$C$154</f>
        <v>-2.4646141299780183E-5</v>
      </c>
      <c r="S154" s="882">
        <f t="shared" si="124"/>
        <v>-2.4612129624787403E-5</v>
      </c>
      <c r="T154" s="882">
        <f t="shared" si="124"/>
        <v>-2.4578164885905657E-5</v>
      </c>
      <c r="U154" s="882">
        <f>(U79-T79)*$C$154</f>
        <v>-2.4544247018363017E-5</v>
      </c>
      <c r="V154" s="882">
        <f t="shared" ref="V154:BQ154" si="125">(V79-U79)*$C$154</f>
        <v>-2.4510375957476231E-5</v>
      </c>
      <c r="W154" s="882">
        <f t="shared" si="125"/>
        <v>-2.4476551638654729E-5</v>
      </c>
      <c r="X154" s="882">
        <f t="shared" si="125"/>
        <v>-2.4442773997394596E-5</v>
      </c>
      <c r="Y154" s="882">
        <f t="shared" si="125"/>
        <v>-2.4409042969278553E-5</v>
      </c>
      <c r="Z154" s="882">
        <f t="shared" si="125"/>
        <v>-2.4375358489980014E-5</v>
      </c>
      <c r="AA154" s="882">
        <f t="shared" si="125"/>
        <v>-2.4341720495265073E-5</v>
      </c>
      <c r="AB154" s="882">
        <f t="shared" si="125"/>
        <v>-2.430812892098043E-5</v>
      </c>
      <c r="AC154" s="882">
        <f t="shared" si="125"/>
        <v>-2.4274583703069513E-5</v>
      </c>
      <c r="AD154" s="882">
        <f t="shared" si="125"/>
        <v>-2.4241084777560372E-5</v>
      </c>
      <c r="AE154" s="882">
        <f t="shared" si="125"/>
        <v>-2.4207632080565697E-5</v>
      </c>
      <c r="AF154" s="882">
        <f t="shared" si="125"/>
        <v>-2.4174225548294901E-5</v>
      </c>
      <c r="AG154" s="882">
        <f t="shared" si="125"/>
        <v>-2.4140865117037997E-5</v>
      </c>
      <c r="AH154" s="882">
        <f t="shared" si="125"/>
        <v>-2.4107550723177685E-5</v>
      </c>
      <c r="AI154" s="882">
        <f t="shared" si="125"/>
        <v>-2.4074282303179291E-5</v>
      </c>
      <c r="AJ154" s="882">
        <f t="shared" si="125"/>
        <v>-2.4041059793600825E-5</v>
      </c>
      <c r="AK154" s="882">
        <f t="shared" si="125"/>
        <v>-2.4007883131084943E-5</v>
      </c>
      <c r="AL154" s="882">
        <f t="shared" si="125"/>
        <v>-2.3974752252364967E-5</v>
      </c>
      <c r="AM154" s="882">
        <f t="shared" si="125"/>
        <v>-2.3941667094256835E-5</v>
      </c>
      <c r="AN154" s="882">
        <f t="shared" si="125"/>
        <v>-2.3908627593667169E-5</v>
      </c>
      <c r="AO154" s="882">
        <f t="shared" si="125"/>
        <v>-2.387563368758722E-5</v>
      </c>
      <c r="AP154" s="882">
        <f t="shared" si="125"/>
        <v>-2.3842685313098919E-5</v>
      </c>
      <c r="AQ154" s="882">
        <f t="shared" si="125"/>
        <v>-2.3809782407366812E-5</v>
      </c>
      <c r="AR154" s="882">
        <f t="shared" si="125"/>
        <v>-2.3776924907644109E-5</v>
      </c>
      <c r="AS154" s="882">
        <f t="shared" si="125"/>
        <v>-2.3744112751270663E-5</v>
      </c>
      <c r="AT154" s="882">
        <f t="shared" si="125"/>
        <v>-2.3711345875674995E-5</v>
      </c>
      <c r="AU154" s="882">
        <f t="shared" si="125"/>
        <v>-2.3678624218366222E-5</v>
      </c>
      <c r="AV154" s="882">
        <f t="shared" si="125"/>
        <v>-2.3645947716944149E-5</v>
      </c>
      <c r="AW154" s="882">
        <f t="shared" si="125"/>
        <v>-2.3613316309095218E-5</v>
      </c>
      <c r="AX154" s="882">
        <f t="shared" si="125"/>
        <v>-2.3580729932588488E-5</v>
      </c>
      <c r="AY154" s="882">
        <f t="shared" si="125"/>
        <v>-2.3548188525281692E-5</v>
      </c>
      <c r="AZ154" s="882">
        <f t="shared" si="125"/>
        <v>-2.3515692025117184E-5</v>
      </c>
      <c r="BA154" s="882">
        <f t="shared" si="125"/>
        <v>-2.3483240370121955E-5</v>
      </c>
      <c r="BB154" s="882">
        <f t="shared" si="125"/>
        <v>-2.3450833498411655E-5</v>
      </c>
      <c r="BC154" s="882">
        <f t="shared" si="125"/>
        <v>-2.3418471348184555E-5</v>
      </c>
      <c r="BD154" s="882">
        <f t="shared" si="125"/>
        <v>-2.3386153857723558E-5</v>
      </c>
      <c r="BE154" s="882">
        <f t="shared" si="125"/>
        <v>-2.3353880965400224E-5</v>
      </c>
      <c r="BF154" s="882">
        <f t="shared" si="125"/>
        <v>-2.3321652609666725E-5</v>
      </c>
      <c r="BG154" s="882">
        <f t="shared" si="125"/>
        <v>-2.3289468729065903E-5</v>
      </c>
      <c r="BH154" s="882">
        <f t="shared" si="125"/>
        <v>-2.3257329262219189E-5</v>
      </c>
      <c r="BI154" s="882">
        <f t="shared" si="125"/>
        <v>-2.322523414783869E-5</v>
      </c>
      <c r="BJ154" s="882">
        <f t="shared" si="125"/>
        <v>-2.3193183324715105E-5</v>
      </c>
      <c r="BK154" s="882">
        <f t="shared" si="125"/>
        <v>-2.3161176731725775E-5</v>
      </c>
      <c r="BL154" s="882">
        <f t="shared" si="125"/>
        <v>-2.3129214307836703E-5</v>
      </c>
      <c r="BM154" s="882">
        <f t="shared" si="125"/>
        <v>-2.309729599209047E-5</v>
      </c>
      <c r="BN154" s="882">
        <f t="shared" si="125"/>
        <v>-2.3065421723622346E-5</v>
      </c>
      <c r="BO154" s="882">
        <f t="shared" si="125"/>
        <v>-2.3033591441644173E-5</v>
      </c>
      <c r="BP154" s="882">
        <f t="shared" si="125"/>
        <v>-2.3001805085454441E-5</v>
      </c>
      <c r="BQ154" s="882">
        <f t="shared" si="125"/>
        <v>-2.2970062594436269E-5</v>
      </c>
      <c r="BR154" s="614"/>
    </row>
    <row r="155" spans="2:70" ht="14.25" customHeight="1" x14ac:dyDescent="0.35">
      <c r="B155" s="1151"/>
      <c r="C155" s="547">
        <v>0.10150000000000001</v>
      </c>
      <c r="D155" s="1152" t="s">
        <v>57</v>
      </c>
      <c r="E155" s="1153"/>
      <c r="F155" s="872" t="s">
        <v>81</v>
      </c>
      <c r="G155" s="872" t="s">
        <v>95</v>
      </c>
      <c r="H155" s="872" t="s">
        <v>95</v>
      </c>
      <c r="I155" s="872">
        <v>2.2000000000000001E-4</v>
      </c>
      <c r="J155" s="872" t="s">
        <v>95</v>
      </c>
      <c r="K155" s="872">
        <v>2.2000000000000001E-4</v>
      </c>
      <c r="L155" s="872" t="s">
        <v>95</v>
      </c>
      <c r="M155" s="872">
        <v>2.2000000000000001E-4</v>
      </c>
      <c r="N155" s="872" t="s">
        <v>95</v>
      </c>
      <c r="O155" s="872">
        <v>1.2E-4</v>
      </c>
      <c r="P155" s="872" t="s">
        <v>95</v>
      </c>
      <c r="Q155" s="872">
        <v>7.5000000000000002E-4</v>
      </c>
      <c r="R155" s="882">
        <f t="shared" ref="R155:T155" si="126">(R84-Q84)*$C$155</f>
        <v>1.3818963219594039E-4</v>
      </c>
      <c r="S155" s="882">
        <f t="shared" si="126"/>
        <v>1.3992221279387571E-4</v>
      </c>
      <c r="T155" s="882">
        <f t="shared" si="126"/>
        <v>1.4167651597317052E-4</v>
      </c>
      <c r="U155" s="882">
        <f>(U84-T84)*$C$155</f>
        <v>1.4330407180360974E-4</v>
      </c>
      <c r="V155" s="882">
        <f t="shared" ref="V155:BQ155" si="127">(V84-U84)*$C$155</f>
        <v>1.4509891277460007E-4</v>
      </c>
      <c r="W155" s="882">
        <f t="shared" si="127"/>
        <v>1.4691623359609676E-4</v>
      </c>
      <c r="X155" s="882">
        <f t="shared" si="127"/>
        <v>1.4875631582155838E-4</v>
      </c>
      <c r="Y155" s="882">
        <f t="shared" si="127"/>
        <v>1.5061944453081155E-4</v>
      </c>
      <c r="Z155" s="882">
        <f t="shared" si="127"/>
        <v>1.5250590837422728E-4</v>
      </c>
      <c r="AA155" s="882">
        <f t="shared" si="127"/>
        <v>1.5441599961743543E-4</v>
      </c>
      <c r="AB155" s="882">
        <f t="shared" si="127"/>
        <v>1.5635001418660825E-4</v>
      </c>
      <c r="AC155" s="882">
        <f t="shared" si="127"/>
        <v>1.5830825171430171E-4</v>
      </c>
      <c r="AD155" s="882">
        <f t="shared" si="127"/>
        <v>1.6029101558588275E-4</v>
      </c>
      <c r="AE155" s="882">
        <f t="shared" si="127"/>
        <v>1.6229861298653144E-4</v>
      </c>
      <c r="AF155" s="882">
        <f t="shared" si="127"/>
        <v>1.6433135494882877E-4</v>
      </c>
      <c r="AG155" s="882">
        <f t="shared" si="127"/>
        <v>1.6638955640094772E-4</v>
      </c>
      <c r="AH155" s="882">
        <f t="shared" si="127"/>
        <v>1.6847353621543836E-4</v>
      </c>
      <c r="AI155" s="882">
        <f t="shared" si="127"/>
        <v>1.7058361725864717E-4</v>
      </c>
      <c r="AJ155" s="882">
        <f t="shared" si="127"/>
        <v>1.7272012644071083E-4</v>
      </c>
      <c r="AK155" s="882">
        <f t="shared" si="127"/>
        <v>1.7488339476622906E-4</v>
      </c>
      <c r="AL155" s="882">
        <f t="shared" si="127"/>
        <v>1.7707375738553184E-4</v>
      </c>
      <c r="AM155" s="882">
        <f t="shared" si="127"/>
        <v>1.7929155364660593E-4</v>
      </c>
      <c r="AN155" s="882">
        <f t="shared" si="127"/>
        <v>1.815371271476748E-4</v>
      </c>
      <c r="AO155" s="882">
        <f t="shared" si="127"/>
        <v>1.8381082579042675E-4</v>
      </c>
      <c r="AP155" s="882">
        <f t="shared" si="127"/>
        <v>1.8611300183391343E-4</v>
      </c>
      <c r="AQ155" s="882">
        <f t="shared" si="127"/>
        <v>1.8844401194912711E-4</v>
      </c>
      <c r="AR155" s="882">
        <f t="shared" si="127"/>
        <v>1.9080421727426006E-4</v>
      </c>
      <c r="AS155" s="882">
        <f t="shared" si="127"/>
        <v>1.9319398347065388E-4</v>
      </c>
      <c r="AT155" s="882">
        <f t="shared" si="127"/>
        <v>1.9561368077944475E-4</v>
      </c>
      <c r="AU155" s="882">
        <f t="shared" si="127"/>
        <v>1.9806368407893559E-4</v>
      </c>
      <c r="AV155" s="882">
        <f t="shared" si="127"/>
        <v>2.0054437294266388E-4</v>
      </c>
      <c r="AW155" s="882">
        <f t="shared" si="127"/>
        <v>2.0305613169821629E-4</v>
      </c>
      <c r="AX155" s="882">
        <f t="shared" si="127"/>
        <v>2.0559934948676989E-4</v>
      </c>
      <c r="AY155" s="882">
        <f t="shared" si="127"/>
        <v>2.0817442032337169E-4</v>
      </c>
      <c r="AZ155" s="882">
        <f t="shared" si="127"/>
        <v>2.1078174315800123E-4</v>
      </c>
      <c r="BA155" s="882">
        <f t="shared" si="127"/>
        <v>2.1342172193735705E-4</v>
      </c>
      <c r="BB155" s="882">
        <f t="shared" si="127"/>
        <v>2.160947656674578E-4</v>
      </c>
      <c r="BC155" s="882">
        <f t="shared" si="127"/>
        <v>2.1880128847699776E-4</v>
      </c>
      <c r="BD155" s="882">
        <f t="shared" si="127"/>
        <v>2.2154170968151412E-4</v>
      </c>
      <c r="BE155" s="882">
        <f t="shared" si="127"/>
        <v>2.2431645384834301E-4</v>
      </c>
      <c r="BF155" s="882">
        <f t="shared" si="127"/>
        <v>2.2712595086239788E-4</v>
      </c>
      <c r="BG155" s="882">
        <f t="shared" si="127"/>
        <v>2.2997063599278233E-4</v>
      </c>
      <c r="BH155" s="882">
        <f t="shared" si="127"/>
        <v>2.3285094996020508E-4</v>
      </c>
      <c r="BI155" s="882">
        <f t="shared" si="127"/>
        <v>2.3576733900528024E-4</v>
      </c>
      <c r="BJ155" s="882">
        <f t="shared" si="127"/>
        <v>2.3872025495764982E-4</v>
      </c>
      <c r="BK155" s="882">
        <f t="shared" si="127"/>
        <v>2.4171015530598247E-4</v>
      </c>
      <c r="BL155" s="882">
        <f t="shared" si="127"/>
        <v>2.4473750326886801E-4</v>
      </c>
      <c r="BM155" s="882">
        <f t="shared" si="127"/>
        <v>2.478027678665602E-4</v>
      </c>
      <c r="BN155" s="882">
        <f t="shared" si="127"/>
        <v>2.5090642399366284E-4</v>
      </c>
      <c r="BO155" s="882">
        <f t="shared" si="127"/>
        <v>2.5404895249268411E-4</v>
      </c>
      <c r="BP155" s="882">
        <f t="shared" si="127"/>
        <v>2.5723084022854814E-4</v>
      </c>
      <c r="BQ155" s="882">
        <f t="shared" si="127"/>
        <v>2.6045258016401426E-4</v>
      </c>
      <c r="BR155" s="614"/>
    </row>
    <row r="156" spans="2:70" ht="14.25" customHeight="1" x14ac:dyDescent="0.35">
      <c r="B156" s="546" t="s">
        <v>95</v>
      </c>
      <c r="C156" s="545"/>
      <c r="D156" s="875" t="s">
        <v>95</v>
      </c>
      <c r="E156" s="876" t="s">
        <v>95</v>
      </c>
      <c r="F156" s="877" t="s">
        <v>24</v>
      </c>
      <c r="G156" s="877" t="s">
        <v>95</v>
      </c>
      <c r="H156" s="877" t="s">
        <v>95</v>
      </c>
      <c r="I156" s="877">
        <v>1.15E-2</v>
      </c>
      <c r="J156" s="877" t="s">
        <v>95</v>
      </c>
      <c r="K156" s="877">
        <v>1.15E-2</v>
      </c>
      <c r="L156" s="877" t="s">
        <v>95</v>
      </c>
      <c r="M156" s="877">
        <v>1.15E-2</v>
      </c>
      <c r="N156" s="877" t="s">
        <v>95</v>
      </c>
      <c r="O156" s="877">
        <v>3.46E-3</v>
      </c>
      <c r="P156" s="877" t="s">
        <v>95</v>
      </c>
      <c r="Q156" s="877">
        <v>1.6420000000000001E-2</v>
      </c>
      <c r="R156" s="880">
        <f t="shared" ref="R156:BQ156" si="128">SUM(R149:R155)</f>
        <v>1.2700601822476518E-2</v>
      </c>
      <c r="S156" s="880">
        <f t="shared" si="128"/>
        <v>1.6098808786236145E-2</v>
      </c>
      <c r="T156" s="880">
        <f t="shared" si="128"/>
        <v>2.1604421823016078E-2</v>
      </c>
      <c r="U156" s="880">
        <f t="shared" si="128"/>
        <v>2.167514494855851E-2</v>
      </c>
      <c r="V156" s="880">
        <f t="shared" si="128"/>
        <v>2.0686003124027443E-2</v>
      </c>
      <c r="W156" s="880">
        <f t="shared" si="128"/>
        <v>2.0967727000294804E-2</v>
      </c>
      <c r="X156" s="880">
        <f t="shared" si="128"/>
        <v>1.9463800993047939E-2</v>
      </c>
      <c r="Y156" s="880">
        <f t="shared" si="128"/>
        <v>1.8588893899790977E-2</v>
      </c>
      <c r="Z156" s="880">
        <f t="shared" si="128"/>
        <v>1.9673710630076922E-2</v>
      </c>
      <c r="AA156" s="880">
        <f t="shared" si="128"/>
        <v>1.8844395397463371E-2</v>
      </c>
      <c r="AB156" s="880">
        <f t="shared" si="128"/>
        <v>1.6966027578581493E-2</v>
      </c>
      <c r="AC156" s="880">
        <f t="shared" si="128"/>
        <v>1.7283236378055136E-2</v>
      </c>
      <c r="AD156" s="880">
        <f t="shared" si="128"/>
        <v>1.8487498474679481E-2</v>
      </c>
      <c r="AE156" s="880">
        <f t="shared" si="128"/>
        <v>1.6910607885156664E-2</v>
      </c>
      <c r="AF156" s="880">
        <f t="shared" si="128"/>
        <v>1.7584054850107955E-2</v>
      </c>
      <c r="AG156" s="880">
        <f t="shared" si="128"/>
        <v>1.6434752819787003E-2</v>
      </c>
      <c r="AH156" s="880">
        <f t="shared" si="128"/>
        <v>1.6443247235553682E-2</v>
      </c>
      <c r="AI156" s="880">
        <f t="shared" si="128"/>
        <v>1.6864083039402025E-2</v>
      </c>
      <c r="AJ156" s="880">
        <f t="shared" si="128"/>
        <v>1.6449392620174291E-2</v>
      </c>
      <c r="AK156" s="880">
        <f t="shared" si="128"/>
        <v>1.6740731981436038E-2</v>
      </c>
      <c r="AL156" s="880">
        <f t="shared" si="128"/>
        <v>1.7382532983776938E-2</v>
      </c>
      <c r="AM156" s="880">
        <f t="shared" si="128"/>
        <v>1.7063644092655306E-2</v>
      </c>
      <c r="AN156" s="880">
        <f t="shared" si="128"/>
        <v>1.7399969970441714E-2</v>
      </c>
      <c r="AO156" s="880">
        <f t="shared" si="128"/>
        <v>1.7494065345523543E-2</v>
      </c>
      <c r="AP156" s="880">
        <f t="shared" si="128"/>
        <v>1.6759210500402803E-2</v>
      </c>
      <c r="AQ156" s="880">
        <f t="shared" si="128"/>
        <v>1.7880030980280476E-2</v>
      </c>
      <c r="AR156" s="880">
        <f t="shared" si="128"/>
        <v>1.7390792376567311E-2</v>
      </c>
      <c r="AS156" s="880">
        <f t="shared" si="128"/>
        <v>1.8432970854534811E-2</v>
      </c>
      <c r="AT156" s="880">
        <f t="shared" si="128"/>
        <v>1.7607097826014058E-2</v>
      </c>
      <c r="AU156" s="880">
        <f t="shared" si="128"/>
        <v>1.751400468630555E-2</v>
      </c>
      <c r="AV156" s="880">
        <f t="shared" si="128"/>
        <v>1.7640724076406045E-2</v>
      </c>
      <c r="AW156" s="880">
        <f t="shared" si="128"/>
        <v>1.7537144495410377E-2</v>
      </c>
      <c r="AX156" s="880">
        <f t="shared" si="128"/>
        <v>1.6795689410628249E-2</v>
      </c>
      <c r="AY156" s="880">
        <f t="shared" si="128"/>
        <v>1.6835966097544976E-2</v>
      </c>
      <c r="AZ156" s="880">
        <f t="shared" si="128"/>
        <v>1.6849389489733652E-2</v>
      </c>
      <c r="BA156" s="880">
        <f t="shared" si="128"/>
        <v>1.6892664650657828E-2</v>
      </c>
      <c r="BB156" s="880">
        <f t="shared" si="128"/>
        <v>1.6918679684312522E-2</v>
      </c>
      <c r="BC156" s="880">
        <f t="shared" si="128"/>
        <v>1.6901373755356459E-2</v>
      </c>
      <c r="BD156" s="880">
        <f t="shared" si="128"/>
        <v>1.690535462412579E-2</v>
      </c>
      <c r="BE156" s="880">
        <f t="shared" si="128"/>
        <v>1.6885723543482417E-2</v>
      </c>
      <c r="BF156" s="880">
        <f t="shared" si="128"/>
        <v>1.6857955451751463E-2</v>
      </c>
      <c r="BG156" s="880">
        <f t="shared" si="128"/>
        <v>1.6879876025208417E-2</v>
      </c>
      <c r="BH156" s="880">
        <f t="shared" si="128"/>
        <v>1.6824197262304677E-2</v>
      </c>
      <c r="BI156" s="880">
        <f t="shared" si="128"/>
        <v>1.6798947212760054E-2</v>
      </c>
      <c r="BJ156" s="880">
        <f t="shared" si="128"/>
        <v>1.6698246889979604E-2</v>
      </c>
      <c r="BK156" s="880">
        <f t="shared" si="128"/>
        <v>1.6648551335382056E-2</v>
      </c>
      <c r="BL156" s="880">
        <f t="shared" si="128"/>
        <v>1.6601741682330716E-2</v>
      </c>
      <c r="BM156" s="880">
        <f t="shared" si="128"/>
        <v>1.654252112607597E-2</v>
      </c>
      <c r="BN156" s="880">
        <f t="shared" si="128"/>
        <v>1.6486209484845426E-2</v>
      </c>
      <c r="BO156" s="880">
        <f t="shared" si="128"/>
        <v>1.6477767952400982E-2</v>
      </c>
      <c r="BP156" s="880">
        <f t="shared" si="128"/>
        <v>1.6465693544638206E-2</v>
      </c>
      <c r="BQ156" s="880">
        <f t="shared" si="128"/>
        <v>1.6451592447154058E-2</v>
      </c>
      <c r="BR156" s="614"/>
    </row>
    <row r="157" spans="2:70" ht="14.25" customHeight="1" x14ac:dyDescent="0.35">
      <c r="B157" s="546"/>
      <c r="C157" s="545"/>
      <c r="D157" s="875"/>
      <c r="E157" s="876"/>
      <c r="F157" s="876"/>
      <c r="G157" s="876"/>
      <c r="H157" s="876"/>
      <c r="I157" s="876"/>
      <c r="J157" s="876"/>
      <c r="K157" s="876"/>
      <c r="L157" s="876"/>
      <c r="M157" s="876"/>
      <c r="N157" s="876"/>
      <c r="O157" s="876"/>
      <c r="P157" s="876"/>
      <c r="Q157" s="876"/>
      <c r="R157" s="876"/>
      <c r="S157" s="876"/>
      <c r="T157" s="876"/>
      <c r="U157" s="876"/>
      <c r="V157" s="876"/>
      <c r="W157" s="876"/>
      <c r="X157" s="876"/>
      <c r="Y157" s="876"/>
      <c r="Z157" s="876"/>
      <c r="AA157" s="876"/>
      <c r="AB157" s="876"/>
      <c r="AC157" s="876"/>
      <c r="AD157" s="876"/>
      <c r="AE157" s="876"/>
      <c r="AF157" s="876"/>
      <c r="AG157" s="876"/>
      <c r="AH157" s="876"/>
      <c r="AI157" s="876"/>
      <c r="AJ157" s="876"/>
      <c r="AK157" s="876"/>
      <c r="AL157" s="876"/>
      <c r="AM157" s="876"/>
      <c r="AN157" s="876"/>
      <c r="AO157" s="876"/>
      <c r="AP157" s="876"/>
      <c r="AQ157" s="876"/>
      <c r="AR157" s="876"/>
      <c r="AS157" s="876"/>
      <c r="AT157" s="876"/>
      <c r="AU157" s="876"/>
      <c r="AV157" s="876"/>
      <c r="AW157" s="876"/>
      <c r="AX157" s="876"/>
      <c r="AY157" s="876"/>
      <c r="AZ157" s="876"/>
      <c r="BA157" s="876"/>
      <c r="BB157" s="876"/>
      <c r="BC157" s="876"/>
      <c r="BD157" s="876"/>
      <c r="BE157" s="876"/>
      <c r="BF157" s="876"/>
      <c r="BG157" s="876"/>
      <c r="BH157" s="876"/>
      <c r="BI157" s="876"/>
      <c r="BJ157" s="876"/>
      <c r="BK157" s="876"/>
      <c r="BL157" s="876"/>
      <c r="BM157" s="876"/>
      <c r="BN157" s="876"/>
      <c r="BO157" s="876"/>
      <c r="BP157" s="876"/>
      <c r="BQ157" s="876"/>
      <c r="BR157" s="614"/>
    </row>
    <row r="158" spans="2:70" ht="14.25" customHeight="1" x14ac:dyDescent="0.35">
      <c r="B158" s="546"/>
      <c r="C158" s="545"/>
      <c r="D158" s="875"/>
      <c r="E158" s="876"/>
      <c r="F158" s="631" t="s">
        <v>148</v>
      </c>
      <c r="G158" s="877"/>
      <c r="H158" s="877"/>
      <c r="I158" s="877"/>
      <c r="J158" s="877"/>
      <c r="K158" s="877"/>
      <c r="L158" s="877"/>
      <c r="M158" s="877"/>
      <c r="N158" s="877"/>
      <c r="O158" s="877"/>
      <c r="P158" s="877"/>
      <c r="Q158" s="877"/>
      <c r="R158" s="880"/>
      <c r="S158" s="880"/>
      <c r="T158" s="880"/>
      <c r="U158" s="880"/>
      <c r="V158" s="880"/>
      <c r="W158" s="880"/>
      <c r="X158" s="880"/>
      <c r="Y158" s="880"/>
      <c r="Z158" s="880"/>
      <c r="AA158" s="880"/>
      <c r="AB158" s="880"/>
      <c r="AC158" s="880"/>
      <c r="AD158" s="880"/>
      <c r="AE158" s="880"/>
      <c r="AF158" s="880"/>
      <c r="AG158" s="880"/>
      <c r="AH158" s="880"/>
      <c r="AI158" s="880"/>
      <c r="AJ158" s="880"/>
      <c r="AK158" s="880"/>
      <c r="AL158" s="880"/>
      <c r="AM158" s="880"/>
      <c r="AN158" s="880"/>
      <c r="AO158" s="880"/>
      <c r="AP158" s="880"/>
      <c r="AQ158" s="880"/>
      <c r="AR158" s="880"/>
      <c r="AS158" s="880"/>
      <c r="AT158" s="880"/>
      <c r="AU158" s="880"/>
      <c r="AV158" s="880"/>
      <c r="AW158" s="879"/>
      <c r="AX158" s="879"/>
      <c r="AY158" s="879"/>
      <c r="AZ158" s="879"/>
      <c r="BA158" s="879"/>
      <c r="BB158" s="879"/>
      <c r="BC158" s="879"/>
      <c r="BD158" s="879"/>
      <c r="BE158" s="879"/>
      <c r="BF158" s="879"/>
      <c r="BG158" s="879"/>
      <c r="BH158" s="879"/>
      <c r="BI158" s="879"/>
      <c r="BJ158" s="879"/>
      <c r="BK158" s="879"/>
      <c r="BL158" s="879"/>
      <c r="BM158" s="879"/>
      <c r="BN158" s="879"/>
      <c r="BO158" s="879"/>
      <c r="BP158" s="879"/>
      <c r="BQ158" s="879"/>
      <c r="BR158" s="614"/>
    </row>
    <row r="159" spans="2:70" ht="14.25" customHeight="1" x14ac:dyDescent="0.35">
      <c r="B159" s="1151" t="s">
        <v>140</v>
      </c>
      <c r="C159" s="547">
        <v>1E-3</v>
      </c>
      <c r="D159" s="1152" t="s">
        <v>101</v>
      </c>
      <c r="E159" s="1153"/>
      <c r="F159" s="872" t="s">
        <v>149</v>
      </c>
      <c r="G159" s="872" t="s">
        <v>95</v>
      </c>
      <c r="H159" s="872" t="s">
        <v>95</v>
      </c>
      <c r="I159" s="872"/>
      <c r="J159" s="872"/>
      <c r="K159" s="872"/>
      <c r="L159" s="872"/>
      <c r="M159" s="872"/>
      <c r="N159" s="872"/>
      <c r="O159" s="872"/>
      <c r="P159" s="872"/>
      <c r="Q159" s="872">
        <v>9.7016000000000005E-2</v>
      </c>
      <c r="R159" s="872">
        <f>(R70-Q70)*$C$159</f>
        <v>1.4767652901925832E-10</v>
      </c>
      <c r="S159" s="872">
        <f>(S70-R70)*$C$159</f>
        <v>-9.5005237975925867E-8</v>
      </c>
      <c r="T159" s="872">
        <f t="shared" ref="T159" si="129">(T70-S70)*$C$159</f>
        <v>5.1627887314734115E-8</v>
      </c>
      <c r="U159" s="872">
        <f>(U70-T70)*$C$159</f>
        <v>3.2927050887990309E-8</v>
      </c>
      <c r="V159" s="872">
        <f t="shared" ref="V159:BQ159" si="130">(V70-U70)*$C$159</f>
        <v>3.781533988679586E-8</v>
      </c>
      <c r="W159" s="872">
        <f t="shared" si="130"/>
        <v>3.6606834814989497E-8</v>
      </c>
      <c r="X159" s="872">
        <f t="shared" si="130"/>
        <v>3.2956035178888232E-8</v>
      </c>
      <c r="Y159" s="872">
        <f t="shared" si="130"/>
        <v>2.8081239484917255E-8</v>
      </c>
      <c r="Z159" s="872">
        <f t="shared" si="130"/>
        <v>3.8893189456559732E-8</v>
      </c>
      <c r="AA159" s="872">
        <f t="shared" si="130"/>
        <v>3.4768649317659665E-8</v>
      </c>
      <c r="AB159" s="872">
        <f t="shared" si="130"/>
        <v>2.6833543376514335E-8</v>
      </c>
      <c r="AC159" s="872">
        <f t="shared" si="130"/>
        <v>2.9113542070885456E-8</v>
      </c>
      <c r="AD159" s="872">
        <f t="shared" si="130"/>
        <v>3.8726614175255136E-8</v>
      </c>
      <c r="AE159" s="872">
        <f t="shared" si="130"/>
        <v>3.0166953978977284E-8</v>
      </c>
      <c r="AF159" s="872">
        <f t="shared" si="130"/>
        <v>3.5367701774494108E-8</v>
      </c>
      <c r="AG159" s="872">
        <f t="shared" si="130"/>
        <v>2.8957052735839596E-8</v>
      </c>
      <c r="AH159" s="872">
        <f t="shared" si="130"/>
        <v>2.8936986134653342E-8</v>
      </c>
      <c r="AI159" s="872">
        <f t="shared" si="130"/>
        <v>3.1261463051199254E-8</v>
      </c>
      <c r="AJ159" s="872">
        <f t="shared" si="130"/>
        <v>2.7783948214524235E-8</v>
      </c>
      <c r="AK159" s="872">
        <f t="shared" si="130"/>
        <v>2.8691323299787075E-8</v>
      </c>
      <c r="AL159" s="872">
        <f t="shared" si="130"/>
        <v>3.0883380522928053E-8</v>
      </c>
      <c r="AM159" s="872">
        <f t="shared" si="130"/>
        <v>2.7832440111397183E-8</v>
      </c>
      <c r="AN159" s="872">
        <f t="shared" si="130"/>
        <v>2.7974927501575596E-8</v>
      </c>
      <c r="AO159" s="872">
        <f t="shared" si="130"/>
        <v>2.7313413024046551E-8</v>
      </c>
      <c r="AP159" s="872">
        <f t="shared" si="130"/>
        <v>2.1448642658183915E-8</v>
      </c>
      <c r="AQ159" s="872">
        <f t="shared" si="130"/>
        <v>2.6877291905494374E-8</v>
      </c>
      <c r="AR159" s="872">
        <f t="shared" si="130"/>
        <v>2.2803743366425766E-8</v>
      </c>
      <c r="AS159" s="872">
        <f t="shared" si="130"/>
        <v>2.8047384410756494E-8</v>
      </c>
      <c r="AT159" s="872">
        <f t="shared" si="130"/>
        <v>2.2616368831926416E-8</v>
      </c>
      <c r="AU159" s="872">
        <f t="shared" si="130"/>
        <v>2.1994023042107291E-8</v>
      </c>
      <c r="AV159" s="872">
        <f t="shared" si="130"/>
        <v>2.2407080369754583E-8</v>
      </c>
      <c r="AW159" s="879">
        <f t="shared" si="130"/>
        <v>2.2173903889394219E-8</v>
      </c>
      <c r="AX159" s="879">
        <f t="shared" si="130"/>
        <v>2.4731522114990191E-8</v>
      </c>
      <c r="AY159" s="879">
        <f t="shared" si="130"/>
        <v>2.2089511188566615E-8</v>
      </c>
      <c r="AZ159" s="879">
        <f t="shared" si="130"/>
        <v>2.1714391329835659E-8</v>
      </c>
      <c r="BA159" s="879">
        <f t="shared" si="130"/>
        <v>2.2026989526927056E-8</v>
      </c>
      <c r="BB159" s="879">
        <f t="shared" si="130"/>
        <v>2.184459982781939E-8</v>
      </c>
      <c r="BC159" s="879">
        <f t="shared" si="130"/>
        <v>2.2059210764896477E-8</v>
      </c>
      <c r="BD159" s="879">
        <f t="shared" si="130"/>
        <v>2.0994581824029801E-8</v>
      </c>
      <c r="BE159" s="879">
        <f t="shared" si="130"/>
        <v>2.0844029736816207E-8</v>
      </c>
      <c r="BF159" s="879">
        <f t="shared" si="130"/>
        <v>2.0687183362386176E-8</v>
      </c>
      <c r="BG159" s="879">
        <f t="shared" si="130"/>
        <v>2.0439677269751267E-8</v>
      </c>
      <c r="BH159" s="879">
        <f t="shared" si="130"/>
        <v>2.0113873016078254E-8</v>
      </c>
      <c r="BI159" s="879">
        <f t="shared" si="130"/>
        <v>1.9850079462938043E-8</v>
      </c>
      <c r="BJ159" s="879">
        <f t="shared" si="130"/>
        <v>1.9613347860089616E-8</v>
      </c>
      <c r="BK159" s="879">
        <f t="shared" si="130"/>
        <v>1.9385756004658417E-8</v>
      </c>
      <c r="BL159" s="879">
        <f t="shared" si="130"/>
        <v>1.9109261544955627E-8</v>
      </c>
      <c r="BM159" s="879">
        <f t="shared" si="130"/>
        <v>1.8836030960506233E-8</v>
      </c>
      <c r="BN159" s="879">
        <f t="shared" si="130"/>
        <v>1.8544507704942869E-8</v>
      </c>
      <c r="BO159" s="879">
        <f t="shared" si="130"/>
        <v>1.8296946522014525E-8</v>
      </c>
      <c r="BP159" s="879">
        <f t="shared" si="130"/>
        <v>1.8041738678309384E-8</v>
      </c>
      <c r="BQ159" s="879">
        <f t="shared" si="130"/>
        <v>1.7780095207545199E-8</v>
      </c>
      <c r="BR159" s="614"/>
    </row>
    <row r="160" spans="2:70" ht="14.25" customHeight="1" x14ac:dyDescent="0.35">
      <c r="B160" s="1151"/>
      <c r="C160" s="547">
        <v>9.8290000000000002E-2</v>
      </c>
      <c r="D160" s="1152" t="s">
        <v>106</v>
      </c>
      <c r="E160" s="1153"/>
      <c r="F160" s="872" t="s">
        <v>149</v>
      </c>
      <c r="G160" s="872" t="s">
        <v>95</v>
      </c>
      <c r="H160" s="872" t="s">
        <v>95</v>
      </c>
      <c r="I160" s="872"/>
      <c r="J160" s="872"/>
      <c r="K160" s="872"/>
      <c r="L160" s="872"/>
      <c r="M160" s="872"/>
      <c r="N160" s="872"/>
      <c r="O160" s="872"/>
      <c r="P160" s="872"/>
      <c r="Q160" s="872">
        <v>4.7886075E-3</v>
      </c>
      <c r="R160" s="882">
        <f t="shared" ref="R160:T160" si="131">(R72-Q72)*$C$160</f>
        <v>2.0976222904963804E-3</v>
      </c>
      <c r="S160" s="882">
        <f t="shared" si="131"/>
        <v>4.6627063085912819E-4</v>
      </c>
      <c r="T160" s="882">
        <f t="shared" si="131"/>
        <v>4.4211574810333184E-3</v>
      </c>
      <c r="U160" s="882">
        <f>(U72-T72)*$C$160</f>
        <v>4.5479028637023574E-3</v>
      </c>
      <c r="V160" s="882">
        <f t="shared" ref="V160:BQ160" si="132">(V72-U72)*$C$160</f>
        <v>3.9301197712592649E-3</v>
      </c>
      <c r="W160" s="882">
        <f t="shared" si="132"/>
        <v>4.2031366608237634E-3</v>
      </c>
      <c r="X160" s="882">
        <f t="shared" si="132"/>
        <v>3.2215946965372501E-3</v>
      </c>
      <c r="Y160" s="882">
        <f t="shared" si="132"/>
        <v>2.6805000209044944E-3</v>
      </c>
      <c r="Z160" s="882">
        <f t="shared" si="132"/>
        <v>3.5160598753818328E-3</v>
      </c>
      <c r="AA160" s="882">
        <f t="shared" si="132"/>
        <v>3.005444129403827E-3</v>
      </c>
      <c r="AB160" s="882">
        <f t="shared" si="132"/>
        <v>1.7573203492244308E-3</v>
      </c>
      <c r="AC160" s="882">
        <f t="shared" si="132"/>
        <v>2.050628513961269E-3</v>
      </c>
      <c r="AD160" s="882">
        <f t="shared" si="132"/>
        <v>2.9666526550597406E-3</v>
      </c>
      <c r="AE160" s="882">
        <f t="shared" si="132"/>
        <v>1.9275157520162222E-3</v>
      </c>
      <c r="AF160" s="882">
        <f t="shared" si="132"/>
        <v>2.4687471629048249E-3</v>
      </c>
      <c r="AG160" s="882">
        <f t="shared" si="132"/>
        <v>1.7284480211361339E-3</v>
      </c>
      <c r="AH160" s="882">
        <f t="shared" si="132"/>
        <v>1.8008127936698475E-3</v>
      </c>
      <c r="AI160" s="882">
        <f t="shared" si="132"/>
        <v>2.1622010485146158E-3</v>
      </c>
      <c r="AJ160" s="882">
        <f t="shared" si="132"/>
        <v>1.9355883569533939E-3</v>
      </c>
      <c r="AK160" s="882">
        <f t="shared" si="132"/>
        <v>2.2044337496815261E-3</v>
      </c>
      <c r="AL160" s="882">
        <f t="shared" si="132"/>
        <v>2.7187021564158624E-3</v>
      </c>
      <c r="AM160" s="882">
        <f t="shared" si="132"/>
        <v>2.5573096125222788E-3</v>
      </c>
      <c r="AN160" s="882">
        <f t="shared" si="132"/>
        <v>2.8556750143337553E-3</v>
      </c>
      <c r="AO160" s="882">
        <f t="shared" si="132"/>
        <v>2.9832754005012512E-3</v>
      </c>
      <c r="AP160" s="882">
        <f t="shared" si="132"/>
        <v>2.5276859491596307E-3</v>
      </c>
      <c r="AQ160" s="882">
        <f t="shared" si="132"/>
        <v>3.3754645493132311E-3</v>
      </c>
      <c r="AR160" s="882">
        <f t="shared" si="132"/>
        <v>3.0912495711472258E-3</v>
      </c>
      <c r="AS160" s="882">
        <f t="shared" si="132"/>
        <v>3.8825573176928863E-3</v>
      </c>
      <c r="AT160" s="882">
        <f t="shared" si="132"/>
        <v>3.3608728786326159E-3</v>
      </c>
      <c r="AU160" s="882">
        <f t="shared" si="132"/>
        <v>3.3533980864860228E-3</v>
      </c>
      <c r="AV160" s="882">
        <f t="shared" si="132"/>
        <v>3.4999314350358797E-3</v>
      </c>
      <c r="AW160" s="882">
        <f t="shared" si="132"/>
        <v>3.4843209441149533E-3</v>
      </c>
      <c r="AX160" s="882">
        <f t="shared" si="132"/>
        <v>3.0205040034869267E-3</v>
      </c>
      <c r="AY160" s="882">
        <f t="shared" si="132"/>
        <v>3.1043787790381544E-3</v>
      </c>
      <c r="AZ160" s="882">
        <f t="shared" si="132"/>
        <v>3.1689950923669994E-3</v>
      </c>
      <c r="BA160" s="882">
        <f t="shared" si="132"/>
        <v>3.2540195784101808E-3</v>
      </c>
      <c r="BB160" s="882">
        <f t="shared" si="132"/>
        <v>3.3262706127237304E-3</v>
      </c>
      <c r="BC160" s="882">
        <f t="shared" si="132"/>
        <v>3.3675476198354584E-3</v>
      </c>
      <c r="BD160" s="882">
        <f t="shared" si="132"/>
        <v>3.4230564777848883E-3</v>
      </c>
      <c r="BE160" s="882">
        <f t="shared" si="132"/>
        <v>3.4614977397705816E-3</v>
      </c>
      <c r="BF160" s="882">
        <f t="shared" si="132"/>
        <v>3.4936562172385652E-3</v>
      </c>
      <c r="BG160" s="882">
        <f t="shared" si="132"/>
        <v>3.5601313003899402E-3</v>
      </c>
      <c r="BH160" s="882">
        <f t="shared" si="132"/>
        <v>3.5715688615681647E-3</v>
      </c>
      <c r="BI160" s="882">
        <f t="shared" si="132"/>
        <v>3.6038359823069217E-3</v>
      </c>
      <c r="BJ160" s="882">
        <f t="shared" si="132"/>
        <v>3.5826047945005388E-3</v>
      </c>
      <c r="BK160" s="882">
        <f t="shared" si="132"/>
        <v>3.596664255822717E-3</v>
      </c>
      <c r="BL160" s="882">
        <f t="shared" si="132"/>
        <v>3.6122361545944011E-3</v>
      </c>
      <c r="BM160" s="882">
        <f t="shared" si="132"/>
        <v>3.6185964921583201E-3</v>
      </c>
      <c r="BN160" s="882">
        <f t="shared" si="132"/>
        <v>3.626509230221116E-3</v>
      </c>
      <c r="BO160" s="882">
        <f t="shared" si="132"/>
        <v>3.6675568946696732E-3</v>
      </c>
      <c r="BP160" s="882">
        <f t="shared" si="132"/>
        <v>3.7055862570848971E-3</v>
      </c>
      <c r="BQ160" s="882">
        <f t="shared" si="132"/>
        <v>3.7417356942937318E-3</v>
      </c>
      <c r="BR160" s="614"/>
    </row>
    <row r="161" spans="2:70" s="932" customFormat="1" ht="14.25" customHeight="1" x14ac:dyDescent="0.35">
      <c r="B161" s="1151"/>
      <c r="C161" s="929">
        <v>5.8290000000000002E-2</v>
      </c>
      <c r="D161" s="1154" t="s">
        <v>146</v>
      </c>
      <c r="E161" s="1155"/>
      <c r="F161" s="930" t="s">
        <v>149</v>
      </c>
      <c r="G161" s="930"/>
      <c r="H161" s="930"/>
      <c r="I161" s="930"/>
      <c r="J161" s="930"/>
      <c r="K161" s="930"/>
      <c r="L161" s="930"/>
      <c r="M161" s="930"/>
      <c r="N161" s="930"/>
      <c r="O161" s="930"/>
      <c r="P161" s="930"/>
      <c r="Q161" s="930"/>
      <c r="R161" s="935">
        <f t="shared" ref="R161:T161" si="133">(R75-Q75)*$C$161</f>
        <v>2.2262211015104229E-3</v>
      </c>
      <c r="S161" s="935">
        <f t="shared" si="133"/>
        <v>5.3823650731109106E-3</v>
      </c>
      <c r="T161" s="935">
        <f t="shared" si="133"/>
        <v>2.9885382046603301E-3</v>
      </c>
      <c r="U161" s="935">
        <f>(U75-T75)*$C$161</f>
        <v>2.8726579920843286E-3</v>
      </c>
      <c r="V161" s="935">
        <f t="shared" ref="V161:BQ161" si="134">(V75-U75)*$C$161</f>
        <v>3.1983460614034569E-3</v>
      </c>
      <c r="W161" s="935">
        <f t="shared" si="134"/>
        <v>2.9965477175536818E-3</v>
      </c>
      <c r="X161" s="935">
        <f t="shared" si="134"/>
        <v>3.5392381828357497E-3</v>
      </c>
      <c r="Y161" s="935">
        <f t="shared" si="134"/>
        <v>3.8213472313832824E-3</v>
      </c>
      <c r="Z161" s="935">
        <f t="shared" si="134"/>
        <v>3.2865079771385807E-3</v>
      </c>
      <c r="AA161" s="935">
        <f t="shared" si="134"/>
        <v>3.5513272578384732E-3</v>
      </c>
      <c r="AB161" s="935">
        <f t="shared" si="134"/>
        <v>4.2540609899168712E-3</v>
      </c>
      <c r="AC161" s="935">
        <f t="shared" si="134"/>
        <v>4.0425967405284431E-3</v>
      </c>
      <c r="AD161" s="935">
        <f t="shared" si="134"/>
        <v>3.4618070621868931E-3</v>
      </c>
      <c r="AE161" s="935">
        <f t="shared" si="134"/>
        <v>4.0419963044431477E-3</v>
      </c>
      <c r="AF161" s="935">
        <f t="shared" si="134"/>
        <v>3.6846102868575274E-3</v>
      </c>
      <c r="AG161" s="935">
        <f t="shared" si="134"/>
        <v>4.0882617631700473E-3</v>
      </c>
      <c r="AH161" s="935">
        <f t="shared" si="134"/>
        <v>4.0100184758090733E-3</v>
      </c>
      <c r="AI161" s="935">
        <f t="shared" si="134"/>
        <v>3.7605934383437276E-3</v>
      </c>
      <c r="AJ161" s="935">
        <f t="shared" si="134"/>
        <v>3.8606498900819147E-3</v>
      </c>
      <c r="AK161" s="935">
        <f t="shared" si="134"/>
        <v>3.666956202712767E-3</v>
      </c>
      <c r="AL161" s="935">
        <f t="shared" si="134"/>
        <v>3.3280285799724661E-3</v>
      </c>
      <c r="AM161" s="935">
        <f t="shared" si="134"/>
        <v>3.390448552770561E-3</v>
      </c>
      <c r="AN161" s="935">
        <f t="shared" si="134"/>
        <v>3.1803094390799856E-3</v>
      </c>
      <c r="AO161" s="935">
        <f t="shared" si="134"/>
        <v>3.0718051231076039E-3</v>
      </c>
      <c r="AP161" s="935">
        <f t="shared" si="134"/>
        <v>3.3098196176917613E-3</v>
      </c>
      <c r="AQ161" s="935">
        <f t="shared" si="134"/>
        <v>2.7744996703101855E-3</v>
      </c>
      <c r="AR161" s="935">
        <f t="shared" si="134"/>
        <v>2.9114077142534771E-3</v>
      </c>
      <c r="AS161" s="935">
        <f t="shared" si="134"/>
        <v>2.410218527946064E-3</v>
      </c>
      <c r="AT161" s="935">
        <f t="shared" si="134"/>
        <v>2.6885315728378588E-3</v>
      </c>
      <c r="AU161" s="935">
        <f t="shared" si="134"/>
        <v>2.6619872676782626E-3</v>
      </c>
      <c r="AV161" s="935">
        <f t="shared" si="134"/>
        <v>2.5442531445732911E-3</v>
      </c>
      <c r="AW161" s="935">
        <f t="shared" si="134"/>
        <v>2.5229063308429981E-3</v>
      </c>
      <c r="AX161" s="935">
        <f t="shared" si="134"/>
        <v>2.7675292282510048E-3</v>
      </c>
      <c r="AY161" s="935">
        <f t="shared" si="134"/>
        <v>2.6879743113416054E-3</v>
      </c>
      <c r="AZ161" s="935">
        <f t="shared" si="134"/>
        <v>2.620026129666666E-3</v>
      </c>
      <c r="BA161" s="935">
        <f t="shared" si="134"/>
        <v>2.5402477800421683E-3</v>
      </c>
      <c r="BB161" s="935">
        <f t="shared" si="134"/>
        <v>2.4683811726322661E-3</v>
      </c>
      <c r="BC161" s="935">
        <f t="shared" si="134"/>
        <v>2.4151628289195803E-3</v>
      </c>
      <c r="BD161" s="935">
        <f t="shared" si="134"/>
        <v>2.3538762702746455E-3</v>
      </c>
      <c r="BE161" s="935">
        <f t="shared" si="134"/>
        <v>2.302950183580899E-3</v>
      </c>
      <c r="BF161" s="935">
        <f t="shared" si="134"/>
        <v>2.2560369927339019E-3</v>
      </c>
      <c r="BG161" s="935">
        <f t="shared" si="134"/>
        <v>2.1890590573592377E-3</v>
      </c>
      <c r="BH161" s="935">
        <f t="shared" si="134"/>
        <v>2.1550008008080017E-3</v>
      </c>
      <c r="BI161" s="935">
        <f t="shared" si="134"/>
        <v>2.1088561782811625E-3</v>
      </c>
      <c r="BJ161" s="935">
        <f t="shared" si="134"/>
        <v>2.0947010689540526E-3</v>
      </c>
      <c r="BK161" s="935">
        <f t="shared" si="134"/>
        <v>2.0598753425894066E-3</v>
      </c>
      <c r="BL161" s="935">
        <f t="shared" si="134"/>
        <v>2.0244085170122209E-3</v>
      </c>
      <c r="BM161" s="935">
        <f t="shared" si="134"/>
        <v>1.9946515490578544E-3</v>
      </c>
      <c r="BN161" s="935">
        <f t="shared" si="134"/>
        <v>1.9642164121059032E-3</v>
      </c>
      <c r="BO161" s="935">
        <f t="shared" si="134"/>
        <v>1.9143638969700526E-3</v>
      </c>
      <c r="BP161" s="935">
        <f t="shared" si="134"/>
        <v>1.8665314803069405E-3</v>
      </c>
      <c r="BQ161" s="935">
        <f t="shared" si="134"/>
        <v>1.8200380825281941E-3</v>
      </c>
      <c r="BR161" s="926"/>
    </row>
    <row r="162" spans="2:70" s="932" customFormat="1" ht="14.25" customHeight="1" x14ac:dyDescent="0.35">
      <c r="B162" s="1151"/>
      <c r="C162" s="929">
        <v>0.1454</v>
      </c>
      <c r="D162" s="1156" t="s">
        <v>102</v>
      </c>
      <c r="E162" s="1157"/>
      <c r="F162" s="930" t="s">
        <v>149</v>
      </c>
      <c r="G162" s="930" t="s">
        <v>95</v>
      </c>
      <c r="H162" s="930" t="s">
        <v>95</v>
      </c>
      <c r="I162" s="930"/>
      <c r="J162" s="930"/>
      <c r="K162" s="930"/>
      <c r="L162" s="930"/>
      <c r="M162" s="930"/>
      <c r="N162" s="930"/>
      <c r="O162" s="930"/>
      <c r="P162" s="930"/>
      <c r="Q162" s="930">
        <v>2.76903E-3</v>
      </c>
      <c r="R162" s="935">
        <f t="shared" ref="R162:T162" si="135">(R77-Q77)*$C$162</f>
        <v>-9.8544413799997693E-4</v>
      </c>
      <c r="S162" s="935">
        <f t="shared" si="135"/>
        <v>-1.031031399999994E-3</v>
      </c>
      <c r="T162" s="935">
        <f t="shared" si="135"/>
        <v>-1.031031399999994E-3</v>
      </c>
      <c r="U162" s="935">
        <f>(U77-T77)*$C$162</f>
        <v>-1.031031399999994E-3</v>
      </c>
      <c r="V162" s="935">
        <f t="shared" ref="V162:BQ162" si="136">(V77-U77)*$C$162</f>
        <v>-1.031031399999994E-3</v>
      </c>
      <c r="W162" s="935">
        <f t="shared" si="136"/>
        <v>-1.0310314000000586E-3</v>
      </c>
      <c r="X162" s="935">
        <f t="shared" si="136"/>
        <v>-1.031031399999994E-3</v>
      </c>
      <c r="Y162" s="935">
        <f t="shared" si="136"/>
        <v>-1.031031399999994E-3</v>
      </c>
      <c r="Z162" s="935">
        <f t="shared" si="136"/>
        <v>-1.031031399999994E-3</v>
      </c>
      <c r="AA162" s="935">
        <f t="shared" si="136"/>
        <v>-1.031031399999994E-3</v>
      </c>
      <c r="AB162" s="935">
        <f t="shared" si="136"/>
        <v>-1.031031399999994E-3</v>
      </c>
      <c r="AC162" s="935">
        <f t="shared" si="136"/>
        <v>-1.031031399999994E-3</v>
      </c>
      <c r="AD162" s="935">
        <f t="shared" si="136"/>
        <v>-1.031031399999994E-3</v>
      </c>
      <c r="AE162" s="935">
        <f t="shared" si="136"/>
        <v>-1.031031399999994E-3</v>
      </c>
      <c r="AF162" s="935">
        <f t="shared" si="136"/>
        <v>-1.031031399999994E-3</v>
      </c>
      <c r="AG162" s="935">
        <f t="shared" si="136"/>
        <v>-1.031031399999994E-3</v>
      </c>
      <c r="AH162" s="935">
        <f t="shared" si="136"/>
        <v>-1.0310314000000586E-3</v>
      </c>
      <c r="AI162" s="935">
        <f t="shared" si="136"/>
        <v>-1.031031399999994E-3</v>
      </c>
      <c r="AJ162" s="935">
        <f t="shared" si="136"/>
        <v>-1.031031399999994E-3</v>
      </c>
      <c r="AK162" s="935">
        <f t="shared" si="136"/>
        <v>-1.031031399999994E-3</v>
      </c>
      <c r="AL162" s="935">
        <f t="shared" si="136"/>
        <v>-1.031031399999994E-3</v>
      </c>
      <c r="AM162" s="935">
        <f t="shared" si="136"/>
        <v>-1.031031399999994E-3</v>
      </c>
      <c r="AN162" s="935">
        <f t="shared" si="136"/>
        <v>-1.031031399999994E-3</v>
      </c>
      <c r="AO162" s="935">
        <f t="shared" si="136"/>
        <v>-1.031031399999994E-3</v>
      </c>
      <c r="AP162" s="935">
        <f t="shared" si="136"/>
        <v>-1.031031399999994E-3</v>
      </c>
      <c r="AQ162" s="935">
        <f t="shared" si="136"/>
        <v>-1.031031399999994E-3</v>
      </c>
      <c r="AR162" s="935">
        <f t="shared" si="136"/>
        <v>-1.031031399999994E-3</v>
      </c>
      <c r="AS162" s="935">
        <f t="shared" si="136"/>
        <v>-1.0310314000000586E-3</v>
      </c>
      <c r="AT162" s="935">
        <f t="shared" si="136"/>
        <v>-1.031031399999994E-3</v>
      </c>
      <c r="AU162" s="935">
        <f t="shared" si="136"/>
        <v>-1.031031399999994E-3</v>
      </c>
      <c r="AV162" s="935">
        <f t="shared" si="136"/>
        <v>-1.031031399999994E-3</v>
      </c>
      <c r="AW162" s="935">
        <f t="shared" si="136"/>
        <v>-1.031031399999994E-3</v>
      </c>
      <c r="AX162" s="935">
        <f t="shared" si="136"/>
        <v>-1.031031399999994E-3</v>
      </c>
      <c r="AY162" s="935">
        <f t="shared" si="136"/>
        <v>-1.031031399999994E-3</v>
      </c>
      <c r="AZ162" s="935">
        <f t="shared" si="136"/>
        <v>-1.031031399999994E-3</v>
      </c>
      <c r="BA162" s="935">
        <f t="shared" si="136"/>
        <v>-1.031031399999994E-3</v>
      </c>
      <c r="BB162" s="935">
        <f t="shared" si="136"/>
        <v>-1.031031399999994E-3</v>
      </c>
      <c r="BC162" s="935">
        <f t="shared" si="136"/>
        <v>-1.0310314000000586E-3</v>
      </c>
      <c r="BD162" s="935">
        <f t="shared" si="136"/>
        <v>-1.031031399999994E-3</v>
      </c>
      <c r="BE162" s="935">
        <f t="shared" si="136"/>
        <v>-1.031031399999994E-3</v>
      </c>
      <c r="BF162" s="935">
        <f t="shared" si="136"/>
        <v>-1.031031399999994E-3</v>
      </c>
      <c r="BG162" s="935">
        <f t="shared" si="136"/>
        <v>-1.031031399999994E-3</v>
      </c>
      <c r="BH162" s="935">
        <f t="shared" si="136"/>
        <v>-1.031031399999994E-3</v>
      </c>
      <c r="BI162" s="935">
        <f t="shared" si="136"/>
        <v>-1.031031399999994E-3</v>
      </c>
      <c r="BJ162" s="935">
        <f t="shared" si="136"/>
        <v>-1.031031399999994E-3</v>
      </c>
      <c r="BK162" s="935">
        <f t="shared" si="136"/>
        <v>-1.031031399999994E-3</v>
      </c>
      <c r="BL162" s="935">
        <f t="shared" si="136"/>
        <v>-1.031031399999994E-3</v>
      </c>
      <c r="BM162" s="935">
        <f t="shared" si="136"/>
        <v>-1.031031399999994E-3</v>
      </c>
      <c r="BN162" s="935">
        <f t="shared" si="136"/>
        <v>-1.0310314000000586E-3</v>
      </c>
      <c r="BO162" s="935">
        <f t="shared" si="136"/>
        <v>-1.031031399999994E-3</v>
      </c>
      <c r="BP162" s="935">
        <f t="shared" si="136"/>
        <v>-1.031031399999994E-3</v>
      </c>
      <c r="BQ162" s="935">
        <f t="shared" si="136"/>
        <v>-1.031031399999994E-3</v>
      </c>
      <c r="BR162" s="926"/>
    </row>
    <row r="163" spans="2:70" ht="14.25" customHeight="1" x14ac:dyDescent="0.35">
      <c r="B163" s="1151"/>
      <c r="C163" s="547">
        <v>3.3999999999999998E-3</v>
      </c>
      <c r="D163" s="1152" t="s">
        <v>103</v>
      </c>
      <c r="E163" s="1153"/>
      <c r="F163" s="872" t="s">
        <v>149</v>
      </c>
      <c r="G163" s="872" t="s">
        <v>95</v>
      </c>
      <c r="H163" s="872" t="s">
        <v>95</v>
      </c>
      <c r="I163" s="872"/>
      <c r="J163" s="872"/>
      <c r="K163" s="872"/>
      <c r="L163" s="872"/>
      <c r="M163" s="872"/>
      <c r="N163" s="872"/>
      <c r="O163" s="872"/>
      <c r="P163" s="872"/>
      <c r="Q163" s="872">
        <v>4.0815000000000001E-5</v>
      </c>
      <c r="R163" s="882">
        <f t="shared" ref="R163:T163" si="137">(R79-Q79)*$C$163</f>
        <v>-2.308454006040017E-6</v>
      </c>
      <c r="S163" s="882">
        <f t="shared" si="137"/>
        <v>-2.3052683395117678E-6</v>
      </c>
      <c r="T163" s="882">
        <f t="shared" si="137"/>
        <v>-2.3020870692032845E-6</v>
      </c>
      <c r="U163" s="882">
        <f>(U79-T79)*$C$163</f>
        <v>-2.2989101890477758E-6</v>
      </c>
      <c r="V163" s="882">
        <f t="shared" ref="V163:BQ163" si="138">(V79-U79)*$C$163</f>
        <v>-2.2957376929867542E-6</v>
      </c>
      <c r="W163" s="882">
        <f t="shared" si="138"/>
        <v>-2.2925695749704154E-6</v>
      </c>
      <c r="X163" s="882">
        <f t="shared" si="138"/>
        <v>-2.2894058289570693E-6</v>
      </c>
      <c r="Y163" s="882">
        <f t="shared" si="138"/>
        <v>-2.2862464489131428E-6</v>
      </c>
      <c r="Z163" s="882">
        <f t="shared" si="138"/>
        <v>-2.2830914288135549E-6</v>
      </c>
      <c r="AA163" s="882">
        <f t="shared" si="138"/>
        <v>-2.2799407626419076E-6</v>
      </c>
      <c r="AB163" s="882">
        <f t="shared" si="138"/>
        <v>-2.2767944443893515E-6</v>
      </c>
      <c r="AC163" s="882">
        <f t="shared" si="138"/>
        <v>-2.2736524680560976E-6</v>
      </c>
      <c r="AD163" s="882">
        <f t="shared" si="138"/>
        <v>-2.2705148276502827E-6</v>
      </c>
      <c r="AE163" s="882">
        <f t="shared" si="138"/>
        <v>-2.2673815171879717E-6</v>
      </c>
      <c r="AF163" s="882">
        <f t="shared" si="138"/>
        <v>-2.2642525306942884E-6</v>
      </c>
      <c r="AG163" s="882">
        <f t="shared" si="138"/>
        <v>-2.2611278622019059E-6</v>
      </c>
      <c r="AH163" s="882">
        <f t="shared" si="138"/>
        <v>-2.2580075057521795E-6</v>
      </c>
      <c r="AI163" s="882">
        <f t="shared" si="138"/>
        <v>-2.2548914553942034E-6</v>
      </c>
      <c r="AJ163" s="882">
        <f t="shared" si="138"/>
        <v>-2.2517797051857524E-6</v>
      </c>
      <c r="AK163" s="882">
        <f t="shared" si="138"/>
        <v>-2.2486722491925291E-6</v>
      </c>
      <c r="AL163" s="882">
        <f t="shared" si="138"/>
        <v>-2.2455690814887297E-6</v>
      </c>
      <c r="AM163" s="882">
        <f t="shared" si="138"/>
        <v>-2.2424701961562873E-6</v>
      </c>
      <c r="AN163" s="882">
        <f t="shared" si="138"/>
        <v>-2.2393755872856303E-6</v>
      </c>
      <c r="AO163" s="882">
        <f t="shared" si="138"/>
        <v>-2.2362852489751115E-6</v>
      </c>
      <c r="AP163" s="882">
        <f t="shared" si="138"/>
        <v>-2.2331991753315792E-6</v>
      </c>
      <c r="AQ163" s="882">
        <f t="shared" si="138"/>
        <v>-2.2301173604696187E-6</v>
      </c>
      <c r="AR163" s="882">
        <f t="shared" si="138"/>
        <v>-2.2270397985121201E-6</v>
      </c>
      <c r="AS163" s="882">
        <f t="shared" si="138"/>
        <v>-2.2239664835900896E-6</v>
      </c>
      <c r="AT163" s="882">
        <f t="shared" si="138"/>
        <v>-2.2208974098428368E-6</v>
      </c>
      <c r="AU163" s="882">
        <f t="shared" si="138"/>
        <v>-2.217832571417222E-6</v>
      </c>
      <c r="AV163" s="882">
        <f t="shared" si="138"/>
        <v>-2.2147719624685978E-6</v>
      </c>
      <c r="AW163" s="882">
        <f t="shared" si="138"/>
        <v>-2.2117155771604336E-6</v>
      </c>
      <c r="AX163" s="882">
        <f t="shared" si="138"/>
        <v>-2.2086634096639356E-6</v>
      </c>
      <c r="AY163" s="882">
        <f t="shared" si="138"/>
        <v>-2.2056154541586159E-6</v>
      </c>
      <c r="AZ163" s="882">
        <f t="shared" si="138"/>
        <v>-2.2025717048319127E-6</v>
      </c>
      <c r="BA163" s="882">
        <f t="shared" si="138"/>
        <v>-2.1995321558791911E-6</v>
      </c>
      <c r="BB163" s="882">
        <f t="shared" si="138"/>
        <v>-2.196496801504122E-6</v>
      </c>
      <c r="BC163" s="882">
        <f t="shared" si="138"/>
        <v>-2.1934656359181124E-6</v>
      </c>
      <c r="BD163" s="882">
        <f t="shared" si="138"/>
        <v>-2.1904386533404985E-6</v>
      </c>
      <c r="BE163" s="882">
        <f t="shared" si="138"/>
        <v>-2.1874158479989191E-6</v>
      </c>
      <c r="BF163" s="882">
        <f t="shared" si="138"/>
        <v>-2.184397214128564E-6</v>
      </c>
      <c r="BG163" s="882">
        <f t="shared" si="138"/>
        <v>-2.181382745973115E-6</v>
      </c>
      <c r="BH163" s="882">
        <f t="shared" si="138"/>
        <v>-2.1783724377836156E-6</v>
      </c>
      <c r="BI163" s="882">
        <f t="shared" si="138"/>
        <v>-2.1753662838196019E-6</v>
      </c>
      <c r="BJ163" s="882">
        <f t="shared" si="138"/>
        <v>-2.1723642783479713E-6</v>
      </c>
      <c r="BK163" s="882">
        <f t="shared" si="138"/>
        <v>-2.1693664156437363E-6</v>
      </c>
      <c r="BL163" s="882">
        <f t="shared" si="138"/>
        <v>-2.1663726899902146E-6</v>
      </c>
      <c r="BM163" s="882">
        <f t="shared" si="138"/>
        <v>-2.1633830956778954E-6</v>
      </c>
      <c r="BN163" s="882">
        <f t="shared" si="138"/>
        <v>-2.1603976270059496E-6</v>
      </c>
      <c r="BO163" s="882">
        <f t="shared" si="138"/>
        <v>-2.1574162782807214E-6</v>
      </c>
      <c r="BP163" s="882">
        <f t="shared" si="138"/>
        <v>-2.1544390438166693E-6</v>
      </c>
      <c r="BQ163" s="882">
        <f t="shared" si="138"/>
        <v>-2.1514659179361793E-6</v>
      </c>
      <c r="BR163" s="614"/>
    </row>
    <row r="164" spans="2:70" ht="14.25" customHeight="1" x14ac:dyDescent="0.35">
      <c r="B164" s="1151"/>
      <c r="C164" s="547">
        <v>1.3899999999999999E-2</v>
      </c>
      <c r="D164" s="1152" t="s">
        <v>57</v>
      </c>
      <c r="E164" s="1153"/>
      <c r="F164" s="872" t="s">
        <v>149</v>
      </c>
      <c r="G164" s="872" t="s">
        <v>95</v>
      </c>
      <c r="H164" s="872" t="s">
        <v>95</v>
      </c>
      <c r="I164" s="872"/>
      <c r="J164" s="872"/>
      <c r="K164" s="872"/>
      <c r="L164" s="872"/>
      <c r="M164" s="872"/>
      <c r="N164" s="872"/>
      <c r="O164" s="872"/>
      <c r="P164" s="872"/>
      <c r="Q164" s="872">
        <v>1.0251000000000001E-4</v>
      </c>
      <c r="R164" s="882">
        <f t="shared" ref="R164:T164" si="139">(R84-Q84)*$C$164</f>
        <v>1.8924491502695281E-5</v>
      </c>
      <c r="S164" s="882">
        <f t="shared" si="139"/>
        <v>1.9161761160934698E-5</v>
      </c>
      <c r="T164" s="882">
        <f t="shared" si="139"/>
        <v>1.9402005635734682E-5</v>
      </c>
      <c r="U164" s="882">
        <f>(U84-T84)*$C$164</f>
        <v>1.9624892591824384E-5</v>
      </c>
      <c r="V164" s="882">
        <f t="shared" ref="V164:BQ164" si="140">(V84-U84)*$C$164</f>
        <v>1.9870688547457543E-5</v>
      </c>
      <c r="W164" s="882">
        <f t="shared" si="140"/>
        <v>2.0119563024490093E-5</v>
      </c>
      <c r="X164" s="882">
        <f t="shared" si="140"/>
        <v>2.0371554580489271E-5</v>
      </c>
      <c r="Y164" s="882">
        <f t="shared" si="140"/>
        <v>2.0626702255943649E-5</v>
      </c>
      <c r="Z164" s="882">
        <f t="shared" si="140"/>
        <v>2.0885045580312895E-5</v>
      </c>
      <c r="AA164" s="882">
        <f t="shared" si="140"/>
        <v>2.1146624578151253E-5</v>
      </c>
      <c r="AB164" s="882">
        <f t="shared" si="140"/>
        <v>2.141147977530891E-5</v>
      </c>
      <c r="AC164" s="882">
        <f t="shared" si="140"/>
        <v>2.1679652205209785E-5</v>
      </c>
      <c r="AD164" s="882">
        <f t="shared" si="140"/>
        <v>2.1951183415209555E-5</v>
      </c>
      <c r="AE164" s="882">
        <f t="shared" si="140"/>
        <v>2.2226115473032381E-5</v>
      </c>
      <c r="AF164" s="882">
        <f t="shared" si="140"/>
        <v>2.2504490973287877E-5</v>
      </c>
      <c r="AG164" s="882">
        <f t="shared" si="140"/>
        <v>2.2786353044070668E-5</v>
      </c>
      <c r="AH164" s="882">
        <f t="shared" si="140"/>
        <v>2.3071745353641308E-5</v>
      </c>
      <c r="AI164" s="882">
        <f t="shared" si="140"/>
        <v>2.3360712117194043E-5</v>
      </c>
      <c r="AJ164" s="882">
        <f t="shared" si="140"/>
        <v>2.3653298103703254E-5</v>
      </c>
      <c r="AK164" s="882">
        <f t="shared" si="140"/>
        <v>2.3949548642862892E-5</v>
      </c>
      <c r="AL164" s="882">
        <f t="shared" si="140"/>
        <v>2.4249509632107316E-5</v>
      </c>
      <c r="AM164" s="882">
        <f t="shared" si="140"/>
        <v>2.4553227543722386E-5</v>
      </c>
      <c r="AN164" s="882">
        <f t="shared" si="140"/>
        <v>2.48607494320461E-5</v>
      </c>
      <c r="AO164" s="882">
        <f t="shared" si="140"/>
        <v>2.5172122940757949E-5</v>
      </c>
      <c r="AP164" s="882">
        <f t="shared" si="140"/>
        <v>2.5487396310260062E-5</v>
      </c>
      <c r="AQ164" s="882">
        <f t="shared" si="140"/>
        <v>2.5806618385151394E-5</v>
      </c>
      <c r="AR164" s="882">
        <f t="shared" si="140"/>
        <v>2.6129838621795217E-5</v>
      </c>
      <c r="AS164" s="882">
        <f t="shared" si="140"/>
        <v>2.6457107095981169E-5</v>
      </c>
      <c r="AT164" s="882">
        <f t="shared" si="140"/>
        <v>2.6788474510682579E-5</v>
      </c>
      <c r="AU164" s="882">
        <f t="shared" si="140"/>
        <v>2.7123992203913341E-5</v>
      </c>
      <c r="AV164" s="882">
        <f t="shared" si="140"/>
        <v>2.7463712156680074E-5</v>
      </c>
      <c r="AW164" s="882">
        <f t="shared" si="140"/>
        <v>2.780768700103651E-5</v>
      </c>
      <c r="AX164" s="882">
        <f t="shared" si="140"/>
        <v>2.815597002823745E-5</v>
      </c>
      <c r="AY164" s="882">
        <f t="shared" si="140"/>
        <v>2.8508615196993756E-5</v>
      </c>
      <c r="AZ164" s="882">
        <f t="shared" si="140"/>
        <v>2.8865677141834645E-5</v>
      </c>
      <c r="BA164" s="882">
        <f t="shared" si="140"/>
        <v>2.9227211181569092E-5</v>
      </c>
      <c r="BB164" s="882">
        <f t="shared" si="140"/>
        <v>2.9593273327858749E-5</v>
      </c>
      <c r="BC164" s="882">
        <f t="shared" si="140"/>
        <v>2.996392029389427E-5</v>
      </c>
      <c r="BD164" s="882">
        <f t="shared" si="140"/>
        <v>3.0339209503182718E-5</v>
      </c>
      <c r="BE164" s="882">
        <f t="shared" si="140"/>
        <v>3.0719199098443029E-5</v>
      </c>
      <c r="BF164" s="882">
        <f t="shared" si="140"/>
        <v>3.1103947950614093E-5</v>
      </c>
      <c r="BG164" s="882">
        <f t="shared" si="140"/>
        <v>3.1493515667977081E-5</v>
      </c>
      <c r="BH164" s="882">
        <f t="shared" si="140"/>
        <v>3.1887962605387688E-5</v>
      </c>
      <c r="BI164" s="882">
        <f t="shared" si="140"/>
        <v>3.228734987362951E-5</v>
      </c>
      <c r="BJ164" s="882">
        <f t="shared" si="140"/>
        <v>3.2691739348880122E-5</v>
      </c>
      <c r="BK164" s="882">
        <f t="shared" si="140"/>
        <v>3.3101193682297102E-5</v>
      </c>
      <c r="BL164" s="882">
        <f t="shared" si="140"/>
        <v>3.3515776309726748E-5</v>
      </c>
      <c r="BM164" s="882">
        <f t="shared" si="140"/>
        <v>3.3935551461528927E-5</v>
      </c>
      <c r="BN164" s="882">
        <f t="shared" si="140"/>
        <v>3.4360584172531166E-5</v>
      </c>
      <c r="BO164" s="882">
        <f t="shared" si="140"/>
        <v>3.4790940292101564E-5</v>
      </c>
      <c r="BP164" s="882">
        <f t="shared" si="140"/>
        <v>3.5226686494352891E-5</v>
      </c>
      <c r="BQ164" s="882">
        <f t="shared" si="140"/>
        <v>3.5667890288470911E-5</v>
      </c>
      <c r="BR164" s="614"/>
    </row>
    <row r="165" spans="2:70" ht="14.25" customHeight="1" x14ac:dyDescent="0.35">
      <c r="B165" s="546" t="s">
        <v>95</v>
      </c>
      <c r="C165" s="545"/>
      <c r="D165" s="875" t="s">
        <v>95</v>
      </c>
      <c r="E165" s="876" t="s">
        <v>95</v>
      </c>
      <c r="F165" s="877" t="s">
        <v>24</v>
      </c>
      <c r="G165" s="877" t="s">
        <v>95</v>
      </c>
      <c r="H165" s="877" t="s">
        <v>95</v>
      </c>
      <c r="I165" s="877">
        <v>1.15E-2</v>
      </c>
      <c r="J165" s="877" t="s">
        <v>95</v>
      </c>
      <c r="K165" s="877">
        <v>1.15E-2</v>
      </c>
      <c r="L165" s="877" t="s">
        <v>95</v>
      </c>
      <c r="M165" s="877">
        <v>1.15E-2</v>
      </c>
      <c r="N165" s="877" t="s">
        <v>95</v>
      </c>
      <c r="O165" s="877">
        <v>3.46E-3</v>
      </c>
      <c r="P165" s="877" t="s">
        <v>95</v>
      </c>
      <c r="Q165" s="883">
        <f t="shared" ref="Q165:BQ165" si="141">SUM(Q160:Q164)</f>
        <v>7.7009625000000002E-3</v>
      </c>
      <c r="R165" s="883">
        <f t="shared" si="141"/>
        <v>3.3550152915034809E-3</v>
      </c>
      <c r="S165" s="883">
        <f t="shared" si="141"/>
        <v>4.8344607967914684E-3</v>
      </c>
      <c r="T165" s="883">
        <f t="shared" si="141"/>
        <v>6.395764204260186E-3</v>
      </c>
      <c r="U165" s="883">
        <f t="shared" si="141"/>
        <v>6.4068554381894686E-3</v>
      </c>
      <c r="V165" s="883">
        <f t="shared" si="141"/>
        <v>6.1150093835171991E-3</v>
      </c>
      <c r="W165" s="883">
        <f t="shared" si="141"/>
        <v>6.1864799718269053E-3</v>
      </c>
      <c r="X165" s="883">
        <f t="shared" si="141"/>
        <v>5.7478836281245373E-3</v>
      </c>
      <c r="Y165" s="883">
        <f t="shared" si="141"/>
        <v>5.4891563080948138E-3</v>
      </c>
      <c r="Z165" s="883">
        <f t="shared" si="141"/>
        <v>5.7901384066719186E-3</v>
      </c>
      <c r="AA165" s="883">
        <f t="shared" si="141"/>
        <v>5.5446066710578149E-3</v>
      </c>
      <c r="AB165" s="883">
        <f t="shared" si="141"/>
        <v>4.9994846244722268E-3</v>
      </c>
      <c r="AC165" s="883">
        <f t="shared" si="141"/>
        <v>5.0815998542268724E-3</v>
      </c>
      <c r="AD165" s="883">
        <f t="shared" si="141"/>
        <v>5.4171089858341985E-3</v>
      </c>
      <c r="AE165" s="883">
        <f t="shared" si="141"/>
        <v>4.9584393904152204E-3</v>
      </c>
      <c r="AF165" s="883">
        <f t="shared" si="141"/>
        <v>5.1425662882049515E-3</v>
      </c>
      <c r="AG165" s="883">
        <f t="shared" si="141"/>
        <v>4.8062036094880566E-3</v>
      </c>
      <c r="AH165" s="883">
        <f t="shared" si="141"/>
        <v>4.800613607326751E-3</v>
      </c>
      <c r="AI165" s="883">
        <f t="shared" si="141"/>
        <v>4.9128689075201501E-3</v>
      </c>
      <c r="AJ165" s="883">
        <f t="shared" si="141"/>
        <v>4.786608365433832E-3</v>
      </c>
      <c r="AK165" s="883">
        <f t="shared" si="141"/>
        <v>4.8620594287879688E-3</v>
      </c>
      <c r="AL165" s="883">
        <f t="shared" si="141"/>
        <v>5.0377032769389528E-3</v>
      </c>
      <c r="AM165" s="883">
        <f t="shared" si="141"/>
        <v>4.9390375226404113E-3</v>
      </c>
      <c r="AN165" s="883">
        <f t="shared" si="141"/>
        <v>5.0275744272585072E-3</v>
      </c>
      <c r="AO165" s="883">
        <f t="shared" si="141"/>
        <v>5.0469849613006441E-3</v>
      </c>
      <c r="AP165" s="883">
        <f t="shared" si="141"/>
        <v>4.8297283639863265E-3</v>
      </c>
      <c r="AQ165" s="883">
        <f t="shared" si="141"/>
        <v>5.1425093206481044E-3</v>
      </c>
      <c r="AR165" s="883">
        <f t="shared" si="141"/>
        <v>4.9955286842239916E-3</v>
      </c>
      <c r="AS165" s="883">
        <f t="shared" si="141"/>
        <v>5.2859775862512818E-3</v>
      </c>
      <c r="AT165" s="883">
        <f t="shared" si="141"/>
        <v>5.042940628571321E-3</v>
      </c>
      <c r="AU165" s="883">
        <f t="shared" si="141"/>
        <v>5.0092601137967877E-3</v>
      </c>
      <c r="AV165" s="883">
        <f t="shared" si="141"/>
        <v>5.0384021198033885E-3</v>
      </c>
      <c r="AW165" s="883">
        <f t="shared" si="141"/>
        <v>5.0017918463818329E-3</v>
      </c>
      <c r="AX165" s="883">
        <f t="shared" si="141"/>
        <v>4.782949138356511E-3</v>
      </c>
      <c r="AY165" s="883">
        <f t="shared" si="141"/>
        <v>4.7876246901226004E-3</v>
      </c>
      <c r="AZ165" s="883">
        <f t="shared" si="141"/>
        <v>4.7846529274706744E-3</v>
      </c>
      <c r="BA165" s="883">
        <f t="shared" si="141"/>
        <v>4.7902636374780455E-3</v>
      </c>
      <c r="BB165" s="883">
        <f t="shared" si="141"/>
        <v>4.7910171618823581E-3</v>
      </c>
      <c r="BC165" s="883">
        <f t="shared" si="141"/>
        <v>4.7794495034129553E-3</v>
      </c>
      <c r="BD165" s="883">
        <f t="shared" si="141"/>
        <v>4.7740501189093825E-3</v>
      </c>
      <c r="BE165" s="883">
        <f t="shared" si="141"/>
        <v>4.7619483066019307E-3</v>
      </c>
      <c r="BF165" s="883">
        <f t="shared" si="141"/>
        <v>4.7475813607089582E-3</v>
      </c>
      <c r="BG165" s="883">
        <f t="shared" si="141"/>
        <v>4.7474710906711872E-3</v>
      </c>
      <c r="BH165" s="883">
        <f t="shared" si="141"/>
        <v>4.7252478525437762E-3</v>
      </c>
      <c r="BI165" s="883">
        <f t="shared" si="141"/>
        <v>4.7117727441779011E-3</v>
      </c>
      <c r="BJ165" s="883">
        <f t="shared" si="141"/>
        <v>4.6767938385251298E-3</v>
      </c>
      <c r="BK165" s="883">
        <f t="shared" si="141"/>
        <v>4.6564400256787833E-3</v>
      </c>
      <c r="BL165" s="883">
        <f t="shared" si="141"/>
        <v>4.636962675226365E-3</v>
      </c>
      <c r="BM165" s="883">
        <f t="shared" si="141"/>
        <v>4.613988809582031E-3</v>
      </c>
      <c r="BN165" s="883">
        <f t="shared" si="141"/>
        <v>4.5918944288724853E-3</v>
      </c>
      <c r="BO165" s="883">
        <f t="shared" si="141"/>
        <v>4.5835229156535526E-3</v>
      </c>
      <c r="BP165" s="883">
        <f t="shared" si="141"/>
        <v>4.5741585848423794E-3</v>
      </c>
      <c r="BQ165" s="883">
        <f t="shared" si="141"/>
        <v>4.5642588011924673E-3</v>
      </c>
      <c r="BR165" s="614"/>
    </row>
    <row r="166" spans="2:70" ht="14.25" customHeight="1" x14ac:dyDescent="0.35">
      <c r="B166" s="546" t="s">
        <v>95</v>
      </c>
      <c r="C166" s="545"/>
      <c r="D166" s="875" t="s">
        <v>95</v>
      </c>
      <c r="E166" s="876" t="s">
        <v>95</v>
      </c>
      <c r="F166" s="876" t="s">
        <v>95</v>
      </c>
      <c r="G166" s="876" t="s">
        <v>95</v>
      </c>
      <c r="H166" s="876" t="s">
        <v>95</v>
      </c>
      <c r="I166" s="876" t="s">
        <v>95</v>
      </c>
      <c r="J166" s="876" t="s">
        <v>95</v>
      </c>
      <c r="K166" s="876" t="s">
        <v>95</v>
      </c>
      <c r="L166" s="876" t="s">
        <v>95</v>
      </c>
      <c r="M166" s="876" t="s">
        <v>95</v>
      </c>
      <c r="N166" s="876" t="s">
        <v>95</v>
      </c>
      <c r="O166" s="876" t="s">
        <v>95</v>
      </c>
      <c r="P166" s="876" t="s">
        <v>95</v>
      </c>
      <c r="Q166" s="876" t="s">
        <v>95</v>
      </c>
      <c r="R166" s="876" t="s">
        <v>95</v>
      </c>
      <c r="S166" s="876" t="s">
        <v>95</v>
      </c>
      <c r="T166" s="876" t="s">
        <v>95</v>
      </c>
      <c r="U166" s="876" t="s">
        <v>95</v>
      </c>
      <c r="V166" s="876" t="s">
        <v>95</v>
      </c>
      <c r="W166" s="876" t="s">
        <v>95</v>
      </c>
      <c r="X166" s="876" t="s">
        <v>95</v>
      </c>
      <c r="Y166" s="876" t="s">
        <v>95</v>
      </c>
      <c r="Z166" s="876" t="s">
        <v>95</v>
      </c>
      <c r="AA166" s="876" t="s">
        <v>95</v>
      </c>
      <c r="AB166" s="876" t="s">
        <v>95</v>
      </c>
      <c r="AC166" s="876" t="s">
        <v>95</v>
      </c>
      <c r="AD166" s="876" t="s">
        <v>95</v>
      </c>
      <c r="AE166" s="876" t="s">
        <v>95</v>
      </c>
      <c r="AF166" s="876" t="s">
        <v>95</v>
      </c>
      <c r="AG166" s="876" t="s">
        <v>95</v>
      </c>
      <c r="AH166" s="876" t="s">
        <v>95</v>
      </c>
      <c r="AI166" s="876" t="s">
        <v>95</v>
      </c>
      <c r="AJ166" s="876" t="s">
        <v>95</v>
      </c>
      <c r="AK166" s="876" t="s">
        <v>95</v>
      </c>
      <c r="AL166" s="876" t="s">
        <v>95</v>
      </c>
      <c r="AM166" s="876" t="s">
        <v>95</v>
      </c>
      <c r="AN166" s="876" t="s">
        <v>95</v>
      </c>
      <c r="AO166" s="876" t="s">
        <v>95</v>
      </c>
      <c r="AP166" s="876" t="s">
        <v>95</v>
      </c>
      <c r="AQ166" s="876" t="s">
        <v>95</v>
      </c>
      <c r="AR166" s="876" t="s">
        <v>95</v>
      </c>
      <c r="AS166" s="876" t="s">
        <v>95</v>
      </c>
      <c r="AT166" s="876" t="s">
        <v>95</v>
      </c>
      <c r="AU166" s="876" t="s">
        <v>95</v>
      </c>
      <c r="AV166" s="876" t="s">
        <v>95</v>
      </c>
      <c r="AW166" s="876" t="s">
        <v>95</v>
      </c>
      <c r="AX166" s="876" t="s">
        <v>95</v>
      </c>
      <c r="AY166" s="876"/>
      <c r="AZ166" s="876"/>
      <c r="BA166" s="876"/>
      <c r="BB166" s="876"/>
      <c r="BC166" s="876"/>
      <c r="BD166" s="876"/>
      <c r="BE166" s="876"/>
      <c r="BF166" s="876"/>
      <c r="BG166" s="876"/>
      <c r="BH166" s="876"/>
      <c r="BI166" s="876"/>
      <c r="BJ166" s="876"/>
      <c r="BK166" s="876"/>
      <c r="BL166" s="876"/>
      <c r="BM166" s="876"/>
      <c r="BN166" s="876"/>
      <c r="BO166" s="876"/>
      <c r="BP166" s="876"/>
      <c r="BQ166" s="876"/>
      <c r="BR166" s="614"/>
    </row>
    <row r="167" spans="2:70" ht="14.25" customHeight="1" x14ac:dyDescent="0.35">
      <c r="B167" s="957"/>
      <c r="C167" s="552"/>
      <c r="D167" s="565"/>
      <c r="E167" s="550" t="s">
        <v>150</v>
      </c>
      <c r="F167" s="631" t="s">
        <v>110</v>
      </c>
      <c r="G167" s="549"/>
      <c r="H167" s="549"/>
      <c r="I167" s="549"/>
      <c r="J167" s="549"/>
      <c r="K167" s="549"/>
      <c r="L167" s="549"/>
      <c r="M167" s="549"/>
      <c r="N167" s="549"/>
      <c r="O167" s="549"/>
      <c r="P167" s="549"/>
      <c r="Q167" s="549"/>
      <c r="R167" s="881"/>
      <c r="S167" s="881"/>
      <c r="T167" s="881"/>
      <c r="U167" s="881"/>
      <c r="V167" s="881"/>
      <c r="W167" s="881"/>
      <c r="X167" s="881"/>
      <c r="Y167" s="881"/>
      <c r="Z167" s="881"/>
      <c r="AA167" s="881"/>
      <c r="AB167" s="881"/>
      <c r="AC167" s="881"/>
      <c r="AD167" s="881"/>
      <c r="AE167" s="881"/>
      <c r="AF167" s="881"/>
      <c r="AG167" s="881"/>
      <c r="AH167" s="881"/>
      <c r="AI167" s="881"/>
      <c r="AJ167" s="881"/>
      <c r="AK167" s="881"/>
      <c r="AL167" s="881"/>
      <c r="AM167" s="881"/>
      <c r="AN167" s="881"/>
      <c r="AO167" s="881"/>
      <c r="AP167" s="881"/>
      <c r="AQ167" s="881"/>
      <c r="AR167" s="881"/>
      <c r="AS167" s="881"/>
      <c r="AT167" s="881"/>
      <c r="AU167" s="881"/>
      <c r="AV167" s="881"/>
      <c r="AW167" s="879"/>
      <c r="AX167" s="879"/>
      <c r="AY167" s="879"/>
      <c r="AZ167" s="879"/>
      <c r="BA167" s="879"/>
      <c r="BB167" s="879"/>
      <c r="BC167" s="879"/>
      <c r="BD167" s="879"/>
      <c r="BE167" s="879"/>
      <c r="BF167" s="879"/>
      <c r="BG167" s="879"/>
      <c r="BH167" s="879"/>
      <c r="BI167" s="879"/>
      <c r="BJ167" s="879"/>
      <c r="BK167" s="879"/>
      <c r="BL167" s="879"/>
      <c r="BM167" s="879"/>
      <c r="BN167" s="879"/>
      <c r="BO167" s="879"/>
      <c r="BP167" s="879"/>
      <c r="BQ167" s="879"/>
      <c r="BR167" s="614"/>
    </row>
    <row r="168" spans="2:70" ht="14.25" customHeight="1" x14ac:dyDescent="0.35">
      <c r="B168" s="1151" t="s">
        <v>140</v>
      </c>
      <c r="C168" s="547">
        <v>0.02</v>
      </c>
      <c r="D168" s="1152" t="s">
        <v>99</v>
      </c>
      <c r="E168" s="1153"/>
      <c r="F168" s="872" t="s">
        <v>82</v>
      </c>
      <c r="G168" s="872" t="s">
        <v>95</v>
      </c>
      <c r="H168" s="872" t="s">
        <v>95</v>
      </c>
      <c r="I168" s="872">
        <v>0</v>
      </c>
      <c r="J168" s="872" t="s">
        <v>95</v>
      </c>
      <c r="K168" s="872">
        <v>8.0000000000000015E-4</v>
      </c>
      <c r="L168" s="872"/>
      <c r="M168" s="872">
        <v>8.0000000000000015E-4</v>
      </c>
      <c r="N168" s="872"/>
      <c r="O168" s="872">
        <v>2.0500000000000002E-3</v>
      </c>
      <c r="P168" s="872"/>
      <c r="Q168" s="872">
        <v>1.6100000000000001E-3</v>
      </c>
      <c r="R168" s="882">
        <f>(R66)*$C$168</f>
        <v>1.8771509295000045E-3</v>
      </c>
      <c r="S168" s="882">
        <f t="shared" ref="S168:BQ168" si="142">(S66)*$C$168</f>
        <v>1.9432566766332826E-3</v>
      </c>
      <c r="T168" s="882">
        <f t="shared" si="142"/>
        <v>1.9284879258908562E-3</v>
      </c>
      <c r="U168" s="882">
        <f t="shared" si="142"/>
        <v>1.9138314176541016E-3</v>
      </c>
      <c r="V168" s="882">
        <f t="shared" si="142"/>
        <v>1.8992862988799076E-3</v>
      </c>
      <c r="W168" s="882">
        <f t="shared" si="142"/>
        <v>1.8848517230084384E-3</v>
      </c>
      <c r="X168" s="882">
        <f t="shared" si="142"/>
        <v>1.8705268499135742E-3</v>
      </c>
      <c r="Y168" s="882">
        <f t="shared" si="142"/>
        <v>1.8563108458542388E-3</v>
      </c>
      <c r="Z168" s="882">
        <f t="shared" si="142"/>
        <v>1.8422028834257276E-3</v>
      </c>
      <c r="AA168" s="882">
        <f t="shared" si="142"/>
        <v>1.82820214151171E-3</v>
      </c>
      <c r="AB168" s="882">
        <f t="shared" si="142"/>
        <v>1.8143078052361972E-3</v>
      </c>
      <c r="AC168" s="882">
        <f t="shared" si="142"/>
        <v>1.8005190659164327E-3</v>
      </c>
      <c r="AD168" s="882">
        <f t="shared" si="142"/>
        <v>1.7868351210154642E-3</v>
      </c>
      <c r="AE168" s="882">
        <f t="shared" si="142"/>
        <v>1.7732551740957448E-3</v>
      </c>
      <c r="AF168" s="882">
        <f t="shared" si="142"/>
        <v>1.7597784347725921E-3</v>
      </c>
      <c r="AG168" s="882">
        <f t="shared" si="142"/>
        <v>1.7464041186683232E-3</v>
      </c>
      <c r="AH168" s="882">
        <f t="shared" si="142"/>
        <v>1.7331314473664605E-3</v>
      </c>
      <c r="AI168" s="882">
        <f t="shared" si="142"/>
        <v>1.7199596483664693E-3</v>
      </c>
      <c r="AJ168" s="882">
        <f t="shared" si="142"/>
        <v>1.7068879550388872E-3</v>
      </c>
      <c r="AK168" s="882">
        <f t="shared" si="142"/>
        <v>1.6939156065805961E-3</v>
      </c>
      <c r="AL168" s="882">
        <f t="shared" si="142"/>
        <v>1.6810418479705903E-3</v>
      </c>
      <c r="AM168" s="882">
        <f t="shared" si="142"/>
        <v>1.668265929925994E-3</v>
      </c>
      <c r="AN168" s="882">
        <f t="shared" si="142"/>
        <v>1.655587108858576E-3</v>
      </c>
      <c r="AO168" s="882">
        <f t="shared" si="142"/>
        <v>1.6430046468312298E-3</v>
      </c>
      <c r="AP168" s="882">
        <f t="shared" si="142"/>
        <v>1.6305178115153041E-3</v>
      </c>
      <c r="AQ168" s="882">
        <f t="shared" si="142"/>
        <v>1.6181258761477934E-3</v>
      </c>
      <c r="AR168" s="882">
        <f t="shared" si="142"/>
        <v>1.6058281194890967E-3</v>
      </c>
      <c r="AS168" s="882">
        <f t="shared" si="142"/>
        <v>1.593623825780952E-3</v>
      </c>
      <c r="AT168" s="882">
        <f t="shared" si="142"/>
        <v>1.5815122847050134E-3</v>
      </c>
      <c r="AU168" s="882">
        <f t="shared" si="142"/>
        <v>1.5694927913412827E-3</v>
      </c>
      <c r="AV168" s="882">
        <f t="shared" si="142"/>
        <v>1.5575646461270765E-3</v>
      </c>
      <c r="AW168" s="882">
        <f t="shared" si="142"/>
        <v>1.5457271548165253E-3</v>
      </c>
      <c r="AX168" s="882">
        <f t="shared" si="142"/>
        <v>1.5339796284398943E-3</v>
      </c>
      <c r="AY168" s="882">
        <f t="shared" si="142"/>
        <v>1.5223213832637583E-3</v>
      </c>
      <c r="AZ168" s="882">
        <f t="shared" si="142"/>
        <v>1.5107517407509619E-3</v>
      </c>
      <c r="BA168" s="882">
        <f t="shared" si="142"/>
        <v>1.4992700275212557E-3</v>
      </c>
      <c r="BB168" s="882">
        <f t="shared" si="142"/>
        <v>1.4878755753120743E-3</v>
      </c>
      <c r="BC168" s="882">
        <f t="shared" si="142"/>
        <v>1.4765677209397055E-3</v>
      </c>
      <c r="BD168" s="882">
        <f t="shared" si="142"/>
        <v>1.4653458062605651E-3</v>
      </c>
      <c r="BE168" s="882">
        <f t="shared" si="142"/>
        <v>1.4542091781330059E-3</v>
      </c>
      <c r="BF168" s="882">
        <f t="shared" si="142"/>
        <v>1.4431571883791962E-3</v>
      </c>
      <c r="BG168" s="882">
        <f t="shared" si="142"/>
        <v>1.4321891937474974E-3</v>
      </c>
      <c r="BH168" s="882">
        <f t="shared" si="142"/>
        <v>1.4213045558750181E-3</v>
      </c>
      <c r="BI168" s="882">
        <f t="shared" si="142"/>
        <v>1.4105026412503819E-3</v>
      </c>
      <c r="BJ168" s="882">
        <f t="shared" si="142"/>
        <v>1.3997828211768848E-3</v>
      </c>
      <c r="BK168" s="882">
        <f t="shared" si="142"/>
        <v>1.3891444717359391E-3</v>
      </c>
      <c r="BL168" s="882">
        <f t="shared" si="142"/>
        <v>1.3785869737507285E-3</v>
      </c>
      <c r="BM168" s="882">
        <f t="shared" si="142"/>
        <v>1.3681097127502184E-3</v>
      </c>
      <c r="BN168" s="882">
        <f t="shared" si="142"/>
        <v>1.3577120789333109E-3</v>
      </c>
      <c r="BO168" s="882">
        <f t="shared" si="142"/>
        <v>1.3473934671334221E-3</v>
      </c>
      <c r="BP168" s="882">
        <f t="shared" si="142"/>
        <v>1.3371532767832051E-3</v>
      </c>
      <c r="BQ168" s="882">
        <f t="shared" si="142"/>
        <v>1.326990911879662E-3</v>
      </c>
      <c r="BR168" s="614"/>
    </row>
    <row r="169" spans="2:70" ht="14.25" customHeight="1" x14ac:dyDescent="0.35">
      <c r="B169" s="1151"/>
      <c r="C169" s="547">
        <v>1.35E-2</v>
      </c>
      <c r="D169" s="1152" t="s">
        <v>101</v>
      </c>
      <c r="E169" s="1153"/>
      <c r="F169" s="872" t="s">
        <v>82</v>
      </c>
      <c r="G169" s="872" t="s">
        <v>95</v>
      </c>
      <c r="H169" s="872" t="s">
        <v>95</v>
      </c>
      <c r="I169" s="872">
        <v>3.0000000000000001E-5</v>
      </c>
      <c r="J169" s="872" t="s">
        <v>95</v>
      </c>
      <c r="K169" s="872">
        <v>3.0000000000000001E-5</v>
      </c>
      <c r="L169" s="872" t="s">
        <v>95</v>
      </c>
      <c r="M169" s="872">
        <v>3.0000000000000001E-5</v>
      </c>
      <c r="N169" s="872" t="s">
        <v>95</v>
      </c>
      <c r="O169" s="872">
        <v>1.8000000000000001E-4</v>
      </c>
      <c r="P169" s="872" t="s">
        <v>95</v>
      </c>
      <c r="Q169" s="872">
        <v>1.8000000000000001E-4</v>
      </c>
      <c r="R169" s="882">
        <f t="shared" ref="R169:T169" si="143">(R70-Q70)*$C$169</f>
        <v>1.9936331417599874E-9</v>
      </c>
      <c r="S169" s="882">
        <f t="shared" si="143"/>
        <v>-1.2825707126749991E-6</v>
      </c>
      <c r="T169" s="882">
        <f t="shared" si="143"/>
        <v>6.969764787489105E-7</v>
      </c>
      <c r="U169" s="882">
        <f>(U70-T70)*$C$169</f>
        <v>4.4451518698786914E-7</v>
      </c>
      <c r="V169" s="882">
        <f t="shared" ref="V169:BQ169" si="144">(V70-U70)*$C$169</f>
        <v>5.105070884717441E-7</v>
      </c>
      <c r="W169" s="882">
        <f t="shared" si="144"/>
        <v>4.9419227000235823E-7</v>
      </c>
      <c r="X169" s="882">
        <f t="shared" si="144"/>
        <v>4.4490647491499114E-7</v>
      </c>
      <c r="Y169" s="882">
        <f t="shared" si="144"/>
        <v>3.790967330463829E-7</v>
      </c>
      <c r="Z169" s="882">
        <f t="shared" si="144"/>
        <v>5.2505805766355636E-7</v>
      </c>
      <c r="AA169" s="882">
        <f t="shared" si="144"/>
        <v>4.6937676578840541E-7</v>
      </c>
      <c r="AB169" s="882">
        <f t="shared" si="144"/>
        <v>3.622528355829435E-7</v>
      </c>
      <c r="AC169" s="882">
        <f t="shared" si="144"/>
        <v>3.9303281795695365E-7</v>
      </c>
      <c r="AD169" s="882">
        <f t="shared" si="144"/>
        <v>5.2280929136594431E-7</v>
      </c>
      <c r="AE169" s="882">
        <f t="shared" si="144"/>
        <v>4.0725387871619334E-7</v>
      </c>
      <c r="AF169" s="882">
        <f t="shared" si="144"/>
        <v>4.7746397395567048E-7</v>
      </c>
      <c r="AG169" s="882">
        <f t="shared" si="144"/>
        <v>3.9092021193383453E-7</v>
      </c>
      <c r="AH169" s="882">
        <f t="shared" si="144"/>
        <v>3.9064931281782012E-7</v>
      </c>
      <c r="AI169" s="882">
        <f t="shared" si="144"/>
        <v>4.2202975119118997E-7</v>
      </c>
      <c r="AJ169" s="882">
        <f t="shared" si="144"/>
        <v>3.7508330089607716E-7</v>
      </c>
      <c r="AK169" s="882">
        <f t="shared" si="144"/>
        <v>3.873328645471255E-7</v>
      </c>
      <c r="AL169" s="882">
        <f t="shared" si="144"/>
        <v>4.1692563705952865E-7</v>
      </c>
      <c r="AM169" s="882">
        <f t="shared" si="144"/>
        <v>3.7573794150386199E-7</v>
      </c>
      <c r="AN169" s="882">
        <f t="shared" si="144"/>
        <v>3.7766152127127058E-7</v>
      </c>
      <c r="AO169" s="882">
        <f t="shared" si="144"/>
        <v>3.6873107582462843E-7</v>
      </c>
      <c r="AP169" s="882">
        <f t="shared" si="144"/>
        <v>2.8955667588548286E-7</v>
      </c>
      <c r="AQ169" s="882">
        <f t="shared" si="144"/>
        <v>3.6284344072417402E-7</v>
      </c>
      <c r="AR169" s="882">
        <f t="shared" si="144"/>
        <v>3.0785053544674786E-7</v>
      </c>
      <c r="AS169" s="882">
        <f t="shared" si="144"/>
        <v>3.7863968954521265E-7</v>
      </c>
      <c r="AT169" s="882">
        <f t="shared" si="144"/>
        <v>3.0532097923100657E-7</v>
      </c>
      <c r="AU169" s="882">
        <f t="shared" si="144"/>
        <v>2.9691931106844844E-7</v>
      </c>
      <c r="AV169" s="882">
        <f t="shared" si="144"/>
        <v>3.0249558499168689E-7</v>
      </c>
      <c r="AW169" s="882">
        <f t="shared" si="144"/>
        <v>2.9934770250682197E-7</v>
      </c>
      <c r="AX169" s="882">
        <f t="shared" si="144"/>
        <v>3.3387554855236757E-7</v>
      </c>
      <c r="AY169" s="882">
        <f t="shared" si="144"/>
        <v>2.982084010456493E-7</v>
      </c>
      <c r="AZ169" s="882">
        <f t="shared" si="144"/>
        <v>2.9314428295278137E-7</v>
      </c>
      <c r="BA169" s="882">
        <f t="shared" si="144"/>
        <v>2.9736435861351522E-7</v>
      </c>
      <c r="BB169" s="882">
        <f t="shared" si="144"/>
        <v>2.9490209767556173E-7</v>
      </c>
      <c r="BC169" s="882">
        <f t="shared" si="144"/>
        <v>2.9779934532610243E-7</v>
      </c>
      <c r="BD169" s="882">
        <f t="shared" si="144"/>
        <v>2.8342685462440232E-7</v>
      </c>
      <c r="BE169" s="882">
        <f t="shared" si="144"/>
        <v>2.8139440144701876E-7</v>
      </c>
      <c r="BF169" s="882">
        <f t="shared" si="144"/>
        <v>2.7927697539221335E-7</v>
      </c>
      <c r="BG169" s="882">
        <f t="shared" si="144"/>
        <v>2.7593564314164211E-7</v>
      </c>
      <c r="BH169" s="882">
        <f t="shared" si="144"/>
        <v>2.7153728571705644E-7</v>
      </c>
      <c r="BI169" s="882">
        <f t="shared" si="144"/>
        <v>2.6797607274966359E-7</v>
      </c>
      <c r="BJ169" s="882">
        <f t="shared" si="144"/>
        <v>2.647801961112098E-7</v>
      </c>
      <c r="BK169" s="882">
        <f t="shared" si="144"/>
        <v>2.6170770606288862E-7</v>
      </c>
      <c r="BL169" s="882">
        <f t="shared" si="144"/>
        <v>2.5797503085690094E-7</v>
      </c>
      <c r="BM169" s="882">
        <f t="shared" si="144"/>
        <v>2.5428641796683417E-7</v>
      </c>
      <c r="BN169" s="882">
        <f t="shared" si="144"/>
        <v>2.5035085401672873E-7</v>
      </c>
      <c r="BO169" s="882">
        <f t="shared" si="144"/>
        <v>2.4700877804719604E-7</v>
      </c>
      <c r="BP169" s="882">
        <f t="shared" si="144"/>
        <v>2.4356347215717664E-7</v>
      </c>
      <c r="BQ169" s="882">
        <f t="shared" si="144"/>
        <v>2.4003128530186016E-7</v>
      </c>
      <c r="BR169" s="614"/>
    </row>
    <row r="170" spans="2:70" ht="14.25" customHeight="1" x14ac:dyDescent="0.35">
      <c r="B170" s="1151"/>
      <c r="C170" s="547">
        <v>0.10920000000000001</v>
      </c>
      <c r="D170" s="1152" t="s">
        <v>106</v>
      </c>
      <c r="E170" s="1153"/>
      <c r="F170" s="872" t="s">
        <v>82</v>
      </c>
      <c r="G170" s="872" t="s">
        <v>95</v>
      </c>
      <c r="H170" s="872" t="s">
        <v>95</v>
      </c>
      <c r="I170" s="872">
        <v>3.3800000000000002E-3</v>
      </c>
      <c r="J170" s="872" t="s">
        <v>95</v>
      </c>
      <c r="K170" s="872">
        <v>3.3800000000000002E-3</v>
      </c>
      <c r="L170" s="872" t="s">
        <v>95</v>
      </c>
      <c r="M170" s="872">
        <v>3.3800000000000002E-3</v>
      </c>
      <c r="N170" s="872" t="s">
        <v>95</v>
      </c>
      <c r="O170" s="872">
        <v>2.14E-3</v>
      </c>
      <c r="P170" s="872" t="s">
        <v>95</v>
      </c>
      <c r="Q170" s="872">
        <v>5.3200000000000001E-3</v>
      </c>
      <c r="R170" s="882">
        <f t="shared" ref="R170:T170" si="145">(R72-Q72)*$C$170</f>
        <v>2.3304543099217086E-3</v>
      </c>
      <c r="S170" s="882">
        <f t="shared" si="145"/>
        <v>5.1802576955760305E-4</v>
      </c>
      <c r="T170" s="882">
        <f t="shared" si="145"/>
        <v>4.9118974150863604E-3</v>
      </c>
      <c r="U170" s="882">
        <f>(U72-T72)*$C$170</f>
        <v>5.0527112902258361E-3</v>
      </c>
      <c r="V170" s="882">
        <f t="shared" ref="V170:BQ170" si="146">(V72-U72)*$C$170</f>
        <v>4.3663554687304075E-3</v>
      </c>
      <c r="W170" s="882">
        <f t="shared" si="146"/>
        <v>4.6696767052798356E-3</v>
      </c>
      <c r="X170" s="882">
        <f t="shared" si="146"/>
        <v>3.5791854803323602E-3</v>
      </c>
      <c r="Y170" s="882">
        <f t="shared" si="146"/>
        <v>2.9780303416702693E-3</v>
      </c>
      <c r="Z170" s="882">
        <f t="shared" si="146"/>
        <v>3.9063357248112331E-3</v>
      </c>
      <c r="AA170" s="882">
        <f t="shared" si="146"/>
        <v>3.3390426180781151E-3</v>
      </c>
      <c r="AB170" s="882">
        <f t="shared" si="146"/>
        <v>1.9523795109910251E-3</v>
      </c>
      <c r="AC170" s="882">
        <f t="shared" si="146"/>
        <v>2.2782443150327659E-3</v>
      </c>
      <c r="AD170" s="882">
        <f t="shared" si="146"/>
        <v>3.295945365067898E-3</v>
      </c>
      <c r="AE170" s="882">
        <f t="shared" si="146"/>
        <v>2.1414662744955893E-3</v>
      </c>
      <c r="AF170" s="882">
        <f t="shared" si="146"/>
        <v>2.7427733257626096E-3</v>
      </c>
      <c r="AG170" s="882">
        <f t="shared" si="146"/>
        <v>1.9203024102967324E-3</v>
      </c>
      <c r="AH170" s="882">
        <f t="shared" si="146"/>
        <v>2.0006995326965851E-3</v>
      </c>
      <c r="AI170" s="882">
        <f t="shared" si="146"/>
        <v>2.4022011852456613E-3</v>
      </c>
      <c r="AJ170" s="882">
        <f t="shared" si="146"/>
        <v>2.1504349229759957E-3</v>
      </c>
      <c r="AK170" s="882">
        <f t="shared" si="146"/>
        <v>2.4491216346039543E-3</v>
      </c>
      <c r="AL170" s="882">
        <f t="shared" si="146"/>
        <v>3.020472840376561E-3</v>
      </c>
      <c r="AM170" s="882">
        <f t="shared" si="146"/>
        <v>2.8411660360914931E-3</v>
      </c>
      <c r="AN170" s="882">
        <f t="shared" si="146"/>
        <v>3.1726494207472387E-3</v>
      </c>
      <c r="AO170" s="882">
        <f t="shared" si="146"/>
        <v>3.3144132031207307E-3</v>
      </c>
      <c r="AP170" s="882">
        <f t="shared" si="146"/>
        <v>2.8082542033597687E-3</v>
      </c>
      <c r="AQ170" s="882">
        <f t="shared" si="146"/>
        <v>3.7501345893275499E-3</v>
      </c>
      <c r="AR170" s="882">
        <f t="shared" si="146"/>
        <v>3.4343722979883716E-3</v>
      </c>
      <c r="AS170" s="882">
        <f t="shared" si="146"/>
        <v>4.3135136747590105E-3</v>
      </c>
      <c r="AT170" s="882">
        <f t="shared" si="146"/>
        <v>3.7339232714078915E-3</v>
      </c>
      <c r="AU170" s="882">
        <f t="shared" si="146"/>
        <v>3.7256187917822127E-3</v>
      </c>
      <c r="AV170" s="882">
        <f t="shared" si="146"/>
        <v>3.8884170587640461E-3</v>
      </c>
      <c r="AW170" s="882">
        <f t="shared" si="146"/>
        <v>3.8710738335268379E-3</v>
      </c>
      <c r="AX170" s="882">
        <f t="shared" si="146"/>
        <v>3.3557741090728698E-3</v>
      </c>
      <c r="AY170" s="882">
        <f t="shared" si="146"/>
        <v>3.4489588225757096E-3</v>
      </c>
      <c r="AZ170" s="882">
        <f t="shared" si="146"/>
        <v>3.520747421777153E-3</v>
      </c>
      <c r="BA170" s="882">
        <f t="shared" si="146"/>
        <v>3.6152094614140986E-3</v>
      </c>
      <c r="BB170" s="882">
        <f t="shared" si="146"/>
        <v>3.6954802208712116E-3</v>
      </c>
      <c r="BC170" s="882">
        <f t="shared" si="146"/>
        <v>3.7413388959816061E-3</v>
      </c>
      <c r="BD170" s="882">
        <f t="shared" si="146"/>
        <v>3.8030091298617338E-3</v>
      </c>
      <c r="BE170" s="882">
        <f t="shared" si="146"/>
        <v>3.8457172976187558E-3</v>
      </c>
      <c r="BF170" s="882">
        <f t="shared" si="146"/>
        <v>3.8814453039215718E-3</v>
      </c>
      <c r="BG170" s="882">
        <f t="shared" si="146"/>
        <v>3.9552989928027414E-3</v>
      </c>
      <c r="BH170" s="882">
        <f t="shared" si="146"/>
        <v>3.9680061011623117E-3</v>
      </c>
      <c r="BI170" s="882">
        <f t="shared" si="146"/>
        <v>4.0038548099289436E-3</v>
      </c>
      <c r="BJ170" s="882">
        <f t="shared" si="146"/>
        <v>3.9802670013171114E-3</v>
      </c>
      <c r="BK170" s="882">
        <f t="shared" si="146"/>
        <v>3.9958870356683355E-3</v>
      </c>
      <c r="BL170" s="882">
        <f t="shared" si="146"/>
        <v>4.013187385102336E-3</v>
      </c>
      <c r="BM170" s="882">
        <f t="shared" si="146"/>
        <v>4.0202537078409661E-3</v>
      </c>
      <c r="BN170" s="882">
        <f t="shared" si="146"/>
        <v>4.0290447445329725E-3</v>
      </c>
      <c r="BO170" s="882">
        <f t="shared" si="146"/>
        <v>4.0746486203879165E-3</v>
      </c>
      <c r="BP170" s="882">
        <f t="shared" si="146"/>
        <v>4.1168991685183714E-3</v>
      </c>
      <c r="BQ170" s="882">
        <f t="shared" si="146"/>
        <v>4.157061123378528E-3</v>
      </c>
      <c r="BR170" s="614"/>
    </row>
    <row r="171" spans="2:70" s="932" customFormat="1" ht="14.25" customHeight="1" x14ac:dyDescent="0.35">
      <c r="B171" s="1151"/>
      <c r="C171" s="929">
        <v>0.10920000000000001</v>
      </c>
      <c r="D171" s="1154" t="s">
        <v>146</v>
      </c>
      <c r="E171" s="1155"/>
      <c r="F171" s="930" t="s">
        <v>82</v>
      </c>
      <c r="G171" s="930"/>
      <c r="H171" s="930"/>
      <c r="I171" s="930"/>
      <c r="J171" s="930"/>
      <c r="K171" s="930"/>
      <c r="L171" s="930"/>
      <c r="M171" s="930"/>
      <c r="N171" s="930"/>
      <c r="O171" s="930"/>
      <c r="P171" s="930"/>
      <c r="Q171" s="930"/>
      <c r="R171" s="935">
        <f t="shared" ref="R171:T171" si="147">(R75-Q75)*$C$171</f>
        <v>4.1705840501790733E-3</v>
      </c>
      <c r="S171" s="935">
        <f t="shared" si="147"/>
        <v>1.0083277851839276E-2</v>
      </c>
      <c r="T171" s="935">
        <f t="shared" si="147"/>
        <v>5.5987025553080813E-3</v>
      </c>
      <c r="U171" s="935">
        <f>(U75-T75)*$C$171</f>
        <v>5.3816135312336364E-3</v>
      </c>
      <c r="V171" s="935">
        <f t="shared" ref="V171" si="148">(V75-U75)*$C$171</f>
        <v>5.991754844832004E-3</v>
      </c>
      <c r="W171" s="935">
        <f t="shared" ref="W171" si="149">(W75-V75)*$C$171</f>
        <v>5.6137075099821935E-3</v>
      </c>
      <c r="X171" s="935">
        <f t="shared" ref="X171" si="150">(X75-W75)*$C$171</f>
        <v>6.6303793028935302E-3</v>
      </c>
      <c r="Y171" s="935">
        <f t="shared" ref="Y171" si="151">(Y75-X75)*$C$171</f>
        <v>7.1588800423238027E-3</v>
      </c>
      <c r="Z171" s="935">
        <f t="shared" ref="Z171" si="152">(Z75-Y75)*$C$171</f>
        <v>6.1569166427094361E-3</v>
      </c>
      <c r="AA171" s="935">
        <f t="shared" ref="AA171" si="153">(AA75-Z75)*$C$171</f>
        <v>6.6530268752094919E-3</v>
      </c>
      <c r="AB171" s="935">
        <f t="shared" ref="AB171" si="154">(AB75-AA75)*$C$171</f>
        <v>7.9695223897567734E-3</v>
      </c>
      <c r="AC171" s="935">
        <f t="shared" ref="AC171" si="155">(AC75-AB75)*$C$171</f>
        <v>7.5733670280615194E-3</v>
      </c>
      <c r="AD171" s="935">
        <f t="shared" ref="AD171" si="156">(AD75-AC75)*$C$171</f>
        <v>6.4853204870613957E-3</v>
      </c>
      <c r="AE171" s="935">
        <f t="shared" ref="AE171" si="157">(AE75-AD75)*$C$171</f>
        <v>7.5722421761055371E-3</v>
      </c>
      <c r="AF171" s="935">
        <f t="shared" ref="AF171" si="158">(AF75-AE75)*$C$171</f>
        <v>6.9027181905102417E-3</v>
      </c>
      <c r="AG171" s="935">
        <f t="shared" ref="AG171" si="159">(AG75-AF75)*$C$171</f>
        <v>7.6589155007405936E-3</v>
      </c>
      <c r="AH171" s="935">
        <f t="shared" ref="AH171" si="160">(AH75-AG75)*$C$171</f>
        <v>7.5123351785615156E-3</v>
      </c>
      <c r="AI171" s="935">
        <f t="shared" ref="AI171" si="161">(AI75-AH75)*$C$171</f>
        <v>7.0450643929856763E-3</v>
      </c>
      <c r="AJ171" s="935">
        <f t="shared" ref="AJ171" si="162">(AJ75-AI75)*$C$171</f>
        <v>7.2325093154390991E-3</v>
      </c>
      <c r="AK171" s="935">
        <f t="shared" ref="AK171" si="163">(AK75-AJ75)*$C$171</f>
        <v>6.8696451764665321E-3</v>
      </c>
      <c r="AL171" s="935">
        <f t="shared" ref="AL171" si="164">(AL75-AK75)*$C$171</f>
        <v>6.2347009938753355E-3</v>
      </c>
      <c r="AM171" s="935">
        <f t="shared" ref="AM171" si="165">(AM75-AL75)*$C$171</f>
        <v>6.3516380504811338E-3</v>
      </c>
      <c r="AN171" s="935">
        <f t="shared" ref="AN171" si="166">(AN75-AM75)*$C$171</f>
        <v>5.9579651869537563E-3</v>
      </c>
      <c r="AO171" s="935">
        <f t="shared" ref="AO171" si="167">(AO75-AN75)*$C$171</f>
        <v>5.7546941060790937E-3</v>
      </c>
      <c r="AP171" s="935">
        <f t="shared" ref="AP171" si="168">(AP75-AO75)*$C$171</f>
        <v>6.2005884757581117E-3</v>
      </c>
      <c r="AQ171" s="935">
        <f t="shared" ref="AQ171" si="169">(AQ75-AP75)*$C$171</f>
        <v>5.1977245496289638E-3</v>
      </c>
      <c r="AR171" s="935">
        <f t="shared" ref="AR171" si="170">(AR75-AQ75)*$C$171</f>
        <v>5.4542069376647745E-3</v>
      </c>
      <c r="AS171" s="935">
        <f t="shared" ref="AS171" si="171">(AS75-AR75)*$C$171</f>
        <v>4.5152832947625695E-3</v>
      </c>
      <c r="AT171" s="935">
        <f t="shared" ref="AT171" si="172">(AT75-AS75)*$C$171</f>
        <v>5.036672632593827E-3</v>
      </c>
      <c r="AU171" s="935">
        <f t="shared" ref="AU171" si="173">(AU75-AT75)*$C$171</f>
        <v>4.9869447526242287E-3</v>
      </c>
      <c r="AV171" s="935">
        <f t="shared" ref="AV171" si="174">(AV75-AU75)*$C$171</f>
        <v>4.7663826280220176E-3</v>
      </c>
      <c r="AW171" s="935">
        <f t="shared" ref="AW171" si="175">(AW75-AV75)*$C$171</f>
        <v>4.7263916851613547E-3</v>
      </c>
      <c r="AX171" s="935">
        <f t="shared" ref="AX171" si="176">(AX75-AW75)*$C$171</f>
        <v>5.1846661815922067E-3</v>
      </c>
      <c r="AY171" s="935">
        <f t="shared" ref="AY171" si="177">(AY75-AX75)*$C$171</f>
        <v>5.035628663552982E-3</v>
      </c>
      <c r="AZ171" s="935">
        <f t="shared" ref="AZ171" si="178">(AZ75-AY75)*$C$171</f>
        <v>4.9083351065294205E-3</v>
      </c>
      <c r="BA171" s="935">
        <f t="shared" ref="BA171" si="179">(BA75-AZ75)*$C$171</f>
        <v>4.7588790115046286E-3</v>
      </c>
      <c r="BB171" s="935">
        <f t="shared" ref="BB171" si="180">(BB75-BA75)*$C$171</f>
        <v>4.6242447083795412E-3</v>
      </c>
      <c r="BC171" s="935">
        <f t="shared" ref="BC171" si="181">(BC75-BB75)*$C$171</f>
        <v>4.5245459069826414E-3</v>
      </c>
      <c r="BD171" s="935">
        <f t="shared" ref="BD171" si="182">(BD75-BC75)*$C$171</f>
        <v>4.4097321790013948E-3</v>
      </c>
      <c r="BE171" s="935">
        <f t="shared" ref="BE171" si="183">(BE75-BD75)*$C$171</f>
        <v>4.314327672791802E-3</v>
      </c>
      <c r="BF171" s="935">
        <f t="shared" ref="BF171" si="184">(BF75-BE75)*$C$171</f>
        <v>4.2264408922035009E-3</v>
      </c>
      <c r="BG171" s="935">
        <f t="shared" ref="BG171" si="185">(BG75-BF75)*$C$171</f>
        <v>4.1009649865093286E-3</v>
      </c>
      <c r="BH171" s="935">
        <f t="shared" ref="BH171" si="186">(BH75-BG75)*$C$171</f>
        <v>4.03716053265112E-3</v>
      </c>
      <c r="BI171" s="935">
        <f t="shared" ref="BI171" si="187">(BI75-BH75)*$C$171</f>
        <v>3.9507135815457697E-3</v>
      </c>
      <c r="BJ171" s="935">
        <f t="shared" ref="BJ171" si="188">(BJ75-BI75)*$C$171</f>
        <v>3.9241955177523168E-3</v>
      </c>
      <c r="BK171" s="935">
        <f t="shared" ref="BK171" si="189">(BK75-BJ75)*$C$171</f>
        <v>3.8589532923445397E-3</v>
      </c>
      <c r="BL171" s="935">
        <f t="shared" ref="BL171" si="190">(BL75-BK75)*$C$171</f>
        <v>3.7925100370172333E-3</v>
      </c>
      <c r="BM171" s="935">
        <f t="shared" ref="BM171" si="191">(BM75-BL75)*$C$171</f>
        <v>3.736763581353881E-3</v>
      </c>
      <c r="BN171" s="935">
        <f t="shared" ref="BN171" si="192">(BN75-BM75)*$C$171</f>
        <v>3.6797466495447693E-3</v>
      </c>
      <c r="BO171" s="935">
        <f t="shared" ref="BO171" si="193">(BO75-BN75)*$C$171</f>
        <v>3.5863533633407056E-3</v>
      </c>
      <c r="BP171" s="935">
        <f t="shared" ref="BP171" si="194">(BP75-BO75)*$C$171</f>
        <v>3.4967445127726524E-3</v>
      </c>
      <c r="BQ171" s="935">
        <f t="shared" ref="BQ171" si="195">(BQ75-BP75)*$C$171</f>
        <v>3.4096441690183361E-3</v>
      </c>
      <c r="BR171" s="926"/>
    </row>
    <row r="172" spans="2:70" s="932" customFormat="1" ht="14.25" customHeight="1" x14ac:dyDescent="0.35">
      <c r="B172" s="1151"/>
      <c r="C172" s="929">
        <v>5.0900000000000001E-2</v>
      </c>
      <c r="D172" s="1156" t="s">
        <v>102</v>
      </c>
      <c r="E172" s="1157"/>
      <c r="F172" s="930" t="s">
        <v>82</v>
      </c>
      <c r="G172" s="930" t="s">
        <v>95</v>
      </c>
      <c r="H172" s="930" t="s">
        <v>95</v>
      </c>
      <c r="I172" s="930">
        <v>1.16E-3</v>
      </c>
      <c r="J172" s="930" t="s">
        <v>95</v>
      </c>
      <c r="K172" s="930">
        <v>1.16E-3</v>
      </c>
      <c r="L172" s="930" t="s">
        <v>95</v>
      </c>
      <c r="M172" s="930">
        <v>1.16E-3</v>
      </c>
      <c r="N172" s="930" t="s">
        <v>95</v>
      </c>
      <c r="O172" s="930">
        <v>2.4199999999999998E-3</v>
      </c>
      <c r="P172" s="930" t="s">
        <v>95</v>
      </c>
      <c r="Q172" s="930">
        <v>9.7000000000000005E-4</v>
      </c>
      <c r="R172" s="935">
        <f t="shared" ref="R172:T172" si="196">(R77-Q77)*$C$172</f>
        <v>-3.4497322299999195E-4</v>
      </c>
      <c r="S172" s="935">
        <f t="shared" si="196"/>
        <v>-3.6093189999999791E-4</v>
      </c>
      <c r="T172" s="935">
        <f t="shared" si="196"/>
        <v>-3.6093189999999791E-4</v>
      </c>
      <c r="U172" s="935">
        <f>(U77-T77)*$C$172</f>
        <v>-3.6093189999999791E-4</v>
      </c>
      <c r="V172" s="935">
        <f t="shared" ref="V172:BQ172" si="197">(V77-U77)*$C$172</f>
        <v>-3.6093189999999791E-4</v>
      </c>
      <c r="W172" s="935">
        <f t="shared" si="197"/>
        <v>-3.6093190000002052E-4</v>
      </c>
      <c r="X172" s="935">
        <f t="shared" si="197"/>
        <v>-3.6093189999999791E-4</v>
      </c>
      <c r="Y172" s="935">
        <f t="shared" si="197"/>
        <v>-3.6093189999999791E-4</v>
      </c>
      <c r="Z172" s="935">
        <f t="shared" si="197"/>
        <v>-3.6093189999999791E-4</v>
      </c>
      <c r="AA172" s="935">
        <f t="shared" si="197"/>
        <v>-3.6093189999999791E-4</v>
      </c>
      <c r="AB172" s="935">
        <f t="shared" si="197"/>
        <v>-3.6093189999999791E-4</v>
      </c>
      <c r="AC172" s="935">
        <f t="shared" si="197"/>
        <v>-3.6093189999999791E-4</v>
      </c>
      <c r="AD172" s="935">
        <f t="shared" si="197"/>
        <v>-3.6093189999999791E-4</v>
      </c>
      <c r="AE172" s="935">
        <f t="shared" si="197"/>
        <v>-3.6093189999999791E-4</v>
      </c>
      <c r="AF172" s="935">
        <f t="shared" si="197"/>
        <v>-3.6093189999999791E-4</v>
      </c>
      <c r="AG172" s="935">
        <f t="shared" si="197"/>
        <v>-3.6093189999999791E-4</v>
      </c>
      <c r="AH172" s="935">
        <f t="shared" si="197"/>
        <v>-3.6093190000002052E-4</v>
      </c>
      <c r="AI172" s="935">
        <f t="shared" si="197"/>
        <v>-3.6093189999999791E-4</v>
      </c>
      <c r="AJ172" s="935">
        <f t="shared" si="197"/>
        <v>-3.6093189999999791E-4</v>
      </c>
      <c r="AK172" s="935">
        <f t="shared" si="197"/>
        <v>-3.6093189999999791E-4</v>
      </c>
      <c r="AL172" s="935">
        <f t="shared" si="197"/>
        <v>-3.6093189999999791E-4</v>
      </c>
      <c r="AM172" s="935">
        <f t="shared" si="197"/>
        <v>-3.6093189999999791E-4</v>
      </c>
      <c r="AN172" s="935">
        <f t="shared" si="197"/>
        <v>-3.6093189999999791E-4</v>
      </c>
      <c r="AO172" s="935">
        <f t="shared" si="197"/>
        <v>-3.6093189999999791E-4</v>
      </c>
      <c r="AP172" s="935">
        <f t="shared" si="197"/>
        <v>-3.6093189999999791E-4</v>
      </c>
      <c r="AQ172" s="935">
        <f t="shared" si="197"/>
        <v>-3.6093189999999791E-4</v>
      </c>
      <c r="AR172" s="935">
        <f t="shared" si="197"/>
        <v>-3.6093189999999791E-4</v>
      </c>
      <c r="AS172" s="935">
        <f t="shared" si="197"/>
        <v>-3.6093190000002052E-4</v>
      </c>
      <c r="AT172" s="935">
        <f t="shared" si="197"/>
        <v>-3.6093189999999791E-4</v>
      </c>
      <c r="AU172" s="935">
        <f t="shared" si="197"/>
        <v>-3.6093189999999791E-4</v>
      </c>
      <c r="AV172" s="935">
        <f t="shared" si="197"/>
        <v>-3.6093189999999791E-4</v>
      </c>
      <c r="AW172" s="935">
        <f t="shared" si="197"/>
        <v>-3.6093189999999791E-4</v>
      </c>
      <c r="AX172" s="935">
        <f t="shared" si="197"/>
        <v>-3.6093189999999791E-4</v>
      </c>
      <c r="AY172" s="935">
        <f t="shared" si="197"/>
        <v>-3.6093189999999791E-4</v>
      </c>
      <c r="AZ172" s="935">
        <f t="shared" si="197"/>
        <v>-3.6093189999999791E-4</v>
      </c>
      <c r="BA172" s="935">
        <f t="shared" si="197"/>
        <v>-3.6093189999999791E-4</v>
      </c>
      <c r="BB172" s="935">
        <f t="shared" si="197"/>
        <v>-3.6093189999999791E-4</v>
      </c>
      <c r="BC172" s="935">
        <f t="shared" si="197"/>
        <v>-3.6093190000002052E-4</v>
      </c>
      <c r="BD172" s="935">
        <f t="shared" si="197"/>
        <v>-3.6093189999999791E-4</v>
      </c>
      <c r="BE172" s="935">
        <f t="shared" si="197"/>
        <v>-3.6093189999999791E-4</v>
      </c>
      <c r="BF172" s="935">
        <f t="shared" si="197"/>
        <v>-3.6093189999999791E-4</v>
      </c>
      <c r="BG172" s="935">
        <f t="shared" si="197"/>
        <v>-3.6093189999999791E-4</v>
      </c>
      <c r="BH172" s="935">
        <f t="shared" si="197"/>
        <v>-3.6093189999999791E-4</v>
      </c>
      <c r="BI172" s="935">
        <f t="shared" si="197"/>
        <v>-3.6093189999999791E-4</v>
      </c>
      <c r="BJ172" s="935">
        <f t="shared" si="197"/>
        <v>-3.6093189999999791E-4</v>
      </c>
      <c r="BK172" s="935">
        <f t="shared" si="197"/>
        <v>-3.6093189999999791E-4</v>
      </c>
      <c r="BL172" s="935">
        <f t="shared" si="197"/>
        <v>-3.6093189999999791E-4</v>
      </c>
      <c r="BM172" s="935">
        <f t="shared" si="197"/>
        <v>-3.6093189999999791E-4</v>
      </c>
      <c r="BN172" s="935">
        <f t="shared" si="197"/>
        <v>-3.6093190000002052E-4</v>
      </c>
      <c r="BO172" s="935">
        <f t="shared" si="197"/>
        <v>-3.6093189999999791E-4</v>
      </c>
      <c r="BP172" s="935">
        <f t="shared" si="197"/>
        <v>-3.6093189999999791E-4</v>
      </c>
      <c r="BQ172" s="935">
        <f t="shared" si="197"/>
        <v>-3.6093189999999791E-4</v>
      </c>
      <c r="BR172" s="926"/>
    </row>
    <row r="173" spans="2:70" ht="14.25" customHeight="1" x14ac:dyDescent="0.35">
      <c r="B173" s="1151"/>
      <c r="C173" s="547">
        <v>0.34710000000000002</v>
      </c>
      <c r="D173" s="1152" t="s">
        <v>103</v>
      </c>
      <c r="E173" s="1153"/>
      <c r="F173" s="872" t="s">
        <v>82</v>
      </c>
      <c r="G173" s="872" t="s">
        <v>95</v>
      </c>
      <c r="H173" s="872" t="s">
        <v>95</v>
      </c>
      <c r="I173" s="872">
        <v>1.8E-3</v>
      </c>
      <c r="J173" s="872" t="s">
        <v>95</v>
      </c>
      <c r="K173" s="872">
        <v>1.8E-3</v>
      </c>
      <c r="L173" s="872" t="s">
        <v>95</v>
      </c>
      <c r="M173" s="872">
        <v>1.8E-3</v>
      </c>
      <c r="N173" s="872" t="s">
        <v>95</v>
      </c>
      <c r="O173" s="872">
        <v>1.0300000000000001E-3</v>
      </c>
      <c r="P173" s="872" t="s">
        <v>95</v>
      </c>
      <c r="Q173" s="872">
        <v>4.2100000000000002E-3</v>
      </c>
      <c r="R173" s="882">
        <f t="shared" ref="R173:T173" si="198">(R79-Q79)*$C$173</f>
        <v>-2.3566599573426175E-4</v>
      </c>
      <c r="S173" s="882">
        <f t="shared" si="198"/>
        <v>-2.3534077666015725E-4</v>
      </c>
      <c r="T173" s="882">
        <f t="shared" si="198"/>
        <v>-2.3501600638837063E-4</v>
      </c>
      <c r="U173" s="882">
        <f>(U79-T79)*$C$173</f>
        <v>-2.3469168429955385E-4</v>
      </c>
      <c r="V173" s="882">
        <f t="shared" ref="V173:BQ173" si="199">(V79-U79)*$C$173</f>
        <v>-2.3436780977520663E-4</v>
      </c>
      <c r="W173" s="882">
        <f t="shared" si="199"/>
        <v>-2.3404438219771508E-4</v>
      </c>
      <c r="X173" s="882">
        <f t="shared" si="199"/>
        <v>-2.3372140095029379E-4</v>
      </c>
      <c r="Y173" s="882">
        <f t="shared" si="199"/>
        <v>-2.3339886541698585E-4</v>
      </c>
      <c r="Z173" s="882">
        <f t="shared" si="199"/>
        <v>-2.3307677498270147E-4</v>
      </c>
      <c r="AA173" s="882">
        <f t="shared" si="199"/>
        <v>-2.3275512903323713E-4</v>
      </c>
      <c r="AB173" s="882">
        <f t="shared" si="199"/>
        <v>-2.3243392695516E-4</v>
      </c>
      <c r="AC173" s="882">
        <f t="shared" si="199"/>
        <v>-2.3211316813596223E-4</v>
      </c>
      <c r="AD173" s="882">
        <f t="shared" si="199"/>
        <v>-2.3179285196394506E-4</v>
      </c>
      <c r="AE173" s="882">
        <f t="shared" si="199"/>
        <v>-2.3147297782821915E-4</v>
      </c>
      <c r="AF173" s="882">
        <f t="shared" si="199"/>
        <v>-2.3115354511881988E-4</v>
      </c>
      <c r="AG173" s="882">
        <f t="shared" si="199"/>
        <v>-2.3083455322655343E-4</v>
      </c>
      <c r="AH173" s="882">
        <f t="shared" si="199"/>
        <v>-2.3051600154311224E-4</v>
      </c>
      <c r="AI173" s="882">
        <f t="shared" si="199"/>
        <v>-2.3019788946097885E-4</v>
      </c>
      <c r="AJ173" s="882">
        <f t="shared" si="199"/>
        <v>-2.2988021637352198E-4</v>
      </c>
      <c r="AK173" s="882">
        <f t="shared" si="199"/>
        <v>-2.2956298167491971E-4</v>
      </c>
      <c r="AL173" s="882">
        <f t="shared" si="199"/>
        <v>-2.2924618476021709E-4</v>
      </c>
      <c r="AM173" s="882">
        <f t="shared" si="199"/>
        <v>-2.2892982502524927E-4</v>
      </c>
      <c r="AN173" s="882">
        <f t="shared" si="199"/>
        <v>-2.2861390186671831E-4</v>
      </c>
      <c r="AO173" s="882">
        <f t="shared" si="199"/>
        <v>-2.2829841468213568E-4</v>
      </c>
      <c r="AP173" s="882">
        <f t="shared" si="199"/>
        <v>-2.2798336286987978E-4</v>
      </c>
      <c r="AQ173" s="882">
        <f t="shared" si="199"/>
        <v>-2.2766874582911905E-4</v>
      </c>
      <c r="AR173" s="882">
        <f t="shared" si="199"/>
        <v>-2.2735456295986973E-4</v>
      </c>
      <c r="AS173" s="882">
        <f t="shared" si="199"/>
        <v>-2.2704081366297651E-4</v>
      </c>
      <c r="AT173" s="882">
        <f t="shared" si="199"/>
        <v>-2.2672749734013197E-4</v>
      </c>
      <c r="AU173" s="882">
        <f t="shared" si="199"/>
        <v>-2.2641461339379935E-4</v>
      </c>
      <c r="AV173" s="882">
        <f t="shared" si="199"/>
        <v>-2.2610216122730895E-4</v>
      </c>
      <c r="AW173" s="882">
        <f t="shared" si="199"/>
        <v>-2.2579014024481957E-4</v>
      </c>
      <c r="AX173" s="882">
        <f t="shared" si="199"/>
        <v>-2.2547854985128002E-4</v>
      </c>
      <c r="AY173" s="882">
        <f t="shared" si="199"/>
        <v>-2.2516738945248696E-4</v>
      </c>
      <c r="AZ173" s="882">
        <f t="shared" si="199"/>
        <v>-2.2485665845504616E-4</v>
      </c>
      <c r="BA173" s="882">
        <f t="shared" si="199"/>
        <v>-2.2454635626637277E-4</v>
      </c>
      <c r="BB173" s="882">
        <f t="shared" si="199"/>
        <v>-2.2423648229472965E-4</v>
      </c>
      <c r="BC173" s="882">
        <f t="shared" si="199"/>
        <v>-2.2392703594916968E-4</v>
      </c>
      <c r="BD173" s="882">
        <f t="shared" si="199"/>
        <v>-2.2361801663955502E-4</v>
      </c>
      <c r="BE173" s="882">
        <f t="shared" si="199"/>
        <v>-2.2330942377659556E-4</v>
      </c>
      <c r="BF173" s="882">
        <f t="shared" si="199"/>
        <v>-2.2300125677177194E-4</v>
      </c>
      <c r="BG173" s="882">
        <f t="shared" si="199"/>
        <v>-2.2269351503743183E-4</v>
      </c>
      <c r="BH173" s="882">
        <f t="shared" si="199"/>
        <v>-2.223861979866744E-4</v>
      </c>
      <c r="BI173" s="882">
        <f t="shared" si="199"/>
        <v>-2.2207930503346585E-4</v>
      </c>
      <c r="BJ173" s="882">
        <f t="shared" si="199"/>
        <v>-2.2177283559252379E-4</v>
      </c>
      <c r="BK173" s="882">
        <f t="shared" si="199"/>
        <v>-2.2146678907939441E-4</v>
      </c>
      <c r="BL173" s="882">
        <f t="shared" si="199"/>
        <v>-2.2116116491047164E-4</v>
      </c>
      <c r="BM173" s="882">
        <f t="shared" si="199"/>
        <v>-2.2085596250288162E-4</v>
      </c>
      <c r="BN173" s="882">
        <f t="shared" si="199"/>
        <v>-2.2055118127463683E-4</v>
      </c>
      <c r="BO173" s="882">
        <f t="shared" si="199"/>
        <v>-2.202468206444819E-4</v>
      </c>
      <c r="BP173" s="882">
        <f t="shared" si="199"/>
        <v>-2.1994288003199E-4</v>
      </c>
      <c r="BQ173" s="882">
        <f t="shared" si="199"/>
        <v>-2.1963935885754352E-4</v>
      </c>
      <c r="BR173" s="614"/>
    </row>
    <row r="174" spans="2:70" ht="14.25" customHeight="1" x14ac:dyDescent="0.35">
      <c r="B174" s="546" t="s">
        <v>95</v>
      </c>
      <c r="C174" s="545"/>
      <c r="D174" s="875" t="s">
        <v>95</v>
      </c>
      <c r="E174" s="876" t="s">
        <v>95</v>
      </c>
      <c r="F174" s="877" t="s">
        <v>24</v>
      </c>
      <c r="G174" s="877" t="s">
        <v>95</v>
      </c>
      <c r="H174" s="877" t="s">
        <v>95</v>
      </c>
      <c r="I174" s="877">
        <v>7.1799999999999998E-3</v>
      </c>
      <c r="J174" s="877" t="s">
        <v>95</v>
      </c>
      <c r="K174" s="877">
        <v>7.1799999999999998E-3</v>
      </c>
      <c r="L174" s="877" t="s">
        <v>95</v>
      </c>
      <c r="M174" s="877">
        <v>7.1799999999999998E-3</v>
      </c>
      <c r="N174" s="877" t="s">
        <v>95</v>
      </c>
      <c r="O174" s="877">
        <v>7.7999999999999996E-3</v>
      </c>
      <c r="P174" s="877" t="s">
        <v>95</v>
      </c>
      <c r="Q174" s="877">
        <v>1.2279999999999999E-2</v>
      </c>
      <c r="R174" s="880">
        <f t="shared" ref="R174:BQ174" si="200">SUM(R168:R173)</f>
        <v>7.7975520644996757E-3</v>
      </c>
      <c r="S174" s="880">
        <f t="shared" si="200"/>
        <v>1.1947005050657331E-2</v>
      </c>
      <c r="T174" s="880">
        <f t="shared" si="200"/>
        <v>1.1843836966375679E-2</v>
      </c>
      <c r="U174" s="880">
        <f t="shared" si="200"/>
        <v>1.1752977170001009E-2</v>
      </c>
      <c r="V174" s="880">
        <f t="shared" si="200"/>
        <v>1.1662607409755586E-2</v>
      </c>
      <c r="W174" s="880">
        <f t="shared" si="200"/>
        <v>1.1573753848342734E-2</v>
      </c>
      <c r="X174" s="880">
        <f t="shared" si="200"/>
        <v>1.1485883238664089E-2</v>
      </c>
      <c r="Y174" s="880">
        <f t="shared" si="200"/>
        <v>1.1399269561164374E-2</v>
      </c>
      <c r="Z174" s="880">
        <f t="shared" si="200"/>
        <v>1.131197163402136E-2</v>
      </c>
      <c r="AA174" s="880">
        <f t="shared" si="200"/>
        <v>1.1227053982531871E-2</v>
      </c>
      <c r="AB174" s="880">
        <f t="shared" si="200"/>
        <v>1.114320613186442E-2</v>
      </c>
      <c r="AC174" s="880">
        <f t="shared" si="200"/>
        <v>1.1059478373692715E-2</v>
      </c>
      <c r="AD174" s="880">
        <f t="shared" si="200"/>
        <v>1.0975899030472179E-2</v>
      </c>
      <c r="AE174" s="880">
        <f t="shared" si="200"/>
        <v>1.089496600074737E-2</v>
      </c>
      <c r="AF174" s="880">
        <f t="shared" si="200"/>
        <v>1.081366196990058E-2</v>
      </c>
      <c r="AG174" s="880">
        <f t="shared" si="200"/>
        <v>1.073424649669103E-2</v>
      </c>
      <c r="AH174" s="880">
        <f t="shared" si="200"/>
        <v>1.0655108906394244E-2</v>
      </c>
      <c r="AI174" s="880">
        <f t="shared" si="200"/>
        <v>1.057651746688802E-2</v>
      </c>
      <c r="AJ174" s="880">
        <f t="shared" si="200"/>
        <v>1.0499395160381357E-2</v>
      </c>
      <c r="AK174" s="880">
        <f t="shared" si="200"/>
        <v>1.0422574868840712E-2</v>
      </c>
      <c r="AL174" s="880">
        <f t="shared" si="200"/>
        <v>1.0346454523099331E-2</v>
      </c>
      <c r="AM174" s="880">
        <f t="shared" si="200"/>
        <v>1.0271584029414879E-2</v>
      </c>
      <c r="AN174" s="880">
        <f t="shared" si="200"/>
        <v>1.0197033576214126E-2</v>
      </c>
      <c r="AO174" s="880">
        <f t="shared" si="200"/>
        <v>1.0123250372424744E-2</v>
      </c>
      <c r="AP174" s="880">
        <f t="shared" si="200"/>
        <v>1.0050734784439193E-2</v>
      </c>
      <c r="AQ174" s="880">
        <f t="shared" si="200"/>
        <v>9.9777472127159129E-3</v>
      </c>
      <c r="AR174" s="880">
        <f t="shared" si="200"/>
        <v>9.9064287427178196E-3</v>
      </c>
      <c r="AS174" s="880">
        <f t="shared" si="200"/>
        <v>9.8348267213290794E-3</v>
      </c>
      <c r="AT174" s="880">
        <f t="shared" si="200"/>
        <v>9.7647541123458328E-3</v>
      </c>
      <c r="AU174" s="880">
        <f t="shared" si="200"/>
        <v>9.6950067416649958E-3</v>
      </c>
      <c r="AV174" s="880">
        <f t="shared" si="200"/>
        <v>9.6256327672708253E-3</v>
      </c>
      <c r="AW174" s="880">
        <f t="shared" si="200"/>
        <v>9.5567699809624065E-3</v>
      </c>
      <c r="AX174" s="880">
        <f t="shared" si="200"/>
        <v>9.4883433448022438E-3</v>
      </c>
      <c r="AY174" s="880">
        <f t="shared" si="200"/>
        <v>9.4211077883410085E-3</v>
      </c>
      <c r="AZ174" s="880">
        <f t="shared" si="200"/>
        <v>9.3543388548854439E-3</v>
      </c>
      <c r="BA174" s="880">
        <f t="shared" si="200"/>
        <v>9.2881776085322245E-3</v>
      </c>
      <c r="BB174" s="880">
        <f t="shared" si="200"/>
        <v>9.222727024365775E-3</v>
      </c>
      <c r="BC174" s="880">
        <f t="shared" si="200"/>
        <v>9.1578913873000892E-3</v>
      </c>
      <c r="BD174" s="880">
        <f t="shared" si="200"/>
        <v>9.0938206253387659E-3</v>
      </c>
      <c r="BE174" s="880">
        <f t="shared" si="200"/>
        <v>9.0302942191684173E-3</v>
      </c>
      <c r="BF174" s="880">
        <f t="shared" si="200"/>
        <v>8.9673895047078893E-3</v>
      </c>
      <c r="BG174" s="880">
        <f t="shared" si="200"/>
        <v>8.9051036936652773E-3</v>
      </c>
      <c r="BH174" s="880">
        <f t="shared" si="200"/>
        <v>8.8434246289874948E-3</v>
      </c>
      <c r="BI174" s="880">
        <f t="shared" si="200"/>
        <v>8.7823278037643809E-3</v>
      </c>
      <c r="BJ174" s="880">
        <f t="shared" si="200"/>
        <v>8.7218053848499028E-3</v>
      </c>
      <c r="BK174" s="880">
        <f t="shared" si="200"/>
        <v>8.6618478183754857E-3</v>
      </c>
      <c r="BL174" s="880">
        <f t="shared" si="200"/>
        <v>8.602449305990684E-3</v>
      </c>
      <c r="BM174" s="880">
        <f t="shared" si="200"/>
        <v>8.5435934258601513E-3</v>
      </c>
      <c r="BN174" s="880">
        <f t="shared" si="200"/>
        <v>8.4852707425904124E-3</v>
      </c>
      <c r="BO174" s="880">
        <f t="shared" si="200"/>
        <v>8.4274637389956109E-3</v>
      </c>
      <c r="BP174" s="880">
        <f t="shared" si="200"/>
        <v>8.3701657415143974E-3</v>
      </c>
      <c r="BQ174" s="880">
        <f t="shared" si="200"/>
        <v>8.3133649767042871E-3</v>
      </c>
      <c r="BR174" s="614"/>
    </row>
    <row r="175" spans="2:70" ht="14.25" customHeight="1" x14ac:dyDescent="0.35">
      <c r="B175" s="543"/>
      <c r="C175" s="542"/>
      <c r="D175" s="884" t="s">
        <v>95</v>
      </c>
      <c r="E175" s="885" t="s">
        <v>95</v>
      </c>
      <c r="F175" s="885" t="s">
        <v>95</v>
      </c>
      <c r="G175" s="885" t="s">
        <v>95</v>
      </c>
      <c r="H175" s="885" t="s">
        <v>95</v>
      </c>
      <c r="I175" s="885" t="s">
        <v>95</v>
      </c>
      <c r="J175" s="885" t="s">
        <v>95</v>
      </c>
      <c r="K175" s="885" t="s">
        <v>95</v>
      </c>
      <c r="L175" s="885" t="s">
        <v>95</v>
      </c>
      <c r="M175" s="885" t="s">
        <v>95</v>
      </c>
      <c r="N175" s="885" t="s">
        <v>95</v>
      </c>
      <c r="O175" s="885" t="s">
        <v>95</v>
      </c>
      <c r="P175" s="885" t="s">
        <v>95</v>
      </c>
      <c r="Q175" s="885" t="s">
        <v>95</v>
      </c>
      <c r="R175" s="885" t="s">
        <v>95</v>
      </c>
      <c r="S175" s="885" t="s">
        <v>95</v>
      </c>
      <c r="T175" s="885" t="s">
        <v>95</v>
      </c>
      <c r="U175" s="885" t="s">
        <v>95</v>
      </c>
      <c r="V175" s="885" t="s">
        <v>95</v>
      </c>
      <c r="W175" s="885" t="s">
        <v>95</v>
      </c>
      <c r="X175" s="885" t="s">
        <v>95</v>
      </c>
      <c r="Y175" s="885" t="s">
        <v>95</v>
      </c>
      <c r="Z175" s="885" t="s">
        <v>95</v>
      </c>
      <c r="AA175" s="885" t="s">
        <v>95</v>
      </c>
      <c r="AB175" s="885" t="s">
        <v>95</v>
      </c>
      <c r="AC175" s="885" t="s">
        <v>95</v>
      </c>
      <c r="AD175" s="885" t="s">
        <v>95</v>
      </c>
      <c r="AE175" s="885" t="s">
        <v>95</v>
      </c>
      <c r="AF175" s="885" t="s">
        <v>95</v>
      </c>
      <c r="AG175" s="885" t="s">
        <v>95</v>
      </c>
      <c r="AH175" s="885" t="s">
        <v>95</v>
      </c>
      <c r="AI175" s="885" t="s">
        <v>95</v>
      </c>
      <c r="AJ175" s="885" t="s">
        <v>95</v>
      </c>
      <c r="AK175" s="885" t="s">
        <v>95</v>
      </c>
      <c r="AL175" s="885" t="s">
        <v>95</v>
      </c>
      <c r="AM175" s="885" t="s">
        <v>95</v>
      </c>
      <c r="AN175" s="885" t="s">
        <v>95</v>
      </c>
      <c r="AO175" s="885" t="s">
        <v>95</v>
      </c>
      <c r="AP175" s="885" t="s">
        <v>95</v>
      </c>
      <c r="AQ175" s="885" t="s">
        <v>95</v>
      </c>
      <c r="AR175" s="885" t="s">
        <v>95</v>
      </c>
      <c r="AS175" s="885" t="s">
        <v>95</v>
      </c>
      <c r="AT175" s="885" t="s">
        <v>95</v>
      </c>
      <c r="AU175" s="885" t="s">
        <v>95</v>
      </c>
      <c r="AV175" s="885" t="s">
        <v>95</v>
      </c>
      <c r="AW175" s="885" t="s">
        <v>95</v>
      </c>
      <c r="AX175" s="885" t="s">
        <v>95</v>
      </c>
      <c r="AY175" s="885"/>
      <c r="AZ175" s="885"/>
      <c r="BA175" s="885"/>
      <c r="BB175" s="885"/>
      <c r="BC175" s="885"/>
      <c r="BD175" s="885"/>
      <c r="BE175" s="885"/>
      <c r="BF175" s="885"/>
      <c r="BG175" s="885"/>
      <c r="BH175" s="885"/>
      <c r="BI175" s="885"/>
      <c r="BJ175" s="885"/>
      <c r="BK175" s="885"/>
      <c r="BL175" s="885"/>
      <c r="BM175" s="885"/>
      <c r="BN175" s="885"/>
      <c r="BO175" s="885"/>
      <c r="BP175" s="885"/>
      <c r="BQ175" s="885"/>
      <c r="BR175" s="621"/>
    </row>
    <row r="176" spans="2:70" ht="14.25" customHeight="1" x14ac:dyDescent="0.35">
      <c r="B176" s="543"/>
      <c r="C176" s="542"/>
      <c r="D176" s="542"/>
      <c r="E176" s="542"/>
      <c r="F176" s="542"/>
      <c r="G176" s="542"/>
      <c r="H176" s="542"/>
      <c r="I176" s="542"/>
      <c r="J176" s="542"/>
      <c r="K176" s="542"/>
      <c r="L176" s="542"/>
      <c r="M176" s="542"/>
      <c r="N176" s="542"/>
      <c r="O176" s="542"/>
      <c r="P176" s="542"/>
      <c r="X176" s="542"/>
      <c r="Y176" s="542"/>
      <c r="Z176" s="542"/>
      <c r="AA176" s="542"/>
      <c r="AB176" s="542"/>
      <c r="AC176" s="542"/>
      <c r="AD176" s="542"/>
      <c r="AE176" s="542"/>
      <c r="AF176" s="542"/>
      <c r="AG176" s="542"/>
      <c r="AH176" s="542"/>
      <c r="AI176" s="542"/>
      <c r="AJ176" s="542"/>
      <c r="AK176" s="542"/>
      <c r="AL176" s="542"/>
      <c r="AM176" s="542"/>
      <c r="AN176" s="542"/>
      <c r="AO176" s="542"/>
      <c r="AP176" s="542"/>
      <c r="AQ176" s="542"/>
      <c r="AR176" s="542"/>
      <c r="AS176" s="542"/>
      <c r="AT176" s="542"/>
      <c r="AU176" s="542"/>
      <c r="AV176" s="542"/>
      <c r="AW176" s="542"/>
      <c r="AX176" s="542"/>
      <c r="AY176" s="541"/>
      <c r="AZ176" s="541"/>
      <c r="BA176" s="541"/>
      <c r="BB176" s="541"/>
      <c r="BC176" s="541"/>
      <c r="BD176" s="541"/>
      <c r="BE176" s="541"/>
      <c r="BF176" s="541"/>
      <c r="BG176" s="541"/>
      <c r="BH176" s="541"/>
      <c r="BI176" s="541"/>
    </row>
    <row r="177" spans="2:61" ht="14.25" customHeight="1" x14ac:dyDescent="0.35">
      <c r="B177" s="543"/>
      <c r="C177" s="542"/>
      <c r="D177" s="542"/>
      <c r="E177" s="542"/>
      <c r="F177" s="542" t="s">
        <v>114</v>
      </c>
      <c r="G177" s="542"/>
      <c r="H177" s="542"/>
      <c r="I177" s="542"/>
      <c r="J177" s="542"/>
      <c r="K177" s="542"/>
      <c r="L177" s="542"/>
      <c r="M177" s="542"/>
      <c r="N177" s="542"/>
      <c r="O177" s="542"/>
      <c r="P177" s="542"/>
      <c r="Q177" s="536" t="s">
        <v>196</v>
      </c>
      <c r="X177" s="542"/>
      <c r="Y177" s="542"/>
      <c r="Z177" s="542"/>
      <c r="AA177" s="542"/>
      <c r="AB177" s="542"/>
      <c r="AC177" s="542"/>
      <c r="AD177" s="542"/>
      <c r="AE177" s="542"/>
      <c r="AF177" s="542"/>
      <c r="AG177" s="542"/>
      <c r="AH177" s="542"/>
      <c r="AI177" s="542"/>
      <c r="AJ177" s="542"/>
      <c r="AK177" s="542"/>
      <c r="AL177" s="542"/>
      <c r="AM177" s="542"/>
      <c r="AN177" s="542"/>
      <c r="AO177" s="542"/>
      <c r="AP177" s="542"/>
      <c r="AQ177" s="542"/>
      <c r="AR177" s="542"/>
      <c r="AS177" s="542"/>
      <c r="AT177" s="542"/>
      <c r="AU177" s="542"/>
      <c r="AV177" s="542"/>
      <c r="AW177" s="542"/>
      <c r="AX177" s="542"/>
      <c r="AY177" s="541"/>
      <c r="AZ177" s="541"/>
      <c r="BA177" s="541"/>
      <c r="BB177" s="541"/>
      <c r="BC177" s="541"/>
      <c r="BD177" s="541"/>
      <c r="BE177" s="541"/>
      <c r="BF177" s="541"/>
      <c r="BG177" s="541"/>
      <c r="BH177" s="541"/>
      <c r="BI177" s="541"/>
    </row>
    <row r="178" spans="2:61" ht="14.25" customHeight="1" x14ac:dyDescent="0.35">
      <c r="B178" s="543"/>
      <c r="C178" s="542">
        <v>1</v>
      </c>
      <c r="D178" s="542"/>
      <c r="E178" s="542"/>
      <c r="F178" s="542" t="s">
        <v>115</v>
      </c>
      <c r="G178" s="542"/>
      <c r="H178" s="542"/>
      <c r="I178" s="542"/>
      <c r="J178" s="542"/>
      <c r="K178" s="542"/>
      <c r="L178" s="542"/>
      <c r="M178" s="542"/>
      <c r="N178" s="542"/>
      <c r="O178" s="542"/>
      <c r="P178" s="542"/>
      <c r="X178" s="542"/>
      <c r="Y178" s="542"/>
      <c r="Z178" s="542"/>
      <c r="AA178" s="542"/>
      <c r="AB178" s="542"/>
      <c r="AC178" s="542"/>
      <c r="AD178" s="542"/>
      <c r="AE178" s="542"/>
      <c r="AF178" s="542"/>
      <c r="AG178" s="542"/>
      <c r="AH178" s="542"/>
      <c r="AI178" s="542"/>
      <c r="AJ178" s="542"/>
      <c r="AK178" s="542"/>
      <c r="AL178" s="542"/>
      <c r="AM178" s="542"/>
      <c r="AN178" s="542"/>
      <c r="AO178" s="542"/>
      <c r="AP178" s="542"/>
      <c r="AQ178" s="542"/>
      <c r="AR178" s="542"/>
      <c r="AS178" s="542"/>
      <c r="AT178" s="542"/>
      <c r="AU178" s="542"/>
      <c r="AV178" s="542"/>
      <c r="AW178" s="542"/>
      <c r="AX178" s="542"/>
      <c r="AY178" s="541"/>
      <c r="AZ178" s="541"/>
      <c r="BA178" s="541"/>
      <c r="BB178" s="541"/>
      <c r="BC178" s="541"/>
      <c r="BD178" s="541"/>
      <c r="BE178" s="541"/>
      <c r="BF178" s="541"/>
      <c r="BG178" s="541"/>
      <c r="BH178" s="541"/>
      <c r="BI178" s="541"/>
    </row>
    <row r="179" spans="2:61" ht="14.25" customHeight="1" x14ac:dyDescent="0.35">
      <c r="B179" s="543"/>
      <c r="C179" s="542">
        <v>2</v>
      </c>
      <c r="D179" s="542"/>
      <c r="E179" s="542"/>
      <c r="F179" s="542" t="s">
        <v>116</v>
      </c>
      <c r="G179" s="542"/>
      <c r="H179" s="542"/>
      <c r="I179" s="542"/>
      <c r="J179" s="542"/>
      <c r="K179" s="542"/>
      <c r="L179" s="542"/>
      <c r="M179" s="542"/>
      <c r="N179" s="542"/>
      <c r="O179" s="542"/>
      <c r="P179" s="542"/>
      <c r="Q179" s="1162" t="s">
        <v>197</v>
      </c>
      <c r="R179" s="1163"/>
      <c r="S179" s="1163"/>
      <c r="T179" s="1164"/>
      <c r="X179" s="542"/>
      <c r="Y179" s="542"/>
      <c r="Z179" s="542"/>
      <c r="AA179" s="542"/>
      <c r="AB179" s="542"/>
      <c r="AC179" s="542"/>
      <c r="AD179" s="542"/>
      <c r="AE179" s="542"/>
      <c r="AF179" s="542"/>
      <c r="AG179" s="542"/>
      <c r="AH179" s="542"/>
      <c r="AI179" s="542"/>
      <c r="AJ179" s="542"/>
      <c r="AK179" s="542"/>
      <c r="AL179" s="542"/>
      <c r="AM179" s="542"/>
      <c r="AN179" s="542"/>
      <c r="AO179" s="542"/>
      <c r="AP179" s="542"/>
      <c r="AQ179" s="542"/>
      <c r="AR179" s="542"/>
      <c r="AS179" s="542"/>
      <c r="AT179" s="542"/>
      <c r="AU179" s="542"/>
      <c r="AV179" s="542"/>
      <c r="AW179" s="542"/>
      <c r="AX179" s="542"/>
      <c r="AY179" s="541"/>
      <c r="AZ179" s="541"/>
      <c r="BA179" s="541"/>
      <c r="BB179" s="541"/>
      <c r="BC179" s="541"/>
      <c r="BD179" s="541"/>
      <c r="BE179" s="541"/>
      <c r="BF179" s="541"/>
      <c r="BG179" s="541"/>
      <c r="BH179" s="541"/>
      <c r="BI179" s="541"/>
    </row>
    <row r="180" spans="2:61" ht="14.25" customHeight="1" x14ac:dyDescent="0.35">
      <c r="B180" s="543"/>
      <c r="C180" s="542">
        <v>3</v>
      </c>
      <c r="D180" s="542"/>
      <c r="E180" s="542"/>
      <c r="F180" s="542" t="s">
        <v>117</v>
      </c>
      <c r="G180" s="542"/>
      <c r="H180" s="542"/>
      <c r="I180" s="542"/>
      <c r="J180" s="542"/>
      <c r="K180" s="542"/>
      <c r="L180" s="542"/>
      <c r="M180" s="542"/>
      <c r="N180" s="542"/>
      <c r="O180" s="542"/>
      <c r="P180" s="542"/>
      <c r="Q180" s="1160" t="s">
        <v>198</v>
      </c>
      <c r="R180" s="1161"/>
      <c r="S180" s="889" t="s">
        <v>199</v>
      </c>
      <c r="T180" s="890"/>
      <c r="X180" s="542"/>
      <c r="Y180" s="542"/>
      <c r="Z180" s="542"/>
      <c r="AA180" s="542"/>
      <c r="AB180" s="542"/>
      <c r="AC180" s="542"/>
      <c r="AD180" s="542"/>
      <c r="AE180" s="542"/>
      <c r="AF180" s="542"/>
      <c r="AG180" s="542"/>
      <c r="AH180" s="542"/>
      <c r="AI180" s="542"/>
      <c r="AJ180" s="542"/>
      <c r="AK180" s="542"/>
      <c r="AL180" s="542"/>
      <c r="AM180" s="542"/>
      <c r="AN180" s="542"/>
      <c r="AO180" s="542"/>
      <c r="AP180" s="542"/>
      <c r="AQ180" s="542"/>
      <c r="AR180" s="542"/>
      <c r="AS180" s="542"/>
      <c r="AT180" s="542"/>
      <c r="AU180" s="542"/>
      <c r="AV180" s="542"/>
      <c r="AW180" s="542"/>
      <c r="AX180" s="542"/>
      <c r="AY180" s="541"/>
      <c r="AZ180" s="541"/>
      <c r="BA180" s="541"/>
      <c r="BB180" s="541"/>
      <c r="BC180" s="541"/>
      <c r="BD180" s="541"/>
      <c r="BE180" s="541"/>
      <c r="BF180" s="541"/>
      <c r="BG180" s="541"/>
      <c r="BH180" s="541"/>
      <c r="BI180" s="541"/>
    </row>
    <row r="181" spans="2:61" ht="14.25" customHeight="1" x14ac:dyDescent="0.35">
      <c r="B181" s="543"/>
      <c r="C181" s="542">
        <v>4</v>
      </c>
      <c r="D181" s="542"/>
      <c r="E181" s="542"/>
      <c r="F181" s="542" t="s">
        <v>118</v>
      </c>
      <c r="G181" s="542"/>
      <c r="H181" s="542"/>
      <c r="I181" s="542"/>
      <c r="J181" s="542"/>
      <c r="K181" s="542"/>
      <c r="L181" s="542"/>
      <c r="M181" s="542"/>
      <c r="N181" s="542"/>
      <c r="O181" s="542"/>
      <c r="P181" s="542"/>
      <c r="Q181" s="862">
        <f>Q114+Q124+Q144+Q153+Q162+Q172</f>
        <v>2.0370636649999965E-2</v>
      </c>
      <c r="S181" s="863">
        <f>Q114/Q181</f>
        <v>0.72948137337671404</v>
      </c>
      <c r="T181" s="866" t="s">
        <v>71</v>
      </c>
      <c r="X181" s="542"/>
      <c r="Y181" s="542"/>
      <c r="Z181" s="542"/>
      <c r="AA181" s="542"/>
      <c r="AB181" s="542"/>
      <c r="AC181" s="542"/>
      <c r="AD181" s="542"/>
      <c r="AE181" s="542"/>
      <c r="AF181" s="542"/>
      <c r="AG181" s="542"/>
      <c r="AH181" s="542"/>
      <c r="AI181" s="542"/>
      <c r="AJ181" s="542"/>
      <c r="AK181" s="542"/>
      <c r="AL181" s="542"/>
      <c r="AM181" s="542"/>
      <c r="AN181" s="542"/>
      <c r="AO181" s="542"/>
      <c r="AP181" s="542"/>
      <c r="AQ181" s="542"/>
      <c r="AR181" s="542"/>
      <c r="AS181" s="542"/>
      <c r="AT181" s="542"/>
      <c r="AU181" s="542"/>
      <c r="AV181" s="542"/>
      <c r="AW181" s="542"/>
      <c r="AX181" s="542"/>
      <c r="AY181" s="541"/>
      <c r="AZ181" s="541"/>
      <c r="BA181" s="541"/>
      <c r="BB181" s="541"/>
      <c r="BC181" s="541"/>
      <c r="BD181" s="541"/>
      <c r="BE181" s="541"/>
      <c r="BF181" s="541"/>
      <c r="BG181" s="541"/>
      <c r="BH181" s="541"/>
      <c r="BI181" s="541"/>
    </row>
    <row r="182" spans="2:61" ht="14.25" customHeight="1" x14ac:dyDescent="0.35">
      <c r="B182" s="543"/>
      <c r="C182" s="542">
        <v>5</v>
      </c>
      <c r="D182" s="542"/>
      <c r="E182" s="542"/>
      <c r="F182" s="542" t="s">
        <v>119</v>
      </c>
      <c r="G182" s="542"/>
      <c r="H182" s="542"/>
      <c r="I182" s="542"/>
      <c r="J182" s="542"/>
      <c r="K182" s="542"/>
      <c r="L182" s="542"/>
      <c r="M182" s="542"/>
      <c r="N182" s="542"/>
      <c r="O182" s="542"/>
      <c r="P182" s="542"/>
      <c r="Q182" s="863"/>
      <c r="S182" s="863">
        <f>Q124/Q181</f>
        <v>6.4878023829460008E-2</v>
      </c>
      <c r="T182" s="888" t="s">
        <v>141</v>
      </c>
      <c r="V182" s="542"/>
      <c r="W182" s="542"/>
      <c r="X182" s="542"/>
      <c r="Y182" s="542"/>
      <c r="Z182" s="542"/>
      <c r="AA182" s="542"/>
      <c r="AB182" s="542"/>
      <c r="AC182" s="542"/>
      <c r="AD182" s="542"/>
      <c r="AE182" s="542"/>
      <c r="AF182" s="542"/>
      <c r="AG182" s="542"/>
      <c r="AH182" s="542"/>
      <c r="AI182" s="542"/>
      <c r="AJ182" s="542"/>
      <c r="AK182" s="542"/>
      <c r="AL182" s="542"/>
      <c r="AM182" s="542"/>
      <c r="AN182" s="542"/>
      <c r="AO182" s="542"/>
      <c r="AP182" s="542"/>
      <c r="AQ182" s="542"/>
      <c r="AR182" s="542"/>
      <c r="AS182" s="542"/>
      <c r="AT182" s="542"/>
      <c r="AU182" s="542"/>
      <c r="AV182" s="542"/>
      <c r="AW182" s="542"/>
      <c r="AX182" s="542"/>
      <c r="AY182" s="541"/>
      <c r="AZ182" s="541"/>
      <c r="BA182" s="541"/>
      <c r="BB182" s="541"/>
      <c r="BC182" s="541"/>
      <c r="BD182" s="541"/>
      <c r="BE182" s="541"/>
      <c r="BF182" s="541"/>
      <c r="BG182" s="541"/>
      <c r="BH182" s="541"/>
      <c r="BI182" s="541"/>
    </row>
    <row r="183" spans="2:61" ht="14.25" customHeight="1" x14ac:dyDescent="0.35">
      <c r="B183" s="543"/>
      <c r="C183" s="542">
        <v>6</v>
      </c>
      <c r="D183" s="542"/>
      <c r="E183" s="542"/>
      <c r="F183" s="542" t="s">
        <v>120</v>
      </c>
      <c r="G183" s="542"/>
      <c r="H183" s="542"/>
      <c r="I183" s="542"/>
      <c r="J183" s="542"/>
      <c r="K183" s="542"/>
      <c r="L183" s="542"/>
      <c r="M183" s="542"/>
      <c r="N183" s="542"/>
      <c r="O183" s="542"/>
      <c r="P183" s="542"/>
      <c r="Q183" s="863"/>
      <c r="S183" s="863">
        <f>Q144/Q181</f>
        <v>8.3453454558574287E-3</v>
      </c>
      <c r="T183" s="867" t="s">
        <v>77</v>
      </c>
      <c r="U183" s="542"/>
      <c r="V183" s="542"/>
      <c r="W183" s="542"/>
      <c r="X183" s="542"/>
      <c r="Y183" s="542"/>
      <c r="Z183" s="542"/>
      <c r="AA183" s="542"/>
      <c r="AB183" s="542"/>
      <c r="AC183" s="542"/>
      <c r="AD183" s="542"/>
      <c r="AE183" s="542"/>
      <c r="AF183" s="542"/>
      <c r="AG183" s="542"/>
      <c r="AH183" s="542"/>
      <c r="AI183" s="542"/>
      <c r="AJ183" s="542"/>
      <c r="AK183" s="542"/>
      <c r="AL183" s="542"/>
      <c r="AM183" s="542"/>
      <c r="AN183" s="542"/>
      <c r="AO183" s="542"/>
      <c r="AP183" s="542"/>
      <c r="AQ183" s="542"/>
      <c r="AR183" s="542"/>
      <c r="AS183" s="542"/>
      <c r="AT183" s="542"/>
      <c r="AU183" s="542"/>
      <c r="AV183" s="542"/>
      <c r="AW183" s="542"/>
      <c r="AX183" s="542"/>
      <c r="AY183" s="541"/>
      <c r="AZ183" s="541"/>
      <c r="BA183" s="541"/>
      <c r="BB183" s="541"/>
      <c r="BC183" s="541"/>
      <c r="BD183" s="541"/>
      <c r="BE183" s="541"/>
      <c r="BF183" s="541"/>
      <c r="BG183" s="541"/>
      <c r="BH183" s="541"/>
      <c r="BI183" s="541"/>
    </row>
    <row r="184" spans="2:61" ht="14.25" customHeight="1" x14ac:dyDescent="0.35">
      <c r="B184" s="543"/>
      <c r="C184" s="542">
        <v>7</v>
      </c>
      <c r="D184" s="542"/>
      <c r="E184" s="542"/>
      <c r="F184" s="542" t="s">
        <v>121</v>
      </c>
      <c r="G184" s="542"/>
      <c r="H184" s="542"/>
      <c r="I184" s="542"/>
      <c r="J184" s="542"/>
      <c r="K184" s="542"/>
      <c r="L184" s="542"/>
      <c r="M184" s="542"/>
      <c r="N184" s="542"/>
      <c r="O184" s="542"/>
      <c r="P184" s="542"/>
      <c r="Q184" s="863"/>
      <c r="S184" s="863">
        <f>Q153/Q181</f>
        <v>1.3745274868471057E-2</v>
      </c>
      <c r="T184" s="867" t="s">
        <v>200</v>
      </c>
      <c r="U184" s="542"/>
      <c r="V184" s="542"/>
      <c r="W184" s="542"/>
      <c r="X184" s="542"/>
      <c r="Y184" s="542"/>
      <c r="Z184" s="542"/>
      <c r="AA184" s="542"/>
      <c r="AB184" s="542"/>
      <c r="AC184" s="542"/>
      <c r="AD184" s="542"/>
      <c r="AE184" s="542"/>
      <c r="AF184" s="542"/>
      <c r="AG184" s="542"/>
      <c r="AH184" s="542"/>
      <c r="AI184" s="542"/>
      <c r="AJ184" s="542"/>
      <c r="AK184" s="542"/>
      <c r="AL184" s="542"/>
      <c r="AM184" s="542"/>
      <c r="AN184" s="542"/>
      <c r="AO184" s="542"/>
      <c r="AP184" s="542"/>
      <c r="AQ184" s="542"/>
      <c r="AR184" s="542"/>
      <c r="AS184" s="542"/>
      <c r="AT184" s="542"/>
      <c r="AU184" s="542"/>
      <c r="AV184" s="542"/>
      <c r="AW184" s="542"/>
      <c r="AX184" s="542"/>
      <c r="AY184" s="541"/>
      <c r="AZ184" s="541"/>
      <c r="BA184" s="541"/>
      <c r="BB184" s="541"/>
      <c r="BC184" s="541"/>
      <c r="BD184" s="541"/>
      <c r="BE184" s="541"/>
      <c r="BF184" s="541"/>
      <c r="BG184" s="541"/>
      <c r="BH184" s="541"/>
      <c r="BI184" s="541"/>
    </row>
    <row r="185" spans="2:61" ht="14.25" customHeight="1" x14ac:dyDescent="0.35">
      <c r="B185" s="543"/>
      <c r="C185" s="542">
        <v>8</v>
      </c>
      <c r="D185" s="542"/>
      <c r="E185" s="542"/>
      <c r="F185" s="542" t="s">
        <v>122</v>
      </c>
      <c r="G185" s="542"/>
      <c r="H185" s="542"/>
      <c r="I185" s="542"/>
      <c r="J185" s="542"/>
      <c r="K185" s="542"/>
      <c r="L185" s="542"/>
      <c r="M185" s="542"/>
      <c r="N185" s="542"/>
      <c r="O185" s="542"/>
      <c r="P185" s="542"/>
      <c r="Q185" s="863"/>
      <c r="S185" s="863">
        <f>Q162/Q181</f>
        <v>0.13593242310372292</v>
      </c>
      <c r="T185" s="867" t="s">
        <v>201</v>
      </c>
      <c r="U185" s="542"/>
      <c r="V185" s="542"/>
      <c r="W185" s="542"/>
      <c r="X185" s="542"/>
      <c r="Y185" s="542"/>
      <c r="Z185" s="542"/>
      <c r="AA185" s="542"/>
      <c r="AB185" s="542"/>
      <c r="AC185" s="542"/>
      <c r="AD185" s="542"/>
      <c r="AE185" s="542"/>
      <c r="AF185" s="542"/>
      <c r="AG185" s="542"/>
      <c r="AH185" s="542"/>
      <c r="AI185" s="542"/>
      <c r="AJ185" s="542"/>
      <c r="AK185" s="542"/>
      <c r="AL185" s="542"/>
      <c r="AM185" s="542"/>
      <c r="AN185" s="542"/>
      <c r="AO185" s="542"/>
      <c r="AP185" s="542"/>
      <c r="AQ185" s="542"/>
      <c r="AR185" s="542"/>
      <c r="AS185" s="542"/>
      <c r="AT185" s="542"/>
      <c r="AU185" s="542"/>
      <c r="AV185" s="542"/>
      <c r="AW185" s="542"/>
      <c r="AX185" s="542"/>
      <c r="AY185" s="541"/>
      <c r="AZ185" s="541"/>
      <c r="BA185" s="541"/>
      <c r="BB185" s="541"/>
      <c r="BC185" s="541"/>
      <c r="BD185" s="541"/>
      <c r="BE185" s="541"/>
      <c r="BF185" s="541"/>
      <c r="BG185" s="541"/>
      <c r="BH185" s="541"/>
      <c r="BI185" s="541"/>
    </row>
    <row r="186" spans="2:61" ht="14.25" customHeight="1" x14ac:dyDescent="0.35">
      <c r="B186" s="543"/>
      <c r="C186" s="542"/>
      <c r="D186" s="542"/>
      <c r="E186" s="542"/>
      <c r="F186" s="542"/>
      <c r="G186" s="542"/>
      <c r="H186" s="542"/>
      <c r="I186" s="542"/>
      <c r="J186" s="542"/>
      <c r="K186" s="542"/>
      <c r="L186" s="542"/>
      <c r="M186" s="542"/>
      <c r="N186" s="542"/>
      <c r="O186" s="542"/>
      <c r="P186" s="542"/>
      <c r="Q186" s="864"/>
      <c r="R186" s="865"/>
      <c r="S186" s="864">
        <f>Q172/Q181</f>
        <v>4.7617559365774741E-2</v>
      </c>
      <c r="T186" s="868" t="s">
        <v>57</v>
      </c>
      <c r="U186" s="542"/>
      <c r="V186" s="887"/>
      <c r="W186" s="542"/>
      <c r="X186" s="542"/>
      <c r="Y186" s="542"/>
      <c r="Z186" s="542"/>
      <c r="AA186" s="542"/>
      <c r="AB186" s="542"/>
      <c r="AC186" s="542"/>
      <c r="AD186" s="542"/>
      <c r="AE186" s="542"/>
      <c r="AF186" s="542"/>
      <c r="AG186" s="542"/>
      <c r="AH186" s="542"/>
      <c r="AI186" s="542"/>
      <c r="AJ186" s="542"/>
      <c r="AK186" s="542"/>
      <c r="AL186" s="542"/>
      <c r="AM186" s="542"/>
      <c r="AN186" s="542"/>
      <c r="AO186" s="542"/>
      <c r="AP186" s="542"/>
      <c r="AQ186" s="542"/>
      <c r="AR186" s="542"/>
      <c r="AS186" s="542"/>
      <c r="AT186" s="542"/>
      <c r="AU186" s="542"/>
      <c r="AV186" s="542"/>
      <c r="AW186" s="542"/>
      <c r="AX186" s="542"/>
      <c r="AY186" s="541"/>
      <c r="AZ186" s="541"/>
      <c r="BA186" s="541"/>
      <c r="BB186" s="541"/>
      <c r="BC186" s="541"/>
      <c r="BD186" s="541"/>
      <c r="BE186" s="541"/>
      <c r="BF186" s="541"/>
      <c r="BG186" s="541"/>
      <c r="BH186" s="541"/>
      <c r="BI186" s="541"/>
    </row>
    <row r="187" spans="2:61" ht="14.25" customHeight="1" x14ac:dyDescent="0.3">
      <c r="B187" s="957"/>
      <c r="C187" s="540"/>
      <c r="D187" s="540"/>
      <c r="E187" s="540"/>
      <c r="F187" s="539"/>
      <c r="G187" s="539"/>
      <c r="H187" s="539"/>
      <c r="I187" s="539"/>
      <c r="J187" s="539"/>
      <c r="K187" s="539"/>
      <c r="L187" s="539"/>
      <c r="M187" s="539"/>
      <c r="N187" s="539"/>
      <c r="O187" s="539"/>
      <c r="P187" s="539"/>
      <c r="S187" s="536">
        <f>SUM(S181:S186)</f>
        <v>1.0000000000000002</v>
      </c>
      <c r="T187" s="539"/>
      <c r="U187" s="539"/>
      <c r="V187" s="539"/>
      <c r="W187" s="539"/>
      <c r="X187" s="539"/>
      <c r="Y187" s="539"/>
      <c r="Z187" s="539"/>
      <c r="AA187" s="539"/>
      <c r="AB187" s="539"/>
      <c r="AC187" s="539"/>
      <c r="AD187" s="539"/>
      <c r="AE187" s="539"/>
      <c r="AF187" s="539"/>
      <c r="AG187" s="539"/>
      <c r="AH187" s="539"/>
      <c r="AI187" s="539"/>
      <c r="AJ187" s="539"/>
      <c r="AK187" s="539"/>
      <c r="AL187" s="539"/>
      <c r="AM187" s="539"/>
      <c r="AN187" s="539"/>
      <c r="AO187" s="539"/>
      <c r="AP187" s="539"/>
      <c r="AQ187" s="539"/>
      <c r="AR187" s="539"/>
      <c r="AS187" s="539"/>
      <c r="AT187" s="539"/>
      <c r="AU187" s="539"/>
      <c r="AV187" s="539"/>
      <c r="AW187" s="539"/>
      <c r="AX187" s="539"/>
    </row>
    <row r="188" spans="2:61" ht="14.25" customHeight="1" x14ac:dyDescent="0.3">
      <c r="B188" s="957"/>
      <c r="C188" s="540"/>
      <c r="D188" s="540"/>
      <c r="E188" s="540"/>
      <c r="F188" s="539"/>
      <c r="G188" s="539"/>
      <c r="H188" s="539"/>
      <c r="I188" s="539"/>
      <c r="J188" s="539"/>
      <c r="K188" s="539"/>
      <c r="L188" s="539"/>
      <c r="M188" s="539"/>
      <c r="N188" s="539"/>
      <c r="O188" s="539"/>
      <c r="P188" s="539"/>
      <c r="Q188" s="539"/>
      <c r="R188" s="539"/>
      <c r="S188" s="539"/>
      <c r="T188" s="539"/>
      <c r="U188" s="539"/>
      <c r="V188" s="539"/>
      <c r="W188" s="539"/>
      <c r="X188" s="539"/>
      <c r="Y188" s="539"/>
      <c r="Z188" s="539"/>
      <c r="AA188" s="539"/>
      <c r="AB188" s="539"/>
      <c r="AC188" s="539"/>
      <c r="AD188" s="539"/>
      <c r="AE188" s="539"/>
      <c r="AF188" s="539"/>
      <c r="AG188" s="539"/>
      <c r="AH188" s="539"/>
      <c r="AI188" s="539"/>
      <c r="AJ188" s="539"/>
      <c r="AK188" s="539"/>
      <c r="AL188" s="539"/>
      <c r="AM188" s="539"/>
      <c r="AN188" s="539"/>
      <c r="AO188" s="539"/>
      <c r="AP188" s="539"/>
      <c r="AQ188" s="539"/>
      <c r="AR188" s="539"/>
      <c r="AS188" s="539"/>
      <c r="AT188" s="539"/>
      <c r="AU188" s="539"/>
      <c r="AV188" s="539"/>
      <c r="AW188" s="539"/>
      <c r="AX188" s="539"/>
    </row>
    <row r="189" spans="2:61" ht="14.25" customHeight="1" x14ac:dyDescent="0.3">
      <c r="B189" s="957"/>
      <c r="C189" s="540"/>
      <c r="D189" s="540"/>
      <c r="E189" s="540"/>
      <c r="F189" s="539"/>
      <c r="G189" s="539"/>
      <c r="H189" s="539"/>
      <c r="I189" s="539"/>
      <c r="J189" s="539"/>
      <c r="K189" s="539"/>
      <c r="L189" s="539"/>
      <c r="M189" s="539"/>
      <c r="N189" s="539"/>
      <c r="O189" s="539"/>
      <c r="P189" s="539"/>
      <c r="Q189" s="539"/>
      <c r="R189" s="539"/>
      <c r="S189" s="539"/>
      <c r="T189" s="539"/>
      <c r="U189" s="539"/>
      <c r="V189" s="539"/>
      <c r="W189" s="539"/>
      <c r="X189" s="539"/>
      <c r="Y189" s="539"/>
      <c r="Z189" s="539"/>
      <c r="AA189" s="539"/>
      <c r="AB189" s="539"/>
      <c r="AC189" s="539"/>
      <c r="AD189" s="539"/>
      <c r="AE189" s="539"/>
      <c r="AF189" s="539"/>
      <c r="AG189" s="539"/>
      <c r="AH189" s="539"/>
      <c r="AI189" s="539"/>
      <c r="AJ189" s="539"/>
      <c r="AK189" s="539"/>
      <c r="AL189" s="539"/>
      <c r="AM189" s="539"/>
      <c r="AN189" s="539"/>
      <c r="AO189" s="539"/>
      <c r="AP189" s="539"/>
      <c r="AQ189" s="539"/>
      <c r="AR189" s="539"/>
      <c r="AS189" s="539"/>
      <c r="AT189" s="539"/>
      <c r="AU189" s="539"/>
      <c r="AV189" s="539"/>
      <c r="AW189" s="539"/>
      <c r="AX189" s="539"/>
    </row>
    <row r="190" spans="2:61" ht="14.25" customHeight="1" x14ac:dyDescent="0.3">
      <c r="B190" s="957"/>
      <c r="C190" s="540"/>
      <c r="D190" s="540"/>
      <c r="E190" s="540"/>
      <c r="F190" s="539"/>
      <c r="G190" s="539"/>
      <c r="H190" s="539"/>
      <c r="I190" s="539"/>
      <c r="J190" s="539"/>
      <c r="K190" s="539"/>
      <c r="L190" s="539"/>
      <c r="M190" s="539"/>
      <c r="N190" s="539"/>
      <c r="O190" s="539"/>
      <c r="P190" s="539"/>
      <c r="Q190" s="539"/>
      <c r="R190" s="539"/>
      <c r="S190" s="539"/>
      <c r="T190" s="539"/>
      <c r="U190" s="539"/>
      <c r="V190" s="539"/>
      <c r="W190" s="539"/>
      <c r="X190" s="539"/>
      <c r="Y190" s="539"/>
      <c r="Z190" s="539"/>
      <c r="AA190" s="539"/>
      <c r="AB190" s="539"/>
      <c r="AC190" s="539"/>
      <c r="AD190" s="539"/>
      <c r="AE190" s="539"/>
      <c r="AF190" s="539"/>
      <c r="AG190" s="539"/>
      <c r="AH190" s="539"/>
      <c r="AI190" s="539"/>
      <c r="AJ190" s="539"/>
      <c r="AK190" s="539"/>
      <c r="AL190" s="539"/>
      <c r="AM190" s="539"/>
      <c r="AN190" s="539"/>
      <c r="AO190" s="539"/>
      <c r="AP190" s="539"/>
      <c r="AQ190" s="539"/>
      <c r="AR190" s="539"/>
      <c r="AS190" s="539"/>
      <c r="AT190" s="539"/>
      <c r="AU190" s="539"/>
      <c r="AV190" s="539"/>
      <c r="AW190" s="539"/>
      <c r="AX190" s="539"/>
    </row>
    <row r="191" spans="2:61" ht="14.25" customHeight="1" x14ac:dyDescent="0.3">
      <c r="B191" s="957"/>
      <c r="C191" s="540"/>
      <c r="D191" s="540"/>
      <c r="E191" s="540"/>
      <c r="F191" s="539"/>
      <c r="G191" s="539"/>
      <c r="H191" s="539"/>
      <c r="I191" s="539"/>
      <c r="J191" s="539"/>
      <c r="K191" s="539"/>
      <c r="L191" s="539"/>
      <c r="M191" s="539"/>
      <c r="N191" s="539"/>
      <c r="O191" s="539"/>
      <c r="P191" s="539"/>
      <c r="Q191" s="539"/>
      <c r="R191" s="539"/>
      <c r="S191" s="539"/>
      <c r="T191" s="539"/>
      <c r="U191" s="539"/>
      <c r="V191" s="539"/>
      <c r="W191" s="539"/>
      <c r="X191" s="539"/>
      <c r="Y191" s="539"/>
      <c r="Z191" s="539"/>
      <c r="AA191" s="539"/>
      <c r="AB191" s="539"/>
      <c r="AC191" s="539"/>
      <c r="AD191" s="539"/>
      <c r="AE191" s="539"/>
      <c r="AF191" s="539"/>
      <c r="AG191" s="539"/>
      <c r="AH191" s="539"/>
      <c r="AI191" s="539"/>
      <c r="AJ191" s="539"/>
      <c r="AK191" s="539"/>
      <c r="AL191" s="539"/>
      <c r="AM191" s="539"/>
      <c r="AN191" s="539"/>
      <c r="AO191" s="539"/>
      <c r="AP191" s="539"/>
      <c r="AQ191" s="539"/>
      <c r="AR191" s="539"/>
      <c r="AS191" s="539"/>
      <c r="AT191" s="539"/>
      <c r="AU191" s="539"/>
      <c r="AV191" s="539"/>
      <c r="AW191" s="539"/>
      <c r="AX191" s="539"/>
    </row>
    <row r="192" spans="2:61" ht="14.25" customHeight="1" x14ac:dyDescent="0.3">
      <c r="B192" s="957"/>
      <c r="C192" s="540"/>
      <c r="D192" s="540"/>
      <c r="E192" s="540"/>
      <c r="F192" s="539"/>
      <c r="G192" s="539"/>
      <c r="H192" s="539"/>
      <c r="I192" s="539"/>
      <c r="J192" s="539"/>
      <c r="K192" s="539"/>
      <c r="L192" s="539"/>
      <c r="M192" s="539"/>
      <c r="N192" s="539"/>
      <c r="O192" s="539"/>
      <c r="P192" s="539"/>
      <c r="Q192" s="539"/>
      <c r="R192" s="539"/>
      <c r="S192" s="539"/>
      <c r="T192" s="539"/>
      <c r="U192" s="539"/>
      <c r="V192" s="539"/>
      <c r="W192" s="539"/>
      <c r="X192" s="539"/>
      <c r="Y192" s="539"/>
      <c r="Z192" s="539"/>
      <c r="AA192" s="539"/>
      <c r="AB192" s="539"/>
      <c r="AC192" s="539"/>
      <c r="AD192" s="539"/>
      <c r="AE192" s="539"/>
      <c r="AF192" s="539"/>
      <c r="AG192" s="539"/>
      <c r="AH192" s="539"/>
      <c r="AI192" s="539"/>
      <c r="AJ192" s="539"/>
      <c r="AK192" s="539"/>
      <c r="AL192" s="539"/>
      <c r="AM192" s="539"/>
      <c r="AN192" s="539"/>
      <c r="AO192" s="539"/>
      <c r="AP192" s="539"/>
      <c r="AQ192" s="539"/>
      <c r="AR192" s="539"/>
      <c r="AS192" s="539"/>
      <c r="AT192" s="539"/>
      <c r="AU192" s="539"/>
      <c r="AV192" s="539"/>
      <c r="AW192" s="539"/>
      <c r="AX192" s="539"/>
    </row>
    <row r="193" spans="2:50" ht="14.25" customHeight="1" x14ac:dyDescent="0.3">
      <c r="B193" s="957"/>
      <c r="C193" s="540"/>
      <c r="D193" s="540"/>
      <c r="E193" s="540"/>
      <c r="F193" s="539"/>
      <c r="G193" s="539"/>
      <c r="H193" s="539"/>
      <c r="I193" s="539"/>
      <c r="J193" s="539"/>
      <c r="K193" s="539"/>
      <c r="L193" s="539"/>
      <c r="M193" s="539"/>
      <c r="N193" s="539"/>
      <c r="O193" s="539"/>
      <c r="P193" s="539"/>
      <c r="Q193" s="539"/>
      <c r="R193" s="539"/>
      <c r="S193" s="539"/>
      <c r="T193" s="539"/>
      <c r="U193" s="539"/>
      <c r="V193" s="539"/>
      <c r="W193" s="539"/>
      <c r="X193" s="539"/>
      <c r="Y193" s="539"/>
      <c r="Z193" s="539"/>
      <c r="AA193" s="539"/>
      <c r="AB193" s="539"/>
      <c r="AC193" s="539"/>
      <c r="AD193" s="539"/>
      <c r="AE193" s="539"/>
      <c r="AF193" s="539"/>
      <c r="AG193" s="539"/>
      <c r="AH193" s="539"/>
      <c r="AI193" s="539"/>
      <c r="AJ193" s="539"/>
      <c r="AK193" s="539"/>
      <c r="AL193" s="539"/>
      <c r="AM193" s="539"/>
      <c r="AN193" s="539"/>
      <c r="AO193" s="539"/>
      <c r="AP193" s="539"/>
      <c r="AQ193" s="539"/>
      <c r="AR193" s="539"/>
      <c r="AS193" s="539"/>
      <c r="AT193" s="539"/>
      <c r="AU193" s="539"/>
      <c r="AV193" s="539"/>
      <c r="AW193" s="539"/>
      <c r="AX193" s="539"/>
    </row>
    <row r="194" spans="2:50" ht="14.25" customHeight="1" x14ac:dyDescent="0.3">
      <c r="B194" s="957"/>
      <c r="C194" s="540"/>
      <c r="D194" s="540"/>
      <c r="E194" s="540"/>
      <c r="F194" s="539"/>
      <c r="G194" s="539"/>
      <c r="H194" s="539"/>
      <c r="I194" s="539"/>
      <c r="J194" s="539"/>
      <c r="K194" s="539"/>
      <c r="L194" s="539"/>
      <c r="M194" s="539"/>
      <c r="N194" s="539"/>
      <c r="O194" s="539"/>
      <c r="P194" s="539"/>
      <c r="Q194" s="539"/>
      <c r="R194" s="539"/>
      <c r="S194" s="539"/>
      <c r="T194" s="539"/>
      <c r="U194" s="539"/>
      <c r="V194" s="539"/>
      <c r="W194" s="539"/>
      <c r="X194" s="539"/>
      <c r="Y194" s="539"/>
      <c r="Z194" s="539"/>
      <c r="AA194" s="539"/>
      <c r="AB194" s="539"/>
      <c r="AC194" s="539"/>
      <c r="AD194" s="539"/>
      <c r="AE194" s="539"/>
      <c r="AF194" s="539"/>
      <c r="AG194" s="539"/>
      <c r="AH194" s="539"/>
      <c r="AI194" s="539"/>
      <c r="AJ194" s="539"/>
      <c r="AK194" s="539"/>
      <c r="AL194" s="539"/>
      <c r="AM194" s="539"/>
      <c r="AN194" s="539"/>
      <c r="AO194" s="539"/>
      <c r="AP194" s="539"/>
      <c r="AQ194" s="539"/>
      <c r="AR194" s="539"/>
      <c r="AS194" s="539"/>
      <c r="AT194" s="539"/>
      <c r="AU194" s="539"/>
      <c r="AV194" s="539"/>
      <c r="AW194" s="539"/>
      <c r="AX194" s="539"/>
    </row>
    <row r="195" spans="2:50" ht="14.25" customHeight="1" x14ac:dyDescent="0.3">
      <c r="B195" s="957"/>
      <c r="C195" s="540"/>
      <c r="D195" s="540"/>
      <c r="E195" s="540"/>
      <c r="F195" s="539"/>
      <c r="G195" s="539"/>
      <c r="H195" s="539"/>
      <c r="I195" s="539"/>
      <c r="J195" s="539"/>
      <c r="K195" s="539"/>
      <c r="L195" s="539"/>
      <c r="M195" s="539"/>
      <c r="N195" s="539"/>
      <c r="O195" s="539"/>
      <c r="P195" s="539"/>
      <c r="Q195" s="539"/>
      <c r="R195" s="539"/>
      <c r="S195" s="539"/>
      <c r="T195" s="539"/>
      <c r="U195" s="539"/>
      <c r="V195" s="539"/>
      <c r="W195" s="539"/>
      <c r="X195" s="539"/>
      <c r="Y195" s="539"/>
      <c r="Z195" s="539"/>
      <c r="AA195" s="539"/>
      <c r="AB195" s="539"/>
      <c r="AC195" s="539"/>
      <c r="AD195" s="539"/>
      <c r="AE195" s="539"/>
      <c r="AF195" s="539"/>
      <c r="AG195" s="539"/>
      <c r="AH195" s="539"/>
      <c r="AI195" s="539"/>
      <c r="AJ195" s="539"/>
      <c r="AK195" s="539"/>
      <c r="AL195" s="539"/>
      <c r="AM195" s="539"/>
      <c r="AN195" s="539"/>
      <c r="AO195" s="539"/>
      <c r="AP195" s="539"/>
      <c r="AQ195" s="539"/>
      <c r="AR195" s="539"/>
      <c r="AS195" s="539"/>
      <c r="AT195" s="539"/>
      <c r="AU195" s="539"/>
      <c r="AV195" s="539"/>
      <c r="AW195" s="539"/>
      <c r="AX195" s="539"/>
    </row>
    <row r="196" spans="2:50" ht="14.25" customHeight="1" x14ac:dyDescent="0.3">
      <c r="B196" s="957"/>
      <c r="C196" s="540"/>
      <c r="D196" s="540"/>
      <c r="E196" s="540"/>
      <c r="F196" s="539"/>
      <c r="G196" s="539"/>
      <c r="H196" s="539"/>
      <c r="I196" s="539"/>
      <c r="J196" s="539"/>
      <c r="K196" s="539"/>
      <c r="L196" s="539"/>
      <c r="M196" s="539"/>
      <c r="N196" s="539"/>
      <c r="O196" s="539"/>
      <c r="P196" s="539"/>
      <c r="Q196" s="539"/>
      <c r="R196" s="539"/>
      <c r="S196" s="539"/>
      <c r="T196" s="539"/>
      <c r="U196" s="539"/>
      <c r="V196" s="539"/>
      <c r="W196" s="539"/>
      <c r="X196" s="539"/>
      <c r="Y196" s="539"/>
      <c r="Z196" s="539"/>
      <c r="AA196" s="539"/>
      <c r="AB196" s="539"/>
      <c r="AC196" s="539"/>
      <c r="AD196" s="539"/>
      <c r="AE196" s="539"/>
      <c r="AF196" s="539"/>
      <c r="AG196" s="539"/>
      <c r="AH196" s="539"/>
      <c r="AI196" s="539"/>
      <c r="AJ196" s="539"/>
      <c r="AK196" s="539"/>
      <c r="AL196" s="539"/>
      <c r="AM196" s="539"/>
      <c r="AN196" s="539"/>
      <c r="AO196" s="539"/>
      <c r="AP196" s="539"/>
      <c r="AQ196" s="539"/>
      <c r="AR196" s="539"/>
      <c r="AS196" s="539"/>
      <c r="AT196" s="539"/>
      <c r="AU196" s="539"/>
      <c r="AV196" s="539"/>
      <c r="AW196" s="539"/>
      <c r="AX196" s="539"/>
    </row>
    <row r="197" spans="2:50" ht="14.25" customHeight="1" x14ac:dyDescent="0.3">
      <c r="B197" s="957"/>
      <c r="C197" s="540"/>
      <c r="D197" s="540"/>
      <c r="E197" s="540"/>
      <c r="F197" s="539"/>
      <c r="G197" s="539"/>
      <c r="H197" s="539"/>
      <c r="I197" s="539"/>
      <c r="J197" s="539"/>
      <c r="K197" s="539"/>
      <c r="L197" s="539"/>
      <c r="M197" s="539"/>
      <c r="N197" s="539"/>
      <c r="O197" s="539"/>
      <c r="P197" s="539"/>
      <c r="Q197" s="539"/>
      <c r="R197" s="539"/>
      <c r="S197" s="539"/>
      <c r="T197" s="539"/>
      <c r="U197" s="539"/>
      <c r="V197" s="539"/>
      <c r="W197" s="539"/>
      <c r="X197" s="539"/>
      <c r="Y197" s="539"/>
      <c r="Z197" s="539"/>
      <c r="AA197" s="539"/>
      <c r="AB197" s="539"/>
      <c r="AC197" s="539"/>
      <c r="AD197" s="539"/>
      <c r="AE197" s="539"/>
      <c r="AF197" s="539"/>
      <c r="AG197" s="539"/>
      <c r="AH197" s="539"/>
      <c r="AI197" s="539"/>
      <c r="AJ197" s="539"/>
      <c r="AK197" s="539"/>
      <c r="AL197" s="539"/>
      <c r="AM197" s="539"/>
      <c r="AN197" s="539"/>
      <c r="AO197" s="539"/>
      <c r="AP197" s="539"/>
      <c r="AQ197" s="539"/>
      <c r="AR197" s="539"/>
      <c r="AS197" s="539"/>
      <c r="AT197" s="539"/>
      <c r="AU197" s="539"/>
      <c r="AV197" s="539"/>
      <c r="AW197" s="539"/>
      <c r="AX197" s="539"/>
    </row>
    <row r="198" spans="2:50" ht="14.25" customHeight="1" x14ac:dyDescent="0.3">
      <c r="B198" s="957"/>
      <c r="C198" s="540"/>
      <c r="D198" s="540"/>
      <c r="E198" s="540"/>
      <c r="F198" s="539"/>
      <c r="G198" s="539"/>
      <c r="H198" s="539"/>
      <c r="I198" s="539"/>
      <c r="J198" s="539"/>
      <c r="K198" s="539"/>
      <c r="L198" s="539"/>
      <c r="M198" s="539"/>
      <c r="N198" s="539"/>
      <c r="O198" s="539"/>
      <c r="P198" s="539"/>
      <c r="Q198" s="539"/>
      <c r="R198" s="539"/>
      <c r="S198" s="539"/>
      <c r="T198" s="539"/>
      <c r="U198" s="539"/>
      <c r="V198" s="539"/>
      <c r="W198" s="539"/>
      <c r="X198" s="539"/>
      <c r="Y198" s="539"/>
      <c r="Z198" s="539"/>
      <c r="AA198" s="539"/>
      <c r="AB198" s="539"/>
      <c r="AC198" s="539"/>
      <c r="AD198" s="539"/>
      <c r="AE198" s="539"/>
      <c r="AF198" s="539"/>
      <c r="AG198" s="539"/>
      <c r="AH198" s="539"/>
      <c r="AI198" s="539"/>
      <c r="AJ198" s="539"/>
      <c r="AK198" s="539"/>
      <c r="AL198" s="539"/>
      <c r="AM198" s="539"/>
      <c r="AN198" s="539"/>
      <c r="AO198" s="539"/>
      <c r="AP198" s="539"/>
      <c r="AQ198" s="539"/>
      <c r="AR198" s="539"/>
      <c r="AS198" s="539"/>
      <c r="AT198" s="539"/>
      <c r="AU198" s="539"/>
      <c r="AV198" s="539"/>
      <c r="AW198" s="539"/>
      <c r="AX198" s="539"/>
    </row>
    <row r="199" spans="2:50" ht="14.25" customHeight="1" x14ac:dyDescent="0.3">
      <c r="B199" s="957"/>
      <c r="C199" s="540"/>
      <c r="D199" s="540"/>
      <c r="E199" s="540"/>
      <c r="F199" s="539"/>
      <c r="G199" s="539"/>
      <c r="H199" s="539"/>
      <c r="I199" s="539"/>
      <c r="J199" s="539"/>
      <c r="K199" s="539"/>
      <c r="L199" s="539"/>
      <c r="M199" s="539"/>
      <c r="N199" s="539"/>
      <c r="O199" s="539"/>
      <c r="P199" s="539"/>
      <c r="Q199" s="539"/>
      <c r="R199" s="539"/>
      <c r="S199" s="539"/>
      <c r="T199" s="539"/>
      <c r="U199" s="539"/>
      <c r="V199" s="539"/>
      <c r="W199" s="539"/>
      <c r="X199" s="539"/>
      <c r="Y199" s="539"/>
      <c r="Z199" s="539"/>
      <c r="AA199" s="539"/>
      <c r="AB199" s="539"/>
      <c r="AC199" s="539"/>
      <c r="AD199" s="539"/>
      <c r="AE199" s="539"/>
      <c r="AF199" s="539"/>
      <c r="AG199" s="539"/>
      <c r="AH199" s="539"/>
      <c r="AI199" s="539"/>
      <c r="AJ199" s="539"/>
      <c r="AK199" s="539"/>
      <c r="AL199" s="539"/>
      <c r="AM199" s="539"/>
      <c r="AN199" s="539"/>
      <c r="AO199" s="539"/>
      <c r="AP199" s="539"/>
      <c r="AQ199" s="539"/>
      <c r="AR199" s="539"/>
      <c r="AS199" s="539"/>
      <c r="AT199" s="539"/>
      <c r="AU199" s="539"/>
      <c r="AV199" s="539"/>
      <c r="AW199" s="539"/>
      <c r="AX199" s="539"/>
    </row>
    <row r="200" spans="2:50" ht="14.25" customHeight="1" x14ac:dyDescent="0.3">
      <c r="B200" s="957"/>
      <c r="C200" s="540"/>
      <c r="D200" s="540"/>
      <c r="E200" s="540"/>
      <c r="F200" s="539"/>
      <c r="G200" s="539"/>
      <c r="H200" s="539"/>
      <c r="I200" s="539"/>
      <c r="J200" s="539"/>
      <c r="K200" s="539"/>
      <c r="L200" s="539"/>
      <c r="M200" s="539"/>
      <c r="N200" s="539"/>
      <c r="O200" s="539"/>
      <c r="P200" s="539"/>
      <c r="Q200" s="539"/>
      <c r="R200" s="539"/>
      <c r="S200" s="539"/>
      <c r="T200" s="539"/>
      <c r="U200" s="539"/>
      <c r="V200" s="539"/>
      <c r="W200" s="539"/>
      <c r="X200" s="539"/>
      <c r="Y200" s="539"/>
      <c r="Z200" s="539"/>
      <c r="AA200" s="539"/>
      <c r="AB200" s="539"/>
      <c r="AC200" s="539"/>
      <c r="AD200" s="539"/>
      <c r="AE200" s="539"/>
      <c r="AF200" s="539"/>
      <c r="AG200" s="539"/>
      <c r="AH200" s="539"/>
      <c r="AI200" s="539"/>
      <c r="AJ200" s="539"/>
      <c r="AK200" s="539"/>
      <c r="AL200" s="539"/>
      <c r="AM200" s="539"/>
      <c r="AN200" s="539"/>
      <c r="AO200" s="539"/>
      <c r="AP200" s="539"/>
      <c r="AQ200" s="539"/>
      <c r="AR200" s="539"/>
      <c r="AS200" s="539"/>
      <c r="AT200" s="539"/>
      <c r="AU200" s="539"/>
      <c r="AV200" s="539"/>
      <c r="AW200" s="539"/>
      <c r="AX200" s="539"/>
    </row>
    <row r="201" spans="2:50" ht="14.25" customHeight="1" x14ac:dyDescent="0.3">
      <c r="B201" s="957"/>
      <c r="C201" s="540"/>
      <c r="D201" s="540"/>
      <c r="E201" s="540"/>
      <c r="F201" s="539"/>
      <c r="G201" s="539"/>
      <c r="H201" s="539"/>
      <c r="I201" s="539"/>
      <c r="J201" s="539"/>
      <c r="K201" s="539"/>
      <c r="L201" s="539"/>
      <c r="M201" s="539"/>
      <c r="N201" s="539"/>
      <c r="O201" s="539"/>
      <c r="P201" s="539"/>
      <c r="Q201" s="539"/>
      <c r="R201" s="539"/>
      <c r="S201" s="539"/>
      <c r="T201" s="539"/>
      <c r="U201" s="539"/>
      <c r="V201" s="539"/>
      <c r="W201" s="539"/>
      <c r="X201" s="539"/>
      <c r="Y201" s="539"/>
      <c r="Z201" s="539"/>
      <c r="AA201" s="539"/>
      <c r="AB201" s="539"/>
      <c r="AC201" s="539"/>
      <c r="AD201" s="539"/>
      <c r="AE201" s="539"/>
      <c r="AF201" s="539"/>
      <c r="AG201" s="539"/>
      <c r="AH201" s="539"/>
      <c r="AI201" s="539"/>
      <c r="AJ201" s="539"/>
      <c r="AK201" s="539"/>
      <c r="AL201" s="539"/>
      <c r="AM201" s="539"/>
      <c r="AN201" s="539"/>
      <c r="AO201" s="539"/>
      <c r="AP201" s="539"/>
      <c r="AQ201" s="539"/>
      <c r="AR201" s="539"/>
      <c r="AS201" s="539"/>
      <c r="AT201" s="539"/>
      <c r="AU201" s="539"/>
      <c r="AV201" s="539"/>
      <c r="AW201" s="539"/>
      <c r="AX201" s="539"/>
    </row>
    <row r="202" spans="2:50" ht="14.25" customHeight="1" x14ac:dyDescent="0.3">
      <c r="B202" s="957"/>
      <c r="C202" s="540"/>
      <c r="D202" s="540"/>
      <c r="E202" s="540"/>
      <c r="F202" s="539"/>
      <c r="G202" s="539"/>
      <c r="H202" s="539"/>
      <c r="I202" s="539"/>
      <c r="J202" s="539"/>
      <c r="K202" s="539"/>
      <c r="L202" s="539"/>
      <c r="M202" s="539"/>
      <c r="N202" s="539"/>
      <c r="O202" s="539"/>
      <c r="P202" s="539"/>
      <c r="Q202" s="539"/>
      <c r="R202" s="539"/>
      <c r="S202" s="539"/>
      <c r="T202" s="539"/>
      <c r="U202" s="539"/>
      <c r="V202" s="539"/>
      <c r="W202" s="539"/>
      <c r="X202" s="539"/>
      <c r="Y202" s="539"/>
      <c r="Z202" s="539"/>
      <c r="AA202" s="539"/>
      <c r="AB202" s="539"/>
      <c r="AC202" s="539"/>
      <c r="AD202" s="539"/>
      <c r="AE202" s="539"/>
      <c r="AF202" s="539"/>
      <c r="AG202" s="539"/>
      <c r="AH202" s="539"/>
      <c r="AI202" s="539"/>
      <c r="AJ202" s="539"/>
      <c r="AK202" s="539"/>
      <c r="AL202" s="539"/>
      <c r="AM202" s="539"/>
      <c r="AN202" s="539"/>
      <c r="AO202" s="539"/>
      <c r="AP202" s="539"/>
      <c r="AQ202" s="539"/>
      <c r="AR202" s="539"/>
      <c r="AS202" s="539"/>
      <c r="AT202" s="539"/>
      <c r="AU202" s="539"/>
      <c r="AV202" s="539"/>
      <c r="AW202" s="539"/>
      <c r="AX202" s="539"/>
    </row>
    <row r="203" spans="2:50" ht="14.25" customHeight="1" x14ac:dyDescent="0.3">
      <c r="B203" s="957"/>
      <c r="C203" s="540"/>
      <c r="D203" s="540"/>
      <c r="E203" s="540"/>
      <c r="F203" s="539"/>
      <c r="G203" s="539"/>
      <c r="H203" s="539"/>
      <c r="I203" s="539"/>
      <c r="J203" s="539"/>
      <c r="K203" s="539"/>
      <c r="L203" s="539"/>
      <c r="M203" s="539"/>
      <c r="N203" s="539"/>
      <c r="O203" s="539"/>
      <c r="P203" s="539"/>
      <c r="Q203" s="539"/>
      <c r="R203" s="539"/>
      <c r="S203" s="539"/>
      <c r="T203" s="539"/>
      <c r="U203" s="539"/>
      <c r="V203" s="539"/>
      <c r="W203" s="539"/>
      <c r="X203" s="539"/>
      <c r="Y203" s="539"/>
      <c r="Z203" s="539"/>
      <c r="AA203" s="539"/>
      <c r="AB203" s="539"/>
      <c r="AC203" s="539"/>
      <c r="AD203" s="539"/>
      <c r="AE203" s="539"/>
      <c r="AF203" s="539"/>
      <c r="AG203" s="539"/>
      <c r="AH203" s="539"/>
      <c r="AI203" s="539"/>
      <c r="AJ203" s="539"/>
      <c r="AK203" s="539"/>
      <c r="AL203" s="539"/>
      <c r="AM203" s="539"/>
      <c r="AN203" s="539"/>
      <c r="AO203" s="539"/>
      <c r="AP203" s="539"/>
      <c r="AQ203" s="539"/>
      <c r="AR203" s="539"/>
      <c r="AS203" s="539"/>
      <c r="AT203" s="539"/>
      <c r="AU203" s="539"/>
      <c r="AV203" s="539"/>
      <c r="AW203" s="539"/>
      <c r="AX203" s="539"/>
    </row>
    <row r="204" spans="2:50" ht="14.25" customHeight="1" x14ac:dyDescent="0.3">
      <c r="B204" s="957"/>
      <c r="C204" s="540"/>
      <c r="D204" s="540"/>
      <c r="E204" s="540"/>
      <c r="F204" s="539"/>
      <c r="G204" s="539"/>
      <c r="H204" s="539"/>
      <c r="I204" s="539"/>
      <c r="J204" s="539"/>
      <c r="K204" s="539"/>
      <c r="L204" s="539"/>
      <c r="M204" s="539"/>
      <c r="N204" s="539"/>
      <c r="O204" s="539"/>
      <c r="P204" s="539"/>
      <c r="Q204" s="539"/>
      <c r="R204" s="539"/>
      <c r="S204" s="539"/>
      <c r="T204" s="539"/>
      <c r="U204" s="539"/>
      <c r="V204" s="539"/>
      <c r="W204" s="539"/>
      <c r="X204" s="539"/>
      <c r="Y204" s="539"/>
      <c r="Z204" s="539"/>
      <c r="AA204" s="539"/>
      <c r="AB204" s="539"/>
      <c r="AC204" s="539"/>
      <c r="AD204" s="539"/>
      <c r="AE204" s="539"/>
      <c r="AF204" s="539"/>
      <c r="AG204" s="539"/>
      <c r="AH204" s="539"/>
      <c r="AI204" s="539"/>
      <c r="AJ204" s="539"/>
      <c r="AK204" s="539"/>
      <c r="AL204" s="539"/>
      <c r="AM204" s="539"/>
      <c r="AN204" s="539"/>
      <c r="AO204" s="539"/>
      <c r="AP204" s="539"/>
      <c r="AQ204" s="539"/>
      <c r="AR204" s="539"/>
      <c r="AS204" s="539"/>
      <c r="AT204" s="539"/>
      <c r="AU204" s="539"/>
      <c r="AV204" s="539"/>
      <c r="AW204" s="539"/>
      <c r="AX204" s="539"/>
    </row>
    <row r="205" spans="2:50" ht="14.25" customHeight="1" x14ac:dyDescent="0.3">
      <c r="B205" s="957"/>
      <c r="C205" s="540"/>
      <c r="D205" s="540"/>
      <c r="E205" s="540"/>
      <c r="F205" s="539"/>
      <c r="G205" s="539"/>
      <c r="H205" s="539"/>
      <c r="I205" s="539"/>
      <c r="J205" s="539"/>
      <c r="K205" s="539"/>
      <c r="L205" s="539"/>
      <c r="M205" s="539"/>
      <c r="N205" s="539"/>
      <c r="O205" s="539"/>
      <c r="P205" s="539"/>
      <c r="Q205" s="539"/>
      <c r="R205" s="539"/>
      <c r="S205" s="539"/>
      <c r="T205" s="539"/>
      <c r="U205" s="539"/>
      <c r="V205" s="539"/>
      <c r="W205" s="539"/>
      <c r="X205" s="539"/>
      <c r="Y205" s="539"/>
      <c r="Z205" s="539"/>
      <c r="AA205" s="539"/>
      <c r="AB205" s="539"/>
      <c r="AC205" s="539"/>
      <c r="AD205" s="539"/>
      <c r="AE205" s="539"/>
      <c r="AF205" s="539"/>
      <c r="AG205" s="539"/>
      <c r="AH205" s="539"/>
      <c r="AI205" s="539"/>
      <c r="AJ205" s="539"/>
      <c r="AK205" s="539"/>
      <c r="AL205" s="539"/>
      <c r="AM205" s="539"/>
      <c r="AN205" s="539"/>
      <c r="AO205" s="539"/>
      <c r="AP205" s="539"/>
      <c r="AQ205" s="539"/>
      <c r="AR205" s="539"/>
      <c r="AS205" s="539"/>
      <c r="AT205" s="539"/>
      <c r="AU205" s="539"/>
      <c r="AV205" s="539"/>
      <c r="AW205" s="539"/>
      <c r="AX205" s="539"/>
    </row>
    <row r="206" spans="2:50" ht="14.25" customHeight="1" x14ac:dyDescent="0.3">
      <c r="B206" s="957"/>
      <c r="C206" s="540"/>
      <c r="D206" s="540"/>
      <c r="E206" s="540"/>
      <c r="F206" s="539"/>
      <c r="G206" s="539"/>
      <c r="H206" s="539"/>
      <c r="I206" s="539"/>
      <c r="J206" s="539"/>
      <c r="K206" s="539"/>
      <c r="L206" s="539"/>
      <c r="M206" s="539"/>
      <c r="N206" s="539"/>
      <c r="O206" s="539"/>
      <c r="P206" s="539"/>
      <c r="Q206" s="539"/>
      <c r="R206" s="539"/>
      <c r="S206" s="539"/>
      <c r="T206" s="539"/>
      <c r="U206" s="539"/>
      <c r="V206" s="539"/>
      <c r="W206" s="539"/>
      <c r="X206" s="539"/>
      <c r="Y206" s="539"/>
      <c r="Z206" s="539"/>
      <c r="AA206" s="539"/>
      <c r="AB206" s="539"/>
      <c r="AC206" s="539"/>
      <c r="AD206" s="539"/>
      <c r="AE206" s="539"/>
      <c r="AF206" s="539"/>
      <c r="AG206" s="539"/>
      <c r="AH206" s="539"/>
      <c r="AI206" s="539"/>
      <c r="AJ206" s="539"/>
      <c r="AK206" s="539"/>
      <c r="AL206" s="539"/>
      <c r="AM206" s="539"/>
      <c r="AN206" s="539"/>
      <c r="AO206" s="539"/>
      <c r="AP206" s="539"/>
      <c r="AQ206" s="539"/>
      <c r="AR206" s="539"/>
      <c r="AS206" s="539"/>
      <c r="AT206" s="539"/>
      <c r="AU206" s="539"/>
      <c r="AV206" s="539"/>
      <c r="AW206" s="539"/>
      <c r="AX206" s="539"/>
    </row>
    <row r="207" spans="2:50" ht="14.25" customHeight="1" x14ac:dyDescent="0.3">
      <c r="B207" s="957"/>
      <c r="C207" s="540"/>
      <c r="D207" s="540"/>
      <c r="E207" s="540"/>
      <c r="F207" s="539"/>
      <c r="G207" s="539"/>
      <c r="H207" s="539"/>
      <c r="I207" s="539"/>
      <c r="J207" s="539"/>
      <c r="K207" s="539"/>
      <c r="L207" s="539"/>
      <c r="M207" s="539"/>
      <c r="N207" s="539"/>
      <c r="O207" s="539"/>
      <c r="P207" s="539"/>
      <c r="Q207" s="539"/>
      <c r="R207" s="539"/>
      <c r="S207" s="539"/>
      <c r="T207" s="539"/>
      <c r="U207" s="539"/>
      <c r="V207" s="539"/>
      <c r="W207" s="539"/>
      <c r="X207" s="539"/>
      <c r="Y207" s="539"/>
      <c r="Z207" s="539"/>
      <c r="AA207" s="539"/>
      <c r="AB207" s="539"/>
      <c r="AC207" s="539"/>
      <c r="AD207" s="539"/>
      <c r="AE207" s="539"/>
      <c r="AF207" s="539"/>
      <c r="AG207" s="539"/>
      <c r="AH207" s="539"/>
      <c r="AI207" s="539"/>
      <c r="AJ207" s="539"/>
      <c r="AK207" s="539"/>
      <c r="AL207" s="539"/>
      <c r="AM207" s="539"/>
      <c r="AN207" s="539"/>
      <c r="AO207" s="539"/>
      <c r="AP207" s="539"/>
      <c r="AQ207" s="539"/>
      <c r="AR207" s="539"/>
      <c r="AS207" s="539"/>
      <c r="AT207" s="539"/>
      <c r="AU207" s="539"/>
      <c r="AV207" s="539"/>
      <c r="AW207" s="539"/>
      <c r="AX207" s="539"/>
    </row>
    <row r="208" spans="2:50" ht="14.25" customHeight="1" x14ac:dyDescent="0.3">
      <c r="B208" s="957"/>
      <c r="C208" s="540"/>
      <c r="D208" s="540"/>
      <c r="E208" s="540"/>
      <c r="F208" s="539"/>
      <c r="G208" s="539"/>
      <c r="H208" s="539"/>
      <c r="I208" s="539"/>
      <c r="J208" s="539"/>
      <c r="K208" s="539"/>
      <c r="L208" s="539"/>
      <c r="M208" s="539"/>
      <c r="N208" s="539"/>
      <c r="O208" s="539"/>
      <c r="P208" s="539"/>
      <c r="Q208" s="539"/>
      <c r="R208" s="539"/>
      <c r="S208" s="539"/>
      <c r="T208" s="539"/>
      <c r="U208" s="539"/>
      <c r="V208" s="539"/>
      <c r="W208" s="539"/>
      <c r="X208" s="539"/>
      <c r="Y208" s="539"/>
      <c r="Z208" s="539"/>
      <c r="AA208" s="539"/>
      <c r="AB208" s="539"/>
      <c r="AC208" s="539"/>
      <c r="AD208" s="539"/>
      <c r="AE208" s="539"/>
      <c r="AF208" s="539"/>
      <c r="AG208" s="539"/>
      <c r="AH208" s="539"/>
      <c r="AI208" s="539"/>
      <c r="AJ208" s="539"/>
      <c r="AK208" s="539"/>
      <c r="AL208" s="539"/>
      <c r="AM208" s="539"/>
      <c r="AN208" s="539"/>
      <c r="AO208" s="539"/>
      <c r="AP208" s="539"/>
      <c r="AQ208" s="539"/>
      <c r="AR208" s="539"/>
      <c r="AS208" s="539"/>
      <c r="AT208" s="539"/>
      <c r="AU208" s="539"/>
      <c r="AV208" s="539"/>
      <c r="AW208" s="539"/>
      <c r="AX208" s="539"/>
    </row>
    <row r="209" spans="2:50" ht="14.25" customHeight="1" x14ac:dyDescent="0.3">
      <c r="B209" s="957"/>
      <c r="C209" s="540"/>
      <c r="D209" s="540"/>
      <c r="E209" s="540"/>
      <c r="F209" s="539"/>
      <c r="G209" s="539"/>
      <c r="H209" s="539"/>
      <c r="I209" s="539"/>
      <c r="J209" s="539"/>
      <c r="K209" s="539"/>
      <c r="L209" s="539"/>
      <c r="M209" s="539"/>
      <c r="N209" s="539"/>
      <c r="O209" s="539"/>
      <c r="P209" s="539"/>
      <c r="Q209" s="539"/>
      <c r="R209" s="539"/>
      <c r="S209" s="539"/>
      <c r="T209" s="539"/>
      <c r="U209" s="539"/>
      <c r="V209" s="539"/>
      <c r="W209" s="539"/>
      <c r="X209" s="539"/>
      <c r="Y209" s="539"/>
      <c r="Z209" s="539"/>
      <c r="AA209" s="539"/>
      <c r="AB209" s="539"/>
      <c r="AC209" s="539"/>
      <c r="AD209" s="539"/>
      <c r="AE209" s="539"/>
      <c r="AF209" s="539"/>
      <c r="AG209" s="539"/>
      <c r="AH209" s="539"/>
      <c r="AI209" s="539"/>
      <c r="AJ209" s="539"/>
      <c r="AK209" s="539"/>
      <c r="AL209" s="539"/>
      <c r="AM209" s="539"/>
      <c r="AN209" s="539"/>
      <c r="AO209" s="539"/>
      <c r="AP209" s="539"/>
      <c r="AQ209" s="539"/>
      <c r="AR209" s="539"/>
      <c r="AS209" s="539"/>
      <c r="AT209" s="539"/>
      <c r="AU209" s="539"/>
      <c r="AV209" s="539"/>
      <c r="AW209" s="539"/>
      <c r="AX209" s="539"/>
    </row>
    <row r="210" spans="2:50" ht="14.25" customHeight="1" x14ac:dyDescent="0.3">
      <c r="B210" s="957"/>
      <c r="C210" s="540"/>
      <c r="D210" s="540"/>
      <c r="E210" s="540"/>
      <c r="F210" s="539"/>
      <c r="G210" s="539"/>
      <c r="H210" s="539"/>
      <c r="I210" s="539"/>
      <c r="J210" s="539"/>
      <c r="K210" s="539"/>
      <c r="L210" s="539"/>
      <c r="M210" s="539"/>
      <c r="N210" s="539"/>
      <c r="O210" s="539"/>
      <c r="P210" s="539"/>
      <c r="Q210" s="539"/>
      <c r="R210" s="539"/>
      <c r="S210" s="539"/>
      <c r="T210" s="539"/>
      <c r="U210" s="539"/>
      <c r="V210" s="539"/>
      <c r="W210" s="539"/>
      <c r="X210" s="539"/>
      <c r="Y210" s="539"/>
      <c r="Z210" s="539"/>
      <c r="AA210" s="539"/>
      <c r="AB210" s="539"/>
      <c r="AC210" s="539"/>
      <c r="AD210" s="539"/>
      <c r="AE210" s="539"/>
      <c r="AF210" s="539"/>
      <c r="AG210" s="539"/>
      <c r="AH210" s="539"/>
      <c r="AI210" s="539"/>
      <c r="AJ210" s="539"/>
      <c r="AK210" s="539"/>
      <c r="AL210" s="539"/>
      <c r="AM210" s="539"/>
      <c r="AN210" s="539"/>
      <c r="AO210" s="539"/>
      <c r="AP210" s="539"/>
      <c r="AQ210" s="539"/>
      <c r="AR210" s="539"/>
      <c r="AS210" s="539"/>
      <c r="AT210" s="539"/>
      <c r="AU210" s="539"/>
      <c r="AV210" s="539"/>
      <c r="AW210" s="539"/>
      <c r="AX210" s="539"/>
    </row>
    <row r="211" spans="2:50" ht="14.25" customHeight="1" x14ac:dyDescent="0.3">
      <c r="B211" s="957"/>
      <c r="C211" s="540"/>
      <c r="D211" s="540"/>
      <c r="E211" s="540"/>
      <c r="F211" s="539"/>
      <c r="G211" s="539"/>
      <c r="H211" s="539"/>
      <c r="I211" s="539"/>
      <c r="J211" s="539"/>
      <c r="K211" s="539"/>
      <c r="L211" s="539"/>
      <c r="M211" s="539"/>
      <c r="N211" s="539"/>
      <c r="O211" s="539"/>
      <c r="P211" s="539"/>
      <c r="Q211" s="539"/>
      <c r="R211" s="539"/>
      <c r="S211" s="539"/>
      <c r="T211" s="539"/>
      <c r="U211" s="539"/>
      <c r="V211" s="539"/>
      <c r="W211" s="539"/>
      <c r="X211" s="539"/>
      <c r="Y211" s="539"/>
      <c r="Z211" s="539"/>
      <c r="AA211" s="539"/>
      <c r="AB211" s="539"/>
      <c r="AC211" s="539"/>
      <c r="AD211" s="539"/>
      <c r="AE211" s="539"/>
      <c r="AF211" s="539"/>
      <c r="AG211" s="539"/>
      <c r="AH211" s="539"/>
      <c r="AI211" s="539"/>
      <c r="AJ211" s="539"/>
      <c r="AK211" s="539"/>
      <c r="AL211" s="539"/>
      <c r="AM211" s="539"/>
      <c r="AN211" s="539"/>
      <c r="AO211" s="539"/>
      <c r="AP211" s="539"/>
      <c r="AQ211" s="539"/>
      <c r="AR211" s="539"/>
      <c r="AS211" s="539"/>
      <c r="AT211" s="539"/>
      <c r="AU211" s="539"/>
      <c r="AV211" s="539"/>
      <c r="AW211" s="539"/>
      <c r="AX211" s="539"/>
    </row>
    <row r="212" spans="2:50" ht="14.25" customHeight="1" x14ac:dyDescent="0.3">
      <c r="B212" s="957"/>
      <c r="C212" s="540"/>
      <c r="D212" s="540"/>
      <c r="E212" s="540"/>
      <c r="F212" s="539"/>
      <c r="G212" s="539"/>
      <c r="H212" s="539"/>
      <c r="I212" s="539"/>
      <c r="J212" s="539"/>
      <c r="K212" s="539"/>
      <c r="L212" s="539"/>
      <c r="M212" s="539"/>
      <c r="N212" s="539"/>
      <c r="O212" s="539"/>
      <c r="P212" s="539"/>
      <c r="Q212" s="539"/>
      <c r="R212" s="539"/>
      <c r="S212" s="539"/>
      <c r="T212" s="539"/>
      <c r="U212" s="539"/>
      <c r="V212" s="539"/>
      <c r="W212" s="539"/>
      <c r="X212" s="539"/>
      <c r="Y212" s="539"/>
      <c r="Z212" s="539"/>
      <c r="AA212" s="539"/>
      <c r="AB212" s="539"/>
      <c r="AC212" s="539"/>
      <c r="AD212" s="539"/>
      <c r="AE212" s="539"/>
      <c r="AF212" s="539"/>
      <c r="AG212" s="539"/>
      <c r="AH212" s="539"/>
      <c r="AI212" s="539"/>
      <c r="AJ212" s="539"/>
      <c r="AK212" s="539"/>
      <c r="AL212" s="539"/>
      <c r="AM212" s="539"/>
      <c r="AN212" s="539"/>
      <c r="AO212" s="539"/>
      <c r="AP212" s="539"/>
      <c r="AQ212" s="539"/>
      <c r="AR212" s="539"/>
      <c r="AS212" s="539"/>
      <c r="AT212" s="539"/>
      <c r="AU212" s="539"/>
      <c r="AV212" s="539"/>
      <c r="AW212" s="539"/>
      <c r="AX212" s="539"/>
    </row>
    <row r="213" spans="2:50" ht="14.25" customHeight="1" x14ac:dyDescent="0.3">
      <c r="B213" s="957"/>
      <c r="C213" s="540"/>
      <c r="D213" s="540"/>
      <c r="E213" s="540"/>
      <c r="F213" s="539"/>
      <c r="G213" s="539"/>
      <c r="H213" s="539"/>
      <c r="I213" s="539"/>
      <c r="J213" s="539"/>
      <c r="K213" s="539"/>
      <c r="L213" s="539"/>
      <c r="M213" s="539"/>
      <c r="N213" s="539"/>
      <c r="O213" s="539"/>
      <c r="P213" s="539"/>
      <c r="Q213" s="539"/>
      <c r="R213" s="539"/>
      <c r="S213" s="539"/>
      <c r="T213" s="539"/>
      <c r="U213" s="539"/>
      <c r="V213" s="539"/>
      <c r="W213" s="539"/>
      <c r="X213" s="539"/>
      <c r="Y213" s="539"/>
      <c r="Z213" s="539"/>
      <c r="AA213" s="539"/>
      <c r="AB213" s="539"/>
      <c r="AC213" s="539"/>
      <c r="AD213" s="539"/>
      <c r="AE213" s="539"/>
      <c r="AF213" s="539"/>
      <c r="AG213" s="539"/>
      <c r="AH213" s="539"/>
      <c r="AI213" s="539"/>
      <c r="AJ213" s="539"/>
      <c r="AK213" s="539"/>
      <c r="AL213" s="539"/>
      <c r="AM213" s="539"/>
      <c r="AN213" s="539"/>
      <c r="AO213" s="539"/>
      <c r="AP213" s="539"/>
      <c r="AQ213" s="539"/>
      <c r="AR213" s="539"/>
      <c r="AS213" s="539"/>
      <c r="AT213" s="539"/>
      <c r="AU213" s="539"/>
      <c r="AV213" s="539"/>
      <c r="AW213" s="539"/>
      <c r="AX213" s="539"/>
    </row>
    <row r="214" spans="2:50" ht="14.25" customHeight="1" x14ac:dyDescent="0.3">
      <c r="B214" s="957"/>
      <c r="C214" s="540"/>
      <c r="D214" s="540"/>
      <c r="E214" s="540"/>
      <c r="F214" s="539"/>
      <c r="G214" s="539"/>
      <c r="H214" s="539"/>
      <c r="I214" s="539"/>
      <c r="J214" s="539"/>
      <c r="K214" s="539"/>
      <c r="L214" s="539"/>
      <c r="M214" s="539"/>
      <c r="N214" s="539"/>
      <c r="O214" s="539"/>
      <c r="P214" s="539"/>
      <c r="Q214" s="539"/>
      <c r="R214" s="539"/>
      <c r="S214" s="539"/>
      <c r="T214" s="539"/>
      <c r="U214" s="539"/>
      <c r="V214" s="539"/>
      <c r="W214" s="539"/>
      <c r="X214" s="539"/>
      <c r="Y214" s="539"/>
      <c r="Z214" s="539"/>
      <c r="AA214" s="539"/>
      <c r="AB214" s="539"/>
      <c r="AC214" s="539"/>
      <c r="AD214" s="539"/>
      <c r="AE214" s="539"/>
      <c r="AF214" s="539"/>
      <c r="AG214" s="539"/>
      <c r="AH214" s="539"/>
      <c r="AI214" s="539"/>
      <c r="AJ214" s="539"/>
      <c r="AK214" s="539"/>
      <c r="AL214" s="539"/>
      <c r="AM214" s="539"/>
      <c r="AN214" s="539"/>
      <c r="AO214" s="539"/>
      <c r="AP214" s="539"/>
      <c r="AQ214" s="539"/>
      <c r="AR214" s="539"/>
      <c r="AS214" s="539"/>
      <c r="AT214" s="539"/>
      <c r="AU214" s="539"/>
      <c r="AV214" s="539"/>
      <c r="AW214" s="539"/>
      <c r="AX214" s="539"/>
    </row>
    <row r="215" spans="2:50" ht="14.25" customHeight="1" x14ac:dyDescent="0.3">
      <c r="B215" s="957"/>
      <c r="C215" s="540"/>
      <c r="D215" s="540"/>
      <c r="E215" s="540"/>
      <c r="F215" s="539"/>
      <c r="G215" s="539"/>
      <c r="H215" s="539"/>
      <c r="I215" s="539"/>
      <c r="J215" s="539"/>
      <c r="K215" s="539"/>
      <c r="L215" s="539"/>
      <c r="M215" s="539"/>
      <c r="N215" s="539"/>
      <c r="O215" s="539"/>
      <c r="P215" s="539"/>
      <c r="Q215" s="539"/>
      <c r="R215" s="539"/>
      <c r="S215" s="539"/>
      <c r="T215" s="539"/>
      <c r="U215" s="539"/>
      <c r="V215" s="539"/>
      <c r="W215" s="539"/>
      <c r="X215" s="539"/>
      <c r="Y215" s="539"/>
      <c r="Z215" s="539"/>
      <c r="AA215" s="539"/>
      <c r="AB215" s="539"/>
      <c r="AC215" s="539"/>
      <c r="AD215" s="539"/>
      <c r="AE215" s="539"/>
      <c r="AF215" s="539"/>
      <c r="AG215" s="539"/>
      <c r="AH215" s="539"/>
      <c r="AI215" s="539"/>
      <c r="AJ215" s="539"/>
      <c r="AK215" s="539"/>
      <c r="AL215" s="539"/>
      <c r="AM215" s="539"/>
      <c r="AN215" s="539"/>
      <c r="AO215" s="539"/>
      <c r="AP215" s="539"/>
      <c r="AQ215" s="539"/>
      <c r="AR215" s="539"/>
      <c r="AS215" s="539"/>
      <c r="AT215" s="539"/>
      <c r="AU215" s="539"/>
      <c r="AV215" s="539"/>
      <c r="AW215" s="539"/>
      <c r="AX215" s="539"/>
    </row>
    <row r="216" spans="2:50" ht="14.25" customHeight="1" x14ac:dyDescent="0.3">
      <c r="B216" s="957"/>
      <c r="C216" s="540"/>
      <c r="D216" s="540"/>
      <c r="E216" s="540"/>
      <c r="F216" s="539"/>
      <c r="G216" s="539"/>
      <c r="H216" s="539"/>
      <c r="I216" s="539"/>
      <c r="J216" s="539"/>
      <c r="K216" s="539"/>
      <c r="L216" s="539"/>
      <c r="M216" s="539"/>
      <c r="N216" s="539"/>
      <c r="O216" s="539"/>
      <c r="P216" s="539"/>
      <c r="Q216" s="539"/>
      <c r="R216" s="539"/>
      <c r="S216" s="539"/>
      <c r="T216" s="539"/>
      <c r="U216" s="539"/>
      <c r="V216" s="539"/>
      <c r="W216" s="539"/>
      <c r="X216" s="539"/>
      <c r="Y216" s="539"/>
      <c r="Z216" s="539"/>
      <c r="AA216" s="539"/>
      <c r="AB216" s="539"/>
      <c r="AC216" s="539"/>
      <c r="AD216" s="539"/>
      <c r="AE216" s="539"/>
      <c r="AF216" s="539"/>
      <c r="AG216" s="539"/>
      <c r="AH216" s="539"/>
      <c r="AI216" s="539"/>
      <c r="AJ216" s="539"/>
      <c r="AK216" s="539"/>
      <c r="AL216" s="539"/>
      <c r="AM216" s="539"/>
      <c r="AN216" s="539"/>
      <c r="AO216" s="539"/>
      <c r="AP216" s="539"/>
      <c r="AQ216" s="539"/>
      <c r="AR216" s="539"/>
      <c r="AS216" s="539"/>
      <c r="AT216" s="539"/>
      <c r="AU216" s="539"/>
      <c r="AV216" s="539"/>
      <c r="AW216" s="539"/>
      <c r="AX216" s="539"/>
    </row>
    <row r="217" spans="2:50" ht="14.25" customHeight="1" x14ac:dyDescent="0.3">
      <c r="B217" s="957"/>
      <c r="C217" s="540"/>
      <c r="D217" s="540"/>
      <c r="E217" s="540"/>
      <c r="F217" s="539"/>
      <c r="G217" s="539"/>
      <c r="H217" s="539"/>
      <c r="I217" s="539"/>
      <c r="J217" s="539"/>
      <c r="K217" s="539"/>
      <c r="L217" s="539"/>
      <c r="M217" s="539"/>
      <c r="N217" s="539"/>
      <c r="O217" s="539"/>
      <c r="P217" s="539"/>
      <c r="Q217" s="539"/>
      <c r="R217" s="539"/>
      <c r="S217" s="539"/>
      <c r="T217" s="539"/>
      <c r="U217" s="539"/>
      <c r="V217" s="539"/>
      <c r="W217" s="539"/>
      <c r="X217" s="539"/>
      <c r="Y217" s="539"/>
      <c r="Z217" s="539"/>
      <c r="AA217" s="539"/>
      <c r="AB217" s="539"/>
      <c r="AC217" s="539"/>
      <c r="AD217" s="539"/>
      <c r="AE217" s="539"/>
      <c r="AF217" s="539"/>
      <c r="AG217" s="539"/>
      <c r="AH217" s="539"/>
      <c r="AI217" s="539"/>
      <c r="AJ217" s="539"/>
      <c r="AK217" s="539"/>
      <c r="AL217" s="539"/>
      <c r="AM217" s="539"/>
      <c r="AN217" s="539"/>
      <c r="AO217" s="539"/>
      <c r="AP217" s="539"/>
      <c r="AQ217" s="539"/>
      <c r="AR217" s="539"/>
      <c r="AS217" s="539"/>
      <c r="AT217" s="539"/>
      <c r="AU217" s="539"/>
      <c r="AV217" s="539"/>
      <c r="AW217" s="539"/>
      <c r="AX217" s="539"/>
    </row>
    <row r="218" spans="2:50" ht="14.25" customHeight="1" x14ac:dyDescent="0.3">
      <c r="B218" s="957"/>
      <c r="C218" s="540"/>
      <c r="D218" s="540"/>
      <c r="E218" s="540"/>
      <c r="F218" s="539"/>
      <c r="G218" s="539"/>
      <c r="H218" s="539"/>
      <c r="I218" s="539"/>
      <c r="J218" s="539"/>
      <c r="K218" s="539"/>
      <c r="L218" s="539"/>
      <c r="M218" s="539"/>
      <c r="N218" s="539"/>
      <c r="O218" s="539"/>
      <c r="P218" s="539"/>
      <c r="Q218" s="539"/>
      <c r="R218" s="539"/>
      <c r="S218" s="539"/>
      <c r="T218" s="539"/>
      <c r="U218" s="539"/>
      <c r="V218" s="539"/>
      <c r="W218" s="539"/>
      <c r="X218" s="539"/>
      <c r="Y218" s="539"/>
      <c r="Z218" s="539"/>
      <c r="AA218" s="539"/>
      <c r="AB218" s="539"/>
      <c r="AC218" s="539"/>
      <c r="AD218" s="539"/>
      <c r="AE218" s="539"/>
      <c r="AF218" s="539"/>
      <c r="AG218" s="539"/>
      <c r="AH218" s="539"/>
      <c r="AI218" s="539"/>
      <c r="AJ218" s="539"/>
      <c r="AK218" s="539"/>
      <c r="AL218" s="539"/>
      <c r="AM218" s="539"/>
      <c r="AN218" s="539"/>
      <c r="AO218" s="539"/>
      <c r="AP218" s="539"/>
      <c r="AQ218" s="539"/>
      <c r="AR218" s="539"/>
      <c r="AS218" s="539"/>
      <c r="AT218" s="539"/>
      <c r="AU218" s="539"/>
      <c r="AV218" s="539"/>
      <c r="AW218" s="539"/>
      <c r="AX218" s="539"/>
    </row>
    <row r="219" spans="2:50" ht="14.25" customHeight="1" x14ac:dyDescent="0.3">
      <c r="B219" s="957"/>
      <c r="C219" s="540"/>
      <c r="D219" s="540"/>
      <c r="E219" s="540"/>
      <c r="F219" s="539"/>
      <c r="G219" s="539"/>
      <c r="H219" s="539"/>
      <c r="I219" s="539"/>
      <c r="J219" s="539"/>
      <c r="K219" s="539"/>
      <c r="L219" s="539"/>
      <c r="M219" s="539"/>
      <c r="N219" s="539"/>
      <c r="O219" s="539"/>
      <c r="P219" s="539"/>
      <c r="Q219" s="539"/>
      <c r="R219" s="539"/>
      <c r="S219" s="539"/>
      <c r="T219" s="539"/>
      <c r="U219" s="539"/>
      <c r="V219" s="539"/>
      <c r="W219" s="539"/>
      <c r="X219" s="539"/>
      <c r="Y219" s="539"/>
      <c r="Z219" s="539"/>
      <c r="AA219" s="539"/>
      <c r="AB219" s="539"/>
      <c r="AC219" s="539"/>
      <c r="AD219" s="539"/>
      <c r="AE219" s="539"/>
      <c r="AF219" s="539"/>
      <c r="AG219" s="539"/>
      <c r="AH219" s="539"/>
      <c r="AI219" s="539"/>
      <c r="AJ219" s="539"/>
      <c r="AK219" s="539"/>
      <c r="AL219" s="539"/>
      <c r="AM219" s="539"/>
      <c r="AN219" s="539"/>
      <c r="AO219" s="539"/>
      <c r="AP219" s="539"/>
      <c r="AQ219" s="539"/>
      <c r="AR219" s="539"/>
      <c r="AS219" s="539"/>
      <c r="AT219" s="539"/>
      <c r="AU219" s="539"/>
      <c r="AV219" s="539"/>
      <c r="AW219" s="539"/>
      <c r="AX219" s="539"/>
    </row>
    <row r="220" spans="2:50" ht="14.25" customHeight="1" x14ac:dyDescent="0.3">
      <c r="B220" s="957"/>
      <c r="C220" s="540"/>
      <c r="D220" s="540"/>
      <c r="E220" s="540"/>
      <c r="F220" s="539"/>
      <c r="G220" s="539"/>
      <c r="H220" s="539"/>
      <c r="I220" s="539"/>
      <c r="J220" s="539"/>
      <c r="K220" s="539"/>
      <c r="L220" s="539"/>
      <c r="M220" s="539"/>
      <c r="N220" s="539"/>
      <c r="O220" s="539"/>
      <c r="P220" s="539"/>
      <c r="Q220" s="539"/>
      <c r="R220" s="539"/>
      <c r="S220" s="539"/>
      <c r="T220" s="539"/>
      <c r="U220" s="539"/>
      <c r="V220" s="539"/>
      <c r="W220" s="539"/>
      <c r="X220" s="539"/>
      <c r="Y220" s="539"/>
      <c r="Z220" s="539"/>
      <c r="AA220" s="539"/>
      <c r="AB220" s="539"/>
      <c r="AC220" s="539"/>
      <c r="AD220" s="539"/>
      <c r="AE220" s="539"/>
      <c r="AF220" s="539"/>
      <c r="AG220" s="539"/>
      <c r="AH220" s="539"/>
      <c r="AI220" s="539"/>
      <c r="AJ220" s="539"/>
      <c r="AK220" s="539"/>
      <c r="AL220" s="539"/>
      <c r="AM220" s="539"/>
      <c r="AN220" s="539"/>
      <c r="AO220" s="539"/>
      <c r="AP220" s="539"/>
      <c r="AQ220" s="539"/>
      <c r="AR220" s="539"/>
      <c r="AS220" s="539"/>
      <c r="AT220" s="539"/>
      <c r="AU220" s="539"/>
      <c r="AV220" s="539"/>
      <c r="AW220" s="539"/>
      <c r="AX220" s="539"/>
    </row>
    <row r="221" spans="2:50" ht="14.25" customHeight="1" x14ac:dyDescent="0.3">
      <c r="B221" s="957"/>
      <c r="C221" s="540"/>
      <c r="D221" s="540"/>
      <c r="E221" s="540"/>
      <c r="F221" s="539"/>
      <c r="G221" s="539"/>
      <c r="H221" s="539"/>
      <c r="I221" s="539"/>
      <c r="J221" s="539"/>
      <c r="K221" s="539"/>
      <c r="L221" s="539"/>
      <c r="M221" s="539"/>
      <c r="N221" s="539"/>
      <c r="O221" s="539"/>
      <c r="P221" s="539"/>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39"/>
      <c r="AX221" s="539"/>
    </row>
    <row r="222" spans="2:50" ht="14.25" customHeight="1" x14ac:dyDescent="0.3">
      <c r="B222" s="957"/>
      <c r="C222" s="540"/>
      <c r="D222" s="540"/>
      <c r="E222" s="540"/>
      <c r="F222" s="539"/>
      <c r="G222" s="539"/>
      <c r="H222" s="539"/>
      <c r="I222" s="539"/>
      <c r="J222" s="539"/>
      <c r="K222" s="539"/>
      <c r="L222" s="539"/>
      <c r="M222" s="539"/>
      <c r="N222" s="539"/>
      <c r="O222" s="539"/>
      <c r="P222" s="539"/>
      <c r="Q222" s="539"/>
      <c r="R222" s="539"/>
      <c r="S222" s="539"/>
      <c r="T222" s="539"/>
      <c r="U222" s="539"/>
      <c r="V222" s="539"/>
      <c r="W222" s="539"/>
      <c r="X222" s="539"/>
      <c r="Y222" s="539"/>
      <c r="Z222" s="539"/>
      <c r="AA222" s="539"/>
      <c r="AB222" s="539"/>
      <c r="AC222" s="539"/>
      <c r="AD222" s="539"/>
      <c r="AE222" s="539"/>
      <c r="AF222" s="539"/>
      <c r="AG222" s="539"/>
      <c r="AH222" s="539"/>
      <c r="AI222" s="539"/>
      <c r="AJ222" s="539"/>
      <c r="AK222" s="539"/>
      <c r="AL222" s="539"/>
      <c r="AM222" s="539"/>
      <c r="AN222" s="539"/>
      <c r="AO222" s="539"/>
      <c r="AP222" s="539"/>
      <c r="AQ222" s="539"/>
      <c r="AR222" s="539"/>
      <c r="AS222" s="539"/>
      <c r="AT222" s="539"/>
      <c r="AU222" s="539"/>
      <c r="AV222" s="539"/>
      <c r="AW222" s="539"/>
      <c r="AX222" s="539"/>
    </row>
    <row r="223" spans="2:50" ht="14.25" customHeight="1" x14ac:dyDescent="0.3">
      <c r="B223" s="957"/>
      <c r="C223" s="540"/>
      <c r="D223" s="540"/>
      <c r="E223" s="540"/>
      <c r="F223" s="539"/>
      <c r="G223" s="539"/>
      <c r="H223" s="539"/>
      <c r="I223" s="539"/>
      <c r="J223" s="539"/>
      <c r="K223" s="539"/>
      <c r="L223" s="539"/>
      <c r="M223" s="539"/>
      <c r="N223" s="539"/>
      <c r="O223" s="539"/>
      <c r="P223" s="539"/>
      <c r="Q223" s="539"/>
      <c r="R223" s="539"/>
      <c r="S223" s="539"/>
      <c r="T223" s="539"/>
      <c r="U223" s="539"/>
      <c r="V223" s="539"/>
      <c r="W223" s="539"/>
      <c r="X223" s="539"/>
      <c r="Y223" s="539"/>
      <c r="Z223" s="539"/>
      <c r="AA223" s="539"/>
      <c r="AB223" s="539"/>
      <c r="AC223" s="539"/>
      <c r="AD223" s="539"/>
      <c r="AE223" s="539"/>
      <c r="AF223" s="539"/>
      <c r="AG223" s="539"/>
      <c r="AH223" s="539"/>
      <c r="AI223" s="539"/>
      <c r="AJ223" s="539"/>
      <c r="AK223" s="539"/>
      <c r="AL223" s="539"/>
      <c r="AM223" s="539"/>
      <c r="AN223" s="539"/>
      <c r="AO223" s="539"/>
      <c r="AP223" s="539"/>
      <c r="AQ223" s="539"/>
      <c r="AR223" s="539"/>
      <c r="AS223" s="539"/>
      <c r="AT223" s="539"/>
      <c r="AU223" s="539"/>
      <c r="AV223" s="539"/>
      <c r="AW223" s="539"/>
      <c r="AX223" s="539"/>
    </row>
    <row r="224" spans="2:50" ht="14.25" customHeight="1" x14ac:dyDescent="0.3">
      <c r="B224" s="957"/>
      <c r="C224" s="540"/>
      <c r="D224" s="540"/>
      <c r="E224" s="540"/>
      <c r="F224" s="539"/>
      <c r="G224" s="539"/>
      <c r="H224" s="539"/>
      <c r="I224" s="539"/>
      <c r="J224" s="539"/>
      <c r="K224" s="539"/>
      <c r="L224" s="539"/>
      <c r="M224" s="539"/>
      <c r="N224" s="539"/>
      <c r="O224" s="539"/>
      <c r="P224" s="539"/>
      <c r="Q224" s="539"/>
      <c r="R224" s="539"/>
      <c r="S224" s="539"/>
      <c r="T224" s="539"/>
      <c r="U224" s="539"/>
      <c r="V224" s="539"/>
      <c r="W224" s="539"/>
      <c r="X224" s="539"/>
      <c r="Y224" s="539"/>
      <c r="Z224" s="539"/>
      <c r="AA224" s="539"/>
      <c r="AB224" s="539"/>
      <c r="AC224" s="539"/>
      <c r="AD224" s="539"/>
      <c r="AE224" s="539"/>
      <c r="AF224" s="539"/>
      <c r="AG224" s="539"/>
      <c r="AH224" s="539"/>
      <c r="AI224" s="539"/>
      <c r="AJ224" s="539"/>
      <c r="AK224" s="539"/>
      <c r="AL224" s="539"/>
      <c r="AM224" s="539"/>
      <c r="AN224" s="539"/>
      <c r="AO224" s="539"/>
      <c r="AP224" s="539"/>
      <c r="AQ224" s="539"/>
      <c r="AR224" s="539"/>
      <c r="AS224" s="539"/>
      <c r="AT224" s="539"/>
      <c r="AU224" s="539"/>
      <c r="AV224" s="539"/>
      <c r="AW224" s="539"/>
      <c r="AX224" s="539"/>
    </row>
    <row r="225" spans="2:50" ht="14.25" customHeight="1" x14ac:dyDescent="0.3">
      <c r="B225" s="957"/>
      <c r="C225" s="540"/>
      <c r="D225" s="540"/>
      <c r="E225" s="540"/>
      <c r="F225" s="539"/>
      <c r="G225" s="539"/>
      <c r="H225" s="539"/>
      <c r="I225" s="539"/>
      <c r="J225" s="539"/>
      <c r="K225" s="539"/>
      <c r="L225" s="539"/>
      <c r="M225" s="539"/>
      <c r="N225" s="539"/>
      <c r="O225" s="539"/>
      <c r="P225" s="539"/>
      <c r="Q225" s="539"/>
      <c r="R225" s="539"/>
      <c r="S225" s="539"/>
      <c r="T225" s="539"/>
      <c r="U225" s="539"/>
      <c r="V225" s="539"/>
      <c r="W225" s="539"/>
      <c r="X225" s="539"/>
      <c r="Y225" s="539"/>
      <c r="Z225" s="539"/>
      <c r="AA225" s="539"/>
      <c r="AB225" s="539"/>
      <c r="AC225" s="539"/>
      <c r="AD225" s="539"/>
      <c r="AE225" s="539"/>
      <c r="AF225" s="539"/>
      <c r="AG225" s="539"/>
      <c r="AH225" s="539"/>
      <c r="AI225" s="539"/>
      <c r="AJ225" s="539"/>
      <c r="AK225" s="539"/>
      <c r="AL225" s="539"/>
      <c r="AM225" s="539"/>
      <c r="AN225" s="539"/>
      <c r="AO225" s="539"/>
      <c r="AP225" s="539"/>
      <c r="AQ225" s="539"/>
      <c r="AR225" s="539"/>
      <c r="AS225" s="539"/>
      <c r="AT225" s="539"/>
      <c r="AU225" s="539"/>
      <c r="AV225" s="539"/>
      <c r="AW225" s="539"/>
      <c r="AX225" s="539"/>
    </row>
    <row r="226" spans="2:50" ht="14.25" customHeight="1" x14ac:dyDescent="0.3">
      <c r="B226" s="957"/>
      <c r="C226" s="540"/>
      <c r="D226" s="540"/>
      <c r="E226" s="540"/>
      <c r="F226" s="539"/>
      <c r="G226" s="539"/>
      <c r="H226" s="539"/>
      <c r="I226" s="539"/>
      <c r="J226" s="539"/>
      <c r="K226" s="539"/>
      <c r="L226" s="539"/>
      <c r="M226" s="539"/>
      <c r="N226" s="539"/>
      <c r="O226" s="539"/>
      <c r="P226" s="539"/>
      <c r="Q226" s="539"/>
      <c r="R226" s="539"/>
      <c r="S226" s="539"/>
      <c r="T226" s="539"/>
      <c r="U226" s="539"/>
      <c r="V226" s="539"/>
      <c r="W226" s="539"/>
      <c r="X226" s="539"/>
      <c r="Y226" s="539"/>
      <c r="Z226" s="539"/>
      <c r="AA226" s="539"/>
      <c r="AB226" s="539"/>
      <c r="AC226" s="539"/>
      <c r="AD226" s="539"/>
      <c r="AE226" s="539"/>
      <c r="AF226" s="539"/>
      <c r="AG226" s="539"/>
      <c r="AH226" s="539"/>
      <c r="AI226" s="539"/>
      <c r="AJ226" s="539"/>
      <c r="AK226" s="539"/>
      <c r="AL226" s="539"/>
      <c r="AM226" s="539"/>
      <c r="AN226" s="539"/>
      <c r="AO226" s="539"/>
      <c r="AP226" s="539"/>
      <c r="AQ226" s="539"/>
      <c r="AR226" s="539"/>
      <c r="AS226" s="539"/>
      <c r="AT226" s="539"/>
      <c r="AU226" s="539"/>
      <c r="AV226" s="539"/>
      <c r="AW226" s="539"/>
      <c r="AX226" s="539"/>
    </row>
    <row r="227" spans="2:50" ht="14.25" customHeight="1" x14ac:dyDescent="0.3">
      <c r="B227" s="957"/>
      <c r="C227" s="540"/>
      <c r="D227" s="540"/>
      <c r="E227" s="540"/>
      <c r="F227" s="539"/>
      <c r="G227" s="539"/>
      <c r="H227" s="539"/>
      <c r="I227" s="539"/>
      <c r="J227" s="539"/>
      <c r="K227" s="539"/>
      <c r="L227" s="539"/>
      <c r="M227" s="539"/>
      <c r="N227" s="539"/>
      <c r="O227" s="539"/>
      <c r="P227" s="539"/>
      <c r="Q227" s="539"/>
      <c r="R227" s="539"/>
      <c r="S227" s="539"/>
      <c r="T227" s="539"/>
      <c r="U227" s="539"/>
      <c r="V227" s="539"/>
      <c r="W227" s="539"/>
      <c r="X227" s="539"/>
      <c r="Y227" s="539"/>
      <c r="Z227" s="539"/>
      <c r="AA227" s="539"/>
      <c r="AB227" s="539"/>
      <c r="AC227" s="539"/>
      <c r="AD227" s="539"/>
      <c r="AE227" s="539"/>
      <c r="AF227" s="539"/>
      <c r="AG227" s="539"/>
      <c r="AH227" s="539"/>
      <c r="AI227" s="539"/>
      <c r="AJ227" s="539"/>
      <c r="AK227" s="539"/>
      <c r="AL227" s="539"/>
      <c r="AM227" s="539"/>
      <c r="AN227" s="539"/>
      <c r="AO227" s="539"/>
      <c r="AP227" s="539"/>
      <c r="AQ227" s="539"/>
      <c r="AR227" s="539"/>
      <c r="AS227" s="539"/>
      <c r="AT227" s="539"/>
      <c r="AU227" s="539"/>
      <c r="AV227" s="539"/>
      <c r="AW227" s="539"/>
      <c r="AX227" s="539"/>
    </row>
    <row r="228" spans="2:50" ht="14.25" customHeight="1" x14ac:dyDescent="0.3">
      <c r="B228" s="957"/>
      <c r="C228" s="540"/>
      <c r="D228" s="540"/>
      <c r="E228" s="540"/>
      <c r="F228" s="539"/>
      <c r="G228" s="539"/>
      <c r="H228" s="539"/>
      <c r="I228" s="539"/>
      <c r="J228" s="539"/>
      <c r="K228" s="539"/>
      <c r="L228" s="539"/>
      <c r="M228" s="539"/>
      <c r="N228" s="539"/>
      <c r="O228" s="539"/>
      <c r="P228" s="539"/>
      <c r="Q228" s="539"/>
      <c r="R228" s="539"/>
      <c r="S228" s="539"/>
      <c r="T228" s="539"/>
      <c r="U228" s="539"/>
      <c r="V228" s="539"/>
      <c r="W228" s="539"/>
      <c r="X228" s="539"/>
      <c r="Y228" s="539"/>
      <c r="Z228" s="539"/>
      <c r="AA228" s="539"/>
      <c r="AB228" s="539"/>
      <c r="AC228" s="539"/>
      <c r="AD228" s="539"/>
      <c r="AE228" s="539"/>
      <c r="AF228" s="539"/>
      <c r="AG228" s="539"/>
      <c r="AH228" s="539"/>
      <c r="AI228" s="539"/>
      <c r="AJ228" s="539"/>
      <c r="AK228" s="539"/>
      <c r="AL228" s="539"/>
      <c r="AM228" s="539"/>
      <c r="AN228" s="539"/>
      <c r="AO228" s="539"/>
      <c r="AP228" s="539"/>
      <c r="AQ228" s="539"/>
      <c r="AR228" s="539"/>
      <c r="AS228" s="539"/>
      <c r="AT228" s="539"/>
      <c r="AU228" s="539"/>
      <c r="AV228" s="539"/>
      <c r="AW228" s="539"/>
      <c r="AX228" s="539"/>
    </row>
    <row r="229" spans="2:50" ht="14.25" customHeight="1" x14ac:dyDescent="0.3">
      <c r="B229" s="957"/>
      <c r="C229" s="540"/>
      <c r="D229" s="540"/>
      <c r="E229" s="540"/>
      <c r="F229" s="539"/>
      <c r="G229" s="539"/>
      <c r="H229" s="539"/>
      <c r="I229" s="539"/>
      <c r="J229" s="539"/>
      <c r="K229" s="539"/>
      <c r="L229" s="539"/>
      <c r="M229" s="539"/>
      <c r="N229" s="539"/>
      <c r="O229" s="539"/>
      <c r="P229" s="539"/>
      <c r="Q229" s="539"/>
      <c r="R229" s="539"/>
      <c r="S229" s="539"/>
      <c r="T229" s="539"/>
      <c r="U229" s="539"/>
      <c r="V229" s="539"/>
      <c r="W229" s="539"/>
      <c r="X229" s="539"/>
      <c r="Y229" s="539"/>
      <c r="Z229" s="539"/>
      <c r="AA229" s="539"/>
      <c r="AB229" s="539"/>
      <c r="AC229" s="539"/>
      <c r="AD229" s="539"/>
      <c r="AE229" s="539"/>
      <c r="AF229" s="539"/>
      <c r="AG229" s="539"/>
      <c r="AH229" s="539"/>
      <c r="AI229" s="539"/>
      <c r="AJ229" s="539"/>
      <c r="AK229" s="539"/>
      <c r="AL229" s="539"/>
      <c r="AM229" s="539"/>
      <c r="AN229" s="539"/>
      <c r="AO229" s="539"/>
      <c r="AP229" s="539"/>
      <c r="AQ229" s="539"/>
      <c r="AR229" s="539"/>
      <c r="AS229" s="539"/>
      <c r="AT229" s="539"/>
      <c r="AU229" s="539"/>
      <c r="AV229" s="539"/>
      <c r="AW229" s="539"/>
      <c r="AX229" s="539"/>
    </row>
    <row r="230" spans="2:50" ht="14.25" customHeight="1" x14ac:dyDescent="0.3">
      <c r="B230" s="957"/>
      <c r="C230" s="540"/>
      <c r="D230" s="540"/>
      <c r="E230" s="540"/>
      <c r="F230" s="539"/>
      <c r="G230" s="539"/>
      <c r="H230" s="539"/>
      <c r="I230" s="539"/>
      <c r="J230" s="539"/>
      <c r="K230" s="539"/>
      <c r="L230" s="539"/>
      <c r="M230" s="539"/>
      <c r="N230" s="539"/>
      <c r="O230" s="539"/>
      <c r="P230" s="539"/>
      <c r="Q230" s="539"/>
      <c r="R230" s="539"/>
      <c r="S230" s="539"/>
      <c r="T230" s="539"/>
      <c r="U230" s="539"/>
      <c r="V230" s="539"/>
      <c r="W230" s="539"/>
      <c r="X230" s="539"/>
      <c r="Y230" s="539"/>
      <c r="Z230" s="539"/>
      <c r="AA230" s="539"/>
      <c r="AB230" s="539"/>
      <c r="AC230" s="539"/>
      <c r="AD230" s="539"/>
      <c r="AE230" s="539"/>
      <c r="AF230" s="539"/>
      <c r="AG230" s="539"/>
      <c r="AH230" s="539"/>
      <c r="AI230" s="539"/>
      <c r="AJ230" s="539"/>
      <c r="AK230" s="539"/>
      <c r="AL230" s="539"/>
      <c r="AM230" s="539"/>
      <c r="AN230" s="539"/>
      <c r="AO230" s="539"/>
      <c r="AP230" s="539"/>
      <c r="AQ230" s="539"/>
      <c r="AR230" s="539"/>
      <c r="AS230" s="539"/>
      <c r="AT230" s="539"/>
      <c r="AU230" s="539"/>
      <c r="AV230" s="539"/>
      <c r="AW230" s="539"/>
      <c r="AX230" s="539"/>
    </row>
    <row r="231" spans="2:50" ht="14.25" customHeight="1" x14ac:dyDescent="0.3">
      <c r="B231" s="957"/>
      <c r="C231" s="540"/>
      <c r="D231" s="540"/>
      <c r="E231" s="540"/>
      <c r="F231" s="539"/>
      <c r="G231" s="539"/>
      <c r="H231" s="539"/>
      <c r="I231" s="539"/>
      <c r="J231" s="539"/>
      <c r="K231" s="539"/>
      <c r="L231" s="539"/>
      <c r="M231" s="539"/>
      <c r="N231" s="539"/>
      <c r="O231" s="539"/>
      <c r="P231" s="539"/>
      <c r="Q231" s="539"/>
      <c r="R231" s="539"/>
      <c r="S231" s="539"/>
      <c r="T231" s="539"/>
      <c r="U231" s="539"/>
      <c r="V231" s="539"/>
      <c r="W231" s="539"/>
      <c r="X231" s="539"/>
      <c r="Y231" s="539"/>
      <c r="Z231" s="539"/>
      <c r="AA231" s="539"/>
      <c r="AB231" s="539"/>
      <c r="AC231" s="539"/>
      <c r="AD231" s="539"/>
      <c r="AE231" s="539"/>
      <c r="AF231" s="539"/>
      <c r="AG231" s="539"/>
      <c r="AH231" s="539"/>
      <c r="AI231" s="539"/>
      <c r="AJ231" s="539"/>
      <c r="AK231" s="539"/>
      <c r="AL231" s="539"/>
      <c r="AM231" s="539"/>
      <c r="AN231" s="539"/>
      <c r="AO231" s="539"/>
      <c r="AP231" s="539"/>
      <c r="AQ231" s="539"/>
      <c r="AR231" s="539"/>
      <c r="AS231" s="539"/>
      <c r="AT231" s="539"/>
      <c r="AU231" s="539"/>
      <c r="AV231" s="539"/>
      <c r="AW231" s="539"/>
      <c r="AX231" s="539"/>
    </row>
    <row r="232" spans="2:50" ht="14.25" customHeight="1" x14ac:dyDescent="0.3">
      <c r="B232" s="957"/>
      <c r="C232" s="540"/>
      <c r="D232" s="540"/>
      <c r="E232" s="540"/>
      <c r="F232" s="539"/>
      <c r="G232" s="539"/>
      <c r="H232" s="539"/>
      <c r="I232" s="539"/>
      <c r="J232" s="539"/>
      <c r="K232" s="539"/>
      <c r="L232" s="539"/>
      <c r="M232" s="539"/>
      <c r="N232" s="539"/>
      <c r="O232" s="539"/>
      <c r="P232" s="539"/>
      <c r="Q232" s="539"/>
      <c r="R232" s="539"/>
      <c r="S232" s="539"/>
      <c r="T232" s="539"/>
      <c r="U232" s="539"/>
      <c r="V232" s="539"/>
      <c r="W232" s="539"/>
      <c r="X232" s="539"/>
      <c r="Y232" s="539"/>
      <c r="Z232" s="539"/>
      <c r="AA232" s="539"/>
      <c r="AB232" s="539"/>
      <c r="AC232" s="539"/>
      <c r="AD232" s="539"/>
      <c r="AE232" s="539"/>
      <c r="AF232" s="539"/>
      <c r="AG232" s="539"/>
      <c r="AH232" s="539"/>
      <c r="AI232" s="539"/>
      <c r="AJ232" s="539"/>
      <c r="AK232" s="539"/>
      <c r="AL232" s="539"/>
      <c r="AM232" s="539"/>
      <c r="AN232" s="539"/>
      <c r="AO232" s="539"/>
      <c r="AP232" s="539"/>
      <c r="AQ232" s="539"/>
      <c r="AR232" s="539"/>
      <c r="AS232" s="539"/>
      <c r="AT232" s="539"/>
      <c r="AU232" s="539"/>
      <c r="AV232" s="539"/>
      <c r="AW232" s="539"/>
      <c r="AX232" s="539"/>
    </row>
    <row r="233" spans="2:50" ht="14.25" customHeight="1" x14ac:dyDescent="0.3">
      <c r="B233" s="957"/>
      <c r="C233" s="540"/>
      <c r="D233" s="540"/>
      <c r="E233" s="540"/>
      <c r="F233" s="539"/>
      <c r="G233" s="539"/>
      <c r="H233" s="539"/>
      <c r="I233" s="539"/>
      <c r="J233" s="539"/>
      <c r="K233" s="539"/>
      <c r="L233" s="539"/>
      <c r="M233" s="539"/>
      <c r="N233" s="539"/>
      <c r="O233" s="539"/>
      <c r="P233" s="539"/>
      <c r="Q233" s="539"/>
      <c r="R233" s="539"/>
      <c r="S233" s="539"/>
      <c r="T233" s="539"/>
      <c r="U233" s="539"/>
      <c r="V233" s="539"/>
      <c r="W233" s="539"/>
      <c r="X233" s="539"/>
      <c r="Y233" s="539"/>
      <c r="Z233" s="539"/>
      <c r="AA233" s="539"/>
      <c r="AB233" s="539"/>
      <c r="AC233" s="539"/>
      <c r="AD233" s="539"/>
      <c r="AE233" s="539"/>
      <c r="AF233" s="539"/>
      <c r="AG233" s="539"/>
      <c r="AH233" s="539"/>
      <c r="AI233" s="539"/>
      <c r="AJ233" s="539"/>
      <c r="AK233" s="539"/>
      <c r="AL233" s="539"/>
      <c r="AM233" s="539"/>
      <c r="AN233" s="539"/>
      <c r="AO233" s="539"/>
      <c r="AP233" s="539"/>
      <c r="AQ233" s="539"/>
      <c r="AR233" s="539"/>
      <c r="AS233" s="539"/>
      <c r="AT233" s="539"/>
      <c r="AU233" s="539"/>
      <c r="AV233" s="539"/>
      <c r="AW233" s="539"/>
      <c r="AX233" s="539"/>
    </row>
    <row r="234" spans="2:50" ht="14.25" customHeight="1" x14ac:dyDescent="0.3">
      <c r="B234" s="957"/>
      <c r="C234" s="540"/>
      <c r="D234" s="540"/>
      <c r="E234" s="540"/>
      <c r="F234" s="539"/>
      <c r="G234" s="539"/>
      <c r="H234" s="539"/>
      <c r="I234" s="539"/>
      <c r="J234" s="539"/>
      <c r="K234" s="539"/>
      <c r="L234" s="539"/>
      <c r="M234" s="539"/>
      <c r="N234" s="539"/>
      <c r="O234" s="539"/>
      <c r="P234" s="539"/>
      <c r="Q234" s="539"/>
      <c r="R234" s="539"/>
      <c r="S234" s="539"/>
      <c r="T234" s="539"/>
      <c r="U234" s="539"/>
      <c r="V234" s="539"/>
      <c r="W234" s="539"/>
      <c r="X234" s="539"/>
      <c r="Y234" s="539"/>
      <c r="Z234" s="539"/>
      <c r="AA234" s="539"/>
      <c r="AB234" s="539"/>
      <c r="AC234" s="539"/>
      <c r="AD234" s="539"/>
      <c r="AE234" s="539"/>
      <c r="AF234" s="539"/>
      <c r="AG234" s="539"/>
      <c r="AH234" s="539"/>
      <c r="AI234" s="539"/>
      <c r="AJ234" s="539"/>
      <c r="AK234" s="539"/>
      <c r="AL234" s="539"/>
      <c r="AM234" s="539"/>
      <c r="AN234" s="539"/>
      <c r="AO234" s="539"/>
      <c r="AP234" s="539"/>
      <c r="AQ234" s="539"/>
      <c r="AR234" s="539"/>
      <c r="AS234" s="539"/>
      <c r="AT234" s="539"/>
      <c r="AU234" s="539"/>
      <c r="AV234" s="539"/>
      <c r="AW234" s="539"/>
      <c r="AX234" s="539"/>
    </row>
    <row r="235" spans="2:50" ht="14.25" customHeight="1" x14ac:dyDescent="0.3">
      <c r="B235" s="957"/>
      <c r="C235" s="540"/>
      <c r="D235" s="540"/>
      <c r="E235" s="540"/>
      <c r="F235" s="539"/>
      <c r="G235" s="539"/>
      <c r="H235" s="539"/>
      <c r="I235" s="539"/>
      <c r="J235" s="539"/>
      <c r="K235" s="539"/>
      <c r="L235" s="539"/>
      <c r="M235" s="539"/>
      <c r="N235" s="539"/>
      <c r="O235" s="539"/>
      <c r="P235" s="539"/>
      <c r="Q235" s="539"/>
      <c r="R235" s="539"/>
      <c r="S235" s="539"/>
      <c r="T235" s="539"/>
      <c r="U235" s="539"/>
      <c r="V235" s="539"/>
      <c r="W235" s="539"/>
      <c r="X235" s="539"/>
      <c r="Y235" s="539"/>
      <c r="Z235" s="539"/>
      <c r="AA235" s="539"/>
      <c r="AB235" s="539"/>
      <c r="AC235" s="539"/>
      <c r="AD235" s="539"/>
      <c r="AE235" s="539"/>
      <c r="AF235" s="539"/>
      <c r="AG235" s="539"/>
      <c r="AH235" s="539"/>
      <c r="AI235" s="539"/>
      <c r="AJ235" s="539"/>
      <c r="AK235" s="539"/>
      <c r="AL235" s="539"/>
      <c r="AM235" s="539"/>
      <c r="AN235" s="539"/>
      <c r="AO235" s="539"/>
      <c r="AP235" s="539"/>
      <c r="AQ235" s="539"/>
      <c r="AR235" s="539"/>
      <c r="AS235" s="539"/>
      <c r="AT235" s="539"/>
      <c r="AU235" s="539"/>
      <c r="AV235" s="539"/>
      <c r="AW235" s="539"/>
      <c r="AX235" s="539"/>
    </row>
    <row r="236" spans="2:50" ht="14.25" customHeight="1" x14ac:dyDescent="0.3">
      <c r="B236" s="957"/>
      <c r="C236" s="540"/>
      <c r="D236" s="540"/>
      <c r="E236" s="540"/>
      <c r="F236" s="539"/>
      <c r="G236" s="539"/>
      <c r="H236" s="539"/>
      <c r="I236" s="539"/>
      <c r="J236" s="539"/>
      <c r="K236" s="539"/>
      <c r="L236" s="539"/>
      <c r="M236" s="539"/>
      <c r="N236" s="539"/>
      <c r="O236" s="539"/>
      <c r="P236" s="539"/>
      <c r="Q236" s="539"/>
      <c r="R236" s="539"/>
      <c r="S236" s="539"/>
      <c r="T236" s="539"/>
      <c r="U236" s="539"/>
      <c r="V236" s="539"/>
      <c r="W236" s="539"/>
      <c r="X236" s="539"/>
      <c r="Y236" s="539"/>
      <c r="Z236" s="539"/>
      <c r="AA236" s="539"/>
      <c r="AB236" s="539"/>
      <c r="AC236" s="539"/>
      <c r="AD236" s="539"/>
      <c r="AE236" s="539"/>
      <c r="AF236" s="539"/>
      <c r="AG236" s="539"/>
      <c r="AH236" s="539"/>
      <c r="AI236" s="539"/>
      <c r="AJ236" s="539"/>
      <c r="AK236" s="539"/>
      <c r="AL236" s="539"/>
      <c r="AM236" s="539"/>
      <c r="AN236" s="539"/>
      <c r="AO236" s="539"/>
      <c r="AP236" s="539"/>
      <c r="AQ236" s="539"/>
      <c r="AR236" s="539"/>
      <c r="AS236" s="539"/>
      <c r="AT236" s="539"/>
      <c r="AU236" s="539"/>
      <c r="AV236" s="539"/>
      <c r="AW236" s="539"/>
      <c r="AX236" s="539"/>
    </row>
    <row r="237" spans="2:50" ht="14.25" customHeight="1" x14ac:dyDescent="0.3">
      <c r="B237" s="957"/>
      <c r="C237" s="540"/>
      <c r="D237" s="540"/>
      <c r="E237" s="540"/>
      <c r="F237" s="539"/>
      <c r="G237" s="539"/>
      <c r="H237" s="539"/>
      <c r="I237" s="539"/>
      <c r="J237" s="539"/>
      <c r="K237" s="539"/>
      <c r="L237" s="539"/>
      <c r="M237" s="539"/>
      <c r="N237" s="539"/>
      <c r="O237" s="539"/>
      <c r="P237" s="539"/>
      <c r="Q237" s="539"/>
      <c r="R237" s="539"/>
      <c r="S237" s="539"/>
      <c r="T237" s="539"/>
      <c r="U237" s="539"/>
      <c r="V237" s="539"/>
      <c r="W237" s="539"/>
      <c r="X237" s="539"/>
      <c r="Y237" s="539"/>
      <c r="Z237" s="539"/>
      <c r="AA237" s="539"/>
      <c r="AB237" s="539"/>
      <c r="AC237" s="539"/>
      <c r="AD237" s="539"/>
      <c r="AE237" s="539"/>
      <c r="AF237" s="539"/>
      <c r="AG237" s="539"/>
      <c r="AH237" s="539"/>
      <c r="AI237" s="539"/>
      <c r="AJ237" s="539"/>
      <c r="AK237" s="539"/>
      <c r="AL237" s="539"/>
      <c r="AM237" s="539"/>
      <c r="AN237" s="539"/>
      <c r="AO237" s="539"/>
      <c r="AP237" s="539"/>
      <c r="AQ237" s="539"/>
      <c r="AR237" s="539"/>
      <c r="AS237" s="539"/>
      <c r="AT237" s="539"/>
      <c r="AU237" s="539"/>
      <c r="AV237" s="539"/>
      <c r="AW237" s="539"/>
      <c r="AX237" s="539"/>
    </row>
    <row r="238" spans="2:50" ht="14.25" customHeight="1" x14ac:dyDescent="0.3">
      <c r="B238" s="957"/>
      <c r="C238" s="540"/>
      <c r="D238" s="540"/>
      <c r="E238" s="540"/>
      <c r="F238" s="539"/>
      <c r="G238" s="539"/>
      <c r="H238" s="539"/>
      <c r="I238" s="539"/>
      <c r="J238" s="539"/>
      <c r="K238" s="539"/>
      <c r="L238" s="539"/>
      <c r="M238" s="539"/>
      <c r="N238" s="539"/>
      <c r="O238" s="539"/>
      <c r="P238" s="539"/>
      <c r="Q238" s="539"/>
      <c r="R238" s="539"/>
      <c r="S238" s="539"/>
      <c r="T238" s="539"/>
      <c r="U238" s="539"/>
      <c r="V238" s="539"/>
      <c r="W238" s="539"/>
      <c r="X238" s="539"/>
      <c r="Y238" s="539"/>
      <c r="Z238" s="539"/>
      <c r="AA238" s="539"/>
      <c r="AB238" s="539"/>
      <c r="AC238" s="539"/>
      <c r="AD238" s="539"/>
      <c r="AE238" s="539"/>
      <c r="AF238" s="539"/>
      <c r="AG238" s="539"/>
      <c r="AH238" s="539"/>
      <c r="AI238" s="539"/>
      <c r="AJ238" s="539"/>
      <c r="AK238" s="539"/>
      <c r="AL238" s="539"/>
      <c r="AM238" s="539"/>
      <c r="AN238" s="539"/>
      <c r="AO238" s="539"/>
      <c r="AP238" s="539"/>
      <c r="AQ238" s="539"/>
      <c r="AR238" s="539"/>
      <c r="AS238" s="539"/>
      <c r="AT238" s="539"/>
      <c r="AU238" s="539"/>
      <c r="AV238" s="539"/>
      <c r="AW238" s="539"/>
      <c r="AX238" s="539"/>
    </row>
    <row r="239" spans="2:50" ht="14.25" customHeight="1" x14ac:dyDescent="0.3">
      <c r="B239" s="957"/>
      <c r="C239" s="540"/>
      <c r="D239" s="540"/>
      <c r="E239" s="540"/>
      <c r="F239" s="539"/>
      <c r="G239" s="539"/>
      <c r="H239" s="539"/>
      <c r="I239" s="539"/>
      <c r="J239" s="539"/>
      <c r="K239" s="539"/>
      <c r="L239" s="539"/>
      <c r="M239" s="539"/>
      <c r="N239" s="539"/>
      <c r="O239" s="539"/>
      <c r="P239" s="539"/>
      <c r="Q239" s="539"/>
      <c r="R239" s="539"/>
      <c r="S239" s="539"/>
      <c r="T239" s="539"/>
      <c r="U239" s="539"/>
      <c r="V239" s="539"/>
      <c r="W239" s="539"/>
      <c r="X239" s="539"/>
      <c r="Y239" s="539"/>
      <c r="Z239" s="539"/>
      <c r="AA239" s="539"/>
      <c r="AB239" s="539"/>
      <c r="AC239" s="539"/>
      <c r="AD239" s="539"/>
      <c r="AE239" s="539"/>
      <c r="AF239" s="539"/>
      <c r="AG239" s="539"/>
      <c r="AH239" s="539"/>
      <c r="AI239" s="539"/>
      <c r="AJ239" s="539"/>
      <c r="AK239" s="539"/>
      <c r="AL239" s="539"/>
      <c r="AM239" s="539"/>
      <c r="AN239" s="539"/>
      <c r="AO239" s="539"/>
      <c r="AP239" s="539"/>
      <c r="AQ239" s="539"/>
      <c r="AR239" s="539"/>
      <c r="AS239" s="539"/>
      <c r="AT239" s="539"/>
      <c r="AU239" s="539"/>
      <c r="AV239" s="539"/>
      <c r="AW239" s="539"/>
      <c r="AX239" s="539"/>
    </row>
    <row r="240" spans="2:50" ht="14.25" customHeight="1" x14ac:dyDescent="0.3">
      <c r="B240" s="957"/>
      <c r="C240" s="540"/>
      <c r="D240" s="540"/>
      <c r="E240" s="540"/>
      <c r="F240" s="539"/>
      <c r="G240" s="539"/>
      <c r="H240" s="539"/>
      <c r="I240" s="539"/>
      <c r="J240" s="539"/>
      <c r="K240" s="539"/>
      <c r="L240" s="539"/>
      <c r="M240" s="539"/>
      <c r="N240" s="539"/>
      <c r="O240" s="539"/>
      <c r="P240" s="539"/>
      <c r="Q240" s="539"/>
      <c r="R240" s="539"/>
      <c r="S240" s="539"/>
      <c r="T240" s="539"/>
      <c r="U240" s="539"/>
      <c r="V240" s="539"/>
      <c r="W240" s="539"/>
      <c r="X240" s="539"/>
      <c r="Y240" s="539"/>
      <c r="Z240" s="539"/>
      <c r="AA240" s="539"/>
      <c r="AB240" s="539"/>
      <c r="AC240" s="539"/>
      <c r="AD240" s="539"/>
      <c r="AE240" s="539"/>
      <c r="AF240" s="539"/>
      <c r="AG240" s="539"/>
      <c r="AH240" s="539"/>
      <c r="AI240" s="539"/>
      <c r="AJ240" s="539"/>
      <c r="AK240" s="539"/>
      <c r="AL240" s="539"/>
      <c r="AM240" s="539"/>
      <c r="AN240" s="539"/>
      <c r="AO240" s="539"/>
      <c r="AP240" s="539"/>
      <c r="AQ240" s="539"/>
      <c r="AR240" s="539"/>
      <c r="AS240" s="539"/>
      <c r="AT240" s="539"/>
      <c r="AU240" s="539"/>
      <c r="AV240" s="539"/>
      <c r="AW240" s="539"/>
      <c r="AX240" s="539"/>
    </row>
    <row r="241" spans="2:50" ht="14.25" customHeight="1" x14ac:dyDescent="0.3">
      <c r="B241" s="957"/>
      <c r="C241" s="540"/>
      <c r="D241" s="540"/>
      <c r="E241" s="540"/>
      <c r="F241" s="539"/>
      <c r="G241" s="539"/>
      <c r="H241" s="539"/>
      <c r="I241" s="539"/>
      <c r="J241" s="539"/>
      <c r="K241" s="539"/>
      <c r="L241" s="539"/>
      <c r="M241" s="539"/>
      <c r="N241" s="539"/>
      <c r="O241" s="539"/>
      <c r="P241" s="539"/>
      <c r="Q241" s="539"/>
      <c r="R241" s="539"/>
      <c r="S241" s="539"/>
      <c r="T241" s="539"/>
      <c r="U241" s="539"/>
      <c r="V241" s="539"/>
      <c r="W241" s="539"/>
      <c r="X241" s="539"/>
      <c r="Y241" s="539"/>
      <c r="Z241" s="539"/>
      <c r="AA241" s="539"/>
      <c r="AB241" s="539"/>
      <c r="AC241" s="539"/>
      <c r="AD241" s="539"/>
      <c r="AE241" s="539"/>
      <c r="AF241" s="539"/>
      <c r="AG241" s="539"/>
      <c r="AH241" s="539"/>
      <c r="AI241" s="539"/>
      <c r="AJ241" s="539"/>
      <c r="AK241" s="539"/>
      <c r="AL241" s="539"/>
      <c r="AM241" s="539"/>
      <c r="AN241" s="539"/>
      <c r="AO241" s="539"/>
      <c r="AP241" s="539"/>
      <c r="AQ241" s="539"/>
      <c r="AR241" s="539"/>
      <c r="AS241" s="539"/>
      <c r="AT241" s="539"/>
      <c r="AU241" s="539"/>
      <c r="AV241" s="539"/>
      <c r="AW241" s="539"/>
      <c r="AX241" s="539"/>
    </row>
    <row r="242" spans="2:50" ht="14.25" customHeight="1" x14ac:dyDescent="0.3">
      <c r="B242" s="957"/>
      <c r="C242" s="540"/>
      <c r="D242" s="540"/>
      <c r="E242" s="540"/>
      <c r="F242" s="539"/>
      <c r="G242" s="539"/>
      <c r="H242" s="539"/>
      <c r="I242" s="539"/>
      <c r="J242" s="539"/>
      <c r="K242" s="539"/>
      <c r="L242" s="539"/>
      <c r="M242" s="539"/>
      <c r="N242" s="539"/>
      <c r="O242" s="539"/>
      <c r="P242" s="539"/>
      <c r="Q242" s="539"/>
      <c r="R242" s="539"/>
      <c r="S242" s="539"/>
      <c r="T242" s="539"/>
      <c r="U242" s="539"/>
      <c r="V242" s="539"/>
      <c r="W242" s="539"/>
      <c r="X242" s="539"/>
      <c r="Y242" s="539"/>
      <c r="Z242" s="539"/>
      <c r="AA242" s="539"/>
      <c r="AB242" s="539"/>
      <c r="AC242" s="539"/>
      <c r="AD242" s="539"/>
      <c r="AE242" s="539"/>
      <c r="AF242" s="539"/>
      <c r="AG242" s="539"/>
      <c r="AH242" s="539"/>
      <c r="AI242" s="539"/>
      <c r="AJ242" s="539"/>
      <c r="AK242" s="539"/>
      <c r="AL242" s="539"/>
      <c r="AM242" s="539"/>
      <c r="AN242" s="539"/>
      <c r="AO242" s="539"/>
      <c r="AP242" s="539"/>
      <c r="AQ242" s="539"/>
      <c r="AR242" s="539"/>
      <c r="AS242" s="539"/>
      <c r="AT242" s="539"/>
      <c r="AU242" s="539"/>
      <c r="AV242" s="539"/>
      <c r="AW242" s="539"/>
      <c r="AX242" s="539"/>
    </row>
    <row r="243" spans="2:50" ht="14.25" customHeight="1" x14ac:dyDescent="0.3">
      <c r="B243" s="957"/>
      <c r="C243" s="540"/>
      <c r="D243" s="540"/>
      <c r="E243" s="540"/>
      <c r="F243" s="539"/>
      <c r="G243" s="539"/>
      <c r="H243" s="539"/>
      <c r="I243" s="539"/>
      <c r="J243" s="539"/>
      <c r="K243" s="539"/>
      <c r="L243" s="539"/>
      <c r="M243" s="539"/>
      <c r="N243" s="539"/>
      <c r="O243" s="539"/>
      <c r="P243" s="539"/>
      <c r="Q243" s="539"/>
      <c r="R243" s="539"/>
      <c r="S243" s="539"/>
      <c r="T243" s="539"/>
      <c r="U243" s="539"/>
      <c r="V243" s="539"/>
      <c r="W243" s="539"/>
      <c r="X243" s="539"/>
      <c r="Y243" s="539"/>
      <c r="Z243" s="539"/>
      <c r="AA243" s="539"/>
      <c r="AB243" s="539"/>
      <c r="AC243" s="539"/>
      <c r="AD243" s="539"/>
      <c r="AE243" s="539"/>
      <c r="AF243" s="539"/>
      <c r="AG243" s="539"/>
      <c r="AH243" s="539"/>
      <c r="AI243" s="539"/>
      <c r="AJ243" s="539"/>
      <c r="AK243" s="539"/>
      <c r="AL243" s="539"/>
      <c r="AM243" s="539"/>
      <c r="AN243" s="539"/>
      <c r="AO243" s="539"/>
      <c r="AP243" s="539"/>
      <c r="AQ243" s="539"/>
      <c r="AR243" s="539"/>
      <c r="AS243" s="539"/>
      <c r="AT243" s="539"/>
      <c r="AU243" s="539"/>
      <c r="AV243" s="539"/>
      <c r="AW243" s="539"/>
      <c r="AX243" s="539"/>
    </row>
    <row r="244" spans="2:50" ht="14.25" customHeight="1" x14ac:dyDescent="0.3">
      <c r="B244" s="957"/>
      <c r="C244" s="540"/>
      <c r="D244" s="540"/>
      <c r="E244" s="540"/>
      <c r="F244" s="539"/>
      <c r="G244" s="539"/>
      <c r="H244" s="539"/>
      <c r="I244" s="539"/>
      <c r="J244" s="539"/>
      <c r="K244" s="539"/>
      <c r="L244" s="539"/>
      <c r="M244" s="539"/>
      <c r="N244" s="539"/>
      <c r="O244" s="539"/>
      <c r="P244" s="539"/>
      <c r="Q244" s="539"/>
      <c r="R244" s="539"/>
      <c r="S244" s="539"/>
      <c r="T244" s="539"/>
      <c r="U244" s="539"/>
      <c r="V244" s="539"/>
      <c r="W244" s="539"/>
      <c r="X244" s="539"/>
      <c r="Y244" s="539"/>
      <c r="Z244" s="539"/>
      <c r="AA244" s="539"/>
      <c r="AB244" s="539"/>
      <c r="AC244" s="539"/>
      <c r="AD244" s="539"/>
      <c r="AE244" s="539"/>
      <c r="AF244" s="539"/>
      <c r="AG244" s="539"/>
      <c r="AH244" s="539"/>
      <c r="AI244" s="539"/>
      <c r="AJ244" s="539"/>
      <c r="AK244" s="539"/>
      <c r="AL244" s="539"/>
      <c r="AM244" s="539"/>
      <c r="AN244" s="539"/>
      <c r="AO244" s="539"/>
      <c r="AP244" s="539"/>
      <c r="AQ244" s="539"/>
      <c r="AR244" s="539"/>
      <c r="AS244" s="539"/>
      <c r="AT244" s="539"/>
      <c r="AU244" s="539"/>
      <c r="AV244" s="539"/>
      <c r="AW244" s="539"/>
      <c r="AX244" s="539"/>
    </row>
    <row r="245" spans="2:50" ht="14.25" customHeight="1" x14ac:dyDescent="0.3">
      <c r="B245" s="957"/>
      <c r="C245" s="540"/>
      <c r="D245" s="540"/>
      <c r="E245" s="540"/>
      <c r="F245" s="539"/>
      <c r="G245" s="539"/>
      <c r="H245" s="539"/>
      <c r="I245" s="539"/>
      <c r="J245" s="539"/>
      <c r="K245" s="539"/>
      <c r="L245" s="539"/>
      <c r="M245" s="539"/>
      <c r="N245" s="539"/>
      <c r="O245" s="539"/>
      <c r="P245" s="539"/>
      <c r="Q245" s="539"/>
      <c r="R245" s="539"/>
      <c r="S245" s="539"/>
      <c r="T245" s="539"/>
      <c r="U245" s="539"/>
      <c r="V245" s="539"/>
      <c r="W245" s="539"/>
      <c r="X245" s="539"/>
      <c r="Y245" s="539"/>
      <c r="Z245" s="539"/>
      <c r="AA245" s="539"/>
      <c r="AB245" s="539"/>
      <c r="AC245" s="539"/>
      <c r="AD245" s="539"/>
      <c r="AE245" s="539"/>
      <c r="AF245" s="539"/>
      <c r="AG245" s="539"/>
      <c r="AH245" s="539"/>
      <c r="AI245" s="539"/>
      <c r="AJ245" s="539"/>
      <c r="AK245" s="539"/>
      <c r="AL245" s="539"/>
      <c r="AM245" s="539"/>
      <c r="AN245" s="539"/>
      <c r="AO245" s="539"/>
      <c r="AP245" s="539"/>
      <c r="AQ245" s="539"/>
      <c r="AR245" s="539"/>
      <c r="AS245" s="539"/>
      <c r="AT245" s="539"/>
      <c r="AU245" s="539"/>
      <c r="AV245" s="539"/>
      <c r="AW245" s="539"/>
      <c r="AX245" s="539"/>
    </row>
    <row r="246" spans="2:50" ht="14.25" customHeight="1" x14ac:dyDescent="0.3">
      <c r="B246" s="957"/>
      <c r="C246" s="540"/>
      <c r="D246" s="540"/>
      <c r="E246" s="540"/>
      <c r="F246" s="539"/>
      <c r="G246" s="539"/>
      <c r="H246" s="539"/>
      <c r="I246" s="539"/>
      <c r="J246" s="539"/>
      <c r="K246" s="539"/>
      <c r="L246" s="539"/>
      <c r="M246" s="539"/>
      <c r="N246" s="539"/>
      <c r="O246" s="539"/>
      <c r="P246" s="539"/>
      <c r="Q246" s="539"/>
      <c r="R246" s="539"/>
      <c r="S246" s="539"/>
      <c r="T246" s="539"/>
      <c r="U246" s="539"/>
      <c r="V246" s="539"/>
      <c r="W246" s="539"/>
      <c r="X246" s="539"/>
      <c r="Y246" s="539"/>
      <c r="Z246" s="539"/>
      <c r="AA246" s="539"/>
      <c r="AB246" s="539"/>
      <c r="AC246" s="539"/>
      <c r="AD246" s="539"/>
      <c r="AE246" s="539"/>
      <c r="AF246" s="539"/>
      <c r="AG246" s="539"/>
      <c r="AH246" s="539"/>
      <c r="AI246" s="539"/>
      <c r="AJ246" s="539"/>
      <c r="AK246" s="539"/>
      <c r="AL246" s="539"/>
      <c r="AM246" s="539"/>
      <c r="AN246" s="539"/>
      <c r="AO246" s="539"/>
      <c r="AP246" s="539"/>
      <c r="AQ246" s="539"/>
      <c r="AR246" s="539"/>
      <c r="AS246" s="539"/>
      <c r="AT246" s="539"/>
      <c r="AU246" s="539"/>
      <c r="AV246" s="539"/>
      <c r="AW246" s="539"/>
      <c r="AX246" s="539"/>
    </row>
    <row r="247" spans="2:50" ht="14.25" customHeight="1" x14ac:dyDescent="0.3">
      <c r="B247" s="957"/>
      <c r="C247" s="540"/>
      <c r="D247" s="540"/>
      <c r="E247" s="540"/>
      <c r="F247" s="539"/>
      <c r="G247" s="539"/>
      <c r="H247" s="539"/>
      <c r="I247" s="539"/>
      <c r="J247" s="539"/>
      <c r="K247" s="539"/>
      <c r="L247" s="539"/>
      <c r="M247" s="539"/>
      <c r="N247" s="539"/>
      <c r="O247" s="539"/>
      <c r="P247" s="539"/>
      <c r="Q247" s="539"/>
      <c r="R247" s="539"/>
      <c r="S247" s="539"/>
      <c r="T247" s="539"/>
      <c r="U247" s="539"/>
      <c r="V247" s="539"/>
      <c r="W247" s="539"/>
      <c r="X247" s="539"/>
      <c r="Y247" s="539"/>
      <c r="Z247" s="539"/>
      <c r="AA247" s="539"/>
      <c r="AB247" s="539"/>
      <c r="AC247" s="539"/>
      <c r="AD247" s="539"/>
      <c r="AE247" s="539"/>
      <c r="AF247" s="539"/>
      <c r="AG247" s="539"/>
      <c r="AH247" s="539"/>
      <c r="AI247" s="539"/>
      <c r="AJ247" s="539"/>
      <c r="AK247" s="539"/>
      <c r="AL247" s="539"/>
      <c r="AM247" s="539"/>
      <c r="AN247" s="539"/>
      <c r="AO247" s="539"/>
      <c r="AP247" s="539"/>
      <c r="AQ247" s="539"/>
      <c r="AR247" s="539"/>
      <c r="AS247" s="539"/>
      <c r="AT247" s="539"/>
      <c r="AU247" s="539"/>
      <c r="AV247" s="539"/>
      <c r="AW247" s="539"/>
      <c r="AX247" s="539"/>
    </row>
    <row r="248" spans="2:50" ht="14.25" customHeight="1" x14ac:dyDescent="0.3">
      <c r="B248" s="957"/>
      <c r="C248" s="540"/>
      <c r="D248" s="540"/>
      <c r="E248" s="540"/>
      <c r="F248" s="539"/>
      <c r="G248" s="539"/>
      <c r="H248" s="539"/>
      <c r="I248" s="539"/>
      <c r="J248" s="539"/>
      <c r="K248" s="539"/>
      <c r="L248" s="539"/>
      <c r="M248" s="539"/>
      <c r="N248" s="539"/>
      <c r="O248" s="539"/>
      <c r="P248" s="539"/>
      <c r="Q248" s="539"/>
      <c r="R248" s="539"/>
      <c r="S248" s="539"/>
      <c r="T248" s="539"/>
      <c r="U248" s="539"/>
      <c r="V248" s="539"/>
      <c r="W248" s="539"/>
      <c r="X248" s="539"/>
      <c r="Y248" s="539"/>
      <c r="Z248" s="539"/>
      <c r="AA248" s="539"/>
      <c r="AB248" s="539"/>
      <c r="AC248" s="539"/>
      <c r="AD248" s="539"/>
      <c r="AE248" s="539"/>
      <c r="AF248" s="539"/>
      <c r="AG248" s="539"/>
      <c r="AH248" s="539"/>
      <c r="AI248" s="539"/>
      <c r="AJ248" s="539"/>
      <c r="AK248" s="539"/>
      <c r="AL248" s="539"/>
      <c r="AM248" s="539"/>
      <c r="AN248" s="539"/>
      <c r="AO248" s="539"/>
      <c r="AP248" s="539"/>
      <c r="AQ248" s="539"/>
      <c r="AR248" s="539"/>
      <c r="AS248" s="539"/>
      <c r="AT248" s="539"/>
      <c r="AU248" s="539"/>
      <c r="AV248" s="539"/>
      <c r="AW248" s="539"/>
      <c r="AX248" s="539"/>
    </row>
    <row r="249" spans="2:50" ht="14.25" customHeight="1" x14ac:dyDescent="0.3">
      <c r="B249" s="957"/>
      <c r="C249" s="540"/>
      <c r="D249" s="540"/>
      <c r="E249" s="540"/>
      <c r="F249" s="539"/>
      <c r="G249" s="539"/>
      <c r="H249" s="539"/>
      <c r="I249" s="539"/>
      <c r="J249" s="539"/>
      <c r="K249" s="539"/>
      <c r="L249" s="539"/>
      <c r="M249" s="539"/>
      <c r="N249" s="539"/>
      <c r="O249" s="539"/>
      <c r="P249" s="539"/>
      <c r="Q249" s="539"/>
      <c r="R249" s="539"/>
      <c r="S249" s="539"/>
      <c r="T249" s="539"/>
      <c r="U249" s="539"/>
      <c r="V249" s="539"/>
      <c r="W249" s="539"/>
      <c r="X249" s="539"/>
      <c r="Y249" s="539"/>
      <c r="Z249" s="539"/>
      <c r="AA249" s="539"/>
      <c r="AB249" s="539"/>
      <c r="AC249" s="539"/>
      <c r="AD249" s="539"/>
      <c r="AE249" s="539"/>
      <c r="AF249" s="539"/>
      <c r="AG249" s="539"/>
      <c r="AH249" s="539"/>
      <c r="AI249" s="539"/>
      <c r="AJ249" s="539"/>
      <c r="AK249" s="539"/>
      <c r="AL249" s="539"/>
      <c r="AM249" s="539"/>
      <c r="AN249" s="539"/>
      <c r="AO249" s="539"/>
      <c r="AP249" s="539"/>
      <c r="AQ249" s="539"/>
      <c r="AR249" s="539"/>
      <c r="AS249" s="539"/>
      <c r="AT249" s="539"/>
      <c r="AU249" s="539"/>
      <c r="AV249" s="539"/>
      <c r="AW249" s="539"/>
      <c r="AX249" s="539"/>
    </row>
    <row r="250" spans="2:50" ht="14.25" customHeight="1" x14ac:dyDescent="0.3">
      <c r="B250" s="957"/>
      <c r="C250" s="540"/>
      <c r="D250" s="540"/>
      <c r="E250" s="540"/>
      <c r="F250" s="539"/>
      <c r="G250" s="539"/>
      <c r="H250" s="539"/>
      <c r="I250" s="539"/>
      <c r="J250" s="539"/>
      <c r="K250" s="539"/>
      <c r="L250" s="539"/>
      <c r="M250" s="539"/>
      <c r="N250" s="539"/>
      <c r="O250" s="539"/>
      <c r="P250" s="539"/>
      <c r="Q250" s="539"/>
      <c r="R250" s="539"/>
      <c r="S250" s="539"/>
      <c r="T250" s="539"/>
      <c r="U250" s="539"/>
      <c r="V250" s="539"/>
      <c r="W250" s="539"/>
      <c r="X250" s="539"/>
      <c r="Y250" s="539"/>
      <c r="Z250" s="539"/>
      <c r="AA250" s="539"/>
      <c r="AB250" s="539"/>
      <c r="AC250" s="539"/>
      <c r="AD250" s="539"/>
      <c r="AE250" s="539"/>
      <c r="AF250" s="539"/>
      <c r="AG250" s="539"/>
      <c r="AH250" s="539"/>
      <c r="AI250" s="539"/>
      <c r="AJ250" s="539"/>
      <c r="AK250" s="539"/>
      <c r="AL250" s="539"/>
      <c r="AM250" s="539"/>
      <c r="AN250" s="539"/>
      <c r="AO250" s="539"/>
      <c r="AP250" s="539"/>
      <c r="AQ250" s="539"/>
      <c r="AR250" s="539"/>
      <c r="AS250" s="539"/>
      <c r="AT250" s="539"/>
      <c r="AU250" s="539"/>
      <c r="AV250" s="539"/>
      <c r="AW250" s="539"/>
      <c r="AX250" s="539"/>
    </row>
    <row r="251" spans="2:50" ht="14.25" customHeight="1" x14ac:dyDescent="0.3">
      <c r="B251" s="957"/>
      <c r="C251" s="540"/>
      <c r="D251" s="540"/>
      <c r="E251" s="540"/>
      <c r="F251" s="539"/>
      <c r="G251" s="539"/>
      <c r="H251" s="539"/>
      <c r="I251" s="539"/>
      <c r="J251" s="539"/>
      <c r="K251" s="539"/>
      <c r="L251" s="539"/>
      <c r="M251" s="539"/>
      <c r="N251" s="539"/>
      <c r="O251" s="539"/>
      <c r="P251" s="539"/>
      <c r="Q251" s="539"/>
      <c r="R251" s="539"/>
      <c r="S251" s="539"/>
      <c r="T251" s="539"/>
      <c r="U251" s="539"/>
      <c r="V251" s="539"/>
      <c r="W251" s="539"/>
      <c r="X251" s="539"/>
      <c r="Y251" s="539"/>
      <c r="Z251" s="539"/>
      <c r="AA251" s="539"/>
      <c r="AB251" s="539"/>
      <c r="AC251" s="539"/>
      <c r="AD251" s="539"/>
      <c r="AE251" s="539"/>
      <c r="AF251" s="539"/>
      <c r="AG251" s="539"/>
      <c r="AH251" s="539"/>
      <c r="AI251" s="539"/>
      <c r="AJ251" s="539"/>
      <c r="AK251" s="539"/>
      <c r="AL251" s="539"/>
      <c r="AM251" s="539"/>
      <c r="AN251" s="539"/>
      <c r="AO251" s="539"/>
      <c r="AP251" s="539"/>
      <c r="AQ251" s="539"/>
      <c r="AR251" s="539"/>
      <c r="AS251" s="539"/>
      <c r="AT251" s="539"/>
      <c r="AU251" s="539"/>
      <c r="AV251" s="539"/>
      <c r="AW251" s="539"/>
      <c r="AX251" s="539"/>
    </row>
    <row r="252" spans="2:50" ht="14.25" customHeight="1" x14ac:dyDescent="0.3">
      <c r="B252" s="957"/>
      <c r="C252" s="540"/>
      <c r="D252" s="540"/>
      <c r="E252" s="540"/>
      <c r="F252" s="539"/>
      <c r="G252" s="539"/>
      <c r="H252" s="539"/>
      <c r="I252" s="539"/>
      <c r="J252" s="539"/>
      <c r="K252" s="539"/>
      <c r="L252" s="539"/>
      <c r="M252" s="539"/>
      <c r="N252" s="539"/>
      <c r="O252" s="539"/>
      <c r="P252" s="539"/>
      <c r="Q252" s="539"/>
      <c r="R252" s="539"/>
      <c r="S252" s="539"/>
      <c r="T252" s="539"/>
      <c r="U252" s="539"/>
      <c r="V252" s="539"/>
      <c r="W252" s="539"/>
      <c r="X252" s="539"/>
      <c r="Y252" s="539"/>
      <c r="Z252" s="539"/>
      <c r="AA252" s="539"/>
      <c r="AB252" s="539"/>
      <c r="AC252" s="539"/>
      <c r="AD252" s="539"/>
      <c r="AE252" s="539"/>
      <c r="AF252" s="539"/>
      <c r="AG252" s="539"/>
      <c r="AH252" s="539"/>
      <c r="AI252" s="539"/>
      <c r="AJ252" s="539"/>
      <c r="AK252" s="539"/>
      <c r="AL252" s="539"/>
      <c r="AM252" s="539"/>
      <c r="AN252" s="539"/>
      <c r="AO252" s="539"/>
      <c r="AP252" s="539"/>
      <c r="AQ252" s="539"/>
      <c r="AR252" s="539"/>
      <c r="AS252" s="539"/>
      <c r="AT252" s="539"/>
      <c r="AU252" s="539"/>
      <c r="AV252" s="539"/>
      <c r="AW252" s="539"/>
      <c r="AX252" s="539"/>
    </row>
    <row r="253" spans="2:50" ht="14.25" customHeight="1" x14ac:dyDescent="0.3">
      <c r="B253" s="957"/>
      <c r="C253" s="540"/>
      <c r="D253" s="540"/>
      <c r="E253" s="540"/>
      <c r="F253" s="539"/>
      <c r="G253" s="539"/>
      <c r="H253" s="539"/>
      <c r="I253" s="539"/>
      <c r="J253" s="539"/>
      <c r="K253" s="539"/>
      <c r="L253" s="539"/>
      <c r="M253" s="539"/>
      <c r="N253" s="539"/>
      <c r="O253" s="539"/>
      <c r="P253" s="539"/>
      <c r="Q253" s="539"/>
      <c r="R253" s="539"/>
      <c r="S253" s="539"/>
      <c r="T253" s="539"/>
      <c r="U253" s="539"/>
      <c r="V253" s="539"/>
      <c r="W253" s="539"/>
      <c r="X253" s="539"/>
      <c r="Y253" s="539"/>
      <c r="Z253" s="539"/>
      <c r="AA253" s="539"/>
      <c r="AB253" s="539"/>
      <c r="AC253" s="539"/>
      <c r="AD253" s="539"/>
      <c r="AE253" s="539"/>
      <c r="AF253" s="539"/>
      <c r="AG253" s="539"/>
      <c r="AH253" s="539"/>
      <c r="AI253" s="539"/>
      <c r="AJ253" s="539"/>
      <c r="AK253" s="539"/>
      <c r="AL253" s="539"/>
      <c r="AM253" s="539"/>
      <c r="AN253" s="539"/>
      <c r="AO253" s="539"/>
      <c r="AP253" s="539"/>
      <c r="AQ253" s="539"/>
      <c r="AR253" s="539"/>
      <c r="AS253" s="539"/>
      <c r="AT253" s="539"/>
      <c r="AU253" s="539"/>
      <c r="AV253" s="539"/>
      <c r="AW253" s="539"/>
      <c r="AX253" s="539"/>
    </row>
    <row r="254" spans="2:50" ht="14.25" customHeight="1" x14ac:dyDescent="0.3">
      <c r="B254" s="957"/>
      <c r="C254" s="540"/>
      <c r="D254" s="540"/>
      <c r="E254" s="540"/>
      <c r="F254" s="539"/>
      <c r="G254" s="539"/>
      <c r="H254" s="539"/>
      <c r="I254" s="539"/>
      <c r="J254" s="539"/>
      <c r="K254" s="539"/>
      <c r="L254" s="539"/>
      <c r="M254" s="539"/>
      <c r="N254" s="539"/>
      <c r="O254" s="539"/>
      <c r="P254" s="539"/>
      <c r="Q254" s="539"/>
      <c r="R254" s="539"/>
      <c r="S254" s="539"/>
      <c r="T254" s="539"/>
      <c r="U254" s="539"/>
      <c r="V254" s="539"/>
      <c r="W254" s="539"/>
      <c r="X254" s="539"/>
      <c r="Y254" s="539"/>
      <c r="Z254" s="539"/>
      <c r="AA254" s="539"/>
      <c r="AB254" s="539"/>
      <c r="AC254" s="539"/>
      <c r="AD254" s="539"/>
      <c r="AE254" s="539"/>
      <c r="AF254" s="539"/>
      <c r="AG254" s="539"/>
      <c r="AH254" s="539"/>
      <c r="AI254" s="539"/>
      <c r="AJ254" s="539"/>
      <c r="AK254" s="539"/>
      <c r="AL254" s="539"/>
      <c r="AM254" s="539"/>
      <c r="AN254" s="539"/>
      <c r="AO254" s="539"/>
      <c r="AP254" s="539"/>
      <c r="AQ254" s="539"/>
      <c r="AR254" s="539"/>
      <c r="AS254" s="539"/>
      <c r="AT254" s="539"/>
      <c r="AU254" s="539"/>
      <c r="AV254" s="539"/>
      <c r="AW254" s="539"/>
      <c r="AX254" s="539"/>
    </row>
    <row r="255" spans="2:50" ht="14.25" customHeight="1" x14ac:dyDescent="0.3">
      <c r="B255" s="957"/>
      <c r="C255" s="540"/>
      <c r="D255" s="540"/>
      <c r="E255" s="540"/>
      <c r="F255" s="539"/>
      <c r="G255" s="539"/>
      <c r="H255" s="539"/>
      <c r="I255" s="539"/>
      <c r="J255" s="539"/>
      <c r="K255" s="539"/>
      <c r="L255" s="539"/>
      <c r="M255" s="539"/>
      <c r="N255" s="539"/>
      <c r="O255" s="539"/>
      <c r="P255" s="539"/>
      <c r="Q255" s="539"/>
      <c r="R255" s="539"/>
      <c r="S255" s="539"/>
      <c r="T255" s="539"/>
      <c r="U255" s="539"/>
      <c r="V255" s="539"/>
      <c r="W255" s="539"/>
      <c r="X255" s="539"/>
      <c r="Y255" s="539"/>
      <c r="Z255" s="539"/>
      <c r="AA255" s="539"/>
      <c r="AB255" s="539"/>
      <c r="AC255" s="539"/>
      <c r="AD255" s="539"/>
      <c r="AE255" s="539"/>
      <c r="AF255" s="539"/>
      <c r="AG255" s="539"/>
      <c r="AH255" s="539"/>
      <c r="AI255" s="539"/>
      <c r="AJ255" s="539"/>
      <c r="AK255" s="539"/>
      <c r="AL255" s="539"/>
      <c r="AM255" s="539"/>
      <c r="AN255" s="539"/>
      <c r="AO255" s="539"/>
      <c r="AP255" s="539"/>
      <c r="AQ255" s="539"/>
      <c r="AR255" s="539"/>
      <c r="AS255" s="539"/>
      <c r="AT255" s="539"/>
      <c r="AU255" s="539"/>
      <c r="AV255" s="539"/>
      <c r="AW255" s="539"/>
      <c r="AX255" s="539"/>
    </row>
    <row r="256" spans="2:50" ht="14.25" customHeight="1" x14ac:dyDescent="0.3">
      <c r="B256" s="957"/>
      <c r="C256" s="540"/>
      <c r="D256" s="540"/>
      <c r="E256" s="540"/>
      <c r="F256" s="539"/>
      <c r="G256" s="539"/>
      <c r="H256" s="539"/>
      <c r="I256" s="539"/>
      <c r="J256" s="539"/>
      <c r="K256" s="539"/>
      <c r="L256" s="539"/>
      <c r="M256" s="539"/>
      <c r="N256" s="539"/>
      <c r="O256" s="539"/>
      <c r="P256" s="539"/>
      <c r="Q256" s="539"/>
      <c r="R256" s="539"/>
      <c r="S256" s="539"/>
      <c r="T256" s="539"/>
      <c r="U256" s="539"/>
      <c r="V256" s="539"/>
      <c r="W256" s="539"/>
      <c r="X256" s="539"/>
      <c r="Y256" s="539"/>
      <c r="Z256" s="539"/>
      <c r="AA256" s="539"/>
      <c r="AB256" s="539"/>
      <c r="AC256" s="539"/>
      <c r="AD256" s="539"/>
      <c r="AE256" s="539"/>
      <c r="AF256" s="539"/>
      <c r="AG256" s="539"/>
      <c r="AH256" s="539"/>
      <c r="AI256" s="539"/>
      <c r="AJ256" s="539"/>
      <c r="AK256" s="539"/>
      <c r="AL256" s="539"/>
      <c r="AM256" s="539"/>
      <c r="AN256" s="539"/>
      <c r="AO256" s="539"/>
      <c r="AP256" s="539"/>
      <c r="AQ256" s="539"/>
      <c r="AR256" s="539"/>
      <c r="AS256" s="539"/>
      <c r="AT256" s="539"/>
      <c r="AU256" s="539"/>
      <c r="AV256" s="539"/>
      <c r="AW256" s="539"/>
      <c r="AX256" s="539"/>
    </row>
    <row r="257" spans="2:50" ht="14.25" customHeight="1" x14ac:dyDescent="0.3">
      <c r="B257" s="957"/>
      <c r="C257" s="540"/>
      <c r="D257" s="540"/>
      <c r="E257" s="540"/>
      <c r="F257" s="539"/>
      <c r="G257" s="539"/>
      <c r="H257" s="539"/>
      <c r="I257" s="539"/>
      <c r="J257" s="539"/>
      <c r="K257" s="539"/>
      <c r="L257" s="539"/>
      <c r="M257" s="539"/>
      <c r="N257" s="539"/>
      <c r="O257" s="539"/>
      <c r="P257" s="539"/>
      <c r="Q257" s="539"/>
      <c r="R257" s="539"/>
      <c r="S257" s="539"/>
      <c r="T257" s="539"/>
      <c r="U257" s="539"/>
      <c r="V257" s="539"/>
      <c r="W257" s="539"/>
      <c r="X257" s="539"/>
      <c r="Y257" s="539"/>
      <c r="Z257" s="539"/>
      <c r="AA257" s="539"/>
      <c r="AB257" s="539"/>
      <c r="AC257" s="539"/>
      <c r="AD257" s="539"/>
      <c r="AE257" s="539"/>
      <c r="AF257" s="539"/>
      <c r="AG257" s="539"/>
      <c r="AH257" s="539"/>
      <c r="AI257" s="539"/>
      <c r="AJ257" s="539"/>
      <c r="AK257" s="539"/>
      <c r="AL257" s="539"/>
      <c r="AM257" s="539"/>
      <c r="AN257" s="539"/>
      <c r="AO257" s="539"/>
      <c r="AP257" s="539"/>
      <c r="AQ257" s="539"/>
      <c r="AR257" s="539"/>
      <c r="AS257" s="539"/>
      <c r="AT257" s="539"/>
      <c r="AU257" s="539"/>
      <c r="AV257" s="539"/>
      <c r="AW257" s="539"/>
      <c r="AX257" s="539"/>
    </row>
    <row r="258" spans="2:50" ht="14.25" customHeight="1" x14ac:dyDescent="0.3">
      <c r="B258" s="957"/>
      <c r="C258" s="540"/>
      <c r="D258" s="540"/>
      <c r="E258" s="540"/>
      <c r="F258" s="539"/>
      <c r="G258" s="539"/>
      <c r="H258" s="539"/>
      <c r="I258" s="539"/>
      <c r="J258" s="539"/>
      <c r="K258" s="539"/>
      <c r="L258" s="539"/>
      <c r="M258" s="539"/>
      <c r="N258" s="539"/>
      <c r="O258" s="539"/>
      <c r="P258" s="539"/>
      <c r="Q258" s="539"/>
      <c r="R258" s="539"/>
      <c r="S258" s="539"/>
      <c r="T258" s="539"/>
      <c r="U258" s="539"/>
      <c r="V258" s="539"/>
      <c r="W258" s="539"/>
      <c r="X258" s="539"/>
      <c r="Y258" s="539"/>
      <c r="Z258" s="539"/>
      <c r="AA258" s="539"/>
      <c r="AB258" s="539"/>
      <c r="AC258" s="539"/>
      <c r="AD258" s="539"/>
      <c r="AE258" s="539"/>
      <c r="AF258" s="539"/>
      <c r="AG258" s="539"/>
      <c r="AH258" s="539"/>
      <c r="AI258" s="539"/>
      <c r="AJ258" s="539"/>
      <c r="AK258" s="539"/>
      <c r="AL258" s="539"/>
      <c r="AM258" s="539"/>
      <c r="AN258" s="539"/>
      <c r="AO258" s="539"/>
      <c r="AP258" s="539"/>
      <c r="AQ258" s="539"/>
      <c r="AR258" s="539"/>
      <c r="AS258" s="539"/>
      <c r="AT258" s="539"/>
      <c r="AU258" s="539"/>
      <c r="AV258" s="539"/>
      <c r="AW258" s="539"/>
      <c r="AX258" s="539"/>
    </row>
    <row r="259" spans="2:50" ht="14.25" customHeight="1" x14ac:dyDescent="0.3">
      <c r="B259" s="957"/>
      <c r="C259" s="540"/>
      <c r="D259" s="540"/>
      <c r="E259" s="540"/>
      <c r="F259" s="539"/>
      <c r="G259" s="539"/>
      <c r="H259" s="539"/>
      <c r="I259" s="539"/>
      <c r="J259" s="539"/>
      <c r="K259" s="539"/>
      <c r="L259" s="539"/>
      <c r="M259" s="539"/>
      <c r="N259" s="539"/>
      <c r="O259" s="539"/>
      <c r="P259" s="539"/>
      <c r="Q259" s="539"/>
      <c r="R259" s="539"/>
      <c r="S259" s="539"/>
      <c r="T259" s="539"/>
      <c r="U259" s="539"/>
      <c r="V259" s="539"/>
      <c r="W259" s="539"/>
      <c r="X259" s="539"/>
      <c r="Y259" s="539"/>
      <c r="Z259" s="539"/>
      <c r="AA259" s="539"/>
      <c r="AB259" s="539"/>
      <c r="AC259" s="539"/>
      <c r="AD259" s="539"/>
      <c r="AE259" s="539"/>
      <c r="AF259" s="539"/>
      <c r="AG259" s="539"/>
      <c r="AH259" s="539"/>
      <c r="AI259" s="539"/>
      <c r="AJ259" s="539"/>
      <c r="AK259" s="539"/>
      <c r="AL259" s="539"/>
      <c r="AM259" s="539"/>
      <c r="AN259" s="539"/>
      <c r="AO259" s="539"/>
      <c r="AP259" s="539"/>
      <c r="AQ259" s="539"/>
      <c r="AR259" s="539"/>
      <c r="AS259" s="539"/>
      <c r="AT259" s="539"/>
      <c r="AU259" s="539"/>
      <c r="AV259" s="539"/>
      <c r="AW259" s="539"/>
      <c r="AX259" s="539"/>
    </row>
    <row r="260" spans="2:50" ht="14.25" customHeight="1" x14ac:dyDescent="0.3">
      <c r="B260" s="957"/>
      <c r="C260" s="540"/>
      <c r="D260" s="540"/>
      <c r="E260" s="540"/>
      <c r="F260" s="539"/>
      <c r="G260" s="539"/>
      <c r="H260" s="539"/>
      <c r="I260" s="539"/>
      <c r="J260" s="539"/>
      <c r="K260" s="539"/>
      <c r="L260" s="539"/>
      <c r="M260" s="539"/>
      <c r="N260" s="539"/>
      <c r="O260" s="539"/>
      <c r="P260" s="539"/>
      <c r="Q260" s="539"/>
      <c r="R260" s="539"/>
      <c r="S260" s="539"/>
      <c r="T260" s="539"/>
      <c r="U260" s="539"/>
      <c r="V260" s="539"/>
      <c r="W260" s="539"/>
      <c r="X260" s="539"/>
      <c r="Y260" s="539"/>
      <c r="Z260" s="539"/>
      <c r="AA260" s="539"/>
      <c r="AB260" s="539"/>
      <c r="AC260" s="539"/>
      <c r="AD260" s="539"/>
      <c r="AE260" s="539"/>
      <c r="AF260" s="539"/>
      <c r="AG260" s="539"/>
      <c r="AH260" s="539"/>
      <c r="AI260" s="539"/>
      <c r="AJ260" s="539"/>
      <c r="AK260" s="539"/>
      <c r="AL260" s="539"/>
      <c r="AM260" s="539"/>
      <c r="AN260" s="539"/>
      <c r="AO260" s="539"/>
      <c r="AP260" s="539"/>
      <c r="AQ260" s="539"/>
      <c r="AR260" s="539"/>
      <c r="AS260" s="539"/>
      <c r="AT260" s="539"/>
      <c r="AU260" s="539"/>
      <c r="AV260" s="539"/>
      <c r="AW260" s="539"/>
      <c r="AX260" s="539"/>
    </row>
    <row r="261" spans="2:50" ht="14.25" customHeight="1" x14ac:dyDescent="0.3">
      <c r="B261" s="957"/>
      <c r="C261" s="540"/>
      <c r="D261" s="540"/>
      <c r="E261" s="540"/>
      <c r="F261" s="539"/>
      <c r="G261" s="539"/>
      <c r="H261" s="539"/>
      <c r="I261" s="539"/>
      <c r="J261" s="539"/>
      <c r="K261" s="539"/>
      <c r="L261" s="539"/>
      <c r="M261" s="539"/>
      <c r="N261" s="539"/>
      <c r="O261" s="539"/>
      <c r="P261" s="539"/>
      <c r="Q261" s="539"/>
      <c r="R261" s="539"/>
      <c r="S261" s="539"/>
      <c r="T261" s="539"/>
      <c r="U261" s="539"/>
      <c r="V261" s="539"/>
      <c r="W261" s="539"/>
      <c r="X261" s="539"/>
      <c r="Y261" s="539"/>
      <c r="Z261" s="539"/>
      <c r="AA261" s="539"/>
      <c r="AB261" s="539"/>
      <c r="AC261" s="539"/>
      <c r="AD261" s="539"/>
      <c r="AE261" s="539"/>
      <c r="AF261" s="539"/>
      <c r="AG261" s="539"/>
      <c r="AH261" s="539"/>
      <c r="AI261" s="539"/>
      <c r="AJ261" s="539"/>
      <c r="AK261" s="539"/>
      <c r="AL261" s="539"/>
      <c r="AM261" s="539"/>
      <c r="AN261" s="539"/>
      <c r="AO261" s="539"/>
      <c r="AP261" s="539"/>
      <c r="AQ261" s="539"/>
      <c r="AR261" s="539"/>
      <c r="AS261" s="539"/>
      <c r="AT261" s="539"/>
      <c r="AU261" s="539"/>
      <c r="AV261" s="539"/>
      <c r="AW261" s="539"/>
      <c r="AX261" s="539"/>
    </row>
    <row r="262" spans="2:50" ht="14.25" customHeight="1" x14ac:dyDescent="0.3">
      <c r="B262" s="957"/>
      <c r="C262" s="540"/>
      <c r="D262" s="540"/>
      <c r="E262" s="540"/>
      <c r="F262" s="539"/>
      <c r="G262" s="539"/>
      <c r="H262" s="539"/>
      <c r="I262" s="539"/>
      <c r="J262" s="539"/>
      <c r="K262" s="539"/>
      <c r="L262" s="539"/>
      <c r="M262" s="539"/>
      <c r="N262" s="539"/>
      <c r="O262" s="539"/>
      <c r="P262" s="539"/>
      <c r="Q262" s="539"/>
      <c r="R262" s="539"/>
      <c r="S262" s="539"/>
      <c r="T262" s="539"/>
      <c r="U262" s="539"/>
      <c r="V262" s="539"/>
      <c r="W262" s="539"/>
      <c r="X262" s="539"/>
      <c r="Y262" s="539"/>
      <c r="Z262" s="539"/>
      <c r="AA262" s="539"/>
      <c r="AB262" s="539"/>
      <c r="AC262" s="539"/>
      <c r="AD262" s="539"/>
      <c r="AE262" s="539"/>
      <c r="AF262" s="539"/>
      <c r="AG262" s="539"/>
      <c r="AH262" s="539"/>
      <c r="AI262" s="539"/>
      <c r="AJ262" s="539"/>
      <c r="AK262" s="539"/>
      <c r="AL262" s="539"/>
      <c r="AM262" s="539"/>
      <c r="AN262" s="539"/>
      <c r="AO262" s="539"/>
      <c r="AP262" s="539"/>
      <c r="AQ262" s="539"/>
      <c r="AR262" s="539"/>
      <c r="AS262" s="539"/>
      <c r="AT262" s="539"/>
      <c r="AU262" s="539"/>
      <c r="AV262" s="539"/>
      <c r="AW262" s="539"/>
      <c r="AX262" s="539"/>
    </row>
    <row r="263" spans="2:50" ht="14.25" customHeight="1" x14ac:dyDescent="0.3">
      <c r="B263" s="957"/>
      <c r="C263" s="540"/>
      <c r="D263" s="540"/>
      <c r="E263" s="540"/>
      <c r="F263" s="539"/>
      <c r="G263" s="539"/>
      <c r="H263" s="539"/>
      <c r="I263" s="539"/>
      <c r="J263" s="539"/>
      <c r="K263" s="539"/>
      <c r="L263" s="539"/>
      <c r="M263" s="539"/>
      <c r="N263" s="539"/>
      <c r="O263" s="539"/>
      <c r="P263" s="539"/>
      <c r="Q263" s="539"/>
      <c r="R263" s="539"/>
      <c r="S263" s="539"/>
      <c r="T263" s="539"/>
      <c r="U263" s="539"/>
      <c r="V263" s="539"/>
      <c r="W263" s="539"/>
      <c r="X263" s="539"/>
      <c r="Y263" s="539"/>
      <c r="Z263" s="539"/>
      <c r="AA263" s="539"/>
      <c r="AB263" s="539"/>
      <c r="AC263" s="539"/>
      <c r="AD263" s="539"/>
      <c r="AE263" s="539"/>
      <c r="AF263" s="539"/>
      <c r="AG263" s="539"/>
      <c r="AH263" s="539"/>
      <c r="AI263" s="539"/>
      <c r="AJ263" s="539"/>
      <c r="AK263" s="539"/>
      <c r="AL263" s="539"/>
      <c r="AM263" s="539"/>
      <c r="AN263" s="539"/>
      <c r="AO263" s="539"/>
      <c r="AP263" s="539"/>
      <c r="AQ263" s="539"/>
      <c r="AR263" s="539"/>
      <c r="AS263" s="539"/>
      <c r="AT263" s="539"/>
      <c r="AU263" s="539"/>
      <c r="AV263" s="539"/>
      <c r="AW263" s="539"/>
      <c r="AX263" s="539"/>
    </row>
    <row r="264" spans="2:50" ht="14.25" customHeight="1" x14ac:dyDescent="0.3">
      <c r="B264" s="957"/>
      <c r="C264" s="540"/>
      <c r="D264" s="540"/>
      <c r="E264" s="540"/>
      <c r="F264" s="539"/>
      <c r="G264" s="539"/>
      <c r="H264" s="539"/>
      <c r="I264" s="539"/>
      <c r="J264" s="539"/>
      <c r="K264" s="539"/>
      <c r="L264" s="539"/>
      <c r="M264" s="539"/>
      <c r="N264" s="539"/>
      <c r="O264" s="539"/>
      <c r="P264" s="539"/>
      <c r="Q264" s="539"/>
      <c r="R264" s="539"/>
      <c r="S264" s="539"/>
      <c r="T264" s="539"/>
      <c r="U264" s="539"/>
      <c r="V264" s="539"/>
      <c r="W264" s="539"/>
      <c r="X264" s="539"/>
      <c r="Y264" s="539"/>
      <c r="Z264" s="539"/>
      <c r="AA264" s="539"/>
      <c r="AB264" s="539"/>
      <c r="AC264" s="539"/>
      <c r="AD264" s="539"/>
      <c r="AE264" s="539"/>
      <c r="AF264" s="539"/>
      <c r="AG264" s="539"/>
      <c r="AH264" s="539"/>
      <c r="AI264" s="539"/>
      <c r="AJ264" s="539"/>
      <c r="AK264" s="539"/>
      <c r="AL264" s="539"/>
      <c r="AM264" s="539"/>
      <c r="AN264" s="539"/>
      <c r="AO264" s="539"/>
      <c r="AP264" s="539"/>
      <c r="AQ264" s="539"/>
      <c r="AR264" s="539"/>
      <c r="AS264" s="539"/>
      <c r="AT264" s="539"/>
      <c r="AU264" s="539"/>
      <c r="AV264" s="539"/>
      <c r="AW264" s="539"/>
      <c r="AX264" s="539"/>
    </row>
    <row r="265" spans="2:50" ht="14.25" customHeight="1" x14ac:dyDescent="0.3">
      <c r="B265" s="957"/>
      <c r="C265" s="540"/>
      <c r="D265" s="540"/>
      <c r="E265" s="540"/>
      <c r="F265" s="539"/>
      <c r="G265" s="539"/>
      <c r="H265" s="539"/>
      <c r="I265" s="539"/>
      <c r="J265" s="539"/>
      <c r="K265" s="539"/>
      <c r="L265" s="539"/>
      <c r="M265" s="539"/>
      <c r="N265" s="539"/>
      <c r="O265" s="539"/>
      <c r="P265" s="539"/>
      <c r="Q265" s="539"/>
      <c r="R265" s="539"/>
      <c r="S265" s="539"/>
      <c r="T265" s="539"/>
      <c r="U265" s="539"/>
      <c r="V265" s="539"/>
      <c r="W265" s="539"/>
      <c r="X265" s="539"/>
      <c r="Y265" s="539"/>
      <c r="Z265" s="539"/>
      <c r="AA265" s="539"/>
      <c r="AB265" s="539"/>
      <c r="AC265" s="539"/>
      <c r="AD265" s="539"/>
      <c r="AE265" s="539"/>
      <c r="AF265" s="539"/>
      <c r="AG265" s="539"/>
      <c r="AH265" s="539"/>
      <c r="AI265" s="539"/>
      <c r="AJ265" s="539"/>
      <c r="AK265" s="539"/>
      <c r="AL265" s="539"/>
      <c r="AM265" s="539"/>
      <c r="AN265" s="539"/>
      <c r="AO265" s="539"/>
      <c r="AP265" s="539"/>
      <c r="AQ265" s="539"/>
      <c r="AR265" s="539"/>
      <c r="AS265" s="539"/>
      <c r="AT265" s="539"/>
      <c r="AU265" s="539"/>
      <c r="AV265" s="539"/>
      <c r="AW265" s="539"/>
      <c r="AX265" s="539"/>
    </row>
    <row r="266" spans="2:50" ht="14.25" customHeight="1" x14ac:dyDescent="0.3">
      <c r="B266" s="957"/>
      <c r="C266" s="540"/>
      <c r="D266" s="540"/>
      <c r="E266" s="540"/>
      <c r="F266" s="539"/>
      <c r="G266" s="539"/>
      <c r="H266" s="539"/>
      <c r="I266" s="539"/>
      <c r="J266" s="539"/>
      <c r="K266" s="539"/>
      <c r="L266" s="539"/>
      <c r="M266" s="539"/>
      <c r="N266" s="539"/>
      <c r="O266" s="539"/>
      <c r="P266" s="539"/>
      <c r="Q266" s="539"/>
      <c r="R266" s="539"/>
      <c r="S266" s="539"/>
      <c r="T266" s="539"/>
      <c r="U266" s="539"/>
      <c r="V266" s="539"/>
      <c r="W266" s="539"/>
      <c r="X266" s="539"/>
      <c r="Y266" s="539"/>
      <c r="Z266" s="539"/>
      <c r="AA266" s="539"/>
      <c r="AB266" s="539"/>
      <c r="AC266" s="539"/>
      <c r="AD266" s="539"/>
      <c r="AE266" s="539"/>
      <c r="AF266" s="539"/>
      <c r="AG266" s="539"/>
      <c r="AH266" s="539"/>
      <c r="AI266" s="539"/>
      <c r="AJ266" s="539"/>
      <c r="AK266" s="539"/>
      <c r="AL266" s="539"/>
      <c r="AM266" s="539"/>
      <c r="AN266" s="539"/>
      <c r="AO266" s="539"/>
      <c r="AP266" s="539"/>
      <c r="AQ266" s="539"/>
      <c r="AR266" s="539"/>
      <c r="AS266" s="539"/>
      <c r="AT266" s="539"/>
      <c r="AU266" s="539"/>
      <c r="AV266" s="539"/>
      <c r="AW266" s="539"/>
      <c r="AX266" s="539"/>
    </row>
    <row r="267" spans="2:50" ht="14.25" customHeight="1" x14ac:dyDescent="0.3">
      <c r="B267" s="957"/>
      <c r="C267" s="540"/>
      <c r="D267" s="540"/>
      <c r="E267" s="540"/>
      <c r="F267" s="539"/>
      <c r="G267" s="539"/>
      <c r="H267" s="539"/>
      <c r="I267" s="539"/>
      <c r="J267" s="539"/>
      <c r="K267" s="539"/>
      <c r="L267" s="539"/>
      <c r="M267" s="539"/>
      <c r="N267" s="539"/>
      <c r="O267" s="539"/>
      <c r="P267" s="539"/>
      <c r="Q267" s="539"/>
      <c r="R267" s="539"/>
      <c r="S267" s="539"/>
      <c r="T267" s="539"/>
      <c r="U267" s="539"/>
      <c r="V267" s="539"/>
      <c r="W267" s="539"/>
      <c r="X267" s="539"/>
      <c r="Y267" s="539"/>
      <c r="Z267" s="539"/>
      <c r="AA267" s="539"/>
      <c r="AB267" s="539"/>
      <c r="AC267" s="539"/>
      <c r="AD267" s="539"/>
      <c r="AE267" s="539"/>
      <c r="AF267" s="539"/>
      <c r="AG267" s="539"/>
      <c r="AH267" s="539"/>
      <c r="AI267" s="539"/>
      <c r="AJ267" s="539"/>
      <c r="AK267" s="539"/>
      <c r="AL267" s="539"/>
      <c r="AM267" s="539"/>
      <c r="AN267" s="539"/>
      <c r="AO267" s="539"/>
      <c r="AP267" s="539"/>
      <c r="AQ267" s="539"/>
      <c r="AR267" s="539"/>
      <c r="AS267" s="539"/>
      <c r="AT267" s="539"/>
      <c r="AU267" s="539"/>
      <c r="AV267" s="539"/>
      <c r="AW267" s="539"/>
      <c r="AX267" s="539"/>
    </row>
    <row r="268" spans="2:50" ht="14.25" customHeight="1" x14ac:dyDescent="0.3">
      <c r="B268" s="957"/>
      <c r="C268" s="540"/>
      <c r="D268" s="540"/>
      <c r="E268" s="540"/>
      <c r="F268" s="539"/>
      <c r="G268" s="539"/>
      <c r="H268" s="539"/>
      <c r="I268" s="539"/>
      <c r="J268" s="539"/>
      <c r="K268" s="539"/>
      <c r="L268" s="539"/>
      <c r="M268" s="539"/>
      <c r="N268" s="539"/>
      <c r="O268" s="539"/>
      <c r="P268" s="539"/>
      <c r="Q268" s="539"/>
      <c r="R268" s="539"/>
      <c r="S268" s="539"/>
      <c r="T268" s="539"/>
      <c r="U268" s="539"/>
      <c r="V268" s="539"/>
      <c r="W268" s="539"/>
      <c r="X268" s="539"/>
      <c r="Y268" s="539"/>
      <c r="Z268" s="539"/>
      <c r="AA268" s="539"/>
      <c r="AB268" s="539"/>
      <c r="AC268" s="539"/>
      <c r="AD268" s="539"/>
      <c r="AE268" s="539"/>
      <c r="AF268" s="539"/>
      <c r="AG268" s="539"/>
      <c r="AH268" s="539"/>
      <c r="AI268" s="539"/>
      <c r="AJ268" s="539"/>
      <c r="AK268" s="539"/>
      <c r="AL268" s="539"/>
      <c r="AM268" s="539"/>
      <c r="AN268" s="539"/>
      <c r="AO268" s="539"/>
      <c r="AP268" s="539"/>
      <c r="AQ268" s="539"/>
      <c r="AR268" s="539"/>
      <c r="AS268" s="539"/>
      <c r="AT268" s="539"/>
      <c r="AU268" s="539"/>
      <c r="AV268" s="539"/>
      <c r="AW268" s="539"/>
      <c r="AX268" s="539"/>
    </row>
    <row r="269" spans="2:50" ht="14.25" customHeight="1" x14ac:dyDescent="0.3">
      <c r="B269" s="957"/>
      <c r="C269" s="540"/>
      <c r="D269" s="540"/>
      <c r="E269" s="540"/>
      <c r="F269" s="539"/>
      <c r="G269" s="539"/>
      <c r="H269" s="539"/>
      <c r="I269" s="539"/>
      <c r="J269" s="539"/>
      <c r="K269" s="539"/>
      <c r="L269" s="539"/>
      <c r="M269" s="539"/>
      <c r="N269" s="539"/>
      <c r="O269" s="539"/>
      <c r="P269" s="539"/>
      <c r="Q269" s="539"/>
      <c r="R269" s="539"/>
      <c r="S269" s="539"/>
      <c r="T269" s="539"/>
      <c r="U269" s="539"/>
      <c r="V269" s="539"/>
      <c r="W269" s="539"/>
      <c r="X269" s="539"/>
      <c r="Y269" s="539"/>
      <c r="Z269" s="539"/>
      <c r="AA269" s="539"/>
      <c r="AB269" s="539"/>
      <c r="AC269" s="539"/>
      <c r="AD269" s="539"/>
      <c r="AE269" s="539"/>
      <c r="AF269" s="539"/>
      <c r="AG269" s="539"/>
      <c r="AH269" s="539"/>
      <c r="AI269" s="539"/>
      <c r="AJ269" s="539"/>
      <c r="AK269" s="539"/>
      <c r="AL269" s="539"/>
      <c r="AM269" s="539"/>
      <c r="AN269" s="539"/>
      <c r="AO269" s="539"/>
      <c r="AP269" s="539"/>
      <c r="AQ269" s="539"/>
      <c r="AR269" s="539"/>
      <c r="AS269" s="539"/>
      <c r="AT269" s="539"/>
      <c r="AU269" s="539"/>
      <c r="AV269" s="539"/>
      <c r="AW269" s="539"/>
      <c r="AX269" s="539"/>
    </row>
    <row r="270" spans="2:50" ht="14.25" customHeight="1" x14ac:dyDescent="0.3">
      <c r="B270" s="957"/>
      <c r="C270" s="540"/>
      <c r="D270" s="540"/>
      <c r="E270" s="540"/>
      <c r="F270" s="539"/>
      <c r="G270" s="539"/>
      <c r="H270" s="539"/>
      <c r="I270" s="539"/>
      <c r="J270" s="539"/>
      <c r="K270" s="539"/>
      <c r="L270" s="539"/>
      <c r="M270" s="539"/>
      <c r="N270" s="539"/>
      <c r="O270" s="539"/>
      <c r="P270" s="539"/>
      <c r="Q270" s="539"/>
      <c r="R270" s="539"/>
      <c r="S270" s="539"/>
      <c r="T270" s="539"/>
      <c r="U270" s="539"/>
      <c r="V270" s="539"/>
      <c r="W270" s="539"/>
      <c r="X270" s="539"/>
      <c r="Y270" s="539"/>
      <c r="Z270" s="539"/>
      <c r="AA270" s="539"/>
      <c r="AB270" s="539"/>
      <c r="AC270" s="539"/>
      <c r="AD270" s="539"/>
      <c r="AE270" s="539"/>
      <c r="AF270" s="539"/>
      <c r="AG270" s="539"/>
      <c r="AH270" s="539"/>
      <c r="AI270" s="539"/>
      <c r="AJ270" s="539"/>
      <c r="AK270" s="539"/>
      <c r="AL270" s="539"/>
      <c r="AM270" s="539"/>
      <c r="AN270" s="539"/>
      <c r="AO270" s="539"/>
      <c r="AP270" s="539"/>
      <c r="AQ270" s="539"/>
      <c r="AR270" s="539"/>
      <c r="AS270" s="539"/>
      <c r="AT270" s="539"/>
      <c r="AU270" s="539"/>
      <c r="AV270" s="539"/>
      <c r="AW270" s="539"/>
      <c r="AX270" s="539"/>
    </row>
    <row r="271" spans="2:50" ht="14.25" customHeight="1" x14ac:dyDescent="0.3">
      <c r="B271" s="957"/>
      <c r="C271" s="540"/>
      <c r="D271" s="540"/>
      <c r="E271" s="540"/>
      <c r="F271" s="539"/>
      <c r="G271" s="539"/>
      <c r="H271" s="539"/>
      <c r="I271" s="539"/>
      <c r="J271" s="539"/>
      <c r="K271" s="539"/>
      <c r="L271" s="539"/>
      <c r="M271" s="539"/>
      <c r="N271" s="539"/>
      <c r="O271" s="539"/>
      <c r="P271" s="539"/>
      <c r="Q271" s="539"/>
      <c r="R271" s="539"/>
      <c r="S271" s="539"/>
      <c r="T271" s="539"/>
      <c r="U271" s="539"/>
      <c r="V271" s="539"/>
      <c r="W271" s="539"/>
      <c r="X271" s="539"/>
      <c r="Y271" s="539"/>
      <c r="Z271" s="539"/>
      <c r="AA271" s="539"/>
      <c r="AB271" s="539"/>
      <c r="AC271" s="539"/>
      <c r="AD271" s="539"/>
      <c r="AE271" s="539"/>
      <c r="AF271" s="539"/>
      <c r="AG271" s="539"/>
      <c r="AH271" s="539"/>
      <c r="AI271" s="539"/>
      <c r="AJ271" s="539"/>
      <c r="AK271" s="539"/>
      <c r="AL271" s="539"/>
      <c r="AM271" s="539"/>
      <c r="AN271" s="539"/>
      <c r="AO271" s="539"/>
      <c r="AP271" s="539"/>
      <c r="AQ271" s="539"/>
      <c r="AR271" s="539"/>
      <c r="AS271" s="539"/>
      <c r="AT271" s="539"/>
      <c r="AU271" s="539"/>
      <c r="AV271" s="539"/>
      <c r="AW271" s="539"/>
      <c r="AX271" s="539"/>
    </row>
    <row r="272" spans="2:50" ht="14.25" customHeight="1" x14ac:dyDescent="0.3">
      <c r="B272" s="957"/>
      <c r="C272" s="540"/>
      <c r="D272" s="540"/>
      <c r="E272" s="540"/>
      <c r="F272" s="539"/>
      <c r="G272" s="539"/>
      <c r="H272" s="539"/>
      <c r="I272" s="539"/>
      <c r="J272" s="539"/>
      <c r="K272" s="539"/>
      <c r="L272" s="539"/>
      <c r="M272" s="539"/>
      <c r="N272" s="539"/>
      <c r="O272" s="539"/>
      <c r="P272" s="539"/>
      <c r="Q272" s="539"/>
      <c r="R272" s="539"/>
      <c r="S272" s="539"/>
      <c r="T272" s="539"/>
      <c r="U272" s="539"/>
      <c r="V272" s="539"/>
      <c r="W272" s="539"/>
      <c r="X272" s="539"/>
      <c r="Y272" s="539"/>
      <c r="Z272" s="539"/>
      <c r="AA272" s="539"/>
      <c r="AB272" s="539"/>
      <c r="AC272" s="539"/>
      <c r="AD272" s="539"/>
      <c r="AE272" s="539"/>
      <c r="AF272" s="539"/>
      <c r="AG272" s="539"/>
      <c r="AH272" s="539"/>
      <c r="AI272" s="539"/>
      <c r="AJ272" s="539"/>
      <c r="AK272" s="539"/>
      <c r="AL272" s="539"/>
      <c r="AM272" s="539"/>
      <c r="AN272" s="539"/>
      <c r="AO272" s="539"/>
      <c r="AP272" s="539"/>
      <c r="AQ272" s="539"/>
      <c r="AR272" s="539"/>
      <c r="AS272" s="539"/>
      <c r="AT272" s="539"/>
      <c r="AU272" s="539"/>
      <c r="AV272" s="539"/>
      <c r="AW272" s="539"/>
      <c r="AX272" s="539"/>
    </row>
    <row r="273" spans="2:50" ht="14.25" customHeight="1" x14ac:dyDescent="0.3">
      <c r="B273" s="957"/>
      <c r="C273" s="540"/>
      <c r="D273" s="540"/>
      <c r="E273" s="540"/>
      <c r="F273" s="539"/>
      <c r="G273" s="539"/>
      <c r="H273" s="539"/>
      <c r="I273" s="539"/>
      <c r="J273" s="539"/>
      <c r="K273" s="539"/>
      <c r="L273" s="539"/>
      <c r="M273" s="539"/>
      <c r="N273" s="539"/>
      <c r="O273" s="539"/>
      <c r="P273" s="539"/>
      <c r="Q273" s="539"/>
      <c r="R273" s="539"/>
      <c r="S273" s="539"/>
      <c r="T273" s="539"/>
      <c r="U273" s="539"/>
      <c r="V273" s="539"/>
      <c r="W273" s="539"/>
      <c r="X273" s="539"/>
      <c r="Y273" s="539"/>
      <c r="Z273" s="539"/>
      <c r="AA273" s="539"/>
      <c r="AB273" s="539"/>
      <c r="AC273" s="539"/>
      <c r="AD273" s="539"/>
      <c r="AE273" s="539"/>
      <c r="AF273" s="539"/>
      <c r="AG273" s="539"/>
      <c r="AH273" s="539"/>
      <c r="AI273" s="539"/>
      <c r="AJ273" s="539"/>
      <c r="AK273" s="539"/>
      <c r="AL273" s="539"/>
      <c r="AM273" s="539"/>
      <c r="AN273" s="539"/>
      <c r="AO273" s="539"/>
      <c r="AP273" s="539"/>
      <c r="AQ273" s="539"/>
      <c r="AR273" s="539"/>
      <c r="AS273" s="539"/>
      <c r="AT273" s="539"/>
      <c r="AU273" s="539"/>
      <c r="AV273" s="539"/>
      <c r="AW273" s="539"/>
      <c r="AX273" s="539"/>
    </row>
    <row r="274" spans="2:50" ht="14.25" customHeight="1" x14ac:dyDescent="0.3">
      <c r="B274" s="957"/>
      <c r="C274" s="540"/>
      <c r="D274" s="540"/>
      <c r="E274" s="540"/>
      <c r="F274" s="539"/>
      <c r="G274" s="539"/>
      <c r="H274" s="539"/>
      <c r="I274" s="539"/>
      <c r="J274" s="539"/>
      <c r="K274" s="539"/>
      <c r="L274" s="539"/>
      <c r="M274" s="539"/>
      <c r="N274" s="539"/>
      <c r="O274" s="539"/>
      <c r="P274" s="539"/>
      <c r="Q274" s="539"/>
      <c r="R274" s="539"/>
      <c r="S274" s="539"/>
      <c r="T274" s="539"/>
      <c r="U274" s="539"/>
      <c r="V274" s="539"/>
      <c r="W274" s="539"/>
      <c r="X274" s="539"/>
      <c r="Y274" s="539"/>
      <c r="Z274" s="539"/>
      <c r="AA274" s="539"/>
      <c r="AB274" s="539"/>
      <c r="AC274" s="539"/>
      <c r="AD274" s="539"/>
      <c r="AE274" s="539"/>
      <c r="AF274" s="539"/>
      <c r="AG274" s="539"/>
      <c r="AH274" s="539"/>
      <c r="AI274" s="539"/>
      <c r="AJ274" s="539"/>
      <c r="AK274" s="539"/>
      <c r="AL274" s="539"/>
      <c r="AM274" s="539"/>
      <c r="AN274" s="539"/>
      <c r="AO274" s="539"/>
      <c r="AP274" s="539"/>
      <c r="AQ274" s="539"/>
      <c r="AR274" s="539"/>
      <c r="AS274" s="539"/>
      <c r="AT274" s="539"/>
      <c r="AU274" s="539"/>
      <c r="AV274" s="539"/>
      <c r="AW274" s="539"/>
      <c r="AX274" s="539"/>
    </row>
    <row r="275" spans="2:50" ht="14.25" customHeight="1" x14ac:dyDescent="0.3">
      <c r="B275" s="957"/>
      <c r="C275" s="540"/>
      <c r="D275" s="540"/>
      <c r="E275" s="540"/>
      <c r="F275" s="539"/>
      <c r="G275" s="539"/>
      <c r="H275" s="539"/>
      <c r="I275" s="539"/>
      <c r="J275" s="539"/>
      <c r="K275" s="539"/>
      <c r="L275" s="539"/>
      <c r="M275" s="539"/>
      <c r="N275" s="539"/>
      <c r="O275" s="539"/>
      <c r="P275" s="539"/>
      <c r="Q275" s="539"/>
      <c r="R275" s="539"/>
      <c r="S275" s="539"/>
      <c r="T275" s="539"/>
      <c r="U275" s="539"/>
      <c r="V275" s="539"/>
      <c r="W275" s="539"/>
      <c r="X275" s="539"/>
      <c r="Y275" s="539"/>
      <c r="Z275" s="539"/>
      <c r="AA275" s="539"/>
      <c r="AB275" s="539"/>
      <c r="AC275" s="539"/>
      <c r="AD275" s="539"/>
      <c r="AE275" s="539"/>
      <c r="AF275" s="539"/>
      <c r="AG275" s="539"/>
      <c r="AH275" s="539"/>
      <c r="AI275" s="539"/>
      <c r="AJ275" s="539"/>
      <c r="AK275" s="539"/>
      <c r="AL275" s="539"/>
      <c r="AM275" s="539"/>
      <c r="AN275" s="539"/>
      <c r="AO275" s="539"/>
      <c r="AP275" s="539"/>
      <c r="AQ275" s="539"/>
      <c r="AR275" s="539"/>
      <c r="AS275" s="539"/>
      <c r="AT275" s="539"/>
      <c r="AU275" s="539"/>
      <c r="AV275" s="539"/>
      <c r="AW275" s="539"/>
      <c r="AX275" s="539"/>
    </row>
    <row r="276" spans="2:50" ht="14.25" customHeight="1" x14ac:dyDescent="0.3">
      <c r="B276" s="957"/>
      <c r="C276" s="540"/>
      <c r="D276" s="540"/>
      <c r="E276" s="540"/>
      <c r="F276" s="539"/>
      <c r="G276" s="539"/>
      <c r="H276" s="539"/>
      <c r="I276" s="539"/>
      <c r="J276" s="539"/>
      <c r="K276" s="539"/>
      <c r="L276" s="539"/>
      <c r="M276" s="539"/>
      <c r="N276" s="539"/>
      <c r="O276" s="539"/>
      <c r="P276" s="539"/>
      <c r="Q276" s="539"/>
      <c r="R276" s="539"/>
      <c r="S276" s="539"/>
      <c r="T276" s="539"/>
      <c r="U276" s="539"/>
      <c r="V276" s="539"/>
      <c r="W276" s="539"/>
      <c r="X276" s="539"/>
      <c r="Y276" s="539"/>
      <c r="Z276" s="539"/>
      <c r="AA276" s="539"/>
      <c r="AB276" s="539"/>
      <c r="AC276" s="539"/>
      <c r="AD276" s="539"/>
      <c r="AE276" s="539"/>
      <c r="AF276" s="539"/>
      <c r="AG276" s="539"/>
      <c r="AH276" s="539"/>
      <c r="AI276" s="539"/>
      <c r="AJ276" s="539"/>
      <c r="AK276" s="539"/>
      <c r="AL276" s="539"/>
      <c r="AM276" s="539"/>
      <c r="AN276" s="539"/>
      <c r="AO276" s="539"/>
      <c r="AP276" s="539"/>
      <c r="AQ276" s="539"/>
      <c r="AR276" s="539"/>
      <c r="AS276" s="539"/>
      <c r="AT276" s="539"/>
      <c r="AU276" s="539"/>
      <c r="AV276" s="539"/>
      <c r="AW276" s="539"/>
      <c r="AX276" s="539"/>
    </row>
    <row r="277" spans="2:50" ht="14.25" customHeight="1" x14ac:dyDescent="0.3">
      <c r="B277" s="957"/>
      <c r="C277" s="540"/>
      <c r="D277" s="540"/>
      <c r="E277" s="540"/>
      <c r="F277" s="539"/>
      <c r="G277" s="539"/>
      <c r="H277" s="539"/>
      <c r="I277" s="539"/>
      <c r="J277" s="539"/>
      <c r="K277" s="539"/>
      <c r="L277" s="539"/>
      <c r="M277" s="539"/>
      <c r="N277" s="539"/>
      <c r="O277" s="539"/>
      <c r="P277" s="539"/>
      <c r="Q277" s="539"/>
      <c r="R277" s="539"/>
      <c r="S277" s="539"/>
      <c r="T277" s="539"/>
      <c r="U277" s="539"/>
      <c r="V277" s="539"/>
      <c r="W277" s="539"/>
      <c r="X277" s="539"/>
      <c r="Y277" s="539"/>
      <c r="Z277" s="539"/>
      <c r="AA277" s="539"/>
      <c r="AB277" s="539"/>
      <c r="AC277" s="539"/>
      <c r="AD277" s="539"/>
      <c r="AE277" s="539"/>
      <c r="AF277" s="539"/>
      <c r="AG277" s="539"/>
      <c r="AH277" s="539"/>
      <c r="AI277" s="539"/>
      <c r="AJ277" s="539"/>
      <c r="AK277" s="539"/>
      <c r="AL277" s="539"/>
      <c r="AM277" s="539"/>
      <c r="AN277" s="539"/>
      <c r="AO277" s="539"/>
      <c r="AP277" s="539"/>
      <c r="AQ277" s="539"/>
      <c r="AR277" s="539"/>
      <c r="AS277" s="539"/>
      <c r="AT277" s="539"/>
      <c r="AU277" s="539"/>
      <c r="AV277" s="539"/>
      <c r="AW277" s="539"/>
      <c r="AX277" s="539"/>
    </row>
    <row r="278" spans="2:50" ht="14.25" customHeight="1" x14ac:dyDescent="0.3">
      <c r="B278" s="957"/>
      <c r="C278" s="540"/>
      <c r="D278" s="540"/>
      <c r="E278" s="540"/>
      <c r="F278" s="539"/>
      <c r="G278" s="539"/>
      <c r="H278" s="539"/>
      <c r="I278" s="539"/>
      <c r="J278" s="539"/>
      <c r="K278" s="539"/>
      <c r="L278" s="539"/>
      <c r="M278" s="539"/>
      <c r="N278" s="539"/>
      <c r="O278" s="539"/>
      <c r="P278" s="539"/>
      <c r="Q278" s="539"/>
      <c r="R278" s="539"/>
      <c r="S278" s="539"/>
      <c r="T278" s="539"/>
      <c r="U278" s="539"/>
      <c r="V278" s="539"/>
      <c r="W278" s="539"/>
      <c r="X278" s="539"/>
      <c r="Y278" s="539"/>
      <c r="Z278" s="539"/>
      <c r="AA278" s="539"/>
      <c r="AB278" s="539"/>
      <c r="AC278" s="539"/>
      <c r="AD278" s="539"/>
      <c r="AE278" s="539"/>
      <c r="AF278" s="539"/>
      <c r="AG278" s="539"/>
      <c r="AH278" s="539"/>
      <c r="AI278" s="539"/>
      <c r="AJ278" s="539"/>
      <c r="AK278" s="539"/>
      <c r="AL278" s="539"/>
      <c r="AM278" s="539"/>
      <c r="AN278" s="539"/>
      <c r="AO278" s="539"/>
      <c r="AP278" s="539"/>
      <c r="AQ278" s="539"/>
      <c r="AR278" s="539"/>
      <c r="AS278" s="539"/>
      <c r="AT278" s="539"/>
      <c r="AU278" s="539"/>
      <c r="AV278" s="539"/>
      <c r="AW278" s="539"/>
      <c r="AX278" s="539"/>
    </row>
    <row r="279" spans="2:50" ht="14.25" customHeight="1" x14ac:dyDescent="0.3">
      <c r="B279" s="957"/>
      <c r="C279" s="540"/>
      <c r="D279" s="540"/>
      <c r="E279" s="540"/>
      <c r="F279" s="539"/>
      <c r="G279" s="539"/>
      <c r="H279" s="539"/>
      <c r="I279" s="539"/>
      <c r="J279" s="539"/>
      <c r="K279" s="539"/>
      <c r="L279" s="539"/>
      <c r="M279" s="539"/>
      <c r="N279" s="539"/>
      <c r="O279" s="539"/>
      <c r="P279" s="539"/>
      <c r="Q279" s="539"/>
      <c r="R279" s="539"/>
      <c r="S279" s="539"/>
      <c r="T279" s="539"/>
      <c r="U279" s="539"/>
      <c r="V279" s="539"/>
      <c r="W279" s="539"/>
      <c r="X279" s="539"/>
      <c r="Y279" s="539"/>
      <c r="Z279" s="539"/>
      <c r="AA279" s="539"/>
      <c r="AB279" s="539"/>
      <c r="AC279" s="539"/>
      <c r="AD279" s="539"/>
      <c r="AE279" s="539"/>
      <c r="AF279" s="539"/>
      <c r="AG279" s="539"/>
      <c r="AH279" s="539"/>
      <c r="AI279" s="539"/>
      <c r="AJ279" s="539"/>
      <c r="AK279" s="539"/>
      <c r="AL279" s="539"/>
      <c r="AM279" s="539"/>
      <c r="AN279" s="539"/>
      <c r="AO279" s="539"/>
      <c r="AP279" s="539"/>
      <c r="AQ279" s="539"/>
      <c r="AR279" s="539"/>
      <c r="AS279" s="539"/>
      <c r="AT279" s="539"/>
      <c r="AU279" s="539"/>
      <c r="AV279" s="539"/>
      <c r="AW279" s="539"/>
      <c r="AX279" s="539"/>
    </row>
    <row r="280" spans="2:50" ht="14.25" customHeight="1" x14ac:dyDescent="0.3">
      <c r="B280" s="957"/>
      <c r="C280" s="540"/>
      <c r="D280" s="540"/>
      <c r="E280" s="540"/>
      <c r="F280" s="539"/>
      <c r="G280" s="539"/>
      <c r="H280" s="539"/>
      <c r="I280" s="539"/>
      <c r="J280" s="539"/>
      <c r="K280" s="539"/>
      <c r="L280" s="539"/>
      <c r="M280" s="539"/>
      <c r="N280" s="539"/>
      <c r="O280" s="539"/>
      <c r="P280" s="539"/>
      <c r="Q280" s="539"/>
      <c r="R280" s="539"/>
      <c r="S280" s="539"/>
      <c r="T280" s="539"/>
      <c r="U280" s="539"/>
      <c r="V280" s="539"/>
      <c r="W280" s="539"/>
      <c r="X280" s="539"/>
      <c r="Y280" s="539"/>
      <c r="Z280" s="539"/>
      <c r="AA280" s="539"/>
      <c r="AB280" s="539"/>
      <c r="AC280" s="539"/>
      <c r="AD280" s="539"/>
      <c r="AE280" s="539"/>
      <c r="AF280" s="539"/>
      <c r="AG280" s="539"/>
      <c r="AH280" s="539"/>
      <c r="AI280" s="539"/>
      <c r="AJ280" s="539"/>
      <c r="AK280" s="539"/>
      <c r="AL280" s="539"/>
      <c r="AM280" s="539"/>
      <c r="AN280" s="539"/>
      <c r="AO280" s="539"/>
      <c r="AP280" s="539"/>
      <c r="AQ280" s="539"/>
      <c r="AR280" s="539"/>
      <c r="AS280" s="539"/>
      <c r="AT280" s="539"/>
      <c r="AU280" s="539"/>
      <c r="AV280" s="539"/>
      <c r="AW280" s="539"/>
      <c r="AX280" s="539"/>
    </row>
    <row r="281" spans="2:50" ht="14.25" customHeight="1" x14ac:dyDescent="0.3">
      <c r="B281" s="957"/>
      <c r="C281" s="540"/>
      <c r="D281" s="540"/>
      <c r="E281" s="540"/>
      <c r="F281" s="539"/>
      <c r="G281" s="539"/>
      <c r="H281" s="539"/>
      <c r="I281" s="539"/>
      <c r="J281" s="539"/>
      <c r="K281" s="539"/>
      <c r="L281" s="539"/>
      <c r="M281" s="539"/>
      <c r="N281" s="539"/>
      <c r="O281" s="539"/>
      <c r="P281" s="539"/>
      <c r="Q281" s="539"/>
      <c r="R281" s="539"/>
      <c r="S281" s="539"/>
      <c r="T281" s="539"/>
      <c r="U281" s="539"/>
      <c r="V281" s="539"/>
      <c r="W281" s="539"/>
      <c r="X281" s="539"/>
      <c r="Y281" s="539"/>
      <c r="Z281" s="539"/>
      <c r="AA281" s="539"/>
      <c r="AB281" s="539"/>
      <c r="AC281" s="539"/>
      <c r="AD281" s="539"/>
      <c r="AE281" s="539"/>
      <c r="AF281" s="539"/>
      <c r="AG281" s="539"/>
      <c r="AH281" s="539"/>
      <c r="AI281" s="539"/>
      <c r="AJ281" s="539"/>
      <c r="AK281" s="539"/>
      <c r="AL281" s="539"/>
      <c r="AM281" s="539"/>
      <c r="AN281" s="539"/>
      <c r="AO281" s="539"/>
      <c r="AP281" s="539"/>
      <c r="AQ281" s="539"/>
      <c r="AR281" s="539"/>
      <c r="AS281" s="539"/>
      <c r="AT281" s="539"/>
      <c r="AU281" s="539"/>
      <c r="AV281" s="539"/>
      <c r="AW281" s="539"/>
      <c r="AX281" s="539"/>
    </row>
    <row r="282" spans="2:50" ht="14.25" customHeight="1" x14ac:dyDescent="0.3">
      <c r="B282" s="957"/>
      <c r="C282" s="540"/>
      <c r="D282" s="540"/>
      <c r="E282" s="540"/>
      <c r="F282" s="539"/>
      <c r="G282" s="539"/>
      <c r="H282" s="539"/>
      <c r="I282" s="539"/>
      <c r="J282" s="539"/>
      <c r="K282" s="539"/>
      <c r="L282" s="539"/>
      <c r="M282" s="539"/>
      <c r="N282" s="539"/>
      <c r="O282" s="539"/>
      <c r="P282" s="539"/>
      <c r="Q282" s="539"/>
      <c r="R282" s="539"/>
      <c r="S282" s="539"/>
      <c r="T282" s="539"/>
      <c r="U282" s="539"/>
      <c r="V282" s="539"/>
      <c r="W282" s="539"/>
      <c r="X282" s="539"/>
      <c r="Y282" s="539"/>
      <c r="Z282" s="539"/>
      <c r="AA282" s="539"/>
      <c r="AB282" s="539"/>
      <c r="AC282" s="539"/>
      <c r="AD282" s="539"/>
      <c r="AE282" s="539"/>
      <c r="AF282" s="539"/>
      <c r="AG282" s="539"/>
      <c r="AH282" s="539"/>
      <c r="AI282" s="539"/>
      <c r="AJ282" s="539"/>
      <c r="AK282" s="539"/>
      <c r="AL282" s="539"/>
      <c r="AM282" s="539"/>
      <c r="AN282" s="539"/>
      <c r="AO282" s="539"/>
      <c r="AP282" s="539"/>
      <c r="AQ282" s="539"/>
      <c r="AR282" s="539"/>
      <c r="AS282" s="539"/>
      <c r="AT282" s="539"/>
      <c r="AU282" s="539"/>
      <c r="AV282" s="539"/>
      <c r="AW282" s="539"/>
      <c r="AX282" s="539"/>
    </row>
    <row r="283" spans="2:50" ht="14.25" customHeight="1" x14ac:dyDescent="0.3">
      <c r="B283" s="957"/>
      <c r="C283" s="540"/>
      <c r="D283" s="540"/>
      <c r="E283" s="540"/>
      <c r="F283" s="539"/>
      <c r="G283" s="539"/>
      <c r="H283" s="539"/>
      <c r="I283" s="539"/>
      <c r="J283" s="539"/>
      <c r="K283" s="539"/>
      <c r="L283" s="539"/>
      <c r="M283" s="539"/>
      <c r="N283" s="539"/>
      <c r="O283" s="539"/>
      <c r="P283" s="539"/>
      <c r="Q283" s="539"/>
      <c r="R283" s="539"/>
      <c r="S283" s="539"/>
      <c r="T283" s="539"/>
      <c r="U283" s="539"/>
      <c r="V283" s="539"/>
      <c r="W283" s="539"/>
      <c r="X283" s="539"/>
      <c r="Y283" s="539"/>
      <c r="Z283" s="539"/>
      <c r="AA283" s="539"/>
      <c r="AB283" s="539"/>
      <c r="AC283" s="539"/>
      <c r="AD283" s="539"/>
      <c r="AE283" s="539"/>
      <c r="AF283" s="539"/>
      <c r="AG283" s="539"/>
      <c r="AH283" s="539"/>
      <c r="AI283" s="539"/>
      <c r="AJ283" s="539"/>
      <c r="AK283" s="539"/>
      <c r="AL283" s="539"/>
      <c r="AM283" s="539"/>
      <c r="AN283" s="539"/>
      <c r="AO283" s="539"/>
      <c r="AP283" s="539"/>
      <c r="AQ283" s="539"/>
      <c r="AR283" s="539"/>
      <c r="AS283" s="539"/>
      <c r="AT283" s="539"/>
      <c r="AU283" s="539"/>
      <c r="AV283" s="539"/>
      <c r="AW283" s="539"/>
      <c r="AX283" s="539"/>
    </row>
    <row r="284" spans="2:50" ht="14.25" customHeight="1" x14ac:dyDescent="0.3">
      <c r="B284" s="957"/>
      <c r="C284" s="540"/>
      <c r="D284" s="540"/>
      <c r="E284" s="540"/>
      <c r="F284" s="539"/>
      <c r="G284" s="539"/>
      <c r="H284" s="539"/>
      <c r="I284" s="539"/>
      <c r="J284" s="539"/>
      <c r="K284" s="539"/>
      <c r="L284" s="539"/>
      <c r="M284" s="539"/>
      <c r="N284" s="539"/>
      <c r="O284" s="539"/>
      <c r="P284" s="539"/>
      <c r="Q284" s="539"/>
      <c r="R284" s="539"/>
      <c r="S284" s="539"/>
      <c r="T284" s="539"/>
      <c r="U284" s="539"/>
      <c r="V284" s="539"/>
      <c r="W284" s="539"/>
      <c r="X284" s="539"/>
      <c r="Y284" s="539"/>
      <c r="Z284" s="539"/>
      <c r="AA284" s="539"/>
      <c r="AB284" s="539"/>
      <c r="AC284" s="539"/>
      <c r="AD284" s="539"/>
      <c r="AE284" s="539"/>
      <c r="AF284" s="539"/>
      <c r="AG284" s="539"/>
      <c r="AH284" s="539"/>
      <c r="AI284" s="539"/>
      <c r="AJ284" s="539"/>
      <c r="AK284" s="539"/>
      <c r="AL284" s="539"/>
      <c r="AM284" s="539"/>
      <c r="AN284" s="539"/>
      <c r="AO284" s="539"/>
      <c r="AP284" s="539"/>
      <c r="AQ284" s="539"/>
      <c r="AR284" s="539"/>
      <c r="AS284" s="539"/>
      <c r="AT284" s="539"/>
      <c r="AU284" s="539"/>
      <c r="AV284" s="539"/>
      <c r="AW284" s="539"/>
      <c r="AX284" s="539"/>
    </row>
    <row r="285" spans="2:50" ht="14.25" customHeight="1" x14ac:dyDescent="0.3">
      <c r="B285" s="957"/>
      <c r="C285" s="540"/>
      <c r="D285" s="540"/>
      <c r="E285" s="540"/>
      <c r="F285" s="539"/>
      <c r="G285" s="539"/>
      <c r="H285" s="539"/>
      <c r="I285" s="539"/>
      <c r="J285" s="539"/>
      <c r="K285" s="539"/>
      <c r="L285" s="539"/>
      <c r="M285" s="539"/>
      <c r="N285" s="539"/>
      <c r="O285" s="539"/>
      <c r="P285" s="539"/>
      <c r="Q285" s="539"/>
      <c r="R285" s="539"/>
      <c r="S285" s="539"/>
      <c r="T285" s="539"/>
      <c r="U285" s="539"/>
      <c r="V285" s="539"/>
      <c r="W285" s="539"/>
      <c r="X285" s="539"/>
      <c r="Y285" s="539"/>
      <c r="Z285" s="539"/>
      <c r="AA285" s="539"/>
      <c r="AB285" s="539"/>
      <c r="AC285" s="539"/>
      <c r="AD285" s="539"/>
      <c r="AE285" s="539"/>
      <c r="AF285" s="539"/>
      <c r="AG285" s="539"/>
      <c r="AH285" s="539"/>
      <c r="AI285" s="539"/>
      <c r="AJ285" s="539"/>
      <c r="AK285" s="539"/>
      <c r="AL285" s="539"/>
      <c r="AM285" s="539"/>
      <c r="AN285" s="539"/>
      <c r="AO285" s="539"/>
      <c r="AP285" s="539"/>
      <c r="AQ285" s="539"/>
      <c r="AR285" s="539"/>
      <c r="AS285" s="539"/>
      <c r="AT285" s="539"/>
      <c r="AU285" s="539"/>
      <c r="AV285" s="539"/>
      <c r="AW285" s="539"/>
      <c r="AX285" s="539"/>
    </row>
    <row r="286" spans="2:50" ht="14.25" customHeight="1" x14ac:dyDescent="0.3">
      <c r="B286" s="957"/>
      <c r="C286" s="540"/>
      <c r="D286" s="540"/>
      <c r="E286" s="540"/>
      <c r="F286" s="539"/>
      <c r="G286" s="539"/>
      <c r="H286" s="539"/>
      <c r="I286" s="539"/>
      <c r="J286" s="539"/>
      <c r="K286" s="539"/>
      <c r="L286" s="539"/>
      <c r="M286" s="539"/>
      <c r="N286" s="539"/>
      <c r="O286" s="539"/>
      <c r="P286" s="539"/>
      <c r="Q286" s="539"/>
      <c r="R286" s="539"/>
      <c r="S286" s="539"/>
      <c r="T286" s="539"/>
      <c r="U286" s="539"/>
      <c r="V286" s="539"/>
      <c r="W286" s="539"/>
      <c r="X286" s="539"/>
      <c r="Y286" s="539"/>
      <c r="Z286" s="539"/>
      <c r="AA286" s="539"/>
      <c r="AB286" s="539"/>
      <c r="AC286" s="539"/>
      <c r="AD286" s="539"/>
      <c r="AE286" s="539"/>
      <c r="AF286" s="539"/>
      <c r="AG286" s="539"/>
      <c r="AH286" s="539"/>
      <c r="AI286" s="539"/>
      <c r="AJ286" s="539"/>
      <c r="AK286" s="539"/>
      <c r="AL286" s="539"/>
      <c r="AM286" s="539"/>
      <c r="AN286" s="539"/>
      <c r="AO286" s="539"/>
      <c r="AP286" s="539"/>
      <c r="AQ286" s="539"/>
      <c r="AR286" s="539"/>
      <c r="AS286" s="539"/>
      <c r="AT286" s="539"/>
      <c r="AU286" s="539"/>
      <c r="AV286" s="539"/>
      <c r="AW286" s="539"/>
      <c r="AX286" s="539"/>
    </row>
    <row r="287" spans="2:50" ht="14.25" customHeight="1" x14ac:dyDescent="0.3">
      <c r="B287" s="957"/>
      <c r="C287" s="540"/>
      <c r="D287" s="540"/>
      <c r="E287" s="540"/>
      <c r="F287" s="539"/>
      <c r="G287" s="539"/>
      <c r="H287" s="539"/>
      <c r="I287" s="539"/>
      <c r="J287" s="539"/>
      <c r="K287" s="539"/>
      <c r="L287" s="539"/>
      <c r="M287" s="539"/>
      <c r="N287" s="539"/>
      <c r="O287" s="539"/>
      <c r="P287" s="539"/>
      <c r="Q287" s="539"/>
      <c r="R287" s="539"/>
      <c r="S287" s="539"/>
      <c r="T287" s="539"/>
      <c r="U287" s="539"/>
      <c r="V287" s="539"/>
      <c r="W287" s="539"/>
      <c r="X287" s="539"/>
      <c r="Y287" s="539"/>
      <c r="Z287" s="539"/>
      <c r="AA287" s="539"/>
      <c r="AB287" s="539"/>
      <c r="AC287" s="539"/>
      <c r="AD287" s="539"/>
      <c r="AE287" s="539"/>
      <c r="AF287" s="539"/>
      <c r="AG287" s="539"/>
      <c r="AH287" s="539"/>
      <c r="AI287" s="539"/>
      <c r="AJ287" s="539"/>
      <c r="AK287" s="539"/>
      <c r="AL287" s="539"/>
      <c r="AM287" s="539"/>
      <c r="AN287" s="539"/>
      <c r="AO287" s="539"/>
      <c r="AP287" s="539"/>
      <c r="AQ287" s="539"/>
      <c r="AR287" s="539"/>
      <c r="AS287" s="539"/>
      <c r="AT287" s="539"/>
      <c r="AU287" s="539"/>
      <c r="AV287" s="539"/>
      <c r="AW287" s="539"/>
      <c r="AX287" s="539"/>
    </row>
    <row r="288" spans="2:50" ht="14.25" customHeight="1" x14ac:dyDescent="0.3">
      <c r="B288" s="957"/>
      <c r="C288" s="540"/>
      <c r="D288" s="540"/>
      <c r="E288" s="540"/>
      <c r="F288" s="539"/>
      <c r="G288" s="539"/>
      <c r="H288" s="539"/>
      <c r="I288" s="539"/>
      <c r="J288" s="539"/>
      <c r="K288" s="539"/>
      <c r="L288" s="539"/>
      <c r="M288" s="539"/>
      <c r="N288" s="539"/>
      <c r="O288" s="539"/>
      <c r="P288" s="539"/>
      <c r="Q288" s="539"/>
      <c r="R288" s="539"/>
      <c r="S288" s="539"/>
      <c r="T288" s="539"/>
      <c r="U288" s="539"/>
      <c r="V288" s="539"/>
      <c r="W288" s="539"/>
      <c r="X288" s="539"/>
      <c r="Y288" s="539"/>
      <c r="Z288" s="539"/>
      <c r="AA288" s="539"/>
      <c r="AB288" s="539"/>
      <c r="AC288" s="539"/>
      <c r="AD288" s="539"/>
      <c r="AE288" s="539"/>
      <c r="AF288" s="539"/>
      <c r="AG288" s="539"/>
      <c r="AH288" s="539"/>
      <c r="AI288" s="539"/>
      <c r="AJ288" s="539"/>
      <c r="AK288" s="539"/>
      <c r="AL288" s="539"/>
      <c r="AM288" s="539"/>
      <c r="AN288" s="539"/>
      <c r="AO288" s="539"/>
      <c r="AP288" s="539"/>
      <c r="AQ288" s="539"/>
      <c r="AR288" s="539"/>
      <c r="AS288" s="539"/>
      <c r="AT288" s="539"/>
      <c r="AU288" s="539"/>
      <c r="AV288" s="539"/>
      <c r="AW288" s="539"/>
      <c r="AX288" s="539"/>
    </row>
    <row r="289" spans="2:50" ht="14.25" customHeight="1" x14ac:dyDescent="0.3">
      <c r="B289" s="957"/>
      <c r="C289" s="540"/>
      <c r="D289" s="540"/>
      <c r="E289" s="540"/>
      <c r="F289" s="539"/>
      <c r="G289" s="539"/>
      <c r="H289" s="539"/>
      <c r="I289" s="539"/>
      <c r="J289" s="539"/>
      <c r="K289" s="539"/>
      <c r="L289" s="539"/>
      <c r="M289" s="539"/>
      <c r="N289" s="539"/>
      <c r="O289" s="539"/>
      <c r="P289" s="539"/>
      <c r="Q289" s="539"/>
      <c r="R289" s="539"/>
      <c r="S289" s="539"/>
      <c r="T289" s="539"/>
      <c r="U289" s="539"/>
      <c r="V289" s="539"/>
      <c r="W289" s="539"/>
      <c r="X289" s="539"/>
      <c r="Y289" s="539"/>
      <c r="Z289" s="539"/>
      <c r="AA289" s="539"/>
      <c r="AB289" s="539"/>
      <c r="AC289" s="539"/>
      <c r="AD289" s="539"/>
      <c r="AE289" s="539"/>
      <c r="AF289" s="539"/>
      <c r="AG289" s="539"/>
      <c r="AH289" s="539"/>
      <c r="AI289" s="539"/>
      <c r="AJ289" s="539"/>
      <c r="AK289" s="539"/>
      <c r="AL289" s="539"/>
      <c r="AM289" s="539"/>
      <c r="AN289" s="539"/>
      <c r="AO289" s="539"/>
      <c r="AP289" s="539"/>
      <c r="AQ289" s="539"/>
      <c r="AR289" s="539"/>
      <c r="AS289" s="539"/>
      <c r="AT289" s="539"/>
      <c r="AU289" s="539"/>
      <c r="AV289" s="539"/>
      <c r="AW289" s="539"/>
      <c r="AX289" s="539"/>
    </row>
    <row r="290" spans="2:50" ht="14.25" customHeight="1" x14ac:dyDescent="0.3">
      <c r="B290" s="957"/>
      <c r="C290" s="540"/>
      <c r="D290" s="540"/>
      <c r="E290" s="540"/>
      <c r="F290" s="539"/>
      <c r="G290" s="539"/>
      <c r="H290" s="539"/>
      <c r="I290" s="539"/>
      <c r="J290" s="539"/>
      <c r="K290" s="539"/>
      <c r="L290" s="539"/>
      <c r="M290" s="539"/>
      <c r="N290" s="539"/>
      <c r="O290" s="539"/>
      <c r="P290" s="539"/>
      <c r="Q290" s="539"/>
      <c r="R290" s="539"/>
      <c r="S290" s="539"/>
      <c r="T290" s="539"/>
      <c r="U290" s="539"/>
      <c r="V290" s="539"/>
      <c r="W290" s="539"/>
      <c r="X290" s="539"/>
      <c r="Y290" s="539"/>
      <c r="Z290" s="539"/>
      <c r="AA290" s="539"/>
      <c r="AB290" s="539"/>
      <c r="AC290" s="539"/>
      <c r="AD290" s="539"/>
      <c r="AE290" s="539"/>
      <c r="AF290" s="539"/>
      <c r="AG290" s="539"/>
      <c r="AH290" s="539"/>
      <c r="AI290" s="539"/>
      <c r="AJ290" s="539"/>
      <c r="AK290" s="539"/>
      <c r="AL290" s="539"/>
      <c r="AM290" s="539"/>
      <c r="AN290" s="539"/>
      <c r="AO290" s="539"/>
      <c r="AP290" s="539"/>
      <c r="AQ290" s="539"/>
      <c r="AR290" s="539"/>
      <c r="AS290" s="539"/>
      <c r="AT290" s="539"/>
      <c r="AU290" s="539"/>
      <c r="AV290" s="539"/>
      <c r="AW290" s="539"/>
      <c r="AX290" s="539"/>
    </row>
    <row r="291" spans="2:50" ht="14.25" customHeight="1" x14ac:dyDescent="0.3">
      <c r="B291" s="957"/>
      <c r="C291" s="540"/>
      <c r="D291" s="540"/>
      <c r="E291" s="540"/>
      <c r="F291" s="539"/>
      <c r="G291" s="539"/>
      <c r="H291" s="539"/>
      <c r="I291" s="539"/>
      <c r="J291" s="539"/>
      <c r="K291" s="539"/>
      <c r="L291" s="539"/>
      <c r="M291" s="539"/>
      <c r="N291" s="539"/>
      <c r="O291" s="539"/>
      <c r="P291" s="539"/>
      <c r="Q291" s="539"/>
      <c r="R291" s="539"/>
      <c r="S291" s="539"/>
      <c r="T291" s="539"/>
      <c r="U291" s="539"/>
      <c r="V291" s="539"/>
      <c r="W291" s="539"/>
      <c r="X291" s="539"/>
      <c r="Y291" s="539"/>
      <c r="Z291" s="539"/>
      <c r="AA291" s="539"/>
      <c r="AB291" s="539"/>
      <c r="AC291" s="539"/>
      <c r="AD291" s="539"/>
      <c r="AE291" s="539"/>
      <c r="AF291" s="539"/>
      <c r="AG291" s="539"/>
      <c r="AH291" s="539"/>
      <c r="AI291" s="539"/>
      <c r="AJ291" s="539"/>
      <c r="AK291" s="539"/>
      <c r="AL291" s="539"/>
      <c r="AM291" s="539"/>
      <c r="AN291" s="539"/>
      <c r="AO291" s="539"/>
      <c r="AP291" s="539"/>
      <c r="AQ291" s="539"/>
      <c r="AR291" s="539"/>
      <c r="AS291" s="539"/>
      <c r="AT291" s="539"/>
      <c r="AU291" s="539"/>
      <c r="AV291" s="539"/>
      <c r="AW291" s="539"/>
      <c r="AX291" s="539"/>
    </row>
    <row r="292" spans="2:50" ht="14.25" customHeight="1" x14ac:dyDescent="0.3">
      <c r="B292" s="957"/>
      <c r="C292" s="540"/>
      <c r="D292" s="540"/>
      <c r="E292" s="540"/>
      <c r="F292" s="539"/>
      <c r="G292" s="539"/>
      <c r="H292" s="539"/>
      <c r="I292" s="539"/>
      <c r="J292" s="539"/>
      <c r="K292" s="539"/>
      <c r="L292" s="539"/>
      <c r="M292" s="539"/>
      <c r="N292" s="539"/>
      <c r="O292" s="539"/>
      <c r="P292" s="539"/>
      <c r="Q292" s="539"/>
      <c r="R292" s="539"/>
      <c r="S292" s="539"/>
      <c r="T292" s="539"/>
      <c r="U292" s="539"/>
      <c r="V292" s="539"/>
      <c r="W292" s="539"/>
      <c r="X292" s="539"/>
      <c r="Y292" s="539"/>
      <c r="Z292" s="539"/>
      <c r="AA292" s="539"/>
      <c r="AB292" s="539"/>
      <c r="AC292" s="539"/>
      <c r="AD292" s="539"/>
      <c r="AE292" s="539"/>
      <c r="AF292" s="539"/>
      <c r="AG292" s="539"/>
      <c r="AH292" s="539"/>
      <c r="AI292" s="539"/>
      <c r="AJ292" s="539"/>
      <c r="AK292" s="539"/>
      <c r="AL292" s="539"/>
      <c r="AM292" s="539"/>
      <c r="AN292" s="539"/>
      <c r="AO292" s="539"/>
      <c r="AP292" s="539"/>
      <c r="AQ292" s="539"/>
      <c r="AR292" s="539"/>
      <c r="AS292" s="539"/>
      <c r="AT292" s="539"/>
      <c r="AU292" s="539"/>
      <c r="AV292" s="539"/>
      <c r="AW292" s="539"/>
      <c r="AX292" s="539"/>
    </row>
    <row r="293" spans="2:50" ht="14.25" customHeight="1" x14ac:dyDescent="0.3">
      <c r="B293" s="957"/>
      <c r="C293" s="540"/>
      <c r="D293" s="540"/>
      <c r="E293" s="540"/>
      <c r="F293" s="539"/>
      <c r="G293" s="539"/>
      <c r="H293" s="539"/>
      <c r="I293" s="539"/>
      <c r="J293" s="539"/>
      <c r="K293" s="539"/>
      <c r="L293" s="539"/>
      <c r="M293" s="539"/>
      <c r="N293" s="539"/>
      <c r="O293" s="539"/>
      <c r="P293" s="539"/>
      <c r="Q293" s="539"/>
      <c r="R293" s="539"/>
      <c r="S293" s="539"/>
      <c r="T293" s="539"/>
      <c r="U293" s="539"/>
      <c r="V293" s="539"/>
      <c r="W293" s="539"/>
      <c r="X293" s="539"/>
      <c r="Y293" s="539"/>
      <c r="Z293" s="539"/>
      <c r="AA293" s="539"/>
      <c r="AB293" s="539"/>
      <c r="AC293" s="539"/>
      <c r="AD293" s="539"/>
      <c r="AE293" s="539"/>
      <c r="AF293" s="539"/>
      <c r="AG293" s="539"/>
      <c r="AH293" s="539"/>
      <c r="AI293" s="539"/>
      <c r="AJ293" s="539"/>
      <c r="AK293" s="539"/>
      <c r="AL293" s="539"/>
      <c r="AM293" s="539"/>
      <c r="AN293" s="539"/>
      <c r="AO293" s="539"/>
      <c r="AP293" s="539"/>
      <c r="AQ293" s="539"/>
      <c r="AR293" s="539"/>
      <c r="AS293" s="539"/>
      <c r="AT293" s="539"/>
      <c r="AU293" s="539"/>
      <c r="AV293" s="539"/>
      <c r="AW293" s="539"/>
      <c r="AX293" s="539"/>
    </row>
    <row r="294" spans="2:50" ht="14.25" customHeight="1" x14ac:dyDescent="0.3">
      <c r="B294" s="957"/>
      <c r="C294" s="540"/>
      <c r="D294" s="540"/>
      <c r="E294" s="540"/>
      <c r="F294" s="539"/>
      <c r="G294" s="539"/>
      <c r="H294" s="539"/>
      <c r="I294" s="539"/>
      <c r="J294" s="539"/>
      <c r="K294" s="539"/>
      <c r="L294" s="539"/>
      <c r="M294" s="539"/>
      <c r="N294" s="539"/>
      <c r="O294" s="539"/>
      <c r="P294" s="539"/>
      <c r="Q294" s="539"/>
      <c r="R294" s="539"/>
      <c r="S294" s="539"/>
      <c r="T294" s="539"/>
      <c r="U294" s="539"/>
      <c r="V294" s="539"/>
      <c r="W294" s="539"/>
      <c r="X294" s="539"/>
      <c r="Y294" s="539"/>
      <c r="Z294" s="539"/>
      <c r="AA294" s="539"/>
      <c r="AB294" s="539"/>
      <c r="AC294" s="539"/>
      <c r="AD294" s="539"/>
      <c r="AE294" s="539"/>
      <c r="AF294" s="539"/>
      <c r="AG294" s="539"/>
      <c r="AH294" s="539"/>
      <c r="AI294" s="539"/>
      <c r="AJ294" s="539"/>
      <c r="AK294" s="539"/>
      <c r="AL294" s="539"/>
      <c r="AM294" s="539"/>
      <c r="AN294" s="539"/>
      <c r="AO294" s="539"/>
      <c r="AP294" s="539"/>
      <c r="AQ294" s="539"/>
      <c r="AR294" s="539"/>
      <c r="AS294" s="539"/>
      <c r="AT294" s="539"/>
      <c r="AU294" s="539"/>
      <c r="AV294" s="539"/>
      <c r="AW294" s="539"/>
      <c r="AX294" s="539"/>
    </row>
    <row r="295" spans="2:50" ht="14.25" customHeight="1" x14ac:dyDescent="0.3">
      <c r="B295" s="957"/>
      <c r="C295" s="540"/>
      <c r="D295" s="540"/>
      <c r="E295" s="540"/>
      <c r="F295" s="539"/>
      <c r="G295" s="539"/>
      <c r="H295" s="539"/>
      <c r="I295" s="539"/>
      <c r="J295" s="539"/>
      <c r="K295" s="539"/>
      <c r="L295" s="539"/>
      <c r="M295" s="539"/>
      <c r="N295" s="539"/>
      <c r="O295" s="539"/>
      <c r="P295" s="539"/>
      <c r="Q295" s="539"/>
      <c r="R295" s="539"/>
      <c r="S295" s="539"/>
      <c r="T295" s="539"/>
      <c r="U295" s="539"/>
      <c r="V295" s="539"/>
      <c r="W295" s="539"/>
      <c r="X295" s="539"/>
      <c r="Y295" s="539"/>
      <c r="Z295" s="539"/>
      <c r="AA295" s="539"/>
      <c r="AB295" s="539"/>
      <c r="AC295" s="539"/>
      <c r="AD295" s="539"/>
      <c r="AE295" s="539"/>
      <c r="AF295" s="539"/>
      <c r="AG295" s="539"/>
      <c r="AH295" s="539"/>
      <c r="AI295" s="539"/>
      <c r="AJ295" s="539"/>
      <c r="AK295" s="539"/>
      <c r="AL295" s="539"/>
      <c r="AM295" s="539"/>
      <c r="AN295" s="539"/>
      <c r="AO295" s="539"/>
      <c r="AP295" s="539"/>
      <c r="AQ295" s="539"/>
      <c r="AR295" s="539"/>
      <c r="AS295" s="539"/>
      <c r="AT295" s="539"/>
      <c r="AU295" s="539"/>
      <c r="AV295" s="539"/>
      <c r="AW295" s="539"/>
      <c r="AX295" s="539"/>
    </row>
    <row r="296" spans="2:50" ht="14.25" customHeight="1" x14ac:dyDescent="0.3">
      <c r="B296" s="957"/>
      <c r="C296" s="540"/>
      <c r="D296" s="540"/>
      <c r="E296" s="540"/>
      <c r="F296" s="539"/>
      <c r="G296" s="539"/>
      <c r="H296" s="539"/>
      <c r="I296" s="539"/>
      <c r="J296" s="539"/>
      <c r="K296" s="539"/>
      <c r="L296" s="539"/>
      <c r="M296" s="539"/>
      <c r="N296" s="539"/>
      <c r="O296" s="539"/>
      <c r="P296" s="539"/>
      <c r="Q296" s="539"/>
      <c r="R296" s="539"/>
      <c r="S296" s="539"/>
      <c r="T296" s="539"/>
      <c r="U296" s="539"/>
      <c r="V296" s="539"/>
      <c r="W296" s="539"/>
      <c r="X296" s="539"/>
      <c r="Y296" s="539"/>
      <c r="Z296" s="539"/>
      <c r="AA296" s="539"/>
      <c r="AB296" s="539"/>
      <c r="AC296" s="539"/>
      <c r="AD296" s="539"/>
      <c r="AE296" s="539"/>
      <c r="AF296" s="539"/>
      <c r="AG296" s="539"/>
      <c r="AH296" s="539"/>
      <c r="AI296" s="539"/>
      <c r="AJ296" s="539"/>
      <c r="AK296" s="539"/>
      <c r="AL296" s="539"/>
      <c r="AM296" s="539"/>
      <c r="AN296" s="539"/>
      <c r="AO296" s="539"/>
      <c r="AP296" s="539"/>
      <c r="AQ296" s="539"/>
      <c r="AR296" s="539"/>
      <c r="AS296" s="539"/>
      <c r="AT296" s="539"/>
      <c r="AU296" s="539"/>
      <c r="AV296" s="539"/>
      <c r="AW296" s="539"/>
      <c r="AX296" s="539"/>
    </row>
    <row r="297" spans="2:50" ht="14.25" customHeight="1" x14ac:dyDescent="0.3">
      <c r="B297" s="957"/>
      <c r="C297" s="540"/>
      <c r="D297" s="540"/>
      <c r="E297" s="540"/>
      <c r="F297" s="539"/>
      <c r="G297" s="539"/>
      <c r="H297" s="539"/>
      <c r="I297" s="539"/>
      <c r="J297" s="539"/>
      <c r="K297" s="539"/>
      <c r="L297" s="539"/>
      <c r="M297" s="539"/>
      <c r="N297" s="539"/>
      <c r="O297" s="539"/>
      <c r="P297" s="539"/>
      <c r="Q297" s="539"/>
      <c r="R297" s="539"/>
      <c r="S297" s="539"/>
      <c r="T297" s="539"/>
      <c r="U297" s="539"/>
      <c r="V297" s="539"/>
      <c r="W297" s="539"/>
      <c r="X297" s="539"/>
      <c r="Y297" s="539"/>
      <c r="Z297" s="539"/>
      <c r="AA297" s="539"/>
      <c r="AB297" s="539"/>
      <c r="AC297" s="539"/>
      <c r="AD297" s="539"/>
      <c r="AE297" s="539"/>
      <c r="AF297" s="539"/>
      <c r="AG297" s="539"/>
      <c r="AH297" s="539"/>
      <c r="AI297" s="539"/>
      <c r="AJ297" s="539"/>
      <c r="AK297" s="539"/>
      <c r="AL297" s="539"/>
      <c r="AM297" s="539"/>
      <c r="AN297" s="539"/>
      <c r="AO297" s="539"/>
      <c r="AP297" s="539"/>
      <c r="AQ297" s="539"/>
      <c r="AR297" s="539"/>
      <c r="AS297" s="539"/>
      <c r="AT297" s="539"/>
      <c r="AU297" s="539"/>
      <c r="AV297" s="539"/>
      <c r="AW297" s="539"/>
      <c r="AX297" s="539"/>
    </row>
    <row r="298" spans="2:50" ht="14.25" customHeight="1" x14ac:dyDescent="0.3">
      <c r="B298" s="957"/>
      <c r="C298" s="540"/>
      <c r="D298" s="540"/>
      <c r="E298" s="540"/>
      <c r="F298" s="539"/>
      <c r="G298" s="539"/>
      <c r="H298" s="539"/>
      <c r="I298" s="539"/>
      <c r="J298" s="539"/>
      <c r="K298" s="539"/>
      <c r="L298" s="539"/>
      <c r="M298" s="539"/>
      <c r="N298" s="539"/>
      <c r="O298" s="539"/>
      <c r="P298" s="539"/>
      <c r="Q298" s="539"/>
      <c r="R298" s="539"/>
      <c r="S298" s="539"/>
      <c r="T298" s="539"/>
      <c r="U298" s="539"/>
      <c r="V298" s="539"/>
      <c r="W298" s="539"/>
      <c r="X298" s="539"/>
      <c r="Y298" s="539"/>
      <c r="Z298" s="539"/>
      <c r="AA298" s="539"/>
      <c r="AB298" s="539"/>
      <c r="AC298" s="539"/>
      <c r="AD298" s="539"/>
      <c r="AE298" s="539"/>
      <c r="AF298" s="539"/>
      <c r="AG298" s="539"/>
      <c r="AH298" s="539"/>
      <c r="AI298" s="539"/>
      <c r="AJ298" s="539"/>
      <c r="AK298" s="539"/>
      <c r="AL298" s="539"/>
      <c r="AM298" s="539"/>
      <c r="AN298" s="539"/>
      <c r="AO298" s="539"/>
      <c r="AP298" s="539"/>
      <c r="AQ298" s="539"/>
      <c r="AR298" s="539"/>
      <c r="AS298" s="539"/>
      <c r="AT298" s="539"/>
      <c r="AU298" s="539"/>
      <c r="AV298" s="539"/>
      <c r="AW298" s="539"/>
      <c r="AX298" s="539"/>
    </row>
    <row r="299" spans="2:50" ht="14.25" customHeight="1" x14ac:dyDescent="0.3">
      <c r="B299" s="957"/>
      <c r="C299" s="540"/>
      <c r="D299" s="540"/>
      <c r="E299" s="540"/>
      <c r="F299" s="539"/>
      <c r="G299" s="539"/>
      <c r="H299" s="539"/>
      <c r="I299" s="539"/>
      <c r="J299" s="539"/>
      <c r="K299" s="539"/>
      <c r="L299" s="539"/>
      <c r="M299" s="539"/>
      <c r="N299" s="539"/>
      <c r="O299" s="539"/>
      <c r="P299" s="539"/>
      <c r="Q299" s="539"/>
      <c r="R299" s="539"/>
      <c r="S299" s="539"/>
      <c r="T299" s="539"/>
      <c r="U299" s="539"/>
      <c r="V299" s="539"/>
      <c r="W299" s="539"/>
      <c r="X299" s="539"/>
      <c r="Y299" s="539"/>
      <c r="Z299" s="539"/>
      <c r="AA299" s="539"/>
      <c r="AB299" s="539"/>
      <c r="AC299" s="539"/>
      <c r="AD299" s="539"/>
      <c r="AE299" s="539"/>
      <c r="AF299" s="539"/>
      <c r="AG299" s="539"/>
      <c r="AH299" s="539"/>
      <c r="AI299" s="539"/>
      <c r="AJ299" s="539"/>
      <c r="AK299" s="539"/>
      <c r="AL299" s="539"/>
      <c r="AM299" s="539"/>
      <c r="AN299" s="539"/>
      <c r="AO299" s="539"/>
      <c r="AP299" s="539"/>
      <c r="AQ299" s="539"/>
      <c r="AR299" s="539"/>
      <c r="AS299" s="539"/>
      <c r="AT299" s="539"/>
      <c r="AU299" s="539"/>
      <c r="AV299" s="539"/>
      <c r="AW299" s="539"/>
      <c r="AX299" s="539"/>
    </row>
    <row r="300" spans="2:50" ht="14.25" customHeight="1" x14ac:dyDescent="0.3">
      <c r="B300" s="957"/>
      <c r="C300" s="540"/>
      <c r="D300" s="540"/>
      <c r="E300" s="540"/>
      <c r="F300" s="539"/>
      <c r="G300" s="539"/>
      <c r="H300" s="539"/>
      <c r="I300" s="539"/>
      <c r="J300" s="539"/>
      <c r="K300" s="539"/>
      <c r="L300" s="539"/>
      <c r="M300" s="539"/>
      <c r="N300" s="539"/>
      <c r="O300" s="539"/>
      <c r="P300" s="539"/>
      <c r="Q300" s="539"/>
      <c r="R300" s="539"/>
      <c r="S300" s="539"/>
      <c r="T300" s="539"/>
      <c r="U300" s="539"/>
      <c r="V300" s="539"/>
      <c r="W300" s="539"/>
      <c r="X300" s="539"/>
      <c r="Y300" s="539"/>
      <c r="Z300" s="539"/>
      <c r="AA300" s="539"/>
      <c r="AB300" s="539"/>
      <c r="AC300" s="539"/>
      <c r="AD300" s="539"/>
      <c r="AE300" s="539"/>
      <c r="AF300" s="539"/>
      <c r="AG300" s="539"/>
      <c r="AH300" s="539"/>
      <c r="AI300" s="539"/>
      <c r="AJ300" s="539"/>
      <c r="AK300" s="539"/>
      <c r="AL300" s="539"/>
      <c r="AM300" s="539"/>
      <c r="AN300" s="539"/>
      <c r="AO300" s="539"/>
      <c r="AP300" s="539"/>
      <c r="AQ300" s="539"/>
      <c r="AR300" s="539"/>
      <c r="AS300" s="539"/>
      <c r="AT300" s="539"/>
      <c r="AU300" s="539"/>
      <c r="AV300" s="539"/>
      <c r="AW300" s="539"/>
      <c r="AX300" s="539"/>
    </row>
    <row r="301" spans="2:50" ht="14.25" customHeight="1" x14ac:dyDescent="0.3">
      <c r="B301" s="957"/>
      <c r="C301" s="540"/>
      <c r="D301" s="540"/>
      <c r="E301" s="540"/>
      <c r="F301" s="539"/>
      <c r="G301" s="539"/>
      <c r="H301" s="539"/>
      <c r="I301" s="539"/>
      <c r="J301" s="539"/>
      <c r="K301" s="539"/>
      <c r="L301" s="539"/>
      <c r="M301" s="539"/>
      <c r="N301" s="539"/>
      <c r="O301" s="539"/>
      <c r="P301" s="539"/>
      <c r="Q301" s="539"/>
      <c r="R301" s="539"/>
      <c r="S301" s="539"/>
      <c r="T301" s="539"/>
      <c r="U301" s="539"/>
      <c r="V301" s="539"/>
      <c r="W301" s="539"/>
      <c r="X301" s="539"/>
      <c r="Y301" s="539"/>
      <c r="Z301" s="539"/>
      <c r="AA301" s="539"/>
      <c r="AB301" s="539"/>
      <c r="AC301" s="539"/>
      <c r="AD301" s="539"/>
      <c r="AE301" s="539"/>
      <c r="AF301" s="539"/>
      <c r="AG301" s="539"/>
      <c r="AH301" s="539"/>
      <c r="AI301" s="539"/>
      <c r="AJ301" s="539"/>
      <c r="AK301" s="539"/>
      <c r="AL301" s="539"/>
      <c r="AM301" s="539"/>
      <c r="AN301" s="539"/>
      <c r="AO301" s="539"/>
      <c r="AP301" s="539"/>
      <c r="AQ301" s="539"/>
      <c r="AR301" s="539"/>
      <c r="AS301" s="539"/>
      <c r="AT301" s="539"/>
      <c r="AU301" s="539"/>
      <c r="AV301" s="539"/>
      <c r="AW301" s="539"/>
      <c r="AX301" s="539"/>
    </row>
    <row r="302" spans="2:50" ht="14.25" customHeight="1" x14ac:dyDescent="0.3">
      <c r="B302" s="957"/>
      <c r="C302" s="540"/>
      <c r="D302" s="540"/>
      <c r="E302" s="540"/>
      <c r="F302" s="539"/>
      <c r="G302" s="539"/>
      <c r="H302" s="539"/>
      <c r="I302" s="539"/>
      <c r="J302" s="539"/>
      <c r="K302" s="539"/>
      <c r="L302" s="539"/>
      <c r="M302" s="539"/>
      <c r="N302" s="539"/>
      <c r="O302" s="539"/>
      <c r="P302" s="539"/>
      <c r="Q302" s="539"/>
      <c r="R302" s="539"/>
      <c r="S302" s="539"/>
      <c r="T302" s="539"/>
      <c r="U302" s="539"/>
      <c r="V302" s="539"/>
      <c r="W302" s="539"/>
      <c r="X302" s="539"/>
      <c r="Y302" s="539"/>
      <c r="Z302" s="539"/>
      <c r="AA302" s="539"/>
      <c r="AB302" s="539"/>
      <c r="AC302" s="539"/>
      <c r="AD302" s="539"/>
      <c r="AE302" s="539"/>
      <c r="AF302" s="539"/>
      <c r="AG302" s="539"/>
      <c r="AH302" s="539"/>
      <c r="AI302" s="539"/>
      <c r="AJ302" s="539"/>
      <c r="AK302" s="539"/>
      <c r="AL302" s="539"/>
      <c r="AM302" s="539"/>
      <c r="AN302" s="539"/>
      <c r="AO302" s="539"/>
      <c r="AP302" s="539"/>
      <c r="AQ302" s="539"/>
      <c r="AR302" s="539"/>
      <c r="AS302" s="539"/>
      <c r="AT302" s="539"/>
      <c r="AU302" s="539"/>
      <c r="AV302" s="539"/>
      <c r="AW302" s="539"/>
      <c r="AX302" s="539"/>
    </row>
    <row r="303" spans="2:50" ht="14.25" customHeight="1" x14ac:dyDescent="0.3">
      <c r="B303" s="957"/>
      <c r="C303" s="540"/>
      <c r="D303" s="540"/>
      <c r="E303" s="540"/>
      <c r="F303" s="539"/>
      <c r="G303" s="539"/>
      <c r="H303" s="539"/>
      <c r="I303" s="539"/>
      <c r="J303" s="539"/>
      <c r="K303" s="539"/>
      <c r="L303" s="539"/>
      <c r="M303" s="539"/>
      <c r="N303" s="539"/>
      <c r="O303" s="539"/>
      <c r="P303" s="539"/>
      <c r="Q303" s="539"/>
      <c r="R303" s="539"/>
      <c r="S303" s="539"/>
      <c r="T303" s="539"/>
      <c r="U303" s="539"/>
      <c r="V303" s="539"/>
      <c r="W303" s="539"/>
      <c r="X303" s="539"/>
      <c r="Y303" s="539"/>
      <c r="Z303" s="539"/>
      <c r="AA303" s="539"/>
      <c r="AB303" s="539"/>
      <c r="AC303" s="539"/>
      <c r="AD303" s="539"/>
      <c r="AE303" s="539"/>
      <c r="AF303" s="539"/>
      <c r="AG303" s="539"/>
      <c r="AH303" s="539"/>
      <c r="AI303" s="539"/>
      <c r="AJ303" s="539"/>
      <c r="AK303" s="539"/>
      <c r="AL303" s="539"/>
      <c r="AM303" s="539"/>
      <c r="AN303" s="539"/>
      <c r="AO303" s="539"/>
      <c r="AP303" s="539"/>
      <c r="AQ303" s="539"/>
      <c r="AR303" s="539"/>
      <c r="AS303" s="539"/>
      <c r="AT303" s="539"/>
      <c r="AU303" s="539"/>
      <c r="AV303" s="539"/>
      <c r="AW303" s="539"/>
      <c r="AX303" s="539"/>
    </row>
    <row r="304" spans="2:50" ht="14.25" customHeight="1" x14ac:dyDescent="0.3">
      <c r="B304" s="957"/>
      <c r="C304" s="540"/>
      <c r="D304" s="540"/>
      <c r="E304" s="540"/>
      <c r="F304" s="539"/>
      <c r="G304" s="539"/>
      <c r="H304" s="539"/>
      <c r="I304" s="539"/>
      <c r="J304" s="539"/>
      <c r="K304" s="539"/>
      <c r="L304" s="539"/>
      <c r="M304" s="539"/>
      <c r="N304" s="539"/>
      <c r="O304" s="539"/>
      <c r="P304" s="539"/>
      <c r="Q304" s="539"/>
      <c r="R304" s="539"/>
      <c r="S304" s="539"/>
      <c r="T304" s="539"/>
      <c r="U304" s="539"/>
      <c r="V304" s="539"/>
      <c r="W304" s="539"/>
      <c r="X304" s="539"/>
      <c r="Y304" s="539"/>
      <c r="Z304" s="539"/>
      <c r="AA304" s="539"/>
      <c r="AB304" s="539"/>
      <c r="AC304" s="539"/>
      <c r="AD304" s="539"/>
      <c r="AE304" s="539"/>
      <c r="AF304" s="539"/>
      <c r="AG304" s="539"/>
      <c r="AH304" s="539"/>
      <c r="AI304" s="539"/>
      <c r="AJ304" s="539"/>
      <c r="AK304" s="539"/>
      <c r="AL304" s="539"/>
      <c r="AM304" s="539"/>
      <c r="AN304" s="539"/>
      <c r="AO304" s="539"/>
      <c r="AP304" s="539"/>
      <c r="AQ304" s="539"/>
      <c r="AR304" s="539"/>
      <c r="AS304" s="539"/>
      <c r="AT304" s="539"/>
      <c r="AU304" s="539"/>
      <c r="AV304" s="539"/>
      <c r="AW304" s="539"/>
      <c r="AX304" s="539"/>
    </row>
    <row r="305" spans="2:50" ht="14.25" customHeight="1" x14ac:dyDescent="0.3">
      <c r="B305" s="957"/>
      <c r="C305" s="540"/>
      <c r="D305" s="540"/>
      <c r="E305" s="540"/>
      <c r="F305" s="539"/>
      <c r="G305" s="539"/>
      <c r="H305" s="539"/>
      <c r="I305" s="539"/>
      <c r="J305" s="539"/>
      <c r="K305" s="539"/>
      <c r="L305" s="539"/>
      <c r="M305" s="539"/>
      <c r="N305" s="539"/>
      <c r="O305" s="539"/>
      <c r="P305" s="539"/>
      <c r="Q305" s="539"/>
      <c r="R305" s="539"/>
      <c r="S305" s="539"/>
      <c r="T305" s="539"/>
      <c r="U305" s="539"/>
      <c r="V305" s="539"/>
      <c r="W305" s="539"/>
      <c r="X305" s="539"/>
      <c r="Y305" s="539"/>
      <c r="Z305" s="539"/>
      <c r="AA305" s="539"/>
      <c r="AB305" s="539"/>
      <c r="AC305" s="539"/>
      <c r="AD305" s="539"/>
      <c r="AE305" s="539"/>
      <c r="AF305" s="539"/>
      <c r="AG305" s="539"/>
      <c r="AH305" s="539"/>
      <c r="AI305" s="539"/>
      <c r="AJ305" s="539"/>
      <c r="AK305" s="539"/>
      <c r="AL305" s="539"/>
      <c r="AM305" s="539"/>
      <c r="AN305" s="539"/>
      <c r="AO305" s="539"/>
      <c r="AP305" s="539"/>
      <c r="AQ305" s="539"/>
      <c r="AR305" s="539"/>
      <c r="AS305" s="539"/>
      <c r="AT305" s="539"/>
      <c r="AU305" s="539"/>
      <c r="AV305" s="539"/>
      <c r="AW305" s="539"/>
      <c r="AX305" s="539"/>
    </row>
    <row r="306" spans="2:50" ht="14.25" customHeight="1" x14ac:dyDescent="0.3">
      <c r="B306" s="957"/>
      <c r="C306" s="540"/>
      <c r="D306" s="540"/>
      <c r="E306" s="540"/>
      <c r="F306" s="539"/>
      <c r="G306" s="539"/>
      <c r="H306" s="539"/>
      <c r="I306" s="539"/>
      <c r="J306" s="539"/>
      <c r="K306" s="539"/>
      <c r="L306" s="539"/>
      <c r="M306" s="539"/>
      <c r="N306" s="539"/>
      <c r="O306" s="539"/>
      <c r="P306" s="539"/>
      <c r="Q306" s="539"/>
      <c r="R306" s="539"/>
      <c r="S306" s="539"/>
      <c r="T306" s="539"/>
      <c r="U306" s="539"/>
      <c r="V306" s="539"/>
      <c r="W306" s="539"/>
      <c r="X306" s="539"/>
      <c r="Y306" s="539"/>
      <c r="Z306" s="539"/>
      <c r="AA306" s="539"/>
      <c r="AB306" s="539"/>
      <c r="AC306" s="539"/>
      <c r="AD306" s="539"/>
      <c r="AE306" s="539"/>
      <c r="AF306" s="539"/>
      <c r="AG306" s="539"/>
      <c r="AH306" s="539"/>
      <c r="AI306" s="539"/>
      <c r="AJ306" s="539"/>
      <c r="AK306" s="539"/>
      <c r="AL306" s="539"/>
      <c r="AM306" s="539"/>
      <c r="AN306" s="539"/>
      <c r="AO306" s="539"/>
      <c r="AP306" s="539"/>
      <c r="AQ306" s="539"/>
      <c r="AR306" s="539"/>
      <c r="AS306" s="539"/>
      <c r="AT306" s="539"/>
      <c r="AU306" s="539"/>
      <c r="AV306" s="539"/>
      <c r="AW306" s="539"/>
      <c r="AX306" s="539"/>
    </row>
    <row r="307" spans="2:50" ht="14.25" customHeight="1" x14ac:dyDescent="0.3">
      <c r="B307" s="957"/>
      <c r="C307" s="540"/>
      <c r="D307" s="540"/>
      <c r="E307" s="540"/>
      <c r="F307" s="539"/>
      <c r="G307" s="539"/>
      <c r="H307" s="539"/>
      <c r="I307" s="539"/>
      <c r="J307" s="539"/>
      <c r="K307" s="539"/>
      <c r="L307" s="539"/>
      <c r="M307" s="539"/>
      <c r="N307" s="539"/>
      <c r="O307" s="539"/>
      <c r="P307" s="539"/>
      <c r="Q307" s="539"/>
      <c r="R307" s="539"/>
      <c r="S307" s="539"/>
      <c r="T307" s="539"/>
      <c r="U307" s="539"/>
      <c r="V307" s="539"/>
      <c r="W307" s="539"/>
      <c r="X307" s="539"/>
      <c r="Y307" s="539"/>
      <c r="Z307" s="539"/>
      <c r="AA307" s="539"/>
      <c r="AB307" s="539"/>
      <c r="AC307" s="539"/>
      <c r="AD307" s="539"/>
      <c r="AE307" s="539"/>
      <c r="AF307" s="539"/>
      <c r="AG307" s="539"/>
      <c r="AH307" s="539"/>
      <c r="AI307" s="539"/>
      <c r="AJ307" s="539"/>
      <c r="AK307" s="539"/>
      <c r="AL307" s="539"/>
      <c r="AM307" s="539"/>
      <c r="AN307" s="539"/>
      <c r="AO307" s="539"/>
      <c r="AP307" s="539"/>
      <c r="AQ307" s="539"/>
      <c r="AR307" s="539"/>
      <c r="AS307" s="539"/>
      <c r="AT307" s="539"/>
      <c r="AU307" s="539"/>
      <c r="AV307" s="539"/>
      <c r="AW307" s="539"/>
      <c r="AX307" s="539"/>
    </row>
    <row r="308" spans="2:50" ht="14.25" customHeight="1" x14ac:dyDescent="0.3">
      <c r="B308" s="957"/>
      <c r="C308" s="540"/>
      <c r="D308" s="540"/>
      <c r="E308" s="540"/>
      <c r="F308" s="539"/>
      <c r="G308" s="539"/>
      <c r="H308" s="539"/>
      <c r="I308" s="539"/>
      <c r="J308" s="539"/>
      <c r="K308" s="539"/>
      <c r="L308" s="539"/>
      <c r="M308" s="539"/>
      <c r="N308" s="539"/>
      <c r="O308" s="539"/>
      <c r="P308" s="539"/>
      <c r="Q308" s="539"/>
      <c r="R308" s="539"/>
      <c r="S308" s="539"/>
      <c r="T308" s="539"/>
      <c r="U308" s="539"/>
      <c r="V308" s="539"/>
      <c r="W308" s="539"/>
      <c r="X308" s="539"/>
      <c r="Y308" s="539"/>
      <c r="Z308" s="539"/>
      <c r="AA308" s="539"/>
      <c r="AB308" s="539"/>
      <c r="AC308" s="539"/>
      <c r="AD308" s="539"/>
      <c r="AE308" s="539"/>
      <c r="AF308" s="539"/>
      <c r="AG308" s="539"/>
      <c r="AH308" s="539"/>
      <c r="AI308" s="539"/>
      <c r="AJ308" s="539"/>
      <c r="AK308" s="539"/>
      <c r="AL308" s="539"/>
      <c r="AM308" s="539"/>
      <c r="AN308" s="539"/>
      <c r="AO308" s="539"/>
      <c r="AP308" s="539"/>
      <c r="AQ308" s="539"/>
      <c r="AR308" s="539"/>
      <c r="AS308" s="539"/>
      <c r="AT308" s="539"/>
      <c r="AU308" s="539"/>
      <c r="AV308" s="539"/>
      <c r="AW308" s="539"/>
      <c r="AX308" s="539"/>
    </row>
    <row r="309" spans="2:50" ht="14.25" customHeight="1" x14ac:dyDescent="0.3">
      <c r="B309" s="957"/>
      <c r="C309" s="540"/>
      <c r="D309" s="540"/>
      <c r="E309" s="540"/>
      <c r="F309" s="539"/>
      <c r="G309" s="539"/>
      <c r="H309" s="539"/>
      <c r="I309" s="539"/>
      <c r="J309" s="539"/>
      <c r="K309" s="539"/>
      <c r="L309" s="539"/>
      <c r="M309" s="539"/>
      <c r="N309" s="539"/>
      <c r="O309" s="539"/>
      <c r="P309" s="539"/>
      <c r="Q309" s="539"/>
      <c r="R309" s="539"/>
      <c r="S309" s="539"/>
      <c r="T309" s="539"/>
      <c r="U309" s="539"/>
      <c r="V309" s="539"/>
      <c r="W309" s="539"/>
      <c r="X309" s="539"/>
      <c r="Y309" s="539"/>
      <c r="Z309" s="539"/>
      <c r="AA309" s="539"/>
      <c r="AB309" s="539"/>
      <c r="AC309" s="539"/>
      <c r="AD309" s="539"/>
      <c r="AE309" s="539"/>
      <c r="AF309" s="539"/>
      <c r="AG309" s="539"/>
      <c r="AH309" s="539"/>
      <c r="AI309" s="539"/>
      <c r="AJ309" s="539"/>
      <c r="AK309" s="539"/>
      <c r="AL309" s="539"/>
      <c r="AM309" s="539"/>
      <c r="AN309" s="539"/>
      <c r="AO309" s="539"/>
      <c r="AP309" s="539"/>
      <c r="AQ309" s="539"/>
      <c r="AR309" s="539"/>
      <c r="AS309" s="539"/>
      <c r="AT309" s="539"/>
      <c r="AU309" s="539"/>
      <c r="AV309" s="539"/>
      <c r="AW309" s="539"/>
      <c r="AX309" s="539"/>
    </row>
    <row r="310" spans="2:50" ht="14.25" customHeight="1" x14ac:dyDescent="0.3">
      <c r="B310" s="957"/>
      <c r="C310" s="540"/>
      <c r="D310" s="540"/>
      <c r="E310" s="540"/>
      <c r="F310" s="539"/>
      <c r="G310" s="539"/>
      <c r="H310" s="539"/>
      <c r="I310" s="539"/>
      <c r="J310" s="539"/>
      <c r="K310" s="539"/>
      <c r="L310" s="539"/>
      <c r="M310" s="539"/>
      <c r="N310" s="539"/>
      <c r="O310" s="539"/>
      <c r="P310" s="539"/>
      <c r="Q310" s="539"/>
      <c r="R310" s="539"/>
      <c r="S310" s="539"/>
      <c r="T310" s="539"/>
      <c r="U310" s="539"/>
      <c r="V310" s="539"/>
      <c r="W310" s="539"/>
      <c r="X310" s="539"/>
      <c r="Y310" s="539"/>
      <c r="Z310" s="539"/>
      <c r="AA310" s="539"/>
      <c r="AB310" s="539"/>
      <c r="AC310" s="539"/>
      <c r="AD310" s="539"/>
      <c r="AE310" s="539"/>
      <c r="AF310" s="539"/>
      <c r="AG310" s="539"/>
      <c r="AH310" s="539"/>
      <c r="AI310" s="539"/>
      <c r="AJ310" s="539"/>
      <c r="AK310" s="539"/>
      <c r="AL310" s="539"/>
      <c r="AM310" s="539"/>
      <c r="AN310" s="539"/>
      <c r="AO310" s="539"/>
      <c r="AP310" s="539"/>
      <c r="AQ310" s="539"/>
      <c r="AR310" s="539"/>
      <c r="AS310" s="539"/>
      <c r="AT310" s="539"/>
      <c r="AU310" s="539"/>
      <c r="AV310" s="539"/>
      <c r="AW310" s="539"/>
      <c r="AX310" s="539"/>
    </row>
    <row r="311" spans="2:50" ht="14.25" customHeight="1" x14ac:dyDescent="0.3">
      <c r="B311" s="957"/>
      <c r="C311" s="540"/>
      <c r="D311" s="540"/>
      <c r="E311" s="540"/>
      <c r="F311" s="539"/>
      <c r="G311" s="539"/>
      <c r="H311" s="539"/>
      <c r="I311" s="539"/>
      <c r="J311" s="539"/>
      <c r="K311" s="539"/>
      <c r="L311" s="539"/>
      <c r="M311" s="539"/>
      <c r="N311" s="539"/>
      <c r="O311" s="539"/>
      <c r="P311" s="539"/>
      <c r="Q311" s="539"/>
      <c r="R311" s="539"/>
      <c r="S311" s="539"/>
      <c r="T311" s="539"/>
      <c r="U311" s="539"/>
      <c r="V311" s="539"/>
      <c r="W311" s="539"/>
      <c r="X311" s="539"/>
      <c r="Y311" s="539"/>
      <c r="Z311" s="539"/>
      <c r="AA311" s="539"/>
      <c r="AB311" s="539"/>
      <c r="AC311" s="539"/>
      <c r="AD311" s="539"/>
      <c r="AE311" s="539"/>
      <c r="AF311" s="539"/>
      <c r="AG311" s="539"/>
      <c r="AH311" s="539"/>
      <c r="AI311" s="539"/>
      <c r="AJ311" s="539"/>
      <c r="AK311" s="539"/>
      <c r="AL311" s="539"/>
      <c r="AM311" s="539"/>
      <c r="AN311" s="539"/>
      <c r="AO311" s="539"/>
      <c r="AP311" s="539"/>
      <c r="AQ311" s="539"/>
      <c r="AR311" s="539"/>
      <c r="AS311" s="539"/>
      <c r="AT311" s="539"/>
      <c r="AU311" s="539"/>
      <c r="AV311" s="539"/>
      <c r="AW311" s="539"/>
      <c r="AX311" s="539"/>
    </row>
    <row r="312" spans="2:50" ht="14.25" customHeight="1" x14ac:dyDescent="0.3">
      <c r="B312" s="957"/>
      <c r="C312" s="540"/>
      <c r="D312" s="540"/>
      <c r="E312" s="540"/>
      <c r="F312" s="539"/>
      <c r="G312" s="539"/>
      <c r="H312" s="539"/>
      <c r="I312" s="539"/>
      <c r="J312" s="539"/>
      <c r="K312" s="539"/>
      <c r="L312" s="539"/>
      <c r="M312" s="539"/>
      <c r="N312" s="539"/>
      <c r="O312" s="539"/>
      <c r="P312" s="539"/>
      <c r="Q312" s="539"/>
      <c r="R312" s="539"/>
      <c r="S312" s="539"/>
      <c r="T312" s="539"/>
      <c r="U312" s="539"/>
      <c r="V312" s="539"/>
      <c r="W312" s="539"/>
      <c r="X312" s="539"/>
      <c r="Y312" s="539"/>
      <c r="Z312" s="539"/>
      <c r="AA312" s="539"/>
      <c r="AB312" s="539"/>
      <c r="AC312" s="539"/>
      <c r="AD312" s="539"/>
      <c r="AE312" s="539"/>
      <c r="AF312" s="539"/>
      <c r="AG312" s="539"/>
      <c r="AH312" s="539"/>
      <c r="AI312" s="539"/>
      <c r="AJ312" s="539"/>
      <c r="AK312" s="539"/>
      <c r="AL312" s="539"/>
      <c r="AM312" s="539"/>
      <c r="AN312" s="539"/>
      <c r="AO312" s="539"/>
      <c r="AP312" s="539"/>
      <c r="AQ312" s="539"/>
      <c r="AR312" s="539"/>
      <c r="AS312" s="539"/>
      <c r="AT312" s="539"/>
      <c r="AU312" s="539"/>
      <c r="AV312" s="539"/>
      <c r="AW312" s="539"/>
      <c r="AX312" s="539"/>
    </row>
    <row r="313" spans="2:50" ht="14.25" customHeight="1" x14ac:dyDescent="0.3">
      <c r="B313" s="957"/>
      <c r="C313" s="540"/>
      <c r="D313" s="540"/>
      <c r="E313" s="540"/>
      <c r="F313" s="539"/>
      <c r="G313" s="539"/>
      <c r="H313" s="539"/>
      <c r="I313" s="539"/>
      <c r="J313" s="539"/>
      <c r="K313" s="539"/>
      <c r="L313" s="539"/>
      <c r="M313" s="539"/>
      <c r="N313" s="539"/>
      <c r="O313" s="539"/>
      <c r="P313" s="539"/>
      <c r="Q313" s="539"/>
      <c r="R313" s="539"/>
      <c r="S313" s="539"/>
      <c r="T313" s="539"/>
      <c r="U313" s="539"/>
      <c r="V313" s="539"/>
      <c r="W313" s="539"/>
      <c r="X313" s="539"/>
      <c r="Y313" s="539"/>
      <c r="Z313" s="539"/>
      <c r="AA313" s="539"/>
      <c r="AB313" s="539"/>
      <c r="AC313" s="539"/>
      <c r="AD313" s="539"/>
      <c r="AE313" s="539"/>
      <c r="AF313" s="539"/>
      <c r="AG313" s="539"/>
      <c r="AH313" s="539"/>
      <c r="AI313" s="539"/>
      <c r="AJ313" s="539"/>
      <c r="AK313" s="539"/>
      <c r="AL313" s="539"/>
      <c r="AM313" s="539"/>
      <c r="AN313" s="539"/>
      <c r="AO313" s="539"/>
      <c r="AP313" s="539"/>
      <c r="AQ313" s="539"/>
      <c r="AR313" s="539"/>
      <c r="AS313" s="539"/>
      <c r="AT313" s="539"/>
      <c r="AU313" s="539"/>
      <c r="AV313" s="539"/>
      <c r="AW313" s="539"/>
      <c r="AX313" s="539"/>
    </row>
    <row r="314" spans="2:50" ht="14.25" customHeight="1" x14ac:dyDescent="0.3">
      <c r="B314" s="957"/>
      <c r="C314" s="540"/>
      <c r="D314" s="540"/>
      <c r="E314" s="540"/>
      <c r="F314" s="539"/>
      <c r="G314" s="539"/>
      <c r="H314" s="539"/>
      <c r="I314" s="539"/>
      <c r="J314" s="539"/>
      <c r="K314" s="539"/>
      <c r="L314" s="539"/>
      <c r="M314" s="539"/>
      <c r="N314" s="539"/>
      <c r="O314" s="539"/>
      <c r="P314" s="539"/>
      <c r="Q314" s="539"/>
      <c r="R314" s="539"/>
      <c r="S314" s="539"/>
      <c r="T314" s="539"/>
      <c r="U314" s="539"/>
      <c r="V314" s="539"/>
      <c r="W314" s="539"/>
      <c r="X314" s="539"/>
      <c r="Y314" s="539"/>
      <c r="Z314" s="539"/>
      <c r="AA314" s="539"/>
      <c r="AB314" s="539"/>
      <c r="AC314" s="539"/>
      <c r="AD314" s="539"/>
      <c r="AE314" s="539"/>
      <c r="AF314" s="539"/>
      <c r="AG314" s="539"/>
      <c r="AH314" s="539"/>
      <c r="AI314" s="539"/>
      <c r="AJ314" s="539"/>
      <c r="AK314" s="539"/>
      <c r="AL314" s="539"/>
      <c r="AM314" s="539"/>
      <c r="AN314" s="539"/>
      <c r="AO314" s="539"/>
      <c r="AP314" s="539"/>
      <c r="AQ314" s="539"/>
      <c r="AR314" s="539"/>
      <c r="AS314" s="539"/>
      <c r="AT314" s="539"/>
      <c r="AU314" s="539"/>
      <c r="AV314" s="539"/>
      <c r="AW314" s="539"/>
      <c r="AX314" s="539"/>
    </row>
    <row r="315" spans="2:50" ht="14.25" customHeight="1" x14ac:dyDescent="0.3">
      <c r="B315" s="957"/>
      <c r="C315" s="540"/>
      <c r="D315" s="540"/>
      <c r="E315" s="540"/>
      <c r="F315" s="539"/>
      <c r="G315" s="539"/>
      <c r="H315" s="539"/>
      <c r="I315" s="539"/>
      <c r="J315" s="539"/>
      <c r="K315" s="539"/>
      <c r="L315" s="539"/>
      <c r="M315" s="539"/>
      <c r="N315" s="539"/>
      <c r="O315" s="539"/>
      <c r="P315" s="539"/>
      <c r="Q315" s="539"/>
      <c r="R315" s="539"/>
      <c r="S315" s="539"/>
      <c r="T315" s="539"/>
      <c r="U315" s="539"/>
      <c r="V315" s="539"/>
      <c r="W315" s="539"/>
      <c r="X315" s="539"/>
      <c r="Y315" s="539"/>
      <c r="Z315" s="539"/>
      <c r="AA315" s="539"/>
      <c r="AB315" s="539"/>
      <c r="AC315" s="539"/>
      <c r="AD315" s="539"/>
      <c r="AE315" s="539"/>
      <c r="AF315" s="539"/>
      <c r="AG315" s="539"/>
      <c r="AH315" s="539"/>
      <c r="AI315" s="539"/>
      <c r="AJ315" s="539"/>
      <c r="AK315" s="539"/>
      <c r="AL315" s="539"/>
      <c r="AM315" s="539"/>
      <c r="AN315" s="539"/>
      <c r="AO315" s="539"/>
      <c r="AP315" s="539"/>
      <c r="AQ315" s="539"/>
      <c r="AR315" s="539"/>
      <c r="AS315" s="539"/>
      <c r="AT315" s="539"/>
      <c r="AU315" s="539"/>
      <c r="AV315" s="539"/>
      <c r="AW315" s="539"/>
      <c r="AX315" s="539"/>
    </row>
    <row r="316" spans="2:50" ht="14.25" customHeight="1" x14ac:dyDescent="0.3">
      <c r="B316" s="957"/>
      <c r="C316" s="540"/>
      <c r="D316" s="540"/>
      <c r="E316" s="540"/>
      <c r="F316" s="539"/>
      <c r="G316" s="539"/>
      <c r="H316" s="539"/>
      <c r="I316" s="539"/>
      <c r="J316" s="539"/>
      <c r="K316" s="539"/>
      <c r="L316" s="539"/>
      <c r="M316" s="539"/>
      <c r="N316" s="539"/>
      <c r="O316" s="539"/>
      <c r="P316" s="539"/>
      <c r="Q316" s="539"/>
      <c r="R316" s="539"/>
      <c r="S316" s="539"/>
      <c r="T316" s="539"/>
      <c r="U316" s="539"/>
      <c r="V316" s="539"/>
      <c r="W316" s="539"/>
      <c r="X316" s="539"/>
      <c r="Y316" s="539"/>
      <c r="Z316" s="539"/>
      <c r="AA316" s="539"/>
      <c r="AB316" s="539"/>
      <c r="AC316" s="539"/>
      <c r="AD316" s="539"/>
      <c r="AE316" s="539"/>
      <c r="AF316" s="539"/>
      <c r="AG316" s="539"/>
      <c r="AH316" s="539"/>
      <c r="AI316" s="539"/>
      <c r="AJ316" s="539"/>
      <c r="AK316" s="539"/>
      <c r="AL316" s="539"/>
      <c r="AM316" s="539"/>
      <c r="AN316" s="539"/>
      <c r="AO316" s="539"/>
      <c r="AP316" s="539"/>
      <c r="AQ316" s="539"/>
      <c r="AR316" s="539"/>
      <c r="AS316" s="539"/>
      <c r="AT316" s="539"/>
      <c r="AU316" s="539"/>
      <c r="AV316" s="539"/>
      <c r="AW316" s="539"/>
      <c r="AX316" s="539"/>
    </row>
    <row r="317" spans="2:50" ht="14.25" customHeight="1" x14ac:dyDescent="0.3">
      <c r="B317" s="957"/>
      <c r="C317" s="540"/>
      <c r="D317" s="540"/>
      <c r="E317" s="540"/>
      <c r="F317" s="539"/>
      <c r="G317" s="539"/>
      <c r="H317" s="539"/>
      <c r="I317" s="539"/>
      <c r="J317" s="539"/>
      <c r="K317" s="539"/>
      <c r="L317" s="539"/>
      <c r="M317" s="539"/>
      <c r="N317" s="539"/>
      <c r="O317" s="539"/>
      <c r="P317" s="539"/>
      <c r="Q317" s="539"/>
      <c r="R317" s="539"/>
      <c r="S317" s="539"/>
      <c r="T317" s="539"/>
      <c r="U317" s="539"/>
      <c r="V317" s="539"/>
      <c r="W317" s="539"/>
      <c r="X317" s="539"/>
      <c r="Y317" s="539"/>
      <c r="Z317" s="539"/>
      <c r="AA317" s="539"/>
      <c r="AB317" s="539"/>
      <c r="AC317" s="539"/>
      <c r="AD317" s="539"/>
      <c r="AE317" s="539"/>
      <c r="AF317" s="539"/>
      <c r="AG317" s="539"/>
      <c r="AH317" s="539"/>
      <c r="AI317" s="539"/>
      <c r="AJ317" s="539"/>
      <c r="AK317" s="539"/>
      <c r="AL317" s="539"/>
      <c r="AM317" s="539"/>
      <c r="AN317" s="539"/>
      <c r="AO317" s="539"/>
      <c r="AP317" s="539"/>
      <c r="AQ317" s="539"/>
      <c r="AR317" s="539"/>
      <c r="AS317" s="539"/>
      <c r="AT317" s="539"/>
      <c r="AU317" s="539"/>
      <c r="AV317" s="539"/>
      <c r="AW317" s="539"/>
      <c r="AX317" s="539"/>
    </row>
    <row r="318" spans="2:50" ht="14.25" customHeight="1" x14ac:dyDescent="0.3">
      <c r="B318" s="957"/>
      <c r="C318" s="540"/>
      <c r="D318" s="540"/>
      <c r="E318" s="540"/>
      <c r="F318" s="539"/>
      <c r="G318" s="539"/>
      <c r="H318" s="539"/>
      <c r="I318" s="539"/>
      <c r="J318" s="539"/>
      <c r="K318" s="539"/>
      <c r="L318" s="539"/>
      <c r="M318" s="539"/>
      <c r="N318" s="539"/>
      <c r="O318" s="539"/>
      <c r="P318" s="539"/>
      <c r="Q318" s="539"/>
      <c r="R318" s="539"/>
      <c r="S318" s="539"/>
      <c r="T318" s="539"/>
      <c r="U318" s="539"/>
      <c r="V318" s="539"/>
      <c r="W318" s="539"/>
      <c r="X318" s="539"/>
      <c r="Y318" s="539"/>
      <c r="Z318" s="539"/>
      <c r="AA318" s="539"/>
      <c r="AB318" s="539"/>
      <c r="AC318" s="539"/>
      <c r="AD318" s="539"/>
      <c r="AE318" s="539"/>
      <c r="AF318" s="539"/>
      <c r="AG318" s="539"/>
      <c r="AH318" s="539"/>
      <c r="AI318" s="539"/>
      <c r="AJ318" s="539"/>
      <c r="AK318" s="539"/>
      <c r="AL318" s="539"/>
      <c r="AM318" s="539"/>
      <c r="AN318" s="539"/>
      <c r="AO318" s="539"/>
      <c r="AP318" s="539"/>
      <c r="AQ318" s="539"/>
      <c r="AR318" s="539"/>
      <c r="AS318" s="539"/>
      <c r="AT318" s="539"/>
      <c r="AU318" s="539"/>
      <c r="AV318" s="539"/>
      <c r="AW318" s="539"/>
      <c r="AX318" s="539"/>
    </row>
    <row r="319" spans="2:50" ht="14.25" customHeight="1" x14ac:dyDescent="0.3">
      <c r="B319" s="957"/>
      <c r="C319" s="540"/>
      <c r="D319" s="540"/>
      <c r="E319" s="540"/>
      <c r="F319" s="539"/>
      <c r="G319" s="539"/>
      <c r="H319" s="539"/>
      <c r="I319" s="539"/>
      <c r="J319" s="539"/>
      <c r="K319" s="539"/>
      <c r="L319" s="539"/>
      <c r="M319" s="539"/>
      <c r="N319" s="539"/>
      <c r="O319" s="539"/>
      <c r="P319" s="539"/>
      <c r="Q319" s="539"/>
      <c r="R319" s="539"/>
      <c r="S319" s="539"/>
      <c r="T319" s="539"/>
      <c r="U319" s="539"/>
      <c r="V319" s="539"/>
      <c r="W319" s="539"/>
      <c r="X319" s="539"/>
      <c r="Y319" s="539"/>
      <c r="Z319" s="539"/>
      <c r="AA319" s="539"/>
      <c r="AB319" s="539"/>
      <c r="AC319" s="539"/>
      <c r="AD319" s="539"/>
      <c r="AE319" s="539"/>
      <c r="AF319" s="539"/>
      <c r="AG319" s="539"/>
      <c r="AH319" s="539"/>
      <c r="AI319" s="539"/>
      <c r="AJ319" s="539"/>
      <c r="AK319" s="539"/>
      <c r="AL319" s="539"/>
      <c r="AM319" s="539"/>
      <c r="AN319" s="539"/>
      <c r="AO319" s="539"/>
      <c r="AP319" s="539"/>
      <c r="AQ319" s="539"/>
      <c r="AR319" s="539"/>
      <c r="AS319" s="539"/>
      <c r="AT319" s="539"/>
      <c r="AU319" s="539"/>
      <c r="AV319" s="539"/>
      <c r="AW319" s="539"/>
      <c r="AX319" s="539"/>
    </row>
    <row r="320" spans="2:50" ht="14.25" customHeight="1" x14ac:dyDescent="0.3">
      <c r="B320" s="957"/>
      <c r="C320" s="540"/>
      <c r="D320" s="540"/>
      <c r="E320" s="540"/>
      <c r="F320" s="539"/>
      <c r="G320" s="539"/>
      <c r="H320" s="539"/>
      <c r="I320" s="539"/>
      <c r="J320" s="539"/>
      <c r="K320" s="539"/>
      <c r="L320" s="539"/>
      <c r="M320" s="539"/>
      <c r="N320" s="539"/>
      <c r="O320" s="539"/>
      <c r="P320" s="539"/>
      <c r="Q320" s="539"/>
      <c r="R320" s="539"/>
      <c r="S320" s="539"/>
      <c r="T320" s="539"/>
      <c r="U320" s="539"/>
      <c r="V320" s="539"/>
      <c r="W320" s="539"/>
      <c r="X320" s="539"/>
      <c r="Y320" s="539"/>
      <c r="Z320" s="539"/>
      <c r="AA320" s="539"/>
      <c r="AB320" s="539"/>
      <c r="AC320" s="539"/>
      <c r="AD320" s="539"/>
      <c r="AE320" s="539"/>
      <c r="AF320" s="539"/>
      <c r="AG320" s="539"/>
      <c r="AH320" s="539"/>
      <c r="AI320" s="539"/>
      <c r="AJ320" s="539"/>
      <c r="AK320" s="539"/>
      <c r="AL320" s="539"/>
      <c r="AM320" s="539"/>
      <c r="AN320" s="539"/>
      <c r="AO320" s="539"/>
      <c r="AP320" s="539"/>
      <c r="AQ320" s="539"/>
      <c r="AR320" s="539"/>
      <c r="AS320" s="539"/>
      <c r="AT320" s="539"/>
      <c r="AU320" s="539"/>
      <c r="AV320" s="539"/>
      <c r="AW320" s="539"/>
      <c r="AX320" s="539"/>
    </row>
    <row r="321" spans="2:50" ht="14.25" customHeight="1" x14ac:dyDescent="0.3">
      <c r="B321" s="957"/>
      <c r="C321" s="540"/>
      <c r="D321" s="540"/>
      <c r="E321" s="540"/>
      <c r="F321" s="539"/>
      <c r="G321" s="539"/>
      <c r="H321" s="539"/>
      <c r="I321" s="539"/>
      <c r="J321" s="539"/>
      <c r="K321" s="539"/>
      <c r="L321" s="539"/>
      <c r="M321" s="539"/>
      <c r="N321" s="539"/>
      <c r="O321" s="539"/>
      <c r="P321" s="539"/>
      <c r="Q321" s="539"/>
      <c r="R321" s="539"/>
      <c r="S321" s="539"/>
      <c r="T321" s="539"/>
      <c r="U321" s="539"/>
      <c r="V321" s="539"/>
      <c r="W321" s="539"/>
      <c r="X321" s="539"/>
      <c r="Y321" s="539"/>
      <c r="Z321" s="539"/>
      <c r="AA321" s="539"/>
      <c r="AB321" s="539"/>
      <c r="AC321" s="539"/>
      <c r="AD321" s="539"/>
      <c r="AE321" s="539"/>
      <c r="AF321" s="539"/>
      <c r="AG321" s="539"/>
      <c r="AH321" s="539"/>
      <c r="AI321" s="539"/>
      <c r="AJ321" s="539"/>
      <c r="AK321" s="539"/>
      <c r="AL321" s="539"/>
      <c r="AM321" s="539"/>
      <c r="AN321" s="539"/>
      <c r="AO321" s="539"/>
      <c r="AP321" s="539"/>
      <c r="AQ321" s="539"/>
      <c r="AR321" s="539"/>
      <c r="AS321" s="539"/>
      <c r="AT321" s="539"/>
      <c r="AU321" s="539"/>
      <c r="AV321" s="539"/>
      <c r="AW321" s="539"/>
      <c r="AX321" s="539"/>
    </row>
    <row r="322" spans="2:50" ht="14.25" customHeight="1" x14ac:dyDescent="0.3">
      <c r="B322" s="957"/>
      <c r="C322" s="540"/>
      <c r="D322" s="540"/>
      <c r="E322" s="540"/>
      <c r="F322" s="539"/>
      <c r="G322" s="539"/>
      <c r="H322" s="539"/>
      <c r="I322" s="539"/>
      <c r="J322" s="539"/>
      <c r="K322" s="539"/>
      <c r="L322" s="539"/>
      <c r="M322" s="539"/>
      <c r="N322" s="539"/>
      <c r="O322" s="539"/>
      <c r="P322" s="539"/>
      <c r="Q322" s="539"/>
      <c r="R322" s="539"/>
      <c r="S322" s="539"/>
      <c r="T322" s="539"/>
      <c r="U322" s="539"/>
      <c r="V322" s="539"/>
      <c r="W322" s="539"/>
      <c r="X322" s="539"/>
      <c r="Y322" s="539"/>
      <c r="Z322" s="539"/>
      <c r="AA322" s="539"/>
      <c r="AB322" s="539"/>
      <c r="AC322" s="539"/>
      <c r="AD322" s="539"/>
      <c r="AE322" s="539"/>
      <c r="AF322" s="539"/>
      <c r="AG322" s="539"/>
      <c r="AH322" s="539"/>
      <c r="AI322" s="539"/>
      <c r="AJ322" s="539"/>
      <c r="AK322" s="539"/>
      <c r="AL322" s="539"/>
      <c r="AM322" s="539"/>
      <c r="AN322" s="539"/>
      <c r="AO322" s="539"/>
      <c r="AP322" s="539"/>
      <c r="AQ322" s="539"/>
      <c r="AR322" s="539"/>
      <c r="AS322" s="539"/>
      <c r="AT322" s="539"/>
      <c r="AU322" s="539"/>
      <c r="AV322" s="539"/>
      <c r="AW322" s="539"/>
      <c r="AX322" s="539"/>
    </row>
    <row r="323" spans="2:50" ht="14.25" customHeight="1" x14ac:dyDescent="0.3">
      <c r="B323" s="957"/>
      <c r="C323" s="540"/>
      <c r="D323" s="540"/>
      <c r="E323" s="540"/>
      <c r="F323" s="539"/>
      <c r="G323" s="539"/>
      <c r="H323" s="539"/>
      <c r="I323" s="539"/>
      <c r="J323" s="539"/>
      <c r="K323" s="539"/>
      <c r="L323" s="539"/>
      <c r="M323" s="539"/>
      <c r="N323" s="539"/>
      <c r="O323" s="539"/>
      <c r="P323" s="539"/>
      <c r="Q323" s="539"/>
      <c r="R323" s="539"/>
      <c r="S323" s="539"/>
      <c r="T323" s="539"/>
      <c r="U323" s="539"/>
      <c r="V323" s="539"/>
      <c r="W323" s="539"/>
      <c r="X323" s="539"/>
      <c r="Y323" s="539"/>
      <c r="Z323" s="539"/>
      <c r="AA323" s="539"/>
      <c r="AB323" s="539"/>
      <c r="AC323" s="539"/>
      <c r="AD323" s="539"/>
      <c r="AE323" s="539"/>
      <c r="AF323" s="539"/>
      <c r="AG323" s="539"/>
      <c r="AH323" s="539"/>
      <c r="AI323" s="539"/>
      <c r="AJ323" s="539"/>
      <c r="AK323" s="539"/>
      <c r="AL323" s="539"/>
      <c r="AM323" s="539"/>
      <c r="AN323" s="539"/>
      <c r="AO323" s="539"/>
      <c r="AP323" s="539"/>
      <c r="AQ323" s="539"/>
      <c r="AR323" s="539"/>
      <c r="AS323" s="539"/>
      <c r="AT323" s="539"/>
      <c r="AU323" s="539"/>
      <c r="AV323" s="539"/>
      <c r="AW323" s="539"/>
      <c r="AX323" s="539"/>
    </row>
    <row r="324" spans="2:50" ht="14.25" customHeight="1" x14ac:dyDescent="0.3">
      <c r="B324" s="957"/>
      <c r="C324" s="540"/>
      <c r="D324" s="540"/>
      <c r="E324" s="540"/>
      <c r="F324" s="539"/>
      <c r="G324" s="539"/>
      <c r="H324" s="539"/>
      <c r="I324" s="539"/>
      <c r="J324" s="539"/>
      <c r="K324" s="539"/>
      <c r="L324" s="539"/>
      <c r="M324" s="539"/>
      <c r="N324" s="539"/>
      <c r="O324" s="539"/>
      <c r="P324" s="539"/>
      <c r="Q324" s="539"/>
      <c r="R324" s="539"/>
      <c r="S324" s="539"/>
      <c r="T324" s="539"/>
      <c r="U324" s="539"/>
      <c r="V324" s="539"/>
      <c r="W324" s="539"/>
      <c r="X324" s="539"/>
      <c r="Y324" s="539"/>
      <c r="Z324" s="539"/>
      <c r="AA324" s="539"/>
      <c r="AB324" s="539"/>
      <c r="AC324" s="539"/>
      <c r="AD324" s="539"/>
      <c r="AE324" s="539"/>
      <c r="AF324" s="539"/>
      <c r="AG324" s="539"/>
      <c r="AH324" s="539"/>
      <c r="AI324" s="539"/>
      <c r="AJ324" s="539"/>
      <c r="AK324" s="539"/>
      <c r="AL324" s="539"/>
      <c r="AM324" s="539"/>
      <c r="AN324" s="539"/>
      <c r="AO324" s="539"/>
      <c r="AP324" s="539"/>
      <c r="AQ324" s="539"/>
      <c r="AR324" s="539"/>
      <c r="AS324" s="539"/>
      <c r="AT324" s="539"/>
      <c r="AU324" s="539"/>
      <c r="AV324" s="539"/>
      <c r="AW324" s="539"/>
      <c r="AX324" s="539"/>
    </row>
    <row r="325" spans="2:50" ht="14.25" customHeight="1" x14ac:dyDescent="0.3">
      <c r="B325" s="957"/>
      <c r="C325" s="540"/>
      <c r="D325" s="540"/>
      <c r="E325" s="540"/>
      <c r="F325" s="539"/>
      <c r="G325" s="539"/>
      <c r="H325" s="539"/>
      <c r="I325" s="539"/>
      <c r="J325" s="539"/>
      <c r="K325" s="539"/>
      <c r="L325" s="539"/>
      <c r="M325" s="539"/>
      <c r="N325" s="539"/>
      <c r="O325" s="539"/>
      <c r="P325" s="539"/>
      <c r="Q325" s="539"/>
      <c r="R325" s="539"/>
      <c r="S325" s="539"/>
      <c r="T325" s="539"/>
      <c r="U325" s="539"/>
      <c r="V325" s="539"/>
      <c r="W325" s="539"/>
      <c r="X325" s="539"/>
      <c r="Y325" s="539"/>
      <c r="Z325" s="539"/>
      <c r="AA325" s="539"/>
      <c r="AB325" s="539"/>
      <c r="AC325" s="539"/>
      <c r="AD325" s="539"/>
      <c r="AE325" s="539"/>
      <c r="AF325" s="539"/>
      <c r="AG325" s="539"/>
      <c r="AH325" s="539"/>
      <c r="AI325" s="539"/>
      <c r="AJ325" s="539"/>
      <c r="AK325" s="539"/>
      <c r="AL325" s="539"/>
      <c r="AM325" s="539"/>
      <c r="AN325" s="539"/>
      <c r="AO325" s="539"/>
      <c r="AP325" s="539"/>
      <c r="AQ325" s="539"/>
      <c r="AR325" s="539"/>
      <c r="AS325" s="539"/>
      <c r="AT325" s="539"/>
      <c r="AU325" s="539"/>
      <c r="AV325" s="539"/>
      <c r="AW325" s="539"/>
      <c r="AX325" s="539"/>
    </row>
    <row r="326" spans="2:50" ht="14.25" customHeight="1" x14ac:dyDescent="0.3">
      <c r="B326" s="957"/>
      <c r="C326" s="540"/>
      <c r="D326" s="540"/>
      <c r="E326" s="540"/>
      <c r="F326" s="539"/>
      <c r="G326" s="539"/>
      <c r="H326" s="539"/>
      <c r="I326" s="539"/>
      <c r="J326" s="539"/>
      <c r="K326" s="539"/>
      <c r="L326" s="539"/>
      <c r="M326" s="539"/>
      <c r="N326" s="539"/>
      <c r="O326" s="539"/>
      <c r="P326" s="539"/>
      <c r="Q326" s="539"/>
      <c r="R326" s="539"/>
      <c r="S326" s="539"/>
      <c r="T326" s="539"/>
      <c r="U326" s="539"/>
      <c r="V326" s="539"/>
      <c r="W326" s="539"/>
      <c r="X326" s="539"/>
      <c r="Y326" s="539"/>
      <c r="Z326" s="539"/>
      <c r="AA326" s="539"/>
      <c r="AB326" s="539"/>
      <c r="AC326" s="539"/>
      <c r="AD326" s="539"/>
      <c r="AE326" s="539"/>
      <c r="AF326" s="539"/>
      <c r="AG326" s="539"/>
      <c r="AH326" s="539"/>
      <c r="AI326" s="539"/>
      <c r="AJ326" s="539"/>
      <c r="AK326" s="539"/>
      <c r="AL326" s="539"/>
      <c r="AM326" s="539"/>
      <c r="AN326" s="539"/>
      <c r="AO326" s="539"/>
      <c r="AP326" s="539"/>
      <c r="AQ326" s="539"/>
      <c r="AR326" s="539"/>
      <c r="AS326" s="539"/>
      <c r="AT326" s="539"/>
      <c r="AU326" s="539"/>
      <c r="AV326" s="539"/>
      <c r="AW326" s="539"/>
      <c r="AX326" s="539"/>
    </row>
    <row r="327" spans="2:50" ht="14.25" customHeight="1" x14ac:dyDescent="0.3">
      <c r="B327" s="957"/>
      <c r="C327" s="540"/>
      <c r="D327" s="540"/>
      <c r="E327" s="540"/>
      <c r="F327" s="539"/>
      <c r="G327" s="539"/>
      <c r="H327" s="539"/>
      <c r="I327" s="539"/>
      <c r="J327" s="539"/>
      <c r="K327" s="539"/>
      <c r="L327" s="539"/>
      <c r="M327" s="539"/>
      <c r="N327" s="539"/>
      <c r="O327" s="539"/>
      <c r="P327" s="539"/>
      <c r="Q327" s="539"/>
      <c r="R327" s="539"/>
      <c r="S327" s="539"/>
      <c r="T327" s="539"/>
      <c r="U327" s="539"/>
      <c r="V327" s="539"/>
      <c r="W327" s="539"/>
      <c r="X327" s="539"/>
      <c r="Y327" s="539"/>
      <c r="Z327" s="539"/>
      <c r="AA327" s="539"/>
      <c r="AB327" s="539"/>
      <c r="AC327" s="539"/>
      <c r="AD327" s="539"/>
      <c r="AE327" s="539"/>
      <c r="AF327" s="539"/>
      <c r="AG327" s="539"/>
      <c r="AH327" s="539"/>
      <c r="AI327" s="539"/>
      <c r="AJ327" s="539"/>
      <c r="AK327" s="539"/>
      <c r="AL327" s="539"/>
      <c r="AM327" s="539"/>
      <c r="AN327" s="539"/>
      <c r="AO327" s="539"/>
      <c r="AP327" s="539"/>
      <c r="AQ327" s="539"/>
      <c r="AR327" s="539"/>
      <c r="AS327" s="539"/>
      <c r="AT327" s="539"/>
      <c r="AU327" s="539"/>
      <c r="AV327" s="539"/>
      <c r="AW327" s="539"/>
      <c r="AX327" s="539"/>
    </row>
    <row r="328" spans="2:50" ht="14.25" customHeight="1" x14ac:dyDescent="0.3">
      <c r="B328" s="957"/>
      <c r="C328" s="540"/>
      <c r="D328" s="540"/>
      <c r="E328" s="540"/>
      <c r="F328" s="539"/>
      <c r="G328" s="539"/>
      <c r="H328" s="539"/>
      <c r="I328" s="539"/>
      <c r="J328" s="539"/>
      <c r="K328" s="539"/>
      <c r="L328" s="539"/>
      <c r="M328" s="539"/>
      <c r="N328" s="539"/>
      <c r="O328" s="539"/>
      <c r="P328" s="539"/>
      <c r="Q328" s="539"/>
      <c r="R328" s="539"/>
      <c r="S328" s="539"/>
      <c r="T328" s="539"/>
      <c r="U328" s="539"/>
      <c r="V328" s="539"/>
      <c r="W328" s="539"/>
      <c r="X328" s="539"/>
      <c r="Y328" s="539"/>
      <c r="Z328" s="539"/>
      <c r="AA328" s="539"/>
      <c r="AB328" s="539"/>
      <c r="AC328" s="539"/>
      <c r="AD328" s="539"/>
      <c r="AE328" s="539"/>
      <c r="AF328" s="539"/>
      <c r="AG328" s="539"/>
      <c r="AH328" s="539"/>
      <c r="AI328" s="539"/>
      <c r="AJ328" s="539"/>
      <c r="AK328" s="539"/>
      <c r="AL328" s="539"/>
      <c r="AM328" s="539"/>
      <c r="AN328" s="539"/>
      <c r="AO328" s="539"/>
      <c r="AP328" s="539"/>
      <c r="AQ328" s="539"/>
      <c r="AR328" s="539"/>
      <c r="AS328" s="539"/>
      <c r="AT328" s="539"/>
      <c r="AU328" s="539"/>
      <c r="AV328" s="539"/>
      <c r="AW328" s="539"/>
      <c r="AX328" s="539"/>
    </row>
    <row r="329" spans="2:50" ht="14.25" customHeight="1" x14ac:dyDescent="0.3">
      <c r="B329" s="957"/>
      <c r="C329" s="540"/>
      <c r="D329" s="540"/>
      <c r="E329" s="540"/>
      <c r="F329" s="539"/>
      <c r="G329" s="539"/>
      <c r="H329" s="539"/>
      <c r="I329" s="539"/>
      <c r="J329" s="539"/>
      <c r="K329" s="539"/>
      <c r="L329" s="539"/>
      <c r="M329" s="539"/>
      <c r="N329" s="539"/>
      <c r="O329" s="539"/>
      <c r="P329" s="539"/>
      <c r="Q329" s="539"/>
      <c r="R329" s="539"/>
      <c r="S329" s="539"/>
      <c r="T329" s="539"/>
      <c r="U329" s="539"/>
      <c r="V329" s="539"/>
      <c r="W329" s="539"/>
      <c r="X329" s="539"/>
      <c r="Y329" s="539"/>
      <c r="Z329" s="539"/>
      <c r="AA329" s="539"/>
      <c r="AB329" s="539"/>
      <c r="AC329" s="539"/>
      <c r="AD329" s="539"/>
      <c r="AE329" s="539"/>
      <c r="AF329" s="539"/>
      <c r="AG329" s="539"/>
      <c r="AH329" s="539"/>
      <c r="AI329" s="539"/>
      <c r="AJ329" s="539"/>
      <c r="AK329" s="539"/>
      <c r="AL329" s="539"/>
      <c r="AM329" s="539"/>
      <c r="AN329" s="539"/>
      <c r="AO329" s="539"/>
      <c r="AP329" s="539"/>
      <c r="AQ329" s="539"/>
      <c r="AR329" s="539"/>
      <c r="AS329" s="539"/>
      <c r="AT329" s="539"/>
      <c r="AU329" s="539"/>
      <c r="AV329" s="539"/>
      <c r="AW329" s="539"/>
      <c r="AX329" s="539"/>
    </row>
    <row r="330" spans="2:50" ht="14.25" customHeight="1" x14ac:dyDescent="0.3">
      <c r="B330" s="957"/>
      <c r="C330" s="540"/>
      <c r="D330" s="540"/>
      <c r="E330" s="540"/>
      <c r="F330" s="539"/>
      <c r="G330" s="539"/>
      <c r="H330" s="539"/>
      <c r="I330" s="539"/>
      <c r="J330" s="539"/>
      <c r="K330" s="539"/>
      <c r="L330" s="539"/>
      <c r="M330" s="539"/>
      <c r="N330" s="539"/>
      <c r="O330" s="539"/>
      <c r="P330" s="539"/>
      <c r="Q330" s="539"/>
      <c r="R330" s="539"/>
      <c r="S330" s="539"/>
      <c r="T330" s="539"/>
      <c r="U330" s="539"/>
      <c r="V330" s="539"/>
      <c r="W330" s="539"/>
      <c r="X330" s="539"/>
      <c r="Y330" s="539"/>
      <c r="Z330" s="539"/>
      <c r="AA330" s="539"/>
      <c r="AB330" s="539"/>
      <c r="AC330" s="539"/>
      <c r="AD330" s="539"/>
      <c r="AE330" s="539"/>
      <c r="AF330" s="539"/>
      <c r="AG330" s="539"/>
      <c r="AH330" s="539"/>
      <c r="AI330" s="539"/>
      <c r="AJ330" s="539"/>
      <c r="AK330" s="539"/>
      <c r="AL330" s="539"/>
      <c r="AM330" s="539"/>
      <c r="AN330" s="539"/>
      <c r="AO330" s="539"/>
      <c r="AP330" s="539"/>
      <c r="AQ330" s="539"/>
      <c r="AR330" s="539"/>
      <c r="AS330" s="539"/>
      <c r="AT330" s="539"/>
      <c r="AU330" s="539"/>
      <c r="AV330" s="539"/>
      <c r="AW330" s="539"/>
      <c r="AX330" s="539"/>
    </row>
    <row r="331" spans="2:50" ht="14.25" customHeight="1" x14ac:dyDescent="0.3">
      <c r="B331" s="957"/>
      <c r="C331" s="540"/>
      <c r="D331" s="540"/>
      <c r="E331" s="540"/>
      <c r="F331" s="539"/>
      <c r="G331" s="539"/>
      <c r="H331" s="539"/>
      <c r="I331" s="539"/>
      <c r="J331" s="539"/>
      <c r="K331" s="539"/>
      <c r="L331" s="539"/>
      <c r="M331" s="539"/>
      <c r="N331" s="539"/>
      <c r="O331" s="539"/>
      <c r="P331" s="539"/>
      <c r="Q331" s="539"/>
      <c r="R331" s="539"/>
      <c r="S331" s="539"/>
      <c r="T331" s="539"/>
      <c r="U331" s="539"/>
      <c r="V331" s="539"/>
      <c r="W331" s="539"/>
      <c r="X331" s="539"/>
      <c r="Y331" s="539"/>
      <c r="Z331" s="539"/>
      <c r="AA331" s="539"/>
      <c r="AB331" s="539"/>
      <c r="AC331" s="539"/>
      <c r="AD331" s="539"/>
      <c r="AE331" s="539"/>
      <c r="AF331" s="539"/>
      <c r="AG331" s="539"/>
      <c r="AH331" s="539"/>
      <c r="AI331" s="539"/>
      <c r="AJ331" s="539"/>
      <c r="AK331" s="539"/>
      <c r="AL331" s="539"/>
      <c r="AM331" s="539"/>
      <c r="AN331" s="539"/>
      <c r="AO331" s="539"/>
      <c r="AP331" s="539"/>
      <c r="AQ331" s="539"/>
      <c r="AR331" s="539"/>
      <c r="AS331" s="539"/>
      <c r="AT331" s="539"/>
      <c r="AU331" s="539"/>
      <c r="AV331" s="539"/>
      <c r="AW331" s="539"/>
      <c r="AX331" s="539"/>
    </row>
    <row r="332" spans="2:50" ht="14.25" customHeight="1" x14ac:dyDescent="0.3">
      <c r="B332" s="957"/>
      <c r="C332" s="540"/>
      <c r="D332" s="540"/>
      <c r="E332" s="540"/>
      <c r="F332" s="539"/>
      <c r="G332" s="539"/>
      <c r="H332" s="539"/>
      <c r="I332" s="539"/>
      <c r="J332" s="539"/>
      <c r="K332" s="539"/>
      <c r="L332" s="539"/>
      <c r="M332" s="539"/>
      <c r="N332" s="539"/>
      <c r="O332" s="539"/>
      <c r="P332" s="539"/>
      <c r="Q332" s="539"/>
      <c r="R332" s="539"/>
      <c r="S332" s="539"/>
      <c r="T332" s="539"/>
      <c r="U332" s="539"/>
      <c r="V332" s="539"/>
      <c r="W332" s="539"/>
      <c r="X332" s="539"/>
      <c r="Y332" s="539"/>
      <c r="Z332" s="539"/>
      <c r="AA332" s="539"/>
      <c r="AB332" s="539"/>
      <c r="AC332" s="539"/>
      <c r="AD332" s="539"/>
      <c r="AE332" s="539"/>
      <c r="AF332" s="539"/>
      <c r="AG332" s="539"/>
      <c r="AH332" s="539"/>
      <c r="AI332" s="539"/>
      <c r="AJ332" s="539"/>
      <c r="AK332" s="539"/>
      <c r="AL332" s="539"/>
      <c r="AM332" s="539"/>
      <c r="AN332" s="539"/>
      <c r="AO332" s="539"/>
      <c r="AP332" s="539"/>
      <c r="AQ332" s="539"/>
      <c r="AR332" s="539"/>
      <c r="AS332" s="539"/>
      <c r="AT332" s="539"/>
      <c r="AU332" s="539"/>
      <c r="AV332" s="539"/>
      <c r="AW332" s="539"/>
      <c r="AX332" s="539"/>
    </row>
    <row r="333" spans="2:50" ht="14.25" customHeight="1" x14ac:dyDescent="0.3">
      <c r="B333" s="957"/>
      <c r="C333" s="540"/>
      <c r="D333" s="540"/>
      <c r="E333" s="540"/>
      <c r="F333" s="539"/>
      <c r="G333" s="539"/>
      <c r="H333" s="539"/>
      <c r="I333" s="539"/>
      <c r="J333" s="539"/>
      <c r="K333" s="539"/>
      <c r="L333" s="539"/>
      <c r="M333" s="539"/>
      <c r="N333" s="539"/>
      <c r="O333" s="539"/>
      <c r="P333" s="539"/>
      <c r="Q333" s="539"/>
      <c r="R333" s="539"/>
      <c r="S333" s="539"/>
      <c r="T333" s="539"/>
      <c r="U333" s="539"/>
      <c r="V333" s="539"/>
      <c r="W333" s="539"/>
      <c r="X333" s="539"/>
      <c r="Y333" s="539"/>
      <c r="Z333" s="539"/>
      <c r="AA333" s="539"/>
      <c r="AB333" s="539"/>
      <c r="AC333" s="539"/>
      <c r="AD333" s="539"/>
      <c r="AE333" s="539"/>
      <c r="AF333" s="539"/>
      <c r="AG333" s="539"/>
      <c r="AH333" s="539"/>
      <c r="AI333" s="539"/>
      <c r="AJ333" s="539"/>
      <c r="AK333" s="539"/>
      <c r="AL333" s="539"/>
      <c r="AM333" s="539"/>
      <c r="AN333" s="539"/>
      <c r="AO333" s="539"/>
      <c r="AP333" s="539"/>
      <c r="AQ333" s="539"/>
      <c r="AR333" s="539"/>
      <c r="AS333" s="539"/>
      <c r="AT333" s="539"/>
      <c r="AU333" s="539"/>
      <c r="AV333" s="539"/>
      <c r="AW333" s="539"/>
      <c r="AX333" s="539"/>
    </row>
    <row r="334" spans="2:50" ht="14.25" customHeight="1" x14ac:dyDescent="0.3">
      <c r="B334" s="957"/>
      <c r="C334" s="540"/>
      <c r="D334" s="540"/>
      <c r="E334" s="540"/>
      <c r="F334" s="539"/>
      <c r="G334" s="539"/>
      <c r="H334" s="539"/>
      <c r="I334" s="539"/>
      <c r="J334" s="539"/>
      <c r="K334" s="539"/>
      <c r="L334" s="539"/>
      <c r="M334" s="539"/>
      <c r="N334" s="539"/>
      <c r="O334" s="539"/>
      <c r="P334" s="539"/>
      <c r="Q334" s="539"/>
      <c r="R334" s="539"/>
      <c r="S334" s="539"/>
      <c r="T334" s="539"/>
      <c r="U334" s="539"/>
      <c r="V334" s="539"/>
      <c r="W334" s="539"/>
      <c r="X334" s="539"/>
      <c r="Y334" s="539"/>
      <c r="Z334" s="539"/>
      <c r="AA334" s="539"/>
      <c r="AB334" s="539"/>
      <c r="AC334" s="539"/>
      <c r="AD334" s="539"/>
      <c r="AE334" s="539"/>
      <c r="AF334" s="539"/>
      <c r="AG334" s="539"/>
      <c r="AH334" s="539"/>
      <c r="AI334" s="539"/>
      <c r="AJ334" s="539"/>
      <c r="AK334" s="539"/>
      <c r="AL334" s="539"/>
      <c r="AM334" s="539"/>
      <c r="AN334" s="539"/>
      <c r="AO334" s="539"/>
      <c r="AP334" s="539"/>
      <c r="AQ334" s="539"/>
      <c r="AR334" s="539"/>
      <c r="AS334" s="539"/>
      <c r="AT334" s="539"/>
      <c r="AU334" s="539"/>
      <c r="AV334" s="539"/>
      <c r="AW334" s="539"/>
      <c r="AX334" s="539"/>
    </row>
    <row r="335" spans="2:50" ht="14.25" customHeight="1" x14ac:dyDescent="0.3">
      <c r="B335" s="957"/>
      <c r="C335" s="540"/>
      <c r="D335" s="540"/>
      <c r="E335" s="540"/>
      <c r="F335" s="539"/>
      <c r="G335" s="539"/>
      <c r="H335" s="539"/>
      <c r="I335" s="539"/>
      <c r="J335" s="539"/>
      <c r="K335" s="539"/>
      <c r="L335" s="539"/>
      <c r="M335" s="539"/>
      <c r="N335" s="539"/>
      <c r="O335" s="539"/>
      <c r="P335" s="539"/>
      <c r="Q335" s="539"/>
      <c r="R335" s="539"/>
      <c r="S335" s="539"/>
      <c r="T335" s="539"/>
      <c r="U335" s="539"/>
      <c r="V335" s="539"/>
      <c r="W335" s="539"/>
      <c r="X335" s="539"/>
      <c r="Y335" s="539"/>
      <c r="Z335" s="539"/>
      <c r="AA335" s="539"/>
      <c r="AB335" s="539"/>
      <c r="AC335" s="539"/>
      <c r="AD335" s="539"/>
      <c r="AE335" s="539"/>
      <c r="AF335" s="539"/>
      <c r="AG335" s="539"/>
      <c r="AH335" s="539"/>
      <c r="AI335" s="539"/>
      <c r="AJ335" s="539"/>
      <c r="AK335" s="539"/>
      <c r="AL335" s="539"/>
      <c r="AM335" s="539"/>
      <c r="AN335" s="539"/>
      <c r="AO335" s="539"/>
      <c r="AP335" s="539"/>
      <c r="AQ335" s="539"/>
      <c r="AR335" s="539"/>
      <c r="AS335" s="539"/>
      <c r="AT335" s="539"/>
      <c r="AU335" s="539"/>
      <c r="AV335" s="539"/>
      <c r="AW335" s="539"/>
      <c r="AX335" s="539"/>
    </row>
    <row r="336" spans="2:50" ht="14.25" customHeight="1" x14ac:dyDescent="0.3">
      <c r="B336" s="957"/>
      <c r="C336" s="540"/>
      <c r="D336" s="540"/>
      <c r="E336" s="540"/>
      <c r="F336" s="539"/>
      <c r="G336" s="539"/>
      <c r="H336" s="539"/>
      <c r="I336" s="539"/>
      <c r="J336" s="539"/>
      <c r="K336" s="539"/>
      <c r="L336" s="539"/>
      <c r="M336" s="539"/>
      <c r="N336" s="539"/>
      <c r="O336" s="539"/>
      <c r="P336" s="539"/>
      <c r="Q336" s="539"/>
      <c r="R336" s="539"/>
      <c r="S336" s="539"/>
      <c r="T336" s="539"/>
      <c r="U336" s="539"/>
      <c r="V336" s="539"/>
      <c r="W336" s="539"/>
      <c r="X336" s="539"/>
      <c r="Y336" s="539"/>
      <c r="Z336" s="539"/>
      <c r="AA336" s="539"/>
      <c r="AB336" s="539"/>
      <c r="AC336" s="539"/>
      <c r="AD336" s="539"/>
      <c r="AE336" s="539"/>
      <c r="AF336" s="539"/>
      <c r="AG336" s="539"/>
      <c r="AH336" s="539"/>
      <c r="AI336" s="539"/>
      <c r="AJ336" s="539"/>
      <c r="AK336" s="539"/>
      <c r="AL336" s="539"/>
      <c r="AM336" s="539"/>
      <c r="AN336" s="539"/>
      <c r="AO336" s="539"/>
      <c r="AP336" s="539"/>
      <c r="AQ336" s="539"/>
      <c r="AR336" s="539"/>
      <c r="AS336" s="539"/>
      <c r="AT336" s="539"/>
      <c r="AU336" s="539"/>
      <c r="AV336" s="539"/>
      <c r="AW336" s="539"/>
      <c r="AX336" s="539"/>
    </row>
    <row r="337" spans="2:50" ht="14.25" customHeight="1" x14ac:dyDescent="0.3">
      <c r="B337" s="957"/>
      <c r="C337" s="540"/>
      <c r="D337" s="540"/>
      <c r="E337" s="540"/>
      <c r="F337" s="539"/>
      <c r="G337" s="539"/>
      <c r="H337" s="539"/>
      <c r="I337" s="539"/>
      <c r="J337" s="539"/>
      <c r="K337" s="539"/>
      <c r="L337" s="539"/>
      <c r="M337" s="539"/>
      <c r="N337" s="539"/>
      <c r="O337" s="539"/>
      <c r="P337" s="539"/>
      <c r="Q337" s="539"/>
      <c r="R337" s="539"/>
      <c r="S337" s="539"/>
      <c r="T337" s="539"/>
      <c r="U337" s="539"/>
      <c r="V337" s="539"/>
      <c r="W337" s="539"/>
      <c r="X337" s="539"/>
      <c r="Y337" s="539"/>
      <c r="Z337" s="539"/>
      <c r="AA337" s="539"/>
      <c r="AB337" s="539"/>
      <c r="AC337" s="539"/>
      <c r="AD337" s="539"/>
      <c r="AE337" s="539"/>
      <c r="AF337" s="539"/>
      <c r="AG337" s="539"/>
      <c r="AH337" s="539"/>
      <c r="AI337" s="539"/>
      <c r="AJ337" s="539"/>
      <c r="AK337" s="539"/>
      <c r="AL337" s="539"/>
      <c r="AM337" s="539"/>
      <c r="AN337" s="539"/>
      <c r="AO337" s="539"/>
      <c r="AP337" s="539"/>
      <c r="AQ337" s="539"/>
      <c r="AR337" s="539"/>
      <c r="AS337" s="539"/>
      <c r="AT337" s="539"/>
      <c r="AU337" s="539"/>
      <c r="AV337" s="539"/>
      <c r="AW337" s="539"/>
      <c r="AX337" s="539"/>
    </row>
    <row r="338" spans="2:50" ht="14.25" customHeight="1" x14ac:dyDescent="0.3">
      <c r="B338" s="957"/>
      <c r="C338" s="540"/>
      <c r="D338" s="540"/>
      <c r="E338" s="540"/>
      <c r="F338" s="539"/>
      <c r="G338" s="539"/>
      <c r="H338" s="539"/>
      <c r="I338" s="539"/>
      <c r="J338" s="539"/>
      <c r="K338" s="539"/>
      <c r="L338" s="539"/>
      <c r="M338" s="539"/>
      <c r="N338" s="539"/>
      <c r="O338" s="539"/>
      <c r="P338" s="539"/>
      <c r="Q338" s="539"/>
      <c r="R338" s="539"/>
      <c r="S338" s="539"/>
      <c r="T338" s="539"/>
      <c r="U338" s="539"/>
      <c r="V338" s="539"/>
      <c r="W338" s="539"/>
      <c r="X338" s="539"/>
      <c r="Y338" s="539"/>
      <c r="Z338" s="539"/>
      <c r="AA338" s="539"/>
      <c r="AB338" s="539"/>
      <c r="AC338" s="539"/>
      <c r="AD338" s="539"/>
      <c r="AE338" s="539"/>
      <c r="AF338" s="539"/>
      <c r="AG338" s="539"/>
      <c r="AH338" s="539"/>
      <c r="AI338" s="539"/>
      <c r="AJ338" s="539"/>
      <c r="AK338" s="539"/>
      <c r="AL338" s="539"/>
      <c r="AM338" s="539"/>
      <c r="AN338" s="539"/>
      <c r="AO338" s="539"/>
      <c r="AP338" s="539"/>
      <c r="AQ338" s="539"/>
      <c r="AR338" s="539"/>
      <c r="AS338" s="539"/>
      <c r="AT338" s="539"/>
      <c r="AU338" s="539"/>
      <c r="AV338" s="539"/>
      <c r="AW338" s="539"/>
      <c r="AX338" s="539"/>
    </row>
    <row r="339" spans="2:50" ht="14.25" customHeight="1" x14ac:dyDescent="0.3">
      <c r="B339" s="957"/>
      <c r="C339" s="540"/>
      <c r="D339" s="540"/>
      <c r="E339" s="540"/>
      <c r="F339" s="539"/>
      <c r="G339" s="539"/>
      <c r="H339" s="539"/>
      <c r="I339" s="539"/>
      <c r="J339" s="539"/>
      <c r="K339" s="539"/>
      <c r="L339" s="539"/>
      <c r="M339" s="539"/>
      <c r="N339" s="539"/>
      <c r="O339" s="539"/>
      <c r="P339" s="539"/>
      <c r="Q339" s="539"/>
      <c r="R339" s="539"/>
      <c r="S339" s="539"/>
      <c r="T339" s="539"/>
      <c r="U339" s="539"/>
      <c r="V339" s="539"/>
      <c r="W339" s="539"/>
      <c r="X339" s="539"/>
      <c r="Y339" s="539"/>
      <c r="Z339" s="539"/>
      <c r="AA339" s="539"/>
      <c r="AB339" s="539"/>
      <c r="AC339" s="539"/>
      <c r="AD339" s="539"/>
      <c r="AE339" s="539"/>
      <c r="AF339" s="539"/>
      <c r="AG339" s="539"/>
      <c r="AH339" s="539"/>
      <c r="AI339" s="539"/>
      <c r="AJ339" s="539"/>
      <c r="AK339" s="539"/>
      <c r="AL339" s="539"/>
      <c r="AM339" s="539"/>
      <c r="AN339" s="539"/>
      <c r="AO339" s="539"/>
      <c r="AP339" s="539"/>
      <c r="AQ339" s="539"/>
      <c r="AR339" s="539"/>
      <c r="AS339" s="539"/>
      <c r="AT339" s="539"/>
      <c r="AU339" s="539"/>
      <c r="AV339" s="539"/>
      <c r="AW339" s="539"/>
      <c r="AX339" s="539"/>
    </row>
    <row r="340" spans="2:50" ht="14.25" customHeight="1" x14ac:dyDescent="0.3">
      <c r="B340" s="957"/>
      <c r="C340" s="540"/>
      <c r="D340" s="540"/>
      <c r="E340" s="540"/>
      <c r="F340" s="539"/>
      <c r="G340" s="539"/>
      <c r="H340" s="539"/>
      <c r="I340" s="539"/>
      <c r="J340" s="539"/>
      <c r="K340" s="539"/>
      <c r="L340" s="539"/>
      <c r="M340" s="539"/>
      <c r="N340" s="539"/>
      <c r="O340" s="539"/>
      <c r="P340" s="539"/>
      <c r="Q340" s="539"/>
      <c r="R340" s="539"/>
      <c r="S340" s="539"/>
      <c r="T340" s="539"/>
      <c r="U340" s="539"/>
      <c r="V340" s="539"/>
      <c r="W340" s="539"/>
      <c r="X340" s="539"/>
      <c r="Y340" s="539"/>
      <c r="Z340" s="539"/>
      <c r="AA340" s="539"/>
      <c r="AB340" s="539"/>
      <c r="AC340" s="539"/>
      <c r="AD340" s="539"/>
      <c r="AE340" s="539"/>
      <c r="AF340" s="539"/>
      <c r="AG340" s="539"/>
      <c r="AH340" s="539"/>
      <c r="AI340" s="539"/>
      <c r="AJ340" s="539"/>
      <c r="AK340" s="539"/>
      <c r="AL340" s="539"/>
      <c r="AM340" s="539"/>
      <c r="AN340" s="539"/>
      <c r="AO340" s="539"/>
      <c r="AP340" s="539"/>
      <c r="AQ340" s="539"/>
      <c r="AR340" s="539"/>
      <c r="AS340" s="539"/>
      <c r="AT340" s="539"/>
      <c r="AU340" s="539"/>
      <c r="AV340" s="539"/>
      <c r="AW340" s="539"/>
      <c r="AX340" s="539"/>
    </row>
    <row r="341" spans="2:50" ht="14.25" customHeight="1" x14ac:dyDescent="0.3">
      <c r="B341" s="957"/>
      <c r="C341" s="540"/>
      <c r="D341" s="540"/>
      <c r="E341" s="540"/>
      <c r="F341" s="539"/>
      <c r="G341" s="539"/>
      <c r="H341" s="539"/>
      <c r="I341" s="539"/>
      <c r="J341" s="539"/>
      <c r="K341" s="539"/>
      <c r="L341" s="539"/>
      <c r="M341" s="539"/>
      <c r="N341" s="539"/>
      <c r="O341" s="539"/>
      <c r="P341" s="539"/>
      <c r="Q341" s="539"/>
      <c r="R341" s="539"/>
      <c r="S341" s="539"/>
      <c r="T341" s="539"/>
      <c r="U341" s="539"/>
      <c r="V341" s="539"/>
      <c r="W341" s="539"/>
      <c r="X341" s="539"/>
      <c r="Y341" s="539"/>
      <c r="Z341" s="539"/>
      <c r="AA341" s="539"/>
      <c r="AB341" s="539"/>
      <c r="AC341" s="539"/>
      <c r="AD341" s="539"/>
      <c r="AE341" s="539"/>
      <c r="AF341" s="539"/>
      <c r="AG341" s="539"/>
      <c r="AH341" s="539"/>
      <c r="AI341" s="539"/>
      <c r="AJ341" s="539"/>
      <c r="AK341" s="539"/>
      <c r="AL341" s="539"/>
      <c r="AM341" s="539"/>
      <c r="AN341" s="539"/>
      <c r="AO341" s="539"/>
      <c r="AP341" s="539"/>
      <c r="AQ341" s="539"/>
      <c r="AR341" s="539"/>
      <c r="AS341" s="539"/>
      <c r="AT341" s="539"/>
      <c r="AU341" s="539"/>
      <c r="AV341" s="539"/>
      <c r="AW341" s="539"/>
      <c r="AX341" s="539"/>
    </row>
    <row r="342" spans="2:50" ht="14.25" customHeight="1" x14ac:dyDescent="0.3">
      <c r="B342" s="957"/>
      <c r="C342" s="540"/>
      <c r="D342" s="540"/>
      <c r="E342" s="540"/>
      <c r="F342" s="539"/>
      <c r="G342" s="539"/>
      <c r="H342" s="539"/>
      <c r="I342" s="539"/>
      <c r="J342" s="539"/>
      <c r="K342" s="539"/>
      <c r="L342" s="539"/>
      <c r="M342" s="539"/>
      <c r="N342" s="539"/>
      <c r="O342" s="539"/>
      <c r="P342" s="539"/>
      <c r="Q342" s="539"/>
      <c r="R342" s="539"/>
      <c r="S342" s="539"/>
      <c r="T342" s="539"/>
      <c r="U342" s="539"/>
      <c r="V342" s="539"/>
      <c r="W342" s="539"/>
      <c r="X342" s="539"/>
      <c r="Y342" s="539"/>
      <c r="Z342" s="539"/>
      <c r="AA342" s="539"/>
      <c r="AB342" s="539"/>
      <c r="AC342" s="539"/>
      <c r="AD342" s="539"/>
      <c r="AE342" s="539"/>
      <c r="AF342" s="539"/>
      <c r="AG342" s="539"/>
      <c r="AH342" s="539"/>
      <c r="AI342" s="539"/>
      <c r="AJ342" s="539"/>
      <c r="AK342" s="539"/>
      <c r="AL342" s="539"/>
      <c r="AM342" s="539"/>
      <c r="AN342" s="539"/>
      <c r="AO342" s="539"/>
      <c r="AP342" s="539"/>
      <c r="AQ342" s="539"/>
      <c r="AR342" s="539"/>
      <c r="AS342" s="539"/>
      <c r="AT342" s="539"/>
      <c r="AU342" s="539"/>
      <c r="AV342" s="539"/>
      <c r="AW342" s="539"/>
      <c r="AX342" s="539"/>
    </row>
    <row r="343" spans="2:50" ht="14.25" customHeight="1" x14ac:dyDescent="0.3">
      <c r="B343" s="957"/>
      <c r="C343" s="540"/>
      <c r="D343" s="540"/>
      <c r="E343" s="540"/>
      <c r="F343" s="539"/>
      <c r="G343" s="539"/>
      <c r="H343" s="539"/>
      <c r="I343" s="539"/>
      <c r="J343" s="539"/>
      <c r="K343" s="539"/>
      <c r="L343" s="539"/>
      <c r="M343" s="539"/>
      <c r="N343" s="539"/>
      <c r="O343" s="539"/>
      <c r="P343" s="539"/>
      <c r="Q343" s="539"/>
      <c r="R343" s="539"/>
      <c r="S343" s="539"/>
      <c r="T343" s="539"/>
      <c r="U343" s="539"/>
      <c r="V343" s="539"/>
      <c r="W343" s="539"/>
      <c r="X343" s="539"/>
      <c r="Y343" s="539"/>
      <c r="Z343" s="539"/>
      <c r="AA343" s="539"/>
      <c r="AB343" s="539"/>
      <c r="AC343" s="539"/>
      <c r="AD343" s="539"/>
      <c r="AE343" s="539"/>
      <c r="AF343" s="539"/>
      <c r="AG343" s="539"/>
      <c r="AH343" s="539"/>
      <c r="AI343" s="539"/>
      <c r="AJ343" s="539"/>
      <c r="AK343" s="539"/>
      <c r="AL343" s="539"/>
      <c r="AM343" s="539"/>
      <c r="AN343" s="539"/>
      <c r="AO343" s="539"/>
      <c r="AP343" s="539"/>
      <c r="AQ343" s="539"/>
      <c r="AR343" s="539"/>
      <c r="AS343" s="539"/>
      <c r="AT343" s="539"/>
      <c r="AU343" s="539"/>
      <c r="AV343" s="539"/>
      <c r="AW343" s="539"/>
      <c r="AX343" s="539"/>
    </row>
    <row r="344" spans="2:50" ht="14.25" customHeight="1" x14ac:dyDescent="0.3">
      <c r="B344" s="957"/>
      <c r="C344" s="540"/>
      <c r="D344" s="540"/>
      <c r="E344" s="540"/>
      <c r="F344" s="539"/>
      <c r="G344" s="539"/>
      <c r="H344" s="539"/>
      <c r="I344" s="539"/>
      <c r="J344" s="539"/>
      <c r="K344" s="539"/>
      <c r="L344" s="539"/>
      <c r="M344" s="539"/>
      <c r="N344" s="539"/>
      <c r="O344" s="539"/>
      <c r="P344" s="539"/>
      <c r="Q344" s="539"/>
      <c r="R344" s="539"/>
      <c r="S344" s="539"/>
      <c r="T344" s="539"/>
      <c r="U344" s="539"/>
      <c r="V344" s="539"/>
      <c r="W344" s="539"/>
      <c r="X344" s="539"/>
      <c r="Y344" s="539"/>
      <c r="Z344" s="539"/>
      <c r="AA344" s="539"/>
      <c r="AB344" s="539"/>
      <c r="AC344" s="539"/>
      <c r="AD344" s="539"/>
      <c r="AE344" s="539"/>
      <c r="AF344" s="539"/>
      <c r="AG344" s="539"/>
      <c r="AH344" s="539"/>
      <c r="AI344" s="539"/>
      <c r="AJ344" s="539"/>
      <c r="AK344" s="539"/>
      <c r="AL344" s="539"/>
      <c r="AM344" s="539"/>
      <c r="AN344" s="539"/>
      <c r="AO344" s="539"/>
      <c r="AP344" s="539"/>
      <c r="AQ344" s="539"/>
      <c r="AR344" s="539"/>
      <c r="AS344" s="539"/>
      <c r="AT344" s="539"/>
      <c r="AU344" s="539"/>
      <c r="AV344" s="539"/>
      <c r="AW344" s="539"/>
      <c r="AX344" s="539"/>
    </row>
    <row r="345" spans="2:50" ht="14.25" customHeight="1" x14ac:dyDescent="0.3">
      <c r="B345" s="957"/>
      <c r="C345" s="540"/>
      <c r="D345" s="540"/>
      <c r="E345" s="540"/>
      <c r="F345" s="539"/>
      <c r="G345" s="539"/>
      <c r="H345" s="539"/>
      <c r="I345" s="539"/>
      <c r="J345" s="539"/>
      <c r="K345" s="539"/>
      <c r="L345" s="539"/>
      <c r="M345" s="539"/>
      <c r="N345" s="539"/>
      <c r="O345" s="539"/>
      <c r="P345" s="539"/>
      <c r="Q345" s="539"/>
      <c r="R345" s="539"/>
      <c r="S345" s="539"/>
      <c r="T345" s="539"/>
      <c r="U345" s="539"/>
      <c r="V345" s="539"/>
      <c r="W345" s="539"/>
      <c r="X345" s="539"/>
      <c r="Y345" s="539"/>
      <c r="Z345" s="539"/>
      <c r="AA345" s="539"/>
      <c r="AB345" s="539"/>
      <c r="AC345" s="539"/>
      <c r="AD345" s="539"/>
      <c r="AE345" s="539"/>
      <c r="AF345" s="539"/>
      <c r="AG345" s="539"/>
      <c r="AH345" s="539"/>
      <c r="AI345" s="539"/>
      <c r="AJ345" s="539"/>
      <c r="AK345" s="539"/>
      <c r="AL345" s="539"/>
      <c r="AM345" s="539"/>
      <c r="AN345" s="539"/>
      <c r="AO345" s="539"/>
      <c r="AP345" s="539"/>
      <c r="AQ345" s="539"/>
      <c r="AR345" s="539"/>
      <c r="AS345" s="539"/>
      <c r="AT345" s="539"/>
      <c r="AU345" s="539"/>
      <c r="AV345" s="539"/>
      <c r="AW345" s="539"/>
      <c r="AX345" s="539"/>
    </row>
    <row r="346" spans="2:50" ht="14.25" customHeight="1" x14ac:dyDescent="0.3">
      <c r="B346" s="957"/>
      <c r="C346" s="540"/>
      <c r="D346" s="540"/>
      <c r="E346" s="540"/>
      <c r="F346" s="539"/>
      <c r="G346" s="539"/>
      <c r="H346" s="539"/>
      <c r="I346" s="539"/>
      <c r="J346" s="539"/>
      <c r="K346" s="539"/>
      <c r="L346" s="539"/>
      <c r="M346" s="539"/>
      <c r="N346" s="539"/>
      <c r="O346" s="539"/>
      <c r="P346" s="539"/>
      <c r="Q346" s="539"/>
      <c r="R346" s="539"/>
      <c r="S346" s="539"/>
      <c r="T346" s="539"/>
      <c r="U346" s="539"/>
      <c r="V346" s="539"/>
      <c r="W346" s="539"/>
      <c r="X346" s="539"/>
      <c r="Y346" s="539"/>
      <c r="Z346" s="539"/>
      <c r="AA346" s="539"/>
      <c r="AB346" s="539"/>
      <c r="AC346" s="539"/>
      <c r="AD346" s="539"/>
      <c r="AE346" s="539"/>
      <c r="AF346" s="539"/>
      <c r="AG346" s="539"/>
      <c r="AH346" s="539"/>
      <c r="AI346" s="539"/>
      <c r="AJ346" s="539"/>
      <c r="AK346" s="539"/>
      <c r="AL346" s="539"/>
      <c r="AM346" s="539"/>
      <c r="AN346" s="539"/>
      <c r="AO346" s="539"/>
      <c r="AP346" s="539"/>
      <c r="AQ346" s="539"/>
      <c r="AR346" s="539"/>
      <c r="AS346" s="539"/>
      <c r="AT346" s="539"/>
      <c r="AU346" s="539"/>
      <c r="AV346" s="539"/>
      <c r="AW346" s="539"/>
      <c r="AX346" s="539"/>
    </row>
    <row r="347" spans="2:50" ht="14.25" customHeight="1" x14ac:dyDescent="0.3">
      <c r="B347" s="957"/>
      <c r="C347" s="540"/>
      <c r="D347" s="540"/>
      <c r="E347" s="540"/>
      <c r="F347" s="539"/>
      <c r="G347" s="539"/>
      <c r="H347" s="539"/>
      <c r="I347" s="539"/>
      <c r="J347" s="539"/>
      <c r="K347" s="539"/>
      <c r="L347" s="539"/>
      <c r="M347" s="539"/>
      <c r="N347" s="539"/>
      <c r="O347" s="539"/>
      <c r="P347" s="539"/>
      <c r="Q347" s="539"/>
      <c r="R347" s="539"/>
      <c r="S347" s="539"/>
      <c r="T347" s="539"/>
      <c r="U347" s="539"/>
      <c r="V347" s="539"/>
      <c r="W347" s="539"/>
      <c r="X347" s="539"/>
      <c r="Y347" s="539"/>
      <c r="Z347" s="539"/>
      <c r="AA347" s="539"/>
      <c r="AB347" s="539"/>
      <c r="AC347" s="539"/>
      <c r="AD347" s="539"/>
      <c r="AE347" s="539"/>
      <c r="AF347" s="539"/>
      <c r="AG347" s="539"/>
      <c r="AH347" s="539"/>
      <c r="AI347" s="539"/>
      <c r="AJ347" s="539"/>
      <c r="AK347" s="539"/>
      <c r="AL347" s="539"/>
      <c r="AM347" s="539"/>
      <c r="AN347" s="539"/>
      <c r="AO347" s="539"/>
      <c r="AP347" s="539"/>
      <c r="AQ347" s="539"/>
      <c r="AR347" s="539"/>
      <c r="AS347" s="539"/>
      <c r="AT347" s="539"/>
      <c r="AU347" s="539"/>
      <c r="AV347" s="539"/>
      <c r="AW347" s="539"/>
      <c r="AX347" s="539"/>
    </row>
    <row r="348" spans="2:50" ht="14.25" customHeight="1" x14ac:dyDescent="0.3">
      <c r="B348" s="957"/>
      <c r="C348" s="540"/>
      <c r="D348" s="540"/>
      <c r="E348" s="540"/>
      <c r="F348" s="539"/>
      <c r="G348" s="539"/>
      <c r="H348" s="539"/>
      <c r="I348" s="539"/>
      <c r="J348" s="539"/>
      <c r="K348" s="539"/>
      <c r="L348" s="539"/>
      <c r="M348" s="539"/>
      <c r="N348" s="539"/>
      <c r="O348" s="539"/>
      <c r="P348" s="539"/>
      <c r="Q348" s="539"/>
      <c r="R348" s="539"/>
      <c r="S348" s="539"/>
      <c r="T348" s="539"/>
      <c r="U348" s="539"/>
      <c r="V348" s="539"/>
      <c r="W348" s="539"/>
      <c r="X348" s="539"/>
      <c r="Y348" s="539"/>
      <c r="Z348" s="539"/>
      <c r="AA348" s="539"/>
      <c r="AB348" s="539"/>
      <c r="AC348" s="539"/>
      <c r="AD348" s="539"/>
      <c r="AE348" s="539"/>
      <c r="AF348" s="539"/>
      <c r="AG348" s="539"/>
      <c r="AH348" s="539"/>
      <c r="AI348" s="539"/>
      <c r="AJ348" s="539"/>
      <c r="AK348" s="539"/>
      <c r="AL348" s="539"/>
      <c r="AM348" s="539"/>
      <c r="AN348" s="539"/>
      <c r="AO348" s="539"/>
      <c r="AP348" s="539"/>
      <c r="AQ348" s="539"/>
      <c r="AR348" s="539"/>
      <c r="AS348" s="539"/>
      <c r="AT348" s="539"/>
      <c r="AU348" s="539"/>
      <c r="AV348" s="539"/>
      <c r="AW348" s="539"/>
      <c r="AX348" s="539"/>
    </row>
    <row r="349" spans="2:50" ht="14.25" customHeight="1" x14ac:dyDescent="0.3">
      <c r="B349" s="957"/>
      <c r="C349" s="540"/>
      <c r="D349" s="540"/>
      <c r="E349" s="540"/>
      <c r="F349" s="539"/>
      <c r="G349" s="539"/>
      <c r="H349" s="539"/>
      <c r="I349" s="539"/>
      <c r="J349" s="539"/>
      <c r="K349" s="539"/>
      <c r="L349" s="539"/>
      <c r="M349" s="539"/>
      <c r="N349" s="539"/>
      <c r="O349" s="539"/>
      <c r="P349" s="539"/>
      <c r="Q349" s="539"/>
      <c r="R349" s="539"/>
      <c r="S349" s="539"/>
      <c r="T349" s="539"/>
      <c r="U349" s="539"/>
      <c r="V349" s="539"/>
      <c r="W349" s="539"/>
      <c r="X349" s="539"/>
      <c r="Y349" s="539"/>
      <c r="Z349" s="539"/>
      <c r="AA349" s="539"/>
      <c r="AB349" s="539"/>
      <c r="AC349" s="539"/>
      <c r="AD349" s="539"/>
      <c r="AE349" s="539"/>
      <c r="AF349" s="539"/>
      <c r="AG349" s="539"/>
      <c r="AH349" s="539"/>
      <c r="AI349" s="539"/>
      <c r="AJ349" s="539"/>
      <c r="AK349" s="539"/>
      <c r="AL349" s="539"/>
      <c r="AM349" s="539"/>
      <c r="AN349" s="539"/>
      <c r="AO349" s="539"/>
      <c r="AP349" s="539"/>
      <c r="AQ349" s="539"/>
      <c r="AR349" s="539"/>
      <c r="AS349" s="539"/>
      <c r="AT349" s="539"/>
      <c r="AU349" s="539"/>
      <c r="AV349" s="539"/>
      <c r="AW349" s="539"/>
      <c r="AX349" s="539"/>
    </row>
    <row r="350" spans="2:50" ht="14.25" customHeight="1" x14ac:dyDescent="0.3">
      <c r="B350" s="957"/>
      <c r="C350" s="540"/>
      <c r="D350" s="540"/>
      <c r="E350" s="540"/>
      <c r="F350" s="539"/>
      <c r="G350" s="539"/>
      <c r="H350" s="539"/>
      <c r="I350" s="539"/>
      <c r="J350" s="539"/>
      <c r="K350" s="539"/>
      <c r="L350" s="539"/>
      <c r="M350" s="539"/>
      <c r="N350" s="539"/>
      <c r="O350" s="539"/>
      <c r="P350" s="539"/>
      <c r="Q350" s="539"/>
      <c r="R350" s="539"/>
      <c r="S350" s="539"/>
      <c r="T350" s="539"/>
      <c r="U350" s="539"/>
      <c r="V350" s="539"/>
      <c r="W350" s="539"/>
      <c r="X350" s="539"/>
      <c r="Y350" s="539"/>
      <c r="Z350" s="539"/>
      <c r="AA350" s="539"/>
      <c r="AB350" s="539"/>
      <c r="AC350" s="539"/>
      <c r="AD350" s="539"/>
      <c r="AE350" s="539"/>
      <c r="AF350" s="539"/>
      <c r="AG350" s="539"/>
      <c r="AH350" s="539"/>
      <c r="AI350" s="539"/>
      <c r="AJ350" s="539"/>
      <c r="AK350" s="539"/>
      <c r="AL350" s="539"/>
      <c r="AM350" s="539"/>
      <c r="AN350" s="539"/>
      <c r="AO350" s="539"/>
      <c r="AP350" s="539"/>
      <c r="AQ350" s="539"/>
      <c r="AR350" s="539"/>
      <c r="AS350" s="539"/>
      <c r="AT350" s="539"/>
      <c r="AU350" s="539"/>
      <c r="AV350" s="539"/>
      <c r="AW350" s="539"/>
      <c r="AX350" s="539"/>
    </row>
    <row r="351" spans="2:50" ht="14.25" customHeight="1" x14ac:dyDescent="0.3">
      <c r="B351" s="957"/>
      <c r="C351" s="540"/>
      <c r="D351" s="540"/>
      <c r="E351" s="540"/>
      <c r="F351" s="539"/>
      <c r="G351" s="539"/>
      <c r="H351" s="539"/>
      <c r="I351" s="539"/>
      <c r="J351" s="539"/>
      <c r="K351" s="539"/>
      <c r="L351" s="539"/>
      <c r="M351" s="539"/>
      <c r="N351" s="539"/>
      <c r="O351" s="539"/>
      <c r="P351" s="539"/>
      <c r="Q351" s="539"/>
      <c r="R351" s="539"/>
      <c r="S351" s="539"/>
      <c r="T351" s="539"/>
      <c r="U351" s="539"/>
      <c r="V351" s="539"/>
      <c r="W351" s="539"/>
      <c r="X351" s="539"/>
      <c r="Y351" s="539"/>
      <c r="Z351" s="539"/>
      <c r="AA351" s="539"/>
      <c r="AB351" s="539"/>
      <c r="AC351" s="539"/>
      <c r="AD351" s="539"/>
      <c r="AE351" s="539"/>
      <c r="AF351" s="539"/>
      <c r="AG351" s="539"/>
      <c r="AH351" s="539"/>
      <c r="AI351" s="539"/>
      <c r="AJ351" s="539"/>
      <c r="AK351" s="539"/>
      <c r="AL351" s="539"/>
      <c r="AM351" s="539"/>
      <c r="AN351" s="539"/>
      <c r="AO351" s="539"/>
      <c r="AP351" s="539"/>
      <c r="AQ351" s="539"/>
      <c r="AR351" s="539"/>
      <c r="AS351" s="539"/>
      <c r="AT351" s="539"/>
      <c r="AU351" s="539"/>
      <c r="AV351" s="539"/>
      <c r="AW351" s="539"/>
      <c r="AX351" s="539"/>
    </row>
    <row r="352" spans="2:50" ht="14.25" customHeight="1" x14ac:dyDescent="0.3">
      <c r="B352" s="957"/>
      <c r="C352" s="540"/>
      <c r="D352" s="540"/>
      <c r="E352" s="540"/>
      <c r="F352" s="539"/>
      <c r="G352" s="539"/>
      <c r="H352" s="539"/>
      <c r="I352" s="539"/>
      <c r="J352" s="539"/>
      <c r="K352" s="539"/>
      <c r="L352" s="539"/>
      <c r="M352" s="539"/>
      <c r="N352" s="539"/>
      <c r="O352" s="539"/>
      <c r="P352" s="539"/>
      <c r="Q352" s="539"/>
      <c r="R352" s="539"/>
      <c r="S352" s="539"/>
      <c r="T352" s="539"/>
      <c r="U352" s="539"/>
      <c r="V352" s="539"/>
      <c r="W352" s="539"/>
      <c r="X352" s="539"/>
      <c r="Y352" s="539"/>
      <c r="Z352" s="539"/>
      <c r="AA352" s="539"/>
      <c r="AB352" s="539"/>
      <c r="AC352" s="539"/>
      <c r="AD352" s="539"/>
      <c r="AE352" s="539"/>
      <c r="AF352" s="539"/>
      <c r="AG352" s="539"/>
      <c r="AH352" s="539"/>
      <c r="AI352" s="539"/>
      <c r="AJ352" s="539"/>
      <c r="AK352" s="539"/>
      <c r="AL352" s="539"/>
      <c r="AM352" s="539"/>
      <c r="AN352" s="539"/>
      <c r="AO352" s="539"/>
      <c r="AP352" s="539"/>
      <c r="AQ352" s="539"/>
      <c r="AR352" s="539"/>
      <c r="AS352" s="539"/>
      <c r="AT352" s="539"/>
      <c r="AU352" s="539"/>
      <c r="AV352" s="539"/>
      <c r="AW352" s="539"/>
      <c r="AX352" s="539"/>
    </row>
    <row r="353" spans="2:50" ht="14.25" customHeight="1" x14ac:dyDescent="0.3">
      <c r="B353" s="957"/>
      <c r="C353" s="540"/>
      <c r="D353" s="540"/>
      <c r="E353" s="540"/>
      <c r="F353" s="539"/>
      <c r="G353" s="539"/>
      <c r="H353" s="539"/>
      <c r="I353" s="539"/>
      <c r="J353" s="539"/>
      <c r="K353" s="539"/>
      <c r="L353" s="539"/>
      <c r="M353" s="539"/>
      <c r="N353" s="539"/>
      <c r="O353" s="539"/>
      <c r="P353" s="539"/>
      <c r="Q353" s="539"/>
      <c r="R353" s="539"/>
      <c r="S353" s="539"/>
      <c r="T353" s="539"/>
      <c r="U353" s="539"/>
      <c r="V353" s="539"/>
      <c r="W353" s="539"/>
      <c r="X353" s="539"/>
      <c r="Y353" s="539"/>
      <c r="Z353" s="539"/>
      <c r="AA353" s="539"/>
      <c r="AB353" s="539"/>
      <c r="AC353" s="539"/>
      <c r="AD353" s="539"/>
      <c r="AE353" s="539"/>
      <c r="AF353" s="539"/>
      <c r="AG353" s="539"/>
      <c r="AH353" s="539"/>
      <c r="AI353" s="539"/>
      <c r="AJ353" s="539"/>
      <c r="AK353" s="539"/>
      <c r="AL353" s="539"/>
      <c r="AM353" s="539"/>
      <c r="AN353" s="539"/>
      <c r="AO353" s="539"/>
      <c r="AP353" s="539"/>
      <c r="AQ353" s="539"/>
      <c r="AR353" s="539"/>
      <c r="AS353" s="539"/>
      <c r="AT353" s="539"/>
      <c r="AU353" s="539"/>
      <c r="AV353" s="539"/>
      <c r="AW353" s="539"/>
      <c r="AX353" s="539"/>
    </row>
    <row r="354" spans="2:50" ht="14.25" customHeight="1" x14ac:dyDescent="0.3">
      <c r="B354" s="957"/>
      <c r="C354" s="540"/>
      <c r="D354" s="540"/>
      <c r="E354" s="540"/>
      <c r="F354" s="539"/>
      <c r="G354" s="539"/>
      <c r="H354" s="539"/>
      <c r="I354" s="539"/>
      <c r="J354" s="539"/>
      <c r="K354" s="539"/>
      <c r="L354" s="539"/>
      <c r="M354" s="539"/>
      <c r="N354" s="539"/>
      <c r="O354" s="539"/>
      <c r="P354" s="539"/>
      <c r="Q354" s="539"/>
      <c r="R354" s="539"/>
      <c r="S354" s="539"/>
      <c r="T354" s="539"/>
      <c r="U354" s="539"/>
      <c r="V354" s="539"/>
      <c r="W354" s="539"/>
      <c r="X354" s="539"/>
      <c r="Y354" s="539"/>
      <c r="Z354" s="539"/>
      <c r="AA354" s="539"/>
      <c r="AB354" s="539"/>
      <c r="AC354" s="539"/>
      <c r="AD354" s="539"/>
      <c r="AE354" s="539"/>
      <c r="AF354" s="539"/>
      <c r="AG354" s="539"/>
      <c r="AH354" s="539"/>
      <c r="AI354" s="539"/>
      <c r="AJ354" s="539"/>
      <c r="AK354" s="539"/>
      <c r="AL354" s="539"/>
      <c r="AM354" s="539"/>
      <c r="AN354" s="539"/>
      <c r="AO354" s="539"/>
      <c r="AP354" s="539"/>
      <c r="AQ354" s="539"/>
      <c r="AR354" s="539"/>
      <c r="AS354" s="539"/>
      <c r="AT354" s="539"/>
      <c r="AU354" s="539"/>
      <c r="AV354" s="539"/>
      <c r="AW354" s="539"/>
      <c r="AX354" s="539"/>
    </row>
    <row r="355" spans="2:50" ht="14.25" customHeight="1" x14ac:dyDescent="0.3">
      <c r="B355" s="957"/>
      <c r="C355" s="540"/>
      <c r="D355" s="540"/>
      <c r="E355" s="540"/>
      <c r="F355" s="539"/>
      <c r="G355" s="539"/>
      <c r="H355" s="539"/>
      <c r="I355" s="539"/>
      <c r="J355" s="539"/>
      <c r="K355" s="539"/>
      <c r="L355" s="539"/>
      <c r="M355" s="539"/>
      <c r="N355" s="539"/>
      <c r="O355" s="539"/>
      <c r="P355" s="539"/>
      <c r="Q355" s="539"/>
      <c r="R355" s="539"/>
      <c r="S355" s="539"/>
      <c r="T355" s="539"/>
      <c r="U355" s="539"/>
      <c r="V355" s="539"/>
      <c r="W355" s="539"/>
      <c r="X355" s="539"/>
      <c r="Y355" s="539"/>
      <c r="Z355" s="539"/>
      <c r="AA355" s="539"/>
      <c r="AB355" s="539"/>
      <c r="AC355" s="539"/>
      <c r="AD355" s="539"/>
      <c r="AE355" s="539"/>
      <c r="AF355" s="539"/>
      <c r="AG355" s="539"/>
      <c r="AH355" s="539"/>
      <c r="AI355" s="539"/>
      <c r="AJ355" s="539"/>
      <c r="AK355" s="539"/>
      <c r="AL355" s="539"/>
      <c r="AM355" s="539"/>
      <c r="AN355" s="539"/>
      <c r="AO355" s="539"/>
      <c r="AP355" s="539"/>
      <c r="AQ355" s="539"/>
      <c r="AR355" s="539"/>
      <c r="AS355" s="539"/>
      <c r="AT355" s="539"/>
      <c r="AU355" s="539"/>
      <c r="AV355" s="539"/>
      <c r="AW355" s="539"/>
      <c r="AX355" s="539"/>
    </row>
    <row r="356" spans="2:50" ht="14.25" customHeight="1" x14ac:dyDescent="0.3">
      <c r="B356" s="957"/>
      <c r="C356" s="540"/>
      <c r="D356" s="540"/>
      <c r="E356" s="540"/>
      <c r="F356" s="539"/>
      <c r="G356" s="539"/>
      <c r="H356" s="539"/>
      <c r="I356" s="539"/>
      <c r="J356" s="539"/>
      <c r="K356" s="539"/>
      <c r="L356" s="539"/>
      <c r="M356" s="539"/>
      <c r="N356" s="539"/>
      <c r="O356" s="539"/>
      <c r="P356" s="539"/>
      <c r="Q356" s="539"/>
      <c r="R356" s="539"/>
      <c r="S356" s="539"/>
      <c r="T356" s="539"/>
      <c r="U356" s="539"/>
      <c r="V356" s="539"/>
      <c r="W356" s="539"/>
      <c r="X356" s="539"/>
      <c r="Y356" s="539"/>
      <c r="Z356" s="539"/>
      <c r="AA356" s="539"/>
      <c r="AB356" s="539"/>
      <c r="AC356" s="539"/>
      <c r="AD356" s="539"/>
      <c r="AE356" s="539"/>
      <c r="AF356" s="539"/>
      <c r="AG356" s="539"/>
      <c r="AH356" s="539"/>
      <c r="AI356" s="539"/>
      <c r="AJ356" s="539"/>
      <c r="AK356" s="539"/>
      <c r="AL356" s="539"/>
      <c r="AM356" s="539"/>
      <c r="AN356" s="539"/>
      <c r="AO356" s="539"/>
      <c r="AP356" s="539"/>
      <c r="AQ356" s="539"/>
      <c r="AR356" s="539"/>
      <c r="AS356" s="539"/>
      <c r="AT356" s="539"/>
      <c r="AU356" s="539"/>
      <c r="AV356" s="539"/>
      <c r="AW356" s="539"/>
      <c r="AX356" s="539"/>
    </row>
    <row r="357" spans="2:50" ht="14.25" customHeight="1" x14ac:dyDescent="0.3">
      <c r="B357" s="957"/>
      <c r="C357" s="540"/>
      <c r="D357" s="540"/>
      <c r="E357" s="540"/>
      <c r="F357" s="539"/>
      <c r="G357" s="539"/>
      <c r="H357" s="539"/>
      <c r="I357" s="539"/>
      <c r="J357" s="539"/>
      <c r="K357" s="539"/>
      <c r="L357" s="539"/>
      <c r="M357" s="539"/>
      <c r="N357" s="539"/>
      <c r="O357" s="539"/>
      <c r="P357" s="539"/>
      <c r="Q357" s="539"/>
      <c r="R357" s="539"/>
      <c r="S357" s="539"/>
      <c r="T357" s="539"/>
      <c r="U357" s="539"/>
      <c r="V357" s="539"/>
      <c r="W357" s="539"/>
      <c r="X357" s="539"/>
      <c r="Y357" s="539"/>
      <c r="Z357" s="539"/>
      <c r="AA357" s="539"/>
      <c r="AB357" s="539"/>
      <c r="AC357" s="539"/>
      <c r="AD357" s="539"/>
      <c r="AE357" s="539"/>
      <c r="AF357" s="539"/>
      <c r="AG357" s="539"/>
      <c r="AH357" s="539"/>
      <c r="AI357" s="539"/>
      <c r="AJ357" s="539"/>
      <c r="AK357" s="539"/>
      <c r="AL357" s="539"/>
      <c r="AM357" s="539"/>
      <c r="AN357" s="539"/>
      <c r="AO357" s="539"/>
      <c r="AP357" s="539"/>
      <c r="AQ357" s="539"/>
      <c r="AR357" s="539"/>
      <c r="AS357" s="539"/>
      <c r="AT357" s="539"/>
      <c r="AU357" s="539"/>
      <c r="AV357" s="539"/>
      <c r="AW357" s="539"/>
      <c r="AX357" s="539"/>
    </row>
    <row r="358" spans="2:50" ht="14.25" customHeight="1" x14ac:dyDescent="0.3">
      <c r="B358" s="957"/>
      <c r="C358" s="540"/>
      <c r="D358" s="540"/>
      <c r="E358" s="540"/>
      <c r="F358" s="539"/>
      <c r="G358" s="539"/>
      <c r="H358" s="539"/>
      <c r="I358" s="539"/>
      <c r="J358" s="539"/>
      <c r="K358" s="539"/>
      <c r="L358" s="539"/>
      <c r="M358" s="539"/>
      <c r="N358" s="539"/>
      <c r="O358" s="539"/>
      <c r="P358" s="539"/>
      <c r="Q358" s="539"/>
      <c r="R358" s="539"/>
      <c r="S358" s="539"/>
      <c r="T358" s="539"/>
      <c r="U358" s="539"/>
      <c r="V358" s="539"/>
      <c r="W358" s="539"/>
      <c r="X358" s="539"/>
      <c r="Y358" s="539"/>
      <c r="Z358" s="539"/>
      <c r="AA358" s="539"/>
      <c r="AB358" s="539"/>
      <c r="AC358" s="539"/>
      <c r="AD358" s="539"/>
      <c r="AE358" s="539"/>
      <c r="AF358" s="539"/>
      <c r="AG358" s="539"/>
      <c r="AH358" s="539"/>
      <c r="AI358" s="539"/>
      <c r="AJ358" s="539"/>
      <c r="AK358" s="539"/>
      <c r="AL358" s="539"/>
      <c r="AM358" s="539"/>
      <c r="AN358" s="539"/>
      <c r="AO358" s="539"/>
      <c r="AP358" s="539"/>
      <c r="AQ358" s="539"/>
      <c r="AR358" s="539"/>
      <c r="AS358" s="539"/>
      <c r="AT358" s="539"/>
      <c r="AU358" s="539"/>
      <c r="AV358" s="539"/>
      <c r="AW358" s="539"/>
      <c r="AX358" s="539"/>
    </row>
    <row r="359" spans="2:50" ht="14.25" customHeight="1" x14ac:dyDescent="0.3">
      <c r="B359" s="957"/>
      <c r="C359" s="540"/>
      <c r="D359" s="540"/>
      <c r="E359" s="540"/>
      <c r="F359" s="539"/>
      <c r="G359" s="539"/>
      <c r="H359" s="539"/>
      <c r="I359" s="539"/>
      <c r="J359" s="539"/>
      <c r="K359" s="539"/>
      <c r="L359" s="539"/>
      <c r="M359" s="539"/>
      <c r="N359" s="539"/>
      <c r="O359" s="539"/>
      <c r="P359" s="539"/>
      <c r="Q359" s="539"/>
      <c r="R359" s="539"/>
      <c r="S359" s="539"/>
      <c r="T359" s="539"/>
      <c r="U359" s="539"/>
      <c r="V359" s="539"/>
      <c r="W359" s="539"/>
      <c r="X359" s="539"/>
      <c r="Y359" s="539"/>
      <c r="Z359" s="539"/>
      <c r="AA359" s="539"/>
      <c r="AB359" s="539"/>
      <c r="AC359" s="539"/>
      <c r="AD359" s="539"/>
      <c r="AE359" s="539"/>
      <c r="AF359" s="539"/>
      <c r="AG359" s="539"/>
      <c r="AH359" s="539"/>
      <c r="AI359" s="539"/>
      <c r="AJ359" s="539"/>
      <c r="AK359" s="539"/>
      <c r="AL359" s="539"/>
      <c r="AM359" s="539"/>
      <c r="AN359" s="539"/>
      <c r="AO359" s="539"/>
      <c r="AP359" s="539"/>
      <c r="AQ359" s="539"/>
      <c r="AR359" s="539"/>
      <c r="AS359" s="539"/>
      <c r="AT359" s="539"/>
      <c r="AU359" s="539"/>
      <c r="AV359" s="539"/>
      <c r="AW359" s="539"/>
      <c r="AX359" s="539"/>
    </row>
    <row r="360" spans="2:50" ht="14.25" customHeight="1" x14ac:dyDescent="0.3">
      <c r="B360" s="957"/>
      <c r="C360" s="540"/>
      <c r="D360" s="540"/>
      <c r="E360" s="540"/>
      <c r="F360" s="539"/>
      <c r="G360" s="539"/>
      <c r="H360" s="539"/>
      <c r="I360" s="539"/>
      <c r="J360" s="539"/>
      <c r="K360" s="539"/>
      <c r="L360" s="539"/>
      <c r="M360" s="539"/>
      <c r="N360" s="539"/>
      <c r="O360" s="539"/>
      <c r="P360" s="539"/>
      <c r="Q360" s="539"/>
      <c r="R360" s="539"/>
      <c r="S360" s="539"/>
      <c r="T360" s="539"/>
      <c r="U360" s="539"/>
      <c r="V360" s="539"/>
      <c r="W360" s="539"/>
      <c r="X360" s="539"/>
      <c r="Y360" s="539"/>
      <c r="Z360" s="539"/>
      <c r="AA360" s="539"/>
      <c r="AB360" s="539"/>
      <c r="AC360" s="539"/>
      <c r="AD360" s="539"/>
      <c r="AE360" s="539"/>
      <c r="AF360" s="539"/>
      <c r="AG360" s="539"/>
      <c r="AH360" s="539"/>
      <c r="AI360" s="539"/>
      <c r="AJ360" s="539"/>
      <c r="AK360" s="539"/>
      <c r="AL360" s="539"/>
      <c r="AM360" s="539"/>
      <c r="AN360" s="539"/>
      <c r="AO360" s="539"/>
      <c r="AP360" s="539"/>
      <c r="AQ360" s="539"/>
      <c r="AR360" s="539"/>
      <c r="AS360" s="539"/>
      <c r="AT360" s="539"/>
      <c r="AU360" s="539"/>
      <c r="AV360" s="539"/>
      <c r="AW360" s="539"/>
      <c r="AX360" s="539"/>
    </row>
    <row r="361" spans="2:50" ht="14.25" customHeight="1" x14ac:dyDescent="0.3">
      <c r="B361" s="957"/>
      <c r="C361" s="540"/>
      <c r="D361" s="540"/>
      <c r="E361" s="540"/>
      <c r="F361" s="539"/>
      <c r="G361" s="539"/>
      <c r="H361" s="539"/>
      <c r="I361" s="539"/>
      <c r="J361" s="539"/>
      <c r="K361" s="539"/>
      <c r="L361" s="539"/>
      <c r="M361" s="539"/>
      <c r="N361" s="539"/>
      <c r="O361" s="539"/>
      <c r="P361" s="539"/>
      <c r="Q361" s="539"/>
      <c r="R361" s="539"/>
      <c r="S361" s="539"/>
      <c r="T361" s="539"/>
      <c r="U361" s="539"/>
      <c r="V361" s="539"/>
      <c r="W361" s="539"/>
      <c r="X361" s="539"/>
      <c r="Y361" s="539"/>
      <c r="Z361" s="539"/>
      <c r="AA361" s="539"/>
      <c r="AB361" s="539"/>
      <c r="AC361" s="539"/>
      <c r="AD361" s="539"/>
      <c r="AE361" s="539"/>
      <c r="AF361" s="539"/>
      <c r="AG361" s="539"/>
      <c r="AH361" s="539"/>
      <c r="AI361" s="539"/>
      <c r="AJ361" s="539"/>
      <c r="AK361" s="539"/>
      <c r="AL361" s="539"/>
      <c r="AM361" s="539"/>
      <c r="AN361" s="539"/>
      <c r="AO361" s="539"/>
      <c r="AP361" s="539"/>
      <c r="AQ361" s="539"/>
      <c r="AR361" s="539"/>
      <c r="AS361" s="539"/>
      <c r="AT361" s="539"/>
      <c r="AU361" s="539"/>
      <c r="AV361" s="539"/>
      <c r="AW361" s="539"/>
      <c r="AX361" s="539"/>
    </row>
    <row r="362" spans="2:50" ht="14.25" customHeight="1" x14ac:dyDescent="0.3">
      <c r="B362" s="957"/>
      <c r="C362" s="540"/>
      <c r="D362" s="540"/>
      <c r="E362" s="540"/>
      <c r="F362" s="539"/>
      <c r="G362" s="539"/>
      <c r="H362" s="539"/>
      <c r="I362" s="539"/>
      <c r="J362" s="539"/>
      <c r="K362" s="539"/>
      <c r="L362" s="539"/>
      <c r="M362" s="539"/>
      <c r="N362" s="539"/>
      <c r="O362" s="539"/>
      <c r="P362" s="539"/>
      <c r="Q362" s="539"/>
      <c r="R362" s="539"/>
      <c r="S362" s="539"/>
      <c r="T362" s="539"/>
      <c r="U362" s="539"/>
      <c r="V362" s="539"/>
      <c r="W362" s="539"/>
      <c r="X362" s="539"/>
      <c r="Y362" s="539"/>
      <c r="Z362" s="539"/>
      <c r="AA362" s="539"/>
      <c r="AB362" s="539"/>
      <c r="AC362" s="539"/>
      <c r="AD362" s="539"/>
      <c r="AE362" s="539"/>
      <c r="AF362" s="539"/>
      <c r="AG362" s="539"/>
      <c r="AH362" s="539"/>
      <c r="AI362" s="539"/>
      <c r="AJ362" s="539"/>
      <c r="AK362" s="539"/>
      <c r="AL362" s="539"/>
      <c r="AM362" s="539"/>
      <c r="AN362" s="539"/>
      <c r="AO362" s="539"/>
      <c r="AP362" s="539"/>
      <c r="AQ362" s="539"/>
      <c r="AR362" s="539"/>
      <c r="AS362" s="539"/>
      <c r="AT362" s="539"/>
      <c r="AU362" s="539"/>
      <c r="AV362" s="539"/>
      <c r="AW362" s="539"/>
      <c r="AX362" s="539"/>
    </row>
    <row r="363" spans="2:50" ht="14.25" customHeight="1" x14ac:dyDescent="0.3">
      <c r="B363" s="957"/>
      <c r="C363" s="540"/>
      <c r="D363" s="540"/>
      <c r="E363" s="540"/>
      <c r="F363" s="539"/>
      <c r="G363" s="539"/>
      <c r="H363" s="539"/>
      <c r="I363" s="539"/>
      <c r="J363" s="539"/>
      <c r="K363" s="539"/>
      <c r="L363" s="539"/>
      <c r="M363" s="539"/>
      <c r="N363" s="539"/>
      <c r="O363" s="539"/>
      <c r="P363" s="539"/>
      <c r="Q363" s="539"/>
      <c r="R363" s="539"/>
      <c r="S363" s="539"/>
      <c r="T363" s="539"/>
      <c r="U363" s="539"/>
      <c r="V363" s="539"/>
      <c r="W363" s="539"/>
      <c r="X363" s="539"/>
      <c r="Y363" s="539"/>
      <c r="Z363" s="539"/>
      <c r="AA363" s="539"/>
      <c r="AB363" s="539"/>
      <c r="AC363" s="539"/>
      <c r="AD363" s="539"/>
      <c r="AE363" s="539"/>
      <c r="AF363" s="539"/>
      <c r="AG363" s="539"/>
      <c r="AH363" s="539"/>
      <c r="AI363" s="539"/>
      <c r="AJ363" s="539"/>
      <c r="AK363" s="539"/>
      <c r="AL363" s="539"/>
      <c r="AM363" s="539"/>
      <c r="AN363" s="539"/>
      <c r="AO363" s="539"/>
      <c r="AP363" s="539"/>
      <c r="AQ363" s="539"/>
      <c r="AR363" s="539"/>
      <c r="AS363" s="539"/>
      <c r="AT363" s="539"/>
      <c r="AU363" s="539"/>
      <c r="AV363" s="539"/>
      <c r="AW363" s="539"/>
      <c r="AX363" s="539"/>
    </row>
    <row r="364" spans="2:50" ht="14.25" customHeight="1" x14ac:dyDescent="0.3">
      <c r="B364" s="957"/>
      <c r="C364" s="540"/>
      <c r="D364" s="540"/>
      <c r="E364" s="540"/>
      <c r="F364" s="539"/>
      <c r="G364" s="539"/>
      <c r="H364" s="539"/>
      <c r="I364" s="539"/>
      <c r="J364" s="539"/>
      <c r="K364" s="539"/>
      <c r="L364" s="539"/>
      <c r="M364" s="539"/>
      <c r="N364" s="539"/>
      <c r="O364" s="539"/>
      <c r="P364" s="539"/>
      <c r="Q364" s="539"/>
      <c r="R364" s="539"/>
      <c r="S364" s="539"/>
      <c r="T364" s="539"/>
      <c r="U364" s="539"/>
      <c r="V364" s="539"/>
      <c r="W364" s="539"/>
      <c r="X364" s="539"/>
      <c r="Y364" s="539"/>
      <c r="Z364" s="539"/>
      <c r="AA364" s="539"/>
      <c r="AB364" s="539"/>
      <c r="AC364" s="539"/>
      <c r="AD364" s="539"/>
      <c r="AE364" s="539"/>
      <c r="AF364" s="539"/>
      <c r="AG364" s="539"/>
      <c r="AH364" s="539"/>
      <c r="AI364" s="539"/>
      <c r="AJ364" s="539"/>
      <c r="AK364" s="539"/>
      <c r="AL364" s="539"/>
      <c r="AM364" s="539"/>
      <c r="AN364" s="539"/>
      <c r="AO364" s="539"/>
      <c r="AP364" s="539"/>
      <c r="AQ364" s="539"/>
      <c r="AR364" s="539"/>
      <c r="AS364" s="539"/>
      <c r="AT364" s="539"/>
      <c r="AU364" s="539"/>
      <c r="AV364" s="539"/>
      <c r="AW364" s="539"/>
      <c r="AX364" s="539"/>
    </row>
    <row r="365" spans="2:50" ht="14.25" customHeight="1" x14ac:dyDescent="0.3">
      <c r="B365" s="957"/>
      <c r="C365" s="540"/>
      <c r="D365" s="540"/>
      <c r="E365" s="540"/>
      <c r="F365" s="539"/>
      <c r="G365" s="539"/>
      <c r="H365" s="539"/>
      <c r="I365" s="539"/>
      <c r="J365" s="539"/>
      <c r="K365" s="539"/>
      <c r="L365" s="539"/>
      <c r="M365" s="539"/>
      <c r="N365" s="539"/>
      <c r="O365" s="539"/>
      <c r="P365" s="539"/>
      <c r="Q365" s="539"/>
      <c r="R365" s="539"/>
      <c r="S365" s="539"/>
      <c r="T365" s="539"/>
      <c r="U365" s="539"/>
      <c r="V365" s="539"/>
      <c r="W365" s="539"/>
      <c r="X365" s="539"/>
      <c r="Y365" s="539"/>
      <c r="Z365" s="539"/>
      <c r="AA365" s="539"/>
      <c r="AB365" s="539"/>
      <c r="AC365" s="539"/>
      <c r="AD365" s="539"/>
      <c r="AE365" s="539"/>
      <c r="AF365" s="539"/>
      <c r="AG365" s="539"/>
      <c r="AH365" s="539"/>
      <c r="AI365" s="539"/>
      <c r="AJ365" s="539"/>
      <c r="AK365" s="539"/>
      <c r="AL365" s="539"/>
      <c r="AM365" s="539"/>
      <c r="AN365" s="539"/>
      <c r="AO365" s="539"/>
      <c r="AP365" s="539"/>
      <c r="AQ365" s="539"/>
      <c r="AR365" s="539"/>
      <c r="AS365" s="539"/>
      <c r="AT365" s="539"/>
      <c r="AU365" s="539"/>
      <c r="AV365" s="539"/>
      <c r="AW365" s="539"/>
      <c r="AX365" s="539"/>
    </row>
    <row r="366" spans="2:50" ht="14.25" customHeight="1" x14ac:dyDescent="0.3">
      <c r="B366" s="957"/>
      <c r="C366" s="540"/>
      <c r="D366" s="540"/>
      <c r="E366" s="540"/>
      <c r="F366" s="539"/>
      <c r="G366" s="539"/>
      <c r="H366" s="539"/>
      <c r="I366" s="539"/>
      <c r="J366" s="539"/>
      <c r="K366" s="539"/>
      <c r="L366" s="539"/>
      <c r="M366" s="539"/>
      <c r="N366" s="539"/>
      <c r="O366" s="539"/>
      <c r="P366" s="539"/>
      <c r="Q366" s="539"/>
      <c r="R366" s="539"/>
      <c r="S366" s="539"/>
      <c r="T366" s="539"/>
      <c r="U366" s="539"/>
      <c r="V366" s="539"/>
      <c r="W366" s="539"/>
      <c r="X366" s="539"/>
      <c r="Y366" s="539"/>
      <c r="Z366" s="539"/>
      <c r="AA366" s="539"/>
      <c r="AB366" s="539"/>
      <c r="AC366" s="539"/>
      <c r="AD366" s="539"/>
      <c r="AE366" s="539"/>
      <c r="AF366" s="539"/>
      <c r="AG366" s="539"/>
      <c r="AH366" s="539"/>
      <c r="AI366" s="539"/>
      <c r="AJ366" s="539"/>
      <c r="AK366" s="539"/>
      <c r="AL366" s="539"/>
      <c r="AM366" s="539"/>
      <c r="AN366" s="539"/>
      <c r="AO366" s="539"/>
      <c r="AP366" s="539"/>
      <c r="AQ366" s="539"/>
      <c r="AR366" s="539"/>
      <c r="AS366" s="539"/>
      <c r="AT366" s="539"/>
      <c r="AU366" s="539"/>
      <c r="AV366" s="539"/>
      <c r="AW366" s="539"/>
      <c r="AX366" s="539"/>
    </row>
    <row r="367" spans="2:50" ht="14.25" customHeight="1" x14ac:dyDescent="0.3">
      <c r="B367" s="957"/>
      <c r="C367" s="540"/>
      <c r="D367" s="540"/>
      <c r="E367" s="540"/>
      <c r="F367" s="539"/>
      <c r="G367" s="539"/>
      <c r="H367" s="539"/>
      <c r="I367" s="539"/>
      <c r="J367" s="539"/>
      <c r="K367" s="539"/>
      <c r="L367" s="539"/>
      <c r="M367" s="539"/>
      <c r="N367" s="539"/>
      <c r="O367" s="539"/>
      <c r="P367" s="539"/>
      <c r="Q367" s="539"/>
      <c r="R367" s="539"/>
      <c r="S367" s="539"/>
      <c r="T367" s="539"/>
      <c r="U367" s="539"/>
      <c r="V367" s="539"/>
      <c r="W367" s="539"/>
      <c r="X367" s="539"/>
      <c r="Y367" s="539"/>
      <c r="Z367" s="539"/>
      <c r="AA367" s="539"/>
      <c r="AB367" s="539"/>
      <c r="AC367" s="539"/>
      <c r="AD367" s="539"/>
      <c r="AE367" s="539"/>
      <c r="AF367" s="539"/>
      <c r="AG367" s="539"/>
      <c r="AH367" s="539"/>
      <c r="AI367" s="539"/>
      <c r="AJ367" s="539"/>
      <c r="AK367" s="539"/>
      <c r="AL367" s="539"/>
      <c r="AM367" s="539"/>
      <c r="AN367" s="539"/>
      <c r="AO367" s="539"/>
      <c r="AP367" s="539"/>
      <c r="AQ367" s="539"/>
      <c r="AR367" s="539"/>
      <c r="AS367" s="539"/>
      <c r="AT367" s="539"/>
      <c r="AU367" s="539"/>
      <c r="AV367" s="539"/>
      <c r="AW367" s="539"/>
      <c r="AX367" s="539"/>
    </row>
    <row r="368" spans="2:50" ht="14.25" customHeight="1" x14ac:dyDescent="0.3">
      <c r="B368" s="957"/>
      <c r="C368" s="540"/>
      <c r="D368" s="540"/>
      <c r="E368" s="540"/>
      <c r="F368" s="539"/>
      <c r="G368" s="539"/>
      <c r="H368" s="539"/>
      <c r="I368" s="539"/>
      <c r="J368" s="539"/>
      <c r="K368" s="539"/>
      <c r="L368" s="539"/>
      <c r="M368" s="539"/>
      <c r="N368" s="539"/>
      <c r="O368" s="539"/>
      <c r="P368" s="539"/>
      <c r="Q368" s="539"/>
      <c r="R368" s="539"/>
      <c r="S368" s="539"/>
      <c r="T368" s="539"/>
      <c r="U368" s="539"/>
      <c r="V368" s="539"/>
      <c r="W368" s="539"/>
      <c r="X368" s="539"/>
      <c r="Y368" s="539"/>
      <c r="Z368" s="539"/>
      <c r="AA368" s="539"/>
      <c r="AB368" s="539"/>
      <c r="AC368" s="539"/>
      <c r="AD368" s="539"/>
      <c r="AE368" s="539"/>
      <c r="AF368" s="539"/>
      <c r="AG368" s="539"/>
      <c r="AH368" s="539"/>
      <c r="AI368" s="539"/>
      <c r="AJ368" s="539"/>
      <c r="AK368" s="539"/>
      <c r="AL368" s="539"/>
      <c r="AM368" s="539"/>
      <c r="AN368" s="539"/>
      <c r="AO368" s="539"/>
      <c r="AP368" s="539"/>
      <c r="AQ368" s="539"/>
      <c r="AR368" s="539"/>
      <c r="AS368" s="539"/>
      <c r="AT368" s="539"/>
      <c r="AU368" s="539"/>
      <c r="AV368" s="539"/>
      <c r="AW368" s="539"/>
      <c r="AX368" s="539"/>
    </row>
    <row r="369" spans="2:50" ht="14.25" customHeight="1" x14ac:dyDescent="0.3">
      <c r="B369" s="957"/>
      <c r="C369" s="540"/>
      <c r="D369" s="540"/>
      <c r="E369" s="540"/>
      <c r="F369" s="539"/>
      <c r="G369" s="539"/>
      <c r="H369" s="539"/>
      <c r="I369" s="539"/>
      <c r="J369" s="539"/>
      <c r="K369" s="539"/>
      <c r="L369" s="539"/>
      <c r="M369" s="539"/>
      <c r="N369" s="539"/>
      <c r="O369" s="539"/>
      <c r="P369" s="539"/>
      <c r="Q369" s="539"/>
      <c r="R369" s="539"/>
      <c r="S369" s="539"/>
      <c r="T369" s="539"/>
      <c r="U369" s="539"/>
      <c r="V369" s="539"/>
      <c r="W369" s="539"/>
      <c r="X369" s="539"/>
      <c r="Y369" s="539"/>
      <c r="Z369" s="539"/>
      <c r="AA369" s="539"/>
      <c r="AB369" s="539"/>
      <c r="AC369" s="539"/>
      <c r="AD369" s="539"/>
      <c r="AE369" s="539"/>
      <c r="AF369" s="539"/>
      <c r="AG369" s="539"/>
      <c r="AH369" s="539"/>
      <c r="AI369" s="539"/>
      <c r="AJ369" s="539"/>
      <c r="AK369" s="539"/>
      <c r="AL369" s="539"/>
      <c r="AM369" s="539"/>
      <c r="AN369" s="539"/>
      <c r="AO369" s="539"/>
      <c r="AP369" s="539"/>
      <c r="AQ369" s="539"/>
      <c r="AR369" s="539"/>
      <c r="AS369" s="539"/>
      <c r="AT369" s="539"/>
      <c r="AU369" s="539"/>
      <c r="AV369" s="539"/>
      <c r="AW369" s="539"/>
      <c r="AX369" s="539"/>
    </row>
    <row r="370" spans="2:50" ht="14.25" customHeight="1" x14ac:dyDescent="0.3">
      <c r="B370" s="957"/>
      <c r="C370" s="540"/>
      <c r="D370" s="540"/>
      <c r="E370" s="540"/>
      <c r="F370" s="539"/>
      <c r="G370" s="539"/>
      <c r="H370" s="539"/>
      <c r="I370" s="539"/>
      <c r="J370" s="539"/>
      <c r="K370" s="539"/>
      <c r="L370" s="539"/>
      <c r="M370" s="539"/>
      <c r="N370" s="539"/>
      <c r="O370" s="539"/>
      <c r="P370" s="539"/>
      <c r="Q370" s="539"/>
      <c r="R370" s="539"/>
      <c r="S370" s="539"/>
      <c r="T370" s="539"/>
      <c r="U370" s="539"/>
      <c r="V370" s="539"/>
      <c r="W370" s="539"/>
      <c r="X370" s="539"/>
      <c r="Y370" s="539"/>
      <c r="Z370" s="539"/>
      <c r="AA370" s="539"/>
      <c r="AB370" s="539"/>
      <c r="AC370" s="539"/>
      <c r="AD370" s="539"/>
      <c r="AE370" s="539"/>
      <c r="AF370" s="539"/>
      <c r="AG370" s="539"/>
      <c r="AH370" s="539"/>
      <c r="AI370" s="539"/>
      <c r="AJ370" s="539"/>
      <c r="AK370" s="539"/>
      <c r="AL370" s="539"/>
      <c r="AM370" s="539"/>
      <c r="AN370" s="539"/>
      <c r="AO370" s="539"/>
      <c r="AP370" s="539"/>
      <c r="AQ370" s="539"/>
      <c r="AR370" s="539"/>
      <c r="AS370" s="539"/>
      <c r="AT370" s="539"/>
      <c r="AU370" s="539"/>
      <c r="AV370" s="539"/>
      <c r="AW370" s="539"/>
      <c r="AX370" s="539"/>
    </row>
    <row r="371" spans="2:50" ht="14.25" customHeight="1" x14ac:dyDescent="0.3">
      <c r="B371" s="957"/>
      <c r="C371" s="540"/>
      <c r="D371" s="540"/>
      <c r="E371" s="540"/>
      <c r="F371" s="539"/>
      <c r="G371" s="539"/>
      <c r="H371" s="539"/>
      <c r="I371" s="539"/>
      <c r="J371" s="539"/>
      <c r="K371" s="539"/>
      <c r="L371" s="539"/>
      <c r="M371" s="539"/>
      <c r="N371" s="539"/>
      <c r="O371" s="539"/>
      <c r="P371" s="539"/>
      <c r="Q371" s="539"/>
      <c r="R371" s="539"/>
      <c r="S371" s="539"/>
      <c r="T371" s="539"/>
      <c r="U371" s="539"/>
      <c r="V371" s="539"/>
      <c r="W371" s="539"/>
      <c r="X371" s="539"/>
      <c r="Y371" s="539"/>
      <c r="Z371" s="539"/>
      <c r="AA371" s="539"/>
      <c r="AB371" s="539"/>
      <c r="AC371" s="539"/>
      <c r="AD371" s="539"/>
      <c r="AE371" s="539"/>
      <c r="AF371" s="539"/>
      <c r="AG371" s="539"/>
      <c r="AH371" s="539"/>
      <c r="AI371" s="539"/>
      <c r="AJ371" s="539"/>
      <c r="AK371" s="539"/>
      <c r="AL371" s="539"/>
      <c r="AM371" s="539"/>
      <c r="AN371" s="539"/>
      <c r="AO371" s="539"/>
      <c r="AP371" s="539"/>
      <c r="AQ371" s="539"/>
      <c r="AR371" s="539"/>
      <c r="AS371" s="539"/>
      <c r="AT371" s="539"/>
      <c r="AU371" s="539"/>
      <c r="AV371" s="539"/>
      <c r="AW371" s="539"/>
      <c r="AX371" s="539"/>
    </row>
    <row r="372" spans="2:50" ht="14.25" customHeight="1" x14ac:dyDescent="0.3">
      <c r="B372" s="957"/>
      <c r="C372" s="540"/>
      <c r="D372" s="540"/>
      <c r="E372" s="540"/>
      <c r="F372" s="539"/>
      <c r="G372" s="539"/>
      <c r="H372" s="539"/>
      <c r="I372" s="539"/>
      <c r="J372" s="539"/>
      <c r="K372" s="539"/>
      <c r="L372" s="539"/>
      <c r="M372" s="539"/>
      <c r="N372" s="539"/>
      <c r="O372" s="539"/>
      <c r="P372" s="539"/>
      <c r="Q372" s="539"/>
      <c r="R372" s="539"/>
      <c r="S372" s="539"/>
      <c r="T372" s="539"/>
      <c r="U372" s="539"/>
      <c r="V372" s="539"/>
      <c r="W372" s="539"/>
      <c r="X372" s="539"/>
      <c r="Y372" s="539"/>
      <c r="Z372" s="539"/>
      <c r="AA372" s="539"/>
      <c r="AB372" s="539"/>
      <c r="AC372" s="539"/>
      <c r="AD372" s="539"/>
      <c r="AE372" s="539"/>
      <c r="AF372" s="539"/>
      <c r="AG372" s="539"/>
      <c r="AH372" s="539"/>
      <c r="AI372" s="539"/>
      <c r="AJ372" s="539"/>
      <c r="AK372" s="539"/>
      <c r="AL372" s="539"/>
      <c r="AM372" s="539"/>
      <c r="AN372" s="539"/>
      <c r="AO372" s="539"/>
      <c r="AP372" s="539"/>
      <c r="AQ372" s="539"/>
      <c r="AR372" s="539"/>
      <c r="AS372" s="539"/>
      <c r="AT372" s="539"/>
      <c r="AU372" s="539"/>
      <c r="AV372" s="539"/>
      <c r="AW372" s="539"/>
      <c r="AX372" s="539"/>
    </row>
    <row r="373" spans="2:50" ht="14.25" customHeight="1" x14ac:dyDescent="0.3">
      <c r="B373" s="957"/>
      <c r="C373" s="540"/>
      <c r="D373" s="540"/>
      <c r="E373" s="540"/>
      <c r="F373" s="539"/>
      <c r="G373" s="539"/>
      <c r="H373" s="539"/>
      <c r="I373" s="539"/>
      <c r="J373" s="539"/>
      <c r="K373" s="539"/>
      <c r="L373" s="539"/>
      <c r="M373" s="539"/>
      <c r="N373" s="539"/>
      <c r="O373" s="539"/>
      <c r="P373" s="539"/>
      <c r="Q373" s="539"/>
      <c r="R373" s="539"/>
      <c r="S373" s="539"/>
      <c r="T373" s="539"/>
      <c r="U373" s="539"/>
      <c r="V373" s="539"/>
      <c r="W373" s="539"/>
      <c r="X373" s="539"/>
      <c r="Y373" s="539"/>
      <c r="Z373" s="539"/>
      <c r="AA373" s="539"/>
      <c r="AB373" s="539"/>
      <c r="AC373" s="539"/>
      <c r="AD373" s="539"/>
      <c r="AE373" s="539"/>
      <c r="AF373" s="539"/>
      <c r="AG373" s="539"/>
      <c r="AH373" s="539"/>
      <c r="AI373" s="539"/>
      <c r="AJ373" s="539"/>
      <c r="AK373" s="539"/>
      <c r="AL373" s="539"/>
      <c r="AM373" s="539"/>
      <c r="AN373" s="539"/>
      <c r="AO373" s="539"/>
      <c r="AP373" s="539"/>
      <c r="AQ373" s="539"/>
      <c r="AR373" s="539"/>
      <c r="AS373" s="539"/>
      <c r="AT373" s="539"/>
      <c r="AU373" s="539"/>
      <c r="AV373" s="539"/>
      <c r="AW373" s="539"/>
      <c r="AX373" s="539"/>
    </row>
    <row r="374" spans="2:50" ht="14.25" customHeight="1" x14ac:dyDescent="0.3">
      <c r="B374" s="957"/>
      <c r="C374" s="540"/>
      <c r="D374" s="540"/>
      <c r="E374" s="540"/>
      <c r="F374" s="539"/>
      <c r="G374" s="539"/>
      <c r="H374" s="539"/>
      <c r="I374" s="539"/>
      <c r="J374" s="539"/>
      <c r="K374" s="539"/>
      <c r="L374" s="539"/>
      <c r="M374" s="539"/>
      <c r="N374" s="539"/>
      <c r="O374" s="539"/>
      <c r="P374" s="539"/>
      <c r="Q374" s="539"/>
      <c r="R374" s="539"/>
      <c r="S374" s="539"/>
      <c r="T374" s="539"/>
      <c r="U374" s="539"/>
      <c r="V374" s="539"/>
      <c r="W374" s="539"/>
      <c r="X374" s="539"/>
      <c r="Y374" s="539"/>
      <c r="Z374" s="539"/>
      <c r="AA374" s="539"/>
      <c r="AB374" s="539"/>
      <c r="AC374" s="539"/>
      <c r="AD374" s="539"/>
      <c r="AE374" s="539"/>
      <c r="AF374" s="539"/>
      <c r="AG374" s="539"/>
      <c r="AH374" s="539"/>
      <c r="AI374" s="539"/>
      <c r="AJ374" s="539"/>
      <c r="AK374" s="539"/>
      <c r="AL374" s="539"/>
      <c r="AM374" s="539"/>
      <c r="AN374" s="539"/>
      <c r="AO374" s="539"/>
      <c r="AP374" s="539"/>
      <c r="AQ374" s="539"/>
      <c r="AR374" s="539"/>
      <c r="AS374" s="539"/>
      <c r="AT374" s="539"/>
      <c r="AU374" s="539"/>
      <c r="AV374" s="539"/>
      <c r="AW374" s="539"/>
      <c r="AX374" s="539"/>
    </row>
    <row r="375" spans="2:50" ht="14.25" customHeight="1" x14ac:dyDescent="0.3">
      <c r="B375" s="957"/>
      <c r="C375" s="540"/>
      <c r="D375" s="540"/>
      <c r="E375" s="540"/>
      <c r="F375" s="539"/>
      <c r="G375" s="539"/>
      <c r="H375" s="539"/>
      <c r="I375" s="539"/>
      <c r="J375" s="539"/>
      <c r="K375" s="539"/>
      <c r="L375" s="539"/>
      <c r="M375" s="539"/>
      <c r="N375" s="539"/>
      <c r="O375" s="539"/>
      <c r="P375" s="539"/>
      <c r="Q375" s="539"/>
      <c r="R375" s="539"/>
      <c r="S375" s="539"/>
      <c r="T375" s="539"/>
      <c r="U375" s="539"/>
      <c r="V375" s="539"/>
      <c r="W375" s="539"/>
      <c r="X375" s="539"/>
      <c r="Y375" s="539"/>
      <c r="Z375" s="539"/>
      <c r="AA375" s="539"/>
      <c r="AB375" s="539"/>
      <c r="AC375" s="539"/>
      <c r="AD375" s="539"/>
      <c r="AE375" s="539"/>
      <c r="AF375" s="539"/>
      <c r="AG375" s="539"/>
      <c r="AH375" s="539"/>
      <c r="AI375" s="539"/>
      <c r="AJ375" s="539"/>
      <c r="AK375" s="539"/>
      <c r="AL375" s="539"/>
      <c r="AM375" s="539"/>
      <c r="AN375" s="539"/>
      <c r="AO375" s="539"/>
      <c r="AP375" s="539"/>
      <c r="AQ375" s="539"/>
      <c r="AR375" s="539"/>
      <c r="AS375" s="539"/>
      <c r="AT375" s="539"/>
      <c r="AU375" s="539"/>
      <c r="AV375" s="539"/>
      <c r="AW375" s="539"/>
      <c r="AX375" s="539"/>
    </row>
    <row r="376" spans="2:50" ht="14.25" customHeight="1" x14ac:dyDescent="0.3">
      <c r="B376" s="957"/>
      <c r="C376" s="540"/>
      <c r="D376" s="540"/>
      <c r="E376" s="540"/>
      <c r="F376" s="539"/>
      <c r="G376" s="539"/>
      <c r="H376" s="539"/>
      <c r="I376" s="539"/>
      <c r="J376" s="539"/>
      <c r="K376" s="539"/>
      <c r="L376" s="539"/>
      <c r="M376" s="539"/>
      <c r="N376" s="539"/>
      <c r="O376" s="539"/>
      <c r="P376" s="539"/>
      <c r="Q376" s="539"/>
      <c r="R376" s="539"/>
      <c r="S376" s="539"/>
      <c r="T376" s="539"/>
      <c r="U376" s="539"/>
      <c r="V376" s="539"/>
      <c r="W376" s="539"/>
      <c r="X376" s="539"/>
      <c r="Y376" s="539"/>
      <c r="Z376" s="539"/>
      <c r="AA376" s="539"/>
      <c r="AB376" s="539"/>
      <c r="AC376" s="539"/>
      <c r="AD376" s="539"/>
      <c r="AE376" s="539"/>
      <c r="AF376" s="539"/>
      <c r="AG376" s="539"/>
      <c r="AH376" s="539"/>
      <c r="AI376" s="539"/>
      <c r="AJ376" s="539"/>
      <c r="AK376" s="539"/>
      <c r="AL376" s="539"/>
      <c r="AM376" s="539"/>
      <c r="AN376" s="539"/>
      <c r="AO376" s="539"/>
      <c r="AP376" s="539"/>
      <c r="AQ376" s="539"/>
      <c r="AR376" s="539"/>
      <c r="AS376" s="539"/>
      <c r="AT376" s="539"/>
      <c r="AU376" s="539"/>
      <c r="AV376" s="539"/>
      <c r="AW376" s="539"/>
      <c r="AX376" s="539"/>
    </row>
    <row r="377" spans="2:50" ht="14.25" customHeight="1" x14ac:dyDescent="0.3">
      <c r="B377" s="957"/>
      <c r="C377" s="540"/>
      <c r="D377" s="540"/>
      <c r="E377" s="540"/>
      <c r="F377" s="539"/>
      <c r="G377" s="539"/>
      <c r="H377" s="539"/>
      <c r="I377" s="539"/>
      <c r="J377" s="539"/>
      <c r="K377" s="539"/>
      <c r="L377" s="539"/>
      <c r="M377" s="539"/>
      <c r="N377" s="539"/>
      <c r="O377" s="539"/>
      <c r="P377" s="539"/>
      <c r="Q377" s="539"/>
      <c r="R377" s="539"/>
      <c r="S377" s="539"/>
      <c r="T377" s="539"/>
      <c r="U377" s="539"/>
      <c r="V377" s="539"/>
      <c r="W377" s="539"/>
      <c r="X377" s="539"/>
      <c r="Y377" s="539"/>
      <c r="Z377" s="539"/>
      <c r="AA377" s="539"/>
      <c r="AB377" s="539"/>
      <c r="AC377" s="539"/>
      <c r="AD377" s="539"/>
      <c r="AE377" s="539"/>
      <c r="AF377" s="539"/>
      <c r="AG377" s="539"/>
      <c r="AH377" s="539"/>
      <c r="AI377" s="539"/>
      <c r="AJ377" s="539"/>
      <c r="AK377" s="539"/>
      <c r="AL377" s="539"/>
      <c r="AM377" s="539"/>
      <c r="AN377" s="539"/>
      <c r="AO377" s="539"/>
      <c r="AP377" s="539"/>
      <c r="AQ377" s="539"/>
      <c r="AR377" s="539"/>
      <c r="AS377" s="539"/>
      <c r="AT377" s="539"/>
      <c r="AU377" s="539"/>
      <c r="AV377" s="539"/>
      <c r="AW377" s="539"/>
      <c r="AX377" s="539"/>
    </row>
    <row r="378" spans="2:50" ht="14.25" customHeight="1" x14ac:dyDescent="0.3">
      <c r="B378" s="957"/>
      <c r="C378" s="540"/>
      <c r="D378" s="540"/>
      <c r="E378" s="540"/>
      <c r="F378" s="539"/>
      <c r="G378" s="539"/>
      <c r="H378" s="539"/>
      <c r="I378" s="539"/>
      <c r="J378" s="539"/>
      <c r="K378" s="539"/>
      <c r="L378" s="539"/>
      <c r="M378" s="539"/>
      <c r="N378" s="539"/>
      <c r="O378" s="539"/>
      <c r="P378" s="539"/>
      <c r="Q378" s="539"/>
      <c r="R378" s="539"/>
      <c r="S378" s="539"/>
      <c r="T378" s="539"/>
      <c r="U378" s="539"/>
      <c r="V378" s="539"/>
      <c r="W378" s="539"/>
      <c r="X378" s="539"/>
      <c r="Y378" s="539"/>
      <c r="Z378" s="539"/>
      <c r="AA378" s="539"/>
      <c r="AB378" s="539"/>
      <c r="AC378" s="539"/>
      <c r="AD378" s="539"/>
      <c r="AE378" s="539"/>
      <c r="AF378" s="539"/>
      <c r="AG378" s="539"/>
      <c r="AH378" s="539"/>
      <c r="AI378" s="539"/>
      <c r="AJ378" s="539"/>
      <c r="AK378" s="539"/>
      <c r="AL378" s="539"/>
      <c r="AM378" s="539"/>
      <c r="AN378" s="539"/>
      <c r="AO378" s="539"/>
      <c r="AP378" s="539"/>
      <c r="AQ378" s="539"/>
      <c r="AR378" s="539"/>
      <c r="AS378" s="539"/>
      <c r="AT378" s="539"/>
      <c r="AU378" s="539"/>
      <c r="AV378" s="539"/>
      <c r="AW378" s="539"/>
      <c r="AX378" s="539"/>
    </row>
    <row r="379" spans="2:50" ht="14.25" customHeight="1" x14ac:dyDescent="0.3">
      <c r="B379" s="957"/>
      <c r="C379" s="540"/>
      <c r="D379" s="540"/>
      <c r="E379" s="540"/>
      <c r="F379" s="539"/>
      <c r="G379" s="539"/>
      <c r="H379" s="539"/>
      <c r="I379" s="539"/>
      <c r="J379" s="539"/>
      <c r="K379" s="539"/>
      <c r="L379" s="539"/>
      <c r="M379" s="539"/>
      <c r="N379" s="539"/>
      <c r="O379" s="539"/>
      <c r="P379" s="539"/>
      <c r="Q379" s="539"/>
      <c r="R379" s="539"/>
      <c r="S379" s="539"/>
      <c r="T379" s="539"/>
      <c r="U379" s="539"/>
      <c r="V379" s="539"/>
      <c r="W379" s="539"/>
      <c r="X379" s="539"/>
      <c r="Y379" s="539"/>
      <c r="Z379" s="539"/>
      <c r="AA379" s="539"/>
      <c r="AB379" s="539"/>
      <c r="AC379" s="539"/>
      <c r="AD379" s="539"/>
      <c r="AE379" s="539"/>
      <c r="AF379" s="539"/>
      <c r="AG379" s="539"/>
      <c r="AH379" s="539"/>
      <c r="AI379" s="539"/>
      <c r="AJ379" s="539"/>
      <c r="AK379" s="539"/>
      <c r="AL379" s="539"/>
      <c r="AM379" s="539"/>
      <c r="AN379" s="539"/>
      <c r="AO379" s="539"/>
      <c r="AP379" s="539"/>
      <c r="AQ379" s="539"/>
      <c r="AR379" s="539"/>
      <c r="AS379" s="539"/>
      <c r="AT379" s="539"/>
      <c r="AU379" s="539"/>
      <c r="AV379" s="539"/>
      <c r="AW379" s="539"/>
      <c r="AX379" s="539"/>
    </row>
    <row r="380" spans="2:50" ht="14.25" customHeight="1" x14ac:dyDescent="0.3">
      <c r="B380" s="957"/>
      <c r="C380" s="540"/>
      <c r="D380" s="540"/>
      <c r="E380" s="540"/>
      <c r="F380" s="539"/>
      <c r="G380" s="539"/>
      <c r="H380" s="539"/>
      <c r="I380" s="539"/>
      <c r="J380" s="539"/>
      <c r="K380" s="539"/>
      <c r="L380" s="539"/>
      <c r="M380" s="539"/>
      <c r="N380" s="539"/>
      <c r="O380" s="539"/>
      <c r="P380" s="539"/>
      <c r="Q380" s="539"/>
      <c r="R380" s="539"/>
      <c r="S380" s="539"/>
      <c r="T380" s="539"/>
      <c r="U380" s="539"/>
      <c r="V380" s="539"/>
      <c r="W380" s="539"/>
      <c r="X380" s="539"/>
      <c r="Y380" s="539"/>
      <c r="Z380" s="539"/>
      <c r="AA380" s="539"/>
      <c r="AB380" s="539"/>
      <c r="AC380" s="539"/>
      <c r="AD380" s="539"/>
      <c r="AE380" s="539"/>
      <c r="AF380" s="539"/>
      <c r="AG380" s="539"/>
      <c r="AH380" s="539"/>
      <c r="AI380" s="539"/>
      <c r="AJ380" s="539"/>
      <c r="AK380" s="539"/>
      <c r="AL380" s="539"/>
      <c r="AM380" s="539"/>
      <c r="AN380" s="539"/>
      <c r="AO380" s="539"/>
      <c r="AP380" s="539"/>
      <c r="AQ380" s="539"/>
      <c r="AR380" s="539"/>
      <c r="AS380" s="539"/>
      <c r="AT380" s="539"/>
      <c r="AU380" s="539"/>
      <c r="AV380" s="539"/>
      <c r="AW380" s="539"/>
      <c r="AX380" s="539"/>
    </row>
    <row r="381" spans="2:50" ht="14.25" customHeight="1" x14ac:dyDescent="0.3">
      <c r="B381" s="957"/>
      <c r="C381" s="540"/>
      <c r="D381" s="540"/>
      <c r="E381" s="540"/>
      <c r="F381" s="539"/>
      <c r="G381" s="539"/>
      <c r="H381" s="539"/>
      <c r="I381" s="539"/>
      <c r="J381" s="539"/>
      <c r="K381" s="539"/>
      <c r="L381" s="539"/>
      <c r="M381" s="539"/>
      <c r="N381" s="539"/>
      <c r="O381" s="539"/>
      <c r="P381" s="539"/>
      <c r="Q381" s="539"/>
      <c r="R381" s="539"/>
      <c r="S381" s="539"/>
      <c r="T381" s="539"/>
      <c r="U381" s="539"/>
      <c r="V381" s="539"/>
      <c r="W381" s="539"/>
      <c r="X381" s="539"/>
      <c r="Y381" s="539"/>
      <c r="Z381" s="539"/>
      <c r="AA381" s="539"/>
      <c r="AB381" s="539"/>
      <c r="AC381" s="539"/>
      <c r="AD381" s="539"/>
      <c r="AE381" s="539"/>
      <c r="AF381" s="539"/>
      <c r="AG381" s="539"/>
      <c r="AH381" s="539"/>
      <c r="AI381" s="539"/>
      <c r="AJ381" s="539"/>
      <c r="AK381" s="539"/>
      <c r="AL381" s="539"/>
      <c r="AM381" s="539"/>
      <c r="AN381" s="539"/>
      <c r="AO381" s="539"/>
      <c r="AP381" s="539"/>
      <c r="AQ381" s="539"/>
      <c r="AR381" s="539"/>
      <c r="AS381" s="539"/>
      <c r="AT381" s="539"/>
      <c r="AU381" s="539"/>
      <c r="AV381" s="539"/>
      <c r="AW381" s="539"/>
      <c r="AX381" s="539"/>
    </row>
    <row r="382" spans="2:50" ht="14.25" customHeight="1" x14ac:dyDescent="0.3">
      <c r="B382" s="957"/>
      <c r="C382" s="540"/>
      <c r="D382" s="540"/>
      <c r="E382" s="540"/>
      <c r="F382" s="539"/>
      <c r="G382" s="539"/>
      <c r="H382" s="539"/>
      <c r="I382" s="539"/>
      <c r="J382" s="539"/>
      <c r="K382" s="539"/>
      <c r="L382" s="539"/>
      <c r="M382" s="539"/>
      <c r="N382" s="539"/>
      <c r="O382" s="539"/>
      <c r="P382" s="539"/>
      <c r="Q382" s="539"/>
      <c r="R382" s="539"/>
      <c r="S382" s="539"/>
      <c r="T382" s="539"/>
      <c r="U382" s="539"/>
      <c r="V382" s="539"/>
      <c r="W382" s="539"/>
      <c r="X382" s="539"/>
      <c r="Y382" s="539"/>
      <c r="Z382" s="539"/>
      <c r="AA382" s="539"/>
      <c r="AB382" s="539"/>
      <c r="AC382" s="539"/>
      <c r="AD382" s="539"/>
      <c r="AE382" s="539"/>
      <c r="AF382" s="539"/>
      <c r="AG382" s="539"/>
      <c r="AH382" s="539"/>
      <c r="AI382" s="539"/>
      <c r="AJ382" s="539"/>
      <c r="AK382" s="539"/>
      <c r="AL382" s="539"/>
      <c r="AM382" s="539"/>
      <c r="AN382" s="539"/>
      <c r="AO382" s="539"/>
      <c r="AP382" s="539"/>
      <c r="AQ382" s="539"/>
      <c r="AR382" s="539"/>
      <c r="AS382" s="539"/>
      <c r="AT382" s="539"/>
      <c r="AU382" s="539"/>
      <c r="AV382" s="539"/>
      <c r="AW382" s="539"/>
      <c r="AX382" s="539"/>
    </row>
    <row r="383" spans="2:50" ht="14.25" customHeight="1" x14ac:dyDescent="0.3">
      <c r="B383" s="957"/>
      <c r="C383" s="540"/>
      <c r="D383" s="540"/>
      <c r="E383" s="540"/>
      <c r="F383" s="539"/>
      <c r="G383" s="539"/>
      <c r="H383" s="539"/>
      <c r="I383" s="539"/>
      <c r="J383" s="539"/>
      <c r="K383" s="539"/>
      <c r="L383" s="539"/>
      <c r="M383" s="539"/>
      <c r="N383" s="539"/>
      <c r="O383" s="539"/>
      <c r="P383" s="539"/>
      <c r="Q383" s="539"/>
      <c r="R383" s="539"/>
      <c r="S383" s="539"/>
      <c r="T383" s="539"/>
      <c r="U383" s="539"/>
      <c r="V383" s="539"/>
      <c r="W383" s="539"/>
      <c r="X383" s="539"/>
      <c r="Y383" s="539"/>
      <c r="Z383" s="539"/>
      <c r="AA383" s="539"/>
      <c r="AB383" s="539"/>
      <c r="AC383" s="539"/>
      <c r="AD383" s="539"/>
      <c r="AE383" s="539"/>
      <c r="AF383" s="539"/>
      <c r="AG383" s="539"/>
      <c r="AH383" s="539"/>
      <c r="AI383" s="539"/>
      <c r="AJ383" s="539"/>
      <c r="AK383" s="539"/>
      <c r="AL383" s="539"/>
      <c r="AM383" s="539"/>
      <c r="AN383" s="539"/>
      <c r="AO383" s="539"/>
      <c r="AP383" s="539"/>
      <c r="AQ383" s="539"/>
      <c r="AR383" s="539"/>
      <c r="AS383" s="539"/>
      <c r="AT383" s="539"/>
      <c r="AU383" s="539"/>
      <c r="AV383" s="539"/>
      <c r="AW383" s="539"/>
      <c r="AX383" s="539"/>
    </row>
    <row r="384" spans="2:50" ht="14.25" customHeight="1" x14ac:dyDescent="0.3">
      <c r="B384" s="957"/>
      <c r="C384" s="540"/>
      <c r="D384" s="540"/>
      <c r="E384" s="540"/>
      <c r="F384" s="539"/>
      <c r="G384" s="539"/>
      <c r="H384" s="539"/>
      <c r="I384" s="539"/>
      <c r="J384" s="539"/>
      <c r="K384" s="539"/>
      <c r="L384" s="539"/>
      <c r="M384" s="539"/>
      <c r="N384" s="539"/>
      <c r="O384" s="539"/>
      <c r="P384" s="539"/>
      <c r="Q384" s="539"/>
      <c r="R384" s="539"/>
      <c r="S384" s="539"/>
      <c r="T384" s="539"/>
      <c r="U384" s="539"/>
      <c r="V384" s="539"/>
      <c r="W384" s="539"/>
      <c r="X384" s="539"/>
      <c r="Y384" s="539"/>
      <c r="Z384" s="539"/>
      <c r="AA384" s="539"/>
      <c r="AB384" s="539"/>
      <c r="AC384" s="539"/>
      <c r="AD384" s="539"/>
      <c r="AE384" s="539"/>
      <c r="AF384" s="539"/>
      <c r="AG384" s="539"/>
      <c r="AH384" s="539"/>
      <c r="AI384" s="539"/>
      <c r="AJ384" s="539"/>
      <c r="AK384" s="539"/>
      <c r="AL384" s="539"/>
      <c r="AM384" s="539"/>
      <c r="AN384" s="539"/>
      <c r="AO384" s="539"/>
      <c r="AP384" s="539"/>
      <c r="AQ384" s="539"/>
      <c r="AR384" s="539"/>
      <c r="AS384" s="539"/>
      <c r="AT384" s="539"/>
      <c r="AU384" s="539"/>
      <c r="AV384" s="539"/>
      <c r="AW384" s="539"/>
      <c r="AX384" s="539"/>
    </row>
    <row r="385" spans="2:50" ht="14.25" customHeight="1" x14ac:dyDescent="0.3">
      <c r="B385" s="957"/>
      <c r="C385" s="540"/>
      <c r="D385" s="540"/>
      <c r="E385" s="540"/>
      <c r="F385" s="539"/>
      <c r="G385" s="539"/>
      <c r="H385" s="539"/>
      <c r="I385" s="539"/>
      <c r="J385" s="539"/>
      <c r="K385" s="539"/>
      <c r="L385" s="539"/>
      <c r="M385" s="539"/>
      <c r="N385" s="539"/>
      <c r="O385" s="539"/>
      <c r="P385" s="539"/>
      <c r="Q385" s="539"/>
      <c r="R385" s="539"/>
      <c r="S385" s="539"/>
      <c r="T385" s="539"/>
      <c r="U385" s="539"/>
      <c r="V385" s="539"/>
      <c r="W385" s="539"/>
      <c r="X385" s="539"/>
      <c r="Y385" s="539"/>
      <c r="Z385" s="539"/>
      <c r="AA385" s="539"/>
      <c r="AB385" s="539"/>
      <c r="AC385" s="539"/>
      <c r="AD385" s="539"/>
      <c r="AE385" s="539"/>
      <c r="AF385" s="539"/>
      <c r="AG385" s="539"/>
      <c r="AH385" s="539"/>
      <c r="AI385" s="539"/>
      <c r="AJ385" s="539"/>
      <c r="AK385" s="539"/>
      <c r="AL385" s="539"/>
      <c r="AM385" s="539"/>
      <c r="AN385" s="539"/>
      <c r="AO385" s="539"/>
      <c r="AP385" s="539"/>
      <c r="AQ385" s="539"/>
      <c r="AR385" s="539"/>
      <c r="AS385" s="539"/>
      <c r="AT385" s="539"/>
      <c r="AU385" s="539"/>
      <c r="AV385" s="539"/>
      <c r="AW385" s="539"/>
      <c r="AX385" s="539"/>
    </row>
    <row r="386" spans="2:50" ht="14.25" customHeight="1" x14ac:dyDescent="0.3">
      <c r="B386" s="957"/>
      <c r="C386" s="540"/>
      <c r="D386" s="540"/>
      <c r="E386" s="540"/>
      <c r="F386" s="539"/>
      <c r="G386" s="539"/>
      <c r="H386" s="539"/>
      <c r="I386" s="539"/>
      <c r="J386" s="539"/>
      <c r="K386" s="539"/>
      <c r="L386" s="539"/>
      <c r="M386" s="539"/>
      <c r="N386" s="539"/>
      <c r="O386" s="539"/>
      <c r="P386" s="539"/>
      <c r="Q386" s="539"/>
      <c r="R386" s="539"/>
      <c r="S386" s="539"/>
      <c r="T386" s="539"/>
      <c r="U386" s="539"/>
      <c r="V386" s="539"/>
      <c r="W386" s="539"/>
      <c r="X386" s="539"/>
      <c r="Y386" s="539"/>
      <c r="Z386" s="539"/>
      <c r="AA386" s="539"/>
      <c r="AB386" s="539"/>
      <c r="AC386" s="539"/>
      <c r="AD386" s="539"/>
      <c r="AE386" s="539"/>
      <c r="AF386" s="539"/>
      <c r="AG386" s="539"/>
      <c r="AH386" s="539"/>
      <c r="AI386" s="539"/>
      <c r="AJ386" s="539"/>
      <c r="AK386" s="539"/>
      <c r="AL386" s="539"/>
      <c r="AM386" s="539"/>
      <c r="AN386" s="539"/>
      <c r="AO386" s="539"/>
      <c r="AP386" s="539"/>
      <c r="AQ386" s="539"/>
      <c r="AR386" s="539"/>
      <c r="AS386" s="539"/>
      <c r="AT386" s="539"/>
      <c r="AU386" s="539"/>
      <c r="AV386" s="539"/>
      <c r="AW386" s="539"/>
      <c r="AX386" s="539"/>
    </row>
    <row r="387" spans="2:50" ht="14.25" customHeight="1" x14ac:dyDescent="0.3">
      <c r="B387" s="957"/>
      <c r="C387" s="540"/>
      <c r="D387" s="540"/>
      <c r="E387" s="540"/>
      <c r="F387" s="539"/>
      <c r="G387" s="539"/>
      <c r="H387" s="539"/>
      <c r="I387" s="539"/>
      <c r="J387" s="539"/>
      <c r="K387" s="539"/>
      <c r="L387" s="539"/>
      <c r="M387" s="539"/>
      <c r="N387" s="539"/>
      <c r="O387" s="539"/>
      <c r="P387" s="539"/>
      <c r="Q387" s="539"/>
      <c r="R387" s="539"/>
      <c r="S387" s="539"/>
      <c r="T387" s="539"/>
      <c r="U387" s="539"/>
      <c r="V387" s="539"/>
      <c r="W387" s="539"/>
      <c r="X387" s="539"/>
      <c r="Y387" s="539"/>
      <c r="Z387" s="539"/>
      <c r="AA387" s="539"/>
      <c r="AB387" s="539"/>
      <c r="AC387" s="539"/>
      <c r="AD387" s="539"/>
      <c r="AE387" s="539"/>
      <c r="AF387" s="539"/>
      <c r="AG387" s="539"/>
      <c r="AH387" s="539"/>
      <c r="AI387" s="539"/>
      <c r="AJ387" s="539"/>
      <c r="AK387" s="539"/>
      <c r="AL387" s="539"/>
      <c r="AM387" s="539"/>
      <c r="AN387" s="539"/>
      <c r="AO387" s="539"/>
      <c r="AP387" s="539"/>
      <c r="AQ387" s="539"/>
      <c r="AR387" s="539"/>
      <c r="AS387" s="539"/>
      <c r="AT387" s="539"/>
      <c r="AU387" s="539"/>
      <c r="AV387" s="539"/>
      <c r="AW387" s="539"/>
      <c r="AX387" s="539"/>
    </row>
    <row r="388" spans="2:50" ht="14.25" customHeight="1" x14ac:dyDescent="0.3">
      <c r="B388" s="957"/>
      <c r="C388" s="540"/>
      <c r="D388" s="540"/>
      <c r="E388" s="540"/>
      <c r="F388" s="539"/>
      <c r="G388" s="539"/>
      <c r="H388" s="539"/>
      <c r="I388" s="539"/>
      <c r="J388" s="539"/>
      <c r="K388" s="539"/>
      <c r="L388" s="539"/>
      <c r="M388" s="539"/>
      <c r="N388" s="539"/>
      <c r="O388" s="539"/>
      <c r="P388" s="539"/>
      <c r="Q388" s="539"/>
      <c r="R388" s="539"/>
      <c r="S388" s="539"/>
      <c r="T388" s="539"/>
      <c r="U388" s="539"/>
      <c r="V388" s="539"/>
      <c r="W388" s="539"/>
      <c r="X388" s="539"/>
      <c r="Y388" s="539"/>
      <c r="Z388" s="539"/>
      <c r="AA388" s="539"/>
      <c r="AB388" s="539"/>
      <c r="AC388" s="539"/>
      <c r="AD388" s="539"/>
      <c r="AE388" s="539"/>
      <c r="AF388" s="539"/>
      <c r="AG388" s="539"/>
      <c r="AH388" s="539"/>
      <c r="AI388" s="539"/>
      <c r="AJ388" s="539"/>
      <c r="AK388" s="539"/>
      <c r="AL388" s="539"/>
      <c r="AM388" s="539"/>
      <c r="AN388" s="539"/>
      <c r="AO388" s="539"/>
      <c r="AP388" s="539"/>
      <c r="AQ388" s="539"/>
      <c r="AR388" s="539"/>
      <c r="AS388" s="539"/>
      <c r="AT388" s="539"/>
      <c r="AU388" s="539"/>
      <c r="AV388" s="539"/>
      <c r="AW388" s="539"/>
      <c r="AX388" s="539"/>
    </row>
    <row r="389" spans="2:50" ht="14.25" customHeight="1" x14ac:dyDescent="0.3">
      <c r="B389" s="957"/>
      <c r="C389" s="540"/>
      <c r="D389" s="540"/>
      <c r="E389" s="540"/>
      <c r="F389" s="539"/>
      <c r="G389" s="539"/>
      <c r="H389" s="539"/>
      <c r="I389" s="539"/>
      <c r="J389" s="539"/>
      <c r="K389" s="539"/>
      <c r="L389" s="539"/>
      <c r="M389" s="539"/>
      <c r="N389" s="539"/>
      <c r="O389" s="539"/>
      <c r="P389" s="539"/>
      <c r="Q389" s="539"/>
      <c r="R389" s="539"/>
      <c r="S389" s="539"/>
      <c r="T389" s="539"/>
      <c r="U389" s="539"/>
      <c r="V389" s="539"/>
      <c r="W389" s="539"/>
      <c r="X389" s="539"/>
      <c r="Y389" s="539"/>
      <c r="Z389" s="539"/>
      <c r="AA389" s="539"/>
      <c r="AB389" s="539"/>
      <c r="AC389" s="539"/>
      <c r="AD389" s="539"/>
      <c r="AE389" s="539"/>
      <c r="AF389" s="539"/>
      <c r="AG389" s="539"/>
      <c r="AH389" s="539"/>
      <c r="AI389" s="539"/>
      <c r="AJ389" s="539"/>
      <c r="AK389" s="539"/>
      <c r="AL389" s="539"/>
      <c r="AM389" s="539"/>
      <c r="AN389" s="539"/>
      <c r="AO389" s="539"/>
      <c r="AP389" s="539"/>
      <c r="AQ389" s="539"/>
      <c r="AR389" s="539"/>
      <c r="AS389" s="539"/>
      <c r="AT389" s="539"/>
      <c r="AU389" s="539"/>
      <c r="AV389" s="539"/>
      <c r="AW389" s="539"/>
      <c r="AX389" s="539"/>
    </row>
    <row r="390" spans="2:50" ht="14.25" customHeight="1" x14ac:dyDescent="0.3">
      <c r="B390" s="957"/>
      <c r="C390" s="540"/>
      <c r="D390" s="540"/>
      <c r="E390" s="540"/>
      <c r="F390" s="539"/>
      <c r="G390" s="539"/>
      <c r="H390" s="539"/>
      <c r="I390" s="539"/>
      <c r="J390" s="539"/>
      <c r="K390" s="539"/>
      <c r="L390" s="539"/>
      <c r="M390" s="539"/>
      <c r="N390" s="539"/>
      <c r="O390" s="539"/>
      <c r="P390" s="539"/>
      <c r="Q390" s="539"/>
      <c r="R390" s="539"/>
      <c r="S390" s="539"/>
      <c r="T390" s="539"/>
      <c r="U390" s="539"/>
      <c r="V390" s="539"/>
      <c r="W390" s="539"/>
      <c r="X390" s="539"/>
      <c r="Y390" s="539"/>
      <c r="Z390" s="539"/>
      <c r="AA390" s="539"/>
      <c r="AB390" s="539"/>
      <c r="AC390" s="539"/>
      <c r="AD390" s="539"/>
      <c r="AE390" s="539"/>
      <c r="AF390" s="539"/>
      <c r="AG390" s="539"/>
      <c r="AH390" s="539"/>
      <c r="AI390" s="539"/>
      <c r="AJ390" s="539"/>
      <c r="AK390" s="539"/>
      <c r="AL390" s="539"/>
      <c r="AM390" s="539"/>
      <c r="AN390" s="539"/>
      <c r="AO390" s="539"/>
      <c r="AP390" s="539"/>
      <c r="AQ390" s="539"/>
      <c r="AR390" s="539"/>
      <c r="AS390" s="539"/>
      <c r="AT390" s="539"/>
      <c r="AU390" s="539"/>
      <c r="AV390" s="539"/>
      <c r="AW390" s="539"/>
      <c r="AX390" s="539"/>
    </row>
    <row r="391" spans="2:50" ht="14.25" customHeight="1" x14ac:dyDescent="0.3">
      <c r="B391" s="957"/>
      <c r="C391" s="540"/>
      <c r="D391" s="540"/>
      <c r="E391" s="540"/>
      <c r="F391" s="539"/>
      <c r="G391" s="539"/>
      <c r="H391" s="539"/>
      <c r="I391" s="539"/>
      <c r="J391" s="539"/>
      <c r="K391" s="539"/>
      <c r="L391" s="539"/>
      <c r="M391" s="539"/>
      <c r="N391" s="539"/>
      <c r="O391" s="539"/>
      <c r="P391" s="539"/>
      <c r="Q391" s="539"/>
      <c r="R391" s="539"/>
      <c r="S391" s="539"/>
      <c r="T391" s="539"/>
      <c r="U391" s="539"/>
      <c r="V391" s="539"/>
      <c r="W391" s="539"/>
      <c r="X391" s="539"/>
      <c r="Y391" s="539"/>
      <c r="Z391" s="539"/>
      <c r="AA391" s="539"/>
      <c r="AB391" s="539"/>
      <c r="AC391" s="539"/>
      <c r="AD391" s="539"/>
      <c r="AE391" s="539"/>
      <c r="AF391" s="539"/>
      <c r="AG391" s="539"/>
      <c r="AH391" s="539"/>
      <c r="AI391" s="539"/>
      <c r="AJ391" s="539"/>
      <c r="AK391" s="539"/>
      <c r="AL391" s="539"/>
      <c r="AM391" s="539"/>
      <c r="AN391" s="539"/>
      <c r="AO391" s="539"/>
      <c r="AP391" s="539"/>
      <c r="AQ391" s="539"/>
      <c r="AR391" s="539"/>
      <c r="AS391" s="539"/>
      <c r="AT391" s="539"/>
      <c r="AU391" s="539"/>
      <c r="AV391" s="539"/>
      <c r="AW391" s="539"/>
      <c r="AX391" s="539"/>
    </row>
    <row r="392" spans="2:50" ht="14.25" customHeight="1" x14ac:dyDescent="0.3">
      <c r="B392" s="957"/>
      <c r="C392" s="540"/>
      <c r="D392" s="540"/>
      <c r="E392" s="540"/>
      <c r="F392" s="539"/>
      <c r="G392" s="539"/>
      <c r="H392" s="539"/>
      <c r="I392" s="539"/>
      <c r="J392" s="539"/>
      <c r="K392" s="539"/>
      <c r="L392" s="539"/>
      <c r="M392" s="539"/>
      <c r="N392" s="539"/>
      <c r="O392" s="539"/>
      <c r="P392" s="539"/>
      <c r="Q392" s="539"/>
      <c r="R392" s="539"/>
      <c r="S392" s="539"/>
      <c r="T392" s="539"/>
      <c r="U392" s="539"/>
      <c r="V392" s="539"/>
      <c r="W392" s="539"/>
      <c r="X392" s="539"/>
      <c r="Y392" s="539"/>
      <c r="Z392" s="539"/>
      <c r="AA392" s="539"/>
      <c r="AB392" s="539"/>
      <c r="AC392" s="539"/>
      <c r="AD392" s="539"/>
      <c r="AE392" s="539"/>
      <c r="AF392" s="539"/>
      <c r="AG392" s="539"/>
      <c r="AH392" s="539"/>
      <c r="AI392" s="539"/>
      <c r="AJ392" s="539"/>
      <c r="AK392" s="539"/>
      <c r="AL392" s="539"/>
      <c r="AM392" s="539"/>
      <c r="AN392" s="539"/>
      <c r="AO392" s="539"/>
      <c r="AP392" s="539"/>
      <c r="AQ392" s="539"/>
      <c r="AR392" s="539"/>
      <c r="AS392" s="539"/>
      <c r="AT392" s="539"/>
      <c r="AU392" s="539"/>
      <c r="AV392" s="539"/>
      <c r="AW392" s="539"/>
      <c r="AX392" s="539"/>
    </row>
    <row r="393" spans="2:50" ht="14.25" customHeight="1" x14ac:dyDescent="0.3">
      <c r="B393" s="957"/>
      <c r="C393" s="540"/>
      <c r="D393" s="540"/>
      <c r="E393" s="540"/>
      <c r="F393" s="539"/>
      <c r="G393" s="539"/>
      <c r="H393" s="539"/>
      <c r="I393" s="539"/>
      <c r="J393" s="539"/>
      <c r="K393" s="539"/>
      <c r="L393" s="539"/>
      <c r="M393" s="539"/>
      <c r="N393" s="539"/>
      <c r="O393" s="539"/>
      <c r="P393" s="539"/>
      <c r="Q393" s="539"/>
      <c r="R393" s="539"/>
      <c r="S393" s="539"/>
      <c r="T393" s="539"/>
      <c r="U393" s="539"/>
      <c r="V393" s="539"/>
      <c r="W393" s="539"/>
      <c r="X393" s="539"/>
      <c r="Y393" s="539"/>
      <c r="Z393" s="539"/>
      <c r="AA393" s="539"/>
      <c r="AB393" s="539"/>
      <c r="AC393" s="539"/>
      <c r="AD393" s="539"/>
      <c r="AE393" s="539"/>
      <c r="AF393" s="539"/>
      <c r="AG393" s="539"/>
      <c r="AH393" s="539"/>
      <c r="AI393" s="539"/>
      <c r="AJ393" s="539"/>
      <c r="AK393" s="539"/>
      <c r="AL393" s="539"/>
      <c r="AM393" s="539"/>
      <c r="AN393" s="539"/>
      <c r="AO393" s="539"/>
      <c r="AP393" s="539"/>
      <c r="AQ393" s="539"/>
      <c r="AR393" s="539"/>
      <c r="AS393" s="539"/>
      <c r="AT393" s="539"/>
      <c r="AU393" s="539"/>
      <c r="AV393" s="539"/>
      <c r="AW393" s="539"/>
      <c r="AX393" s="539"/>
    </row>
    <row r="394" spans="2:50" ht="14.25" customHeight="1" x14ac:dyDescent="0.3">
      <c r="B394" s="957"/>
      <c r="C394" s="540"/>
      <c r="D394" s="540"/>
      <c r="E394" s="540"/>
      <c r="F394" s="539"/>
      <c r="G394" s="539"/>
      <c r="H394" s="539"/>
      <c r="I394" s="539"/>
      <c r="J394" s="539"/>
      <c r="K394" s="539"/>
      <c r="L394" s="539"/>
      <c r="M394" s="539"/>
      <c r="N394" s="539"/>
      <c r="O394" s="539"/>
      <c r="P394" s="539"/>
      <c r="Q394" s="539"/>
      <c r="R394" s="539"/>
      <c r="S394" s="539"/>
      <c r="T394" s="539"/>
      <c r="U394" s="539"/>
      <c r="V394" s="539"/>
      <c r="W394" s="539"/>
      <c r="X394" s="539"/>
      <c r="Y394" s="539"/>
      <c r="Z394" s="539"/>
      <c r="AA394" s="539"/>
      <c r="AB394" s="539"/>
      <c r="AC394" s="539"/>
      <c r="AD394" s="539"/>
      <c r="AE394" s="539"/>
      <c r="AF394" s="539"/>
      <c r="AG394" s="539"/>
      <c r="AH394" s="539"/>
      <c r="AI394" s="539"/>
      <c r="AJ394" s="539"/>
      <c r="AK394" s="539"/>
      <c r="AL394" s="539"/>
      <c r="AM394" s="539"/>
      <c r="AN394" s="539"/>
      <c r="AO394" s="539"/>
      <c r="AP394" s="539"/>
      <c r="AQ394" s="539"/>
      <c r="AR394" s="539"/>
      <c r="AS394" s="539"/>
      <c r="AT394" s="539"/>
      <c r="AU394" s="539"/>
      <c r="AV394" s="539"/>
      <c r="AW394" s="539"/>
      <c r="AX394" s="539"/>
    </row>
    <row r="395" spans="2:50" ht="14.25" customHeight="1" x14ac:dyDescent="0.3">
      <c r="B395" s="957"/>
      <c r="C395" s="540"/>
      <c r="D395" s="540"/>
      <c r="E395" s="540"/>
      <c r="F395" s="539"/>
      <c r="G395" s="539"/>
      <c r="H395" s="539"/>
      <c r="I395" s="539"/>
      <c r="J395" s="539"/>
      <c r="K395" s="539"/>
      <c r="L395" s="539"/>
      <c r="M395" s="539"/>
      <c r="N395" s="539"/>
      <c r="O395" s="539"/>
      <c r="P395" s="539"/>
      <c r="Q395" s="539"/>
      <c r="R395" s="539"/>
      <c r="S395" s="539"/>
      <c r="T395" s="539"/>
      <c r="U395" s="539"/>
      <c r="V395" s="539"/>
      <c r="W395" s="539"/>
      <c r="X395" s="539"/>
      <c r="Y395" s="539"/>
      <c r="Z395" s="539"/>
      <c r="AA395" s="539"/>
      <c r="AB395" s="539"/>
      <c r="AC395" s="539"/>
      <c r="AD395" s="539"/>
      <c r="AE395" s="539"/>
      <c r="AF395" s="539"/>
      <c r="AG395" s="539"/>
      <c r="AH395" s="539"/>
      <c r="AI395" s="539"/>
      <c r="AJ395" s="539"/>
      <c r="AK395" s="539"/>
      <c r="AL395" s="539"/>
      <c r="AM395" s="539"/>
      <c r="AN395" s="539"/>
      <c r="AO395" s="539"/>
      <c r="AP395" s="539"/>
      <c r="AQ395" s="539"/>
      <c r="AR395" s="539"/>
      <c r="AS395" s="539"/>
      <c r="AT395" s="539"/>
      <c r="AU395" s="539"/>
      <c r="AV395" s="539"/>
      <c r="AW395" s="539"/>
      <c r="AX395" s="539"/>
    </row>
    <row r="396" spans="2:50" ht="14.25" customHeight="1" x14ac:dyDescent="0.3">
      <c r="B396" s="957"/>
      <c r="C396" s="540"/>
      <c r="D396" s="540"/>
      <c r="E396" s="540"/>
      <c r="F396" s="539"/>
      <c r="G396" s="539"/>
      <c r="H396" s="539"/>
      <c r="I396" s="539"/>
      <c r="J396" s="539"/>
      <c r="K396" s="539"/>
      <c r="L396" s="539"/>
      <c r="M396" s="539"/>
      <c r="N396" s="539"/>
      <c r="O396" s="539"/>
      <c r="P396" s="539"/>
      <c r="Q396" s="539"/>
      <c r="R396" s="539"/>
      <c r="S396" s="539"/>
      <c r="T396" s="539"/>
      <c r="U396" s="539"/>
      <c r="V396" s="539"/>
      <c r="W396" s="539"/>
      <c r="X396" s="539"/>
      <c r="Y396" s="539"/>
      <c r="Z396" s="539"/>
      <c r="AA396" s="539"/>
      <c r="AB396" s="539"/>
      <c r="AC396" s="539"/>
      <c r="AD396" s="539"/>
      <c r="AE396" s="539"/>
      <c r="AF396" s="539"/>
      <c r="AG396" s="539"/>
      <c r="AH396" s="539"/>
      <c r="AI396" s="539"/>
      <c r="AJ396" s="539"/>
      <c r="AK396" s="539"/>
      <c r="AL396" s="539"/>
      <c r="AM396" s="539"/>
      <c r="AN396" s="539"/>
      <c r="AO396" s="539"/>
      <c r="AP396" s="539"/>
      <c r="AQ396" s="539"/>
      <c r="AR396" s="539"/>
      <c r="AS396" s="539"/>
      <c r="AT396" s="539"/>
      <c r="AU396" s="539"/>
      <c r="AV396" s="539"/>
      <c r="AW396" s="539"/>
      <c r="AX396" s="539"/>
    </row>
    <row r="397" spans="2:50" ht="14.25" customHeight="1" x14ac:dyDescent="0.3">
      <c r="B397" s="957"/>
      <c r="C397" s="540"/>
      <c r="D397" s="540"/>
      <c r="E397" s="540"/>
      <c r="F397" s="539"/>
      <c r="G397" s="539"/>
      <c r="H397" s="539"/>
      <c r="I397" s="539"/>
      <c r="J397" s="539"/>
      <c r="K397" s="539"/>
      <c r="L397" s="539"/>
      <c r="M397" s="539"/>
      <c r="N397" s="539"/>
      <c r="O397" s="539"/>
      <c r="P397" s="539"/>
      <c r="Q397" s="539"/>
      <c r="R397" s="539"/>
      <c r="S397" s="539"/>
      <c r="T397" s="539"/>
      <c r="U397" s="539"/>
      <c r="V397" s="539"/>
      <c r="W397" s="539"/>
      <c r="X397" s="539"/>
      <c r="Y397" s="539"/>
      <c r="Z397" s="539"/>
      <c r="AA397" s="539"/>
      <c r="AB397" s="539"/>
      <c r="AC397" s="539"/>
      <c r="AD397" s="539"/>
      <c r="AE397" s="539"/>
      <c r="AF397" s="539"/>
      <c r="AG397" s="539"/>
      <c r="AH397" s="539"/>
      <c r="AI397" s="539"/>
      <c r="AJ397" s="539"/>
      <c r="AK397" s="539"/>
      <c r="AL397" s="539"/>
      <c r="AM397" s="539"/>
      <c r="AN397" s="539"/>
      <c r="AO397" s="539"/>
      <c r="AP397" s="539"/>
      <c r="AQ397" s="539"/>
      <c r="AR397" s="539"/>
      <c r="AS397" s="539"/>
      <c r="AT397" s="539"/>
      <c r="AU397" s="539"/>
      <c r="AV397" s="539"/>
      <c r="AW397" s="539"/>
      <c r="AX397" s="539"/>
    </row>
    <row r="398" spans="2:50" ht="14.25" customHeight="1" x14ac:dyDescent="0.3">
      <c r="B398" s="957"/>
      <c r="C398" s="540"/>
      <c r="D398" s="540"/>
      <c r="E398" s="540"/>
      <c r="F398" s="539"/>
      <c r="G398" s="539"/>
      <c r="H398" s="539"/>
      <c r="I398" s="539"/>
      <c r="J398" s="539"/>
      <c r="K398" s="539"/>
      <c r="L398" s="539"/>
      <c r="M398" s="539"/>
      <c r="N398" s="539"/>
      <c r="O398" s="539"/>
      <c r="P398" s="539"/>
      <c r="Q398" s="539"/>
      <c r="R398" s="539"/>
      <c r="S398" s="539"/>
      <c r="T398" s="539"/>
      <c r="U398" s="539"/>
      <c r="V398" s="539"/>
      <c r="W398" s="539"/>
      <c r="X398" s="539"/>
      <c r="Y398" s="539"/>
      <c r="Z398" s="539"/>
      <c r="AA398" s="539"/>
      <c r="AB398" s="539"/>
      <c r="AC398" s="539"/>
      <c r="AD398" s="539"/>
      <c r="AE398" s="539"/>
      <c r="AF398" s="539"/>
      <c r="AG398" s="539"/>
      <c r="AH398" s="539"/>
      <c r="AI398" s="539"/>
      <c r="AJ398" s="539"/>
      <c r="AK398" s="539"/>
      <c r="AL398" s="539"/>
      <c r="AM398" s="539"/>
      <c r="AN398" s="539"/>
      <c r="AO398" s="539"/>
      <c r="AP398" s="539"/>
      <c r="AQ398" s="539"/>
      <c r="AR398" s="539"/>
      <c r="AS398" s="539"/>
      <c r="AT398" s="539"/>
      <c r="AU398" s="539"/>
      <c r="AV398" s="539"/>
      <c r="AW398" s="539"/>
      <c r="AX398" s="539"/>
    </row>
    <row r="399" spans="2:50" ht="14.25" customHeight="1" x14ac:dyDescent="0.3">
      <c r="B399" s="957"/>
      <c r="C399" s="540"/>
      <c r="D399" s="540"/>
      <c r="E399" s="540"/>
      <c r="F399" s="539"/>
      <c r="G399" s="539"/>
      <c r="H399" s="539"/>
      <c r="I399" s="539"/>
      <c r="J399" s="539"/>
      <c r="K399" s="539"/>
      <c r="L399" s="539"/>
      <c r="M399" s="539"/>
      <c r="N399" s="539"/>
      <c r="O399" s="539"/>
      <c r="P399" s="539"/>
      <c r="Q399" s="539"/>
      <c r="R399" s="539"/>
      <c r="S399" s="539"/>
      <c r="T399" s="539"/>
      <c r="U399" s="539"/>
      <c r="V399" s="539"/>
      <c r="W399" s="539"/>
      <c r="X399" s="539"/>
      <c r="Y399" s="539"/>
      <c r="Z399" s="539"/>
      <c r="AA399" s="539"/>
      <c r="AB399" s="539"/>
      <c r="AC399" s="539"/>
      <c r="AD399" s="539"/>
      <c r="AE399" s="539"/>
      <c r="AF399" s="539"/>
      <c r="AG399" s="539"/>
      <c r="AH399" s="539"/>
      <c r="AI399" s="539"/>
      <c r="AJ399" s="539"/>
      <c r="AK399" s="539"/>
      <c r="AL399" s="539"/>
      <c r="AM399" s="539"/>
      <c r="AN399" s="539"/>
      <c r="AO399" s="539"/>
      <c r="AP399" s="539"/>
      <c r="AQ399" s="539"/>
      <c r="AR399" s="539"/>
      <c r="AS399" s="539"/>
      <c r="AT399" s="539"/>
      <c r="AU399" s="539"/>
      <c r="AV399" s="539"/>
      <c r="AW399" s="539"/>
      <c r="AX399" s="539"/>
    </row>
    <row r="400" spans="2:50" ht="14.25" customHeight="1" x14ac:dyDescent="0.3">
      <c r="B400" s="957"/>
      <c r="C400" s="540"/>
      <c r="D400" s="540"/>
      <c r="E400" s="540"/>
      <c r="F400" s="539"/>
      <c r="G400" s="539"/>
      <c r="H400" s="539"/>
      <c r="I400" s="539"/>
      <c r="J400" s="539"/>
      <c r="K400" s="539"/>
      <c r="L400" s="539"/>
      <c r="M400" s="539"/>
      <c r="N400" s="539"/>
      <c r="O400" s="539"/>
      <c r="P400" s="539"/>
      <c r="Q400" s="539"/>
      <c r="R400" s="539"/>
      <c r="S400" s="539"/>
      <c r="T400" s="539"/>
      <c r="U400" s="539"/>
      <c r="V400" s="539"/>
      <c r="W400" s="539"/>
      <c r="X400" s="539"/>
      <c r="Y400" s="539"/>
      <c r="Z400" s="539"/>
      <c r="AA400" s="539"/>
      <c r="AB400" s="539"/>
      <c r="AC400" s="539"/>
      <c r="AD400" s="539"/>
      <c r="AE400" s="539"/>
      <c r="AF400" s="539"/>
      <c r="AG400" s="539"/>
      <c r="AH400" s="539"/>
      <c r="AI400" s="539"/>
      <c r="AJ400" s="539"/>
      <c r="AK400" s="539"/>
      <c r="AL400" s="539"/>
      <c r="AM400" s="539"/>
      <c r="AN400" s="539"/>
      <c r="AO400" s="539"/>
      <c r="AP400" s="539"/>
      <c r="AQ400" s="539"/>
      <c r="AR400" s="539"/>
      <c r="AS400" s="539"/>
      <c r="AT400" s="539"/>
      <c r="AU400" s="539"/>
      <c r="AV400" s="539"/>
      <c r="AW400" s="539"/>
      <c r="AX400" s="539"/>
    </row>
    <row r="401" spans="2:50" ht="14.25" customHeight="1" x14ac:dyDescent="0.3">
      <c r="B401" s="957"/>
      <c r="C401" s="540"/>
      <c r="D401" s="540"/>
      <c r="E401" s="540"/>
      <c r="F401" s="539"/>
      <c r="G401" s="539"/>
      <c r="H401" s="539"/>
      <c r="I401" s="539"/>
      <c r="J401" s="539"/>
      <c r="K401" s="539"/>
      <c r="L401" s="539"/>
      <c r="M401" s="539"/>
      <c r="N401" s="539"/>
      <c r="O401" s="539"/>
      <c r="P401" s="539"/>
      <c r="Q401" s="539"/>
      <c r="R401" s="539"/>
      <c r="S401" s="539"/>
      <c r="T401" s="539"/>
      <c r="U401" s="539"/>
      <c r="V401" s="539"/>
      <c r="W401" s="539"/>
      <c r="X401" s="539"/>
      <c r="Y401" s="539"/>
      <c r="Z401" s="539"/>
      <c r="AA401" s="539"/>
      <c r="AB401" s="539"/>
      <c r="AC401" s="539"/>
      <c r="AD401" s="539"/>
      <c r="AE401" s="539"/>
      <c r="AF401" s="539"/>
      <c r="AG401" s="539"/>
      <c r="AH401" s="539"/>
      <c r="AI401" s="539"/>
      <c r="AJ401" s="539"/>
      <c r="AK401" s="539"/>
      <c r="AL401" s="539"/>
      <c r="AM401" s="539"/>
      <c r="AN401" s="539"/>
      <c r="AO401" s="539"/>
      <c r="AP401" s="539"/>
      <c r="AQ401" s="539"/>
      <c r="AR401" s="539"/>
      <c r="AS401" s="539"/>
      <c r="AT401" s="539"/>
      <c r="AU401" s="539"/>
      <c r="AV401" s="539"/>
      <c r="AW401" s="539"/>
      <c r="AX401" s="539"/>
    </row>
    <row r="402" spans="2:50" ht="14.25" customHeight="1" x14ac:dyDescent="0.3">
      <c r="B402" s="957"/>
      <c r="C402" s="540"/>
      <c r="D402" s="540"/>
      <c r="E402" s="540"/>
      <c r="F402" s="539"/>
      <c r="G402" s="539"/>
      <c r="H402" s="539"/>
      <c r="I402" s="539"/>
      <c r="J402" s="539"/>
      <c r="K402" s="539"/>
      <c r="L402" s="539"/>
      <c r="M402" s="539"/>
      <c r="N402" s="539"/>
      <c r="O402" s="539"/>
      <c r="P402" s="539"/>
      <c r="Q402" s="539"/>
      <c r="R402" s="539"/>
      <c r="S402" s="539"/>
      <c r="T402" s="539"/>
      <c r="U402" s="539"/>
      <c r="V402" s="539"/>
      <c r="W402" s="539"/>
      <c r="X402" s="539"/>
      <c r="Y402" s="539"/>
      <c r="Z402" s="539"/>
      <c r="AA402" s="539"/>
      <c r="AB402" s="539"/>
      <c r="AC402" s="539"/>
      <c r="AD402" s="539"/>
      <c r="AE402" s="539"/>
      <c r="AF402" s="539"/>
      <c r="AG402" s="539"/>
      <c r="AH402" s="539"/>
      <c r="AI402" s="539"/>
      <c r="AJ402" s="539"/>
      <c r="AK402" s="539"/>
      <c r="AL402" s="539"/>
      <c r="AM402" s="539"/>
      <c r="AN402" s="539"/>
      <c r="AO402" s="539"/>
      <c r="AP402" s="539"/>
      <c r="AQ402" s="539"/>
      <c r="AR402" s="539"/>
      <c r="AS402" s="539"/>
      <c r="AT402" s="539"/>
      <c r="AU402" s="539"/>
      <c r="AV402" s="539"/>
      <c r="AW402" s="539"/>
      <c r="AX402" s="539"/>
    </row>
    <row r="403" spans="2:50" ht="14.25" customHeight="1" x14ac:dyDescent="0.3">
      <c r="B403" s="957"/>
      <c r="C403" s="540"/>
      <c r="D403" s="540"/>
      <c r="E403" s="540"/>
      <c r="F403" s="539"/>
      <c r="G403" s="539"/>
      <c r="H403" s="539"/>
      <c r="I403" s="539"/>
      <c r="J403" s="539"/>
      <c r="K403" s="539"/>
      <c r="L403" s="539"/>
      <c r="M403" s="539"/>
      <c r="N403" s="539"/>
      <c r="O403" s="539"/>
      <c r="P403" s="539"/>
      <c r="Q403" s="539"/>
      <c r="R403" s="539"/>
      <c r="S403" s="539"/>
      <c r="T403" s="539"/>
      <c r="U403" s="539"/>
      <c r="V403" s="539"/>
      <c r="W403" s="539"/>
      <c r="X403" s="539"/>
      <c r="Y403" s="539"/>
      <c r="Z403" s="539"/>
      <c r="AA403" s="539"/>
      <c r="AB403" s="539"/>
      <c r="AC403" s="539"/>
      <c r="AD403" s="539"/>
      <c r="AE403" s="539"/>
      <c r="AF403" s="539"/>
      <c r="AG403" s="539"/>
      <c r="AH403" s="539"/>
      <c r="AI403" s="539"/>
      <c r="AJ403" s="539"/>
      <c r="AK403" s="539"/>
      <c r="AL403" s="539"/>
      <c r="AM403" s="539"/>
      <c r="AN403" s="539"/>
      <c r="AO403" s="539"/>
      <c r="AP403" s="539"/>
      <c r="AQ403" s="539"/>
      <c r="AR403" s="539"/>
      <c r="AS403" s="539"/>
      <c r="AT403" s="539"/>
      <c r="AU403" s="539"/>
      <c r="AV403" s="539"/>
      <c r="AW403" s="539"/>
      <c r="AX403" s="539"/>
    </row>
    <row r="404" spans="2:50" ht="14.25" customHeight="1" x14ac:dyDescent="0.3">
      <c r="B404" s="957"/>
      <c r="C404" s="540"/>
      <c r="D404" s="540"/>
      <c r="E404" s="540"/>
      <c r="F404" s="539"/>
      <c r="G404" s="539"/>
      <c r="H404" s="539"/>
      <c r="I404" s="539"/>
      <c r="J404" s="539"/>
      <c r="K404" s="539"/>
      <c r="L404" s="539"/>
      <c r="M404" s="539"/>
      <c r="N404" s="539"/>
      <c r="O404" s="539"/>
      <c r="P404" s="539"/>
      <c r="Q404" s="539"/>
      <c r="R404" s="539"/>
      <c r="S404" s="539"/>
      <c r="T404" s="539"/>
      <c r="U404" s="539"/>
      <c r="V404" s="539"/>
      <c r="W404" s="539"/>
      <c r="X404" s="539"/>
      <c r="Y404" s="539"/>
      <c r="Z404" s="539"/>
      <c r="AA404" s="539"/>
      <c r="AB404" s="539"/>
      <c r="AC404" s="539"/>
      <c r="AD404" s="539"/>
      <c r="AE404" s="539"/>
      <c r="AF404" s="539"/>
      <c r="AG404" s="539"/>
      <c r="AH404" s="539"/>
      <c r="AI404" s="539"/>
      <c r="AJ404" s="539"/>
      <c r="AK404" s="539"/>
      <c r="AL404" s="539"/>
      <c r="AM404" s="539"/>
      <c r="AN404" s="539"/>
      <c r="AO404" s="539"/>
      <c r="AP404" s="539"/>
      <c r="AQ404" s="539"/>
      <c r="AR404" s="539"/>
      <c r="AS404" s="539"/>
      <c r="AT404" s="539"/>
      <c r="AU404" s="539"/>
      <c r="AV404" s="539"/>
      <c r="AW404" s="539"/>
      <c r="AX404" s="539"/>
    </row>
    <row r="405" spans="2:50" ht="14.25" customHeight="1" x14ac:dyDescent="0.3">
      <c r="B405" s="957"/>
      <c r="C405" s="540"/>
      <c r="D405" s="540"/>
      <c r="E405" s="540"/>
      <c r="F405" s="539"/>
      <c r="G405" s="539"/>
      <c r="H405" s="539"/>
      <c r="I405" s="539"/>
      <c r="J405" s="539"/>
      <c r="K405" s="539"/>
      <c r="L405" s="539"/>
      <c r="M405" s="539"/>
      <c r="N405" s="539"/>
      <c r="O405" s="539"/>
      <c r="P405" s="539"/>
      <c r="Q405" s="539"/>
      <c r="R405" s="539"/>
      <c r="S405" s="539"/>
      <c r="T405" s="539"/>
      <c r="U405" s="539"/>
      <c r="V405" s="539"/>
      <c r="W405" s="539"/>
      <c r="X405" s="539"/>
      <c r="Y405" s="539"/>
      <c r="Z405" s="539"/>
      <c r="AA405" s="539"/>
      <c r="AB405" s="539"/>
      <c r="AC405" s="539"/>
      <c r="AD405" s="539"/>
      <c r="AE405" s="539"/>
      <c r="AF405" s="539"/>
      <c r="AG405" s="539"/>
      <c r="AH405" s="539"/>
      <c r="AI405" s="539"/>
      <c r="AJ405" s="539"/>
      <c r="AK405" s="539"/>
      <c r="AL405" s="539"/>
      <c r="AM405" s="539"/>
      <c r="AN405" s="539"/>
      <c r="AO405" s="539"/>
      <c r="AP405" s="539"/>
      <c r="AQ405" s="539"/>
      <c r="AR405" s="539"/>
      <c r="AS405" s="539"/>
      <c r="AT405" s="539"/>
      <c r="AU405" s="539"/>
      <c r="AV405" s="539"/>
      <c r="AW405" s="539"/>
      <c r="AX405" s="539"/>
    </row>
    <row r="406" spans="2:50" ht="14.25" customHeight="1" x14ac:dyDescent="0.3">
      <c r="B406" s="957"/>
      <c r="C406" s="540"/>
      <c r="D406" s="540"/>
      <c r="E406" s="540"/>
      <c r="F406" s="539"/>
      <c r="G406" s="539"/>
      <c r="H406" s="539"/>
      <c r="I406" s="539"/>
      <c r="J406" s="539"/>
      <c r="K406" s="539"/>
      <c r="L406" s="539"/>
      <c r="M406" s="539"/>
      <c r="N406" s="539"/>
      <c r="O406" s="539"/>
      <c r="P406" s="539"/>
      <c r="Q406" s="539"/>
      <c r="R406" s="539"/>
      <c r="S406" s="539"/>
      <c r="T406" s="539"/>
      <c r="U406" s="539"/>
      <c r="V406" s="539"/>
      <c r="W406" s="539"/>
      <c r="X406" s="539"/>
      <c r="Y406" s="539"/>
      <c r="Z406" s="539"/>
      <c r="AA406" s="539"/>
      <c r="AB406" s="539"/>
      <c r="AC406" s="539"/>
      <c r="AD406" s="539"/>
      <c r="AE406" s="539"/>
      <c r="AF406" s="539"/>
      <c r="AG406" s="539"/>
      <c r="AH406" s="539"/>
      <c r="AI406" s="539"/>
      <c r="AJ406" s="539"/>
      <c r="AK406" s="539"/>
      <c r="AL406" s="539"/>
      <c r="AM406" s="539"/>
      <c r="AN406" s="539"/>
      <c r="AO406" s="539"/>
      <c r="AP406" s="539"/>
      <c r="AQ406" s="539"/>
      <c r="AR406" s="539"/>
      <c r="AS406" s="539"/>
      <c r="AT406" s="539"/>
      <c r="AU406" s="539"/>
      <c r="AV406" s="539"/>
      <c r="AW406" s="539"/>
      <c r="AX406" s="539"/>
    </row>
    <row r="407" spans="2:50" ht="14.25" customHeight="1" x14ac:dyDescent="0.3">
      <c r="B407" s="957"/>
      <c r="C407" s="540"/>
      <c r="D407" s="540"/>
      <c r="E407" s="540"/>
      <c r="F407" s="539"/>
      <c r="G407" s="539"/>
      <c r="H407" s="539"/>
      <c r="I407" s="539"/>
      <c r="J407" s="539"/>
      <c r="K407" s="539"/>
      <c r="L407" s="539"/>
      <c r="M407" s="539"/>
      <c r="N407" s="539"/>
      <c r="O407" s="539"/>
      <c r="P407" s="539"/>
      <c r="Q407" s="539"/>
      <c r="R407" s="539"/>
      <c r="S407" s="539"/>
      <c r="T407" s="539"/>
      <c r="U407" s="539"/>
      <c r="V407" s="539"/>
      <c r="W407" s="539"/>
      <c r="X407" s="539"/>
      <c r="Y407" s="539"/>
      <c r="Z407" s="539"/>
      <c r="AA407" s="539"/>
      <c r="AB407" s="539"/>
      <c r="AC407" s="539"/>
      <c r="AD407" s="539"/>
      <c r="AE407" s="539"/>
      <c r="AF407" s="539"/>
      <c r="AG407" s="539"/>
      <c r="AH407" s="539"/>
      <c r="AI407" s="539"/>
      <c r="AJ407" s="539"/>
      <c r="AK407" s="539"/>
      <c r="AL407" s="539"/>
      <c r="AM407" s="539"/>
      <c r="AN407" s="539"/>
      <c r="AO407" s="539"/>
      <c r="AP407" s="539"/>
      <c r="AQ407" s="539"/>
      <c r="AR407" s="539"/>
      <c r="AS407" s="539"/>
      <c r="AT407" s="539"/>
      <c r="AU407" s="539"/>
      <c r="AV407" s="539"/>
      <c r="AW407" s="539"/>
      <c r="AX407" s="539"/>
    </row>
    <row r="408" spans="2:50" ht="14.25" customHeight="1" x14ac:dyDescent="0.3">
      <c r="B408" s="957"/>
      <c r="C408" s="540"/>
      <c r="D408" s="540"/>
      <c r="E408" s="540"/>
      <c r="F408" s="539"/>
      <c r="G408" s="539"/>
      <c r="H408" s="539"/>
      <c r="I408" s="539"/>
      <c r="J408" s="539"/>
      <c r="K408" s="539"/>
      <c r="L408" s="539"/>
      <c r="M408" s="539"/>
      <c r="N408" s="539"/>
      <c r="O408" s="539"/>
      <c r="P408" s="539"/>
      <c r="Q408" s="539"/>
      <c r="R408" s="539"/>
      <c r="S408" s="539"/>
      <c r="T408" s="539"/>
      <c r="U408" s="539"/>
      <c r="V408" s="539"/>
      <c r="W408" s="539"/>
      <c r="X408" s="539"/>
      <c r="Y408" s="539"/>
      <c r="Z408" s="539"/>
      <c r="AA408" s="539"/>
      <c r="AB408" s="539"/>
      <c r="AC408" s="539"/>
      <c r="AD408" s="539"/>
      <c r="AE408" s="539"/>
      <c r="AF408" s="539"/>
      <c r="AG408" s="539"/>
      <c r="AH408" s="539"/>
      <c r="AI408" s="539"/>
      <c r="AJ408" s="539"/>
      <c r="AK408" s="539"/>
      <c r="AL408" s="539"/>
      <c r="AM408" s="539"/>
      <c r="AN408" s="539"/>
      <c r="AO408" s="539"/>
      <c r="AP408" s="539"/>
      <c r="AQ408" s="539"/>
      <c r="AR408" s="539"/>
      <c r="AS408" s="539"/>
      <c r="AT408" s="539"/>
      <c r="AU408" s="539"/>
      <c r="AV408" s="539"/>
      <c r="AW408" s="539"/>
      <c r="AX408" s="539"/>
    </row>
    <row r="409" spans="2:50" ht="14.25" customHeight="1" x14ac:dyDescent="0.3">
      <c r="B409" s="957"/>
      <c r="C409" s="540"/>
      <c r="D409" s="540"/>
      <c r="E409" s="540"/>
      <c r="F409" s="539"/>
      <c r="G409" s="539"/>
      <c r="H409" s="539"/>
      <c r="I409" s="539"/>
      <c r="J409" s="539"/>
      <c r="K409" s="539"/>
      <c r="L409" s="539"/>
      <c r="M409" s="539"/>
      <c r="N409" s="539"/>
      <c r="O409" s="539"/>
      <c r="P409" s="539"/>
      <c r="Q409" s="539"/>
      <c r="R409" s="539"/>
      <c r="S409" s="539"/>
      <c r="T409" s="539"/>
      <c r="U409" s="539"/>
      <c r="V409" s="539"/>
      <c r="W409" s="539"/>
      <c r="X409" s="539"/>
      <c r="Y409" s="539"/>
      <c r="Z409" s="539"/>
      <c r="AA409" s="539"/>
      <c r="AB409" s="539"/>
      <c r="AC409" s="539"/>
      <c r="AD409" s="539"/>
      <c r="AE409" s="539"/>
      <c r="AF409" s="539"/>
      <c r="AG409" s="539"/>
      <c r="AH409" s="539"/>
      <c r="AI409" s="539"/>
      <c r="AJ409" s="539"/>
      <c r="AK409" s="539"/>
      <c r="AL409" s="539"/>
      <c r="AM409" s="539"/>
      <c r="AN409" s="539"/>
      <c r="AO409" s="539"/>
      <c r="AP409" s="539"/>
      <c r="AQ409" s="539"/>
      <c r="AR409" s="539"/>
      <c r="AS409" s="539"/>
      <c r="AT409" s="539"/>
      <c r="AU409" s="539"/>
      <c r="AV409" s="539"/>
      <c r="AW409" s="539"/>
      <c r="AX409" s="539"/>
    </row>
    <row r="410" spans="2:50" ht="14.25" customHeight="1" x14ac:dyDescent="0.3">
      <c r="B410" s="957"/>
      <c r="C410" s="540"/>
      <c r="D410" s="540"/>
      <c r="E410" s="540"/>
      <c r="F410" s="539"/>
      <c r="G410" s="539"/>
      <c r="H410" s="539"/>
      <c r="I410" s="539"/>
      <c r="J410" s="539"/>
      <c r="K410" s="539"/>
      <c r="L410" s="539"/>
      <c r="M410" s="539"/>
      <c r="N410" s="539"/>
      <c r="O410" s="539"/>
      <c r="P410" s="539"/>
      <c r="Q410" s="539"/>
      <c r="R410" s="539"/>
      <c r="S410" s="539"/>
      <c r="T410" s="539"/>
      <c r="U410" s="539"/>
      <c r="V410" s="539"/>
      <c r="W410" s="539"/>
      <c r="X410" s="539"/>
      <c r="Y410" s="539"/>
      <c r="Z410" s="539"/>
      <c r="AA410" s="539"/>
      <c r="AB410" s="539"/>
      <c r="AC410" s="539"/>
      <c r="AD410" s="539"/>
      <c r="AE410" s="539"/>
      <c r="AF410" s="539"/>
      <c r="AG410" s="539"/>
      <c r="AH410" s="539"/>
      <c r="AI410" s="539"/>
      <c r="AJ410" s="539"/>
      <c r="AK410" s="539"/>
      <c r="AL410" s="539"/>
      <c r="AM410" s="539"/>
      <c r="AN410" s="539"/>
      <c r="AO410" s="539"/>
      <c r="AP410" s="539"/>
      <c r="AQ410" s="539"/>
      <c r="AR410" s="539"/>
      <c r="AS410" s="539"/>
      <c r="AT410" s="539"/>
      <c r="AU410" s="539"/>
      <c r="AV410" s="539"/>
      <c r="AW410" s="539"/>
      <c r="AX410" s="539"/>
    </row>
    <row r="411" spans="2:50" ht="14.25" customHeight="1" x14ac:dyDescent="0.3">
      <c r="B411" s="957"/>
      <c r="C411" s="540"/>
      <c r="D411" s="540"/>
      <c r="E411" s="540"/>
      <c r="F411" s="539"/>
      <c r="G411" s="539"/>
      <c r="H411" s="539"/>
      <c r="I411" s="539"/>
      <c r="J411" s="539"/>
      <c r="K411" s="539"/>
      <c r="L411" s="539"/>
      <c r="M411" s="539"/>
      <c r="N411" s="539"/>
      <c r="O411" s="539"/>
      <c r="P411" s="539"/>
      <c r="Q411" s="539"/>
      <c r="R411" s="539"/>
      <c r="S411" s="539"/>
      <c r="T411" s="539"/>
      <c r="U411" s="539"/>
      <c r="V411" s="539"/>
      <c r="W411" s="539"/>
      <c r="X411" s="539"/>
      <c r="Y411" s="539"/>
      <c r="Z411" s="539"/>
      <c r="AA411" s="539"/>
      <c r="AB411" s="539"/>
      <c r="AC411" s="539"/>
      <c r="AD411" s="539"/>
      <c r="AE411" s="539"/>
      <c r="AF411" s="539"/>
      <c r="AG411" s="539"/>
      <c r="AH411" s="539"/>
      <c r="AI411" s="539"/>
      <c r="AJ411" s="539"/>
      <c r="AK411" s="539"/>
      <c r="AL411" s="539"/>
      <c r="AM411" s="539"/>
      <c r="AN411" s="539"/>
      <c r="AO411" s="539"/>
      <c r="AP411" s="539"/>
      <c r="AQ411" s="539"/>
      <c r="AR411" s="539"/>
      <c r="AS411" s="539"/>
      <c r="AT411" s="539"/>
      <c r="AU411" s="539"/>
      <c r="AV411" s="539"/>
      <c r="AW411" s="539"/>
      <c r="AX411" s="539"/>
    </row>
    <row r="412" spans="2:50" ht="14.25" customHeight="1" x14ac:dyDescent="0.3">
      <c r="B412" s="957"/>
      <c r="C412" s="540"/>
      <c r="D412" s="540"/>
      <c r="E412" s="540"/>
      <c r="F412" s="539"/>
      <c r="G412" s="539"/>
      <c r="H412" s="539"/>
      <c r="I412" s="539"/>
      <c r="J412" s="539"/>
      <c r="K412" s="539"/>
      <c r="L412" s="539"/>
      <c r="M412" s="539"/>
      <c r="N412" s="539"/>
      <c r="O412" s="539"/>
      <c r="P412" s="539"/>
      <c r="Q412" s="539"/>
      <c r="R412" s="539"/>
      <c r="S412" s="539"/>
      <c r="T412" s="539"/>
      <c r="U412" s="539"/>
      <c r="V412" s="539"/>
      <c r="W412" s="539"/>
      <c r="X412" s="539"/>
      <c r="Y412" s="539"/>
      <c r="Z412" s="539"/>
      <c r="AA412" s="539"/>
      <c r="AB412" s="539"/>
      <c r="AC412" s="539"/>
      <c r="AD412" s="539"/>
      <c r="AE412" s="539"/>
      <c r="AF412" s="539"/>
      <c r="AG412" s="539"/>
      <c r="AH412" s="539"/>
      <c r="AI412" s="539"/>
      <c r="AJ412" s="539"/>
      <c r="AK412" s="539"/>
      <c r="AL412" s="539"/>
      <c r="AM412" s="539"/>
      <c r="AN412" s="539"/>
      <c r="AO412" s="539"/>
      <c r="AP412" s="539"/>
      <c r="AQ412" s="539"/>
      <c r="AR412" s="539"/>
      <c r="AS412" s="539"/>
      <c r="AT412" s="539"/>
      <c r="AU412" s="539"/>
      <c r="AV412" s="539"/>
      <c r="AW412" s="539"/>
      <c r="AX412" s="539"/>
    </row>
    <row r="413" spans="2:50" ht="14.25" customHeight="1" x14ac:dyDescent="0.3">
      <c r="B413" s="957"/>
      <c r="C413" s="540"/>
      <c r="D413" s="540"/>
      <c r="E413" s="540"/>
      <c r="F413" s="539"/>
      <c r="G413" s="539"/>
      <c r="H413" s="539"/>
      <c r="I413" s="539"/>
      <c r="J413" s="539"/>
      <c r="K413" s="539"/>
      <c r="L413" s="539"/>
      <c r="M413" s="539"/>
      <c r="N413" s="539"/>
      <c r="O413" s="539"/>
      <c r="P413" s="539"/>
      <c r="Q413" s="539"/>
      <c r="R413" s="539"/>
      <c r="S413" s="539"/>
      <c r="T413" s="539"/>
      <c r="U413" s="539"/>
      <c r="V413" s="539"/>
      <c r="W413" s="539"/>
      <c r="X413" s="539"/>
      <c r="Y413" s="539"/>
      <c r="Z413" s="539"/>
      <c r="AA413" s="539"/>
      <c r="AB413" s="539"/>
      <c r="AC413" s="539"/>
      <c r="AD413" s="539"/>
      <c r="AE413" s="539"/>
      <c r="AF413" s="539"/>
      <c r="AG413" s="539"/>
      <c r="AH413" s="539"/>
      <c r="AI413" s="539"/>
      <c r="AJ413" s="539"/>
      <c r="AK413" s="539"/>
      <c r="AL413" s="539"/>
      <c r="AM413" s="539"/>
      <c r="AN413" s="539"/>
      <c r="AO413" s="539"/>
      <c r="AP413" s="539"/>
      <c r="AQ413" s="539"/>
      <c r="AR413" s="539"/>
      <c r="AS413" s="539"/>
      <c r="AT413" s="539"/>
      <c r="AU413" s="539"/>
      <c r="AV413" s="539"/>
      <c r="AW413" s="539"/>
      <c r="AX413" s="539"/>
    </row>
    <row r="414" spans="2:50" ht="14.25" customHeight="1" x14ac:dyDescent="0.3">
      <c r="B414" s="957"/>
      <c r="C414" s="540"/>
      <c r="D414" s="540"/>
      <c r="E414" s="540"/>
      <c r="F414" s="539"/>
      <c r="G414" s="539"/>
      <c r="H414" s="539"/>
      <c r="I414" s="539"/>
      <c r="J414" s="539"/>
      <c r="K414" s="539"/>
      <c r="L414" s="539"/>
      <c r="M414" s="539"/>
      <c r="N414" s="539"/>
      <c r="O414" s="539"/>
      <c r="P414" s="539"/>
      <c r="Q414" s="539"/>
      <c r="R414" s="539"/>
      <c r="S414" s="539"/>
      <c r="T414" s="539"/>
      <c r="U414" s="539"/>
      <c r="V414" s="539"/>
      <c r="W414" s="539"/>
      <c r="X414" s="539"/>
      <c r="Y414" s="539"/>
      <c r="Z414" s="539"/>
      <c r="AA414" s="539"/>
      <c r="AB414" s="539"/>
      <c r="AC414" s="539"/>
      <c r="AD414" s="539"/>
      <c r="AE414" s="539"/>
      <c r="AF414" s="539"/>
      <c r="AG414" s="539"/>
      <c r="AH414" s="539"/>
      <c r="AI414" s="539"/>
      <c r="AJ414" s="539"/>
      <c r="AK414" s="539"/>
      <c r="AL414" s="539"/>
      <c r="AM414" s="539"/>
      <c r="AN414" s="539"/>
      <c r="AO414" s="539"/>
      <c r="AP414" s="539"/>
      <c r="AQ414" s="539"/>
      <c r="AR414" s="539"/>
      <c r="AS414" s="539"/>
      <c r="AT414" s="539"/>
      <c r="AU414" s="539"/>
      <c r="AV414" s="539"/>
      <c r="AW414" s="539"/>
      <c r="AX414" s="539"/>
    </row>
    <row r="415" spans="2:50" ht="14.25" customHeight="1" x14ac:dyDescent="0.3">
      <c r="B415" s="957"/>
      <c r="C415" s="540"/>
      <c r="D415" s="540"/>
      <c r="E415" s="540"/>
      <c r="F415" s="539"/>
      <c r="G415" s="539"/>
      <c r="H415" s="539"/>
      <c r="I415" s="539"/>
      <c r="J415" s="539"/>
      <c r="K415" s="539"/>
      <c r="L415" s="539"/>
      <c r="M415" s="539"/>
      <c r="N415" s="539"/>
      <c r="O415" s="539"/>
      <c r="P415" s="539"/>
      <c r="Q415" s="539"/>
      <c r="R415" s="539"/>
      <c r="S415" s="539"/>
      <c r="T415" s="539"/>
      <c r="U415" s="539"/>
      <c r="V415" s="539"/>
      <c r="W415" s="539"/>
      <c r="X415" s="539"/>
      <c r="Y415" s="539"/>
      <c r="Z415" s="539"/>
      <c r="AA415" s="539"/>
      <c r="AB415" s="539"/>
      <c r="AC415" s="539"/>
      <c r="AD415" s="539"/>
      <c r="AE415" s="539"/>
      <c r="AF415" s="539"/>
      <c r="AG415" s="539"/>
      <c r="AH415" s="539"/>
      <c r="AI415" s="539"/>
      <c r="AJ415" s="539"/>
      <c r="AK415" s="539"/>
      <c r="AL415" s="539"/>
      <c r="AM415" s="539"/>
      <c r="AN415" s="539"/>
      <c r="AO415" s="539"/>
      <c r="AP415" s="539"/>
      <c r="AQ415" s="539"/>
      <c r="AR415" s="539"/>
      <c r="AS415" s="539"/>
      <c r="AT415" s="539"/>
      <c r="AU415" s="539"/>
      <c r="AV415" s="539"/>
      <c r="AW415" s="539"/>
      <c r="AX415" s="539"/>
    </row>
    <row r="416" spans="2:50" ht="14.25" customHeight="1" x14ac:dyDescent="0.3">
      <c r="B416" s="957"/>
      <c r="C416" s="540"/>
      <c r="D416" s="540"/>
      <c r="E416" s="540"/>
      <c r="F416" s="539"/>
      <c r="G416" s="539"/>
      <c r="H416" s="539"/>
      <c r="I416" s="539"/>
      <c r="J416" s="539"/>
      <c r="K416" s="539"/>
      <c r="L416" s="539"/>
      <c r="M416" s="539"/>
      <c r="N416" s="539"/>
      <c r="O416" s="539"/>
      <c r="P416" s="539"/>
      <c r="Q416" s="539"/>
      <c r="R416" s="539"/>
      <c r="S416" s="539"/>
      <c r="T416" s="539"/>
      <c r="U416" s="539"/>
      <c r="V416" s="539"/>
      <c r="W416" s="539"/>
      <c r="X416" s="539"/>
      <c r="Y416" s="539"/>
      <c r="Z416" s="539"/>
      <c r="AA416" s="539"/>
      <c r="AB416" s="539"/>
      <c r="AC416" s="539"/>
      <c r="AD416" s="539"/>
      <c r="AE416" s="539"/>
      <c r="AF416" s="539"/>
      <c r="AG416" s="539"/>
      <c r="AH416" s="539"/>
      <c r="AI416" s="539"/>
      <c r="AJ416" s="539"/>
      <c r="AK416" s="539"/>
      <c r="AL416" s="539"/>
      <c r="AM416" s="539"/>
      <c r="AN416" s="539"/>
      <c r="AO416" s="539"/>
      <c r="AP416" s="539"/>
      <c r="AQ416" s="539"/>
      <c r="AR416" s="539"/>
      <c r="AS416" s="539"/>
      <c r="AT416" s="539"/>
      <c r="AU416" s="539"/>
      <c r="AV416" s="539"/>
      <c r="AW416" s="539"/>
      <c r="AX416" s="539"/>
    </row>
    <row r="417" spans="2:50" ht="14.25" customHeight="1" x14ac:dyDescent="0.3">
      <c r="B417" s="957"/>
      <c r="C417" s="540"/>
      <c r="D417" s="540"/>
      <c r="E417" s="540"/>
      <c r="F417" s="539"/>
      <c r="G417" s="539"/>
      <c r="H417" s="539"/>
      <c r="I417" s="539"/>
      <c r="J417" s="539"/>
      <c r="K417" s="539"/>
      <c r="L417" s="539"/>
      <c r="M417" s="539"/>
      <c r="N417" s="539"/>
      <c r="O417" s="539"/>
      <c r="P417" s="539"/>
      <c r="Q417" s="539"/>
      <c r="R417" s="539"/>
      <c r="S417" s="539"/>
      <c r="T417" s="539"/>
      <c r="U417" s="539"/>
      <c r="V417" s="539"/>
      <c r="W417" s="539"/>
      <c r="X417" s="539"/>
      <c r="Y417" s="539"/>
      <c r="Z417" s="539"/>
      <c r="AA417" s="539"/>
      <c r="AB417" s="539"/>
      <c r="AC417" s="539"/>
      <c r="AD417" s="539"/>
      <c r="AE417" s="539"/>
      <c r="AF417" s="539"/>
      <c r="AG417" s="539"/>
      <c r="AH417" s="539"/>
      <c r="AI417" s="539"/>
      <c r="AJ417" s="539"/>
      <c r="AK417" s="539"/>
      <c r="AL417" s="539"/>
      <c r="AM417" s="539"/>
      <c r="AN417" s="539"/>
      <c r="AO417" s="539"/>
      <c r="AP417" s="539"/>
      <c r="AQ417" s="539"/>
      <c r="AR417" s="539"/>
      <c r="AS417" s="539"/>
      <c r="AT417" s="539"/>
      <c r="AU417" s="539"/>
      <c r="AV417" s="539"/>
      <c r="AW417" s="539"/>
      <c r="AX417" s="539"/>
    </row>
    <row r="418" spans="2:50" ht="14.25" customHeight="1" x14ac:dyDescent="0.3">
      <c r="B418" s="957"/>
      <c r="C418" s="540"/>
      <c r="D418" s="540"/>
      <c r="E418" s="540"/>
      <c r="F418" s="539"/>
      <c r="G418" s="539"/>
      <c r="H418" s="539"/>
      <c r="I418" s="539"/>
      <c r="J418" s="539"/>
      <c r="K418" s="539"/>
      <c r="L418" s="539"/>
      <c r="M418" s="539"/>
      <c r="N418" s="539"/>
      <c r="O418" s="539"/>
      <c r="P418" s="539"/>
      <c r="Q418" s="539"/>
      <c r="R418" s="539"/>
      <c r="S418" s="539"/>
      <c r="T418" s="539"/>
      <c r="U418" s="539"/>
      <c r="V418" s="539"/>
      <c r="W418" s="539"/>
      <c r="X418" s="539"/>
      <c r="Y418" s="539"/>
      <c r="Z418" s="539"/>
      <c r="AA418" s="539"/>
      <c r="AB418" s="539"/>
      <c r="AC418" s="539"/>
      <c r="AD418" s="539"/>
      <c r="AE418" s="539"/>
      <c r="AF418" s="539"/>
      <c r="AG418" s="539"/>
      <c r="AH418" s="539"/>
      <c r="AI418" s="539"/>
      <c r="AJ418" s="539"/>
      <c r="AK418" s="539"/>
      <c r="AL418" s="539"/>
      <c r="AM418" s="539"/>
      <c r="AN418" s="539"/>
      <c r="AO418" s="539"/>
      <c r="AP418" s="539"/>
      <c r="AQ418" s="539"/>
      <c r="AR418" s="539"/>
      <c r="AS418" s="539"/>
      <c r="AT418" s="539"/>
      <c r="AU418" s="539"/>
      <c r="AV418" s="539"/>
      <c r="AW418" s="539"/>
      <c r="AX418" s="539"/>
    </row>
    <row r="419" spans="2:50" ht="14.25" customHeight="1" x14ac:dyDescent="0.3">
      <c r="B419" s="957"/>
      <c r="C419" s="540"/>
      <c r="D419" s="540"/>
      <c r="E419" s="540"/>
      <c r="F419" s="539"/>
      <c r="G419" s="539"/>
      <c r="H419" s="539"/>
      <c r="I419" s="539"/>
      <c r="J419" s="539"/>
      <c r="K419" s="539"/>
      <c r="L419" s="539"/>
      <c r="M419" s="539"/>
      <c r="N419" s="539"/>
      <c r="O419" s="539"/>
      <c r="P419" s="539"/>
      <c r="Q419" s="539"/>
      <c r="R419" s="539"/>
      <c r="S419" s="539"/>
      <c r="T419" s="539"/>
      <c r="U419" s="539"/>
      <c r="V419" s="539"/>
      <c r="W419" s="539"/>
      <c r="X419" s="539"/>
      <c r="Y419" s="539"/>
      <c r="Z419" s="539"/>
      <c r="AA419" s="539"/>
      <c r="AB419" s="539"/>
      <c r="AC419" s="539"/>
      <c r="AD419" s="539"/>
      <c r="AE419" s="539"/>
      <c r="AF419" s="539"/>
      <c r="AG419" s="539"/>
      <c r="AH419" s="539"/>
      <c r="AI419" s="539"/>
      <c r="AJ419" s="539"/>
      <c r="AK419" s="539"/>
      <c r="AL419" s="539"/>
      <c r="AM419" s="539"/>
      <c r="AN419" s="539"/>
      <c r="AO419" s="539"/>
      <c r="AP419" s="539"/>
      <c r="AQ419" s="539"/>
      <c r="AR419" s="539"/>
      <c r="AS419" s="539"/>
      <c r="AT419" s="539"/>
      <c r="AU419" s="539"/>
      <c r="AV419" s="539"/>
      <c r="AW419" s="539"/>
      <c r="AX419" s="539"/>
    </row>
    <row r="420" spans="2:50" ht="14.25" customHeight="1" x14ac:dyDescent="0.3">
      <c r="B420" s="957"/>
      <c r="C420" s="540"/>
      <c r="D420" s="540"/>
      <c r="E420" s="540"/>
      <c r="F420" s="539"/>
      <c r="G420" s="539"/>
      <c r="H420" s="539"/>
      <c r="I420" s="539"/>
      <c r="J420" s="539"/>
      <c r="K420" s="539"/>
      <c r="L420" s="539"/>
      <c r="M420" s="539"/>
      <c r="N420" s="539"/>
      <c r="O420" s="539"/>
      <c r="P420" s="539"/>
      <c r="Q420" s="539"/>
      <c r="R420" s="539"/>
      <c r="S420" s="539"/>
      <c r="T420" s="539"/>
      <c r="U420" s="539"/>
      <c r="V420" s="539"/>
      <c r="W420" s="539"/>
      <c r="X420" s="539"/>
      <c r="Y420" s="539"/>
      <c r="Z420" s="539"/>
      <c r="AA420" s="539"/>
      <c r="AB420" s="539"/>
      <c r="AC420" s="539"/>
      <c r="AD420" s="539"/>
      <c r="AE420" s="539"/>
      <c r="AF420" s="539"/>
      <c r="AG420" s="539"/>
      <c r="AH420" s="539"/>
      <c r="AI420" s="539"/>
      <c r="AJ420" s="539"/>
      <c r="AK420" s="539"/>
      <c r="AL420" s="539"/>
      <c r="AM420" s="539"/>
      <c r="AN420" s="539"/>
      <c r="AO420" s="539"/>
      <c r="AP420" s="539"/>
      <c r="AQ420" s="539"/>
      <c r="AR420" s="539"/>
      <c r="AS420" s="539"/>
      <c r="AT420" s="539"/>
      <c r="AU420" s="539"/>
      <c r="AV420" s="539"/>
      <c r="AW420" s="539"/>
      <c r="AX420" s="539"/>
    </row>
    <row r="421" spans="2:50" ht="14.25" customHeight="1" x14ac:dyDescent="0.3">
      <c r="B421" s="957"/>
      <c r="C421" s="540"/>
      <c r="D421" s="540"/>
      <c r="E421" s="540"/>
      <c r="F421" s="539"/>
      <c r="G421" s="539"/>
      <c r="H421" s="539"/>
      <c r="I421" s="539"/>
      <c r="J421" s="539"/>
      <c r="K421" s="539"/>
      <c r="L421" s="539"/>
      <c r="M421" s="539"/>
      <c r="N421" s="539"/>
      <c r="O421" s="539"/>
      <c r="P421" s="539"/>
      <c r="Q421" s="539"/>
      <c r="R421" s="539"/>
      <c r="S421" s="539"/>
      <c r="T421" s="539"/>
      <c r="U421" s="539"/>
      <c r="V421" s="539"/>
      <c r="W421" s="539"/>
      <c r="X421" s="539"/>
      <c r="Y421" s="539"/>
      <c r="Z421" s="539"/>
      <c r="AA421" s="539"/>
      <c r="AB421" s="539"/>
      <c r="AC421" s="539"/>
      <c r="AD421" s="539"/>
      <c r="AE421" s="539"/>
      <c r="AF421" s="539"/>
      <c r="AG421" s="539"/>
      <c r="AH421" s="539"/>
      <c r="AI421" s="539"/>
      <c r="AJ421" s="539"/>
      <c r="AK421" s="539"/>
      <c r="AL421" s="539"/>
      <c r="AM421" s="539"/>
      <c r="AN421" s="539"/>
      <c r="AO421" s="539"/>
      <c r="AP421" s="539"/>
      <c r="AQ421" s="539"/>
      <c r="AR421" s="539"/>
      <c r="AS421" s="539"/>
      <c r="AT421" s="539"/>
      <c r="AU421" s="539"/>
      <c r="AV421" s="539"/>
      <c r="AW421" s="539"/>
      <c r="AX421" s="539"/>
    </row>
    <row r="422" spans="2:50" ht="14.25" customHeight="1" x14ac:dyDescent="0.3">
      <c r="B422" s="957"/>
      <c r="C422" s="540"/>
      <c r="D422" s="540"/>
      <c r="E422" s="540"/>
      <c r="F422" s="539"/>
      <c r="G422" s="539"/>
      <c r="H422" s="539"/>
      <c r="I422" s="539"/>
      <c r="J422" s="539"/>
      <c r="K422" s="539"/>
      <c r="L422" s="539"/>
      <c r="M422" s="539"/>
      <c r="N422" s="539"/>
      <c r="O422" s="539"/>
      <c r="P422" s="539"/>
      <c r="Q422" s="539"/>
      <c r="R422" s="539"/>
      <c r="S422" s="539"/>
      <c r="T422" s="539"/>
      <c r="U422" s="539"/>
      <c r="V422" s="539"/>
      <c r="W422" s="539"/>
      <c r="X422" s="539"/>
      <c r="Y422" s="539"/>
      <c r="Z422" s="539"/>
      <c r="AA422" s="539"/>
      <c r="AB422" s="539"/>
      <c r="AC422" s="539"/>
      <c r="AD422" s="539"/>
      <c r="AE422" s="539"/>
      <c r="AF422" s="539"/>
      <c r="AG422" s="539"/>
      <c r="AH422" s="539"/>
      <c r="AI422" s="539"/>
      <c r="AJ422" s="539"/>
      <c r="AK422" s="539"/>
      <c r="AL422" s="539"/>
      <c r="AM422" s="539"/>
      <c r="AN422" s="539"/>
      <c r="AO422" s="539"/>
      <c r="AP422" s="539"/>
      <c r="AQ422" s="539"/>
      <c r="AR422" s="539"/>
      <c r="AS422" s="539"/>
      <c r="AT422" s="539"/>
      <c r="AU422" s="539"/>
      <c r="AV422" s="539"/>
      <c r="AW422" s="539"/>
      <c r="AX422" s="539"/>
    </row>
    <row r="423" spans="2:50" ht="14.25" customHeight="1" x14ac:dyDescent="0.3">
      <c r="B423" s="957"/>
      <c r="C423" s="540"/>
      <c r="D423" s="540"/>
      <c r="E423" s="540"/>
      <c r="F423" s="539"/>
      <c r="G423" s="539"/>
      <c r="H423" s="539"/>
      <c r="I423" s="539"/>
      <c r="J423" s="539"/>
      <c r="K423" s="539"/>
      <c r="L423" s="539"/>
      <c r="M423" s="539"/>
      <c r="N423" s="539"/>
      <c r="O423" s="539"/>
      <c r="P423" s="539"/>
      <c r="Q423" s="539"/>
      <c r="R423" s="539"/>
      <c r="S423" s="539"/>
      <c r="T423" s="539"/>
      <c r="U423" s="539"/>
      <c r="V423" s="539"/>
      <c r="W423" s="539"/>
      <c r="X423" s="539"/>
      <c r="Y423" s="539"/>
      <c r="Z423" s="539"/>
      <c r="AA423" s="539"/>
      <c r="AB423" s="539"/>
      <c r="AC423" s="539"/>
      <c r="AD423" s="539"/>
      <c r="AE423" s="539"/>
      <c r="AF423" s="539"/>
      <c r="AG423" s="539"/>
      <c r="AH423" s="539"/>
      <c r="AI423" s="539"/>
      <c r="AJ423" s="539"/>
      <c r="AK423" s="539"/>
      <c r="AL423" s="539"/>
      <c r="AM423" s="539"/>
      <c r="AN423" s="539"/>
      <c r="AO423" s="539"/>
      <c r="AP423" s="539"/>
      <c r="AQ423" s="539"/>
      <c r="AR423" s="539"/>
      <c r="AS423" s="539"/>
      <c r="AT423" s="539"/>
      <c r="AU423" s="539"/>
      <c r="AV423" s="539"/>
      <c r="AW423" s="539"/>
      <c r="AX423" s="539"/>
    </row>
    <row r="424" spans="2:50" ht="14.25" customHeight="1" x14ac:dyDescent="0.3">
      <c r="B424" s="957"/>
      <c r="C424" s="540"/>
      <c r="D424" s="540"/>
      <c r="E424" s="540"/>
      <c r="F424" s="539"/>
      <c r="G424" s="539"/>
      <c r="H424" s="539"/>
      <c r="I424" s="539"/>
      <c r="J424" s="539"/>
      <c r="K424" s="539"/>
      <c r="L424" s="539"/>
      <c r="M424" s="539"/>
      <c r="N424" s="539"/>
      <c r="O424" s="539"/>
      <c r="P424" s="539"/>
      <c r="Q424" s="539"/>
      <c r="R424" s="539"/>
      <c r="S424" s="539"/>
      <c r="T424" s="539"/>
      <c r="U424" s="539"/>
      <c r="V424" s="539"/>
      <c r="W424" s="539"/>
      <c r="X424" s="539"/>
      <c r="Y424" s="539"/>
      <c r="Z424" s="539"/>
      <c r="AA424" s="539"/>
      <c r="AB424" s="539"/>
      <c r="AC424" s="539"/>
      <c r="AD424" s="539"/>
      <c r="AE424" s="539"/>
      <c r="AF424" s="539"/>
      <c r="AG424" s="539"/>
      <c r="AH424" s="539"/>
      <c r="AI424" s="539"/>
      <c r="AJ424" s="539"/>
      <c r="AK424" s="539"/>
      <c r="AL424" s="539"/>
      <c r="AM424" s="539"/>
      <c r="AN424" s="539"/>
      <c r="AO424" s="539"/>
      <c r="AP424" s="539"/>
      <c r="AQ424" s="539"/>
      <c r="AR424" s="539"/>
      <c r="AS424" s="539"/>
      <c r="AT424" s="539"/>
      <c r="AU424" s="539"/>
      <c r="AV424" s="539"/>
      <c r="AW424" s="539"/>
      <c r="AX424" s="539"/>
    </row>
    <row r="425" spans="2:50" ht="14.25" customHeight="1" x14ac:dyDescent="0.3">
      <c r="B425" s="957"/>
      <c r="C425" s="540"/>
      <c r="D425" s="540"/>
      <c r="E425" s="540"/>
      <c r="F425" s="539"/>
      <c r="G425" s="539"/>
      <c r="H425" s="539"/>
      <c r="I425" s="539"/>
      <c r="J425" s="539"/>
      <c r="K425" s="539"/>
      <c r="L425" s="539"/>
      <c r="M425" s="539"/>
      <c r="N425" s="539"/>
      <c r="O425" s="539"/>
      <c r="P425" s="539"/>
      <c r="Q425" s="539"/>
      <c r="R425" s="539"/>
      <c r="S425" s="539"/>
      <c r="T425" s="539"/>
      <c r="U425" s="539"/>
      <c r="V425" s="539"/>
      <c r="W425" s="539"/>
      <c r="X425" s="539"/>
      <c r="Y425" s="539"/>
      <c r="Z425" s="539"/>
      <c r="AA425" s="539"/>
      <c r="AB425" s="539"/>
      <c r="AC425" s="539"/>
      <c r="AD425" s="539"/>
      <c r="AE425" s="539"/>
      <c r="AF425" s="539"/>
      <c r="AG425" s="539"/>
      <c r="AH425" s="539"/>
      <c r="AI425" s="539"/>
      <c r="AJ425" s="539"/>
      <c r="AK425" s="539"/>
      <c r="AL425" s="539"/>
      <c r="AM425" s="539"/>
      <c r="AN425" s="539"/>
      <c r="AO425" s="539"/>
      <c r="AP425" s="539"/>
      <c r="AQ425" s="539"/>
      <c r="AR425" s="539"/>
      <c r="AS425" s="539"/>
      <c r="AT425" s="539"/>
      <c r="AU425" s="539"/>
      <c r="AV425" s="539"/>
      <c r="AW425" s="539"/>
      <c r="AX425" s="539"/>
    </row>
    <row r="426" spans="2:50" ht="14.25" customHeight="1" x14ac:dyDescent="0.3">
      <c r="B426" s="957"/>
      <c r="C426" s="540"/>
      <c r="D426" s="540"/>
      <c r="E426" s="540"/>
      <c r="F426" s="539"/>
      <c r="G426" s="539"/>
      <c r="H426" s="539"/>
      <c r="I426" s="539"/>
      <c r="J426" s="539"/>
      <c r="K426" s="539"/>
      <c r="L426" s="539"/>
      <c r="M426" s="539"/>
      <c r="N426" s="539"/>
      <c r="O426" s="539"/>
      <c r="P426" s="539"/>
      <c r="Q426" s="539"/>
      <c r="R426" s="539"/>
      <c r="S426" s="539"/>
      <c r="T426" s="539"/>
      <c r="U426" s="539"/>
      <c r="V426" s="539"/>
      <c r="W426" s="539"/>
      <c r="X426" s="539"/>
      <c r="Y426" s="539"/>
      <c r="Z426" s="539"/>
      <c r="AA426" s="539"/>
      <c r="AB426" s="539"/>
      <c r="AC426" s="539"/>
      <c r="AD426" s="539"/>
      <c r="AE426" s="539"/>
      <c r="AF426" s="539"/>
      <c r="AG426" s="539"/>
      <c r="AH426" s="539"/>
      <c r="AI426" s="539"/>
      <c r="AJ426" s="539"/>
      <c r="AK426" s="539"/>
      <c r="AL426" s="539"/>
      <c r="AM426" s="539"/>
      <c r="AN426" s="539"/>
      <c r="AO426" s="539"/>
      <c r="AP426" s="539"/>
      <c r="AQ426" s="539"/>
      <c r="AR426" s="539"/>
      <c r="AS426" s="539"/>
      <c r="AT426" s="539"/>
      <c r="AU426" s="539"/>
      <c r="AV426" s="539"/>
      <c r="AW426" s="539"/>
      <c r="AX426" s="539"/>
    </row>
    <row r="427" spans="2:50" ht="14.25" customHeight="1" x14ac:dyDescent="0.3">
      <c r="B427" s="957"/>
      <c r="C427" s="540"/>
      <c r="D427" s="540"/>
      <c r="E427" s="540"/>
      <c r="F427" s="539"/>
      <c r="G427" s="539"/>
      <c r="H427" s="539"/>
      <c r="I427" s="539"/>
      <c r="J427" s="539"/>
      <c r="K427" s="539"/>
      <c r="L427" s="539"/>
      <c r="M427" s="539"/>
      <c r="N427" s="539"/>
      <c r="O427" s="539"/>
      <c r="P427" s="539"/>
      <c r="Q427" s="539"/>
      <c r="R427" s="539"/>
      <c r="S427" s="539"/>
      <c r="T427" s="539"/>
      <c r="U427" s="539"/>
      <c r="V427" s="539"/>
      <c r="W427" s="539"/>
      <c r="X427" s="539"/>
      <c r="Y427" s="539"/>
      <c r="Z427" s="539"/>
      <c r="AA427" s="539"/>
      <c r="AB427" s="539"/>
      <c r="AC427" s="539"/>
      <c r="AD427" s="539"/>
      <c r="AE427" s="539"/>
      <c r="AF427" s="539"/>
      <c r="AG427" s="539"/>
      <c r="AH427" s="539"/>
      <c r="AI427" s="539"/>
      <c r="AJ427" s="539"/>
      <c r="AK427" s="539"/>
      <c r="AL427" s="539"/>
      <c r="AM427" s="539"/>
      <c r="AN427" s="539"/>
      <c r="AO427" s="539"/>
      <c r="AP427" s="539"/>
      <c r="AQ427" s="539"/>
      <c r="AR427" s="539"/>
      <c r="AS427" s="539"/>
      <c r="AT427" s="539"/>
      <c r="AU427" s="539"/>
      <c r="AV427" s="539"/>
      <c r="AW427" s="539"/>
      <c r="AX427" s="539"/>
    </row>
    <row r="428" spans="2:50" ht="14.25" customHeight="1" x14ac:dyDescent="0.3">
      <c r="B428" s="957"/>
      <c r="C428" s="540"/>
      <c r="D428" s="540"/>
      <c r="E428" s="540"/>
      <c r="F428" s="539"/>
      <c r="G428" s="539"/>
      <c r="H428" s="539"/>
      <c r="I428" s="539"/>
      <c r="J428" s="539"/>
      <c r="K428" s="539"/>
      <c r="L428" s="539"/>
      <c r="M428" s="539"/>
      <c r="N428" s="539"/>
      <c r="O428" s="539"/>
      <c r="P428" s="539"/>
      <c r="Q428" s="539"/>
      <c r="R428" s="539"/>
      <c r="S428" s="539"/>
      <c r="T428" s="539"/>
      <c r="U428" s="539"/>
      <c r="V428" s="539"/>
      <c r="W428" s="539"/>
      <c r="X428" s="539"/>
      <c r="Y428" s="539"/>
      <c r="Z428" s="539"/>
      <c r="AA428" s="539"/>
      <c r="AB428" s="539"/>
      <c r="AC428" s="539"/>
      <c r="AD428" s="539"/>
      <c r="AE428" s="539"/>
      <c r="AF428" s="539"/>
      <c r="AG428" s="539"/>
      <c r="AH428" s="539"/>
      <c r="AI428" s="539"/>
      <c r="AJ428" s="539"/>
      <c r="AK428" s="539"/>
      <c r="AL428" s="539"/>
      <c r="AM428" s="539"/>
      <c r="AN428" s="539"/>
      <c r="AO428" s="539"/>
      <c r="AP428" s="539"/>
      <c r="AQ428" s="539"/>
      <c r="AR428" s="539"/>
      <c r="AS428" s="539"/>
      <c r="AT428" s="539"/>
      <c r="AU428" s="539"/>
      <c r="AV428" s="539"/>
      <c r="AW428" s="539"/>
      <c r="AX428" s="539"/>
    </row>
    <row r="429" spans="2:50" ht="14.25" customHeight="1" x14ac:dyDescent="0.3">
      <c r="B429" s="957"/>
      <c r="C429" s="540"/>
      <c r="D429" s="540"/>
      <c r="E429" s="540"/>
      <c r="F429" s="539"/>
      <c r="G429" s="539"/>
      <c r="H429" s="539"/>
      <c r="I429" s="539"/>
      <c r="J429" s="539"/>
      <c r="K429" s="539"/>
      <c r="L429" s="539"/>
      <c r="M429" s="539"/>
      <c r="N429" s="539"/>
      <c r="O429" s="539"/>
      <c r="P429" s="539"/>
      <c r="Q429" s="539"/>
      <c r="R429" s="539"/>
      <c r="S429" s="539"/>
      <c r="T429" s="539"/>
      <c r="U429" s="539"/>
      <c r="V429" s="539"/>
      <c r="W429" s="539"/>
      <c r="X429" s="539"/>
      <c r="Y429" s="539"/>
      <c r="Z429" s="539"/>
      <c r="AA429" s="539"/>
      <c r="AB429" s="539"/>
      <c r="AC429" s="539"/>
      <c r="AD429" s="539"/>
      <c r="AE429" s="539"/>
      <c r="AF429" s="539"/>
      <c r="AG429" s="539"/>
      <c r="AH429" s="539"/>
      <c r="AI429" s="539"/>
      <c r="AJ429" s="539"/>
      <c r="AK429" s="539"/>
      <c r="AL429" s="539"/>
      <c r="AM429" s="539"/>
      <c r="AN429" s="539"/>
      <c r="AO429" s="539"/>
      <c r="AP429" s="539"/>
      <c r="AQ429" s="539"/>
      <c r="AR429" s="539"/>
      <c r="AS429" s="539"/>
      <c r="AT429" s="539"/>
      <c r="AU429" s="539"/>
      <c r="AV429" s="539"/>
      <c r="AW429" s="539"/>
      <c r="AX429" s="539"/>
    </row>
    <row r="430" spans="2:50" ht="14.25" customHeight="1" x14ac:dyDescent="0.3">
      <c r="B430" s="957"/>
      <c r="C430" s="540"/>
      <c r="D430" s="540"/>
      <c r="E430" s="540"/>
      <c r="F430" s="539"/>
      <c r="G430" s="539"/>
      <c r="H430" s="539"/>
      <c r="I430" s="539"/>
      <c r="J430" s="539"/>
      <c r="K430" s="539"/>
      <c r="L430" s="539"/>
      <c r="M430" s="539"/>
      <c r="N430" s="539"/>
      <c r="O430" s="539"/>
      <c r="P430" s="539"/>
      <c r="Q430" s="539"/>
      <c r="R430" s="539"/>
      <c r="S430" s="539"/>
      <c r="T430" s="539"/>
      <c r="U430" s="539"/>
      <c r="V430" s="539"/>
      <c r="W430" s="539"/>
      <c r="X430" s="539"/>
      <c r="Y430" s="539"/>
      <c r="Z430" s="539"/>
      <c r="AA430" s="539"/>
      <c r="AB430" s="539"/>
      <c r="AC430" s="539"/>
      <c r="AD430" s="539"/>
      <c r="AE430" s="539"/>
      <c r="AF430" s="539"/>
      <c r="AG430" s="539"/>
      <c r="AH430" s="539"/>
      <c r="AI430" s="539"/>
      <c r="AJ430" s="539"/>
      <c r="AK430" s="539"/>
      <c r="AL430" s="539"/>
      <c r="AM430" s="539"/>
      <c r="AN430" s="539"/>
      <c r="AO430" s="539"/>
      <c r="AP430" s="539"/>
      <c r="AQ430" s="539"/>
      <c r="AR430" s="539"/>
      <c r="AS430" s="539"/>
      <c r="AT430" s="539"/>
      <c r="AU430" s="539"/>
      <c r="AV430" s="539"/>
      <c r="AW430" s="539"/>
      <c r="AX430" s="539"/>
    </row>
    <row r="431" spans="2:50" ht="14.25" customHeight="1" x14ac:dyDescent="0.3">
      <c r="B431" s="957"/>
      <c r="C431" s="540"/>
      <c r="D431" s="540"/>
      <c r="E431" s="540"/>
      <c r="F431" s="539"/>
      <c r="G431" s="539"/>
      <c r="H431" s="539"/>
      <c r="I431" s="539"/>
      <c r="J431" s="539"/>
      <c r="K431" s="539"/>
      <c r="L431" s="539"/>
      <c r="M431" s="539"/>
      <c r="N431" s="539"/>
      <c r="O431" s="539"/>
      <c r="P431" s="539"/>
      <c r="Q431" s="539"/>
      <c r="R431" s="539"/>
      <c r="S431" s="539"/>
      <c r="T431" s="539"/>
      <c r="U431" s="539"/>
      <c r="V431" s="539"/>
      <c r="W431" s="539"/>
      <c r="X431" s="539"/>
      <c r="Y431" s="539"/>
      <c r="Z431" s="539"/>
      <c r="AA431" s="539"/>
      <c r="AB431" s="539"/>
      <c r="AC431" s="539"/>
      <c r="AD431" s="539"/>
      <c r="AE431" s="539"/>
      <c r="AF431" s="539"/>
      <c r="AG431" s="539"/>
      <c r="AH431" s="539"/>
      <c r="AI431" s="539"/>
      <c r="AJ431" s="539"/>
      <c r="AK431" s="539"/>
      <c r="AL431" s="539"/>
      <c r="AM431" s="539"/>
      <c r="AN431" s="539"/>
      <c r="AO431" s="539"/>
      <c r="AP431" s="539"/>
      <c r="AQ431" s="539"/>
      <c r="AR431" s="539"/>
      <c r="AS431" s="539"/>
      <c r="AT431" s="539"/>
      <c r="AU431" s="539"/>
      <c r="AV431" s="539"/>
      <c r="AW431" s="539"/>
      <c r="AX431" s="539"/>
    </row>
    <row r="432" spans="2:50" ht="14.25" customHeight="1" x14ac:dyDescent="0.3">
      <c r="B432" s="957"/>
      <c r="C432" s="540"/>
      <c r="D432" s="540"/>
      <c r="E432" s="540"/>
      <c r="F432" s="539"/>
      <c r="G432" s="539"/>
      <c r="H432" s="539"/>
      <c r="I432" s="539"/>
      <c r="J432" s="539"/>
      <c r="K432" s="539"/>
      <c r="L432" s="539"/>
      <c r="M432" s="539"/>
      <c r="N432" s="539"/>
      <c r="O432" s="539"/>
      <c r="P432" s="539"/>
      <c r="Q432" s="539"/>
      <c r="R432" s="539"/>
      <c r="S432" s="539"/>
      <c r="T432" s="539"/>
      <c r="U432" s="539"/>
      <c r="V432" s="539"/>
      <c r="W432" s="539"/>
      <c r="X432" s="539"/>
      <c r="Y432" s="539"/>
      <c r="Z432" s="539"/>
      <c r="AA432" s="539"/>
      <c r="AB432" s="539"/>
      <c r="AC432" s="539"/>
      <c r="AD432" s="539"/>
      <c r="AE432" s="539"/>
      <c r="AF432" s="539"/>
      <c r="AG432" s="539"/>
      <c r="AH432" s="539"/>
      <c r="AI432" s="539"/>
      <c r="AJ432" s="539"/>
      <c r="AK432" s="539"/>
      <c r="AL432" s="539"/>
      <c r="AM432" s="539"/>
      <c r="AN432" s="539"/>
      <c r="AO432" s="539"/>
      <c r="AP432" s="539"/>
      <c r="AQ432" s="539"/>
      <c r="AR432" s="539"/>
      <c r="AS432" s="539"/>
      <c r="AT432" s="539"/>
      <c r="AU432" s="539"/>
      <c r="AV432" s="539"/>
      <c r="AW432" s="539"/>
      <c r="AX432" s="539"/>
    </row>
    <row r="433" spans="2:50" ht="14.25" customHeight="1" x14ac:dyDescent="0.3">
      <c r="B433" s="957"/>
      <c r="C433" s="540"/>
      <c r="D433" s="540"/>
      <c r="E433" s="540"/>
      <c r="F433" s="539"/>
      <c r="G433" s="539"/>
      <c r="H433" s="539"/>
      <c r="I433" s="539"/>
      <c r="J433" s="539"/>
      <c r="K433" s="539"/>
      <c r="L433" s="539"/>
      <c r="M433" s="539"/>
      <c r="N433" s="539"/>
      <c r="O433" s="539"/>
      <c r="P433" s="539"/>
      <c r="Q433" s="539"/>
      <c r="R433" s="539"/>
      <c r="S433" s="539"/>
      <c r="T433" s="539"/>
      <c r="U433" s="539"/>
      <c r="V433" s="539"/>
      <c r="W433" s="539"/>
      <c r="X433" s="539"/>
      <c r="Y433" s="539"/>
      <c r="Z433" s="539"/>
      <c r="AA433" s="539"/>
      <c r="AB433" s="539"/>
      <c r="AC433" s="539"/>
      <c r="AD433" s="539"/>
      <c r="AE433" s="539"/>
      <c r="AF433" s="539"/>
      <c r="AG433" s="539"/>
      <c r="AH433" s="539"/>
      <c r="AI433" s="539"/>
      <c r="AJ433" s="539"/>
      <c r="AK433" s="539"/>
      <c r="AL433" s="539"/>
      <c r="AM433" s="539"/>
      <c r="AN433" s="539"/>
      <c r="AO433" s="539"/>
      <c r="AP433" s="539"/>
      <c r="AQ433" s="539"/>
      <c r="AR433" s="539"/>
      <c r="AS433" s="539"/>
      <c r="AT433" s="539"/>
      <c r="AU433" s="539"/>
      <c r="AV433" s="539"/>
      <c r="AW433" s="539"/>
      <c r="AX433" s="539"/>
    </row>
    <row r="434" spans="2:50" ht="14.25" customHeight="1" x14ac:dyDescent="0.3">
      <c r="B434" s="957"/>
      <c r="C434" s="540"/>
      <c r="D434" s="540"/>
      <c r="E434" s="540"/>
      <c r="F434" s="539"/>
      <c r="G434" s="539"/>
      <c r="H434" s="539"/>
      <c r="I434" s="539"/>
      <c r="J434" s="539"/>
      <c r="K434" s="539"/>
      <c r="L434" s="539"/>
      <c r="M434" s="539"/>
      <c r="N434" s="539"/>
      <c r="O434" s="539"/>
      <c r="P434" s="539"/>
      <c r="Q434" s="539"/>
      <c r="R434" s="539"/>
      <c r="S434" s="539"/>
      <c r="T434" s="539"/>
      <c r="U434" s="539"/>
      <c r="V434" s="539"/>
      <c r="W434" s="539"/>
      <c r="X434" s="539"/>
      <c r="Y434" s="539"/>
      <c r="Z434" s="539"/>
      <c r="AA434" s="539"/>
      <c r="AB434" s="539"/>
      <c r="AC434" s="539"/>
      <c r="AD434" s="539"/>
      <c r="AE434" s="539"/>
      <c r="AF434" s="539"/>
      <c r="AG434" s="539"/>
      <c r="AH434" s="539"/>
      <c r="AI434" s="539"/>
      <c r="AJ434" s="539"/>
      <c r="AK434" s="539"/>
      <c r="AL434" s="539"/>
      <c r="AM434" s="539"/>
      <c r="AN434" s="539"/>
      <c r="AO434" s="539"/>
      <c r="AP434" s="539"/>
      <c r="AQ434" s="539"/>
      <c r="AR434" s="539"/>
      <c r="AS434" s="539"/>
      <c r="AT434" s="539"/>
      <c r="AU434" s="539"/>
      <c r="AV434" s="539"/>
      <c r="AW434" s="539"/>
      <c r="AX434" s="539"/>
    </row>
    <row r="435" spans="2:50" ht="14.25" customHeight="1" x14ac:dyDescent="0.3">
      <c r="B435" s="957"/>
      <c r="C435" s="540"/>
      <c r="D435" s="540"/>
      <c r="E435" s="540"/>
      <c r="F435" s="539"/>
      <c r="G435" s="539"/>
      <c r="H435" s="539"/>
      <c r="I435" s="539"/>
      <c r="J435" s="539"/>
      <c r="K435" s="539"/>
      <c r="L435" s="539"/>
      <c r="M435" s="539"/>
      <c r="N435" s="539"/>
      <c r="O435" s="539"/>
      <c r="P435" s="539"/>
      <c r="Q435" s="539"/>
      <c r="R435" s="539"/>
      <c r="S435" s="539"/>
      <c r="T435" s="539"/>
      <c r="U435" s="539"/>
      <c r="V435" s="539"/>
      <c r="W435" s="539"/>
      <c r="X435" s="539"/>
      <c r="Y435" s="539"/>
      <c r="Z435" s="539"/>
      <c r="AA435" s="539"/>
      <c r="AB435" s="539"/>
      <c r="AC435" s="539"/>
      <c r="AD435" s="539"/>
      <c r="AE435" s="539"/>
      <c r="AF435" s="539"/>
      <c r="AG435" s="539"/>
      <c r="AH435" s="539"/>
      <c r="AI435" s="539"/>
      <c r="AJ435" s="539"/>
      <c r="AK435" s="539"/>
      <c r="AL435" s="539"/>
      <c r="AM435" s="539"/>
      <c r="AN435" s="539"/>
      <c r="AO435" s="539"/>
      <c r="AP435" s="539"/>
      <c r="AQ435" s="539"/>
      <c r="AR435" s="539"/>
      <c r="AS435" s="539"/>
      <c r="AT435" s="539"/>
      <c r="AU435" s="539"/>
      <c r="AV435" s="539"/>
      <c r="AW435" s="539"/>
      <c r="AX435" s="539"/>
    </row>
    <row r="436" spans="2:50" ht="14.25" customHeight="1" x14ac:dyDescent="0.3">
      <c r="B436" s="957"/>
      <c r="C436" s="540"/>
      <c r="D436" s="540"/>
      <c r="E436" s="540"/>
      <c r="F436" s="539"/>
      <c r="G436" s="539"/>
      <c r="H436" s="539"/>
      <c r="I436" s="539"/>
      <c r="J436" s="539"/>
      <c r="K436" s="539"/>
      <c r="L436" s="539"/>
      <c r="M436" s="539"/>
      <c r="N436" s="539"/>
      <c r="O436" s="539"/>
      <c r="P436" s="539"/>
      <c r="Q436" s="539"/>
      <c r="R436" s="539"/>
      <c r="S436" s="539"/>
      <c r="T436" s="539"/>
      <c r="U436" s="539"/>
      <c r="V436" s="539"/>
      <c r="W436" s="539"/>
      <c r="X436" s="539"/>
      <c r="Y436" s="539"/>
      <c r="Z436" s="539"/>
      <c r="AA436" s="539"/>
      <c r="AB436" s="539"/>
      <c r="AC436" s="539"/>
      <c r="AD436" s="539"/>
      <c r="AE436" s="539"/>
      <c r="AF436" s="539"/>
      <c r="AG436" s="539"/>
      <c r="AH436" s="539"/>
      <c r="AI436" s="539"/>
      <c r="AJ436" s="539"/>
      <c r="AK436" s="539"/>
      <c r="AL436" s="539"/>
      <c r="AM436" s="539"/>
      <c r="AN436" s="539"/>
      <c r="AO436" s="539"/>
      <c r="AP436" s="539"/>
      <c r="AQ436" s="539"/>
      <c r="AR436" s="539"/>
      <c r="AS436" s="539"/>
      <c r="AT436" s="539"/>
      <c r="AU436" s="539"/>
      <c r="AV436" s="539"/>
      <c r="AW436" s="539"/>
      <c r="AX436" s="539"/>
    </row>
    <row r="437" spans="2:50" ht="14.25" customHeight="1" x14ac:dyDescent="0.3">
      <c r="B437" s="957"/>
      <c r="C437" s="540"/>
      <c r="D437" s="540"/>
      <c r="E437" s="540"/>
      <c r="F437" s="539"/>
      <c r="G437" s="539"/>
      <c r="H437" s="539"/>
      <c r="I437" s="539"/>
      <c r="J437" s="539"/>
      <c r="K437" s="539"/>
      <c r="L437" s="539"/>
      <c r="M437" s="539"/>
      <c r="N437" s="539"/>
      <c r="O437" s="539"/>
      <c r="P437" s="539"/>
      <c r="Q437" s="539"/>
      <c r="R437" s="539"/>
      <c r="S437" s="539"/>
      <c r="T437" s="539"/>
      <c r="U437" s="539"/>
      <c r="V437" s="539"/>
      <c r="W437" s="539"/>
      <c r="X437" s="539"/>
      <c r="Y437" s="539"/>
      <c r="Z437" s="539"/>
      <c r="AA437" s="539"/>
      <c r="AB437" s="539"/>
      <c r="AC437" s="539"/>
      <c r="AD437" s="539"/>
      <c r="AE437" s="539"/>
      <c r="AF437" s="539"/>
      <c r="AG437" s="539"/>
      <c r="AH437" s="539"/>
      <c r="AI437" s="539"/>
      <c r="AJ437" s="539"/>
      <c r="AK437" s="539"/>
      <c r="AL437" s="539"/>
      <c r="AM437" s="539"/>
      <c r="AN437" s="539"/>
      <c r="AO437" s="539"/>
      <c r="AP437" s="539"/>
      <c r="AQ437" s="539"/>
      <c r="AR437" s="539"/>
      <c r="AS437" s="539"/>
      <c r="AT437" s="539"/>
      <c r="AU437" s="539"/>
      <c r="AV437" s="539"/>
      <c r="AW437" s="539"/>
      <c r="AX437" s="539"/>
    </row>
    <row r="438" spans="2:50" ht="14.25" customHeight="1" x14ac:dyDescent="0.3">
      <c r="B438" s="957"/>
      <c r="C438" s="540"/>
      <c r="D438" s="540"/>
      <c r="E438" s="540"/>
      <c r="F438" s="539"/>
      <c r="G438" s="539"/>
      <c r="H438" s="539"/>
      <c r="I438" s="539"/>
      <c r="J438" s="539"/>
      <c r="K438" s="539"/>
      <c r="L438" s="539"/>
      <c r="M438" s="539"/>
      <c r="N438" s="539"/>
      <c r="O438" s="539"/>
      <c r="P438" s="539"/>
      <c r="Q438" s="539"/>
      <c r="R438" s="539"/>
      <c r="S438" s="539"/>
      <c r="T438" s="539"/>
      <c r="U438" s="539"/>
      <c r="V438" s="539"/>
      <c r="W438" s="539"/>
      <c r="X438" s="539"/>
      <c r="Y438" s="539"/>
      <c r="Z438" s="539"/>
      <c r="AA438" s="539"/>
      <c r="AB438" s="539"/>
      <c r="AC438" s="539"/>
      <c r="AD438" s="539"/>
      <c r="AE438" s="539"/>
      <c r="AF438" s="539"/>
      <c r="AG438" s="539"/>
      <c r="AH438" s="539"/>
      <c r="AI438" s="539"/>
      <c r="AJ438" s="539"/>
      <c r="AK438" s="539"/>
      <c r="AL438" s="539"/>
      <c r="AM438" s="539"/>
      <c r="AN438" s="539"/>
      <c r="AO438" s="539"/>
      <c r="AP438" s="539"/>
      <c r="AQ438" s="539"/>
      <c r="AR438" s="539"/>
      <c r="AS438" s="539"/>
      <c r="AT438" s="539"/>
      <c r="AU438" s="539"/>
      <c r="AV438" s="539"/>
      <c r="AW438" s="539"/>
      <c r="AX438" s="539"/>
    </row>
    <row r="439" spans="2:50" ht="14.25" customHeight="1" x14ac:dyDescent="0.3">
      <c r="B439" s="957"/>
      <c r="C439" s="540"/>
      <c r="D439" s="540"/>
      <c r="E439" s="540"/>
      <c r="F439" s="539"/>
      <c r="G439" s="539"/>
      <c r="H439" s="539"/>
      <c r="I439" s="539"/>
      <c r="J439" s="539"/>
      <c r="K439" s="539"/>
      <c r="L439" s="539"/>
      <c r="M439" s="539"/>
      <c r="N439" s="539"/>
      <c r="O439" s="539"/>
      <c r="P439" s="539"/>
      <c r="Q439" s="539"/>
      <c r="R439" s="539"/>
      <c r="S439" s="539"/>
      <c r="T439" s="539"/>
      <c r="U439" s="539"/>
      <c r="V439" s="539"/>
      <c r="W439" s="539"/>
      <c r="X439" s="539"/>
      <c r="Y439" s="539"/>
      <c r="Z439" s="539"/>
      <c r="AA439" s="539"/>
      <c r="AB439" s="539"/>
      <c r="AC439" s="539"/>
      <c r="AD439" s="539"/>
      <c r="AE439" s="539"/>
      <c r="AF439" s="539"/>
      <c r="AG439" s="539"/>
      <c r="AH439" s="539"/>
      <c r="AI439" s="539"/>
      <c r="AJ439" s="539"/>
      <c r="AK439" s="539"/>
      <c r="AL439" s="539"/>
      <c r="AM439" s="539"/>
      <c r="AN439" s="539"/>
      <c r="AO439" s="539"/>
      <c r="AP439" s="539"/>
      <c r="AQ439" s="539"/>
      <c r="AR439" s="539"/>
      <c r="AS439" s="539"/>
      <c r="AT439" s="539"/>
      <c r="AU439" s="539"/>
      <c r="AV439" s="539"/>
      <c r="AW439" s="539"/>
      <c r="AX439" s="539"/>
    </row>
    <row r="440" spans="2:50" ht="14.25" customHeight="1" x14ac:dyDescent="0.3">
      <c r="B440" s="957"/>
      <c r="C440" s="540"/>
      <c r="D440" s="540"/>
      <c r="E440" s="540"/>
      <c r="F440" s="539"/>
      <c r="G440" s="539"/>
      <c r="H440" s="539"/>
      <c r="I440" s="539"/>
      <c r="J440" s="539"/>
      <c r="K440" s="539"/>
      <c r="L440" s="539"/>
      <c r="M440" s="539"/>
      <c r="N440" s="539"/>
      <c r="O440" s="539"/>
      <c r="P440" s="539"/>
      <c r="Q440" s="539"/>
      <c r="R440" s="539"/>
      <c r="S440" s="539"/>
      <c r="T440" s="539"/>
      <c r="U440" s="539"/>
      <c r="V440" s="539"/>
      <c r="W440" s="539"/>
      <c r="X440" s="539"/>
      <c r="Y440" s="539"/>
      <c r="Z440" s="539"/>
      <c r="AA440" s="539"/>
      <c r="AB440" s="539"/>
      <c r="AC440" s="539"/>
      <c r="AD440" s="539"/>
      <c r="AE440" s="539"/>
      <c r="AF440" s="539"/>
      <c r="AG440" s="539"/>
      <c r="AH440" s="539"/>
      <c r="AI440" s="539"/>
      <c r="AJ440" s="539"/>
      <c r="AK440" s="539"/>
      <c r="AL440" s="539"/>
      <c r="AM440" s="539"/>
      <c r="AN440" s="539"/>
      <c r="AO440" s="539"/>
      <c r="AP440" s="539"/>
      <c r="AQ440" s="539"/>
      <c r="AR440" s="539"/>
      <c r="AS440" s="539"/>
      <c r="AT440" s="539"/>
      <c r="AU440" s="539"/>
      <c r="AV440" s="539"/>
      <c r="AW440" s="539"/>
      <c r="AX440" s="539"/>
    </row>
    <row r="441" spans="2:50" ht="14.25" customHeight="1" x14ac:dyDescent="0.3">
      <c r="B441" s="957"/>
      <c r="C441" s="540"/>
      <c r="D441" s="540"/>
      <c r="E441" s="540"/>
      <c r="F441" s="539"/>
      <c r="G441" s="539"/>
      <c r="H441" s="539"/>
      <c r="I441" s="539"/>
      <c r="J441" s="539"/>
      <c r="K441" s="539"/>
      <c r="L441" s="539"/>
      <c r="M441" s="539"/>
      <c r="N441" s="539"/>
      <c r="O441" s="539"/>
      <c r="P441" s="539"/>
      <c r="Q441" s="539"/>
      <c r="R441" s="539"/>
      <c r="S441" s="539"/>
      <c r="T441" s="539"/>
      <c r="U441" s="539"/>
      <c r="V441" s="539"/>
      <c r="W441" s="539"/>
      <c r="X441" s="539"/>
      <c r="Y441" s="539"/>
      <c r="Z441" s="539"/>
      <c r="AA441" s="539"/>
      <c r="AB441" s="539"/>
      <c r="AC441" s="539"/>
      <c r="AD441" s="539"/>
      <c r="AE441" s="539"/>
      <c r="AF441" s="539"/>
      <c r="AG441" s="539"/>
      <c r="AH441" s="539"/>
      <c r="AI441" s="539"/>
      <c r="AJ441" s="539"/>
      <c r="AK441" s="539"/>
      <c r="AL441" s="539"/>
      <c r="AM441" s="539"/>
      <c r="AN441" s="539"/>
      <c r="AO441" s="539"/>
      <c r="AP441" s="539"/>
      <c r="AQ441" s="539"/>
      <c r="AR441" s="539"/>
      <c r="AS441" s="539"/>
      <c r="AT441" s="539"/>
      <c r="AU441" s="539"/>
      <c r="AV441" s="539"/>
      <c r="AW441" s="539"/>
      <c r="AX441" s="539"/>
    </row>
    <row r="442" spans="2:50" ht="14.25" customHeight="1" x14ac:dyDescent="0.3">
      <c r="B442" s="957"/>
      <c r="C442" s="540"/>
      <c r="D442" s="540"/>
      <c r="E442" s="540"/>
      <c r="F442" s="539"/>
      <c r="G442" s="539"/>
      <c r="H442" s="539"/>
      <c r="I442" s="539"/>
      <c r="J442" s="539"/>
      <c r="K442" s="539"/>
      <c r="L442" s="539"/>
      <c r="M442" s="539"/>
      <c r="N442" s="539"/>
      <c r="O442" s="539"/>
      <c r="P442" s="539"/>
      <c r="Q442" s="539"/>
      <c r="R442" s="539"/>
      <c r="S442" s="539"/>
      <c r="T442" s="539"/>
      <c r="U442" s="539"/>
      <c r="V442" s="539"/>
      <c r="W442" s="539"/>
      <c r="X442" s="539"/>
      <c r="Y442" s="539"/>
      <c r="Z442" s="539"/>
      <c r="AA442" s="539"/>
      <c r="AB442" s="539"/>
      <c r="AC442" s="539"/>
      <c r="AD442" s="539"/>
      <c r="AE442" s="539"/>
      <c r="AF442" s="539"/>
      <c r="AG442" s="539"/>
      <c r="AH442" s="539"/>
      <c r="AI442" s="539"/>
      <c r="AJ442" s="539"/>
      <c r="AK442" s="539"/>
      <c r="AL442" s="539"/>
      <c r="AM442" s="539"/>
      <c r="AN442" s="539"/>
      <c r="AO442" s="539"/>
      <c r="AP442" s="539"/>
      <c r="AQ442" s="539"/>
      <c r="AR442" s="539"/>
      <c r="AS442" s="539"/>
      <c r="AT442" s="539"/>
      <c r="AU442" s="539"/>
      <c r="AV442" s="539"/>
      <c r="AW442" s="539"/>
      <c r="AX442" s="539"/>
    </row>
    <row r="443" spans="2:50" ht="14.25" customHeight="1" x14ac:dyDescent="0.3">
      <c r="B443" s="957"/>
      <c r="C443" s="540"/>
      <c r="D443" s="540"/>
      <c r="E443" s="540"/>
      <c r="F443" s="539"/>
      <c r="G443" s="539"/>
      <c r="H443" s="539"/>
      <c r="I443" s="539"/>
      <c r="J443" s="539"/>
      <c r="K443" s="539"/>
      <c r="L443" s="539"/>
      <c r="M443" s="539"/>
      <c r="N443" s="539"/>
      <c r="O443" s="539"/>
      <c r="P443" s="539"/>
      <c r="Q443" s="539"/>
      <c r="R443" s="539"/>
      <c r="S443" s="539"/>
      <c r="T443" s="539"/>
      <c r="U443" s="539"/>
      <c r="V443" s="539"/>
      <c r="W443" s="539"/>
      <c r="X443" s="539"/>
      <c r="Y443" s="539"/>
      <c r="Z443" s="539"/>
      <c r="AA443" s="539"/>
      <c r="AB443" s="539"/>
      <c r="AC443" s="539"/>
      <c r="AD443" s="539"/>
      <c r="AE443" s="539"/>
      <c r="AF443" s="539"/>
      <c r="AG443" s="539"/>
      <c r="AH443" s="539"/>
      <c r="AI443" s="539"/>
      <c r="AJ443" s="539"/>
      <c r="AK443" s="539"/>
      <c r="AL443" s="539"/>
      <c r="AM443" s="539"/>
      <c r="AN443" s="539"/>
      <c r="AO443" s="539"/>
      <c r="AP443" s="539"/>
      <c r="AQ443" s="539"/>
      <c r="AR443" s="539"/>
      <c r="AS443" s="539"/>
      <c r="AT443" s="539"/>
      <c r="AU443" s="539"/>
      <c r="AV443" s="539"/>
      <c r="AW443" s="539"/>
      <c r="AX443" s="539"/>
    </row>
    <row r="444" spans="2:50" ht="14.25" customHeight="1" x14ac:dyDescent="0.3">
      <c r="B444" s="957"/>
      <c r="C444" s="540"/>
      <c r="D444" s="540"/>
      <c r="E444" s="540"/>
      <c r="F444" s="539"/>
      <c r="G444" s="539"/>
      <c r="H444" s="539"/>
      <c r="I444" s="539"/>
      <c r="J444" s="539"/>
      <c r="K444" s="539"/>
      <c r="L444" s="539"/>
      <c r="M444" s="539"/>
      <c r="N444" s="539"/>
      <c r="O444" s="539"/>
      <c r="P444" s="539"/>
      <c r="Q444" s="539"/>
      <c r="R444" s="539"/>
      <c r="S444" s="539"/>
      <c r="T444" s="539"/>
      <c r="U444" s="539"/>
      <c r="V444" s="539"/>
      <c r="W444" s="539"/>
      <c r="X444" s="539"/>
      <c r="Y444" s="539"/>
      <c r="Z444" s="539"/>
      <c r="AA444" s="539"/>
      <c r="AB444" s="539"/>
      <c r="AC444" s="539"/>
      <c r="AD444" s="539"/>
      <c r="AE444" s="539"/>
      <c r="AF444" s="539"/>
      <c r="AG444" s="539"/>
      <c r="AH444" s="539"/>
      <c r="AI444" s="539"/>
      <c r="AJ444" s="539"/>
      <c r="AK444" s="539"/>
      <c r="AL444" s="539"/>
      <c r="AM444" s="539"/>
      <c r="AN444" s="539"/>
      <c r="AO444" s="539"/>
      <c r="AP444" s="539"/>
      <c r="AQ444" s="539"/>
      <c r="AR444" s="539"/>
      <c r="AS444" s="539"/>
      <c r="AT444" s="539"/>
      <c r="AU444" s="539"/>
      <c r="AV444" s="539"/>
      <c r="AW444" s="539"/>
      <c r="AX444" s="539"/>
    </row>
    <row r="445" spans="2:50" ht="14.25" customHeight="1" x14ac:dyDescent="0.3">
      <c r="B445" s="957"/>
      <c r="C445" s="540"/>
      <c r="D445" s="540"/>
      <c r="E445" s="540"/>
      <c r="F445" s="539"/>
      <c r="G445" s="539"/>
      <c r="H445" s="539"/>
      <c r="I445" s="539"/>
      <c r="J445" s="539"/>
      <c r="K445" s="539"/>
      <c r="L445" s="539"/>
      <c r="M445" s="539"/>
      <c r="N445" s="539"/>
      <c r="O445" s="539"/>
      <c r="P445" s="539"/>
      <c r="Q445" s="539"/>
      <c r="R445" s="539"/>
      <c r="S445" s="539"/>
      <c r="T445" s="539"/>
      <c r="U445" s="539"/>
      <c r="V445" s="539"/>
      <c r="W445" s="539"/>
      <c r="X445" s="539"/>
      <c r="Y445" s="539"/>
      <c r="Z445" s="539"/>
      <c r="AA445" s="539"/>
      <c r="AB445" s="539"/>
      <c r="AC445" s="539"/>
      <c r="AD445" s="539"/>
      <c r="AE445" s="539"/>
      <c r="AF445" s="539"/>
      <c r="AG445" s="539"/>
      <c r="AH445" s="539"/>
      <c r="AI445" s="539"/>
      <c r="AJ445" s="539"/>
      <c r="AK445" s="539"/>
      <c r="AL445" s="539"/>
      <c r="AM445" s="539"/>
      <c r="AN445" s="539"/>
      <c r="AO445" s="539"/>
      <c r="AP445" s="539"/>
      <c r="AQ445" s="539"/>
      <c r="AR445" s="539"/>
      <c r="AS445" s="539"/>
      <c r="AT445" s="539"/>
      <c r="AU445" s="539"/>
      <c r="AV445" s="539"/>
      <c r="AW445" s="539"/>
      <c r="AX445" s="539"/>
    </row>
    <row r="446" spans="2:50" ht="14.25" customHeight="1" x14ac:dyDescent="0.3">
      <c r="B446" s="957"/>
      <c r="C446" s="540"/>
      <c r="D446" s="540"/>
      <c r="E446" s="540"/>
      <c r="F446" s="539"/>
      <c r="G446" s="539"/>
      <c r="H446" s="539"/>
      <c r="I446" s="539"/>
      <c r="J446" s="539"/>
      <c r="K446" s="539"/>
      <c r="L446" s="539"/>
      <c r="M446" s="539"/>
      <c r="N446" s="539"/>
      <c r="O446" s="539"/>
      <c r="P446" s="539"/>
      <c r="Q446" s="539"/>
      <c r="R446" s="539"/>
      <c r="S446" s="539"/>
      <c r="T446" s="539"/>
      <c r="U446" s="539"/>
      <c r="V446" s="539"/>
      <c r="W446" s="539"/>
      <c r="X446" s="539"/>
      <c r="Y446" s="539"/>
      <c r="Z446" s="539"/>
      <c r="AA446" s="539"/>
      <c r="AB446" s="539"/>
      <c r="AC446" s="539"/>
      <c r="AD446" s="539"/>
      <c r="AE446" s="539"/>
      <c r="AF446" s="539"/>
      <c r="AG446" s="539"/>
      <c r="AH446" s="539"/>
      <c r="AI446" s="539"/>
      <c r="AJ446" s="539"/>
      <c r="AK446" s="539"/>
      <c r="AL446" s="539"/>
      <c r="AM446" s="539"/>
      <c r="AN446" s="539"/>
      <c r="AO446" s="539"/>
      <c r="AP446" s="539"/>
      <c r="AQ446" s="539"/>
      <c r="AR446" s="539"/>
      <c r="AS446" s="539"/>
      <c r="AT446" s="539"/>
      <c r="AU446" s="539"/>
      <c r="AV446" s="539"/>
      <c r="AW446" s="539"/>
      <c r="AX446" s="539"/>
    </row>
    <row r="447" spans="2:50" ht="14.25" customHeight="1" x14ac:dyDescent="0.3">
      <c r="B447" s="957"/>
      <c r="C447" s="540"/>
      <c r="D447" s="540"/>
      <c r="E447" s="540"/>
      <c r="F447" s="539"/>
      <c r="G447" s="539"/>
      <c r="H447" s="539"/>
      <c r="I447" s="539"/>
      <c r="J447" s="539"/>
      <c r="K447" s="539"/>
      <c r="L447" s="539"/>
      <c r="M447" s="539"/>
      <c r="N447" s="539"/>
      <c r="O447" s="539"/>
      <c r="P447" s="539"/>
      <c r="Q447" s="539"/>
      <c r="R447" s="539"/>
      <c r="S447" s="539"/>
      <c r="T447" s="539"/>
      <c r="U447" s="539"/>
      <c r="V447" s="539"/>
      <c r="W447" s="539"/>
      <c r="X447" s="539"/>
      <c r="Y447" s="539"/>
      <c r="Z447" s="539"/>
      <c r="AA447" s="539"/>
      <c r="AB447" s="539"/>
      <c r="AC447" s="539"/>
      <c r="AD447" s="539"/>
      <c r="AE447" s="539"/>
      <c r="AF447" s="539"/>
      <c r="AG447" s="539"/>
      <c r="AH447" s="539"/>
      <c r="AI447" s="539"/>
      <c r="AJ447" s="539"/>
      <c r="AK447" s="539"/>
      <c r="AL447" s="539"/>
      <c r="AM447" s="539"/>
      <c r="AN447" s="539"/>
      <c r="AO447" s="539"/>
      <c r="AP447" s="539"/>
      <c r="AQ447" s="539"/>
      <c r="AR447" s="539"/>
      <c r="AS447" s="539"/>
      <c r="AT447" s="539"/>
      <c r="AU447" s="539"/>
      <c r="AV447" s="539"/>
      <c r="AW447" s="539"/>
      <c r="AX447" s="539"/>
    </row>
    <row r="448" spans="2:50" ht="14.25" customHeight="1" x14ac:dyDescent="0.3">
      <c r="B448" s="957"/>
      <c r="C448" s="540"/>
      <c r="D448" s="540"/>
      <c r="E448" s="540"/>
      <c r="F448" s="539"/>
      <c r="G448" s="539"/>
      <c r="H448" s="539"/>
      <c r="I448" s="539"/>
      <c r="J448" s="539"/>
      <c r="K448" s="539"/>
      <c r="L448" s="539"/>
      <c r="M448" s="539"/>
      <c r="N448" s="539"/>
      <c r="O448" s="539"/>
      <c r="P448" s="539"/>
      <c r="Q448" s="539"/>
      <c r="R448" s="539"/>
      <c r="S448" s="539"/>
      <c r="T448" s="539"/>
      <c r="U448" s="539"/>
      <c r="V448" s="539"/>
      <c r="W448" s="539"/>
      <c r="X448" s="539"/>
      <c r="Y448" s="539"/>
      <c r="Z448" s="539"/>
      <c r="AA448" s="539"/>
      <c r="AB448" s="539"/>
      <c r="AC448" s="539"/>
      <c r="AD448" s="539"/>
      <c r="AE448" s="539"/>
      <c r="AF448" s="539"/>
      <c r="AG448" s="539"/>
      <c r="AH448" s="539"/>
      <c r="AI448" s="539"/>
      <c r="AJ448" s="539"/>
      <c r="AK448" s="539"/>
      <c r="AL448" s="539"/>
      <c r="AM448" s="539"/>
      <c r="AN448" s="539"/>
      <c r="AO448" s="539"/>
      <c r="AP448" s="539"/>
      <c r="AQ448" s="539"/>
      <c r="AR448" s="539"/>
      <c r="AS448" s="539"/>
      <c r="AT448" s="539"/>
      <c r="AU448" s="539"/>
      <c r="AV448" s="539"/>
      <c r="AW448" s="539"/>
      <c r="AX448" s="539"/>
    </row>
    <row r="449" spans="2:50" ht="14.25" customHeight="1" x14ac:dyDescent="0.3">
      <c r="B449" s="957"/>
      <c r="C449" s="540"/>
      <c r="D449" s="540"/>
      <c r="E449" s="540"/>
      <c r="F449" s="539"/>
      <c r="G449" s="539"/>
      <c r="H449" s="539"/>
      <c r="I449" s="539"/>
      <c r="J449" s="539"/>
      <c r="K449" s="539"/>
      <c r="L449" s="539"/>
      <c r="M449" s="539"/>
      <c r="N449" s="539"/>
      <c r="O449" s="539"/>
      <c r="P449" s="539"/>
      <c r="Q449" s="539"/>
      <c r="R449" s="539"/>
      <c r="S449" s="539"/>
      <c r="T449" s="539"/>
      <c r="U449" s="539"/>
      <c r="V449" s="539"/>
      <c r="W449" s="539"/>
      <c r="X449" s="539"/>
      <c r="Y449" s="539"/>
      <c r="Z449" s="539"/>
      <c r="AA449" s="539"/>
      <c r="AB449" s="539"/>
      <c r="AC449" s="539"/>
      <c r="AD449" s="539"/>
      <c r="AE449" s="539"/>
      <c r="AF449" s="539"/>
      <c r="AG449" s="539"/>
      <c r="AH449" s="539"/>
      <c r="AI449" s="539"/>
      <c r="AJ449" s="539"/>
      <c r="AK449" s="539"/>
      <c r="AL449" s="539"/>
      <c r="AM449" s="539"/>
      <c r="AN449" s="539"/>
      <c r="AO449" s="539"/>
      <c r="AP449" s="539"/>
      <c r="AQ449" s="539"/>
      <c r="AR449" s="539"/>
      <c r="AS449" s="539"/>
      <c r="AT449" s="539"/>
      <c r="AU449" s="539"/>
      <c r="AV449" s="539"/>
      <c r="AW449" s="539"/>
      <c r="AX449" s="539"/>
    </row>
    <row r="450" spans="2:50" ht="14.25" customHeight="1" x14ac:dyDescent="0.3">
      <c r="B450" s="957"/>
      <c r="C450" s="540"/>
      <c r="D450" s="540"/>
      <c r="E450" s="540"/>
      <c r="F450" s="539"/>
      <c r="G450" s="539"/>
      <c r="H450" s="539"/>
      <c r="I450" s="539"/>
      <c r="J450" s="539"/>
      <c r="K450" s="539"/>
      <c r="L450" s="539"/>
      <c r="M450" s="539"/>
      <c r="N450" s="539"/>
      <c r="O450" s="539"/>
      <c r="P450" s="539"/>
      <c r="Q450" s="539"/>
      <c r="R450" s="539"/>
      <c r="S450" s="539"/>
      <c r="T450" s="539"/>
      <c r="U450" s="539"/>
      <c r="V450" s="539"/>
      <c r="W450" s="539"/>
      <c r="X450" s="539"/>
      <c r="Y450" s="539"/>
      <c r="Z450" s="539"/>
      <c r="AA450" s="539"/>
      <c r="AB450" s="539"/>
      <c r="AC450" s="539"/>
      <c r="AD450" s="539"/>
      <c r="AE450" s="539"/>
      <c r="AF450" s="539"/>
      <c r="AG450" s="539"/>
      <c r="AH450" s="539"/>
      <c r="AI450" s="539"/>
      <c r="AJ450" s="539"/>
      <c r="AK450" s="539"/>
      <c r="AL450" s="539"/>
      <c r="AM450" s="539"/>
      <c r="AN450" s="539"/>
      <c r="AO450" s="539"/>
      <c r="AP450" s="539"/>
      <c r="AQ450" s="539"/>
      <c r="AR450" s="539"/>
      <c r="AS450" s="539"/>
      <c r="AT450" s="539"/>
      <c r="AU450" s="539"/>
      <c r="AV450" s="539"/>
      <c r="AW450" s="539"/>
      <c r="AX450" s="539"/>
    </row>
    <row r="451" spans="2:50" ht="14.25" customHeight="1" x14ac:dyDescent="0.3">
      <c r="B451" s="957"/>
      <c r="C451" s="540"/>
      <c r="D451" s="540"/>
      <c r="E451" s="540"/>
      <c r="F451" s="539"/>
      <c r="G451" s="539"/>
      <c r="H451" s="539"/>
      <c r="I451" s="539"/>
      <c r="J451" s="539"/>
      <c r="K451" s="539"/>
      <c r="L451" s="539"/>
      <c r="M451" s="539"/>
      <c r="N451" s="539"/>
      <c r="O451" s="539"/>
      <c r="P451" s="539"/>
      <c r="Q451" s="539"/>
      <c r="R451" s="539"/>
      <c r="S451" s="539"/>
      <c r="T451" s="539"/>
      <c r="U451" s="539"/>
      <c r="V451" s="539"/>
      <c r="W451" s="539"/>
      <c r="X451" s="539"/>
      <c r="Y451" s="539"/>
      <c r="Z451" s="539"/>
      <c r="AA451" s="539"/>
      <c r="AB451" s="539"/>
      <c r="AC451" s="539"/>
      <c r="AD451" s="539"/>
      <c r="AE451" s="539"/>
      <c r="AF451" s="539"/>
      <c r="AG451" s="539"/>
      <c r="AH451" s="539"/>
      <c r="AI451" s="539"/>
      <c r="AJ451" s="539"/>
      <c r="AK451" s="539"/>
      <c r="AL451" s="539"/>
      <c r="AM451" s="539"/>
      <c r="AN451" s="539"/>
      <c r="AO451" s="539"/>
      <c r="AP451" s="539"/>
      <c r="AQ451" s="539"/>
      <c r="AR451" s="539"/>
      <c r="AS451" s="539"/>
      <c r="AT451" s="539"/>
      <c r="AU451" s="539"/>
      <c r="AV451" s="539"/>
      <c r="AW451" s="539"/>
      <c r="AX451" s="539"/>
    </row>
    <row r="452" spans="2:50" ht="14.25" customHeight="1" x14ac:dyDescent="0.3">
      <c r="B452" s="957"/>
      <c r="C452" s="540"/>
      <c r="D452" s="540"/>
      <c r="E452" s="540"/>
      <c r="F452" s="539"/>
      <c r="G452" s="539"/>
      <c r="H452" s="539"/>
      <c r="I452" s="539"/>
      <c r="J452" s="539"/>
      <c r="K452" s="539"/>
      <c r="L452" s="539"/>
      <c r="M452" s="539"/>
      <c r="N452" s="539"/>
      <c r="O452" s="539"/>
      <c r="P452" s="539"/>
      <c r="Q452" s="539"/>
      <c r="R452" s="539"/>
      <c r="S452" s="539"/>
      <c r="T452" s="539"/>
      <c r="U452" s="539"/>
      <c r="V452" s="539"/>
      <c r="W452" s="539"/>
      <c r="X452" s="539"/>
      <c r="Y452" s="539"/>
      <c r="Z452" s="539"/>
      <c r="AA452" s="539"/>
      <c r="AB452" s="539"/>
      <c r="AC452" s="539"/>
      <c r="AD452" s="539"/>
      <c r="AE452" s="539"/>
      <c r="AF452" s="539"/>
      <c r="AG452" s="539"/>
      <c r="AH452" s="539"/>
      <c r="AI452" s="539"/>
      <c r="AJ452" s="539"/>
      <c r="AK452" s="539"/>
      <c r="AL452" s="539"/>
      <c r="AM452" s="539"/>
      <c r="AN452" s="539"/>
      <c r="AO452" s="539"/>
      <c r="AP452" s="539"/>
      <c r="AQ452" s="539"/>
      <c r="AR452" s="539"/>
      <c r="AS452" s="539"/>
      <c r="AT452" s="539"/>
      <c r="AU452" s="539"/>
      <c r="AV452" s="539"/>
      <c r="AW452" s="539"/>
      <c r="AX452" s="539"/>
    </row>
    <row r="453" spans="2:50" ht="14.25" customHeight="1" x14ac:dyDescent="0.3">
      <c r="B453" s="957"/>
      <c r="C453" s="540"/>
      <c r="D453" s="540"/>
      <c r="E453" s="540"/>
      <c r="F453" s="539"/>
      <c r="G453" s="539"/>
      <c r="H453" s="539"/>
      <c r="I453" s="539"/>
      <c r="J453" s="539"/>
      <c r="K453" s="539"/>
      <c r="L453" s="539"/>
      <c r="M453" s="539"/>
      <c r="N453" s="539"/>
      <c r="O453" s="539"/>
      <c r="P453" s="539"/>
      <c r="Q453" s="539"/>
      <c r="R453" s="539"/>
      <c r="S453" s="539"/>
      <c r="T453" s="539"/>
      <c r="U453" s="539"/>
      <c r="V453" s="539"/>
      <c r="W453" s="539"/>
      <c r="X453" s="539"/>
      <c r="Y453" s="539"/>
      <c r="Z453" s="539"/>
      <c r="AA453" s="539"/>
      <c r="AB453" s="539"/>
      <c r="AC453" s="539"/>
      <c r="AD453" s="539"/>
      <c r="AE453" s="539"/>
      <c r="AF453" s="539"/>
      <c r="AG453" s="539"/>
      <c r="AH453" s="539"/>
      <c r="AI453" s="539"/>
      <c r="AJ453" s="539"/>
      <c r="AK453" s="539"/>
      <c r="AL453" s="539"/>
      <c r="AM453" s="539"/>
      <c r="AN453" s="539"/>
      <c r="AO453" s="539"/>
      <c r="AP453" s="539"/>
      <c r="AQ453" s="539"/>
      <c r="AR453" s="539"/>
      <c r="AS453" s="539"/>
      <c r="AT453" s="539"/>
      <c r="AU453" s="539"/>
      <c r="AV453" s="539"/>
      <c r="AW453" s="539"/>
      <c r="AX453" s="539"/>
    </row>
    <row r="454" spans="2:50" ht="14.25" customHeight="1" x14ac:dyDescent="0.3">
      <c r="B454" s="957"/>
      <c r="C454" s="540"/>
      <c r="D454" s="540"/>
      <c r="E454" s="540"/>
      <c r="F454" s="539"/>
      <c r="G454" s="539"/>
      <c r="H454" s="539"/>
      <c r="I454" s="539"/>
      <c r="J454" s="539"/>
      <c r="K454" s="539"/>
      <c r="L454" s="539"/>
      <c r="M454" s="539"/>
      <c r="N454" s="539"/>
      <c r="O454" s="539"/>
      <c r="P454" s="539"/>
      <c r="Q454" s="539"/>
      <c r="R454" s="539"/>
      <c r="S454" s="539"/>
      <c r="T454" s="539"/>
      <c r="U454" s="539"/>
      <c r="V454" s="539"/>
      <c r="W454" s="539"/>
      <c r="X454" s="539"/>
      <c r="Y454" s="539"/>
      <c r="Z454" s="539"/>
      <c r="AA454" s="539"/>
      <c r="AB454" s="539"/>
      <c r="AC454" s="539"/>
      <c r="AD454" s="539"/>
      <c r="AE454" s="539"/>
      <c r="AF454" s="539"/>
      <c r="AG454" s="539"/>
      <c r="AH454" s="539"/>
      <c r="AI454" s="539"/>
      <c r="AJ454" s="539"/>
      <c r="AK454" s="539"/>
      <c r="AL454" s="539"/>
      <c r="AM454" s="539"/>
      <c r="AN454" s="539"/>
      <c r="AO454" s="539"/>
      <c r="AP454" s="539"/>
      <c r="AQ454" s="539"/>
      <c r="AR454" s="539"/>
      <c r="AS454" s="539"/>
      <c r="AT454" s="539"/>
      <c r="AU454" s="539"/>
      <c r="AV454" s="539"/>
      <c r="AW454" s="539"/>
      <c r="AX454" s="539"/>
    </row>
    <row r="455" spans="2:50" ht="14.25" customHeight="1" x14ac:dyDescent="0.3">
      <c r="B455" s="957"/>
      <c r="C455" s="540"/>
      <c r="D455" s="540"/>
      <c r="E455" s="540"/>
      <c r="F455" s="539"/>
      <c r="G455" s="539"/>
      <c r="H455" s="539"/>
      <c r="I455" s="539"/>
      <c r="J455" s="539"/>
      <c r="K455" s="539"/>
      <c r="L455" s="539"/>
      <c r="M455" s="539"/>
      <c r="N455" s="539"/>
      <c r="O455" s="539"/>
      <c r="P455" s="539"/>
      <c r="Q455" s="539"/>
      <c r="R455" s="539"/>
      <c r="S455" s="539"/>
      <c r="T455" s="539"/>
      <c r="U455" s="539"/>
      <c r="V455" s="539"/>
      <c r="W455" s="539"/>
      <c r="X455" s="539"/>
      <c r="Y455" s="539"/>
      <c r="Z455" s="539"/>
      <c r="AA455" s="539"/>
      <c r="AB455" s="539"/>
      <c r="AC455" s="539"/>
      <c r="AD455" s="539"/>
      <c r="AE455" s="539"/>
      <c r="AF455" s="539"/>
      <c r="AG455" s="539"/>
      <c r="AH455" s="539"/>
      <c r="AI455" s="539"/>
      <c r="AJ455" s="539"/>
      <c r="AK455" s="539"/>
      <c r="AL455" s="539"/>
      <c r="AM455" s="539"/>
      <c r="AN455" s="539"/>
      <c r="AO455" s="539"/>
      <c r="AP455" s="539"/>
      <c r="AQ455" s="539"/>
      <c r="AR455" s="539"/>
      <c r="AS455" s="539"/>
      <c r="AT455" s="539"/>
      <c r="AU455" s="539"/>
      <c r="AV455" s="539"/>
      <c r="AW455" s="539"/>
      <c r="AX455" s="539"/>
    </row>
    <row r="456" spans="2:50" ht="14.25" customHeight="1" x14ac:dyDescent="0.3">
      <c r="B456" s="957"/>
      <c r="C456" s="540"/>
      <c r="D456" s="540"/>
      <c r="E456" s="540"/>
      <c r="F456" s="539"/>
      <c r="G456" s="539"/>
      <c r="H456" s="539"/>
      <c r="I456" s="539"/>
      <c r="J456" s="539"/>
      <c r="K456" s="539"/>
      <c r="L456" s="539"/>
      <c r="M456" s="539"/>
      <c r="N456" s="539"/>
      <c r="O456" s="539"/>
      <c r="P456" s="539"/>
      <c r="Q456" s="539"/>
      <c r="R456" s="539"/>
      <c r="S456" s="539"/>
      <c r="T456" s="539"/>
      <c r="U456" s="539"/>
      <c r="V456" s="539"/>
      <c r="W456" s="539"/>
      <c r="X456" s="539"/>
      <c r="Y456" s="539"/>
      <c r="Z456" s="539"/>
      <c r="AA456" s="539"/>
      <c r="AB456" s="539"/>
      <c r="AC456" s="539"/>
      <c r="AD456" s="539"/>
      <c r="AE456" s="539"/>
      <c r="AF456" s="539"/>
      <c r="AG456" s="539"/>
      <c r="AH456" s="539"/>
      <c r="AI456" s="539"/>
      <c r="AJ456" s="539"/>
      <c r="AK456" s="539"/>
      <c r="AL456" s="539"/>
      <c r="AM456" s="539"/>
      <c r="AN456" s="539"/>
      <c r="AO456" s="539"/>
      <c r="AP456" s="539"/>
      <c r="AQ456" s="539"/>
      <c r="AR456" s="539"/>
      <c r="AS456" s="539"/>
      <c r="AT456" s="539"/>
      <c r="AU456" s="539"/>
      <c r="AV456" s="539"/>
      <c r="AW456" s="539"/>
      <c r="AX456" s="539"/>
    </row>
    <row r="457" spans="2:50" ht="14.25" customHeight="1" x14ac:dyDescent="0.3">
      <c r="B457" s="957"/>
      <c r="C457" s="540"/>
      <c r="D457" s="540"/>
      <c r="E457" s="540"/>
      <c r="F457" s="539"/>
      <c r="G457" s="539"/>
      <c r="H457" s="539"/>
      <c r="I457" s="539"/>
      <c r="J457" s="539"/>
      <c r="K457" s="539"/>
      <c r="L457" s="539"/>
      <c r="M457" s="539"/>
      <c r="N457" s="539"/>
      <c r="O457" s="539"/>
      <c r="P457" s="539"/>
      <c r="Q457" s="539"/>
      <c r="R457" s="539"/>
      <c r="S457" s="539"/>
      <c r="T457" s="539"/>
      <c r="U457" s="539"/>
      <c r="V457" s="539"/>
      <c r="W457" s="539"/>
      <c r="X457" s="539"/>
      <c r="Y457" s="539"/>
      <c r="Z457" s="539"/>
      <c r="AA457" s="539"/>
      <c r="AB457" s="539"/>
      <c r="AC457" s="539"/>
      <c r="AD457" s="539"/>
      <c r="AE457" s="539"/>
      <c r="AF457" s="539"/>
      <c r="AG457" s="539"/>
      <c r="AH457" s="539"/>
      <c r="AI457" s="539"/>
      <c r="AJ457" s="539"/>
      <c r="AK457" s="539"/>
      <c r="AL457" s="539"/>
      <c r="AM457" s="539"/>
      <c r="AN457" s="539"/>
      <c r="AO457" s="539"/>
      <c r="AP457" s="539"/>
      <c r="AQ457" s="539"/>
      <c r="AR457" s="539"/>
      <c r="AS457" s="539"/>
      <c r="AT457" s="539"/>
      <c r="AU457" s="539"/>
      <c r="AV457" s="539"/>
      <c r="AW457" s="539"/>
      <c r="AX457" s="539"/>
    </row>
    <row r="458" spans="2:50" ht="14.25" customHeight="1" x14ac:dyDescent="0.3">
      <c r="B458" s="957"/>
      <c r="C458" s="540"/>
      <c r="D458" s="540"/>
      <c r="E458" s="540"/>
      <c r="F458" s="539"/>
      <c r="G458" s="539"/>
      <c r="H458" s="539"/>
      <c r="I458" s="539"/>
      <c r="J458" s="539"/>
      <c r="K458" s="539"/>
      <c r="L458" s="539"/>
      <c r="M458" s="539"/>
      <c r="N458" s="539"/>
      <c r="O458" s="539"/>
      <c r="P458" s="539"/>
      <c r="Q458" s="539"/>
      <c r="R458" s="539"/>
      <c r="S458" s="539"/>
      <c r="T458" s="539"/>
      <c r="U458" s="539"/>
      <c r="V458" s="539"/>
      <c r="W458" s="539"/>
      <c r="X458" s="539"/>
      <c r="Y458" s="539"/>
      <c r="Z458" s="539"/>
      <c r="AA458" s="539"/>
      <c r="AB458" s="539"/>
      <c r="AC458" s="539"/>
      <c r="AD458" s="539"/>
      <c r="AE458" s="539"/>
      <c r="AF458" s="539"/>
      <c r="AG458" s="539"/>
      <c r="AH458" s="539"/>
      <c r="AI458" s="539"/>
      <c r="AJ458" s="539"/>
      <c r="AK458" s="539"/>
      <c r="AL458" s="539"/>
      <c r="AM458" s="539"/>
      <c r="AN458" s="539"/>
      <c r="AO458" s="539"/>
      <c r="AP458" s="539"/>
      <c r="AQ458" s="539"/>
      <c r="AR458" s="539"/>
      <c r="AS458" s="539"/>
      <c r="AT458" s="539"/>
      <c r="AU458" s="539"/>
      <c r="AV458" s="539"/>
      <c r="AW458" s="539"/>
      <c r="AX458" s="539"/>
    </row>
    <row r="459" spans="2:50" ht="14.25" customHeight="1" x14ac:dyDescent="0.3">
      <c r="B459" s="957"/>
      <c r="C459" s="540"/>
      <c r="D459" s="540"/>
      <c r="E459" s="540"/>
      <c r="F459" s="539"/>
      <c r="G459" s="539"/>
      <c r="H459" s="539"/>
      <c r="I459" s="539"/>
      <c r="J459" s="539"/>
      <c r="K459" s="539"/>
      <c r="L459" s="539"/>
      <c r="M459" s="539"/>
      <c r="N459" s="539"/>
      <c r="O459" s="539"/>
      <c r="P459" s="539"/>
      <c r="Q459" s="539"/>
      <c r="R459" s="539"/>
      <c r="S459" s="539"/>
      <c r="T459" s="539"/>
      <c r="U459" s="539"/>
      <c r="V459" s="539"/>
      <c r="W459" s="539"/>
      <c r="X459" s="539"/>
      <c r="Y459" s="539"/>
      <c r="Z459" s="539"/>
      <c r="AA459" s="539"/>
      <c r="AB459" s="539"/>
      <c r="AC459" s="539"/>
      <c r="AD459" s="539"/>
      <c r="AE459" s="539"/>
      <c r="AF459" s="539"/>
      <c r="AG459" s="539"/>
      <c r="AH459" s="539"/>
      <c r="AI459" s="539"/>
      <c r="AJ459" s="539"/>
      <c r="AK459" s="539"/>
      <c r="AL459" s="539"/>
      <c r="AM459" s="539"/>
      <c r="AN459" s="539"/>
      <c r="AO459" s="539"/>
      <c r="AP459" s="539"/>
      <c r="AQ459" s="539"/>
      <c r="AR459" s="539"/>
      <c r="AS459" s="539"/>
      <c r="AT459" s="539"/>
      <c r="AU459" s="539"/>
      <c r="AV459" s="539"/>
      <c r="AW459" s="539"/>
      <c r="AX459" s="539"/>
    </row>
    <row r="460" spans="2:50" ht="14.25" customHeight="1" x14ac:dyDescent="0.3">
      <c r="B460" s="957"/>
      <c r="C460" s="540"/>
      <c r="D460" s="540"/>
      <c r="E460" s="540"/>
      <c r="F460" s="539"/>
      <c r="G460" s="539"/>
      <c r="H460" s="539"/>
      <c r="I460" s="539"/>
      <c r="J460" s="539"/>
      <c r="K460" s="539"/>
      <c r="L460" s="539"/>
      <c r="M460" s="539"/>
      <c r="N460" s="539"/>
      <c r="O460" s="539"/>
      <c r="P460" s="539"/>
      <c r="Q460" s="539"/>
      <c r="R460" s="539"/>
      <c r="S460" s="539"/>
      <c r="T460" s="539"/>
      <c r="U460" s="539"/>
      <c r="V460" s="539"/>
      <c r="W460" s="539"/>
      <c r="X460" s="539"/>
      <c r="Y460" s="539"/>
      <c r="Z460" s="539"/>
      <c r="AA460" s="539"/>
      <c r="AB460" s="539"/>
      <c r="AC460" s="539"/>
      <c r="AD460" s="539"/>
      <c r="AE460" s="539"/>
      <c r="AF460" s="539"/>
      <c r="AG460" s="539"/>
      <c r="AH460" s="539"/>
      <c r="AI460" s="539"/>
      <c r="AJ460" s="539"/>
      <c r="AK460" s="539"/>
      <c r="AL460" s="539"/>
      <c r="AM460" s="539"/>
      <c r="AN460" s="539"/>
      <c r="AO460" s="539"/>
      <c r="AP460" s="539"/>
      <c r="AQ460" s="539"/>
      <c r="AR460" s="539"/>
      <c r="AS460" s="539"/>
      <c r="AT460" s="539"/>
      <c r="AU460" s="539"/>
      <c r="AV460" s="539"/>
      <c r="AW460" s="539"/>
      <c r="AX460" s="539"/>
    </row>
    <row r="461" spans="2:50" ht="14.25" customHeight="1" x14ac:dyDescent="0.3">
      <c r="B461" s="957"/>
      <c r="C461" s="540"/>
      <c r="D461" s="540"/>
      <c r="E461" s="540"/>
      <c r="F461" s="539"/>
      <c r="G461" s="539"/>
      <c r="H461" s="539"/>
      <c r="I461" s="539"/>
      <c r="J461" s="539"/>
      <c r="K461" s="539"/>
      <c r="L461" s="539"/>
      <c r="M461" s="539"/>
      <c r="N461" s="539"/>
      <c r="O461" s="539"/>
      <c r="P461" s="539"/>
      <c r="Q461" s="539"/>
      <c r="R461" s="539"/>
      <c r="S461" s="539"/>
      <c r="T461" s="539"/>
      <c r="U461" s="539"/>
      <c r="V461" s="539"/>
      <c r="W461" s="539"/>
      <c r="X461" s="539"/>
      <c r="Y461" s="539"/>
      <c r="Z461" s="539"/>
      <c r="AA461" s="539"/>
      <c r="AB461" s="539"/>
      <c r="AC461" s="539"/>
      <c r="AD461" s="539"/>
      <c r="AE461" s="539"/>
      <c r="AF461" s="539"/>
      <c r="AG461" s="539"/>
      <c r="AH461" s="539"/>
      <c r="AI461" s="539"/>
      <c r="AJ461" s="539"/>
      <c r="AK461" s="539"/>
      <c r="AL461" s="539"/>
      <c r="AM461" s="539"/>
      <c r="AN461" s="539"/>
      <c r="AO461" s="539"/>
      <c r="AP461" s="539"/>
      <c r="AQ461" s="539"/>
      <c r="AR461" s="539"/>
      <c r="AS461" s="539"/>
      <c r="AT461" s="539"/>
      <c r="AU461" s="539"/>
      <c r="AV461" s="539"/>
      <c r="AW461" s="539"/>
      <c r="AX461" s="539"/>
    </row>
    <row r="462" spans="2:50" ht="14.25" customHeight="1" x14ac:dyDescent="0.3">
      <c r="B462" s="957"/>
      <c r="C462" s="540"/>
      <c r="D462" s="540"/>
      <c r="E462" s="540"/>
      <c r="F462" s="539"/>
      <c r="G462" s="539"/>
      <c r="H462" s="539"/>
      <c r="I462" s="539"/>
      <c r="J462" s="539"/>
      <c r="K462" s="539"/>
      <c r="L462" s="539"/>
      <c r="M462" s="539"/>
      <c r="N462" s="539"/>
      <c r="O462" s="539"/>
      <c r="P462" s="539"/>
      <c r="Q462" s="539"/>
      <c r="R462" s="539"/>
      <c r="S462" s="539"/>
      <c r="T462" s="539"/>
      <c r="U462" s="539"/>
      <c r="V462" s="539"/>
      <c r="W462" s="539"/>
      <c r="X462" s="539"/>
      <c r="Y462" s="539"/>
      <c r="Z462" s="539"/>
      <c r="AA462" s="539"/>
      <c r="AB462" s="539"/>
      <c r="AC462" s="539"/>
      <c r="AD462" s="539"/>
      <c r="AE462" s="539"/>
      <c r="AF462" s="539"/>
      <c r="AG462" s="539"/>
      <c r="AH462" s="539"/>
      <c r="AI462" s="539"/>
      <c r="AJ462" s="539"/>
      <c r="AK462" s="539"/>
      <c r="AL462" s="539"/>
      <c r="AM462" s="539"/>
      <c r="AN462" s="539"/>
      <c r="AO462" s="539"/>
      <c r="AP462" s="539"/>
      <c r="AQ462" s="539"/>
      <c r="AR462" s="539"/>
      <c r="AS462" s="539"/>
      <c r="AT462" s="539"/>
      <c r="AU462" s="539"/>
      <c r="AV462" s="539"/>
      <c r="AW462" s="539"/>
      <c r="AX462" s="539"/>
    </row>
    <row r="463" spans="2:50" ht="14.25" customHeight="1" x14ac:dyDescent="0.3">
      <c r="B463" s="957"/>
      <c r="C463" s="540"/>
      <c r="D463" s="540"/>
      <c r="E463" s="540"/>
      <c r="F463" s="539"/>
      <c r="G463" s="539"/>
      <c r="H463" s="539"/>
      <c r="I463" s="539"/>
      <c r="J463" s="539"/>
      <c r="K463" s="539"/>
      <c r="L463" s="539"/>
      <c r="M463" s="539"/>
      <c r="N463" s="539"/>
      <c r="O463" s="539"/>
      <c r="P463" s="539"/>
      <c r="Q463" s="539"/>
      <c r="R463" s="539"/>
      <c r="S463" s="539"/>
      <c r="T463" s="539"/>
      <c r="U463" s="539"/>
      <c r="V463" s="539"/>
      <c r="W463" s="539"/>
      <c r="X463" s="539"/>
      <c r="Y463" s="539"/>
      <c r="Z463" s="539"/>
      <c r="AA463" s="539"/>
      <c r="AB463" s="539"/>
      <c r="AC463" s="539"/>
      <c r="AD463" s="539"/>
      <c r="AE463" s="539"/>
      <c r="AF463" s="539"/>
      <c r="AG463" s="539"/>
      <c r="AH463" s="539"/>
      <c r="AI463" s="539"/>
      <c r="AJ463" s="539"/>
      <c r="AK463" s="539"/>
      <c r="AL463" s="539"/>
      <c r="AM463" s="539"/>
      <c r="AN463" s="539"/>
      <c r="AO463" s="539"/>
      <c r="AP463" s="539"/>
      <c r="AQ463" s="539"/>
      <c r="AR463" s="539"/>
      <c r="AS463" s="539"/>
      <c r="AT463" s="539"/>
      <c r="AU463" s="539"/>
      <c r="AV463" s="539"/>
      <c r="AW463" s="539"/>
      <c r="AX463" s="539"/>
    </row>
    <row r="464" spans="2:50" ht="14.25" customHeight="1" x14ac:dyDescent="0.3">
      <c r="B464" s="957"/>
      <c r="C464" s="540"/>
      <c r="D464" s="540"/>
      <c r="E464" s="540"/>
      <c r="F464" s="539"/>
      <c r="G464" s="539"/>
      <c r="H464" s="539"/>
      <c r="I464" s="539"/>
      <c r="J464" s="539"/>
      <c r="K464" s="539"/>
      <c r="L464" s="539"/>
      <c r="M464" s="539"/>
      <c r="N464" s="539"/>
      <c r="O464" s="539"/>
      <c r="P464" s="539"/>
      <c r="Q464" s="539"/>
      <c r="R464" s="539"/>
      <c r="S464" s="539"/>
      <c r="T464" s="539"/>
      <c r="U464" s="539"/>
      <c r="V464" s="539"/>
      <c r="W464" s="539"/>
      <c r="X464" s="539"/>
      <c r="Y464" s="539"/>
      <c r="Z464" s="539"/>
      <c r="AA464" s="539"/>
      <c r="AB464" s="539"/>
      <c r="AC464" s="539"/>
      <c r="AD464" s="539"/>
      <c r="AE464" s="539"/>
      <c r="AF464" s="539"/>
      <c r="AG464" s="539"/>
      <c r="AH464" s="539"/>
      <c r="AI464" s="539"/>
      <c r="AJ464" s="539"/>
      <c r="AK464" s="539"/>
      <c r="AL464" s="539"/>
      <c r="AM464" s="539"/>
      <c r="AN464" s="539"/>
      <c r="AO464" s="539"/>
      <c r="AP464" s="539"/>
      <c r="AQ464" s="539"/>
      <c r="AR464" s="539"/>
      <c r="AS464" s="539"/>
      <c r="AT464" s="539"/>
      <c r="AU464" s="539"/>
      <c r="AV464" s="539"/>
      <c r="AW464" s="539"/>
      <c r="AX464" s="539"/>
    </row>
    <row r="465" spans="2:50" ht="14.25" customHeight="1" x14ac:dyDescent="0.3">
      <c r="B465" s="957"/>
      <c r="C465" s="540"/>
      <c r="D465" s="540"/>
      <c r="E465" s="540"/>
      <c r="F465" s="539"/>
      <c r="G465" s="539"/>
      <c r="H465" s="539"/>
      <c r="I465" s="539"/>
      <c r="J465" s="539"/>
      <c r="K465" s="539"/>
      <c r="L465" s="539"/>
      <c r="M465" s="539"/>
      <c r="N465" s="539"/>
      <c r="O465" s="539"/>
      <c r="P465" s="539"/>
      <c r="Q465" s="539"/>
      <c r="R465" s="539"/>
      <c r="S465" s="539"/>
      <c r="T465" s="539"/>
      <c r="U465" s="539"/>
      <c r="V465" s="539"/>
      <c r="W465" s="539"/>
      <c r="X465" s="539"/>
      <c r="Y465" s="539"/>
      <c r="Z465" s="539"/>
      <c r="AA465" s="539"/>
      <c r="AB465" s="539"/>
      <c r="AC465" s="539"/>
      <c r="AD465" s="539"/>
      <c r="AE465" s="539"/>
      <c r="AF465" s="539"/>
      <c r="AG465" s="539"/>
      <c r="AH465" s="539"/>
      <c r="AI465" s="539"/>
      <c r="AJ465" s="539"/>
      <c r="AK465" s="539"/>
      <c r="AL465" s="539"/>
      <c r="AM465" s="539"/>
      <c r="AN465" s="539"/>
      <c r="AO465" s="539"/>
      <c r="AP465" s="539"/>
      <c r="AQ465" s="539"/>
      <c r="AR465" s="539"/>
      <c r="AS465" s="539"/>
      <c r="AT465" s="539"/>
      <c r="AU465" s="539"/>
      <c r="AV465" s="539"/>
      <c r="AW465" s="539"/>
      <c r="AX465" s="539"/>
    </row>
    <row r="466" spans="2:50" ht="14.25" customHeight="1" x14ac:dyDescent="0.3">
      <c r="B466" s="957"/>
      <c r="C466" s="540"/>
      <c r="D466" s="540"/>
      <c r="E466" s="540"/>
      <c r="F466" s="539"/>
      <c r="G466" s="539"/>
      <c r="H466" s="539"/>
      <c r="I466" s="539"/>
      <c r="J466" s="539"/>
      <c r="K466" s="539"/>
      <c r="L466" s="539"/>
      <c r="M466" s="539"/>
      <c r="N466" s="539"/>
      <c r="O466" s="539"/>
      <c r="P466" s="539"/>
      <c r="Q466" s="539"/>
      <c r="R466" s="539"/>
      <c r="S466" s="539"/>
      <c r="T466" s="539"/>
      <c r="U466" s="539"/>
      <c r="V466" s="539"/>
      <c r="W466" s="539"/>
      <c r="X466" s="539"/>
      <c r="Y466" s="539"/>
      <c r="Z466" s="539"/>
      <c r="AA466" s="539"/>
      <c r="AB466" s="539"/>
      <c r="AC466" s="539"/>
      <c r="AD466" s="539"/>
      <c r="AE466" s="539"/>
      <c r="AF466" s="539"/>
      <c r="AG466" s="539"/>
      <c r="AH466" s="539"/>
      <c r="AI466" s="539"/>
      <c r="AJ466" s="539"/>
      <c r="AK466" s="539"/>
      <c r="AL466" s="539"/>
      <c r="AM466" s="539"/>
      <c r="AN466" s="539"/>
      <c r="AO466" s="539"/>
      <c r="AP466" s="539"/>
      <c r="AQ466" s="539"/>
      <c r="AR466" s="539"/>
      <c r="AS466" s="539"/>
      <c r="AT466" s="539"/>
      <c r="AU466" s="539"/>
      <c r="AV466" s="539"/>
      <c r="AW466" s="539"/>
      <c r="AX466" s="539"/>
    </row>
    <row r="467" spans="2:50" ht="14.25" customHeight="1" x14ac:dyDescent="0.3">
      <c r="B467" s="957"/>
      <c r="C467" s="540"/>
      <c r="D467" s="540"/>
      <c r="E467" s="540"/>
      <c r="F467" s="539"/>
      <c r="G467" s="539"/>
      <c r="H467" s="539"/>
      <c r="I467" s="539"/>
      <c r="J467" s="539"/>
      <c r="K467" s="539"/>
      <c r="L467" s="539"/>
      <c r="M467" s="539"/>
      <c r="N467" s="539"/>
      <c r="O467" s="539"/>
      <c r="P467" s="539"/>
      <c r="Q467" s="539"/>
      <c r="R467" s="539"/>
      <c r="S467" s="539"/>
      <c r="T467" s="539"/>
      <c r="U467" s="539"/>
      <c r="V467" s="539"/>
      <c r="W467" s="539"/>
      <c r="X467" s="539"/>
      <c r="Y467" s="539"/>
      <c r="Z467" s="539"/>
      <c r="AA467" s="539"/>
      <c r="AB467" s="539"/>
      <c r="AC467" s="539"/>
      <c r="AD467" s="539"/>
      <c r="AE467" s="539"/>
      <c r="AF467" s="539"/>
      <c r="AG467" s="539"/>
      <c r="AH467" s="539"/>
      <c r="AI467" s="539"/>
      <c r="AJ467" s="539"/>
      <c r="AK467" s="539"/>
      <c r="AL467" s="539"/>
      <c r="AM467" s="539"/>
      <c r="AN467" s="539"/>
      <c r="AO467" s="539"/>
      <c r="AP467" s="539"/>
      <c r="AQ467" s="539"/>
      <c r="AR467" s="539"/>
      <c r="AS467" s="539"/>
      <c r="AT467" s="539"/>
      <c r="AU467" s="539"/>
      <c r="AV467" s="539"/>
      <c r="AW467" s="539"/>
      <c r="AX467" s="539"/>
    </row>
    <row r="468" spans="2:50" ht="14.25" customHeight="1" x14ac:dyDescent="0.3">
      <c r="B468" s="957"/>
      <c r="C468" s="540"/>
      <c r="D468" s="540"/>
      <c r="E468" s="540"/>
      <c r="F468" s="539"/>
      <c r="G468" s="539"/>
      <c r="H468" s="539"/>
      <c r="I468" s="539"/>
      <c r="J468" s="539"/>
      <c r="K468" s="539"/>
      <c r="L468" s="539"/>
      <c r="M468" s="539"/>
      <c r="N468" s="539"/>
      <c r="O468" s="539"/>
      <c r="P468" s="539"/>
      <c r="Q468" s="539"/>
      <c r="R468" s="539"/>
      <c r="S468" s="539"/>
      <c r="T468" s="539"/>
      <c r="U468" s="539"/>
      <c r="V468" s="539"/>
      <c r="W468" s="539"/>
      <c r="X468" s="539"/>
      <c r="Y468" s="539"/>
      <c r="Z468" s="539"/>
      <c r="AA468" s="539"/>
      <c r="AB468" s="539"/>
      <c r="AC468" s="539"/>
      <c r="AD468" s="539"/>
      <c r="AE468" s="539"/>
      <c r="AF468" s="539"/>
      <c r="AG468" s="539"/>
      <c r="AH468" s="539"/>
      <c r="AI468" s="539"/>
      <c r="AJ468" s="539"/>
      <c r="AK468" s="539"/>
      <c r="AL468" s="539"/>
      <c r="AM468" s="539"/>
      <c r="AN468" s="539"/>
      <c r="AO468" s="539"/>
      <c r="AP468" s="539"/>
      <c r="AQ468" s="539"/>
      <c r="AR468" s="539"/>
      <c r="AS468" s="539"/>
      <c r="AT468" s="539"/>
      <c r="AU468" s="539"/>
      <c r="AV468" s="539"/>
      <c r="AW468" s="539"/>
      <c r="AX468" s="539"/>
    </row>
    <row r="469" spans="2:50" ht="14.25" customHeight="1" x14ac:dyDescent="0.3">
      <c r="B469" s="957"/>
      <c r="C469" s="540"/>
      <c r="D469" s="540"/>
      <c r="E469" s="540"/>
      <c r="F469" s="539"/>
      <c r="G469" s="539"/>
      <c r="H469" s="539"/>
      <c r="I469" s="539"/>
      <c r="J469" s="539"/>
      <c r="K469" s="539"/>
      <c r="L469" s="539"/>
      <c r="M469" s="539"/>
      <c r="N469" s="539"/>
      <c r="O469" s="539"/>
      <c r="P469" s="539"/>
      <c r="Q469" s="539"/>
      <c r="R469" s="539"/>
      <c r="S469" s="539"/>
      <c r="T469" s="539"/>
      <c r="U469" s="539"/>
      <c r="V469" s="539"/>
      <c r="W469" s="539"/>
      <c r="X469" s="539"/>
      <c r="Y469" s="539"/>
      <c r="Z469" s="539"/>
      <c r="AA469" s="539"/>
      <c r="AB469" s="539"/>
      <c r="AC469" s="539"/>
      <c r="AD469" s="539"/>
      <c r="AE469" s="539"/>
      <c r="AF469" s="539"/>
      <c r="AG469" s="539"/>
      <c r="AH469" s="539"/>
      <c r="AI469" s="539"/>
      <c r="AJ469" s="539"/>
      <c r="AK469" s="539"/>
      <c r="AL469" s="539"/>
      <c r="AM469" s="539"/>
      <c r="AN469" s="539"/>
      <c r="AO469" s="539"/>
      <c r="AP469" s="539"/>
      <c r="AQ469" s="539"/>
      <c r="AR469" s="539"/>
      <c r="AS469" s="539"/>
      <c r="AT469" s="539"/>
      <c r="AU469" s="539"/>
      <c r="AV469" s="539"/>
      <c r="AW469" s="539"/>
      <c r="AX469" s="539"/>
    </row>
    <row r="470" spans="2:50" ht="14.25" customHeight="1" x14ac:dyDescent="0.3">
      <c r="B470" s="957"/>
      <c r="C470" s="540"/>
      <c r="D470" s="540"/>
      <c r="E470" s="540"/>
      <c r="F470" s="539"/>
      <c r="G470" s="539"/>
      <c r="H470" s="539"/>
      <c r="I470" s="539"/>
      <c r="J470" s="539"/>
      <c r="K470" s="539"/>
      <c r="L470" s="539"/>
      <c r="M470" s="539"/>
      <c r="N470" s="539"/>
      <c r="O470" s="539"/>
      <c r="P470" s="539"/>
      <c r="Q470" s="539"/>
      <c r="R470" s="539"/>
      <c r="S470" s="539"/>
      <c r="T470" s="539"/>
      <c r="U470" s="539"/>
      <c r="V470" s="539"/>
      <c r="W470" s="539"/>
      <c r="X470" s="539"/>
      <c r="Y470" s="539"/>
      <c r="Z470" s="539"/>
      <c r="AA470" s="539"/>
      <c r="AB470" s="539"/>
      <c r="AC470" s="539"/>
      <c r="AD470" s="539"/>
      <c r="AE470" s="539"/>
      <c r="AF470" s="539"/>
      <c r="AG470" s="539"/>
      <c r="AH470" s="539"/>
      <c r="AI470" s="539"/>
      <c r="AJ470" s="539"/>
      <c r="AK470" s="539"/>
      <c r="AL470" s="539"/>
      <c r="AM470" s="539"/>
      <c r="AN470" s="539"/>
      <c r="AO470" s="539"/>
      <c r="AP470" s="539"/>
      <c r="AQ470" s="539"/>
      <c r="AR470" s="539"/>
      <c r="AS470" s="539"/>
      <c r="AT470" s="539"/>
      <c r="AU470" s="539"/>
      <c r="AV470" s="539"/>
      <c r="AW470" s="539"/>
      <c r="AX470" s="539"/>
    </row>
    <row r="471" spans="2:50" ht="14.25" customHeight="1" x14ac:dyDescent="0.3">
      <c r="B471" s="957"/>
      <c r="C471" s="540"/>
      <c r="D471" s="540"/>
      <c r="E471" s="540"/>
      <c r="F471" s="539"/>
      <c r="G471" s="539"/>
      <c r="H471" s="539"/>
      <c r="I471" s="539"/>
      <c r="J471" s="539"/>
      <c r="K471" s="539"/>
      <c r="L471" s="539"/>
      <c r="M471" s="539"/>
      <c r="N471" s="539"/>
      <c r="O471" s="539"/>
      <c r="P471" s="539"/>
      <c r="Q471" s="539"/>
      <c r="R471" s="539"/>
      <c r="S471" s="539"/>
      <c r="T471" s="539"/>
      <c r="U471" s="539"/>
      <c r="V471" s="539"/>
      <c r="W471" s="539"/>
      <c r="X471" s="539"/>
      <c r="Y471" s="539"/>
      <c r="Z471" s="539"/>
      <c r="AA471" s="539"/>
      <c r="AB471" s="539"/>
      <c r="AC471" s="539"/>
      <c r="AD471" s="539"/>
      <c r="AE471" s="539"/>
      <c r="AF471" s="539"/>
      <c r="AG471" s="539"/>
      <c r="AH471" s="539"/>
      <c r="AI471" s="539"/>
      <c r="AJ471" s="539"/>
      <c r="AK471" s="539"/>
      <c r="AL471" s="539"/>
      <c r="AM471" s="539"/>
      <c r="AN471" s="539"/>
      <c r="AO471" s="539"/>
      <c r="AP471" s="539"/>
      <c r="AQ471" s="539"/>
      <c r="AR471" s="539"/>
      <c r="AS471" s="539"/>
      <c r="AT471" s="539"/>
      <c r="AU471" s="539"/>
      <c r="AV471" s="539"/>
      <c r="AW471" s="539"/>
      <c r="AX471" s="539"/>
    </row>
    <row r="472" spans="2:50" ht="14.25" customHeight="1" x14ac:dyDescent="0.3">
      <c r="B472" s="957"/>
      <c r="C472" s="540"/>
      <c r="D472" s="540"/>
      <c r="E472" s="540"/>
      <c r="F472" s="539"/>
      <c r="G472" s="539"/>
      <c r="H472" s="539"/>
      <c r="I472" s="539"/>
      <c r="J472" s="539"/>
      <c r="K472" s="539"/>
      <c r="L472" s="539"/>
      <c r="M472" s="539"/>
      <c r="N472" s="539"/>
      <c r="O472" s="539"/>
      <c r="P472" s="539"/>
      <c r="Q472" s="539"/>
      <c r="R472" s="539"/>
      <c r="S472" s="539"/>
      <c r="T472" s="539"/>
      <c r="U472" s="539"/>
      <c r="V472" s="539"/>
      <c r="W472" s="539"/>
      <c r="X472" s="539"/>
      <c r="Y472" s="539"/>
      <c r="Z472" s="539"/>
      <c r="AA472" s="539"/>
      <c r="AB472" s="539"/>
      <c r="AC472" s="539"/>
      <c r="AD472" s="539"/>
      <c r="AE472" s="539"/>
      <c r="AF472" s="539"/>
      <c r="AG472" s="539"/>
      <c r="AH472" s="539"/>
      <c r="AI472" s="539"/>
      <c r="AJ472" s="539"/>
      <c r="AK472" s="539"/>
      <c r="AL472" s="539"/>
      <c r="AM472" s="539"/>
      <c r="AN472" s="539"/>
      <c r="AO472" s="539"/>
      <c r="AP472" s="539"/>
      <c r="AQ472" s="539"/>
      <c r="AR472" s="539"/>
      <c r="AS472" s="539"/>
      <c r="AT472" s="539"/>
      <c r="AU472" s="539"/>
      <c r="AV472" s="539"/>
      <c r="AW472" s="539"/>
      <c r="AX472" s="539"/>
    </row>
    <row r="473" spans="2:50" ht="14.25" customHeight="1" x14ac:dyDescent="0.3">
      <c r="B473" s="957"/>
      <c r="C473" s="540"/>
      <c r="D473" s="540"/>
      <c r="E473" s="540"/>
      <c r="F473" s="539"/>
      <c r="G473" s="539"/>
      <c r="H473" s="539"/>
      <c r="I473" s="539"/>
      <c r="J473" s="539"/>
      <c r="K473" s="539"/>
      <c r="L473" s="539"/>
      <c r="M473" s="539"/>
      <c r="N473" s="539"/>
      <c r="O473" s="539"/>
      <c r="P473" s="539"/>
      <c r="Q473" s="539"/>
      <c r="R473" s="539"/>
      <c r="S473" s="539"/>
      <c r="T473" s="539"/>
      <c r="U473" s="539"/>
      <c r="V473" s="539"/>
      <c r="W473" s="539"/>
      <c r="X473" s="539"/>
      <c r="Y473" s="539"/>
      <c r="Z473" s="539"/>
      <c r="AA473" s="539"/>
      <c r="AB473" s="539"/>
      <c r="AC473" s="539"/>
      <c r="AD473" s="539"/>
      <c r="AE473" s="539"/>
      <c r="AF473" s="539"/>
      <c r="AG473" s="539"/>
      <c r="AH473" s="539"/>
      <c r="AI473" s="539"/>
      <c r="AJ473" s="539"/>
      <c r="AK473" s="539"/>
      <c r="AL473" s="539"/>
      <c r="AM473" s="539"/>
      <c r="AN473" s="539"/>
      <c r="AO473" s="539"/>
      <c r="AP473" s="539"/>
      <c r="AQ473" s="539"/>
      <c r="AR473" s="539"/>
      <c r="AS473" s="539"/>
      <c r="AT473" s="539"/>
      <c r="AU473" s="539"/>
      <c r="AV473" s="539"/>
      <c r="AW473" s="539"/>
      <c r="AX473" s="539"/>
    </row>
    <row r="474" spans="2:50" ht="14.25" customHeight="1" x14ac:dyDescent="0.3">
      <c r="B474" s="957"/>
      <c r="C474" s="540"/>
      <c r="D474" s="540"/>
      <c r="E474" s="540"/>
      <c r="F474" s="539"/>
      <c r="G474" s="539"/>
      <c r="H474" s="539"/>
      <c r="I474" s="539"/>
      <c r="J474" s="539"/>
      <c r="K474" s="539"/>
      <c r="L474" s="539"/>
      <c r="M474" s="539"/>
      <c r="N474" s="539"/>
      <c r="O474" s="539"/>
      <c r="P474" s="539"/>
      <c r="Q474" s="539"/>
      <c r="R474" s="539"/>
      <c r="S474" s="539"/>
      <c r="T474" s="539"/>
      <c r="U474" s="539"/>
      <c r="V474" s="539"/>
      <c r="W474" s="539"/>
      <c r="X474" s="539"/>
      <c r="Y474" s="539"/>
      <c r="Z474" s="539"/>
      <c r="AA474" s="539"/>
      <c r="AB474" s="539"/>
      <c r="AC474" s="539"/>
      <c r="AD474" s="539"/>
      <c r="AE474" s="539"/>
      <c r="AF474" s="539"/>
      <c r="AG474" s="539"/>
      <c r="AH474" s="539"/>
      <c r="AI474" s="539"/>
      <c r="AJ474" s="539"/>
      <c r="AK474" s="539"/>
      <c r="AL474" s="539"/>
      <c r="AM474" s="539"/>
      <c r="AN474" s="539"/>
      <c r="AO474" s="539"/>
      <c r="AP474" s="539"/>
      <c r="AQ474" s="539"/>
      <c r="AR474" s="539"/>
      <c r="AS474" s="539"/>
      <c r="AT474" s="539"/>
      <c r="AU474" s="539"/>
      <c r="AV474" s="539"/>
      <c r="AW474" s="539"/>
      <c r="AX474" s="539"/>
    </row>
    <row r="475" spans="2:50" ht="14.25" customHeight="1" x14ac:dyDescent="0.3">
      <c r="B475" s="957"/>
      <c r="C475" s="540"/>
      <c r="D475" s="540"/>
      <c r="E475" s="540"/>
      <c r="F475" s="539"/>
      <c r="G475" s="539"/>
      <c r="H475" s="539"/>
      <c r="I475" s="539"/>
      <c r="J475" s="539"/>
      <c r="K475" s="539"/>
      <c r="L475" s="539"/>
      <c r="M475" s="539"/>
      <c r="N475" s="539"/>
      <c r="O475" s="539"/>
      <c r="P475" s="539"/>
      <c r="Q475" s="539"/>
      <c r="R475" s="539"/>
      <c r="S475" s="539"/>
      <c r="T475" s="539"/>
      <c r="U475" s="539"/>
      <c r="V475" s="539"/>
      <c r="W475" s="539"/>
      <c r="X475" s="539"/>
      <c r="Y475" s="539"/>
      <c r="Z475" s="539"/>
      <c r="AA475" s="539"/>
      <c r="AB475" s="539"/>
      <c r="AC475" s="539"/>
      <c r="AD475" s="539"/>
      <c r="AE475" s="539"/>
      <c r="AF475" s="539"/>
      <c r="AG475" s="539"/>
      <c r="AH475" s="539"/>
      <c r="AI475" s="539"/>
      <c r="AJ475" s="539"/>
      <c r="AK475" s="539"/>
      <c r="AL475" s="539"/>
      <c r="AM475" s="539"/>
      <c r="AN475" s="539"/>
      <c r="AO475" s="539"/>
      <c r="AP475" s="539"/>
      <c r="AQ475" s="539"/>
      <c r="AR475" s="539"/>
      <c r="AS475" s="539"/>
      <c r="AT475" s="539"/>
      <c r="AU475" s="539"/>
      <c r="AV475" s="539"/>
      <c r="AW475" s="539"/>
      <c r="AX475" s="539"/>
    </row>
    <row r="476" spans="2:50" ht="14.25" customHeight="1" x14ac:dyDescent="0.3">
      <c r="B476" s="957"/>
      <c r="C476" s="540"/>
      <c r="D476" s="540"/>
      <c r="E476" s="540"/>
      <c r="F476" s="539"/>
      <c r="G476" s="539"/>
      <c r="H476" s="539"/>
      <c r="I476" s="539"/>
      <c r="J476" s="539"/>
      <c r="K476" s="539"/>
      <c r="L476" s="539"/>
      <c r="M476" s="539"/>
      <c r="N476" s="539"/>
      <c r="O476" s="539"/>
      <c r="P476" s="539"/>
      <c r="Q476" s="539"/>
      <c r="R476" s="539"/>
      <c r="S476" s="539"/>
      <c r="T476" s="539"/>
      <c r="U476" s="539"/>
      <c r="V476" s="539"/>
      <c r="W476" s="539"/>
      <c r="X476" s="539"/>
      <c r="Y476" s="539"/>
      <c r="Z476" s="539"/>
      <c r="AA476" s="539"/>
      <c r="AB476" s="539"/>
      <c r="AC476" s="539"/>
      <c r="AD476" s="539"/>
      <c r="AE476" s="539"/>
      <c r="AF476" s="539"/>
      <c r="AG476" s="539"/>
      <c r="AH476" s="539"/>
      <c r="AI476" s="539"/>
      <c r="AJ476" s="539"/>
      <c r="AK476" s="539"/>
      <c r="AL476" s="539"/>
      <c r="AM476" s="539"/>
      <c r="AN476" s="539"/>
      <c r="AO476" s="539"/>
      <c r="AP476" s="539"/>
      <c r="AQ476" s="539"/>
      <c r="AR476" s="539"/>
      <c r="AS476" s="539"/>
      <c r="AT476" s="539"/>
      <c r="AU476" s="539"/>
      <c r="AV476" s="539"/>
      <c r="AW476" s="539"/>
      <c r="AX476" s="539"/>
    </row>
    <row r="477" spans="2:50" ht="14.25" customHeight="1" x14ac:dyDescent="0.3">
      <c r="B477" s="957"/>
      <c r="C477" s="540"/>
      <c r="D477" s="540"/>
      <c r="E477" s="540"/>
      <c r="F477" s="539"/>
      <c r="G477" s="539"/>
      <c r="H477" s="539"/>
      <c r="I477" s="539"/>
      <c r="J477" s="539"/>
      <c r="K477" s="539"/>
      <c r="L477" s="539"/>
      <c r="M477" s="539"/>
      <c r="N477" s="539"/>
      <c r="O477" s="539"/>
      <c r="P477" s="539"/>
      <c r="Q477" s="539"/>
      <c r="R477" s="539"/>
      <c r="S477" s="539"/>
      <c r="T477" s="539"/>
      <c r="U477" s="539"/>
      <c r="V477" s="539"/>
      <c r="W477" s="539"/>
      <c r="X477" s="539"/>
      <c r="Y477" s="539"/>
      <c r="Z477" s="539"/>
      <c r="AA477" s="539"/>
      <c r="AB477" s="539"/>
      <c r="AC477" s="539"/>
      <c r="AD477" s="539"/>
      <c r="AE477" s="539"/>
      <c r="AF477" s="539"/>
      <c r="AG477" s="539"/>
      <c r="AH477" s="539"/>
      <c r="AI477" s="539"/>
      <c r="AJ477" s="539"/>
      <c r="AK477" s="539"/>
      <c r="AL477" s="539"/>
      <c r="AM477" s="539"/>
      <c r="AN477" s="539"/>
      <c r="AO477" s="539"/>
      <c r="AP477" s="539"/>
      <c r="AQ477" s="539"/>
      <c r="AR477" s="539"/>
      <c r="AS477" s="539"/>
      <c r="AT477" s="539"/>
      <c r="AU477" s="539"/>
      <c r="AV477" s="539"/>
      <c r="AW477" s="539"/>
      <c r="AX477" s="539"/>
    </row>
    <row r="478" spans="2:50" ht="14.25" customHeight="1" x14ac:dyDescent="0.3">
      <c r="B478" s="957"/>
      <c r="C478" s="540"/>
      <c r="D478" s="540"/>
      <c r="E478" s="540"/>
      <c r="F478" s="539"/>
      <c r="G478" s="539"/>
      <c r="H478" s="539"/>
      <c r="I478" s="539"/>
      <c r="J478" s="539"/>
      <c r="K478" s="539"/>
      <c r="L478" s="539"/>
      <c r="M478" s="539"/>
      <c r="N478" s="539"/>
      <c r="O478" s="539"/>
      <c r="P478" s="539"/>
      <c r="Q478" s="539"/>
      <c r="R478" s="539"/>
      <c r="S478" s="539"/>
      <c r="T478" s="539"/>
      <c r="U478" s="539"/>
      <c r="V478" s="539"/>
      <c r="W478" s="539"/>
      <c r="X478" s="539"/>
      <c r="Y478" s="539"/>
      <c r="Z478" s="539"/>
      <c r="AA478" s="539"/>
      <c r="AB478" s="539"/>
      <c r="AC478" s="539"/>
      <c r="AD478" s="539"/>
      <c r="AE478" s="539"/>
      <c r="AF478" s="539"/>
      <c r="AG478" s="539"/>
      <c r="AH478" s="539"/>
      <c r="AI478" s="539"/>
      <c r="AJ478" s="539"/>
      <c r="AK478" s="539"/>
      <c r="AL478" s="539"/>
      <c r="AM478" s="539"/>
      <c r="AN478" s="539"/>
      <c r="AO478" s="539"/>
      <c r="AP478" s="539"/>
      <c r="AQ478" s="539"/>
      <c r="AR478" s="539"/>
      <c r="AS478" s="539"/>
      <c r="AT478" s="539"/>
      <c r="AU478" s="539"/>
      <c r="AV478" s="539"/>
      <c r="AW478" s="539"/>
      <c r="AX478" s="539"/>
    </row>
    <row r="479" spans="2:50" ht="14.25" customHeight="1" x14ac:dyDescent="0.3">
      <c r="B479" s="957"/>
      <c r="C479" s="540"/>
      <c r="D479" s="540"/>
      <c r="E479" s="540"/>
      <c r="F479" s="539"/>
      <c r="G479" s="539"/>
      <c r="H479" s="539"/>
      <c r="I479" s="539"/>
      <c r="J479" s="539"/>
      <c r="K479" s="539"/>
      <c r="L479" s="539"/>
      <c r="M479" s="539"/>
      <c r="N479" s="539"/>
      <c r="O479" s="539"/>
      <c r="P479" s="539"/>
      <c r="Q479" s="539"/>
      <c r="R479" s="539"/>
      <c r="S479" s="539"/>
      <c r="T479" s="539"/>
      <c r="U479" s="539"/>
      <c r="V479" s="539"/>
      <c r="W479" s="539"/>
      <c r="X479" s="539"/>
      <c r="Y479" s="539"/>
      <c r="Z479" s="539"/>
      <c r="AA479" s="539"/>
      <c r="AB479" s="539"/>
      <c r="AC479" s="539"/>
      <c r="AD479" s="539"/>
      <c r="AE479" s="539"/>
      <c r="AF479" s="539"/>
      <c r="AG479" s="539"/>
      <c r="AH479" s="539"/>
      <c r="AI479" s="539"/>
      <c r="AJ479" s="539"/>
      <c r="AK479" s="539"/>
      <c r="AL479" s="539"/>
      <c r="AM479" s="539"/>
      <c r="AN479" s="539"/>
      <c r="AO479" s="539"/>
      <c r="AP479" s="539"/>
      <c r="AQ479" s="539"/>
      <c r="AR479" s="539"/>
      <c r="AS479" s="539"/>
      <c r="AT479" s="539"/>
      <c r="AU479" s="539"/>
      <c r="AV479" s="539"/>
      <c r="AW479" s="539"/>
      <c r="AX479" s="539"/>
    </row>
    <row r="480" spans="2:50" ht="14.25" customHeight="1" x14ac:dyDescent="0.3">
      <c r="B480" s="957"/>
      <c r="C480" s="540"/>
      <c r="D480" s="540"/>
      <c r="E480" s="540"/>
      <c r="F480" s="539"/>
      <c r="G480" s="539"/>
      <c r="H480" s="539"/>
      <c r="I480" s="539"/>
      <c r="J480" s="539"/>
      <c r="K480" s="539"/>
      <c r="L480" s="539"/>
      <c r="M480" s="539"/>
      <c r="N480" s="539"/>
      <c r="O480" s="539"/>
      <c r="P480" s="539"/>
      <c r="Q480" s="539"/>
      <c r="R480" s="539"/>
      <c r="S480" s="539"/>
      <c r="T480" s="539"/>
      <c r="U480" s="539"/>
      <c r="V480" s="539"/>
      <c r="W480" s="539"/>
      <c r="X480" s="539"/>
      <c r="Y480" s="539"/>
      <c r="Z480" s="539"/>
      <c r="AA480" s="539"/>
      <c r="AB480" s="539"/>
      <c r="AC480" s="539"/>
      <c r="AD480" s="539"/>
      <c r="AE480" s="539"/>
      <c r="AF480" s="539"/>
      <c r="AG480" s="539"/>
      <c r="AH480" s="539"/>
      <c r="AI480" s="539"/>
      <c r="AJ480" s="539"/>
      <c r="AK480" s="539"/>
      <c r="AL480" s="539"/>
      <c r="AM480" s="539"/>
      <c r="AN480" s="539"/>
      <c r="AO480" s="539"/>
      <c r="AP480" s="539"/>
      <c r="AQ480" s="539"/>
      <c r="AR480" s="539"/>
      <c r="AS480" s="539"/>
      <c r="AT480" s="539"/>
      <c r="AU480" s="539"/>
      <c r="AV480" s="539"/>
      <c r="AW480" s="539"/>
      <c r="AX480" s="539"/>
    </row>
    <row r="481" spans="2:50" ht="14.25" customHeight="1" x14ac:dyDescent="0.3">
      <c r="B481" s="957"/>
      <c r="C481" s="540"/>
      <c r="D481" s="540"/>
      <c r="E481" s="540"/>
      <c r="F481" s="539"/>
      <c r="G481" s="539"/>
      <c r="H481" s="539"/>
      <c r="I481" s="539"/>
      <c r="J481" s="539"/>
      <c r="K481" s="539"/>
      <c r="L481" s="539"/>
      <c r="M481" s="539"/>
      <c r="N481" s="539"/>
      <c r="O481" s="539"/>
      <c r="P481" s="539"/>
      <c r="Q481" s="539"/>
      <c r="R481" s="539"/>
      <c r="S481" s="539"/>
      <c r="T481" s="539"/>
      <c r="U481" s="539"/>
      <c r="V481" s="539"/>
      <c r="W481" s="539"/>
      <c r="X481" s="539"/>
      <c r="Y481" s="539"/>
      <c r="Z481" s="539"/>
      <c r="AA481" s="539"/>
      <c r="AB481" s="539"/>
      <c r="AC481" s="539"/>
      <c r="AD481" s="539"/>
      <c r="AE481" s="539"/>
      <c r="AF481" s="539"/>
      <c r="AG481" s="539"/>
      <c r="AH481" s="539"/>
      <c r="AI481" s="539"/>
      <c r="AJ481" s="539"/>
      <c r="AK481" s="539"/>
      <c r="AL481" s="539"/>
      <c r="AM481" s="539"/>
      <c r="AN481" s="539"/>
      <c r="AO481" s="539"/>
      <c r="AP481" s="539"/>
      <c r="AQ481" s="539"/>
      <c r="AR481" s="539"/>
      <c r="AS481" s="539"/>
      <c r="AT481" s="539"/>
      <c r="AU481" s="539"/>
      <c r="AV481" s="539"/>
      <c r="AW481" s="539"/>
      <c r="AX481" s="539"/>
    </row>
    <row r="482" spans="2:50" ht="14.25" customHeight="1" x14ac:dyDescent="0.3">
      <c r="B482" s="957"/>
      <c r="C482" s="540"/>
      <c r="D482" s="540"/>
      <c r="E482" s="540"/>
      <c r="F482" s="539"/>
      <c r="G482" s="539"/>
      <c r="H482" s="539"/>
      <c r="I482" s="539"/>
      <c r="J482" s="539"/>
      <c r="K482" s="539"/>
      <c r="L482" s="539"/>
      <c r="M482" s="539"/>
      <c r="N482" s="539"/>
      <c r="O482" s="539"/>
      <c r="P482" s="539"/>
      <c r="Q482" s="539"/>
      <c r="R482" s="539"/>
      <c r="S482" s="539"/>
      <c r="T482" s="539"/>
      <c r="U482" s="539"/>
      <c r="V482" s="539"/>
      <c r="W482" s="539"/>
      <c r="X482" s="539"/>
      <c r="Y482" s="539"/>
      <c r="Z482" s="539"/>
      <c r="AA482" s="539"/>
      <c r="AB482" s="539"/>
      <c r="AC482" s="539"/>
      <c r="AD482" s="539"/>
      <c r="AE482" s="539"/>
      <c r="AF482" s="539"/>
      <c r="AG482" s="539"/>
      <c r="AH482" s="539"/>
      <c r="AI482" s="539"/>
      <c r="AJ482" s="539"/>
      <c r="AK482" s="539"/>
      <c r="AL482" s="539"/>
      <c r="AM482" s="539"/>
      <c r="AN482" s="539"/>
      <c r="AO482" s="539"/>
      <c r="AP482" s="539"/>
      <c r="AQ482" s="539"/>
      <c r="AR482" s="539"/>
      <c r="AS482" s="539"/>
      <c r="AT482" s="539"/>
      <c r="AU482" s="539"/>
      <c r="AV482" s="539"/>
      <c r="AW482" s="539"/>
      <c r="AX482" s="539"/>
    </row>
    <row r="483" spans="2:50" ht="14.25" customHeight="1" x14ac:dyDescent="0.3">
      <c r="B483" s="957"/>
      <c r="C483" s="540"/>
      <c r="D483" s="540"/>
      <c r="E483" s="540"/>
      <c r="F483" s="539"/>
      <c r="G483" s="539"/>
      <c r="H483" s="539"/>
      <c r="I483" s="539"/>
      <c r="J483" s="539"/>
      <c r="K483" s="539"/>
      <c r="L483" s="539"/>
      <c r="M483" s="539"/>
      <c r="N483" s="539"/>
      <c r="O483" s="539"/>
      <c r="P483" s="539"/>
      <c r="Q483" s="539"/>
      <c r="R483" s="539"/>
      <c r="S483" s="539"/>
      <c r="T483" s="539"/>
      <c r="U483" s="539"/>
      <c r="V483" s="539"/>
      <c r="W483" s="539"/>
      <c r="X483" s="539"/>
      <c r="Y483" s="539"/>
      <c r="Z483" s="539"/>
      <c r="AA483" s="539"/>
      <c r="AB483" s="539"/>
      <c r="AC483" s="539"/>
      <c r="AD483" s="539"/>
      <c r="AE483" s="539"/>
      <c r="AF483" s="539"/>
      <c r="AG483" s="539"/>
      <c r="AH483" s="539"/>
      <c r="AI483" s="539"/>
      <c r="AJ483" s="539"/>
      <c r="AK483" s="539"/>
      <c r="AL483" s="539"/>
      <c r="AM483" s="539"/>
      <c r="AN483" s="539"/>
      <c r="AO483" s="539"/>
      <c r="AP483" s="539"/>
      <c r="AQ483" s="539"/>
      <c r="AR483" s="539"/>
      <c r="AS483" s="539"/>
      <c r="AT483" s="539"/>
      <c r="AU483" s="539"/>
      <c r="AV483" s="539"/>
      <c r="AW483" s="539"/>
      <c r="AX483" s="539"/>
    </row>
    <row r="484" spans="2:50" ht="14.25" customHeight="1" x14ac:dyDescent="0.3">
      <c r="B484" s="957"/>
      <c r="C484" s="540"/>
      <c r="D484" s="540"/>
      <c r="E484" s="540"/>
      <c r="F484" s="539"/>
      <c r="G484" s="539"/>
      <c r="H484" s="539"/>
      <c r="I484" s="539"/>
      <c r="J484" s="539"/>
      <c r="K484" s="539"/>
      <c r="L484" s="539"/>
      <c r="M484" s="539"/>
      <c r="N484" s="539"/>
      <c r="O484" s="539"/>
      <c r="P484" s="539"/>
      <c r="Q484" s="539"/>
      <c r="R484" s="539"/>
      <c r="S484" s="539"/>
      <c r="T484" s="539"/>
      <c r="U484" s="539"/>
      <c r="V484" s="539"/>
      <c r="W484" s="539"/>
      <c r="X484" s="539"/>
      <c r="Y484" s="539"/>
      <c r="Z484" s="539"/>
      <c r="AA484" s="539"/>
      <c r="AB484" s="539"/>
      <c r="AC484" s="539"/>
      <c r="AD484" s="539"/>
      <c r="AE484" s="539"/>
      <c r="AF484" s="539"/>
      <c r="AG484" s="539"/>
      <c r="AH484" s="539"/>
      <c r="AI484" s="539"/>
      <c r="AJ484" s="539"/>
      <c r="AK484" s="539"/>
      <c r="AL484" s="539"/>
      <c r="AM484" s="539"/>
      <c r="AN484" s="539"/>
      <c r="AO484" s="539"/>
      <c r="AP484" s="539"/>
      <c r="AQ484" s="539"/>
      <c r="AR484" s="539"/>
      <c r="AS484" s="539"/>
      <c r="AT484" s="539"/>
      <c r="AU484" s="539"/>
      <c r="AV484" s="539"/>
      <c r="AW484" s="539"/>
      <c r="AX484" s="539"/>
    </row>
    <row r="485" spans="2:50" ht="14.25" customHeight="1" x14ac:dyDescent="0.3">
      <c r="B485" s="957"/>
      <c r="C485" s="540"/>
      <c r="D485" s="540"/>
      <c r="E485" s="540"/>
      <c r="F485" s="539"/>
      <c r="G485" s="539"/>
      <c r="H485" s="539"/>
      <c r="I485" s="539"/>
      <c r="J485" s="539"/>
      <c r="K485" s="539"/>
      <c r="L485" s="539"/>
      <c r="M485" s="539"/>
      <c r="N485" s="539"/>
      <c r="O485" s="539"/>
      <c r="P485" s="539"/>
      <c r="Q485" s="539"/>
      <c r="R485" s="539"/>
      <c r="S485" s="539"/>
      <c r="T485" s="539"/>
      <c r="U485" s="539"/>
      <c r="V485" s="539"/>
      <c r="W485" s="539"/>
      <c r="X485" s="539"/>
      <c r="Y485" s="539"/>
      <c r="Z485" s="539"/>
      <c r="AA485" s="539"/>
      <c r="AB485" s="539"/>
      <c r="AC485" s="539"/>
      <c r="AD485" s="539"/>
      <c r="AE485" s="539"/>
      <c r="AF485" s="539"/>
      <c r="AG485" s="539"/>
      <c r="AH485" s="539"/>
      <c r="AI485" s="539"/>
      <c r="AJ485" s="539"/>
      <c r="AK485" s="539"/>
      <c r="AL485" s="539"/>
      <c r="AM485" s="539"/>
      <c r="AN485" s="539"/>
      <c r="AO485" s="539"/>
      <c r="AP485" s="539"/>
      <c r="AQ485" s="539"/>
      <c r="AR485" s="539"/>
      <c r="AS485" s="539"/>
      <c r="AT485" s="539"/>
      <c r="AU485" s="539"/>
      <c r="AV485" s="539"/>
      <c r="AW485" s="539"/>
      <c r="AX485" s="539"/>
    </row>
    <row r="486" spans="2:50" ht="14.25" customHeight="1" x14ac:dyDescent="0.3">
      <c r="B486" s="957"/>
      <c r="C486" s="540"/>
      <c r="D486" s="540"/>
      <c r="E486" s="540"/>
      <c r="F486" s="539"/>
      <c r="G486" s="539"/>
      <c r="H486" s="539"/>
      <c r="I486" s="539"/>
      <c r="J486" s="539"/>
      <c r="K486" s="539"/>
      <c r="L486" s="539"/>
      <c r="M486" s="539"/>
      <c r="N486" s="539"/>
      <c r="O486" s="539"/>
      <c r="P486" s="539"/>
      <c r="Q486" s="539"/>
      <c r="R486" s="539"/>
      <c r="S486" s="539"/>
      <c r="T486" s="539"/>
      <c r="U486" s="539"/>
      <c r="V486" s="539"/>
      <c r="W486" s="539"/>
      <c r="X486" s="539"/>
      <c r="Y486" s="539"/>
      <c r="Z486" s="539"/>
      <c r="AA486" s="539"/>
      <c r="AB486" s="539"/>
      <c r="AC486" s="539"/>
      <c r="AD486" s="539"/>
      <c r="AE486" s="539"/>
      <c r="AF486" s="539"/>
      <c r="AG486" s="539"/>
      <c r="AH486" s="539"/>
      <c r="AI486" s="539"/>
      <c r="AJ486" s="539"/>
      <c r="AK486" s="539"/>
      <c r="AL486" s="539"/>
      <c r="AM486" s="539"/>
      <c r="AN486" s="539"/>
      <c r="AO486" s="539"/>
      <c r="AP486" s="539"/>
      <c r="AQ486" s="539"/>
      <c r="AR486" s="539"/>
      <c r="AS486" s="539"/>
      <c r="AT486" s="539"/>
      <c r="AU486" s="539"/>
      <c r="AV486" s="539"/>
      <c r="AW486" s="539"/>
      <c r="AX486" s="539"/>
    </row>
    <row r="487" spans="2:50" ht="14.25" customHeight="1" x14ac:dyDescent="0.3">
      <c r="B487" s="957"/>
      <c r="C487" s="540"/>
      <c r="D487" s="540"/>
      <c r="E487" s="540"/>
      <c r="F487" s="539"/>
      <c r="G487" s="539"/>
      <c r="H487" s="539"/>
      <c r="I487" s="539"/>
      <c r="J487" s="539"/>
      <c r="K487" s="539"/>
      <c r="L487" s="539"/>
      <c r="M487" s="539"/>
      <c r="N487" s="539"/>
      <c r="O487" s="539"/>
      <c r="P487" s="539"/>
      <c r="Q487" s="539"/>
      <c r="R487" s="539"/>
      <c r="S487" s="539"/>
      <c r="T487" s="539"/>
      <c r="U487" s="539"/>
      <c r="V487" s="539"/>
      <c r="W487" s="539"/>
      <c r="X487" s="539"/>
      <c r="Y487" s="539"/>
      <c r="Z487" s="539"/>
      <c r="AA487" s="539"/>
      <c r="AB487" s="539"/>
      <c r="AC487" s="539"/>
      <c r="AD487" s="539"/>
      <c r="AE487" s="539"/>
      <c r="AF487" s="539"/>
      <c r="AG487" s="539"/>
      <c r="AH487" s="539"/>
      <c r="AI487" s="539"/>
      <c r="AJ487" s="539"/>
      <c r="AK487" s="539"/>
      <c r="AL487" s="539"/>
      <c r="AM487" s="539"/>
      <c r="AN487" s="539"/>
      <c r="AO487" s="539"/>
      <c r="AP487" s="539"/>
      <c r="AQ487" s="539"/>
      <c r="AR487" s="539"/>
      <c r="AS487" s="539"/>
      <c r="AT487" s="539"/>
      <c r="AU487" s="539"/>
      <c r="AV487" s="539"/>
      <c r="AW487" s="539"/>
      <c r="AX487" s="539"/>
    </row>
    <row r="488" spans="2:50" ht="14.25" customHeight="1" x14ac:dyDescent="0.3">
      <c r="B488" s="957"/>
      <c r="C488" s="540"/>
      <c r="D488" s="540"/>
      <c r="E488" s="540"/>
      <c r="F488" s="539"/>
      <c r="G488" s="539"/>
      <c r="H488" s="539"/>
      <c r="I488" s="539"/>
      <c r="J488" s="539"/>
      <c r="K488" s="539"/>
      <c r="L488" s="539"/>
      <c r="M488" s="539"/>
      <c r="N488" s="539"/>
      <c r="O488" s="539"/>
      <c r="P488" s="539"/>
      <c r="Q488" s="539"/>
      <c r="R488" s="539"/>
      <c r="S488" s="539"/>
      <c r="T488" s="539"/>
      <c r="U488" s="539"/>
      <c r="V488" s="539"/>
      <c r="W488" s="539"/>
      <c r="X488" s="539"/>
      <c r="Y488" s="539"/>
      <c r="Z488" s="539"/>
      <c r="AA488" s="539"/>
      <c r="AB488" s="539"/>
      <c r="AC488" s="539"/>
      <c r="AD488" s="539"/>
      <c r="AE488" s="539"/>
      <c r="AF488" s="539"/>
      <c r="AG488" s="539"/>
      <c r="AH488" s="539"/>
      <c r="AI488" s="539"/>
      <c r="AJ488" s="539"/>
      <c r="AK488" s="539"/>
      <c r="AL488" s="539"/>
      <c r="AM488" s="539"/>
      <c r="AN488" s="539"/>
      <c r="AO488" s="539"/>
      <c r="AP488" s="539"/>
      <c r="AQ488" s="539"/>
      <c r="AR488" s="539"/>
      <c r="AS488" s="539"/>
      <c r="AT488" s="539"/>
      <c r="AU488" s="539"/>
      <c r="AV488" s="539"/>
      <c r="AW488" s="539"/>
      <c r="AX488" s="539"/>
    </row>
    <row r="489" spans="2:50" ht="14.25" customHeight="1" x14ac:dyDescent="0.3">
      <c r="B489" s="957"/>
      <c r="C489" s="540"/>
      <c r="D489" s="540"/>
      <c r="E489" s="540"/>
      <c r="F489" s="539"/>
      <c r="G489" s="539"/>
      <c r="H489" s="539"/>
      <c r="I489" s="539"/>
      <c r="J489" s="539"/>
      <c r="K489" s="539"/>
      <c r="L489" s="539"/>
      <c r="M489" s="539"/>
      <c r="N489" s="539"/>
      <c r="O489" s="539"/>
      <c r="P489" s="539"/>
      <c r="Q489" s="539"/>
      <c r="R489" s="539"/>
      <c r="S489" s="539"/>
      <c r="T489" s="539"/>
      <c r="U489" s="539"/>
      <c r="V489" s="539"/>
      <c r="W489" s="539"/>
      <c r="X489" s="539"/>
      <c r="Y489" s="539"/>
      <c r="Z489" s="539"/>
      <c r="AA489" s="539"/>
      <c r="AB489" s="539"/>
      <c r="AC489" s="539"/>
      <c r="AD489" s="539"/>
      <c r="AE489" s="539"/>
      <c r="AF489" s="539"/>
      <c r="AG489" s="539"/>
      <c r="AH489" s="539"/>
      <c r="AI489" s="539"/>
      <c r="AJ489" s="539"/>
      <c r="AK489" s="539"/>
      <c r="AL489" s="539"/>
      <c r="AM489" s="539"/>
      <c r="AN489" s="539"/>
      <c r="AO489" s="539"/>
      <c r="AP489" s="539"/>
      <c r="AQ489" s="539"/>
      <c r="AR489" s="539"/>
      <c r="AS489" s="539"/>
      <c r="AT489" s="539"/>
      <c r="AU489" s="539"/>
      <c r="AV489" s="539"/>
      <c r="AW489" s="539"/>
      <c r="AX489" s="539"/>
    </row>
    <row r="490" spans="2:50" ht="14.25" customHeight="1" x14ac:dyDescent="0.3">
      <c r="B490" s="957"/>
      <c r="C490" s="540"/>
      <c r="D490" s="540"/>
      <c r="E490" s="540"/>
      <c r="F490" s="539"/>
      <c r="G490" s="539"/>
      <c r="H490" s="539"/>
      <c r="I490" s="539"/>
      <c r="J490" s="539"/>
      <c r="K490" s="539"/>
      <c r="L490" s="539"/>
      <c r="M490" s="539"/>
      <c r="N490" s="539"/>
      <c r="O490" s="539"/>
      <c r="P490" s="539"/>
      <c r="Q490" s="539"/>
      <c r="R490" s="539"/>
      <c r="S490" s="539"/>
      <c r="T490" s="539"/>
      <c r="U490" s="539"/>
      <c r="V490" s="539"/>
      <c r="W490" s="539"/>
      <c r="X490" s="539"/>
      <c r="Y490" s="539"/>
      <c r="Z490" s="539"/>
      <c r="AA490" s="539"/>
      <c r="AB490" s="539"/>
      <c r="AC490" s="539"/>
      <c r="AD490" s="539"/>
      <c r="AE490" s="539"/>
      <c r="AF490" s="539"/>
      <c r="AG490" s="539"/>
      <c r="AH490" s="539"/>
      <c r="AI490" s="539"/>
      <c r="AJ490" s="539"/>
      <c r="AK490" s="539"/>
      <c r="AL490" s="539"/>
      <c r="AM490" s="539"/>
      <c r="AN490" s="539"/>
      <c r="AO490" s="539"/>
      <c r="AP490" s="539"/>
      <c r="AQ490" s="539"/>
      <c r="AR490" s="539"/>
      <c r="AS490" s="539"/>
      <c r="AT490" s="539"/>
      <c r="AU490" s="539"/>
      <c r="AV490" s="539"/>
      <c r="AW490" s="539"/>
      <c r="AX490" s="539"/>
    </row>
    <row r="491" spans="2:50" ht="14.25" customHeight="1" x14ac:dyDescent="0.3">
      <c r="B491" s="957"/>
      <c r="C491" s="540"/>
      <c r="D491" s="540"/>
      <c r="E491" s="540"/>
      <c r="F491" s="539"/>
      <c r="G491" s="539"/>
      <c r="H491" s="539"/>
      <c r="I491" s="539"/>
      <c r="J491" s="539"/>
      <c r="K491" s="539"/>
      <c r="L491" s="539"/>
      <c r="M491" s="539"/>
      <c r="N491" s="539"/>
      <c r="O491" s="539"/>
      <c r="P491" s="539"/>
      <c r="Q491" s="539"/>
      <c r="R491" s="539"/>
      <c r="S491" s="539"/>
      <c r="T491" s="539"/>
      <c r="U491" s="539"/>
      <c r="V491" s="539"/>
      <c r="W491" s="539"/>
      <c r="X491" s="539"/>
      <c r="Y491" s="539"/>
      <c r="Z491" s="539"/>
      <c r="AA491" s="539"/>
      <c r="AB491" s="539"/>
      <c r="AC491" s="539"/>
      <c r="AD491" s="539"/>
      <c r="AE491" s="539"/>
      <c r="AF491" s="539"/>
      <c r="AG491" s="539"/>
      <c r="AH491" s="539"/>
      <c r="AI491" s="539"/>
      <c r="AJ491" s="539"/>
      <c r="AK491" s="539"/>
      <c r="AL491" s="539"/>
      <c r="AM491" s="539"/>
      <c r="AN491" s="539"/>
      <c r="AO491" s="539"/>
      <c r="AP491" s="539"/>
      <c r="AQ491" s="539"/>
      <c r="AR491" s="539"/>
      <c r="AS491" s="539"/>
      <c r="AT491" s="539"/>
      <c r="AU491" s="539"/>
      <c r="AV491" s="539"/>
      <c r="AW491" s="539"/>
      <c r="AX491" s="539"/>
    </row>
    <row r="492" spans="2:50" ht="14.25" customHeight="1" x14ac:dyDescent="0.3">
      <c r="B492" s="957"/>
      <c r="C492" s="540"/>
      <c r="D492" s="540"/>
      <c r="E492" s="540"/>
      <c r="F492" s="539"/>
      <c r="G492" s="539"/>
      <c r="H492" s="539"/>
      <c r="I492" s="539"/>
      <c r="J492" s="539"/>
      <c r="K492" s="539"/>
      <c r="L492" s="539"/>
      <c r="M492" s="539"/>
      <c r="N492" s="539"/>
      <c r="O492" s="539"/>
      <c r="P492" s="539"/>
      <c r="Q492" s="539"/>
      <c r="R492" s="539"/>
      <c r="S492" s="539"/>
      <c r="T492" s="539"/>
      <c r="U492" s="539"/>
      <c r="V492" s="539"/>
      <c r="W492" s="539"/>
      <c r="X492" s="539"/>
      <c r="Y492" s="539"/>
      <c r="Z492" s="539"/>
      <c r="AA492" s="539"/>
      <c r="AB492" s="539"/>
      <c r="AC492" s="539"/>
      <c r="AD492" s="539"/>
      <c r="AE492" s="539"/>
      <c r="AF492" s="539"/>
      <c r="AG492" s="539"/>
      <c r="AH492" s="539"/>
      <c r="AI492" s="539"/>
      <c r="AJ492" s="539"/>
      <c r="AK492" s="539"/>
      <c r="AL492" s="539"/>
      <c r="AM492" s="539"/>
      <c r="AN492" s="539"/>
      <c r="AO492" s="539"/>
      <c r="AP492" s="539"/>
      <c r="AQ492" s="539"/>
      <c r="AR492" s="539"/>
      <c r="AS492" s="539"/>
      <c r="AT492" s="539"/>
      <c r="AU492" s="539"/>
      <c r="AV492" s="539"/>
      <c r="AW492" s="539"/>
      <c r="AX492" s="539"/>
    </row>
    <row r="493" spans="2:50" ht="14.25" customHeight="1" x14ac:dyDescent="0.3">
      <c r="B493" s="957"/>
      <c r="C493" s="540"/>
      <c r="D493" s="540"/>
      <c r="E493" s="540"/>
      <c r="F493" s="539"/>
      <c r="G493" s="539"/>
      <c r="H493" s="539"/>
      <c r="I493" s="539"/>
      <c r="J493" s="539"/>
      <c r="K493" s="539"/>
      <c r="L493" s="539"/>
      <c r="M493" s="539"/>
      <c r="N493" s="539"/>
      <c r="O493" s="539"/>
      <c r="P493" s="539"/>
      <c r="Q493" s="539"/>
      <c r="R493" s="539"/>
      <c r="S493" s="539"/>
      <c r="T493" s="539"/>
      <c r="U493" s="539"/>
      <c r="V493" s="539"/>
      <c r="W493" s="539"/>
      <c r="X493" s="539"/>
      <c r="Y493" s="539"/>
      <c r="Z493" s="539"/>
      <c r="AA493" s="539"/>
      <c r="AB493" s="539"/>
      <c r="AC493" s="539"/>
      <c r="AD493" s="539"/>
      <c r="AE493" s="539"/>
      <c r="AF493" s="539"/>
      <c r="AG493" s="539"/>
      <c r="AH493" s="539"/>
      <c r="AI493" s="539"/>
      <c r="AJ493" s="539"/>
      <c r="AK493" s="539"/>
      <c r="AL493" s="539"/>
      <c r="AM493" s="539"/>
      <c r="AN493" s="539"/>
      <c r="AO493" s="539"/>
      <c r="AP493" s="539"/>
      <c r="AQ493" s="539"/>
      <c r="AR493" s="539"/>
      <c r="AS493" s="539"/>
      <c r="AT493" s="539"/>
      <c r="AU493" s="539"/>
      <c r="AV493" s="539"/>
      <c r="AW493" s="539"/>
      <c r="AX493" s="539"/>
    </row>
    <row r="494" spans="2:50" ht="14.25" customHeight="1" x14ac:dyDescent="0.3">
      <c r="B494" s="957"/>
      <c r="C494" s="540"/>
      <c r="D494" s="540"/>
      <c r="E494" s="540"/>
      <c r="F494" s="539"/>
      <c r="G494" s="539"/>
      <c r="H494" s="539"/>
      <c r="I494" s="539"/>
      <c r="J494" s="539"/>
      <c r="K494" s="539"/>
      <c r="L494" s="539"/>
      <c r="M494" s="539"/>
      <c r="N494" s="539"/>
      <c r="O494" s="539"/>
      <c r="P494" s="539"/>
      <c r="Q494" s="539"/>
      <c r="R494" s="539"/>
      <c r="S494" s="539"/>
      <c r="T494" s="539"/>
      <c r="U494" s="539"/>
      <c r="V494" s="539"/>
      <c r="W494" s="539"/>
      <c r="X494" s="539"/>
      <c r="Y494" s="539"/>
      <c r="Z494" s="539"/>
      <c r="AA494" s="539"/>
      <c r="AB494" s="539"/>
      <c r="AC494" s="539"/>
      <c r="AD494" s="539"/>
      <c r="AE494" s="539"/>
      <c r="AF494" s="539"/>
      <c r="AG494" s="539"/>
      <c r="AH494" s="539"/>
      <c r="AI494" s="539"/>
      <c r="AJ494" s="539"/>
      <c r="AK494" s="539"/>
      <c r="AL494" s="539"/>
      <c r="AM494" s="539"/>
      <c r="AN494" s="539"/>
      <c r="AO494" s="539"/>
      <c r="AP494" s="539"/>
      <c r="AQ494" s="539"/>
      <c r="AR494" s="539"/>
      <c r="AS494" s="539"/>
      <c r="AT494" s="539"/>
      <c r="AU494" s="539"/>
      <c r="AV494" s="539"/>
      <c r="AW494" s="539"/>
      <c r="AX494" s="539"/>
    </row>
    <row r="495" spans="2:50" ht="14.25" customHeight="1" x14ac:dyDescent="0.3">
      <c r="B495" s="957"/>
      <c r="C495" s="540"/>
      <c r="D495" s="540"/>
      <c r="E495" s="540"/>
      <c r="F495" s="539"/>
      <c r="G495" s="539"/>
      <c r="H495" s="539"/>
      <c r="I495" s="539"/>
      <c r="J495" s="539"/>
      <c r="K495" s="539"/>
      <c r="L495" s="539"/>
      <c r="M495" s="539"/>
      <c r="N495" s="539"/>
      <c r="O495" s="539"/>
      <c r="P495" s="539"/>
      <c r="Q495" s="539"/>
      <c r="R495" s="539"/>
      <c r="S495" s="539"/>
      <c r="T495" s="539"/>
      <c r="U495" s="539"/>
      <c r="V495" s="539"/>
      <c r="W495" s="539"/>
      <c r="X495" s="539"/>
      <c r="Y495" s="539"/>
      <c r="Z495" s="539"/>
      <c r="AA495" s="539"/>
      <c r="AB495" s="539"/>
      <c r="AC495" s="539"/>
      <c r="AD495" s="539"/>
      <c r="AE495" s="539"/>
      <c r="AF495" s="539"/>
      <c r="AG495" s="539"/>
      <c r="AH495" s="539"/>
      <c r="AI495" s="539"/>
      <c r="AJ495" s="539"/>
      <c r="AK495" s="539"/>
      <c r="AL495" s="539"/>
      <c r="AM495" s="539"/>
      <c r="AN495" s="539"/>
      <c r="AO495" s="539"/>
      <c r="AP495" s="539"/>
      <c r="AQ495" s="539"/>
      <c r="AR495" s="539"/>
      <c r="AS495" s="539"/>
      <c r="AT495" s="539"/>
      <c r="AU495" s="539"/>
      <c r="AV495" s="539"/>
      <c r="AW495" s="539"/>
      <c r="AX495" s="539"/>
    </row>
    <row r="496" spans="2:50" ht="14.25" customHeight="1" x14ac:dyDescent="0.3">
      <c r="B496" s="957"/>
      <c r="C496" s="540"/>
      <c r="D496" s="540"/>
      <c r="E496" s="540"/>
      <c r="F496" s="539"/>
      <c r="G496" s="539"/>
      <c r="H496" s="539"/>
      <c r="I496" s="539"/>
      <c r="J496" s="539"/>
      <c r="K496" s="539"/>
      <c r="L496" s="539"/>
      <c r="M496" s="539"/>
      <c r="N496" s="539"/>
      <c r="O496" s="539"/>
      <c r="P496" s="539"/>
      <c r="Q496" s="539"/>
      <c r="R496" s="539"/>
      <c r="S496" s="539"/>
      <c r="T496" s="539"/>
      <c r="U496" s="539"/>
      <c r="V496" s="539"/>
      <c r="W496" s="539"/>
      <c r="X496" s="539"/>
      <c r="Y496" s="539"/>
      <c r="Z496" s="539"/>
      <c r="AA496" s="539"/>
      <c r="AB496" s="539"/>
      <c r="AC496" s="539"/>
      <c r="AD496" s="539"/>
      <c r="AE496" s="539"/>
      <c r="AF496" s="539"/>
      <c r="AG496" s="539"/>
      <c r="AH496" s="539"/>
      <c r="AI496" s="539"/>
      <c r="AJ496" s="539"/>
      <c r="AK496" s="539"/>
      <c r="AL496" s="539"/>
      <c r="AM496" s="539"/>
      <c r="AN496" s="539"/>
      <c r="AO496" s="539"/>
      <c r="AP496" s="539"/>
      <c r="AQ496" s="539"/>
      <c r="AR496" s="539"/>
      <c r="AS496" s="539"/>
      <c r="AT496" s="539"/>
      <c r="AU496" s="539"/>
      <c r="AV496" s="539"/>
      <c r="AW496" s="539"/>
      <c r="AX496" s="539"/>
    </row>
    <row r="497" spans="2:50" ht="14.25" customHeight="1" x14ac:dyDescent="0.3">
      <c r="B497" s="957"/>
      <c r="C497" s="540"/>
      <c r="D497" s="540"/>
      <c r="E497" s="540"/>
      <c r="F497" s="539"/>
      <c r="G497" s="539"/>
      <c r="H497" s="539"/>
      <c r="I497" s="539"/>
      <c r="J497" s="539"/>
      <c r="K497" s="539"/>
      <c r="L497" s="539"/>
      <c r="M497" s="539"/>
      <c r="N497" s="539"/>
      <c r="O497" s="539"/>
      <c r="P497" s="539"/>
      <c r="Q497" s="539"/>
      <c r="R497" s="539"/>
      <c r="S497" s="539"/>
      <c r="T497" s="539"/>
      <c r="U497" s="539"/>
      <c r="V497" s="539"/>
      <c r="W497" s="539"/>
      <c r="X497" s="539"/>
      <c r="Y497" s="539"/>
      <c r="Z497" s="539"/>
      <c r="AA497" s="539"/>
      <c r="AB497" s="539"/>
      <c r="AC497" s="539"/>
      <c r="AD497" s="539"/>
      <c r="AE497" s="539"/>
      <c r="AF497" s="539"/>
      <c r="AG497" s="539"/>
      <c r="AH497" s="539"/>
      <c r="AI497" s="539"/>
      <c r="AJ497" s="539"/>
      <c r="AK497" s="539"/>
      <c r="AL497" s="539"/>
      <c r="AM497" s="539"/>
      <c r="AN497" s="539"/>
      <c r="AO497" s="539"/>
      <c r="AP497" s="539"/>
      <c r="AQ497" s="539"/>
      <c r="AR497" s="539"/>
      <c r="AS497" s="539"/>
      <c r="AT497" s="539"/>
      <c r="AU497" s="539"/>
      <c r="AV497" s="539"/>
      <c r="AW497" s="539"/>
      <c r="AX497" s="539"/>
    </row>
    <row r="498" spans="2:50" ht="14.25" customHeight="1" x14ac:dyDescent="0.3">
      <c r="B498" s="957"/>
      <c r="C498" s="540"/>
      <c r="D498" s="540"/>
      <c r="E498" s="540"/>
      <c r="F498" s="539"/>
      <c r="G498" s="539"/>
      <c r="H498" s="539"/>
      <c r="I498" s="539"/>
      <c r="J498" s="539"/>
      <c r="K498" s="539"/>
      <c r="L498" s="539"/>
      <c r="M498" s="539"/>
      <c r="N498" s="539"/>
      <c r="O498" s="539"/>
      <c r="P498" s="539"/>
      <c r="Q498" s="539"/>
      <c r="R498" s="539"/>
      <c r="S498" s="539"/>
      <c r="T498" s="539"/>
      <c r="U498" s="539"/>
      <c r="V498" s="539"/>
      <c r="W498" s="539"/>
      <c r="X498" s="539"/>
      <c r="Y498" s="539"/>
      <c r="Z498" s="539"/>
      <c r="AA498" s="539"/>
      <c r="AB498" s="539"/>
      <c r="AC498" s="539"/>
      <c r="AD498" s="539"/>
      <c r="AE498" s="539"/>
      <c r="AF498" s="539"/>
      <c r="AG498" s="539"/>
      <c r="AH498" s="539"/>
      <c r="AI498" s="539"/>
      <c r="AJ498" s="539"/>
      <c r="AK498" s="539"/>
      <c r="AL498" s="539"/>
      <c r="AM498" s="539"/>
      <c r="AN498" s="539"/>
      <c r="AO498" s="539"/>
      <c r="AP498" s="539"/>
      <c r="AQ498" s="539"/>
      <c r="AR498" s="539"/>
      <c r="AS498" s="539"/>
      <c r="AT498" s="539"/>
      <c r="AU498" s="539"/>
      <c r="AV498" s="539"/>
      <c r="AW498" s="539"/>
      <c r="AX498" s="539"/>
    </row>
    <row r="499" spans="2:50" ht="14.25" customHeight="1" x14ac:dyDescent="0.3">
      <c r="B499" s="957"/>
      <c r="C499" s="540"/>
      <c r="D499" s="540"/>
      <c r="E499" s="540"/>
      <c r="F499" s="539"/>
      <c r="G499" s="539"/>
      <c r="H499" s="539"/>
      <c r="I499" s="539"/>
      <c r="J499" s="539"/>
      <c r="K499" s="539"/>
      <c r="L499" s="539"/>
      <c r="M499" s="539"/>
      <c r="N499" s="539"/>
      <c r="O499" s="539"/>
      <c r="P499" s="539"/>
      <c r="Q499" s="539"/>
      <c r="R499" s="539"/>
      <c r="S499" s="539"/>
      <c r="T499" s="539"/>
      <c r="U499" s="539"/>
      <c r="V499" s="539"/>
      <c r="W499" s="539"/>
      <c r="X499" s="539"/>
      <c r="Y499" s="539"/>
      <c r="Z499" s="539"/>
      <c r="AA499" s="539"/>
      <c r="AB499" s="539"/>
      <c r="AC499" s="539"/>
      <c r="AD499" s="539"/>
      <c r="AE499" s="539"/>
      <c r="AF499" s="539"/>
      <c r="AG499" s="539"/>
      <c r="AH499" s="539"/>
      <c r="AI499" s="539"/>
      <c r="AJ499" s="539"/>
      <c r="AK499" s="539"/>
      <c r="AL499" s="539"/>
      <c r="AM499" s="539"/>
      <c r="AN499" s="539"/>
      <c r="AO499" s="539"/>
      <c r="AP499" s="539"/>
      <c r="AQ499" s="539"/>
      <c r="AR499" s="539"/>
      <c r="AS499" s="539"/>
      <c r="AT499" s="539"/>
      <c r="AU499" s="539"/>
      <c r="AV499" s="539"/>
      <c r="AW499" s="539"/>
      <c r="AX499" s="539"/>
    </row>
    <row r="500" spans="2:50" ht="14.25" customHeight="1" x14ac:dyDescent="0.3">
      <c r="B500" s="957"/>
      <c r="C500" s="540"/>
      <c r="D500" s="540"/>
      <c r="E500" s="540"/>
      <c r="F500" s="539"/>
      <c r="G500" s="539"/>
      <c r="H500" s="539"/>
      <c r="I500" s="539"/>
      <c r="J500" s="539"/>
      <c r="K500" s="539"/>
      <c r="L500" s="539"/>
      <c r="M500" s="539"/>
      <c r="N500" s="539"/>
      <c r="O500" s="539"/>
      <c r="P500" s="539"/>
      <c r="Q500" s="539"/>
      <c r="R500" s="539"/>
      <c r="S500" s="539"/>
      <c r="T500" s="539"/>
      <c r="U500" s="539"/>
      <c r="V500" s="539"/>
      <c r="W500" s="539"/>
      <c r="X500" s="539"/>
      <c r="Y500" s="539"/>
      <c r="Z500" s="539"/>
      <c r="AA500" s="539"/>
      <c r="AB500" s="539"/>
      <c r="AC500" s="539"/>
      <c r="AD500" s="539"/>
      <c r="AE500" s="539"/>
      <c r="AF500" s="539"/>
      <c r="AG500" s="539"/>
      <c r="AH500" s="539"/>
      <c r="AI500" s="539"/>
      <c r="AJ500" s="539"/>
      <c r="AK500" s="539"/>
      <c r="AL500" s="539"/>
      <c r="AM500" s="539"/>
      <c r="AN500" s="539"/>
      <c r="AO500" s="539"/>
      <c r="AP500" s="539"/>
      <c r="AQ500" s="539"/>
      <c r="AR500" s="539"/>
      <c r="AS500" s="539"/>
      <c r="AT500" s="539"/>
      <c r="AU500" s="539"/>
      <c r="AV500" s="539"/>
      <c r="AW500" s="539"/>
      <c r="AX500" s="539"/>
    </row>
    <row r="501" spans="2:50" ht="14.25" customHeight="1" x14ac:dyDescent="0.3">
      <c r="B501" s="957"/>
      <c r="C501" s="540"/>
      <c r="D501" s="540"/>
      <c r="E501" s="540"/>
      <c r="F501" s="539"/>
      <c r="G501" s="539"/>
      <c r="H501" s="539"/>
      <c r="I501" s="539"/>
      <c r="J501" s="539"/>
      <c r="K501" s="539"/>
      <c r="L501" s="539"/>
      <c r="M501" s="539"/>
      <c r="N501" s="539"/>
      <c r="O501" s="539"/>
      <c r="P501" s="539"/>
      <c r="Q501" s="539"/>
      <c r="R501" s="539"/>
      <c r="S501" s="539"/>
      <c r="T501" s="539"/>
      <c r="U501" s="539"/>
      <c r="V501" s="539"/>
      <c r="W501" s="539"/>
      <c r="X501" s="539"/>
      <c r="Y501" s="539"/>
      <c r="Z501" s="539"/>
      <c r="AA501" s="539"/>
      <c r="AB501" s="539"/>
      <c r="AC501" s="539"/>
      <c r="AD501" s="539"/>
      <c r="AE501" s="539"/>
      <c r="AF501" s="539"/>
      <c r="AG501" s="539"/>
      <c r="AH501" s="539"/>
      <c r="AI501" s="539"/>
      <c r="AJ501" s="539"/>
      <c r="AK501" s="539"/>
      <c r="AL501" s="539"/>
      <c r="AM501" s="539"/>
      <c r="AN501" s="539"/>
      <c r="AO501" s="539"/>
      <c r="AP501" s="539"/>
      <c r="AQ501" s="539"/>
      <c r="AR501" s="539"/>
      <c r="AS501" s="539"/>
      <c r="AT501" s="539"/>
      <c r="AU501" s="539"/>
      <c r="AV501" s="539"/>
      <c r="AW501" s="539"/>
      <c r="AX501" s="539"/>
    </row>
    <row r="502" spans="2:50" ht="14.25" customHeight="1" x14ac:dyDescent="0.3">
      <c r="B502" s="957"/>
      <c r="C502" s="540"/>
      <c r="D502" s="540"/>
      <c r="E502" s="540"/>
      <c r="F502" s="539"/>
      <c r="G502" s="539"/>
      <c r="H502" s="539"/>
      <c r="I502" s="539"/>
      <c r="J502" s="539"/>
      <c r="K502" s="539"/>
      <c r="L502" s="539"/>
      <c r="M502" s="539"/>
      <c r="N502" s="539"/>
      <c r="O502" s="539"/>
      <c r="P502" s="539"/>
      <c r="Q502" s="539"/>
      <c r="R502" s="539"/>
      <c r="S502" s="539"/>
      <c r="T502" s="539"/>
      <c r="U502" s="539"/>
      <c r="V502" s="539"/>
      <c r="W502" s="539"/>
      <c r="X502" s="539"/>
      <c r="Y502" s="539"/>
      <c r="Z502" s="539"/>
      <c r="AA502" s="539"/>
      <c r="AB502" s="539"/>
      <c r="AC502" s="539"/>
      <c r="AD502" s="539"/>
      <c r="AE502" s="539"/>
      <c r="AF502" s="539"/>
      <c r="AG502" s="539"/>
      <c r="AH502" s="539"/>
      <c r="AI502" s="539"/>
      <c r="AJ502" s="539"/>
      <c r="AK502" s="539"/>
      <c r="AL502" s="539"/>
      <c r="AM502" s="539"/>
      <c r="AN502" s="539"/>
      <c r="AO502" s="539"/>
      <c r="AP502" s="539"/>
      <c r="AQ502" s="539"/>
      <c r="AR502" s="539"/>
      <c r="AS502" s="539"/>
      <c r="AT502" s="539"/>
      <c r="AU502" s="539"/>
      <c r="AV502" s="539"/>
      <c r="AW502" s="539"/>
      <c r="AX502" s="539"/>
    </row>
    <row r="503" spans="2:50" ht="14.25" customHeight="1" x14ac:dyDescent="0.3">
      <c r="B503" s="957"/>
      <c r="C503" s="540"/>
      <c r="D503" s="540"/>
      <c r="E503" s="540"/>
      <c r="F503" s="539"/>
      <c r="G503" s="539"/>
      <c r="H503" s="539"/>
      <c r="I503" s="539"/>
      <c r="J503" s="539"/>
      <c r="K503" s="539"/>
      <c r="L503" s="539"/>
      <c r="M503" s="539"/>
      <c r="N503" s="539"/>
      <c r="O503" s="539"/>
      <c r="P503" s="539"/>
      <c r="Q503" s="539"/>
      <c r="R503" s="539"/>
      <c r="S503" s="539"/>
      <c r="T503" s="539"/>
      <c r="U503" s="539"/>
      <c r="V503" s="539"/>
      <c r="W503" s="539"/>
      <c r="X503" s="539"/>
      <c r="Y503" s="539"/>
      <c r="Z503" s="539"/>
      <c r="AA503" s="539"/>
      <c r="AB503" s="539"/>
      <c r="AC503" s="539"/>
      <c r="AD503" s="539"/>
      <c r="AE503" s="539"/>
      <c r="AF503" s="539"/>
      <c r="AG503" s="539"/>
      <c r="AH503" s="539"/>
      <c r="AI503" s="539"/>
      <c r="AJ503" s="539"/>
      <c r="AK503" s="539"/>
      <c r="AL503" s="539"/>
      <c r="AM503" s="539"/>
      <c r="AN503" s="539"/>
      <c r="AO503" s="539"/>
      <c r="AP503" s="539"/>
      <c r="AQ503" s="539"/>
      <c r="AR503" s="539"/>
      <c r="AS503" s="539"/>
      <c r="AT503" s="539"/>
      <c r="AU503" s="539"/>
      <c r="AV503" s="539"/>
      <c r="AW503" s="539"/>
      <c r="AX503" s="539"/>
    </row>
    <row r="504" spans="2:50" ht="14.25" customHeight="1" x14ac:dyDescent="0.3">
      <c r="B504" s="957"/>
      <c r="C504" s="540"/>
      <c r="D504" s="540"/>
      <c r="E504" s="540"/>
      <c r="F504" s="539"/>
      <c r="G504" s="539"/>
      <c r="H504" s="539"/>
      <c r="I504" s="539"/>
      <c r="J504" s="539"/>
      <c r="K504" s="539"/>
      <c r="L504" s="539"/>
      <c r="M504" s="539"/>
      <c r="N504" s="539"/>
      <c r="O504" s="539"/>
      <c r="P504" s="539"/>
      <c r="Q504" s="539"/>
      <c r="R504" s="539"/>
      <c r="S504" s="539"/>
      <c r="T504" s="539"/>
      <c r="U504" s="539"/>
      <c r="V504" s="539"/>
      <c r="W504" s="539"/>
      <c r="X504" s="539"/>
      <c r="Y504" s="539"/>
      <c r="Z504" s="539"/>
      <c r="AA504" s="539"/>
      <c r="AB504" s="539"/>
      <c r="AC504" s="539"/>
      <c r="AD504" s="539"/>
      <c r="AE504" s="539"/>
      <c r="AF504" s="539"/>
      <c r="AG504" s="539"/>
      <c r="AH504" s="539"/>
      <c r="AI504" s="539"/>
      <c r="AJ504" s="539"/>
      <c r="AK504" s="539"/>
      <c r="AL504" s="539"/>
      <c r="AM504" s="539"/>
      <c r="AN504" s="539"/>
      <c r="AO504" s="539"/>
      <c r="AP504" s="539"/>
      <c r="AQ504" s="539"/>
      <c r="AR504" s="539"/>
      <c r="AS504" s="539"/>
      <c r="AT504" s="539"/>
      <c r="AU504" s="539"/>
      <c r="AV504" s="539"/>
      <c r="AW504" s="539"/>
      <c r="AX504" s="539"/>
    </row>
    <row r="505" spans="2:50" ht="14.25" customHeight="1" x14ac:dyDescent="0.3">
      <c r="B505" s="957"/>
      <c r="C505" s="540"/>
      <c r="D505" s="540"/>
      <c r="E505" s="540"/>
      <c r="F505" s="539"/>
      <c r="G505" s="539"/>
      <c r="H505" s="539"/>
      <c r="I505" s="539"/>
      <c r="J505" s="539"/>
      <c r="K505" s="539"/>
      <c r="L505" s="539"/>
      <c r="M505" s="539"/>
      <c r="N505" s="539"/>
      <c r="O505" s="539"/>
      <c r="P505" s="539"/>
      <c r="Q505" s="539"/>
      <c r="R505" s="539"/>
      <c r="S505" s="539"/>
      <c r="T505" s="539"/>
      <c r="U505" s="539"/>
      <c r="V505" s="539"/>
      <c r="W505" s="539"/>
      <c r="X505" s="539"/>
      <c r="Y505" s="539"/>
      <c r="Z505" s="539"/>
      <c r="AA505" s="539"/>
      <c r="AB505" s="539"/>
      <c r="AC505" s="539"/>
      <c r="AD505" s="539"/>
      <c r="AE505" s="539"/>
      <c r="AF505" s="539"/>
      <c r="AG505" s="539"/>
      <c r="AH505" s="539"/>
      <c r="AI505" s="539"/>
      <c r="AJ505" s="539"/>
      <c r="AK505" s="539"/>
      <c r="AL505" s="539"/>
      <c r="AM505" s="539"/>
      <c r="AN505" s="539"/>
      <c r="AO505" s="539"/>
      <c r="AP505" s="539"/>
      <c r="AQ505" s="539"/>
      <c r="AR505" s="539"/>
      <c r="AS505" s="539"/>
      <c r="AT505" s="539"/>
      <c r="AU505" s="539"/>
      <c r="AV505" s="539"/>
      <c r="AW505" s="539"/>
      <c r="AX505" s="539"/>
    </row>
    <row r="506" spans="2:50" ht="14.25" customHeight="1" x14ac:dyDescent="0.3">
      <c r="B506" s="957"/>
      <c r="C506" s="540"/>
      <c r="D506" s="540"/>
      <c r="E506" s="540"/>
      <c r="F506" s="539"/>
      <c r="G506" s="539"/>
      <c r="H506" s="539"/>
      <c r="I506" s="539"/>
      <c r="J506" s="539"/>
      <c r="K506" s="539"/>
      <c r="L506" s="539"/>
      <c r="M506" s="539"/>
      <c r="N506" s="539"/>
      <c r="O506" s="539"/>
      <c r="P506" s="539"/>
      <c r="Q506" s="539"/>
      <c r="R506" s="539"/>
      <c r="S506" s="539"/>
      <c r="T506" s="539"/>
      <c r="U506" s="539"/>
      <c r="V506" s="539"/>
      <c r="W506" s="539"/>
      <c r="X506" s="539"/>
      <c r="Y506" s="539"/>
      <c r="Z506" s="539"/>
      <c r="AA506" s="539"/>
      <c r="AB506" s="539"/>
      <c r="AC506" s="539"/>
      <c r="AD506" s="539"/>
      <c r="AE506" s="539"/>
      <c r="AF506" s="539"/>
      <c r="AG506" s="539"/>
      <c r="AH506" s="539"/>
      <c r="AI506" s="539"/>
      <c r="AJ506" s="539"/>
      <c r="AK506" s="539"/>
      <c r="AL506" s="539"/>
      <c r="AM506" s="539"/>
      <c r="AN506" s="539"/>
      <c r="AO506" s="539"/>
      <c r="AP506" s="539"/>
      <c r="AQ506" s="539"/>
      <c r="AR506" s="539"/>
      <c r="AS506" s="539"/>
      <c r="AT506" s="539"/>
      <c r="AU506" s="539"/>
      <c r="AV506" s="539"/>
      <c r="AW506" s="539"/>
      <c r="AX506" s="539"/>
    </row>
    <row r="507" spans="2:50" ht="14.25" customHeight="1" x14ac:dyDescent="0.3">
      <c r="B507" s="957"/>
      <c r="C507" s="540"/>
      <c r="D507" s="540"/>
      <c r="E507" s="540"/>
      <c r="F507" s="539"/>
      <c r="G507" s="539"/>
      <c r="H507" s="539"/>
      <c r="I507" s="539"/>
      <c r="J507" s="539"/>
      <c r="K507" s="539"/>
      <c r="L507" s="539"/>
      <c r="M507" s="539"/>
      <c r="N507" s="539"/>
      <c r="O507" s="539"/>
      <c r="P507" s="539"/>
      <c r="Q507" s="539"/>
      <c r="R507" s="539"/>
      <c r="S507" s="539"/>
      <c r="T507" s="539"/>
      <c r="U507" s="539"/>
      <c r="V507" s="539"/>
      <c r="W507" s="539"/>
      <c r="X507" s="539"/>
      <c r="Y507" s="539"/>
      <c r="Z507" s="539"/>
      <c r="AA507" s="539"/>
      <c r="AB507" s="539"/>
      <c r="AC507" s="539"/>
      <c r="AD507" s="539"/>
      <c r="AE507" s="539"/>
      <c r="AF507" s="539"/>
      <c r="AG507" s="539"/>
      <c r="AH507" s="539"/>
      <c r="AI507" s="539"/>
      <c r="AJ507" s="539"/>
      <c r="AK507" s="539"/>
      <c r="AL507" s="539"/>
      <c r="AM507" s="539"/>
      <c r="AN507" s="539"/>
      <c r="AO507" s="539"/>
      <c r="AP507" s="539"/>
      <c r="AQ507" s="539"/>
      <c r="AR507" s="539"/>
      <c r="AS507" s="539"/>
      <c r="AT507" s="539"/>
      <c r="AU507" s="539"/>
      <c r="AV507" s="539"/>
      <c r="AW507" s="539"/>
      <c r="AX507" s="539"/>
    </row>
    <row r="508" spans="2:50" ht="14.25" customHeight="1" x14ac:dyDescent="0.3">
      <c r="B508" s="957"/>
      <c r="C508" s="540"/>
      <c r="D508" s="540"/>
      <c r="E508" s="540"/>
      <c r="F508" s="539"/>
      <c r="G508" s="539"/>
      <c r="H508" s="539"/>
      <c r="I508" s="539"/>
      <c r="J508" s="539"/>
      <c r="K508" s="539"/>
      <c r="L508" s="539"/>
      <c r="M508" s="539"/>
      <c r="N508" s="539"/>
      <c r="O508" s="539"/>
      <c r="P508" s="539"/>
      <c r="Q508" s="539"/>
      <c r="R508" s="539"/>
      <c r="S508" s="539"/>
      <c r="T508" s="539"/>
      <c r="U508" s="539"/>
      <c r="V508" s="539"/>
      <c r="W508" s="539"/>
      <c r="X508" s="539"/>
      <c r="Y508" s="539"/>
      <c r="Z508" s="539"/>
      <c r="AA508" s="539"/>
      <c r="AB508" s="539"/>
      <c r="AC508" s="539"/>
      <c r="AD508" s="539"/>
      <c r="AE508" s="539"/>
      <c r="AF508" s="539"/>
      <c r="AG508" s="539"/>
      <c r="AH508" s="539"/>
      <c r="AI508" s="539"/>
      <c r="AJ508" s="539"/>
      <c r="AK508" s="539"/>
      <c r="AL508" s="539"/>
      <c r="AM508" s="539"/>
      <c r="AN508" s="539"/>
      <c r="AO508" s="539"/>
      <c r="AP508" s="539"/>
      <c r="AQ508" s="539"/>
      <c r="AR508" s="539"/>
      <c r="AS508" s="539"/>
      <c r="AT508" s="539"/>
      <c r="AU508" s="539"/>
      <c r="AV508" s="539"/>
      <c r="AW508" s="539"/>
      <c r="AX508" s="539"/>
    </row>
    <row r="509" spans="2:50" ht="14.25" customHeight="1" x14ac:dyDescent="0.3">
      <c r="B509" s="957"/>
      <c r="C509" s="540"/>
      <c r="D509" s="540"/>
      <c r="E509" s="540"/>
      <c r="F509" s="539"/>
      <c r="G509" s="539"/>
      <c r="H509" s="539"/>
      <c r="I509" s="539"/>
      <c r="J509" s="539"/>
      <c r="K509" s="539"/>
      <c r="L509" s="539"/>
      <c r="M509" s="539"/>
      <c r="N509" s="539"/>
      <c r="O509" s="539"/>
      <c r="P509" s="539"/>
      <c r="Q509" s="539"/>
      <c r="R509" s="539"/>
      <c r="S509" s="539"/>
      <c r="T509" s="539"/>
      <c r="U509" s="539"/>
      <c r="V509" s="539"/>
      <c r="W509" s="539"/>
      <c r="X509" s="539"/>
      <c r="Y509" s="539"/>
      <c r="Z509" s="539"/>
      <c r="AA509" s="539"/>
      <c r="AB509" s="539"/>
      <c r="AC509" s="539"/>
      <c r="AD509" s="539"/>
      <c r="AE509" s="539"/>
      <c r="AF509" s="539"/>
      <c r="AG509" s="539"/>
      <c r="AH509" s="539"/>
      <c r="AI509" s="539"/>
      <c r="AJ509" s="539"/>
      <c r="AK509" s="539"/>
      <c r="AL509" s="539"/>
      <c r="AM509" s="539"/>
      <c r="AN509" s="539"/>
      <c r="AO509" s="539"/>
      <c r="AP509" s="539"/>
      <c r="AQ509" s="539"/>
      <c r="AR509" s="539"/>
      <c r="AS509" s="539"/>
      <c r="AT509" s="539"/>
      <c r="AU509" s="539"/>
      <c r="AV509" s="539"/>
      <c r="AW509" s="539"/>
      <c r="AX509" s="539"/>
    </row>
    <row r="510" spans="2:50" ht="14.25" customHeight="1" x14ac:dyDescent="0.3">
      <c r="B510" s="957"/>
      <c r="C510" s="540"/>
      <c r="D510" s="540"/>
      <c r="E510" s="540"/>
      <c r="F510" s="539"/>
      <c r="G510" s="539"/>
      <c r="H510" s="539"/>
      <c r="I510" s="539"/>
      <c r="J510" s="539"/>
      <c r="K510" s="539"/>
      <c r="L510" s="539"/>
      <c r="M510" s="539"/>
      <c r="N510" s="539"/>
      <c r="O510" s="539"/>
      <c r="P510" s="539"/>
      <c r="Q510" s="539"/>
      <c r="R510" s="539"/>
      <c r="S510" s="539"/>
      <c r="T510" s="539"/>
      <c r="U510" s="539"/>
      <c r="V510" s="539"/>
      <c r="W510" s="539"/>
      <c r="X510" s="539"/>
      <c r="Y510" s="539"/>
      <c r="Z510" s="539"/>
      <c r="AA510" s="539"/>
      <c r="AB510" s="539"/>
      <c r="AC510" s="539"/>
      <c r="AD510" s="539"/>
      <c r="AE510" s="539"/>
      <c r="AF510" s="539"/>
      <c r="AG510" s="539"/>
      <c r="AH510" s="539"/>
      <c r="AI510" s="539"/>
      <c r="AJ510" s="539"/>
      <c r="AK510" s="539"/>
      <c r="AL510" s="539"/>
      <c r="AM510" s="539"/>
      <c r="AN510" s="539"/>
      <c r="AO510" s="539"/>
      <c r="AP510" s="539"/>
      <c r="AQ510" s="539"/>
      <c r="AR510" s="539"/>
      <c r="AS510" s="539"/>
      <c r="AT510" s="539"/>
      <c r="AU510" s="539"/>
      <c r="AV510" s="539"/>
      <c r="AW510" s="539"/>
      <c r="AX510" s="539"/>
    </row>
    <row r="511" spans="2:50" ht="14.25" customHeight="1" x14ac:dyDescent="0.3">
      <c r="B511" s="957"/>
      <c r="C511" s="540"/>
      <c r="D511" s="540"/>
      <c r="E511" s="540"/>
      <c r="F511" s="539"/>
      <c r="G511" s="539"/>
      <c r="H511" s="539"/>
      <c r="I511" s="539"/>
      <c r="J511" s="539"/>
      <c r="K511" s="539"/>
      <c r="L511" s="539"/>
      <c r="M511" s="539"/>
      <c r="N511" s="539"/>
      <c r="O511" s="539"/>
      <c r="P511" s="539"/>
      <c r="Q511" s="539"/>
      <c r="R511" s="539"/>
      <c r="S511" s="539"/>
      <c r="T511" s="539"/>
      <c r="U511" s="539"/>
      <c r="V511" s="539"/>
      <c r="W511" s="539"/>
      <c r="X511" s="539"/>
      <c r="Y511" s="539"/>
      <c r="Z511" s="539"/>
      <c r="AA511" s="539"/>
      <c r="AB511" s="539"/>
      <c r="AC511" s="539"/>
      <c r="AD511" s="539"/>
      <c r="AE511" s="539"/>
      <c r="AF511" s="539"/>
      <c r="AG511" s="539"/>
      <c r="AH511" s="539"/>
      <c r="AI511" s="539"/>
      <c r="AJ511" s="539"/>
      <c r="AK511" s="539"/>
      <c r="AL511" s="539"/>
      <c r="AM511" s="539"/>
      <c r="AN511" s="539"/>
      <c r="AO511" s="539"/>
      <c r="AP511" s="539"/>
      <c r="AQ511" s="539"/>
      <c r="AR511" s="539"/>
      <c r="AS511" s="539"/>
      <c r="AT511" s="539"/>
      <c r="AU511" s="539"/>
      <c r="AV511" s="539"/>
      <c r="AW511" s="539"/>
      <c r="AX511" s="539"/>
    </row>
    <row r="512" spans="2:50" ht="14.25" customHeight="1" x14ac:dyDescent="0.3">
      <c r="B512" s="957"/>
      <c r="C512" s="540"/>
      <c r="D512" s="540"/>
      <c r="E512" s="540"/>
      <c r="F512" s="539"/>
      <c r="G512" s="539"/>
      <c r="H512" s="539"/>
      <c r="I512" s="539"/>
      <c r="J512" s="539"/>
      <c r="K512" s="539"/>
      <c r="L512" s="539"/>
      <c r="M512" s="539"/>
      <c r="N512" s="539"/>
      <c r="O512" s="539"/>
      <c r="P512" s="539"/>
      <c r="Q512" s="539"/>
      <c r="R512" s="539"/>
      <c r="S512" s="539"/>
      <c r="T512" s="539"/>
      <c r="U512" s="539"/>
      <c r="V512" s="539"/>
      <c r="W512" s="539"/>
      <c r="X512" s="539"/>
      <c r="Y512" s="539"/>
      <c r="Z512" s="539"/>
      <c r="AA512" s="539"/>
      <c r="AB512" s="539"/>
      <c r="AC512" s="539"/>
      <c r="AD512" s="539"/>
      <c r="AE512" s="539"/>
      <c r="AF512" s="539"/>
      <c r="AG512" s="539"/>
      <c r="AH512" s="539"/>
      <c r="AI512" s="539"/>
      <c r="AJ512" s="539"/>
      <c r="AK512" s="539"/>
      <c r="AL512" s="539"/>
      <c r="AM512" s="539"/>
      <c r="AN512" s="539"/>
      <c r="AO512" s="539"/>
      <c r="AP512" s="539"/>
      <c r="AQ512" s="539"/>
      <c r="AR512" s="539"/>
      <c r="AS512" s="539"/>
      <c r="AT512" s="539"/>
      <c r="AU512" s="539"/>
      <c r="AV512" s="539"/>
      <c r="AW512" s="539"/>
      <c r="AX512" s="539"/>
    </row>
    <row r="513" spans="2:50" ht="14.25" customHeight="1" x14ac:dyDescent="0.3">
      <c r="B513" s="957"/>
      <c r="C513" s="540"/>
      <c r="D513" s="540"/>
      <c r="E513" s="540"/>
      <c r="F513" s="539"/>
      <c r="G513" s="539"/>
      <c r="H513" s="539"/>
      <c r="I513" s="539"/>
      <c r="J513" s="539"/>
      <c r="K513" s="539"/>
      <c r="L513" s="539"/>
      <c r="M513" s="539"/>
      <c r="N513" s="539"/>
      <c r="O513" s="539"/>
      <c r="P513" s="539"/>
      <c r="Q513" s="539"/>
      <c r="R513" s="539"/>
      <c r="S513" s="539"/>
      <c r="T513" s="539"/>
      <c r="U513" s="539"/>
      <c r="V513" s="539"/>
      <c r="W513" s="539"/>
      <c r="X513" s="539"/>
      <c r="Y513" s="539"/>
      <c r="Z513" s="539"/>
      <c r="AA513" s="539"/>
      <c r="AB513" s="539"/>
      <c r="AC513" s="539"/>
      <c r="AD513" s="539"/>
      <c r="AE513" s="539"/>
      <c r="AF513" s="539"/>
      <c r="AG513" s="539"/>
      <c r="AH513" s="539"/>
      <c r="AI513" s="539"/>
      <c r="AJ513" s="539"/>
      <c r="AK513" s="539"/>
      <c r="AL513" s="539"/>
      <c r="AM513" s="539"/>
      <c r="AN513" s="539"/>
      <c r="AO513" s="539"/>
      <c r="AP513" s="539"/>
      <c r="AQ513" s="539"/>
      <c r="AR513" s="539"/>
      <c r="AS513" s="539"/>
      <c r="AT513" s="539"/>
      <c r="AU513" s="539"/>
      <c r="AV513" s="539"/>
      <c r="AW513" s="539"/>
      <c r="AX513" s="539"/>
    </row>
    <row r="514" spans="2:50" ht="14.25" customHeight="1" x14ac:dyDescent="0.3">
      <c r="B514" s="957"/>
      <c r="C514" s="540"/>
      <c r="D514" s="540"/>
      <c r="E514" s="540"/>
      <c r="F514" s="539"/>
      <c r="G514" s="539"/>
      <c r="H514" s="539"/>
      <c r="I514" s="539"/>
      <c r="J514" s="539"/>
      <c r="K514" s="539"/>
      <c r="L514" s="539"/>
      <c r="M514" s="539"/>
      <c r="N514" s="539"/>
      <c r="O514" s="539"/>
      <c r="P514" s="539"/>
      <c r="Q514" s="539"/>
      <c r="R514" s="539"/>
      <c r="S514" s="539"/>
      <c r="T514" s="539"/>
      <c r="U514" s="539"/>
      <c r="V514" s="539"/>
      <c r="W514" s="539"/>
      <c r="X514" s="539"/>
      <c r="Y514" s="539"/>
      <c r="Z514" s="539"/>
      <c r="AA514" s="539"/>
      <c r="AB514" s="539"/>
      <c r="AC514" s="539"/>
      <c r="AD514" s="539"/>
      <c r="AE514" s="539"/>
      <c r="AF514" s="539"/>
      <c r="AG514" s="539"/>
      <c r="AH514" s="539"/>
      <c r="AI514" s="539"/>
      <c r="AJ514" s="539"/>
      <c r="AK514" s="539"/>
      <c r="AL514" s="539"/>
      <c r="AM514" s="539"/>
      <c r="AN514" s="539"/>
      <c r="AO514" s="539"/>
      <c r="AP514" s="539"/>
      <c r="AQ514" s="539"/>
      <c r="AR514" s="539"/>
      <c r="AS514" s="539"/>
      <c r="AT514" s="539"/>
      <c r="AU514" s="539"/>
      <c r="AV514" s="539"/>
      <c r="AW514" s="539"/>
      <c r="AX514" s="539"/>
    </row>
    <row r="515" spans="2:50" ht="14.25" customHeight="1" x14ac:dyDescent="0.3">
      <c r="B515" s="957"/>
      <c r="C515" s="540"/>
      <c r="D515" s="540"/>
      <c r="E515" s="540"/>
      <c r="F515" s="539"/>
      <c r="G515" s="539"/>
      <c r="H515" s="539"/>
      <c r="I515" s="539"/>
      <c r="J515" s="539"/>
      <c r="K515" s="539"/>
      <c r="L515" s="539"/>
      <c r="M515" s="539"/>
      <c r="N515" s="539"/>
      <c r="O515" s="539"/>
      <c r="P515" s="539"/>
      <c r="Q515" s="539"/>
      <c r="R515" s="539"/>
      <c r="S515" s="539"/>
      <c r="T515" s="539"/>
      <c r="U515" s="539"/>
      <c r="V515" s="539"/>
      <c r="W515" s="539"/>
      <c r="X515" s="539"/>
      <c r="Y515" s="539"/>
      <c r="Z515" s="539"/>
      <c r="AA515" s="539"/>
      <c r="AB515" s="539"/>
      <c r="AC515" s="539"/>
      <c r="AD515" s="539"/>
      <c r="AE515" s="539"/>
      <c r="AF515" s="539"/>
      <c r="AG515" s="539"/>
      <c r="AH515" s="539"/>
      <c r="AI515" s="539"/>
      <c r="AJ515" s="539"/>
      <c r="AK515" s="539"/>
      <c r="AL515" s="539"/>
      <c r="AM515" s="539"/>
      <c r="AN515" s="539"/>
      <c r="AO515" s="539"/>
      <c r="AP515" s="539"/>
      <c r="AQ515" s="539"/>
      <c r="AR515" s="539"/>
      <c r="AS515" s="539"/>
      <c r="AT515" s="539"/>
      <c r="AU515" s="539"/>
      <c r="AV515" s="539"/>
      <c r="AW515" s="539"/>
      <c r="AX515" s="539"/>
    </row>
    <row r="516" spans="2:50" ht="14.25" customHeight="1" x14ac:dyDescent="0.3">
      <c r="B516" s="957"/>
      <c r="C516" s="540"/>
      <c r="D516" s="540"/>
      <c r="E516" s="540"/>
      <c r="F516" s="539"/>
      <c r="G516" s="539"/>
      <c r="H516" s="539"/>
      <c r="I516" s="539"/>
      <c r="J516" s="539"/>
      <c r="K516" s="539"/>
      <c r="L516" s="539"/>
      <c r="M516" s="539"/>
      <c r="N516" s="539"/>
      <c r="O516" s="539"/>
      <c r="P516" s="539"/>
      <c r="Q516" s="539"/>
      <c r="R516" s="539"/>
      <c r="S516" s="539"/>
      <c r="T516" s="539"/>
      <c r="U516" s="539"/>
      <c r="V516" s="539"/>
      <c r="W516" s="539"/>
      <c r="X516" s="539"/>
      <c r="Y516" s="539"/>
      <c r="Z516" s="539"/>
      <c r="AA516" s="539"/>
      <c r="AB516" s="539"/>
      <c r="AC516" s="539"/>
      <c r="AD516" s="539"/>
      <c r="AE516" s="539"/>
      <c r="AF516" s="539"/>
      <c r="AG516" s="539"/>
      <c r="AH516" s="539"/>
      <c r="AI516" s="539"/>
      <c r="AJ516" s="539"/>
      <c r="AK516" s="539"/>
      <c r="AL516" s="539"/>
      <c r="AM516" s="539"/>
      <c r="AN516" s="539"/>
      <c r="AO516" s="539"/>
      <c r="AP516" s="539"/>
      <c r="AQ516" s="539"/>
      <c r="AR516" s="539"/>
      <c r="AS516" s="539"/>
      <c r="AT516" s="539"/>
      <c r="AU516" s="539"/>
      <c r="AV516" s="539"/>
      <c r="AW516" s="539"/>
      <c r="AX516" s="539"/>
    </row>
    <row r="517" spans="2:50" ht="14.25" customHeight="1" x14ac:dyDescent="0.3">
      <c r="B517" s="957"/>
      <c r="C517" s="540"/>
      <c r="D517" s="540"/>
      <c r="E517" s="540"/>
      <c r="F517" s="539"/>
      <c r="G517" s="539"/>
      <c r="H517" s="539"/>
      <c r="I517" s="539"/>
      <c r="J517" s="539"/>
      <c r="K517" s="539"/>
      <c r="L517" s="539"/>
      <c r="M517" s="539"/>
      <c r="N517" s="539"/>
      <c r="O517" s="539"/>
      <c r="P517" s="539"/>
      <c r="Q517" s="539"/>
      <c r="R517" s="539"/>
      <c r="S517" s="539"/>
      <c r="T517" s="539"/>
      <c r="U517" s="539"/>
      <c r="V517" s="539"/>
      <c r="W517" s="539"/>
      <c r="X517" s="539"/>
      <c r="Y517" s="539"/>
      <c r="Z517" s="539"/>
      <c r="AA517" s="539"/>
      <c r="AB517" s="539"/>
      <c r="AC517" s="539"/>
      <c r="AD517" s="539"/>
      <c r="AE517" s="539"/>
      <c r="AF517" s="539"/>
      <c r="AG517" s="539"/>
      <c r="AH517" s="539"/>
      <c r="AI517" s="539"/>
      <c r="AJ517" s="539"/>
      <c r="AK517" s="539"/>
      <c r="AL517" s="539"/>
      <c r="AM517" s="539"/>
      <c r="AN517" s="539"/>
      <c r="AO517" s="539"/>
      <c r="AP517" s="539"/>
      <c r="AQ517" s="539"/>
      <c r="AR517" s="539"/>
      <c r="AS517" s="539"/>
      <c r="AT517" s="539"/>
      <c r="AU517" s="539"/>
      <c r="AV517" s="539"/>
      <c r="AW517" s="539"/>
      <c r="AX517" s="539"/>
    </row>
    <row r="518" spans="2:50" ht="14.25" customHeight="1" x14ac:dyDescent="0.3">
      <c r="B518" s="957"/>
      <c r="C518" s="540"/>
      <c r="D518" s="540"/>
      <c r="E518" s="540"/>
      <c r="F518" s="539"/>
      <c r="G518" s="539"/>
      <c r="H518" s="539"/>
      <c r="I518" s="539"/>
      <c r="J518" s="539"/>
      <c r="K518" s="539"/>
      <c r="L518" s="539"/>
      <c r="M518" s="539"/>
      <c r="N518" s="539"/>
      <c r="O518" s="539"/>
      <c r="P518" s="539"/>
      <c r="Q518" s="539"/>
      <c r="R518" s="539"/>
      <c r="S518" s="539"/>
      <c r="T518" s="539"/>
      <c r="U518" s="539"/>
      <c r="V518" s="539"/>
      <c r="W518" s="539"/>
      <c r="X518" s="539"/>
      <c r="Y518" s="539"/>
      <c r="Z518" s="539"/>
      <c r="AA518" s="539"/>
      <c r="AB518" s="539"/>
      <c r="AC518" s="539"/>
      <c r="AD518" s="539"/>
      <c r="AE518" s="539"/>
      <c r="AF518" s="539"/>
      <c r="AG518" s="539"/>
      <c r="AH518" s="539"/>
      <c r="AI518" s="539"/>
      <c r="AJ518" s="539"/>
      <c r="AK518" s="539"/>
      <c r="AL518" s="539"/>
      <c r="AM518" s="539"/>
      <c r="AN518" s="539"/>
      <c r="AO518" s="539"/>
      <c r="AP518" s="539"/>
      <c r="AQ518" s="539"/>
      <c r="AR518" s="539"/>
      <c r="AS518" s="539"/>
      <c r="AT518" s="539"/>
      <c r="AU518" s="539"/>
      <c r="AV518" s="539"/>
      <c r="AW518" s="539"/>
      <c r="AX518" s="539"/>
    </row>
    <row r="519" spans="2:50" ht="14.25" customHeight="1" x14ac:dyDescent="0.3">
      <c r="B519" s="957"/>
      <c r="C519" s="540"/>
      <c r="D519" s="540"/>
      <c r="E519" s="540"/>
      <c r="F519" s="539"/>
      <c r="G519" s="539"/>
      <c r="H519" s="539"/>
      <c r="I519" s="539"/>
      <c r="J519" s="539"/>
      <c r="K519" s="539"/>
      <c r="L519" s="539"/>
      <c r="M519" s="539"/>
      <c r="N519" s="539"/>
      <c r="O519" s="539"/>
      <c r="P519" s="539"/>
      <c r="Q519" s="539"/>
      <c r="R519" s="539"/>
      <c r="S519" s="539"/>
      <c r="T519" s="539"/>
      <c r="U519" s="539"/>
      <c r="V519" s="539"/>
      <c r="W519" s="539"/>
      <c r="X519" s="539"/>
      <c r="Y519" s="539"/>
      <c r="Z519" s="539"/>
      <c r="AA519" s="539"/>
      <c r="AB519" s="539"/>
      <c r="AC519" s="539"/>
      <c r="AD519" s="539"/>
      <c r="AE519" s="539"/>
      <c r="AF519" s="539"/>
      <c r="AG519" s="539"/>
      <c r="AH519" s="539"/>
      <c r="AI519" s="539"/>
      <c r="AJ519" s="539"/>
      <c r="AK519" s="539"/>
      <c r="AL519" s="539"/>
      <c r="AM519" s="539"/>
      <c r="AN519" s="539"/>
      <c r="AO519" s="539"/>
      <c r="AP519" s="539"/>
      <c r="AQ519" s="539"/>
      <c r="AR519" s="539"/>
      <c r="AS519" s="539"/>
      <c r="AT519" s="539"/>
      <c r="AU519" s="539"/>
      <c r="AV519" s="539"/>
      <c r="AW519" s="539"/>
      <c r="AX519" s="539"/>
    </row>
    <row r="520" spans="2:50" ht="14.25" customHeight="1" x14ac:dyDescent="0.3">
      <c r="B520" s="957"/>
      <c r="C520" s="540"/>
      <c r="D520" s="540"/>
      <c r="E520" s="540"/>
      <c r="F520" s="539"/>
      <c r="G520" s="539"/>
      <c r="H520" s="539"/>
      <c r="I520" s="539"/>
      <c r="J520" s="539"/>
      <c r="K520" s="539"/>
      <c r="L520" s="539"/>
      <c r="M520" s="539"/>
      <c r="N520" s="539"/>
      <c r="O520" s="539"/>
      <c r="P520" s="539"/>
      <c r="Q520" s="539"/>
      <c r="R520" s="539"/>
      <c r="S520" s="539"/>
      <c r="T520" s="539"/>
      <c r="U520" s="539"/>
      <c r="V520" s="539"/>
      <c r="W520" s="539"/>
      <c r="X520" s="539"/>
      <c r="Y520" s="539"/>
      <c r="Z520" s="539"/>
      <c r="AA520" s="539"/>
      <c r="AB520" s="539"/>
      <c r="AC520" s="539"/>
      <c r="AD520" s="539"/>
      <c r="AE520" s="539"/>
      <c r="AF520" s="539"/>
      <c r="AG520" s="539"/>
      <c r="AH520" s="539"/>
      <c r="AI520" s="539"/>
      <c r="AJ520" s="539"/>
      <c r="AK520" s="539"/>
      <c r="AL520" s="539"/>
      <c r="AM520" s="539"/>
      <c r="AN520" s="539"/>
      <c r="AO520" s="539"/>
      <c r="AP520" s="539"/>
      <c r="AQ520" s="539"/>
      <c r="AR520" s="539"/>
      <c r="AS520" s="539"/>
      <c r="AT520" s="539"/>
      <c r="AU520" s="539"/>
      <c r="AV520" s="539"/>
      <c r="AW520" s="539"/>
      <c r="AX520" s="539"/>
    </row>
    <row r="521" spans="2:50" ht="14.25" customHeight="1" x14ac:dyDescent="0.3">
      <c r="B521" s="957"/>
      <c r="C521" s="540"/>
      <c r="D521" s="540"/>
      <c r="E521" s="540"/>
      <c r="F521" s="539"/>
      <c r="G521" s="539"/>
      <c r="H521" s="539"/>
      <c r="I521" s="539"/>
      <c r="J521" s="539"/>
      <c r="K521" s="539"/>
      <c r="L521" s="539"/>
      <c r="M521" s="539"/>
      <c r="N521" s="539"/>
      <c r="O521" s="539"/>
      <c r="P521" s="539"/>
      <c r="Q521" s="539"/>
      <c r="R521" s="539"/>
      <c r="S521" s="539"/>
      <c r="T521" s="539"/>
      <c r="U521" s="539"/>
      <c r="V521" s="539"/>
      <c r="W521" s="539"/>
      <c r="X521" s="539"/>
      <c r="Y521" s="539"/>
      <c r="Z521" s="539"/>
      <c r="AA521" s="539"/>
      <c r="AB521" s="539"/>
      <c r="AC521" s="539"/>
      <c r="AD521" s="539"/>
      <c r="AE521" s="539"/>
      <c r="AF521" s="539"/>
      <c r="AG521" s="539"/>
      <c r="AH521" s="539"/>
      <c r="AI521" s="539"/>
      <c r="AJ521" s="539"/>
      <c r="AK521" s="539"/>
      <c r="AL521" s="539"/>
      <c r="AM521" s="539"/>
      <c r="AN521" s="539"/>
      <c r="AO521" s="539"/>
      <c r="AP521" s="539"/>
      <c r="AQ521" s="539"/>
      <c r="AR521" s="539"/>
      <c r="AS521" s="539"/>
      <c r="AT521" s="539"/>
      <c r="AU521" s="539"/>
      <c r="AV521" s="539"/>
      <c r="AW521" s="539"/>
      <c r="AX521" s="539"/>
    </row>
    <row r="522" spans="2:50" ht="14.25" customHeight="1" x14ac:dyDescent="0.3">
      <c r="B522" s="957"/>
      <c r="C522" s="540"/>
      <c r="D522" s="540"/>
      <c r="E522" s="540"/>
      <c r="F522" s="539"/>
      <c r="G522" s="539"/>
      <c r="H522" s="539"/>
      <c r="I522" s="539"/>
      <c r="J522" s="539"/>
      <c r="K522" s="539"/>
      <c r="L522" s="539"/>
      <c r="M522" s="539"/>
      <c r="N522" s="539"/>
      <c r="O522" s="539"/>
      <c r="P522" s="539"/>
      <c r="Q522" s="539"/>
      <c r="R522" s="539"/>
      <c r="S522" s="539"/>
      <c r="T522" s="539"/>
      <c r="U522" s="539"/>
      <c r="V522" s="539"/>
      <c r="W522" s="539"/>
      <c r="X522" s="539"/>
      <c r="Y522" s="539"/>
      <c r="Z522" s="539"/>
      <c r="AA522" s="539"/>
      <c r="AB522" s="539"/>
      <c r="AC522" s="539"/>
      <c r="AD522" s="539"/>
      <c r="AE522" s="539"/>
      <c r="AF522" s="539"/>
      <c r="AG522" s="539"/>
      <c r="AH522" s="539"/>
      <c r="AI522" s="539"/>
      <c r="AJ522" s="539"/>
      <c r="AK522" s="539"/>
      <c r="AL522" s="539"/>
      <c r="AM522" s="539"/>
      <c r="AN522" s="539"/>
      <c r="AO522" s="539"/>
      <c r="AP522" s="539"/>
      <c r="AQ522" s="539"/>
      <c r="AR522" s="539"/>
      <c r="AS522" s="539"/>
      <c r="AT522" s="539"/>
      <c r="AU522" s="539"/>
      <c r="AV522" s="539"/>
      <c r="AW522" s="539"/>
      <c r="AX522" s="539"/>
    </row>
    <row r="523" spans="2:50" ht="14.25" customHeight="1" x14ac:dyDescent="0.3">
      <c r="B523" s="957"/>
      <c r="C523" s="540"/>
      <c r="D523" s="540"/>
      <c r="E523" s="540"/>
      <c r="F523" s="539"/>
      <c r="G523" s="539"/>
      <c r="H523" s="539"/>
      <c r="I523" s="539"/>
      <c r="J523" s="539"/>
      <c r="K523" s="539"/>
      <c r="L523" s="539"/>
      <c r="M523" s="539"/>
      <c r="N523" s="539"/>
      <c r="O523" s="539"/>
      <c r="P523" s="539"/>
      <c r="Q523" s="539"/>
      <c r="R523" s="539"/>
      <c r="S523" s="539"/>
      <c r="T523" s="539"/>
      <c r="U523" s="539"/>
      <c r="V523" s="539"/>
      <c r="W523" s="539"/>
      <c r="X523" s="539"/>
      <c r="Y523" s="539"/>
      <c r="Z523" s="539"/>
      <c r="AA523" s="539"/>
      <c r="AB523" s="539"/>
      <c r="AC523" s="539"/>
      <c r="AD523" s="539"/>
      <c r="AE523" s="539"/>
      <c r="AF523" s="539"/>
      <c r="AG523" s="539"/>
      <c r="AH523" s="539"/>
      <c r="AI523" s="539"/>
      <c r="AJ523" s="539"/>
      <c r="AK523" s="539"/>
      <c r="AL523" s="539"/>
      <c r="AM523" s="539"/>
      <c r="AN523" s="539"/>
      <c r="AO523" s="539"/>
      <c r="AP523" s="539"/>
      <c r="AQ523" s="539"/>
      <c r="AR523" s="539"/>
      <c r="AS523" s="539"/>
      <c r="AT523" s="539"/>
      <c r="AU523" s="539"/>
      <c r="AV523" s="539"/>
      <c r="AW523" s="539"/>
      <c r="AX523" s="539"/>
    </row>
    <row r="524" spans="2:50" ht="14.25" customHeight="1" x14ac:dyDescent="0.3">
      <c r="B524" s="957"/>
      <c r="C524" s="540"/>
      <c r="D524" s="540"/>
      <c r="E524" s="540"/>
      <c r="F524" s="539"/>
      <c r="G524" s="539"/>
      <c r="H524" s="539"/>
      <c r="I524" s="539"/>
      <c r="J524" s="539"/>
      <c r="K524" s="539"/>
      <c r="L524" s="539"/>
      <c r="M524" s="539"/>
      <c r="N524" s="539"/>
      <c r="O524" s="539"/>
      <c r="P524" s="539"/>
      <c r="Q524" s="539"/>
      <c r="R524" s="539"/>
      <c r="S524" s="539"/>
      <c r="T524" s="539"/>
      <c r="U524" s="539"/>
      <c r="V524" s="539"/>
      <c r="W524" s="539"/>
      <c r="X524" s="539"/>
      <c r="Y524" s="539"/>
      <c r="Z524" s="539"/>
      <c r="AA524" s="539"/>
      <c r="AB524" s="539"/>
      <c r="AC524" s="539"/>
      <c r="AD524" s="539"/>
      <c r="AE524" s="539"/>
      <c r="AF524" s="539"/>
      <c r="AG524" s="539"/>
      <c r="AH524" s="539"/>
      <c r="AI524" s="539"/>
      <c r="AJ524" s="539"/>
      <c r="AK524" s="539"/>
      <c r="AL524" s="539"/>
      <c r="AM524" s="539"/>
      <c r="AN524" s="539"/>
      <c r="AO524" s="539"/>
      <c r="AP524" s="539"/>
      <c r="AQ524" s="539"/>
      <c r="AR524" s="539"/>
      <c r="AS524" s="539"/>
      <c r="AT524" s="539"/>
      <c r="AU524" s="539"/>
      <c r="AV524" s="539"/>
      <c r="AW524" s="539"/>
      <c r="AX524" s="539"/>
    </row>
    <row r="525" spans="2:50" ht="14.25" customHeight="1" x14ac:dyDescent="0.3">
      <c r="B525" s="957"/>
      <c r="C525" s="540"/>
      <c r="D525" s="540"/>
      <c r="E525" s="540"/>
      <c r="F525" s="539"/>
      <c r="G525" s="539"/>
      <c r="H525" s="539"/>
      <c r="I525" s="539"/>
      <c r="J525" s="539"/>
      <c r="K525" s="539"/>
      <c r="L525" s="539"/>
      <c r="M525" s="539"/>
      <c r="N525" s="539"/>
      <c r="O525" s="539"/>
      <c r="P525" s="539"/>
      <c r="Q525" s="539"/>
      <c r="R525" s="539"/>
      <c r="S525" s="539"/>
      <c r="T525" s="539"/>
      <c r="U525" s="539"/>
      <c r="V525" s="539"/>
      <c r="W525" s="539"/>
      <c r="X525" s="539"/>
      <c r="Y525" s="539"/>
      <c r="Z525" s="539"/>
      <c r="AA525" s="539"/>
      <c r="AB525" s="539"/>
      <c r="AC525" s="539"/>
      <c r="AD525" s="539"/>
      <c r="AE525" s="539"/>
      <c r="AF525" s="539"/>
      <c r="AG525" s="539"/>
      <c r="AH525" s="539"/>
      <c r="AI525" s="539"/>
      <c r="AJ525" s="539"/>
      <c r="AK525" s="539"/>
      <c r="AL525" s="539"/>
      <c r="AM525" s="539"/>
      <c r="AN525" s="539"/>
      <c r="AO525" s="539"/>
      <c r="AP525" s="539"/>
      <c r="AQ525" s="539"/>
      <c r="AR525" s="539"/>
      <c r="AS525" s="539"/>
      <c r="AT525" s="539"/>
      <c r="AU525" s="539"/>
      <c r="AV525" s="539"/>
      <c r="AW525" s="539"/>
      <c r="AX525" s="539"/>
    </row>
    <row r="526" spans="2:50" ht="14.25" customHeight="1" x14ac:dyDescent="0.3">
      <c r="B526" s="957"/>
      <c r="C526" s="540"/>
      <c r="D526" s="540"/>
      <c r="E526" s="540"/>
      <c r="F526" s="539"/>
      <c r="G526" s="539"/>
      <c r="H526" s="539"/>
      <c r="I526" s="539"/>
      <c r="J526" s="539"/>
      <c r="K526" s="539"/>
      <c r="L526" s="539"/>
      <c r="M526" s="539"/>
      <c r="N526" s="539"/>
      <c r="O526" s="539"/>
      <c r="P526" s="539"/>
      <c r="Q526" s="539"/>
      <c r="R526" s="539"/>
      <c r="S526" s="539"/>
      <c r="T526" s="539"/>
      <c r="U526" s="539"/>
      <c r="V526" s="539"/>
      <c r="W526" s="539"/>
      <c r="X526" s="539"/>
      <c r="Y526" s="539"/>
      <c r="Z526" s="539"/>
      <c r="AA526" s="539"/>
      <c r="AB526" s="539"/>
      <c r="AC526" s="539"/>
      <c r="AD526" s="539"/>
      <c r="AE526" s="539"/>
      <c r="AF526" s="539"/>
      <c r="AG526" s="539"/>
      <c r="AH526" s="539"/>
      <c r="AI526" s="539"/>
      <c r="AJ526" s="539"/>
      <c r="AK526" s="539"/>
      <c r="AL526" s="539"/>
      <c r="AM526" s="539"/>
      <c r="AN526" s="539"/>
      <c r="AO526" s="539"/>
      <c r="AP526" s="539"/>
      <c r="AQ526" s="539"/>
      <c r="AR526" s="539"/>
      <c r="AS526" s="539"/>
      <c r="AT526" s="539"/>
      <c r="AU526" s="539"/>
      <c r="AV526" s="539"/>
      <c r="AW526" s="539"/>
      <c r="AX526" s="539"/>
    </row>
    <row r="527" spans="2:50" ht="14.25" customHeight="1" x14ac:dyDescent="0.3">
      <c r="B527" s="957"/>
      <c r="C527" s="540"/>
      <c r="D527" s="540"/>
      <c r="E527" s="540"/>
      <c r="F527" s="539"/>
      <c r="G527" s="539"/>
      <c r="H527" s="539"/>
      <c r="I527" s="539"/>
      <c r="J527" s="539"/>
      <c r="K527" s="539"/>
      <c r="L527" s="539"/>
      <c r="M527" s="539"/>
      <c r="N527" s="539"/>
      <c r="O527" s="539"/>
      <c r="P527" s="539"/>
      <c r="Q527" s="539"/>
      <c r="R527" s="539"/>
      <c r="S527" s="539"/>
      <c r="T527" s="539"/>
      <c r="U527" s="539"/>
      <c r="V527" s="539"/>
      <c r="W527" s="539"/>
      <c r="X527" s="539"/>
      <c r="Y527" s="539"/>
      <c r="Z527" s="539"/>
      <c r="AA527" s="539"/>
      <c r="AB527" s="539"/>
      <c r="AC527" s="539"/>
      <c r="AD527" s="539"/>
      <c r="AE527" s="539"/>
      <c r="AF527" s="539"/>
      <c r="AG527" s="539"/>
      <c r="AH527" s="539"/>
      <c r="AI527" s="539"/>
      <c r="AJ527" s="539"/>
      <c r="AK527" s="539"/>
      <c r="AL527" s="539"/>
      <c r="AM527" s="539"/>
      <c r="AN527" s="539"/>
      <c r="AO527" s="539"/>
      <c r="AP527" s="539"/>
      <c r="AQ527" s="539"/>
      <c r="AR527" s="539"/>
      <c r="AS527" s="539"/>
      <c r="AT527" s="539"/>
      <c r="AU527" s="539"/>
      <c r="AV527" s="539"/>
      <c r="AW527" s="539"/>
      <c r="AX527" s="539"/>
    </row>
    <row r="528" spans="2:50" ht="14.25" customHeight="1" x14ac:dyDescent="0.3">
      <c r="B528" s="957"/>
      <c r="C528" s="540"/>
      <c r="D528" s="540"/>
      <c r="E528" s="540"/>
      <c r="F528" s="539"/>
      <c r="G528" s="539"/>
      <c r="H528" s="539"/>
      <c r="I528" s="539"/>
      <c r="J528" s="539"/>
      <c r="K528" s="539"/>
      <c r="L528" s="539"/>
      <c r="M528" s="539"/>
      <c r="N528" s="539"/>
      <c r="O528" s="539"/>
      <c r="P528" s="539"/>
      <c r="Q528" s="539"/>
      <c r="R528" s="539"/>
      <c r="S528" s="539"/>
      <c r="T528" s="539"/>
      <c r="U528" s="539"/>
      <c r="V528" s="539"/>
      <c r="W528" s="539"/>
      <c r="X528" s="539"/>
      <c r="Y528" s="539"/>
      <c r="Z528" s="539"/>
      <c r="AA528" s="539"/>
      <c r="AB528" s="539"/>
      <c r="AC528" s="539"/>
      <c r="AD528" s="539"/>
      <c r="AE528" s="539"/>
      <c r="AF528" s="539"/>
      <c r="AG528" s="539"/>
      <c r="AH528" s="539"/>
      <c r="AI528" s="539"/>
      <c r="AJ528" s="539"/>
      <c r="AK528" s="539"/>
      <c r="AL528" s="539"/>
      <c r="AM528" s="539"/>
      <c r="AN528" s="539"/>
      <c r="AO528" s="539"/>
      <c r="AP528" s="539"/>
      <c r="AQ528" s="539"/>
      <c r="AR528" s="539"/>
      <c r="AS528" s="539"/>
      <c r="AT528" s="539"/>
      <c r="AU528" s="539"/>
      <c r="AV528" s="539"/>
      <c r="AW528" s="539"/>
      <c r="AX528" s="539"/>
    </row>
    <row r="529" spans="2:50" ht="14.25" customHeight="1" x14ac:dyDescent="0.3">
      <c r="B529" s="957"/>
      <c r="C529" s="540"/>
      <c r="D529" s="540"/>
      <c r="E529" s="540"/>
      <c r="F529" s="539"/>
      <c r="G529" s="539"/>
      <c r="H529" s="539"/>
      <c r="I529" s="539"/>
      <c r="J529" s="539"/>
      <c r="K529" s="539"/>
      <c r="L529" s="539"/>
      <c r="M529" s="539"/>
      <c r="N529" s="539"/>
      <c r="O529" s="539"/>
      <c r="P529" s="539"/>
      <c r="Q529" s="539"/>
      <c r="R529" s="539"/>
      <c r="S529" s="539"/>
      <c r="T529" s="539"/>
      <c r="U529" s="539"/>
      <c r="V529" s="539"/>
      <c r="W529" s="539"/>
      <c r="X529" s="539"/>
      <c r="Y529" s="539"/>
      <c r="Z529" s="539"/>
      <c r="AA529" s="539"/>
      <c r="AB529" s="539"/>
      <c r="AC529" s="539"/>
      <c r="AD529" s="539"/>
      <c r="AE529" s="539"/>
      <c r="AF529" s="539"/>
      <c r="AG529" s="539"/>
      <c r="AH529" s="539"/>
      <c r="AI529" s="539"/>
      <c r="AJ529" s="539"/>
      <c r="AK529" s="539"/>
      <c r="AL529" s="539"/>
      <c r="AM529" s="539"/>
      <c r="AN529" s="539"/>
      <c r="AO529" s="539"/>
      <c r="AP529" s="539"/>
      <c r="AQ529" s="539"/>
      <c r="AR529" s="539"/>
      <c r="AS529" s="539"/>
      <c r="AT529" s="539"/>
      <c r="AU529" s="539"/>
      <c r="AV529" s="539"/>
      <c r="AW529" s="539"/>
      <c r="AX529" s="539"/>
    </row>
    <row r="530" spans="2:50" ht="14.25" customHeight="1" x14ac:dyDescent="0.3">
      <c r="B530" s="957"/>
      <c r="C530" s="540"/>
      <c r="D530" s="540"/>
      <c r="E530" s="540"/>
      <c r="F530" s="539"/>
      <c r="G530" s="539"/>
      <c r="H530" s="539"/>
      <c r="I530" s="539"/>
      <c r="J530" s="539"/>
      <c r="K530" s="539"/>
      <c r="L530" s="539"/>
      <c r="M530" s="539"/>
      <c r="N530" s="539"/>
      <c r="O530" s="539"/>
      <c r="P530" s="539"/>
      <c r="Q530" s="539"/>
      <c r="R530" s="539"/>
      <c r="S530" s="539"/>
      <c r="T530" s="539"/>
      <c r="U530" s="539"/>
      <c r="V530" s="539"/>
      <c r="W530" s="539"/>
      <c r="X530" s="539"/>
      <c r="Y530" s="539"/>
      <c r="Z530" s="539"/>
      <c r="AA530" s="539"/>
      <c r="AB530" s="539"/>
      <c r="AC530" s="539"/>
      <c r="AD530" s="539"/>
      <c r="AE530" s="539"/>
      <c r="AF530" s="539"/>
      <c r="AG530" s="539"/>
      <c r="AH530" s="539"/>
      <c r="AI530" s="539"/>
      <c r="AJ530" s="539"/>
      <c r="AK530" s="539"/>
      <c r="AL530" s="539"/>
      <c r="AM530" s="539"/>
      <c r="AN530" s="539"/>
      <c r="AO530" s="539"/>
      <c r="AP530" s="539"/>
      <c r="AQ530" s="539"/>
      <c r="AR530" s="539"/>
      <c r="AS530" s="539"/>
      <c r="AT530" s="539"/>
      <c r="AU530" s="539"/>
      <c r="AV530" s="539"/>
      <c r="AW530" s="539"/>
      <c r="AX530" s="539"/>
    </row>
    <row r="531" spans="2:50" ht="14.25" customHeight="1" x14ac:dyDescent="0.3">
      <c r="B531" s="957"/>
      <c r="C531" s="540"/>
      <c r="D531" s="540"/>
      <c r="E531" s="540"/>
      <c r="F531" s="539"/>
      <c r="G531" s="539"/>
      <c r="H531" s="539"/>
      <c r="I531" s="539"/>
      <c r="J531" s="539"/>
      <c r="K531" s="539"/>
      <c r="L531" s="539"/>
      <c r="M531" s="539"/>
      <c r="N531" s="539"/>
      <c r="O531" s="539"/>
      <c r="P531" s="539"/>
      <c r="Q531" s="539"/>
      <c r="R531" s="539"/>
      <c r="S531" s="539"/>
      <c r="T531" s="539"/>
      <c r="U531" s="539"/>
      <c r="V531" s="539"/>
      <c r="W531" s="539"/>
      <c r="X531" s="539"/>
      <c r="Y531" s="539"/>
      <c r="Z531" s="539"/>
      <c r="AA531" s="539"/>
      <c r="AB531" s="539"/>
      <c r="AC531" s="539"/>
      <c r="AD531" s="539"/>
      <c r="AE531" s="539"/>
      <c r="AF531" s="539"/>
      <c r="AG531" s="539"/>
      <c r="AH531" s="539"/>
      <c r="AI531" s="539"/>
      <c r="AJ531" s="539"/>
      <c r="AK531" s="539"/>
      <c r="AL531" s="539"/>
      <c r="AM531" s="539"/>
      <c r="AN531" s="539"/>
      <c r="AO531" s="539"/>
      <c r="AP531" s="539"/>
      <c r="AQ531" s="539"/>
      <c r="AR531" s="539"/>
      <c r="AS531" s="539"/>
      <c r="AT531" s="539"/>
      <c r="AU531" s="539"/>
      <c r="AV531" s="539"/>
      <c r="AW531" s="539"/>
      <c r="AX531" s="539"/>
    </row>
    <row r="532" spans="2:50" ht="14.25" customHeight="1" x14ac:dyDescent="0.3">
      <c r="B532" s="957"/>
      <c r="C532" s="540"/>
      <c r="D532" s="540"/>
      <c r="E532" s="540"/>
      <c r="F532" s="539"/>
      <c r="G532" s="539"/>
      <c r="H532" s="539"/>
      <c r="I532" s="539"/>
      <c r="J532" s="539"/>
      <c r="K532" s="539"/>
      <c r="L532" s="539"/>
      <c r="M532" s="539"/>
      <c r="N532" s="539"/>
      <c r="O532" s="539"/>
      <c r="P532" s="539"/>
      <c r="Q532" s="539"/>
      <c r="R532" s="539"/>
      <c r="S532" s="539"/>
      <c r="T532" s="539"/>
      <c r="U532" s="539"/>
      <c r="V532" s="539"/>
      <c r="W532" s="539"/>
      <c r="X532" s="539"/>
      <c r="Y532" s="539"/>
      <c r="Z532" s="539"/>
      <c r="AA532" s="539"/>
      <c r="AB532" s="539"/>
      <c r="AC532" s="539"/>
      <c r="AD532" s="539"/>
      <c r="AE532" s="539"/>
      <c r="AF532" s="539"/>
      <c r="AG532" s="539"/>
      <c r="AH532" s="539"/>
      <c r="AI532" s="539"/>
      <c r="AJ532" s="539"/>
      <c r="AK532" s="539"/>
      <c r="AL532" s="539"/>
      <c r="AM532" s="539"/>
      <c r="AN532" s="539"/>
      <c r="AO532" s="539"/>
      <c r="AP532" s="539"/>
      <c r="AQ532" s="539"/>
      <c r="AR532" s="539"/>
      <c r="AS532" s="539"/>
      <c r="AT532" s="539"/>
      <c r="AU532" s="539"/>
      <c r="AV532" s="539"/>
      <c r="AW532" s="539"/>
      <c r="AX532" s="539"/>
    </row>
    <row r="533" spans="2:50" ht="14.25" customHeight="1" x14ac:dyDescent="0.3">
      <c r="B533" s="957"/>
      <c r="C533" s="540"/>
      <c r="D533" s="540"/>
      <c r="E533" s="540"/>
      <c r="F533" s="539"/>
      <c r="G533" s="539"/>
      <c r="H533" s="539"/>
      <c r="I533" s="539"/>
      <c r="J533" s="539"/>
      <c r="K533" s="539"/>
      <c r="L533" s="539"/>
      <c r="M533" s="539"/>
      <c r="N533" s="539"/>
      <c r="O533" s="539"/>
      <c r="P533" s="539"/>
      <c r="Q533" s="539"/>
      <c r="R533" s="539"/>
      <c r="S533" s="539"/>
      <c r="T533" s="539"/>
      <c r="U533" s="539"/>
      <c r="V533" s="539"/>
      <c r="W533" s="539"/>
      <c r="X533" s="539"/>
      <c r="Y533" s="539"/>
      <c r="Z533" s="539"/>
      <c r="AA533" s="539"/>
      <c r="AB533" s="539"/>
      <c r="AC533" s="539"/>
      <c r="AD533" s="539"/>
      <c r="AE533" s="539"/>
      <c r="AF533" s="539"/>
      <c r="AG533" s="539"/>
      <c r="AH533" s="539"/>
      <c r="AI533" s="539"/>
      <c r="AJ533" s="539"/>
      <c r="AK533" s="539"/>
      <c r="AL533" s="539"/>
      <c r="AM533" s="539"/>
      <c r="AN533" s="539"/>
      <c r="AO533" s="539"/>
      <c r="AP533" s="539"/>
      <c r="AQ533" s="539"/>
      <c r="AR533" s="539"/>
      <c r="AS533" s="539"/>
      <c r="AT533" s="539"/>
      <c r="AU533" s="539"/>
      <c r="AV533" s="539"/>
      <c r="AW533" s="539"/>
      <c r="AX533" s="539"/>
    </row>
    <row r="534" spans="2:50" ht="14.25" customHeight="1" x14ac:dyDescent="0.3">
      <c r="B534" s="957"/>
      <c r="C534" s="540"/>
      <c r="D534" s="540"/>
      <c r="E534" s="540"/>
      <c r="F534" s="539"/>
      <c r="G534" s="539"/>
      <c r="H534" s="539"/>
      <c r="I534" s="539"/>
      <c r="J534" s="539"/>
      <c r="K534" s="539"/>
      <c r="L534" s="539"/>
      <c r="M534" s="539"/>
      <c r="N534" s="539"/>
      <c r="O534" s="539"/>
      <c r="P534" s="539"/>
      <c r="Q534" s="539"/>
      <c r="R534" s="539"/>
      <c r="S534" s="539"/>
      <c r="T534" s="539"/>
      <c r="U534" s="539"/>
      <c r="V534" s="539"/>
      <c r="W534" s="539"/>
      <c r="X534" s="539"/>
      <c r="Y534" s="539"/>
      <c r="Z534" s="539"/>
      <c r="AA534" s="539"/>
      <c r="AB534" s="539"/>
      <c r="AC534" s="539"/>
      <c r="AD534" s="539"/>
      <c r="AE534" s="539"/>
      <c r="AF534" s="539"/>
      <c r="AG534" s="539"/>
      <c r="AH534" s="539"/>
      <c r="AI534" s="539"/>
      <c r="AJ534" s="539"/>
      <c r="AK534" s="539"/>
      <c r="AL534" s="539"/>
      <c r="AM534" s="539"/>
      <c r="AN534" s="539"/>
      <c r="AO534" s="539"/>
      <c r="AP534" s="539"/>
      <c r="AQ534" s="539"/>
      <c r="AR534" s="539"/>
      <c r="AS534" s="539"/>
      <c r="AT534" s="539"/>
      <c r="AU534" s="539"/>
      <c r="AV534" s="539"/>
      <c r="AW534" s="539"/>
      <c r="AX534" s="539"/>
    </row>
    <row r="535" spans="2:50" ht="14.25" customHeight="1" x14ac:dyDescent="0.3">
      <c r="B535" s="957"/>
      <c r="C535" s="540"/>
      <c r="D535" s="540"/>
      <c r="E535" s="540"/>
      <c r="F535" s="539"/>
      <c r="G535" s="539"/>
      <c r="H535" s="539"/>
      <c r="I535" s="539"/>
      <c r="J535" s="539"/>
      <c r="K535" s="539"/>
      <c r="L535" s="539"/>
      <c r="M535" s="539"/>
      <c r="N535" s="539"/>
      <c r="O535" s="539"/>
      <c r="P535" s="539"/>
      <c r="Q535" s="539"/>
      <c r="R535" s="539"/>
      <c r="S535" s="539"/>
      <c r="T535" s="539"/>
      <c r="U535" s="539"/>
      <c r="V535" s="539"/>
      <c r="W535" s="539"/>
      <c r="X535" s="539"/>
      <c r="Y535" s="539"/>
      <c r="Z535" s="539"/>
      <c r="AA535" s="539"/>
      <c r="AB535" s="539"/>
      <c r="AC535" s="539"/>
      <c r="AD535" s="539"/>
      <c r="AE535" s="539"/>
      <c r="AF535" s="539"/>
      <c r="AG535" s="539"/>
      <c r="AH535" s="539"/>
      <c r="AI535" s="539"/>
      <c r="AJ535" s="539"/>
      <c r="AK535" s="539"/>
      <c r="AL535" s="539"/>
      <c r="AM535" s="539"/>
      <c r="AN535" s="539"/>
      <c r="AO535" s="539"/>
      <c r="AP535" s="539"/>
      <c r="AQ535" s="539"/>
      <c r="AR535" s="539"/>
      <c r="AS535" s="539"/>
      <c r="AT535" s="539"/>
      <c r="AU535" s="539"/>
      <c r="AV535" s="539"/>
      <c r="AW535" s="539"/>
      <c r="AX535" s="539"/>
    </row>
    <row r="536" spans="2:50" ht="14.25" customHeight="1" x14ac:dyDescent="0.3">
      <c r="B536" s="957"/>
      <c r="C536" s="540"/>
      <c r="D536" s="540"/>
      <c r="E536" s="540"/>
      <c r="F536" s="539"/>
      <c r="G536" s="539"/>
      <c r="H536" s="539"/>
      <c r="I536" s="539"/>
      <c r="J536" s="539"/>
      <c r="K536" s="539"/>
      <c r="L536" s="539"/>
      <c r="M536" s="539"/>
      <c r="N536" s="539"/>
      <c r="O536" s="539"/>
      <c r="P536" s="539"/>
      <c r="Q536" s="539"/>
      <c r="R536" s="539"/>
      <c r="S536" s="539"/>
      <c r="T536" s="539"/>
      <c r="U536" s="539"/>
      <c r="V536" s="539"/>
      <c r="W536" s="539"/>
      <c r="X536" s="539"/>
      <c r="Y536" s="539"/>
      <c r="Z536" s="539"/>
      <c r="AA536" s="539"/>
      <c r="AB536" s="539"/>
      <c r="AC536" s="539"/>
      <c r="AD536" s="539"/>
      <c r="AE536" s="539"/>
      <c r="AF536" s="539"/>
      <c r="AG536" s="539"/>
      <c r="AH536" s="539"/>
      <c r="AI536" s="539"/>
      <c r="AJ536" s="539"/>
      <c r="AK536" s="539"/>
      <c r="AL536" s="539"/>
      <c r="AM536" s="539"/>
      <c r="AN536" s="539"/>
      <c r="AO536" s="539"/>
      <c r="AP536" s="539"/>
      <c r="AQ536" s="539"/>
      <c r="AR536" s="539"/>
      <c r="AS536" s="539"/>
      <c r="AT536" s="539"/>
      <c r="AU536" s="539"/>
      <c r="AV536" s="539"/>
      <c r="AW536" s="539"/>
      <c r="AX536" s="539"/>
    </row>
    <row r="537" spans="2:50" ht="14.25" customHeight="1" x14ac:dyDescent="0.3">
      <c r="B537" s="957"/>
      <c r="C537" s="540"/>
      <c r="D537" s="540"/>
      <c r="E537" s="540"/>
      <c r="F537" s="539"/>
      <c r="G537" s="539"/>
      <c r="H537" s="539"/>
      <c r="I537" s="539"/>
      <c r="J537" s="539"/>
      <c r="K537" s="539"/>
      <c r="L537" s="539"/>
      <c r="M537" s="539"/>
      <c r="N537" s="539"/>
      <c r="O537" s="539"/>
      <c r="P537" s="539"/>
      <c r="Q537" s="539"/>
      <c r="R537" s="539"/>
      <c r="S537" s="539"/>
      <c r="T537" s="539"/>
      <c r="U537" s="539"/>
      <c r="V537" s="539"/>
      <c r="W537" s="539"/>
      <c r="X537" s="539"/>
      <c r="Y537" s="539"/>
      <c r="Z537" s="539"/>
      <c r="AA537" s="539"/>
      <c r="AB537" s="539"/>
      <c r="AC537" s="539"/>
      <c r="AD537" s="539"/>
      <c r="AE537" s="539"/>
      <c r="AF537" s="539"/>
      <c r="AG537" s="539"/>
      <c r="AH537" s="539"/>
      <c r="AI537" s="539"/>
      <c r="AJ537" s="539"/>
      <c r="AK537" s="539"/>
      <c r="AL537" s="539"/>
      <c r="AM537" s="539"/>
      <c r="AN537" s="539"/>
      <c r="AO537" s="539"/>
      <c r="AP537" s="539"/>
      <c r="AQ537" s="539"/>
      <c r="AR537" s="539"/>
      <c r="AS537" s="539"/>
      <c r="AT537" s="539"/>
      <c r="AU537" s="539"/>
      <c r="AV537" s="539"/>
      <c r="AW537" s="539"/>
      <c r="AX537" s="539"/>
    </row>
    <row r="538" spans="2:50" ht="14.25" customHeight="1" x14ac:dyDescent="0.3">
      <c r="B538" s="957"/>
      <c r="C538" s="540"/>
      <c r="D538" s="540"/>
      <c r="E538" s="540"/>
      <c r="F538" s="539"/>
      <c r="G538" s="539"/>
      <c r="H538" s="539"/>
      <c r="I538" s="539"/>
      <c r="J538" s="539"/>
      <c r="K538" s="539"/>
      <c r="L538" s="539"/>
      <c r="M538" s="539"/>
      <c r="N538" s="539"/>
      <c r="O538" s="539"/>
      <c r="P538" s="539"/>
      <c r="Q538" s="539"/>
      <c r="R538" s="539"/>
      <c r="S538" s="539"/>
      <c r="T538" s="539"/>
      <c r="U538" s="539"/>
      <c r="V538" s="539"/>
      <c r="W538" s="539"/>
      <c r="X538" s="539"/>
      <c r="Y538" s="539"/>
      <c r="Z538" s="539"/>
      <c r="AA538" s="539"/>
      <c r="AB538" s="539"/>
      <c r="AC538" s="539"/>
      <c r="AD538" s="539"/>
      <c r="AE538" s="539"/>
      <c r="AF538" s="539"/>
      <c r="AG538" s="539"/>
      <c r="AH538" s="539"/>
      <c r="AI538" s="539"/>
      <c r="AJ538" s="539"/>
      <c r="AK538" s="539"/>
      <c r="AL538" s="539"/>
      <c r="AM538" s="539"/>
      <c r="AN538" s="539"/>
      <c r="AO538" s="539"/>
      <c r="AP538" s="539"/>
      <c r="AQ538" s="539"/>
      <c r="AR538" s="539"/>
      <c r="AS538" s="539"/>
      <c r="AT538" s="539"/>
      <c r="AU538" s="539"/>
      <c r="AV538" s="539"/>
      <c r="AW538" s="539"/>
      <c r="AX538" s="539"/>
    </row>
    <row r="539" spans="2:50" ht="14.25" customHeight="1" x14ac:dyDescent="0.3">
      <c r="B539" s="957"/>
      <c r="C539" s="540"/>
      <c r="D539" s="540"/>
      <c r="E539" s="540"/>
      <c r="F539" s="539"/>
      <c r="G539" s="539"/>
      <c r="H539" s="539"/>
      <c r="I539" s="539"/>
      <c r="J539" s="539"/>
      <c r="K539" s="539"/>
      <c r="L539" s="539"/>
      <c r="M539" s="539"/>
      <c r="N539" s="539"/>
      <c r="O539" s="539"/>
      <c r="P539" s="539"/>
      <c r="Q539" s="539"/>
      <c r="R539" s="539"/>
      <c r="S539" s="539"/>
      <c r="T539" s="539"/>
      <c r="U539" s="539"/>
      <c r="V539" s="539"/>
      <c r="W539" s="539"/>
      <c r="X539" s="539"/>
      <c r="Y539" s="539"/>
      <c r="Z539" s="539"/>
      <c r="AA539" s="539"/>
      <c r="AB539" s="539"/>
      <c r="AC539" s="539"/>
      <c r="AD539" s="539"/>
      <c r="AE539" s="539"/>
      <c r="AF539" s="539"/>
      <c r="AG539" s="539"/>
      <c r="AH539" s="539"/>
      <c r="AI539" s="539"/>
      <c r="AJ539" s="539"/>
      <c r="AK539" s="539"/>
      <c r="AL539" s="539"/>
      <c r="AM539" s="539"/>
      <c r="AN539" s="539"/>
      <c r="AO539" s="539"/>
      <c r="AP539" s="539"/>
      <c r="AQ539" s="539"/>
      <c r="AR539" s="539"/>
      <c r="AS539" s="539"/>
      <c r="AT539" s="539"/>
      <c r="AU539" s="539"/>
      <c r="AV539" s="539"/>
      <c r="AW539" s="539"/>
      <c r="AX539" s="539"/>
    </row>
    <row r="540" spans="2:50" ht="14.25" customHeight="1" x14ac:dyDescent="0.3">
      <c r="B540" s="957"/>
      <c r="C540" s="540"/>
      <c r="D540" s="540"/>
      <c r="E540" s="540"/>
      <c r="F540" s="539"/>
      <c r="G540" s="539"/>
      <c r="H540" s="539"/>
      <c r="I540" s="539"/>
      <c r="J540" s="539"/>
      <c r="K540" s="539"/>
      <c r="L540" s="539"/>
      <c r="M540" s="539"/>
      <c r="N540" s="539"/>
      <c r="O540" s="539"/>
      <c r="P540" s="539"/>
      <c r="Q540" s="539"/>
      <c r="R540" s="539"/>
      <c r="S540" s="539"/>
      <c r="T540" s="539"/>
      <c r="U540" s="539"/>
      <c r="V540" s="539"/>
      <c r="W540" s="539"/>
      <c r="X540" s="539"/>
      <c r="Y540" s="539"/>
      <c r="Z540" s="539"/>
      <c r="AA540" s="539"/>
      <c r="AB540" s="539"/>
      <c r="AC540" s="539"/>
      <c r="AD540" s="539"/>
      <c r="AE540" s="539"/>
      <c r="AF540" s="539"/>
      <c r="AG540" s="539"/>
      <c r="AH540" s="539"/>
      <c r="AI540" s="539"/>
      <c r="AJ540" s="539"/>
      <c r="AK540" s="539"/>
      <c r="AL540" s="539"/>
      <c r="AM540" s="539"/>
      <c r="AN540" s="539"/>
      <c r="AO540" s="539"/>
      <c r="AP540" s="539"/>
      <c r="AQ540" s="539"/>
      <c r="AR540" s="539"/>
      <c r="AS540" s="539"/>
      <c r="AT540" s="539"/>
      <c r="AU540" s="539"/>
      <c r="AV540" s="539"/>
      <c r="AW540" s="539"/>
      <c r="AX540" s="539"/>
    </row>
    <row r="541" spans="2:50" ht="14.25" customHeight="1" x14ac:dyDescent="0.3">
      <c r="B541" s="957"/>
      <c r="C541" s="540"/>
      <c r="D541" s="540"/>
      <c r="E541" s="540"/>
      <c r="F541" s="539"/>
      <c r="G541" s="539"/>
      <c r="H541" s="539"/>
      <c r="I541" s="539"/>
      <c r="J541" s="539"/>
      <c r="K541" s="539"/>
      <c r="L541" s="539"/>
      <c r="M541" s="539"/>
      <c r="N541" s="539"/>
      <c r="O541" s="539"/>
      <c r="P541" s="539"/>
      <c r="Q541" s="539"/>
      <c r="R541" s="539"/>
      <c r="S541" s="539"/>
      <c r="T541" s="539"/>
      <c r="U541" s="539"/>
      <c r="V541" s="539"/>
      <c r="W541" s="539"/>
      <c r="X541" s="539"/>
      <c r="Y541" s="539"/>
      <c r="Z541" s="539"/>
      <c r="AA541" s="539"/>
      <c r="AB541" s="539"/>
      <c r="AC541" s="539"/>
      <c r="AD541" s="539"/>
      <c r="AE541" s="539"/>
      <c r="AF541" s="539"/>
      <c r="AG541" s="539"/>
      <c r="AH541" s="539"/>
      <c r="AI541" s="539"/>
      <c r="AJ541" s="539"/>
      <c r="AK541" s="539"/>
      <c r="AL541" s="539"/>
      <c r="AM541" s="539"/>
      <c r="AN541" s="539"/>
      <c r="AO541" s="539"/>
      <c r="AP541" s="539"/>
      <c r="AQ541" s="539"/>
      <c r="AR541" s="539"/>
      <c r="AS541" s="539"/>
      <c r="AT541" s="539"/>
      <c r="AU541" s="539"/>
      <c r="AV541" s="539"/>
      <c r="AW541" s="539"/>
      <c r="AX541" s="539"/>
    </row>
    <row r="542" spans="2:50" ht="14.25" customHeight="1" x14ac:dyDescent="0.3">
      <c r="B542" s="957"/>
      <c r="C542" s="540"/>
      <c r="D542" s="540"/>
      <c r="E542" s="540"/>
      <c r="F542" s="539"/>
      <c r="G542" s="539"/>
      <c r="H542" s="539"/>
      <c r="I542" s="539"/>
      <c r="J542" s="539"/>
      <c r="K542" s="539"/>
      <c r="L542" s="539"/>
      <c r="M542" s="539"/>
      <c r="N542" s="539"/>
      <c r="O542" s="539"/>
      <c r="P542" s="539"/>
      <c r="Q542" s="539"/>
      <c r="R542" s="539"/>
      <c r="S542" s="539"/>
      <c r="T542" s="539"/>
      <c r="U542" s="539"/>
      <c r="V542" s="539"/>
      <c r="W542" s="539"/>
      <c r="X542" s="539"/>
      <c r="Y542" s="539"/>
      <c r="Z542" s="539"/>
      <c r="AA542" s="539"/>
      <c r="AB542" s="539"/>
      <c r="AC542" s="539"/>
      <c r="AD542" s="539"/>
      <c r="AE542" s="539"/>
      <c r="AF542" s="539"/>
      <c r="AG542" s="539"/>
      <c r="AH542" s="539"/>
      <c r="AI542" s="539"/>
      <c r="AJ542" s="539"/>
      <c r="AK542" s="539"/>
      <c r="AL542" s="539"/>
      <c r="AM542" s="539"/>
      <c r="AN542" s="539"/>
      <c r="AO542" s="539"/>
      <c r="AP542" s="539"/>
      <c r="AQ542" s="539"/>
      <c r="AR542" s="539"/>
      <c r="AS542" s="539"/>
      <c r="AT542" s="539"/>
      <c r="AU542" s="539"/>
      <c r="AV542" s="539"/>
      <c r="AW542" s="539"/>
      <c r="AX542" s="539"/>
    </row>
    <row r="543" spans="2:50" ht="14.25" customHeight="1" x14ac:dyDescent="0.3">
      <c r="B543" s="957"/>
      <c r="C543" s="540"/>
      <c r="D543" s="540"/>
      <c r="E543" s="540"/>
      <c r="F543" s="539"/>
      <c r="G543" s="539"/>
      <c r="H543" s="539"/>
      <c r="I543" s="539"/>
      <c r="J543" s="539"/>
      <c r="K543" s="539"/>
      <c r="L543" s="539"/>
      <c r="M543" s="539"/>
      <c r="N543" s="539"/>
      <c r="O543" s="539"/>
      <c r="P543" s="539"/>
      <c r="Q543" s="539"/>
      <c r="R543" s="539"/>
      <c r="S543" s="539"/>
      <c r="T543" s="539"/>
      <c r="U543" s="539"/>
      <c r="V543" s="539"/>
      <c r="W543" s="539"/>
      <c r="X543" s="539"/>
      <c r="Y543" s="539"/>
      <c r="Z543" s="539"/>
      <c r="AA543" s="539"/>
      <c r="AB543" s="539"/>
      <c r="AC543" s="539"/>
      <c r="AD543" s="539"/>
      <c r="AE543" s="539"/>
      <c r="AF543" s="539"/>
      <c r="AG543" s="539"/>
      <c r="AH543" s="539"/>
      <c r="AI543" s="539"/>
      <c r="AJ543" s="539"/>
      <c r="AK543" s="539"/>
      <c r="AL543" s="539"/>
      <c r="AM543" s="539"/>
      <c r="AN543" s="539"/>
      <c r="AO543" s="539"/>
      <c r="AP543" s="539"/>
      <c r="AQ543" s="539"/>
      <c r="AR543" s="539"/>
      <c r="AS543" s="539"/>
      <c r="AT543" s="539"/>
      <c r="AU543" s="539"/>
      <c r="AV543" s="539"/>
      <c r="AW543" s="539"/>
      <c r="AX543" s="539"/>
    </row>
    <row r="544" spans="2:50" ht="14.25" customHeight="1" x14ac:dyDescent="0.3">
      <c r="B544" s="957"/>
      <c r="C544" s="540"/>
      <c r="D544" s="540"/>
      <c r="E544" s="540"/>
      <c r="F544" s="539"/>
      <c r="G544" s="539"/>
      <c r="H544" s="539"/>
      <c r="I544" s="539"/>
      <c r="J544" s="539"/>
      <c r="K544" s="539"/>
      <c r="L544" s="539"/>
      <c r="M544" s="539"/>
      <c r="N544" s="539"/>
      <c r="O544" s="539"/>
      <c r="P544" s="539"/>
      <c r="Q544" s="539"/>
      <c r="R544" s="539"/>
      <c r="S544" s="539"/>
      <c r="T544" s="539"/>
      <c r="U544" s="539"/>
      <c r="V544" s="539"/>
      <c r="W544" s="539"/>
      <c r="X544" s="539"/>
      <c r="Y544" s="539"/>
      <c r="Z544" s="539"/>
      <c r="AA544" s="539"/>
      <c r="AB544" s="539"/>
      <c r="AC544" s="539"/>
      <c r="AD544" s="539"/>
      <c r="AE544" s="539"/>
      <c r="AF544" s="539"/>
      <c r="AG544" s="539"/>
      <c r="AH544" s="539"/>
      <c r="AI544" s="539"/>
      <c r="AJ544" s="539"/>
      <c r="AK544" s="539"/>
      <c r="AL544" s="539"/>
      <c r="AM544" s="539"/>
      <c r="AN544" s="539"/>
      <c r="AO544" s="539"/>
      <c r="AP544" s="539"/>
      <c r="AQ544" s="539"/>
      <c r="AR544" s="539"/>
      <c r="AS544" s="539"/>
      <c r="AT544" s="539"/>
      <c r="AU544" s="539"/>
      <c r="AV544" s="539"/>
      <c r="AW544" s="539"/>
      <c r="AX544" s="539"/>
    </row>
    <row r="545" spans="2:50" ht="14.25" customHeight="1" x14ac:dyDescent="0.3">
      <c r="B545" s="957"/>
      <c r="C545" s="540"/>
      <c r="D545" s="540"/>
      <c r="E545" s="540"/>
      <c r="F545" s="539"/>
      <c r="G545" s="539"/>
      <c r="H545" s="539"/>
      <c r="I545" s="539"/>
      <c r="J545" s="539"/>
      <c r="K545" s="539"/>
      <c r="L545" s="539"/>
      <c r="M545" s="539"/>
      <c r="N545" s="539"/>
      <c r="O545" s="539"/>
      <c r="P545" s="539"/>
      <c r="Q545" s="539"/>
      <c r="R545" s="539"/>
      <c r="S545" s="539"/>
      <c r="T545" s="539"/>
      <c r="U545" s="539"/>
      <c r="V545" s="539"/>
      <c r="W545" s="539"/>
      <c r="X545" s="539"/>
      <c r="Y545" s="539"/>
      <c r="Z545" s="539"/>
      <c r="AA545" s="539"/>
      <c r="AB545" s="539"/>
      <c r="AC545" s="539"/>
      <c r="AD545" s="539"/>
      <c r="AE545" s="539"/>
      <c r="AF545" s="539"/>
      <c r="AG545" s="539"/>
      <c r="AH545" s="539"/>
      <c r="AI545" s="539"/>
      <c r="AJ545" s="539"/>
      <c r="AK545" s="539"/>
      <c r="AL545" s="539"/>
      <c r="AM545" s="539"/>
      <c r="AN545" s="539"/>
      <c r="AO545" s="539"/>
      <c r="AP545" s="539"/>
      <c r="AQ545" s="539"/>
      <c r="AR545" s="539"/>
      <c r="AS545" s="539"/>
      <c r="AT545" s="539"/>
      <c r="AU545" s="539"/>
      <c r="AV545" s="539"/>
      <c r="AW545" s="539"/>
      <c r="AX545" s="539"/>
    </row>
    <row r="546" spans="2:50" ht="14.25" customHeight="1" x14ac:dyDescent="0.3">
      <c r="B546" s="957"/>
      <c r="C546" s="540"/>
      <c r="D546" s="540"/>
      <c r="E546" s="540"/>
      <c r="F546" s="539"/>
      <c r="G546" s="539"/>
      <c r="H546" s="539"/>
      <c r="I546" s="539"/>
      <c r="J546" s="539"/>
      <c r="K546" s="539"/>
      <c r="L546" s="539"/>
      <c r="M546" s="539"/>
      <c r="N546" s="539"/>
      <c r="O546" s="539"/>
      <c r="P546" s="539"/>
      <c r="Q546" s="539"/>
      <c r="R546" s="539"/>
      <c r="S546" s="539"/>
      <c r="T546" s="539"/>
      <c r="U546" s="539"/>
      <c r="V546" s="539"/>
      <c r="W546" s="539"/>
      <c r="X546" s="539"/>
      <c r="Y546" s="539"/>
      <c r="Z546" s="539"/>
      <c r="AA546" s="539"/>
      <c r="AB546" s="539"/>
      <c r="AC546" s="539"/>
      <c r="AD546" s="539"/>
      <c r="AE546" s="539"/>
      <c r="AF546" s="539"/>
      <c r="AG546" s="539"/>
      <c r="AH546" s="539"/>
      <c r="AI546" s="539"/>
      <c r="AJ546" s="539"/>
      <c r="AK546" s="539"/>
      <c r="AL546" s="539"/>
      <c r="AM546" s="539"/>
      <c r="AN546" s="539"/>
      <c r="AO546" s="539"/>
      <c r="AP546" s="539"/>
      <c r="AQ546" s="539"/>
      <c r="AR546" s="539"/>
      <c r="AS546" s="539"/>
      <c r="AT546" s="539"/>
      <c r="AU546" s="539"/>
      <c r="AV546" s="539"/>
      <c r="AW546" s="539"/>
      <c r="AX546" s="539"/>
    </row>
    <row r="547" spans="2:50" ht="14.25" customHeight="1" x14ac:dyDescent="0.3">
      <c r="B547" s="957"/>
      <c r="C547" s="540"/>
      <c r="D547" s="540"/>
      <c r="E547" s="540"/>
      <c r="F547" s="539"/>
      <c r="G547" s="539"/>
      <c r="H547" s="539"/>
      <c r="I547" s="539"/>
      <c r="J547" s="539"/>
      <c r="K547" s="539"/>
      <c r="L547" s="539"/>
      <c r="M547" s="539"/>
      <c r="N547" s="539"/>
      <c r="O547" s="539"/>
      <c r="P547" s="539"/>
      <c r="Q547" s="539"/>
      <c r="R547" s="539"/>
      <c r="S547" s="539"/>
      <c r="T547" s="539"/>
      <c r="U547" s="539"/>
      <c r="V547" s="539"/>
      <c r="W547" s="539"/>
      <c r="X547" s="539"/>
      <c r="Y547" s="539"/>
      <c r="Z547" s="539"/>
      <c r="AA547" s="539"/>
      <c r="AB547" s="539"/>
      <c r="AC547" s="539"/>
      <c r="AD547" s="539"/>
      <c r="AE547" s="539"/>
      <c r="AF547" s="539"/>
      <c r="AG547" s="539"/>
      <c r="AH547" s="539"/>
      <c r="AI547" s="539"/>
      <c r="AJ547" s="539"/>
      <c r="AK547" s="539"/>
      <c r="AL547" s="539"/>
      <c r="AM547" s="539"/>
      <c r="AN547" s="539"/>
      <c r="AO547" s="539"/>
      <c r="AP547" s="539"/>
      <c r="AQ547" s="539"/>
      <c r="AR547" s="539"/>
      <c r="AS547" s="539"/>
      <c r="AT547" s="539"/>
      <c r="AU547" s="539"/>
      <c r="AV547" s="539"/>
      <c r="AW547" s="539"/>
      <c r="AX547" s="539"/>
    </row>
    <row r="548" spans="2:50" ht="14.25" customHeight="1" x14ac:dyDescent="0.3">
      <c r="B548" s="957"/>
      <c r="C548" s="540"/>
      <c r="D548" s="540"/>
      <c r="E548" s="540"/>
      <c r="F548" s="539"/>
      <c r="G548" s="539"/>
      <c r="H548" s="539"/>
      <c r="I548" s="539"/>
      <c r="J548" s="539"/>
      <c r="K548" s="539"/>
      <c r="L548" s="539"/>
      <c r="M548" s="539"/>
      <c r="N548" s="539"/>
      <c r="O548" s="539"/>
      <c r="P548" s="539"/>
      <c r="Q548" s="539"/>
      <c r="R548" s="539"/>
      <c r="S548" s="539"/>
      <c r="T548" s="539"/>
      <c r="U548" s="539"/>
      <c r="V548" s="539"/>
      <c r="W548" s="539"/>
      <c r="X548" s="539"/>
      <c r="Y548" s="539"/>
      <c r="Z548" s="539"/>
      <c r="AA548" s="539"/>
      <c r="AB548" s="539"/>
      <c r="AC548" s="539"/>
      <c r="AD548" s="539"/>
      <c r="AE548" s="539"/>
      <c r="AF548" s="539"/>
      <c r="AG548" s="539"/>
      <c r="AH548" s="539"/>
      <c r="AI548" s="539"/>
      <c r="AJ548" s="539"/>
      <c r="AK548" s="539"/>
      <c r="AL548" s="539"/>
      <c r="AM548" s="539"/>
      <c r="AN548" s="539"/>
      <c r="AO548" s="539"/>
      <c r="AP548" s="539"/>
      <c r="AQ548" s="539"/>
      <c r="AR548" s="539"/>
      <c r="AS548" s="539"/>
      <c r="AT548" s="539"/>
      <c r="AU548" s="539"/>
      <c r="AV548" s="539"/>
      <c r="AW548" s="539"/>
      <c r="AX548" s="539"/>
    </row>
    <row r="549" spans="2:50" ht="14.25" customHeight="1" x14ac:dyDescent="0.3">
      <c r="B549" s="957"/>
      <c r="C549" s="540"/>
      <c r="D549" s="540"/>
      <c r="E549" s="540"/>
      <c r="F549" s="539"/>
      <c r="G549" s="539"/>
      <c r="H549" s="539"/>
      <c r="I549" s="539"/>
      <c r="J549" s="539"/>
      <c r="K549" s="539"/>
      <c r="L549" s="539"/>
      <c r="M549" s="539"/>
      <c r="N549" s="539"/>
      <c r="O549" s="539"/>
      <c r="P549" s="539"/>
      <c r="Q549" s="539"/>
      <c r="R549" s="539"/>
      <c r="S549" s="539"/>
      <c r="T549" s="539"/>
      <c r="U549" s="539"/>
      <c r="V549" s="539"/>
      <c r="W549" s="539"/>
      <c r="X549" s="539"/>
      <c r="Y549" s="539"/>
      <c r="Z549" s="539"/>
      <c r="AA549" s="539"/>
      <c r="AB549" s="539"/>
      <c r="AC549" s="539"/>
      <c r="AD549" s="539"/>
      <c r="AE549" s="539"/>
      <c r="AF549" s="539"/>
      <c r="AG549" s="539"/>
      <c r="AH549" s="539"/>
      <c r="AI549" s="539"/>
      <c r="AJ549" s="539"/>
      <c r="AK549" s="539"/>
      <c r="AL549" s="539"/>
      <c r="AM549" s="539"/>
      <c r="AN549" s="539"/>
      <c r="AO549" s="539"/>
      <c r="AP549" s="539"/>
      <c r="AQ549" s="539"/>
      <c r="AR549" s="539"/>
      <c r="AS549" s="539"/>
      <c r="AT549" s="539"/>
      <c r="AU549" s="539"/>
      <c r="AV549" s="539"/>
      <c r="AW549" s="539"/>
      <c r="AX549" s="539"/>
    </row>
    <row r="550" spans="2:50" ht="14.25" customHeight="1" x14ac:dyDescent="0.3">
      <c r="B550" s="957"/>
      <c r="C550" s="540"/>
      <c r="D550" s="540"/>
      <c r="E550" s="540"/>
      <c r="F550" s="539"/>
      <c r="G550" s="539"/>
      <c r="H550" s="539"/>
      <c r="I550" s="539"/>
      <c r="J550" s="539"/>
      <c r="K550" s="539"/>
      <c r="L550" s="539"/>
      <c r="M550" s="539"/>
      <c r="N550" s="539"/>
      <c r="O550" s="539"/>
      <c r="P550" s="539"/>
      <c r="Q550" s="539"/>
      <c r="R550" s="539"/>
      <c r="S550" s="539"/>
      <c r="T550" s="539"/>
      <c r="U550" s="539"/>
      <c r="V550" s="539"/>
      <c r="W550" s="539"/>
      <c r="X550" s="539"/>
      <c r="Y550" s="539"/>
      <c r="Z550" s="539"/>
      <c r="AA550" s="539"/>
      <c r="AB550" s="539"/>
      <c r="AC550" s="539"/>
      <c r="AD550" s="539"/>
      <c r="AE550" s="539"/>
      <c r="AF550" s="539"/>
      <c r="AG550" s="539"/>
      <c r="AH550" s="539"/>
      <c r="AI550" s="539"/>
      <c r="AJ550" s="539"/>
      <c r="AK550" s="539"/>
      <c r="AL550" s="539"/>
      <c r="AM550" s="539"/>
      <c r="AN550" s="539"/>
      <c r="AO550" s="539"/>
      <c r="AP550" s="539"/>
      <c r="AQ550" s="539"/>
      <c r="AR550" s="539"/>
      <c r="AS550" s="539"/>
      <c r="AT550" s="539"/>
      <c r="AU550" s="539"/>
      <c r="AV550" s="539"/>
      <c r="AW550" s="539"/>
      <c r="AX550" s="539"/>
    </row>
    <row r="551" spans="2:50" ht="14.25" customHeight="1" x14ac:dyDescent="0.3">
      <c r="B551" s="957"/>
      <c r="C551" s="540"/>
      <c r="D551" s="540"/>
      <c r="E551" s="540"/>
      <c r="F551" s="539"/>
      <c r="G551" s="539"/>
      <c r="H551" s="539"/>
      <c r="I551" s="539"/>
      <c r="J551" s="539"/>
      <c r="K551" s="539"/>
      <c r="L551" s="539"/>
      <c r="M551" s="539"/>
      <c r="N551" s="539"/>
      <c r="O551" s="539"/>
      <c r="P551" s="539"/>
      <c r="Q551" s="539"/>
      <c r="R551" s="539"/>
      <c r="S551" s="539"/>
      <c r="T551" s="539"/>
      <c r="U551" s="539"/>
      <c r="V551" s="539"/>
      <c r="W551" s="539"/>
      <c r="X551" s="539"/>
      <c r="Y551" s="539"/>
      <c r="Z551" s="539"/>
      <c r="AA551" s="539"/>
      <c r="AB551" s="539"/>
      <c r="AC551" s="539"/>
      <c r="AD551" s="539"/>
      <c r="AE551" s="539"/>
      <c r="AF551" s="539"/>
      <c r="AG551" s="539"/>
      <c r="AH551" s="539"/>
      <c r="AI551" s="539"/>
      <c r="AJ551" s="539"/>
      <c r="AK551" s="539"/>
      <c r="AL551" s="539"/>
      <c r="AM551" s="539"/>
      <c r="AN551" s="539"/>
      <c r="AO551" s="539"/>
      <c r="AP551" s="539"/>
      <c r="AQ551" s="539"/>
      <c r="AR551" s="539"/>
      <c r="AS551" s="539"/>
      <c r="AT551" s="539"/>
      <c r="AU551" s="539"/>
      <c r="AV551" s="539"/>
      <c r="AW551" s="539"/>
      <c r="AX551" s="539"/>
    </row>
    <row r="552" spans="2:50" ht="14.25" customHeight="1" x14ac:dyDescent="0.3">
      <c r="B552" s="957"/>
      <c r="C552" s="540"/>
      <c r="D552" s="540"/>
      <c r="E552" s="540"/>
      <c r="F552" s="539"/>
      <c r="G552" s="539"/>
      <c r="H552" s="539"/>
      <c r="I552" s="539"/>
      <c r="J552" s="539"/>
      <c r="K552" s="539"/>
      <c r="L552" s="539"/>
      <c r="M552" s="539"/>
      <c r="N552" s="539"/>
      <c r="O552" s="539"/>
      <c r="P552" s="539"/>
      <c r="Q552" s="539"/>
      <c r="R552" s="539"/>
      <c r="S552" s="539"/>
      <c r="T552" s="539"/>
      <c r="U552" s="539"/>
      <c r="V552" s="539"/>
      <c r="W552" s="539"/>
      <c r="X552" s="539"/>
      <c r="Y552" s="539"/>
      <c r="Z552" s="539"/>
      <c r="AA552" s="539"/>
      <c r="AB552" s="539"/>
      <c r="AC552" s="539"/>
      <c r="AD552" s="539"/>
      <c r="AE552" s="539"/>
      <c r="AF552" s="539"/>
      <c r="AG552" s="539"/>
      <c r="AH552" s="539"/>
      <c r="AI552" s="539"/>
      <c r="AJ552" s="539"/>
      <c r="AK552" s="539"/>
      <c r="AL552" s="539"/>
      <c r="AM552" s="539"/>
      <c r="AN552" s="539"/>
      <c r="AO552" s="539"/>
      <c r="AP552" s="539"/>
      <c r="AQ552" s="539"/>
      <c r="AR552" s="539"/>
      <c r="AS552" s="539"/>
      <c r="AT552" s="539"/>
      <c r="AU552" s="539"/>
      <c r="AV552" s="539"/>
      <c r="AW552" s="539"/>
      <c r="AX552" s="539"/>
    </row>
    <row r="553" spans="2:50" ht="14.25" customHeight="1" x14ac:dyDescent="0.3">
      <c r="B553" s="957"/>
      <c r="C553" s="540"/>
      <c r="D553" s="540"/>
      <c r="E553" s="540"/>
      <c r="F553" s="539"/>
      <c r="G553" s="539"/>
      <c r="H553" s="539"/>
      <c r="I553" s="539"/>
      <c r="J553" s="539"/>
      <c r="K553" s="539"/>
      <c r="L553" s="539"/>
      <c r="M553" s="539"/>
      <c r="N553" s="539"/>
      <c r="O553" s="539"/>
      <c r="P553" s="539"/>
      <c r="Q553" s="539"/>
      <c r="R553" s="539"/>
      <c r="S553" s="539"/>
      <c r="T553" s="539"/>
      <c r="U553" s="539"/>
      <c r="V553" s="539"/>
      <c r="W553" s="539"/>
      <c r="X553" s="539"/>
      <c r="Y553" s="539"/>
      <c r="Z553" s="539"/>
      <c r="AA553" s="539"/>
      <c r="AB553" s="539"/>
      <c r="AC553" s="539"/>
      <c r="AD553" s="539"/>
      <c r="AE553" s="539"/>
      <c r="AF553" s="539"/>
      <c r="AG553" s="539"/>
      <c r="AH553" s="539"/>
      <c r="AI553" s="539"/>
      <c r="AJ553" s="539"/>
      <c r="AK553" s="539"/>
      <c r="AL553" s="539"/>
      <c r="AM553" s="539"/>
      <c r="AN553" s="539"/>
      <c r="AO553" s="539"/>
      <c r="AP553" s="539"/>
      <c r="AQ553" s="539"/>
      <c r="AR553" s="539"/>
      <c r="AS553" s="539"/>
      <c r="AT553" s="539"/>
      <c r="AU553" s="539"/>
      <c r="AV553" s="539"/>
      <c r="AW553" s="539"/>
      <c r="AX553" s="539"/>
    </row>
    <row r="554" spans="2:50" ht="14.25" customHeight="1" x14ac:dyDescent="0.3">
      <c r="B554" s="957"/>
      <c r="C554" s="540"/>
      <c r="D554" s="540"/>
      <c r="E554" s="540"/>
      <c r="F554" s="539"/>
      <c r="G554" s="539"/>
      <c r="H554" s="539"/>
      <c r="I554" s="539"/>
      <c r="J554" s="539"/>
      <c r="K554" s="539"/>
      <c r="L554" s="539"/>
      <c r="M554" s="539"/>
      <c r="N554" s="539"/>
      <c r="O554" s="539"/>
      <c r="P554" s="539"/>
      <c r="Q554" s="539"/>
      <c r="R554" s="539"/>
      <c r="S554" s="539"/>
      <c r="T554" s="539"/>
      <c r="U554" s="539"/>
      <c r="V554" s="539"/>
      <c r="W554" s="539"/>
      <c r="X554" s="539"/>
      <c r="Y554" s="539"/>
      <c r="Z554" s="539"/>
      <c r="AA554" s="539"/>
      <c r="AB554" s="539"/>
      <c r="AC554" s="539"/>
      <c r="AD554" s="539"/>
      <c r="AE554" s="539"/>
      <c r="AF554" s="539"/>
      <c r="AG554" s="539"/>
      <c r="AH554" s="539"/>
      <c r="AI554" s="539"/>
      <c r="AJ554" s="539"/>
      <c r="AK554" s="539"/>
      <c r="AL554" s="539"/>
      <c r="AM554" s="539"/>
      <c r="AN554" s="539"/>
      <c r="AO554" s="539"/>
      <c r="AP554" s="539"/>
      <c r="AQ554" s="539"/>
      <c r="AR554" s="539"/>
      <c r="AS554" s="539"/>
      <c r="AT554" s="539"/>
      <c r="AU554" s="539"/>
      <c r="AV554" s="539"/>
      <c r="AW554" s="539"/>
      <c r="AX554" s="539"/>
    </row>
    <row r="555" spans="2:50" ht="14.25" customHeight="1" x14ac:dyDescent="0.3">
      <c r="B555" s="957"/>
      <c r="C555" s="540"/>
      <c r="D555" s="540"/>
      <c r="E555" s="540"/>
      <c r="F555" s="539"/>
      <c r="G555" s="539"/>
      <c r="H555" s="539"/>
      <c r="I555" s="539"/>
      <c r="J555" s="539"/>
      <c r="K555" s="539"/>
      <c r="L555" s="539"/>
      <c r="M555" s="539"/>
      <c r="N555" s="539"/>
      <c r="O555" s="539"/>
      <c r="P555" s="539"/>
      <c r="Q555" s="539"/>
      <c r="R555" s="539"/>
      <c r="S555" s="539"/>
      <c r="T555" s="539"/>
      <c r="U555" s="539"/>
      <c r="V555" s="539"/>
      <c r="W555" s="539"/>
      <c r="X555" s="539"/>
      <c r="Y555" s="539"/>
      <c r="Z555" s="539"/>
      <c r="AA555" s="539"/>
      <c r="AB555" s="539"/>
      <c r="AC555" s="539"/>
      <c r="AD555" s="539"/>
      <c r="AE555" s="539"/>
      <c r="AF555" s="539"/>
      <c r="AG555" s="539"/>
      <c r="AH555" s="539"/>
      <c r="AI555" s="539"/>
      <c r="AJ555" s="539"/>
      <c r="AK555" s="539"/>
      <c r="AL555" s="539"/>
      <c r="AM555" s="539"/>
      <c r="AN555" s="539"/>
      <c r="AO555" s="539"/>
      <c r="AP555" s="539"/>
      <c r="AQ555" s="539"/>
      <c r="AR555" s="539"/>
      <c r="AS555" s="539"/>
      <c r="AT555" s="539"/>
      <c r="AU555" s="539"/>
      <c r="AV555" s="539"/>
      <c r="AW555" s="539"/>
      <c r="AX555" s="539"/>
    </row>
    <row r="556" spans="2:50" ht="14.25" customHeight="1" x14ac:dyDescent="0.3">
      <c r="B556" s="957"/>
      <c r="C556" s="540"/>
      <c r="D556" s="540"/>
      <c r="E556" s="540"/>
      <c r="F556" s="539"/>
      <c r="G556" s="539"/>
      <c r="H556" s="539"/>
      <c r="I556" s="539"/>
      <c r="J556" s="539"/>
      <c r="K556" s="539"/>
      <c r="L556" s="539"/>
      <c r="M556" s="539"/>
      <c r="N556" s="539"/>
      <c r="O556" s="539"/>
      <c r="P556" s="539"/>
      <c r="Q556" s="539"/>
      <c r="R556" s="539"/>
      <c r="S556" s="539"/>
      <c r="T556" s="539"/>
      <c r="U556" s="539"/>
      <c r="V556" s="539"/>
      <c r="W556" s="539"/>
      <c r="X556" s="539"/>
      <c r="Y556" s="539"/>
      <c r="Z556" s="539"/>
      <c r="AA556" s="539"/>
      <c r="AB556" s="539"/>
      <c r="AC556" s="539"/>
      <c r="AD556" s="539"/>
      <c r="AE556" s="539"/>
      <c r="AF556" s="539"/>
      <c r="AG556" s="539"/>
      <c r="AH556" s="539"/>
      <c r="AI556" s="539"/>
      <c r="AJ556" s="539"/>
      <c r="AK556" s="539"/>
      <c r="AL556" s="539"/>
      <c r="AM556" s="539"/>
      <c r="AN556" s="539"/>
      <c r="AO556" s="539"/>
      <c r="AP556" s="539"/>
      <c r="AQ556" s="539"/>
      <c r="AR556" s="539"/>
      <c r="AS556" s="539"/>
      <c r="AT556" s="539"/>
      <c r="AU556" s="539"/>
      <c r="AV556" s="539"/>
      <c r="AW556" s="539"/>
      <c r="AX556" s="539"/>
    </row>
    <row r="557" spans="2:50" ht="14.25" customHeight="1" x14ac:dyDescent="0.3">
      <c r="B557" s="957"/>
      <c r="C557" s="540"/>
      <c r="D557" s="540"/>
      <c r="E557" s="540"/>
      <c r="F557" s="539"/>
      <c r="G557" s="539"/>
      <c r="H557" s="539"/>
      <c r="I557" s="539"/>
      <c r="J557" s="539"/>
      <c r="K557" s="539"/>
      <c r="L557" s="539"/>
      <c r="M557" s="539"/>
      <c r="N557" s="539"/>
      <c r="O557" s="539"/>
      <c r="P557" s="539"/>
      <c r="Q557" s="539"/>
      <c r="R557" s="539"/>
      <c r="S557" s="539"/>
      <c r="T557" s="539"/>
      <c r="U557" s="539"/>
      <c r="V557" s="539"/>
      <c r="W557" s="539"/>
      <c r="X557" s="539"/>
      <c r="Y557" s="539"/>
      <c r="Z557" s="539"/>
      <c r="AA557" s="539"/>
      <c r="AB557" s="539"/>
      <c r="AC557" s="539"/>
      <c r="AD557" s="539"/>
      <c r="AE557" s="539"/>
      <c r="AF557" s="539"/>
      <c r="AG557" s="539"/>
      <c r="AH557" s="539"/>
      <c r="AI557" s="539"/>
      <c r="AJ557" s="539"/>
      <c r="AK557" s="539"/>
      <c r="AL557" s="539"/>
      <c r="AM557" s="539"/>
      <c r="AN557" s="539"/>
      <c r="AO557" s="539"/>
      <c r="AP557" s="539"/>
      <c r="AQ557" s="539"/>
      <c r="AR557" s="539"/>
      <c r="AS557" s="539"/>
      <c r="AT557" s="539"/>
      <c r="AU557" s="539"/>
      <c r="AV557" s="539"/>
      <c r="AW557" s="539"/>
      <c r="AX557" s="539"/>
    </row>
    <row r="558" spans="2:50" ht="14.25" customHeight="1" x14ac:dyDescent="0.3">
      <c r="B558" s="957"/>
      <c r="C558" s="540"/>
      <c r="D558" s="540"/>
      <c r="E558" s="540"/>
      <c r="F558" s="539"/>
      <c r="G558" s="539"/>
      <c r="H558" s="539"/>
      <c r="I558" s="539"/>
      <c r="J558" s="539"/>
      <c r="K558" s="539"/>
      <c r="L558" s="539"/>
      <c r="M558" s="539"/>
      <c r="N558" s="539"/>
      <c r="O558" s="539"/>
      <c r="P558" s="539"/>
      <c r="Q558" s="539"/>
      <c r="R558" s="539"/>
      <c r="S558" s="539"/>
      <c r="T558" s="539"/>
      <c r="U558" s="539"/>
      <c r="V558" s="539"/>
      <c r="W558" s="539"/>
      <c r="X558" s="539"/>
      <c r="Y558" s="539"/>
      <c r="Z558" s="539"/>
      <c r="AA558" s="539"/>
      <c r="AB558" s="539"/>
      <c r="AC558" s="539"/>
      <c r="AD558" s="539"/>
      <c r="AE558" s="539"/>
      <c r="AF558" s="539"/>
      <c r="AG558" s="539"/>
      <c r="AH558" s="539"/>
      <c r="AI558" s="539"/>
      <c r="AJ558" s="539"/>
      <c r="AK558" s="539"/>
      <c r="AL558" s="539"/>
      <c r="AM558" s="539"/>
      <c r="AN558" s="539"/>
      <c r="AO558" s="539"/>
      <c r="AP558" s="539"/>
      <c r="AQ558" s="539"/>
      <c r="AR558" s="539"/>
      <c r="AS558" s="539"/>
      <c r="AT558" s="539"/>
      <c r="AU558" s="539"/>
      <c r="AV558" s="539"/>
      <c r="AW558" s="539"/>
      <c r="AX558" s="539"/>
    </row>
    <row r="559" spans="2:50" ht="14.25" customHeight="1" x14ac:dyDescent="0.3">
      <c r="B559" s="957"/>
      <c r="C559" s="540"/>
      <c r="D559" s="540"/>
      <c r="E559" s="540"/>
      <c r="F559" s="539"/>
      <c r="G559" s="539"/>
      <c r="H559" s="539"/>
      <c r="I559" s="539"/>
      <c r="J559" s="539"/>
      <c r="K559" s="539"/>
      <c r="L559" s="539"/>
      <c r="M559" s="539"/>
      <c r="N559" s="539"/>
      <c r="O559" s="539"/>
      <c r="P559" s="539"/>
      <c r="Q559" s="539"/>
      <c r="R559" s="539"/>
      <c r="S559" s="539"/>
      <c r="T559" s="539"/>
      <c r="U559" s="539"/>
      <c r="V559" s="539"/>
      <c r="W559" s="539"/>
      <c r="X559" s="539"/>
      <c r="Y559" s="539"/>
      <c r="Z559" s="539"/>
      <c r="AA559" s="539"/>
      <c r="AB559" s="539"/>
      <c r="AC559" s="539"/>
      <c r="AD559" s="539"/>
      <c r="AE559" s="539"/>
      <c r="AF559" s="539"/>
      <c r="AG559" s="539"/>
      <c r="AH559" s="539"/>
      <c r="AI559" s="539"/>
      <c r="AJ559" s="539"/>
      <c r="AK559" s="539"/>
      <c r="AL559" s="539"/>
      <c r="AM559" s="539"/>
      <c r="AN559" s="539"/>
      <c r="AO559" s="539"/>
      <c r="AP559" s="539"/>
      <c r="AQ559" s="539"/>
      <c r="AR559" s="539"/>
      <c r="AS559" s="539"/>
      <c r="AT559" s="539"/>
      <c r="AU559" s="539"/>
      <c r="AV559" s="539"/>
      <c r="AW559" s="539"/>
      <c r="AX559" s="539"/>
    </row>
    <row r="560" spans="2:50" ht="14.25" customHeight="1" x14ac:dyDescent="0.3">
      <c r="B560" s="957"/>
      <c r="C560" s="540"/>
      <c r="D560" s="540"/>
      <c r="E560" s="540"/>
      <c r="F560" s="539"/>
      <c r="G560" s="539"/>
      <c r="H560" s="539"/>
      <c r="I560" s="539"/>
      <c r="J560" s="539"/>
      <c r="K560" s="539"/>
      <c r="L560" s="539"/>
      <c r="M560" s="539"/>
      <c r="N560" s="539"/>
      <c r="O560" s="539"/>
      <c r="P560" s="539"/>
      <c r="Q560" s="539"/>
      <c r="R560" s="539"/>
      <c r="S560" s="539"/>
      <c r="T560" s="539"/>
      <c r="U560" s="539"/>
      <c r="V560" s="539"/>
      <c r="W560" s="539"/>
      <c r="X560" s="539"/>
      <c r="Y560" s="539"/>
      <c r="Z560" s="539"/>
      <c r="AA560" s="539"/>
      <c r="AB560" s="539"/>
      <c r="AC560" s="539"/>
      <c r="AD560" s="539"/>
      <c r="AE560" s="539"/>
      <c r="AF560" s="539"/>
      <c r="AG560" s="539"/>
      <c r="AH560" s="539"/>
      <c r="AI560" s="539"/>
      <c r="AJ560" s="539"/>
      <c r="AK560" s="539"/>
      <c r="AL560" s="539"/>
      <c r="AM560" s="539"/>
      <c r="AN560" s="539"/>
      <c r="AO560" s="539"/>
      <c r="AP560" s="539"/>
      <c r="AQ560" s="539"/>
      <c r="AR560" s="539"/>
      <c r="AS560" s="539"/>
      <c r="AT560" s="539"/>
      <c r="AU560" s="539"/>
      <c r="AV560" s="539"/>
      <c r="AW560" s="539"/>
      <c r="AX560" s="539"/>
    </row>
    <row r="561" spans="2:50" ht="14.25" customHeight="1" x14ac:dyDescent="0.3">
      <c r="B561" s="957"/>
      <c r="C561" s="540"/>
      <c r="D561" s="540"/>
      <c r="E561" s="540"/>
      <c r="F561" s="539"/>
      <c r="G561" s="539"/>
      <c r="H561" s="539"/>
      <c r="I561" s="539"/>
      <c r="J561" s="539"/>
      <c r="K561" s="539"/>
      <c r="L561" s="539"/>
      <c r="M561" s="539"/>
      <c r="N561" s="539"/>
      <c r="O561" s="539"/>
      <c r="P561" s="539"/>
      <c r="Q561" s="539"/>
      <c r="R561" s="539"/>
      <c r="S561" s="539"/>
      <c r="T561" s="539"/>
      <c r="U561" s="539"/>
      <c r="V561" s="539"/>
      <c r="W561" s="539"/>
      <c r="X561" s="539"/>
      <c r="Y561" s="539"/>
      <c r="Z561" s="539"/>
      <c r="AA561" s="539"/>
      <c r="AB561" s="539"/>
      <c r="AC561" s="539"/>
      <c r="AD561" s="539"/>
      <c r="AE561" s="539"/>
      <c r="AF561" s="539"/>
      <c r="AG561" s="539"/>
      <c r="AH561" s="539"/>
      <c r="AI561" s="539"/>
      <c r="AJ561" s="539"/>
      <c r="AK561" s="539"/>
      <c r="AL561" s="539"/>
      <c r="AM561" s="539"/>
      <c r="AN561" s="539"/>
      <c r="AO561" s="539"/>
      <c r="AP561" s="539"/>
      <c r="AQ561" s="539"/>
      <c r="AR561" s="539"/>
      <c r="AS561" s="539"/>
      <c r="AT561" s="539"/>
      <c r="AU561" s="539"/>
      <c r="AV561" s="539"/>
      <c r="AW561" s="539"/>
      <c r="AX561" s="539"/>
    </row>
    <row r="562" spans="2:50" ht="14.25" customHeight="1" x14ac:dyDescent="0.3">
      <c r="B562" s="957"/>
      <c r="C562" s="540"/>
      <c r="D562" s="540"/>
      <c r="E562" s="540"/>
      <c r="F562" s="539"/>
      <c r="G562" s="539"/>
      <c r="H562" s="539"/>
      <c r="I562" s="539"/>
      <c r="J562" s="539"/>
      <c r="K562" s="539"/>
      <c r="L562" s="539"/>
      <c r="M562" s="539"/>
      <c r="N562" s="539"/>
      <c r="O562" s="539"/>
      <c r="P562" s="539"/>
      <c r="Q562" s="539"/>
      <c r="R562" s="539"/>
      <c r="S562" s="539"/>
      <c r="T562" s="539"/>
      <c r="U562" s="539"/>
      <c r="V562" s="539"/>
      <c r="W562" s="539"/>
      <c r="X562" s="539"/>
      <c r="Y562" s="539"/>
      <c r="Z562" s="539"/>
      <c r="AA562" s="539"/>
      <c r="AB562" s="539"/>
      <c r="AC562" s="539"/>
      <c r="AD562" s="539"/>
      <c r="AE562" s="539"/>
      <c r="AF562" s="539"/>
      <c r="AG562" s="539"/>
      <c r="AH562" s="539"/>
      <c r="AI562" s="539"/>
      <c r="AJ562" s="539"/>
      <c r="AK562" s="539"/>
      <c r="AL562" s="539"/>
      <c r="AM562" s="539"/>
      <c r="AN562" s="539"/>
      <c r="AO562" s="539"/>
      <c r="AP562" s="539"/>
      <c r="AQ562" s="539"/>
      <c r="AR562" s="539"/>
      <c r="AS562" s="539"/>
      <c r="AT562" s="539"/>
      <c r="AU562" s="539"/>
      <c r="AV562" s="539"/>
      <c r="AW562" s="539"/>
      <c r="AX562" s="539"/>
    </row>
    <row r="563" spans="2:50" ht="14.25" customHeight="1" x14ac:dyDescent="0.3">
      <c r="B563" s="957"/>
      <c r="C563" s="540"/>
      <c r="D563" s="540"/>
      <c r="E563" s="540"/>
      <c r="F563" s="539"/>
      <c r="G563" s="539"/>
      <c r="H563" s="539"/>
      <c r="I563" s="539"/>
      <c r="J563" s="539"/>
      <c r="K563" s="539"/>
      <c r="L563" s="539"/>
      <c r="M563" s="539"/>
      <c r="N563" s="539"/>
      <c r="O563" s="539"/>
      <c r="P563" s="539"/>
      <c r="Q563" s="539"/>
      <c r="R563" s="539"/>
      <c r="S563" s="539"/>
      <c r="T563" s="539"/>
      <c r="U563" s="539"/>
      <c r="V563" s="539"/>
      <c r="W563" s="539"/>
      <c r="X563" s="539"/>
      <c r="Y563" s="539"/>
      <c r="Z563" s="539"/>
      <c r="AA563" s="539"/>
      <c r="AB563" s="539"/>
      <c r="AC563" s="539"/>
      <c r="AD563" s="539"/>
      <c r="AE563" s="539"/>
      <c r="AF563" s="539"/>
      <c r="AG563" s="539"/>
      <c r="AH563" s="539"/>
      <c r="AI563" s="539"/>
      <c r="AJ563" s="539"/>
      <c r="AK563" s="539"/>
      <c r="AL563" s="539"/>
      <c r="AM563" s="539"/>
      <c r="AN563" s="539"/>
      <c r="AO563" s="539"/>
      <c r="AP563" s="539"/>
      <c r="AQ563" s="539"/>
      <c r="AR563" s="539"/>
      <c r="AS563" s="539"/>
      <c r="AT563" s="539"/>
      <c r="AU563" s="539"/>
      <c r="AV563" s="539"/>
      <c r="AW563" s="539"/>
      <c r="AX563" s="539"/>
    </row>
    <row r="564" spans="2:50" ht="14.25" customHeight="1" x14ac:dyDescent="0.3">
      <c r="B564" s="957"/>
      <c r="C564" s="540"/>
      <c r="D564" s="540"/>
      <c r="E564" s="540"/>
      <c r="F564" s="539"/>
      <c r="G564" s="539"/>
      <c r="H564" s="539"/>
      <c r="I564" s="539"/>
      <c r="J564" s="539"/>
      <c r="K564" s="539"/>
      <c r="L564" s="539"/>
      <c r="M564" s="539"/>
      <c r="N564" s="539"/>
      <c r="O564" s="539"/>
      <c r="P564" s="539"/>
      <c r="Q564" s="539"/>
      <c r="R564" s="539"/>
      <c r="S564" s="539"/>
      <c r="T564" s="539"/>
      <c r="U564" s="539"/>
      <c r="V564" s="539"/>
      <c r="W564" s="539"/>
      <c r="X564" s="539"/>
      <c r="Y564" s="539"/>
      <c r="Z564" s="539"/>
      <c r="AA564" s="539"/>
      <c r="AB564" s="539"/>
      <c r="AC564" s="539"/>
      <c r="AD564" s="539"/>
      <c r="AE564" s="539"/>
      <c r="AF564" s="539"/>
      <c r="AG564" s="539"/>
      <c r="AH564" s="539"/>
      <c r="AI564" s="539"/>
      <c r="AJ564" s="539"/>
      <c r="AK564" s="539"/>
      <c r="AL564" s="539"/>
      <c r="AM564" s="539"/>
      <c r="AN564" s="539"/>
      <c r="AO564" s="539"/>
      <c r="AP564" s="539"/>
      <c r="AQ564" s="539"/>
      <c r="AR564" s="539"/>
      <c r="AS564" s="539"/>
      <c r="AT564" s="539"/>
      <c r="AU564" s="539"/>
      <c r="AV564" s="539"/>
      <c r="AW564" s="539"/>
      <c r="AX564" s="539"/>
    </row>
    <row r="565" spans="2:50" ht="14.25" customHeight="1" x14ac:dyDescent="0.3">
      <c r="B565" s="957"/>
      <c r="C565" s="540"/>
      <c r="D565" s="540"/>
      <c r="E565" s="540"/>
      <c r="F565" s="539"/>
      <c r="G565" s="539"/>
      <c r="H565" s="539"/>
      <c r="I565" s="539"/>
      <c r="J565" s="539"/>
      <c r="K565" s="539"/>
      <c r="L565" s="539"/>
      <c r="M565" s="539"/>
      <c r="N565" s="539"/>
      <c r="O565" s="539"/>
      <c r="P565" s="539"/>
      <c r="Q565" s="539"/>
      <c r="R565" s="539"/>
      <c r="S565" s="539"/>
      <c r="T565" s="539"/>
      <c r="U565" s="539"/>
      <c r="V565" s="539"/>
      <c r="W565" s="539"/>
      <c r="X565" s="539"/>
      <c r="Y565" s="539"/>
      <c r="Z565" s="539"/>
      <c r="AA565" s="539"/>
      <c r="AB565" s="539"/>
      <c r="AC565" s="539"/>
      <c r="AD565" s="539"/>
      <c r="AE565" s="539"/>
      <c r="AF565" s="539"/>
      <c r="AG565" s="539"/>
      <c r="AH565" s="539"/>
      <c r="AI565" s="539"/>
      <c r="AJ565" s="539"/>
      <c r="AK565" s="539"/>
      <c r="AL565" s="539"/>
      <c r="AM565" s="539"/>
      <c r="AN565" s="539"/>
      <c r="AO565" s="539"/>
      <c r="AP565" s="539"/>
      <c r="AQ565" s="539"/>
      <c r="AR565" s="539"/>
      <c r="AS565" s="539"/>
      <c r="AT565" s="539"/>
      <c r="AU565" s="539"/>
      <c r="AV565" s="539"/>
      <c r="AW565" s="539"/>
      <c r="AX565" s="539"/>
    </row>
    <row r="566" spans="2:50" ht="14.25" customHeight="1" x14ac:dyDescent="0.3">
      <c r="B566" s="957"/>
      <c r="C566" s="540"/>
      <c r="D566" s="540"/>
      <c r="E566" s="540"/>
      <c r="F566" s="539"/>
      <c r="G566" s="539"/>
      <c r="H566" s="539"/>
      <c r="I566" s="539"/>
      <c r="J566" s="539"/>
      <c r="K566" s="539"/>
      <c r="L566" s="539"/>
      <c r="M566" s="539"/>
      <c r="N566" s="539"/>
      <c r="O566" s="539"/>
      <c r="P566" s="539"/>
      <c r="Q566" s="539"/>
      <c r="R566" s="539"/>
      <c r="S566" s="539"/>
      <c r="T566" s="539"/>
      <c r="U566" s="539"/>
      <c r="V566" s="539"/>
      <c r="W566" s="539"/>
      <c r="X566" s="539"/>
      <c r="Y566" s="539"/>
      <c r="Z566" s="539"/>
      <c r="AA566" s="539"/>
      <c r="AB566" s="539"/>
      <c r="AC566" s="539"/>
      <c r="AD566" s="539"/>
      <c r="AE566" s="539"/>
      <c r="AF566" s="539"/>
      <c r="AG566" s="539"/>
      <c r="AH566" s="539"/>
      <c r="AI566" s="539"/>
      <c r="AJ566" s="539"/>
      <c r="AK566" s="539"/>
      <c r="AL566" s="539"/>
      <c r="AM566" s="539"/>
      <c r="AN566" s="539"/>
      <c r="AO566" s="539"/>
      <c r="AP566" s="539"/>
      <c r="AQ566" s="539"/>
      <c r="AR566" s="539"/>
      <c r="AS566" s="539"/>
      <c r="AT566" s="539"/>
      <c r="AU566" s="539"/>
      <c r="AV566" s="539"/>
      <c r="AW566" s="539"/>
      <c r="AX566" s="539"/>
    </row>
    <row r="567" spans="2:50" ht="14.25" customHeight="1" x14ac:dyDescent="0.3">
      <c r="B567" s="957"/>
      <c r="C567" s="540"/>
      <c r="D567" s="540"/>
      <c r="E567" s="540"/>
      <c r="F567" s="539"/>
      <c r="G567" s="539"/>
      <c r="H567" s="539"/>
      <c r="I567" s="539"/>
      <c r="J567" s="539"/>
      <c r="K567" s="539"/>
      <c r="L567" s="539"/>
      <c r="M567" s="539"/>
      <c r="N567" s="539"/>
      <c r="O567" s="539"/>
      <c r="P567" s="539"/>
      <c r="Q567" s="539"/>
      <c r="R567" s="539"/>
      <c r="S567" s="539"/>
      <c r="T567" s="539"/>
      <c r="U567" s="539"/>
      <c r="V567" s="539"/>
      <c r="W567" s="539"/>
      <c r="X567" s="539"/>
      <c r="Y567" s="539"/>
      <c r="Z567" s="539"/>
      <c r="AA567" s="539"/>
      <c r="AB567" s="539"/>
      <c r="AC567" s="539"/>
      <c r="AD567" s="539"/>
      <c r="AE567" s="539"/>
      <c r="AF567" s="539"/>
      <c r="AG567" s="539"/>
      <c r="AH567" s="539"/>
      <c r="AI567" s="539"/>
      <c r="AJ567" s="539"/>
      <c r="AK567" s="539"/>
      <c r="AL567" s="539"/>
      <c r="AM567" s="539"/>
      <c r="AN567" s="539"/>
      <c r="AO567" s="539"/>
      <c r="AP567" s="539"/>
      <c r="AQ567" s="539"/>
      <c r="AR567" s="539"/>
      <c r="AS567" s="539"/>
      <c r="AT567" s="539"/>
      <c r="AU567" s="539"/>
      <c r="AV567" s="539"/>
      <c r="AW567" s="539"/>
      <c r="AX567" s="539"/>
    </row>
    <row r="568" spans="2:50" ht="14.25" customHeight="1" x14ac:dyDescent="0.3">
      <c r="B568" s="957"/>
      <c r="C568" s="540"/>
      <c r="D568" s="540"/>
      <c r="E568" s="540"/>
      <c r="F568" s="539"/>
      <c r="G568" s="539"/>
      <c r="H568" s="539"/>
      <c r="I568" s="539"/>
      <c r="J568" s="539"/>
      <c r="K568" s="539"/>
      <c r="L568" s="539"/>
      <c r="M568" s="539"/>
      <c r="N568" s="539"/>
      <c r="O568" s="539"/>
      <c r="P568" s="539"/>
      <c r="Q568" s="539"/>
      <c r="R568" s="539"/>
      <c r="S568" s="539"/>
      <c r="T568" s="539"/>
      <c r="U568" s="539"/>
      <c r="V568" s="539"/>
      <c r="W568" s="539"/>
      <c r="X568" s="539"/>
      <c r="Y568" s="539"/>
      <c r="Z568" s="539"/>
      <c r="AA568" s="539"/>
      <c r="AB568" s="539"/>
      <c r="AC568" s="539"/>
      <c r="AD568" s="539"/>
      <c r="AE568" s="539"/>
      <c r="AF568" s="539"/>
      <c r="AG568" s="539"/>
      <c r="AH568" s="539"/>
      <c r="AI568" s="539"/>
      <c r="AJ568" s="539"/>
      <c r="AK568" s="539"/>
      <c r="AL568" s="539"/>
      <c r="AM568" s="539"/>
      <c r="AN568" s="539"/>
      <c r="AO568" s="539"/>
      <c r="AP568" s="539"/>
      <c r="AQ568" s="539"/>
      <c r="AR568" s="539"/>
      <c r="AS568" s="539"/>
      <c r="AT568" s="539"/>
      <c r="AU568" s="539"/>
      <c r="AV568" s="539"/>
      <c r="AW568" s="539"/>
      <c r="AX568" s="539"/>
    </row>
    <row r="569" spans="2:50" ht="14.25" customHeight="1" x14ac:dyDescent="0.3">
      <c r="B569" s="957"/>
      <c r="C569" s="540"/>
      <c r="D569" s="540"/>
      <c r="E569" s="540"/>
      <c r="F569" s="539"/>
      <c r="G569" s="539"/>
      <c r="H569" s="539"/>
      <c r="I569" s="539"/>
      <c r="J569" s="539"/>
      <c r="K569" s="539"/>
      <c r="L569" s="539"/>
      <c r="M569" s="539"/>
      <c r="N569" s="539"/>
      <c r="O569" s="539"/>
      <c r="P569" s="539"/>
      <c r="Q569" s="539"/>
      <c r="R569" s="539"/>
      <c r="S569" s="539"/>
      <c r="T569" s="539"/>
      <c r="U569" s="539"/>
      <c r="V569" s="539"/>
      <c r="W569" s="539"/>
      <c r="X569" s="539"/>
      <c r="Y569" s="539"/>
      <c r="Z569" s="539"/>
      <c r="AA569" s="539"/>
      <c r="AB569" s="539"/>
      <c r="AC569" s="539"/>
      <c r="AD569" s="539"/>
      <c r="AE569" s="539"/>
      <c r="AF569" s="539"/>
      <c r="AG569" s="539"/>
      <c r="AH569" s="539"/>
      <c r="AI569" s="539"/>
      <c r="AJ569" s="539"/>
      <c r="AK569" s="539"/>
      <c r="AL569" s="539"/>
      <c r="AM569" s="539"/>
      <c r="AN569" s="539"/>
      <c r="AO569" s="539"/>
      <c r="AP569" s="539"/>
      <c r="AQ569" s="539"/>
      <c r="AR569" s="539"/>
      <c r="AS569" s="539"/>
      <c r="AT569" s="539"/>
      <c r="AU569" s="539"/>
      <c r="AV569" s="539"/>
      <c r="AW569" s="539"/>
      <c r="AX569" s="539"/>
    </row>
    <row r="570" spans="2:50" ht="14.25" customHeight="1" x14ac:dyDescent="0.3">
      <c r="B570" s="957"/>
      <c r="C570" s="540"/>
      <c r="D570" s="540"/>
      <c r="E570" s="540"/>
      <c r="F570" s="539"/>
      <c r="G570" s="539"/>
      <c r="H570" s="539"/>
      <c r="I570" s="539"/>
      <c r="J570" s="539"/>
      <c r="K570" s="539"/>
      <c r="L570" s="539"/>
      <c r="M570" s="539"/>
      <c r="N570" s="539"/>
      <c r="O570" s="539"/>
      <c r="P570" s="539"/>
      <c r="Q570" s="539"/>
      <c r="R570" s="539"/>
      <c r="S570" s="539"/>
      <c r="T570" s="539"/>
      <c r="U570" s="539"/>
      <c r="V570" s="539"/>
      <c r="W570" s="539"/>
      <c r="X570" s="539"/>
      <c r="Y570" s="539"/>
      <c r="Z570" s="539"/>
      <c r="AA570" s="539"/>
      <c r="AB570" s="539"/>
      <c r="AC570" s="539"/>
      <c r="AD570" s="539"/>
      <c r="AE570" s="539"/>
      <c r="AF570" s="539"/>
      <c r="AG570" s="539"/>
      <c r="AH570" s="539"/>
      <c r="AI570" s="539"/>
      <c r="AJ570" s="539"/>
      <c r="AK570" s="539"/>
      <c r="AL570" s="539"/>
      <c r="AM570" s="539"/>
      <c r="AN570" s="539"/>
      <c r="AO570" s="539"/>
      <c r="AP570" s="539"/>
      <c r="AQ570" s="539"/>
      <c r="AR570" s="539"/>
      <c r="AS570" s="539"/>
      <c r="AT570" s="539"/>
      <c r="AU570" s="539"/>
      <c r="AV570" s="539"/>
      <c r="AW570" s="539"/>
      <c r="AX570" s="539"/>
    </row>
    <row r="571" spans="2:50" ht="14.25" customHeight="1" x14ac:dyDescent="0.3">
      <c r="B571" s="957"/>
      <c r="C571" s="540"/>
      <c r="D571" s="540"/>
      <c r="E571" s="540"/>
      <c r="F571" s="539"/>
      <c r="G571" s="539"/>
      <c r="H571" s="539"/>
      <c r="I571" s="539"/>
      <c r="J571" s="539"/>
      <c r="K571" s="539"/>
      <c r="L571" s="539"/>
      <c r="M571" s="539"/>
      <c r="N571" s="539"/>
      <c r="O571" s="539"/>
      <c r="P571" s="539"/>
      <c r="Q571" s="539"/>
      <c r="R571" s="539"/>
      <c r="S571" s="539"/>
      <c r="T571" s="539"/>
      <c r="U571" s="539"/>
      <c r="V571" s="539"/>
      <c r="W571" s="539"/>
      <c r="X571" s="539"/>
      <c r="Y571" s="539"/>
      <c r="Z571" s="539"/>
      <c r="AA571" s="539"/>
      <c r="AB571" s="539"/>
      <c r="AC571" s="539"/>
      <c r="AD571" s="539"/>
      <c r="AE571" s="539"/>
      <c r="AF571" s="539"/>
      <c r="AG571" s="539"/>
      <c r="AH571" s="539"/>
      <c r="AI571" s="539"/>
      <c r="AJ571" s="539"/>
      <c r="AK571" s="539"/>
      <c r="AL571" s="539"/>
      <c r="AM571" s="539"/>
      <c r="AN571" s="539"/>
      <c r="AO571" s="539"/>
      <c r="AP571" s="539"/>
      <c r="AQ571" s="539"/>
      <c r="AR571" s="539"/>
      <c r="AS571" s="539"/>
      <c r="AT571" s="539"/>
      <c r="AU571" s="539"/>
      <c r="AV571" s="539"/>
      <c r="AW571" s="539"/>
      <c r="AX571" s="539"/>
    </row>
    <row r="572" spans="2:50" ht="14.25" customHeight="1" x14ac:dyDescent="0.3">
      <c r="B572" s="957"/>
      <c r="C572" s="540"/>
      <c r="D572" s="540"/>
      <c r="E572" s="540"/>
      <c r="F572" s="539"/>
      <c r="G572" s="539"/>
      <c r="H572" s="539"/>
      <c r="I572" s="539"/>
      <c r="J572" s="539"/>
      <c r="K572" s="539"/>
      <c r="L572" s="539"/>
      <c r="M572" s="539"/>
      <c r="N572" s="539"/>
      <c r="O572" s="539"/>
      <c r="P572" s="539"/>
      <c r="Q572" s="539"/>
      <c r="R572" s="539"/>
      <c r="S572" s="539"/>
      <c r="T572" s="539"/>
      <c r="U572" s="539"/>
      <c r="V572" s="539"/>
      <c r="W572" s="539"/>
      <c r="X572" s="539"/>
      <c r="Y572" s="539"/>
      <c r="Z572" s="539"/>
      <c r="AA572" s="539"/>
      <c r="AB572" s="539"/>
      <c r="AC572" s="539"/>
      <c r="AD572" s="539"/>
      <c r="AE572" s="539"/>
      <c r="AF572" s="539"/>
      <c r="AG572" s="539"/>
      <c r="AH572" s="539"/>
      <c r="AI572" s="539"/>
      <c r="AJ572" s="539"/>
      <c r="AK572" s="539"/>
      <c r="AL572" s="539"/>
      <c r="AM572" s="539"/>
      <c r="AN572" s="539"/>
      <c r="AO572" s="539"/>
      <c r="AP572" s="539"/>
      <c r="AQ572" s="539"/>
      <c r="AR572" s="539"/>
      <c r="AS572" s="539"/>
      <c r="AT572" s="539"/>
      <c r="AU572" s="539"/>
      <c r="AV572" s="539"/>
      <c r="AW572" s="539"/>
      <c r="AX572" s="539"/>
    </row>
    <row r="573" spans="2:50" ht="14.25" customHeight="1" x14ac:dyDescent="0.3">
      <c r="B573" s="957"/>
      <c r="C573" s="540"/>
      <c r="D573" s="540"/>
      <c r="E573" s="540"/>
      <c r="F573" s="539"/>
      <c r="G573" s="539"/>
      <c r="H573" s="539"/>
      <c r="I573" s="539"/>
      <c r="J573" s="539"/>
      <c r="K573" s="539"/>
      <c r="L573" s="539"/>
      <c r="M573" s="539"/>
      <c r="N573" s="539"/>
      <c r="O573" s="539"/>
      <c r="P573" s="539"/>
      <c r="Q573" s="539"/>
      <c r="R573" s="539"/>
      <c r="S573" s="539"/>
      <c r="T573" s="539"/>
      <c r="U573" s="539"/>
      <c r="V573" s="539"/>
      <c r="W573" s="539"/>
      <c r="X573" s="539"/>
      <c r="Y573" s="539"/>
      <c r="Z573" s="539"/>
      <c r="AA573" s="539"/>
      <c r="AB573" s="539"/>
      <c r="AC573" s="539"/>
      <c r="AD573" s="539"/>
      <c r="AE573" s="539"/>
      <c r="AF573" s="539"/>
      <c r="AG573" s="539"/>
      <c r="AH573" s="539"/>
      <c r="AI573" s="539"/>
      <c r="AJ573" s="539"/>
      <c r="AK573" s="539"/>
      <c r="AL573" s="539"/>
      <c r="AM573" s="539"/>
      <c r="AN573" s="539"/>
      <c r="AO573" s="539"/>
      <c r="AP573" s="539"/>
      <c r="AQ573" s="539"/>
      <c r="AR573" s="539"/>
      <c r="AS573" s="539"/>
      <c r="AT573" s="539"/>
      <c r="AU573" s="539"/>
      <c r="AV573" s="539"/>
      <c r="AW573" s="539"/>
      <c r="AX573" s="539"/>
    </row>
    <row r="574" spans="2:50" ht="14.25" customHeight="1" x14ac:dyDescent="0.3">
      <c r="B574" s="957"/>
      <c r="C574" s="540"/>
      <c r="D574" s="540"/>
      <c r="E574" s="540"/>
      <c r="F574" s="539"/>
      <c r="G574" s="539"/>
      <c r="H574" s="539"/>
      <c r="I574" s="539"/>
      <c r="J574" s="539"/>
      <c r="K574" s="539"/>
      <c r="L574" s="539"/>
      <c r="M574" s="539"/>
      <c r="N574" s="539"/>
      <c r="O574" s="539"/>
      <c r="P574" s="539"/>
      <c r="Q574" s="539"/>
      <c r="R574" s="539"/>
      <c r="S574" s="539"/>
      <c r="T574" s="539"/>
      <c r="U574" s="539"/>
      <c r="V574" s="539"/>
      <c r="W574" s="539"/>
      <c r="X574" s="539"/>
      <c r="Y574" s="539"/>
      <c r="Z574" s="539"/>
      <c r="AA574" s="539"/>
      <c r="AB574" s="539"/>
      <c r="AC574" s="539"/>
      <c r="AD574" s="539"/>
      <c r="AE574" s="539"/>
      <c r="AF574" s="539"/>
      <c r="AG574" s="539"/>
      <c r="AH574" s="539"/>
      <c r="AI574" s="539"/>
      <c r="AJ574" s="539"/>
      <c r="AK574" s="539"/>
      <c r="AL574" s="539"/>
      <c r="AM574" s="539"/>
      <c r="AN574" s="539"/>
      <c r="AO574" s="539"/>
      <c r="AP574" s="539"/>
      <c r="AQ574" s="539"/>
      <c r="AR574" s="539"/>
      <c r="AS574" s="539"/>
      <c r="AT574" s="539"/>
      <c r="AU574" s="539"/>
      <c r="AV574" s="539"/>
      <c r="AW574" s="539"/>
      <c r="AX574" s="539"/>
    </row>
    <row r="575" spans="2:50" ht="14.25" customHeight="1" x14ac:dyDescent="0.3">
      <c r="B575" s="957"/>
      <c r="C575" s="540"/>
      <c r="D575" s="540"/>
      <c r="E575" s="540"/>
      <c r="F575" s="539"/>
      <c r="G575" s="539"/>
      <c r="H575" s="539"/>
      <c r="I575" s="539"/>
      <c r="J575" s="539"/>
      <c r="K575" s="539"/>
      <c r="L575" s="539"/>
      <c r="M575" s="539"/>
      <c r="N575" s="539"/>
      <c r="O575" s="539"/>
      <c r="P575" s="539"/>
      <c r="Q575" s="539"/>
      <c r="R575" s="539"/>
      <c r="S575" s="539"/>
      <c r="T575" s="539"/>
      <c r="U575" s="539"/>
      <c r="V575" s="539"/>
      <c r="W575" s="539"/>
      <c r="X575" s="539"/>
      <c r="Y575" s="539"/>
      <c r="Z575" s="539"/>
      <c r="AA575" s="539"/>
      <c r="AB575" s="539"/>
      <c r="AC575" s="539"/>
      <c r="AD575" s="539"/>
      <c r="AE575" s="539"/>
      <c r="AF575" s="539"/>
      <c r="AG575" s="539"/>
      <c r="AH575" s="539"/>
      <c r="AI575" s="539"/>
      <c r="AJ575" s="539"/>
      <c r="AK575" s="539"/>
      <c r="AL575" s="539"/>
      <c r="AM575" s="539"/>
      <c r="AN575" s="539"/>
      <c r="AO575" s="539"/>
      <c r="AP575" s="539"/>
      <c r="AQ575" s="539"/>
      <c r="AR575" s="539"/>
      <c r="AS575" s="539"/>
      <c r="AT575" s="539"/>
      <c r="AU575" s="539"/>
      <c r="AV575" s="539"/>
      <c r="AW575" s="539"/>
      <c r="AX575" s="539"/>
    </row>
    <row r="576" spans="2:50" ht="14.25" customHeight="1" x14ac:dyDescent="0.3">
      <c r="B576" s="957"/>
      <c r="C576" s="540"/>
      <c r="D576" s="540"/>
      <c r="E576" s="540"/>
      <c r="F576" s="539"/>
      <c r="G576" s="539"/>
      <c r="H576" s="539"/>
      <c r="I576" s="539"/>
      <c r="J576" s="539"/>
      <c r="K576" s="539"/>
      <c r="L576" s="539"/>
      <c r="M576" s="539"/>
      <c r="N576" s="539"/>
      <c r="O576" s="539"/>
      <c r="P576" s="539"/>
      <c r="Q576" s="539"/>
      <c r="R576" s="539"/>
      <c r="S576" s="539"/>
      <c r="T576" s="539"/>
      <c r="U576" s="539"/>
      <c r="V576" s="539"/>
      <c r="W576" s="539"/>
      <c r="X576" s="539"/>
      <c r="Y576" s="539"/>
      <c r="Z576" s="539"/>
      <c r="AA576" s="539"/>
      <c r="AB576" s="539"/>
      <c r="AC576" s="539"/>
      <c r="AD576" s="539"/>
      <c r="AE576" s="539"/>
      <c r="AF576" s="539"/>
      <c r="AG576" s="539"/>
      <c r="AH576" s="539"/>
      <c r="AI576" s="539"/>
      <c r="AJ576" s="539"/>
      <c r="AK576" s="539"/>
      <c r="AL576" s="539"/>
      <c r="AM576" s="539"/>
      <c r="AN576" s="539"/>
      <c r="AO576" s="539"/>
      <c r="AP576" s="539"/>
      <c r="AQ576" s="539"/>
      <c r="AR576" s="539"/>
      <c r="AS576" s="539"/>
      <c r="AT576" s="539"/>
      <c r="AU576" s="539"/>
      <c r="AV576" s="539"/>
      <c r="AW576" s="539"/>
      <c r="AX576" s="539"/>
    </row>
    <row r="577" spans="2:50" ht="14.25" customHeight="1" x14ac:dyDescent="0.3">
      <c r="B577" s="957"/>
      <c r="C577" s="540"/>
      <c r="D577" s="540"/>
      <c r="E577" s="540"/>
      <c r="F577" s="539"/>
      <c r="G577" s="539"/>
      <c r="H577" s="539"/>
      <c r="I577" s="539"/>
      <c r="J577" s="539"/>
      <c r="K577" s="539"/>
      <c r="L577" s="539"/>
      <c r="M577" s="539"/>
      <c r="N577" s="539"/>
      <c r="O577" s="539"/>
      <c r="P577" s="539"/>
      <c r="Q577" s="539"/>
      <c r="R577" s="539"/>
      <c r="S577" s="539"/>
      <c r="T577" s="539"/>
      <c r="U577" s="539"/>
      <c r="V577" s="539"/>
      <c r="W577" s="539"/>
      <c r="X577" s="539"/>
      <c r="Y577" s="539"/>
      <c r="Z577" s="539"/>
      <c r="AA577" s="539"/>
      <c r="AB577" s="539"/>
      <c r="AC577" s="539"/>
      <c r="AD577" s="539"/>
      <c r="AE577" s="539"/>
      <c r="AF577" s="539"/>
      <c r="AG577" s="539"/>
      <c r="AH577" s="539"/>
      <c r="AI577" s="539"/>
      <c r="AJ577" s="539"/>
      <c r="AK577" s="539"/>
      <c r="AL577" s="539"/>
      <c r="AM577" s="539"/>
      <c r="AN577" s="539"/>
      <c r="AO577" s="539"/>
      <c r="AP577" s="539"/>
      <c r="AQ577" s="539"/>
      <c r="AR577" s="539"/>
      <c r="AS577" s="539"/>
      <c r="AT577" s="539"/>
      <c r="AU577" s="539"/>
      <c r="AV577" s="539"/>
      <c r="AW577" s="539"/>
      <c r="AX577" s="539"/>
    </row>
    <row r="578" spans="2:50" ht="14.25" customHeight="1" x14ac:dyDescent="0.3">
      <c r="B578" s="957"/>
      <c r="C578" s="540"/>
      <c r="D578" s="540"/>
      <c r="E578" s="540"/>
      <c r="F578" s="539"/>
      <c r="G578" s="539"/>
      <c r="H578" s="539"/>
      <c r="I578" s="539"/>
      <c r="J578" s="539"/>
      <c r="K578" s="539"/>
      <c r="L578" s="539"/>
      <c r="M578" s="539"/>
      <c r="N578" s="539"/>
      <c r="O578" s="539"/>
      <c r="P578" s="539"/>
      <c r="Q578" s="539"/>
      <c r="R578" s="539"/>
      <c r="S578" s="539"/>
      <c r="T578" s="539"/>
      <c r="U578" s="539"/>
      <c r="V578" s="539"/>
      <c r="W578" s="539"/>
      <c r="X578" s="539"/>
      <c r="Y578" s="539"/>
      <c r="Z578" s="539"/>
      <c r="AA578" s="539"/>
      <c r="AB578" s="539"/>
      <c r="AC578" s="539"/>
      <c r="AD578" s="539"/>
      <c r="AE578" s="539"/>
      <c r="AF578" s="539"/>
      <c r="AG578" s="539"/>
      <c r="AH578" s="539"/>
      <c r="AI578" s="539"/>
      <c r="AJ578" s="539"/>
      <c r="AK578" s="539"/>
      <c r="AL578" s="539"/>
      <c r="AM578" s="539"/>
      <c r="AN578" s="539"/>
      <c r="AO578" s="539"/>
      <c r="AP578" s="539"/>
      <c r="AQ578" s="539"/>
      <c r="AR578" s="539"/>
      <c r="AS578" s="539"/>
      <c r="AT578" s="539"/>
      <c r="AU578" s="539"/>
      <c r="AV578" s="539"/>
      <c r="AW578" s="539"/>
      <c r="AX578" s="539"/>
    </row>
    <row r="579" spans="2:50" ht="14.25" customHeight="1" x14ac:dyDescent="0.3">
      <c r="B579" s="957"/>
      <c r="C579" s="540"/>
      <c r="D579" s="540"/>
      <c r="E579" s="540"/>
      <c r="F579" s="539"/>
      <c r="G579" s="539"/>
      <c r="H579" s="539"/>
      <c r="I579" s="539"/>
      <c r="J579" s="539"/>
      <c r="K579" s="539"/>
      <c r="L579" s="539"/>
      <c r="M579" s="539"/>
      <c r="N579" s="539"/>
      <c r="O579" s="539"/>
      <c r="P579" s="539"/>
      <c r="Q579" s="539"/>
      <c r="R579" s="539"/>
      <c r="S579" s="539"/>
      <c r="T579" s="539"/>
      <c r="U579" s="539"/>
      <c r="V579" s="539"/>
      <c r="W579" s="539"/>
      <c r="X579" s="539"/>
      <c r="Y579" s="539"/>
      <c r="Z579" s="539"/>
      <c r="AA579" s="539"/>
      <c r="AB579" s="539"/>
      <c r="AC579" s="539"/>
      <c r="AD579" s="539"/>
      <c r="AE579" s="539"/>
      <c r="AF579" s="539"/>
      <c r="AG579" s="539"/>
      <c r="AH579" s="539"/>
      <c r="AI579" s="539"/>
      <c r="AJ579" s="539"/>
      <c r="AK579" s="539"/>
      <c r="AL579" s="539"/>
      <c r="AM579" s="539"/>
      <c r="AN579" s="539"/>
      <c r="AO579" s="539"/>
      <c r="AP579" s="539"/>
      <c r="AQ579" s="539"/>
      <c r="AR579" s="539"/>
      <c r="AS579" s="539"/>
      <c r="AT579" s="539"/>
      <c r="AU579" s="539"/>
      <c r="AV579" s="539"/>
      <c r="AW579" s="539"/>
      <c r="AX579" s="539"/>
    </row>
    <row r="580" spans="2:50" ht="14.25" customHeight="1" x14ac:dyDescent="0.3">
      <c r="B580" s="957"/>
      <c r="C580" s="540"/>
      <c r="D580" s="540"/>
      <c r="E580" s="540"/>
      <c r="F580" s="539"/>
      <c r="G580" s="539"/>
      <c r="H580" s="539"/>
      <c r="I580" s="539"/>
      <c r="J580" s="539"/>
      <c r="K580" s="539"/>
      <c r="L580" s="539"/>
      <c r="M580" s="539"/>
      <c r="N580" s="539"/>
      <c r="O580" s="539"/>
      <c r="P580" s="539"/>
      <c r="Q580" s="539"/>
      <c r="R580" s="539"/>
      <c r="S580" s="539"/>
      <c r="T580" s="539"/>
      <c r="U580" s="539"/>
      <c r="V580" s="539"/>
      <c r="W580" s="539"/>
      <c r="X580" s="539"/>
      <c r="Y580" s="539"/>
      <c r="Z580" s="539"/>
      <c r="AA580" s="539"/>
      <c r="AB580" s="539"/>
      <c r="AC580" s="539"/>
      <c r="AD580" s="539"/>
      <c r="AE580" s="539"/>
      <c r="AF580" s="539"/>
      <c r="AG580" s="539"/>
      <c r="AH580" s="539"/>
      <c r="AI580" s="539"/>
      <c r="AJ580" s="539"/>
      <c r="AK580" s="539"/>
      <c r="AL580" s="539"/>
      <c r="AM580" s="539"/>
      <c r="AN580" s="539"/>
      <c r="AO580" s="539"/>
      <c r="AP580" s="539"/>
      <c r="AQ580" s="539"/>
      <c r="AR580" s="539"/>
      <c r="AS580" s="539"/>
      <c r="AT580" s="539"/>
      <c r="AU580" s="539"/>
      <c r="AV580" s="539"/>
      <c r="AW580" s="539"/>
      <c r="AX580" s="539"/>
    </row>
    <row r="581" spans="2:50" ht="14.25" customHeight="1" x14ac:dyDescent="0.3">
      <c r="B581" s="957"/>
      <c r="C581" s="540"/>
      <c r="D581" s="540"/>
      <c r="E581" s="540"/>
      <c r="F581" s="539"/>
      <c r="G581" s="539"/>
      <c r="H581" s="539"/>
      <c r="I581" s="539"/>
      <c r="J581" s="539"/>
      <c r="K581" s="539"/>
      <c r="L581" s="539"/>
      <c r="M581" s="539"/>
      <c r="N581" s="539"/>
      <c r="O581" s="539"/>
      <c r="P581" s="539"/>
      <c r="Q581" s="539"/>
      <c r="R581" s="539"/>
      <c r="S581" s="539"/>
      <c r="T581" s="539"/>
      <c r="U581" s="539"/>
      <c r="V581" s="539"/>
      <c r="W581" s="539"/>
      <c r="X581" s="539"/>
      <c r="Y581" s="539"/>
      <c r="Z581" s="539"/>
      <c r="AA581" s="539"/>
      <c r="AB581" s="539"/>
      <c r="AC581" s="539"/>
      <c r="AD581" s="539"/>
      <c r="AE581" s="539"/>
      <c r="AF581" s="539"/>
      <c r="AG581" s="539"/>
      <c r="AH581" s="539"/>
      <c r="AI581" s="539"/>
      <c r="AJ581" s="539"/>
      <c r="AK581" s="539"/>
      <c r="AL581" s="539"/>
      <c r="AM581" s="539"/>
      <c r="AN581" s="539"/>
      <c r="AO581" s="539"/>
      <c r="AP581" s="539"/>
      <c r="AQ581" s="539"/>
      <c r="AR581" s="539"/>
      <c r="AS581" s="539"/>
      <c r="AT581" s="539"/>
      <c r="AU581" s="539"/>
      <c r="AV581" s="539"/>
      <c r="AW581" s="539"/>
      <c r="AX581" s="539"/>
    </row>
    <row r="582" spans="2:50" ht="14.25" customHeight="1" x14ac:dyDescent="0.3">
      <c r="B582" s="957"/>
      <c r="C582" s="540"/>
      <c r="D582" s="540"/>
      <c r="E582" s="540"/>
      <c r="F582" s="539"/>
      <c r="G582" s="539"/>
      <c r="H582" s="539"/>
      <c r="I582" s="539"/>
      <c r="J582" s="539"/>
      <c r="K582" s="539"/>
      <c r="L582" s="539"/>
      <c r="M582" s="539"/>
      <c r="N582" s="539"/>
      <c r="O582" s="539"/>
      <c r="P582" s="539"/>
      <c r="Q582" s="539"/>
      <c r="R582" s="539"/>
      <c r="S582" s="539"/>
      <c r="T582" s="539"/>
      <c r="U582" s="539"/>
      <c r="V582" s="539"/>
      <c r="W582" s="539"/>
      <c r="X582" s="539"/>
      <c r="Y582" s="539"/>
      <c r="Z582" s="539"/>
      <c r="AA582" s="539"/>
      <c r="AB582" s="539"/>
      <c r="AC582" s="539"/>
      <c r="AD582" s="539"/>
      <c r="AE582" s="539"/>
      <c r="AF582" s="539"/>
      <c r="AG582" s="539"/>
      <c r="AH582" s="539"/>
      <c r="AI582" s="539"/>
      <c r="AJ582" s="539"/>
      <c r="AK582" s="539"/>
      <c r="AL582" s="539"/>
      <c r="AM582" s="539"/>
      <c r="AN582" s="539"/>
      <c r="AO582" s="539"/>
      <c r="AP582" s="539"/>
      <c r="AQ582" s="539"/>
      <c r="AR582" s="539"/>
      <c r="AS582" s="539"/>
      <c r="AT582" s="539"/>
      <c r="AU582" s="539"/>
      <c r="AV582" s="539"/>
      <c r="AW582" s="539"/>
      <c r="AX582" s="539"/>
    </row>
    <row r="583" spans="2:50" ht="14.25" customHeight="1" x14ac:dyDescent="0.3">
      <c r="B583" s="957"/>
      <c r="C583" s="540"/>
      <c r="D583" s="540"/>
      <c r="E583" s="540"/>
      <c r="F583" s="539"/>
      <c r="G583" s="539"/>
      <c r="H583" s="539"/>
      <c r="I583" s="539"/>
      <c r="J583" s="539"/>
      <c r="K583" s="539"/>
      <c r="L583" s="539"/>
      <c r="M583" s="539"/>
      <c r="N583" s="539"/>
      <c r="O583" s="539"/>
      <c r="P583" s="539"/>
      <c r="Q583" s="539"/>
      <c r="R583" s="539"/>
      <c r="S583" s="539"/>
      <c r="T583" s="539"/>
      <c r="U583" s="539"/>
      <c r="V583" s="539"/>
      <c r="W583" s="539"/>
      <c r="X583" s="539"/>
      <c r="Y583" s="539"/>
      <c r="Z583" s="539"/>
      <c r="AA583" s="539"/>
      <c r="AB583" s="539"/>
      <c r="AC583" s="539"/>
      <c r="AD583" s="539"/>
      <c r="AE583" s="539"/>
      <c r="AF583" s="539"/>
      <c r="AG583" s="539"/>
      <c r="AH583" s="539"/>
      <c r="AI583" s="539"/>
      <c r="AJ583" s="539"/>
      <c r="AK583" s="539"/>
      <c r="AL583" s="539"/>
      <c r="AM583" s="539"/>
      <c r="AN583" s="539"/>
      <c r="AO583" s="539"/>
      <c r="AP583" s="539"/>
      <c r="AQ583" s="539"/>
      <c r="AR583" s="539"/>
      <c r="AS583" s="539"/>
      <c r="AT583" s="539"/>
      <c r="AU583" s="539"/>
      <c r="AV583" s="539"/>
      <c r="AW583" s="539"/>
      <c r="AX583" s="539"/>
    </row>
    <row r="584" spans="2:50" ht="14.25" customHeight="1" x14ac:dyDescent="0.3">
      <c r="B584" s="957"/>
      <c r="C584" s="540"/>
      <c r="D584" s="540"/>
      <c r="E584" s="540"/>
      <c r="F584" s="539"/>
      <c r="G584" s="539"/>
      <c r="H584" s="539"/>
      <c r="I584" s="539"/>
      <c r="J584" s="539"/>
      <c r="K584" s="539"/>
      <c r="L584" s="539"/>
      <c r="M584" s="539"/>
      <c r="N584" s="539"/>
      <c r="O584" s="539"/>
      <c r="P584" s="539"/>
      <c r="Q584" s="539"/>
      <c r="R584" s="539"/>
      <c r="S584" s="539"/>
      <c r="T584" s="539"/>
      <c r="U584" s="539"/>
      <c r="V584" s="539"/>
      <c r="W584" s="539"/>
      <c r="X584" s="539"/>
      <c r="Y584" s="539"/>
      <c r="Z584" s="539"/>
      <c r="AA584" s="539"/>
      <c r="AB584" s="539"/>
      <c r="AC584" s="539"/>
      <c r="AD584" s="539"/>
      <c r="AE584" s="539"/>
      <c r="AF584" s="539"/>
      <c r="AG584" s="539"/>
      <c r="AH584" s="539"/>
      <c r="AI584" s="539"/>
      <c r="AJ584" s="539"/>
      <c r="AK584" s="539"/>
      <c r="AL584" s="539"/>
      <c r="AM584" s="539"/>
      <c r="AN584" s="539"/>
      <c r="AO584" s="539"/>
      <c r="AP584" s="539"/>
      <c r="AQ584" s="539"/>
      <c r="AR584" s="539"/>
      <c r="AS584" s="539"/>
      <c r="AT584" s="539"/>
      <c r="AU584" s="539"/>
      <c r="AV584" s="539"/>
      <c r="AW584" s="539"/>
      <c r="AX584" s="539"/>
    </row>
    <row r="585" spans="2:50" ht="14.25" customHeight="1" x14ac:dyDescent="0.3">
      <c r="B585" s="957"/>
      <c r="C585" s="540"/>
      <c r="D585" s="540"/>
      <c r="E585" s="540"/>
      <c r="F585" s="539"/>
      <c r="G585" s="539"/>
      <c r="H585" s="539"/>
      <c r="I585" s="539"/>
      <c r="J585" s="539"/>
      <c r="K585" s="539"/>
      <c r="L585" s="539"/>
      <c r="M585" s="539"/>
      <c r="N585" s="539"/>
      <c r="O585" s="539"/>
      <c r="P585" s="539"/>
      <c r="Q585" s="539"/>
      <c r="R585" s="539"/>
      <c r="S585" s="539"/>
      <c r="T585" s="539"/>
      <c r="U585" s="539"/>
      <c r="V585" s="539"/>
      <c r="W585" s="539"/>
      <c r="X585" s="539"/>
      <c r="Y585" s="539"/>
      <c r="Z585" s="539"/>
      <c r="AA585" s="539"/>
      <c r="AB585" s="539"/>
      <c r="AC585" s="539"/>
      <c r="AD585" s="539"/>
      <c r="AE585" s="539"/>
      <c r="AF585" s="539"/>
      <c r="AG585" s="539"/>
      <c r="AH585" s="539"/>
      <c r="AI585" s="539"/>
      <c r="AJ585" s="539"/>
      <c r="AK585" s="539"/>
      <c r="AL585" s="539"/>
      <c r="AM585" s="539"/>
      <c r="AN585" s="539"/>
      <c r="AO585" s="539"/>
      <c r="AP585" s="539"/>
      <c r="AQ585" s="539"/>
      <c r="AR585" s="539"/>
      <c r="AS585" s="539"/>
      <c r="AT585" s="539"/>
      <c r="AU585" s="539"/>
      <c r="AV585" s="539"/>
      <c r="AW585" s="539"/>
      <c r="AX585" s="539"/>
    </row>
    <row r="586" spans="2:50" ht="14.25" customHeight="1" x14ac:dyDescent="0.3">
      <c r="B586" s="957"/>
      <c r="C586" s="540"/>
      <c r="D586" s="540"/>
      <c r="E586" s="540"/>
      <c r="F586" s="539"/>
      <c r="G586" s="539"/>
      <c r="H586" s="539"/>
      <c r="I586" s="539"/>
      <c r="J586" s="539"/>
      <c r="K586" s="539"/>
      <c r="L586" s="539"/>
      <c r="M586" s="539"/>
      <c r="N586" s="539"/>
      <c r="O586" s="539"/>
      <c r="P586" s="539"/>
      <c r="Q586" s="539"/>
      <c r="R586" s="539"/>
      <c r="S586" s="539"/>
      <c r="T586" s="539"/>
      <c r="U586" s="539"/>
      <c r="V586" s="539"/>
      <c r="W586" s="539"/>
      <c r="X586" s="539"/>
      <c r="Y586" s="539"/>
      <c r="Z586" s="539"/>
      <c r="AA586" s="539"/>
      <c r="AB586" s="539"/>
      <c r="AC586" s="539"/>
      <c r="AD586" s="539"/>
      <c r="AE586" s="539"/>
      <c r="AF586" s="539"/>
      <c r="AG586" s="539"/>
      <c r="AH586" s="539"/>
      <c r="AI586" s="539"/>
      <c r="AJ586" s="539"/>
      <c r="AK586" s="539"/>
      <c r="AL586" s="539"/>
      <c r="AM586" s="539"/>
      <c r="AN586" s="539"/>
      <c r="AO586" s="539"/>
      <c r="AP586" s="539"/>
      <c r="AQ586" s="539"/>
      <c r="AR586" s="539"/>
      <c r="AS586" s="539"/>
      <c r="AT586" s="539"/>
      <c r="AU586" s="539"/>
      <c r="AV586" s="539"/>
      <c r="AW586" s="539"/>
      <c r="AX586" s="539"/>
    </row>
    <row r="587" spans="2:50" ht="14.25" customHeight="1" x14ac:dyDescent="0.3">
      <c r="B587" s="957"/>
      <c r="C587" s="540"/>
      <c r="D587" s="540"/>
      <c r="E587" s="540"/>
      <c r="F587" s="539"/>
      <c r="G587" s="539"/>
      <c r="H587" s="539"/>
      <c r="I587" s="539"/>
      <c r="J587" s="539"/>
      <c r="K587" s="539"/>
      <c r="L587" s="539"/>
      <c r="M587" s="539"/>
      <c r="N587" s="539"/>
      <c r="O587" s="539"/>
      <c r="P587" s="539"/>
      <c r="Q587" s="539"/>
      <c r="R587" s="539"/>
      <c r="S587" s="539"/>
      <c r="T587" s="539"/>
      <c r="U587" s="539"/>
      <c r="V587" s="539"/>
      <c r="W587" s="539"/>
      <c r="X587" s="539"/>
      <c r="Y587" s="539"/>
      <c r="Z587" s="539"/>
      <c r="AA587" s="539"/>
      <c r="AB587" s="539"/>
      <c r="AC587" s="539"/>
      <c r="AD587" s="539"/>
      <c r="AE587" s="539"/>
      <c r="AF587" s="539"/>
      <c r="AG587" s="539"/>
      <c r="AH587" s="539"/>
      <c r="AI587" s="539"/>
      <c r="AJ587" s="539"/>
      <c r="AK587" s="539"/>
      <c r="AL587" s="539"/>
      <c r="AM587" s="539"/>
      <c r="AN587" s="539"/>
      <c r="AO587" s="539"/>
      <c r="AP587" s="539"/>
      <c r="AQ587" s="539"/>
      <c r="AR587" s="539"/>
      <c r="AS587" s="539"/>
      <c r="AT587" s="539"/>
      <c r="AU587" s="539"/>
      <c r="AV587" s="539"/>
      <c r="AW587" s="539"/>
      <c r="AX587" s="539"/>
    </row>
    <row r="588" spans="2:50" ht="14.25" customHeight="1" x14ac:dyDescent="0.3">
      <c r="B588" s="957"/>
      <c r="C588" s="540"/>
      <c r="D588" s="540"/>
      <c r="E588" s="540"/>
      <c r="F588" s="539"/>
      <c r="G588" s="539"/>
      <c r="H588" s="539"/>
      <c r="I588" s="539"/>
      <c r="J588" s="539"/>
      <c r="K588" s="539"/>
      <c r="L588" s="539"/>
      <c r="M588" s="539"/>
      <c r="N588" s="539"/>
      <c r="O588" s="539"/>
      <c r="P588" s="539"/>
      <c r="Q588" s="539"/>
      <c r="R588" s="539"/>
      <c r="S588" s="539"/>
      <c r="T588" s="539"/>
      <c r="U588" s="539"/>
      <c r="V588" s="539"/>
      <c r="W588" s="539"/>
      <c r="X588" s="539"/>
      <c r="Y588" s="539"/>
      <c r="Z588" s="539"/>
      <c r="AA588" s="539"/>
      <c r="AB588" s="539"/>
      <c r="AC588" s="539"/>
      <c r="AD588" s="539"/>
      <c r="AE588" s="539"/>
      <c r="AF588" s="539"/>
      <c r="AG588" s="539"/>
      <c r="AH588" s="539"/>
      <c r="AI588" s="539"/>
      <c r="AJ588" s="539"/>
      <c r="AK588" s="539"/>
      <c r="AL588" s="539"/>
      <c r="AM588" s="539"/>
      <c r="AN588" s="539"/>
      <c r="AO588" s="539"/>
      <c r="AP588" s="539"/>
      <c r="AQ588" s="539"/>
      <c r="AR588" s="539"/>
      <c r="AS588" s="539"/>
      <c r="AT588" s="539"/>
      <c r="AU588" s="539"/>
      <c r="AV588" s="539"/>
      <c r="AW588" s="539"/>
      <c r="AX588" s="539"/>
    </row>
    <row r="589" spans="2:50" ht="14.25" customHeight="1" x14ac:dyDescent="0.3">
      <c r="B589" s="957"/>
      <c r="C589" s="540"/>
      <c r="D589" s="540"/>
      <c r="E589" s="540"/>
      <c r="F589" s="539"/>
      <c r="G589" s="539"/>
      <c r="H589" s="539"/>
      <c r="I589" s="539"/>
      <c r="J589" s="539"/>
      <c r="K589" s="539"/>
      <c r="L589" s="539"/>
      <c r="M589" s="539"/>
      <c r="N589" s="539"/>
      <c r="O589" s="539"/>
      <c r="P589" s="539"/>
      <c r="Q589" s="539"/>
      <c r="R589" s="539"/>
      <c r="S589" s="539"/>
      <c r="T589" s="539"/>
      <c r="U589" s="539"/>
      <c r="V589" s="539"/>
      <c r="W589" s="539"/>
      <c r="X589" s="539"/>
      <c r="Y589" s="539"/>
      <c r="Z589" s="539"/>
      <c r="AA589" s="539"/>
      <c r="AB589" s="539"/>
      <c r="AC589" s="539"/>
      <c r="AD589" s="539"/>
      <c r="AE589" s="539"/>
      <c r="AF589" s="539"/>
      <c r="AG589" s="539"/>
      <c r="AH589" s="539"/>
      <c r="AI589" s="539"/>
      <c r="AJ589" s="539"/>
      <c r="AK589" s="539"/>
      <c r="AL589" s="539"/>
      <c r="AM589" s="539"/>
      <c r="AN589" s="539"/>
      <c r="AO589" s="539"/>
      <c r="AP589" s="539"/>
      <c r="AQ589" s="539"/>
      <c r="AR589" s="539"/>
      <c r="AS589" s="539"/>
      <c r="AT589" s="539"/>
      <c r="AU589" s="539"/>
      <c r="AV589" s="539"/>
      <c r="AW589" s="539"/>
      <c r="AX589" s="539"/>
    </row>
    <row r="590" spans="2:50" ht="14.25" customHeight="1" x14ac:dyDescent="0.3">
      <c r="B590" s="957"/>
      <c r="C590" s="540"/>
      <c r="D590" s="540"/>
      <c r="E590" s="540"/>
      <c r="F590" s="539"/>
      <c r="G590" s="539"/>
      <c r="H590" s="539"/>
      <c r="I590" s="539"/>
      <c r="J590" s="539"/>
      <c r="K590" s="539"/>
      <c r="L590" s="539"/>
      <c r="M590" s="539"/>
      <c r="N590" s="539"/>
      <c r="O590" s="539"/>
      <c r="P590" s="539"/>
      <c r="Q590" s="539"/>
      <c r="R590" s="539"/>
      <c r="S590" s="539"/>
      <c r="T590" s="539"/>
      <c r="U590" s="539"/>
      <c r="V590" s="539"/>
      <c r="W590" s="539"/>
      <c r="X590" s="539"/>
      <c r="Y590" s="539"/>
      <c r="Z590" s="539"/>
      <c r="AA590" s="539"/>
      <c r="AB590" s="539"/>
      <c r="AC590" s="539"/>
      <c r="AD590" s="539"/>
      <c r="AE590" s="539"/>
      <c r="AF590" s="539"/>
      <c r="AG590" s="539"/>
      <c r="AH590" s="539"/>
      <c r="AI590" s="539"/>
      <c r="AJ590" s="539"/>
      <c r="AK590" s="539"/>
      <c r="AL590" s="539"/>
      <c r="AM590" s="539"/>
      <c r="AN590" s="539"/>
      <c r="AO590" s="539"/>
      <c r="AP590" s="539"/>
      <c r="AQ590" s="539"/>
      <c r="AR590" s="539"/>
      <c r="AS590" s="539"/>
      <c r="AT590" s="539"/>
      <c r="AU590" s="539"/>
      <c r="AV590" s="539"/>
      <c r="AW590" s="539"/>
      <c r="AX590" s="539"/>
    </row>
    <row r="591" spans="2:50" ht="14.25" customHeight="1" x14ac:dyDescent="0.3">
      <c r="B591" s="957"/>
      <c r="C591" s="540"/>
      <c r="D591" s="540"/>
      <c r="E591" s="540"/>
      <c r="F591" s="539"/>
      <c r="G591" s="539"/>
      <c r="H591" s="539"/>
      <c r="I591" s="539"/>
      <c r="J591" s="539"/>
      <c r="K591" s="539"/>
      <c r="L591" s="539"/>
      <c r="M591" s="539"/>
      <c r="N591" s="539"/>
      <c r="O591" s="539"/>
      <c r="P591" s="539"/>
      <c r="Q591" s="539"/>
      <c r="R591" s="539"/>
      <c r="S591" s="539"/>
      <c r="T591" s="539"/>
      <c r="U591" s="539"/>
      <c r="V591" s="539"/>
      <c r="W591" s="539"/>
      <c r="X591" s="539"/>
      <c r="Y591" s="539"/>
      <c r="Z591" s="539"/>
      <c r="AA591" s="539"/>
      <c r="AB591" s="539"/>
      <c r="AC591" s="539"/>
      <c r="AD591" s="539"/>
      <c r="AE591" s="539"/>
      <c r="AF591" s="539"/>
      <c r="AG591" s="539"/>
      <c r="AH591" s="539"/>
      <c r="AI591" s="539"/>
      <c r="AJ591" s="539"/>
      <c r="AK591" s="539"/>
      <c r="AL591" s="539"/>
      <c r="AM591" s="539"/>
      <c r="AN591" s="539"/>
      <c r="AO591" s="539"/>
      <c r="AP591" s="539"/>
      <c r="AQ591" s="539"/>
      <c r="AR591" s="539"/>
      <c r="AS591" s="539"/>
      <c r="AT591" s="539"/>
      <c r="AU591" s="539"/>
      <c r="AV591" s="539"/>
      <c r="AW591" s="539"/>
      <c r="AX591" s="539"/>
    </row>
    <row r="592" spans="2:50" ht="14.25" customHeight="1" x14ac:dyDescent="0.3">
      <c r="B592" s="957"/>
      <c r="C592" s="540"/>
      <c r="D592" s="540"/>
      <c r="E592" s="540"/>
      <c r="F592" s="539"/>
      <c r="G592" s="539"/>
      <c r="H592" s="539"/>
      <c r="I592" s="539"/>
      <c r="J592" s="539"/>
      <c r="K592" s="539"/>
      <c r="L592" s="539"/>
      <c r="M592" s="539"/>
      <c r="N592" s="539"/>
      <c r="O592" s="539"/>
      <c r="P592" s="539"/>
      <c r="Q592" s="539"/>
      <c r="R592" s="539"/>
      <c r="S592" s="539"/>
      <c r="T592" s="539"/>
      <c r="U592" s="539"/>
      <c r="V592" s="539"/>
      <c r="W592" s="539"/>
      <c r="X592" s="539"/>
      <c r="Y592" s="539"/>
      <c r="Z592" s="539"/>
      <c r="AA592" s="539"/>
      <c r="AB592" s="539"/>
      <c r="AC592" s="539"/>
      <c r="AD592" s="539"/>
      <c r="AE592" s="539"/>
      <c r="AF592" s="539"/>
      <c r="AG592" s="539"/>
      <c r="AH592" s="539"/>
      <c r="AI592" s="539"/>
      <c r="AJ592" s="539"/>
      <c r="AK592" s="539"/>
      <c r="AL592" s="539"/>
      <c r="AM592" s="539"/>
      <c r="AN592" s="539"/>
      <c r="AO592" s="539"/>
      <c r="AP592" s="539"/>
      <c r="AQ592" s="539"/>
      <c r="AR592" s="539"/>
      <c r="AS592" s="539"/>
      <c r="AT592" s="539"/>
      <c r="AU592" s="539"/>
      <c r="AV592" s="539"/>
      <c r="AW592" s="539"/>
      <c r="AX592" s="539"/>
    </row>
    <row r="593" spans="2:50" ht="14.25" customHeight="1" x14ac:dyDescent="0.3">
      <c r="B593" s="957"/>
      <c r="C593" s="540"/>
      <c r="D593" s="540"/>
      <c r="E593" s="540"/>
      <c r="F593" s="539"/>
      <c r="G593" s="539"/>
      <c r="H593" s="539"/>
      <c r="I593" s="539"/>
      <c r="J593" s="539"/>
      <c r="K593" s="539"/>
      <c r="L593" s="539"/>
      <c r="M593" s="539"/>
      <c r="N593" s="539"/>
      <c r="O593" s="539"/>
      <c r="P593" s="539"/>
      <c r="Q593" s="539"/>
      <c r="R593" s="539"/>
      <c r="S593" s="539"/>
      <c r="T593" s="539"/>
      <c r="U593" s="539"/>
      <c r="V593" s="539"/>
      <c r="W593" s="539"/>
      <c r="X593" s="539"/>
      <c r="Y593" s="539"/>
      <c r="Z593" s="539"/>
      <c r="AA593" s="539"/>
      <c r="AB593" s="539"/>
      <c r="AC593" s="539"/>
      <c r="AD593" s="539"/>
      <c r="AE593" s="539"/>
      <c r="AF593" s="539"/>
      <c r="AG593" s="539"/>
      <c r="AH593" s="539"/>
      <c r="AI593" s="539"/>
      <c r="AJ593" s="539"/>
      <c r="AK593" s="539"/>
      <c r="AL593" s="539"/>
      <c r="AM593" s="539"/>
      <c r="AN593" s="539"/>
      <c r="AO593" s="539"/>
      <c r="AP593" s="539"/>
      <c r="AQ593" s="539"/>
      <c r="AR593" s="539"/>
      <c r="AS593" s="539"/>
      <c r="AT593" s="539"/>
      <c r="AU593" s="539"/>
      <c r="AV593" s="539"/>
      <c r="AW593" s="539"/>
      <c r="AX593" s="539"/>
    </row>
    <row r="594" spans="2:50" ht="14.25" customHeight="1" x14ac:dyDescent="0.3">
      <c r="B594" s="957"/>
      <c r="C594" s="540"/>
      <c r="D594" s="540"/>
      <c r="E594" s="540"/>
      <c r="F594" s="539"/>
      <c r="G594" s="539"/>
      <c r="H594" s="539"/>
      <c r="I594" s="539"/>
      <c r="J594" s="539"/>
      <c r="K594" s="539"/>
      <c r="L594" s="539"/>
      <c r="M594" s="539"/>
      <c r="N594" s="539"/>
      <c r="O594" s="539"/>
      <c r="P594" s="539"/>
      <c r="Q594" s="539"/>
      <c r="R594" s="539"/>
      <c r="S594" s="539"/>
      <c r="T594" s="539"/>
      <c r="U594" s="539"/>
      <c r="V594" s="539"/>
      <c r="W594" s="539"/>
      <c r="X594" s="539"/>
      <c r="Y594" s="539"/>
      <c r="Z594" s="539"/>
      <c r="AA594" s="539"/>
      <c r="AB594" s="539"/>
      <c r="AC594" s="539"/>
      <c r="AD594" s="539"/>
      <c r="AE594" s="539"/>
      <c r="AF594" s="539"/>
      <c r="AG594" s="539"/>
      <c r="AH594" s="539"/>
      <c r="AI594" s="539"/>
      <c r="AJ594" s="539"/>
      <c r="AK594" s="539"/>
      <c r="AL594" s="539"/>
      <c r="AM594" s="539"/>
      <c r="AN594" s="539"/>
      <c r="AO594" s="539"/>
      <c r="AP594" s="539"/>
      <c r="AQ594" s="539"/>
      <c r="AR594" s="539"/>
      <c r="AS594" s="539"/>
      <c r="AT594" s="539"/>
      <c r="AU594" s="539"/>
      <c r="AV594" s="539"/>
      <c r="AW594" s="539"/>
      <c r="AX594" s="539"/>
    </row>
    <row r="595" spans="2:50" ht="14.25" customHeight="1" x14ac:dyDescent="0.3">
      <c r="B595" s="957"/>
      <c r="C595" s="540"/>
      <c r="D595" s="540"/>
      <c r="E595" s="540"/>
      <c r="F595" s="539"/>
      <c r="G595" s="539"/>
      <c r="H595" s="539"/>
      <c r="I595" s="539"/>
      <c r="J595" s="539"/>
      <c r="K595" s="539"/>
      <c r="L595" s="539"/>
      <c r="M595" s="539"/>
      <c r="N595" s="539"/>
      <c r="O595" s="539"/>
      <c r="P595" s="539"/>
      <c r="Q595" s="539"/>
      <c r="R595" s="539"/>
      <c r="S595" s="539"/>
      <c r="T595" s="539"/>
      <c r="U595" s="539"/>
      <c r="V595" s="539"/>
      <c r="W595" s="539"/>
      <c r="X595" s="539"/>
      <c r="Y595" s="539"/>
      <c r="Z595" s="539"/>
      <c r="AA595" s="539"/>
      <c r="AB595" s="539"/>
      <c r="AC595" s="539"/>
      <c r="AD595" s="539"/>
      <c r="AE595" s="539"/>
      <c r="AF595" s="539"/>
      <c r="AG595" s="539"/>
      <c r="AH595" s="539"/>
      <c r="AI595" s="539"/>
      <c r="AJ595" s="539"/>
      <c r="AK595" s="539"/>
      <c r="AL595" s="539"/>
      <c r="AM595" s="539"/>
      <c r="AN595" s="539"/>
      <c r="AO595" s="539"/>
      <c r="AP595" s="539"/>
      <c r="AQ595" s="539"/>
      <c r="AR595" s="539"/>
      <c r="AS595" s="539"/>
      <c r="AT595" s="539"/>
      <c r="AU595" s="539"/>
      <c r="AV595" s="539"/>
      <c r="AW595" s="539"/>
      <c r="AX595" s="539"/>
    </row>
    <row r="596" spans="2:50" ht="14.25" customHeight="1" x14ac:dyDescent="0.3">
      <c r="B596" s="957"/>
      <c r="C596" s="540"/>
      <c r="D596" s="540"/>
      <c r="E596" s="540"/>
      <c r="F596" s="539"/>
      <c r="G596" s="539"/>
      <c r="H596" s="539"/>
      <c r="I596" s="539"/>
      <c r="J596" s="539"/>
      <c r="K596" s="539"/>
      <c r="L596" s="539"/>
      <c r="M596" s="539"/>
      <c r="N596" s="539"/>
      <c r="O596" s="539"/>
      <c r="P596" s="539"/>
      <c r="Q596" s="539"/>
      <c r="R596" s="539"/>
      <c r="S596" s="539"/>
      <c r="T596" s="539"/>
      <c r="U596" s="539"/>
      <c r="V596" s="539"/>
      <c r="W596" s="539"/>
      <c r="X596" s="539"/>
      <c r="Y596" s="539"/>
      <c r="Z596" s="539"/>
      <c r="AA596" s="539"/>
      <c r="AB596" s="539"/>
      <c r="AC596" s="539"/>
      <c r="AD596" s="539"/>
      <c r="AE596" s="539"/>
      <c r="AF596" s="539"/>
      <c r="AG596" s="539"/>
      <c r="AH596" s="539"/>
      <c r="AI596" s="539"/>
      <c r="AJ596" s="539"/>
      <c r="AK596" s="539"/>
      <c r="AL596" s="539"/>
      <c r="AM596" s="539"/>
      <c r="AN596" s="539"/>
      <c r="AO596" s="539"/>
      <c r="AP596" s="539"/>
      <c r="AQ596" s="539"/>
      <c r="AR596" s="539"/>
      <c r="AS596" s="539"/>
      <c r="AT596" s="539"/>
      <c r="AU596" s="539"/>
      <c r="AV596" s="539"/>
      <c r="AW596" s="539"/>
      <c r="AX596" s="539"/>
    </row>
    <row r="597" spans="2:50" ht="14.25" customHeight="1" x14ac:dyDescent="0.3">
      <c r="B597" s="957"/>
      <c r="C597" s="540"/>
      <c r="D597" s="540"/>
      <c r="E597" s="540"/>
      <c r="F597" s="539"/>
      <c r="G597" s="539"/>
      <c r="H597" s="539"/>
      <c r="I597" s="539"/>
      <c r="J597" s="539"/>
      <c r="K597" s="539"/>
      <c r="L597" s="539"/>
      <c r="M597" s="539"/>
      <c r="N597" s="539"/>
      <c r="O597" s="539"/>
      <c r="P597" s="539"/>
      <c r="Q597" s="539"/>
      <c r="R597" s="539"/>
      <c r="S597" s="539"/>
      <c r="T597" s="539"/>
      <c r="U597" s="539"/>
      <c r="V597" s="539"/>
      <c r="W597" s="539"/>
      <c r="X597" s="539"/>
      <c r="Y597" s="539"/>
      <c r="Z597" s="539"/>
      <c r="AA597" s="539"/>
      <c r="AB597" s="539"/>
      <c r="AC597" s="539"/>
      <c r="AD597" s="539"/>
      <c r="AE597" s="539"/>
      <c r="AF597" s="539"/>
      <c r="AG597" s="539"/>
      <c r="AH597" s="539"/>
      <c r="AI597" s="539"/>
      <c r="AJ597" s="539"/>
      <c r="AK597" s="539"/>
      <c r="AL597" s="539"/>
      <c r="AM597" s="539"/>
      <c r="AN597" s="539"/>
      <c r="AO597" s="539"/>
      <c r="AP597" s="539"/>
      <c r="AQ597" s="539"/>
      <c r="AR597" s="539"/>
      <c r="AS597" s="539"/>
      <c r="AT597" s="539"/>
      <c r="AU597" s="539"/>
      <c r="AV597" s="539"/>
      <c r="AW597" s="539"/>
      <c r="AX597" s="539"/>
    </row>
    <row r="598" spans="2:50" ht="14.25" customHeight="1" x14ac:dyDescent="0.3">
      <c r="B598" s="957"/>
      <c r="C598" s="540"/>
      <c r="D598" s="540"/>
      <c r="E598" s="540"/>
      <c r="F598" s="539"/>
      <c r="G598" s="539"/>
      <c r="H598" s="539"/>
      <c r="I598" s="539"/>
      <c r="J598" s="539"/>
      <c r="K598" s="539"/>
      <c r="L598" s="539"/>
      <c r="M598" s="539"/>
      <c r="N598" s="539"/>
      <c r="O598" s="539"/>
      <c r="P598" s="539"/>
      <c r="Q598" s="539"/>
      <c r="R598" s="539"/>
      <c r="S598" s="539"/>
      <c r="T598" s="539"/>
      <c r="U598" s="539"/>
      <c r="V598" s="539"/>
      <c r="W598" s="539"/>
      <c r="X598" s="539"/>
      <c r="Y598" s="539"/>
      <c r="Z598" s="539"/>
      <c r="AA598" s="539"/>
      <c r="AB598" s="539"/>
      <c r="AC598" s="539"/>
      <c r="AD598" s="539"/>
      <c r="AE598" s="539"/>
      <c r="AF598" s="539"/>
      <c r="AG598" s="539"/>
      <c r="AH598" s="539"/>
      <c r="AI598" s="539"/>
      <c r="AJ598" s="539"/>
      <c r="AK598" s="539"/>
      <c r="AL598" s="539"/>
      <c r="AM598" s="539"/>
      <c r="AN598" s="539"/>
      <c r="AO598" s="539"/>
      <c r="AP598" s="539"/>
      <c r="AQ598" s="539"/>
      <c r="AR598" s="539"/>
      <c r="AS598" s="539"/>
      <c r="AT598" s="539"/>
      <c r="AU598" s="539"/>
      <c r="AV598" s="539"/>
      <c r="AW598" s="539"/>
      <c r="AX598" s="539"/>
    </row>
    <row r="599" spans="2:50" ht="14.25" customHeight="1" x14ac:dyDescent="0.3">
      <c r="B599" s="957"/>
      <c r="C599" s="540"/>
      <c r="D599" s="540"/>
      <c r="E599" s="540"/>
      <c r="F599" s="539"/>
      <c r="G599" s="539"/>
      <c r="H599" s="539"/>
      <c r="I599" s="539"/>
      <c r="J599" s="539"/>
      <c r="K599" s="539"/>
      <c r="L599" s="539"/>
      <c r="M599" s="539"/>
      <c r="N599" s="539"/>
      <c r="O599" s="539"/>
      <c r="P599" s="539"/>
      <c r="Q599" s="539"/>
      <c r="R599" s="539"/>
      <c r="S599" s="539"/>
      <c r="T599" s="539"/>
      <c r="U599" s="539"/>
      <c r="V599" s="539"/>
      <c r="W599" s="539"/>
      <c r="X599" s="539"/>
      <c r="Y599" s="539"/>
      <c r="Z599" s="539"/>
      <c r="AA599" s="539"/>
      <c r="AB599" s="539"/>
      <c r="AC599" s="539"/>
      <c r="AD599" s="539"/>
      <c r="AE599" s="539"/>
      <c r="AF599" s="539"/>
      <c r="AG599" s="539"/>
      <c r="AH599" s="539"/>
      <c r="AI599" s="539"/>
      <c r="AJ599" s="539"/>
      <c r="AK599" s="539"/>
      <c r="AL599" s="539"/>
      <c r="AM599" s="539"/>
      <c r="AN599" s="539"/>
      <c r="AO599" s="539"/>
      <c r="AP599" s="539"/>
      <c r="AQ599" s="539"/>
      <c r="AR599" s="539"/>
      <c r="AS599" s="539"/>
      <c r="AT599" s="539"/>
      <c r="AU599" s="539"/>
      <c r="AV599" s="539"/>
      <c r="AW599" s="539"/>
      <c r="AX599" s="539"/>
    </row>
    <row r="600" spans="2:50" ht="14.25" customHeight="1" x14ac:dyDescent="0.3">
      <c r="B600" s="957"/>
      <c r="C600" s="540"/>
      <c r="D600" s="540"/>
      <c r="E600" s="540"/>
      <c r="F600" s="539"/>
      <c r="G600" s="539"/>
      <c r="H600" s="539"/>
      <c r="I600" s="539"/>
      <c r="J600" s="539"/>
      <c r="K600" s="539"/>
      <c r="L600" s="539"/>
      <c r="M600" s="539"/>
      <c r="N600" s="539"/>
      <c r="O600" s="539"/>
      <c r="P600" s="539"/>
      <c r="Q600" s="539"/>
      <c r="R600" s="539"/>
      <c r="S600" s="539"/>
      <c r="T600" s="539"/>
      <c r="U600" s="539"/>
      <c r="V600" s="539"/>
      <c r="W600" s="539"/>
      <c r="X600" s="539"/>
      <c r="Y600" s="539"/>
      <c r="Z600" s="539"/>
      <c r="AA600" s="539"/>
      <c r="AB600" s="539"/>
      <c r="AC600" s="539"/>
      <c r="AD600" s="539"/>
      <c r="AE600" s="539"/>
      <c r="AF600" s="539"/>
      <c r="AG600" s="539"/>
      <c r="AH600" s="539"/>
      <c r="AI600" s="539"/>
      <c r="AJ600" s="539"/>
      <c r="AK600" s="539"/>
      <c r="AL600" s="539"/>
      <c r="AM600" s="539"/>
      <c r="AN600" s="539"/>
      <c r="AO600" s="539"/>
      <c r="AP600" s="539"/>
      <c r="AQ600" s="539"/>
      <c r="AR600" s="539"/>
      <c r="AS600" s="539"/>
      <c r="AT600" s="539"/>
      <c r="AU600" s="539"/>
      <c r="AV600" s="539"/>
      <c r="AW600" s="539"/>
      <c r="AX600" s="539"/>
    </row>
    <row r="601" spans="2:50" ht="14.25" customHeight="1" x14ac:dyDescent="0.3">
      <c r="B601" s="957"/>
      <c r="C601" s="540"/>
      <c r="D601" s="540"/>
      <c r="E601" s="540"/>
      <c r="F601" s="539"/>
      <c r="G601" s="539"/>
      <c r="H601" s="539"/>
      <c r="I601" s="539"/>
      <c r="J601" s="539"/>
      <c r="K601" s="539"/>
      <c r="L601" s="539"/>
      <c r="M601" s="539"/>
      <c r="N601" s="539"/>
      <c r="O601" s="539"/>
      <c r="P601" s="539"/>
      <c r="Q601" s="539"/>
      <c r="R601" s="539"/>
      <c r="S601" s="539"/>
      <c r="T601" s="539"/>
      <c r="U601" s="539"/>
      <c r="V601" s="539"/>
      <c r="W601" s="539"/>
      <c r="X601" s="539"/>
      <c r="Y601" s="539"/>
      <c r="Z601" s="539"/>
      <c r="AA601" s="539"/>
      <c r="AB601" s="539"/>
      <c r="AC601" s="539"/>
      <c r="AD601" s="539"/>
      <c r="AE601" s="539"/>
      <c r="AF601" s="539"/>
      <c r="AG601" s="539"/>
      <c r="AH601" s="539"/>
      <c r="AI601" s="539"/>
      <c r="AJ601" s="539"/>
      <c r="AK601" s="539"/>
      <c r="AL601" s="539"/>
      <c r="AM601" s="539"/>
      <c r="AN601" s="539"/>
      <c r="AO601" s="539"/>
      <c r="AP601" s="539"/>
      <c r="AQ601" s="539"/>
      <c r="AR601" s="539"/>
      <c r="AS601" s="539"/>
      <c r="AT601" s="539"/>
      <c r="AU601" s="539"/>
      <c r="AV601" s="539"/>
      <c r="AW601" s="539"/>
      <c r="AX601" s="539"/>
    </row>
    <row r="602" spans="2:50" ht="14.25" customHeight="1" x14ac:dyDescent="0.3">
      <c r="B602" s="957"/>
      <c r="C602" s="540"/>
      <c r="D602" s="540"/>
      <c r="E602" s="540"/>
      <c r="F602" s="539"/>
      <c r="G602" s="539"/>
      <c r="H602" s="539"/>
      <c r="I602" s="539"/>
      <c r="J602" s="539"/>
      <c r="K602" s="539"/>
      <c r="L602" s="539"/>
      <c r="M602" s="539"/>
      <c r="N602" s="539"/>
      <c r="O602" s="539"/>
      <c r="P602" s="539"/>
      <c r="Q602" s="539"/>
      <c r="R602" s="539"/>
      <c r="S602" s="539"/>
      <c r="T602" s="539"/>
      <c r="U602" s="539"/>
      <c r="V602" s="539"/>
      <c r="W602" s="539"/>
      <c r="X602" s="539"/>
      <c r="Y602" s="539"/>
      <c r="Z602" s="539"/>
      <c r="AA602" s="539"/>
      <c r="AB602" s="539"/>
      <c r="AC602" s="539"/>
      <c r="AD602" s="539"/>
      <c r="AE602" s="539"/>
      <c r="AF602" s="539"/>
      <c r="AG602" s="539"/>
      <c r="AH602" s="539"/>
      <c r="AI602" s="539"/>
      <c r="AJ602" s="539"/>
      <c r="AK602" s="539"/>
      <c r="AL602" s="539"/>
      <c r="AM602" s="539"/>
      <c r="AN602" s="539"/>
      <c r="AO602" s="539"/>
      <c r="AP602" s="539"/>
      <c r="AQ602" s="539"/>
      <c r="AR602" s="539"/>
      <c r="AS602" s="539"/>
      <c r="AT602" s="539"/>
      <c r="AU602" s="539"/>
      <c r="AV602" s="539"/>
      <c r="AW602" s="539"/>
      <c r="AX602" s="539"/>
    </row>
    <row r="603" spans="2:50" ht="14.25" customHeight="1" x14ac:dyDescent="0.3">
      <c r="B603" s="957"/>
      <c r="C603" s="540"/>
      <c r="D603" s="540"/>
      <c r="E603" s="540"/>
      <c r="F603" s="539"/>
      <c r="G603" s="539"/>
      <c r="H603" s="539"/>
      <c r="I603" s="539"/>
      <c r="J603" s="539"/>
      <c r="K603" s="539"/>
      <c r="L603" s="539"/>
      <c r="M603" s="539"/>
      <c r="N603" s="539"/>
      <c r="O603" s="539"/>
      <c r="P603" s="539"/>
      <c r="Q603" s="539"/>
      <c r="R603" s="539"/>
      <c r="S603" s="539"/>
      <c r="T603" s="539"/>
      <c r="U603" s="539"/>
      <c r="V603" s="539"/>
      <c r="W603" s="539"/>
      <c r="X603" s="539"/>
      <c r="Y603" s="539"/>
      <c r="Z603" s="539"/>
      <c r="AA603" s="539"/>
      <c r="AB603" s="539"/>
      <c r="AC603" s="539"/>
      <c r="AD603" s="539"/>
      <c r="AE603" s="539"/>
      <c r="AF603" s="539"/>
      <c r="AG603" s="539"/>
      <c r="AH603" s="539"/>
      <c r="AI603" s="539"/>
      <c r="AJ603" s="539"/>
      <c r="AK603" s="539"/>
      <c r="AL603" s="539"/>
      <c r="AM603" s="539"/>
      <c r="AN603" s="539"/>
      <c r="AO603" s="539"/>
      <c r="AP603" s="539"/>
      <c r="AQ603" s="539"/>
      <c r="AR603" s="539"/>
      <c r="AS603" s="539"/>
      <c r="AT603" s="539"/>
      <c r="AU603" s="539"/>
      <c r="AV603" s="539"/>
      <c r="AW603" s="539"/>
      <c r="AX603" s="539"/>
    </row>
    <row r="604" spans="2:50" ht="14.25" customHeight="1" x14ac:dyDescent="0.3">
      <c r="B604" s="957"/>
      <c r="C604" s="540"/>
      <c r="D604" s="540"/>
      <c r="E604" s="540"/>
      <c r="F604" s="539"/>
      <c r="G604" s="539"/>
      <c r="H604" s="539"/>
      <c r="I604" s="539"/>
      <c r="J604" s="539"/>
      <c r="K604" s="539"/>
      <c r="L604" s="539"/>
      <c r="M604" s="539"/>
      <c r="N604" s="539"/>
      <c r="O604" s="539"/>
      <c r="P604" s="539"/>
      <c r="Q604" s="539"/>
      <c r="R604" s="539"/>
      <c r="S604" s="539"/>
      <c r="T604" s="539"/>
      <c r="U604" s="539"/>
      <c r="V604" s="539"/>
      <c r="W604" s="539"/>
      <c r="X604" s="539"/>
      <c r="Y604" s="539"/>
      <c r="Z604" s="539"/>
      <c r="AA604" s="539"/>
      <c r="AB604" s="539"/>
      <c r="AC604" s="539"/>
      <c r="AD604" s="539"/>
      <c r="AE604" s="539"/>
      <c r="AF604" s="539"/>
      <c r="AG604" s="539"/>
      <c r="AH604" s="539"/>
      <c r="AI604" s="539"/>
      <c r="AJ604" s="539"/>
      <c r="AK604" s="539"/>
      <c r="AL604" s="539"/>
      <c r="AM604" s="539"/>
      <c r="AN604" s="539"/>
      <c r="AO604" s="539"/>
      <c r="AP604" s="539"/>
      <c r="AQ604" s="539"/>
      <c r="AR604" s="539"/>
      <c r="AS604" s="539"/>
      <c r="AT604" s="539"/>
      <c r="AU604" s="539"/>
      <c r="AV604" s="539"/>
      <c r="AW604" s="539"/>
      <c r="AX604" s="539"/>
    </row>
    <row r="605" spans="2:50" ht="14.25" customHeight="1" x14ac:dyDescent="0.3">
      <c r="B605" s="957"/>
      <c r="C605" s="540"/>
      <c r="D605" s="540"/>
      <c r="E605" s="540"/>
      <c r="F605" s="539"/>
      <c r="G605" s="539"/>
      <c r="H605" s="539"/>
      <c r="I605" s="539"/>
      <c r="J605" s="539"/>
      <c r="K605" s="539"/>
      <c r="L605" s="539"/>
      <c r="M605" s="539"/>
      <c r="N605" s="539"/>
      <c r="O605" s="539"/>
      <c r="P605" s="539"/>
      <c r="Q605" s="539"/>
      <c r="R605" s="539"/>
      <c r="S605" s="539"/>
      <c r="T605" s="539"/>
      <c r="U605" s="539"/>
      <c r="V605" s="539"/>
      <c r="W605" s="539"/>
      <c r="X605" s="539"/>
      <c r="Y605" s="539"/>
      <c r="Z605" s="539"/>
      <c r="AA605" s="539"/>
      <c r="AB605" s="539"/>
      <c r="AC605" s="539"/>
      <c r="AD605" s="539"/>
      <c r="AE605" s="539"/>
      <c r="AF605" s="539"/>
      <c r="AG605" s="539"/>
      <c r="AH605" s="539"/>
      <c r="AI605" s="539"/>
      <c r="AJ605" s="539"/>
      <c r="AK605" s="539"/>
      <c r="AL605" s="539"/>
      <c r="AM605" s="539"/>
      <c r="AN605" s="539"/>
      <c r="AO605" s="539"/>
      <c r="AP605" s="539"/>
      <c r="AQ605" s="539"/>
      <c r="AR605" s="539"/>
      <c r="AS605" s="539"/>
      <c r="AT605" s="539"/>
      <c r="AU605" s="539"/>
      <c r="AV605" s="539"/>
      <c r="AW605" s="539"/>
      <c r="AX605" s="539"/>
    </row>
    <row r="606" spans="2:50" ht="14.25" customHeight="1" x14ac:dyDescent="0.3">
      <c r="B606" s="957"/>
      <c r="C606" s="540"/>
      <c r="D606" s="540"/>
      <c r="E606" s="540"/>
      <c r="F606" s="539"/>
      <c r="G606" s="539"/>
      <c r="H606" s="539"/>
      <c r="I606" s="539"/>
      <c r="J606" s="539"/>
      <c r="K606" s="539"/>
      <c r="L606" s="539"/>
      <c r="M606" s="539"/>
      <c r="N606" s="539"/>
      <c r="O606" s="539"/>
      <c r="P606" s="539"/>
      <c r="Q606" s="539"/>
      <c r="R606" s="539"/>
      <c r="S606" s="539"/>
      <c r="T606" s="539"/>
      <c r="U606" s="539"/>
      <c r="V606" s="539"/>
      <c r="W606" s="539"/>
      <c r="X606" s="539"/>
      <c r="Y606" s="539"/>
      <c r="Z606" s="539"/>
      <c r="AA606" s="539"/>
      <c r="AB606" s="539"/>
      <c r="AC606" s="539"/>
      <c r="AD606" s="539"/>
      <c r="AE606" s="539"/>
      <c r="AF606" s="539"/>
      <c r="AG606" s="539"/>
      <c r="AH606" s="539"/>
      <c r="AI606" s="539"/>
      <c r="AJ606" s="539"/>
      <c r="AK606" s="539"/>
      <c r="AL606" s="539"/>
      <c r="AM606" s="539"/>
      <c r="AN606" s="539"/>
      <c r="AO606" s="539"/>
      <c r="AP606" s="539"/>
      <c r="AQ606" s="539"/>
      <c r="AR606" s="539"/>
      <c r="AS606" s="539"/>
      <c r="AT606" s="539"/>
      <c r="AU606" s="539"/>
      <c r="AV606" s="539"/>
      <c r="AW606" s="539"/>
      <c r="AX606" s="539"/>
    </row>
    <row r="607" spans="2:50" ht="14.25" customHeight="1" x14ac:dyDescent="0.3">
      <c r="B607" s="957"/>
      <c r="C607" s="540"/>
      <c r="D607" s="540"/>
      <c r="E607" s="540"/>
      <c r="F607" s="539"/>
      <c r="G607" s="539"/>
      <c r="H607" s="539"/>
      <c r="I607" s="539"/>
      <c r="J607" s="539"/>
      <c r="K607" s="539"/>
      <c r="L607" s="539"/>
      <c r="M607" s="539"/>
      <c r="N607" s="539"/>
      <c r="O607" s="539"/>
      <c r="P607" s="539"/>
      <c r="Q607" s="539"/>
      <c r="R607" s="539"/>
      <c r="S607" s="539"/>
      <c r="T607" s="539"/>
      <c r="U607" s="539"/>
      <c r="V607" s="539"/>
      <c r="W607" s="539"/>
      <c r="X607" s="539"/>
      <c r="Y607" s="539"/>
      <c r="Z607" s="539"/>
      <c r="AA607" s="539"/>
      <c r="AB607" s="539"/>
      <c r="AC607" s="539"/>
      <c r="AD607" s="539"/>
      <c r="AE607" s="539"/>
      <c r="AF607" s="539"/>
      <c r="AG607" s="539"/>
      <c r="AH607" s="539"/>
      <c r="AI607" s="539"/>
      <c r="AJ607" s="539"/>
      <c r="AK607" s="539"/>
      <c r="AL607" s="539"/>
      <c r="AM607" s="539"/>
      <c r="AN607" s="539"/>
      <c r="AO607" s="539"/>
      <c r="AP607" s="539"/>
      <c r="AQ607" s="539"/>
      <c r="AR607" s="539"/>
      <c r="AS607" s="539"/>
      <c r="AT607" s="539"/>
      <c r="AU607" s="539"/>
      <c r="AV607" s="539"/>
      <c r="AW607" s="539"/>
      <c r="AX607" s="539"/>
    </row>
    <row r="608" spans="2:50" ht="14.25" customHeight="1" x14ac:dyDescent="0.3">
      <c r="B608" s="957"/>
      <c r="C608" s="540"/>
      <c r="D608" s="540"/>
      <c r="E608" s="540"/>
      <c r="F608" s="539"/>
      <c r="G608" s="539"/>
      <c r="H608" s="539"/>
      <c r="I608" s="539"/>
      <c r="J608" s="539"/>
      <c r="K608" s="539"/>
      <c r="L608" s="539"/>
      <c r="M608" s="539"/>
      <c r="N608" s="539"/>
      <c r="O608" s="539"/>
      <c r="P608" s="539"/>
      <c r="Q608" s="539"/>
      <c r="R608" s="539"/>
      <c r="S608" s="539"/>
      <c r="T608" s="539"/>
      <c r="U608" s="539"/>
      <c r="V608" s="539"/>
      <c r="W608" s="539"/>
      <c r="X608" s="539"/>
      <c r="Y608" s="539"/>
      <c r="Z608" s="539"/>
      <c r="AA608" s="539"/>
      <c r="AB608" s="539"/>
      <c r="AC608" s="539"/>
      <c r="AD608" s="539"/>
      <c r="AE608" s="539"/>
      <c r="AF608" s="539"/>
      <c r="AG608" s="539"/>
      <c r="AH608" s="539"/>
      <c r="AI608" s="539"/>
      <c r="AJ608" s="539"/>
      <c r="AK608" s="539"/>
      <c r="AL608" s="539"/>
      <c r="AM608" s="539"/>
      <c r="AN608" s="539"/>
      <c r="AO608" s="539"/>
      <c r="AP608" s="539"/>
      <c r="AQ608" s="539"/>
      <c r="AR608" s="539"/>
      <c r="AS608" s="539"/>
      <c r="AT608" s="539"/>
      <c r="AU608" s="539"/>
      <c r="AV608" s="539"/>
      <c r="AW608" s="539"/>
      <c r="AX608" s="539"/>
    </row>
    <row r="609" spans="2:50" ht="14.25" customHeight="1" x14ac:dyDescent="0.3">
      <c r="B609" s="957"/>
      <c r="C609" s="540"/>
      <c r="D609" s="540"/>
      <c r="E609" s="540"/>
      <c r="F609" s="539"/>
      <c r="G609" s="539"/>
      <c r="H609" s="539"/>
      <c r="I609" s="539"/>
      <c r="J609" s="539"/>
      <c r="K609" s="539"/>
      <c r="L609" s="539"/>
      <c r="M609" s="539"/>
      <c r="N609" s="539"/>
      <c r="O609" s="539"/>
      <c r="P609" s="539"/>
      <c r="Q609" s="539"/>
      <c r="R609" s="539"/>
      <c r="S609" s="539"/>
      <c r="T609" s="539"/>
      <c r="U609" s="539"/>
      <c r="V609" s="539"/>
      <c r="W609" s="539"/>
      <c r="X609" s="539"/>
      <c r="Y609" s="539"/>
      <c r="Z609" s="539"/>
      <c r="AA609" s="539"/>
      <c r="AB609" s="539"/>
      <c r="AC609" s="539"/>
      <c r="AD609" s="539"/>
      <c r="AE609" s="539"/>
      <c r="AF609" s="539"/>
      <c r="AG609" s="539"/>
      <c r="AH609" s="539"/>
      <c r="AI609" s="539"/>
      <c r="AJ609" s="539"/>
      <c r="AK609" s="539"/>
      <c r="AL609" s="539"/>
      <c r="AM609" s="539"/>
      <c r="AN609" s="539"/>
      <c r="AO609" s="539"/>
      <c r="AP609" s="539"/>
      <c r="AQ609" s="539"/>
      <c r="AR609" s="539"/>
      <c r="AS609" s="539"/>
      <c r="AT609" s="539"/>
      <c r="AU609" s="539"/>
      <c r="AV609" s="539"/>
      <c r="AW609" s="539"/>
      <c r="AX609" s="539"/>
    </row>
    <row r="610" spans="2:50" ht="14.25" customHeight="1" x14ac:dyDescent="0.3">
      <c r="B610" s="957"/>
      <c r="C610" s="540"/>
      <c r="D610" s="540"/>
      <c r="E610" s="540"/>
      <c r="F610" s="539"/>
      <c r="G610" s="539"/>
      <c r="H610" s="539"/>
      <c r="I610" s="539"/>
      <c r="J610" s="539"/>
      <c r="K610" s="539"/>
      <c r="L610" s="539"/>
      <c r="M610" s="539"/>
      <c r="N610" s="539"/>
      <c r="O610" s="539"/>
      <c r="P610" s="539"/>
      <c r="Q610" s="539"/>
      <c r="R610" s="539"/>
      <c r="S610" s="539"/>
      <c r="T610" s="539"/>
      <c r="U610" s="539"/>
      <c r="V610" s="539"/>
      <c r="W610" s="539"/>
      <c r="X610" s="539"/>
      <c r="Y610" s="539"/>
      <c r="Z610" s="539"/>
      <c r="AA610" s="539"/>
      <c r="AB610" s="539"/>
      <c r="AC610" s="539"/>
      <c r="AD610" s="539"/>
      <c r="AE610" s="539"/>
      <c r="AF610" s="539"/>
      <c r="AG610" s="539"/>
      <c r="AH610" s="539"/>
      <c r="AI610" s="539"/>
      <c r="AJ610" s="539"/>
      <c r="AK610" s="539"/>
      <c r="AL610" s="539"/>
      <c r="AM610" s="539"/>
      <c r="AN610" s="539"/>
      <c r="AO610" s="539"/>
      <c r="AP610" s="539"/>
      <c r="AQ610" s="539"/>
      <c r="AR610" s="539"/>
      <c r="AS610" s="539"/>
      <c r="AT610" s="539"/>
      <c r="AU610" s="539"/>
      <c r="AV610" s="539"/>
      <c r="AW610" s="539"/>
      <c r="AX610" s="539"/>
    </row>
    <row r="611" spans="2:50" ht="14.25" customHeight="1" x14ac:dyDescent="0.3">
      <c r="B611" s="957"/>
      <c r="C611" s="540"/>
      <c r="D611" s="540"/>
      <c r="E611" s="540"/>
      <c r="F611" s="539"/>
      <c r="G611" s="539"/>
      <c r="H611" s="539"/>
      <c r="I611" s="539"/>
      <c r="J611" s="539"/>
      <c r="K611" s="539"/>
      <c r="L611" s="539"/>
      <c r="M611" s="539"/>
      <c r="N611" s="539"/>
      <c r="O611" s="539"/>
      <c r="P611" s="539"/>
      <c r="Q611" s="539"/>
      <c r="R611" s="539"/>
      <c r="S611" s="539"/>
      <c r="T611" s="539"/>
      <c r="U611" s="539"/>
      <c r="V611" s="539"/>
      <c r="W611" s="539"/>
      <c r="X611" s="539"/>
      <c r="Y611" s="539"/>
      <c r="Z611" s="539"/>
      <c r="AA611" s="539"/>
      <c r="AB611" s="539"/>
      <c r="AC611" s="539"/>
      <c r="AD611" s="539"/>
      <c r="AE611" s="539"/>
      <c r="AF611" s="539"/>
      <c r="AG611" s="539"/>
      <c r="AH611" s="539"/>
      <c r="AI611" s="539"/>
      <c r="AJ611" s="539"/>
      <c r="AK611" s="539"/>
      <c r="AL611" s="539"/>
      <c r="AM611" s="539"/>
      <c r="AN611" s="539"/>
      <c r="AO611" s="539"/>
      <c r="AP611" s="539"/>
      <c r="AQ611" s="539"/>
      <c r="AR611" s="539"/>
      <c r="AS611" s="539"/>
      <c r="AT611" s="539"/>
      <c r="AU611" s="539"/>
      <c r="AV611" s="539"/>
      <c r="AW611" s="539"/>
      <c r="AX611" s="539"/>
    </row>
    <row r="612" spans="2:50" ht="14.25" customHeight="1" x14ac:dyDescent="0.3">
      <c r="B612" s="957"/>
      <c r="C612" s="540"/>
      <c r="D612" s="540"/>
      <c r="E612" s="540"/>
      <c r="F612" s="539"/>
      <c r="G612" s="539"/>
      <c r="H612" s="539"/>
      <c r="I612" s="539"/>
      <c r="J612" s="539"/>
      <c r="K612" s="539"/>
      <c r="L612" s="539"/>
      <c r="M612" s="539"/>
      <c r="N612" s="539"/>
      <c r="O612" s="539"/>
      <c r="P612" s="539"/>
      <c r="Q612" s="539"/>
      <c r="R612" s="539"/>
      <c r="S612" s="539"/>
      <c r="T612" s="539"/>
      <c r="U612" s="539"/>
      <c r="V612" s="539"/>
      <c r="W612" s="539"/>
      <c r="X612" s="539"/>
      <c r="Y612" s="539"/>
      <c r="Z612" s="539"/>
      <c r="AA612" s="539"/>
      <c r="AB612" s="539"/>
      <c r="AC612" s="539"/>
      <c r="AD612" s="539"/>
      <c r="AE612" s="539"/>
      <c r="AF612" s="539"/>
      <c r="AG612" s="539"/>
      <c r="AH612" s="539"/>
      <c r="AI612" s="539"/>
      <c r="AJ612" s="539"/>
      <c r="AK612" s="539"/>
      <c r="AL612" s="539"/>
      <c r="AM612" s="539"/>
      <c r="AN612" s="539"/>
      <c r="AO612" s="539"/>
      <c r="AP612" s="539"/>
      <c r="AQ612" s="539"/>
      <c r="AR612" s="539"/>
      <c r="AS612" s="539"/>
      <c r="AT612" s="539"/>
      <c r="AU612" s="539"/>
      <c r="AV612" s="539"/>
      <c r="AW612" s="539"/>
      <c r="AX612" s="539"/>
    </row>
    <row r="613" spans="2:50" ht="14.25" customHeight="1" x14ac:dyDescent="0.3">
      <c r="B613" s="957"/>
      <c r="C613" s="540"/>
      <c r="D613" s="540"/>
      <c r="E613" s="540"/>
      <c r="F613" s="539"/>
      <c r="G613" s="539"/>
      <c r="H613" s="539"/>
      <c r="I613" s="539"/>
      <c r="J613" s="539"/>
      <c r="K613" s="539"/>
      <c r="L613" s="539"/>
      <c r="M613" s="539"/>
      <c r="N613" s="539"/>
      <c r="O613" s="539"/>
      <c r="P613" s="539"/>
      <c r="Q613" s="539"/>
      <c r="R613" s="539"/>
      <c r="S613" s="539"/>
      <c r="T613" s="539"/>
      <c r="U613" s="539"/>
      <c r="V613" s="539"/>
      <c r="W613" s="539"/>
      <c r="X613" s="539"/>
      <c r="Y613" s="539"/>
      <c r="Z613" s="539"/>
      <c r="AA613" s="539"/>
      <c r="AB613" s="539"/>
      <c r="AC613" s="539"/>
      <c r="AD613" s="539"/>
      <c r="AE613" s="539"/>
      <c r="AF613" s="539"/>
      <c r="AG613" s="539"/>
      <c r="AH613" s="539"/>
      <c r="AI613" s="539"/>
      <c r="AJ613" s="539"/>
      <c r="AK613" s="539"/>
      <c r="AL613" s="539"/>
      <c r="AM613" s="539"/>
      <c r="AN613" s="539"/>
      <c r="AO613" s="539"/>
      <c r="AP613" s="539"/>
      <c r="AQ613" s="539"/>
      <c r="AR613" s="539"/>
      <c r="AS613" s="539"/>
      <c r="AT613" s="539"/>
      <c r="AU613" s="539"/>
      <c r="AV613" s="539"/>
      <c r="AW613" s="539"/>
      <c r="AX613" s="539"/>
    </row>
    <row r="614" spans="2:50" ht="14.25" customHeight="1" x14ac:dyDescent="0.3">
      <c r="B614" s="957"/>
      <c r="C614" s="540"/>
      <c r="D614" s="540"/>
      <c r="E614" s="540"/>
      <c r="F614" s="539"/>
      <c r="G614" s="539"/>
      <c r="H614" s="539"/>
      <c r="I614" s="539"/>
      <c r="J614" s="539"/>
      <c r="K614" s="539"/>
      <c r="L614" s="539"/>
      <c r="M614" s="539"/>
      <c r="N614" s="539"/>
      <c r="O614" s="539"/>
      <c r="P614" s="539"/>
      <c r="Q614" s="539"/>
      <c r="R614" s="539"/>
      <c r="S614" s="539"/>
      <c r="T614" s="539"/>
      <c r="U614" s="539"/>
      <c r="V614" s="539"/>
      <c r="W614" s="539"/>
      <c r="X614" s="539"/>
      <c r="Y614" s="539"/>
      <c r="Z614" s="539"/>
      <c r="AA614" s="539"/>
      <c r="AB614" s="539"/>
      <c r="AC614" s="539"/>
      <c r="AD614" s="539"/>
      <c r="AE614" s="539"/>
      <c r="AF614" s="539"/>
      <c r="AG614" s="539"/>
      <c r="AH614" s="539"/>
      <c r="AI614" s="539"/>
      <c r="AJ614" s="539"/>
      <c r="AK614" s="539"/>
      <c r="AL614" s="539"/>
      <c r="AM614" s="539"/>
      <c r="AN614" s="539"/>
      <c r="AO614" s="539"/>
      <c r="AP614" s="539"/>
      <c r="AQ614" s="539"/>
      <c r="AR614" s="539"/>
      <c r="AS614" s="539"/>
      <c r="AT614" s="539"/>
      <c r="AU614" s="539"/>
      <c r="AV614" s="539"/>
      <c r="AW614" s="539"/>
      <c r="AX614" s="539"/>
    </row>
    <row r="615" spans="2:50" ht="14.25" customHeight="1" x14ac:dyDescent="0.3">
      <c r="B615" s="957"/>
      <c r="C615" s="540"/>
      <c r="D615" s="540"/>
      <c r="E615" s="540"/>
      <c r="F615" s="539"/>
      <c r="G615" s="539"/>
      <c r="H615" s="539"/>
      <c r="I615" s="539"/>
      <c r="J615" s="539"/>
      <c r="K615" s="539"/>
      <c r="L615" s="539"/>
      <c r="M615" s="539"/>
      <c r="N615" s="539"/>
      <c r="O615" s="539"/>
      <c r="P615" s="539"/>
      <c r="Q615" s="539"/>
      <c r="R615" s="539"/>
      <c r="S615" s="539"/>
      <c r="T615" s="539"/>
      <c r="U615" s="539"/>
      <c r="V615" s="539"/>
      <c r="W615" s="539"/>
      <c r="X615" s="539"/>
      <c r="Y615" s="539"/>
      <c r="Z615" s="539"/>
      <c r="AA615" s="539"/>
      <c r="AB615" s="539"/>
      <c r="AC615" s="539"/>
      <c r="AD615" s="539"/>
      <c r="AE615" s="539"/>
      <c r="AF615" s="539"/>
      <c r="AG615" s="539"/>
      <c r="AH615" s="539"/>
      <c r="AI615" s="539"/>
      <c r="AJ615" s="539"/>
      <c r="AK615" s="539"/>
      <c r="AL615" s="539"/>
      <c r="AM615" s="539"/>
      <c r="AN615" s="539"/>
      <c r="AO615" s="539"/>
      <c r="AP615" s="539"/>
      <c r="AQ615" s="539"/>
      <c r="AR615" s="539"/>
      <c r="AS615" s="539"/>
      <c r="AT615" s="539"/>
      <c r="AU615" s="539"/>
      <c r="AV615" s="539"/>
      <c r="AW615" s="539"/>
      <c r="AX615" s="539"/>
    </row>
    <row r="616" spans="2:50" ht="14.25" customHeight="1" x14ac:dyDescent="0.3">
      <c r="B616" s="957"/>
      <c r="C616" s="540"/>
      <c r="D616" s="540"/>
      <c r="E616" s="540"/>
      <c r="F616" s="539"/>
      <c r="G616" s="539"/>
      <c r="H616" s="539"/>
      <c r="I616" s="539"/>
      <c r="J616" s="539"/>
      <c r="K616" s="539"/>
      <c r="L616" s="539"/>
      <c r="M616" s="539"/>
      <c r="N616" s="539"/>
      <c r="O616" s="539"/>
      <c r="P616" s="539"/>
      <c r="Q616" s="539"/>
      <c r="R616" s="539"/>
      <c r="S616" s="539"/>
      <c r="T616" s="539"/>
      <c r="U616" s="539"/>
      <c r="V616" s="539"/>
      <c r="W616" s="539"/>
      <c r="X616" s="539"/>
      <c r="Y616" s="539"/>
      <c r="Z616" s="539"/>
      <c r="AA616" s="539"/>
      <c r="AB616" s="539"/>
      <c r="AC616" s="539"/>
      <c r="AD616" s="539"/>
      <c r="AE616" s="539"/>
      <c r="AF616" s="539"/>
      <c r="AG616" s="539"/>
      <c r="AH616" s="539"/>
      <c r="AI616" s="539"/>
      <c r="AJ616" s="539"/>
      <c r="AK616" s="539"/>
      <c r="AL616" s="539"/>
      <c r="AM616" s="539"/>
      <c r="AN616" s="539"/>
      <c r="AO616" s="539"/>
      <c r="AP616" s="539"/>
      <c r="AQ616" s="539"/>
      <c r="AR616" s="539"/>
      <c r="AS616" s="539"/>
      <c r="AT616" s="539"/>
      <c r="AU616" s="539"/>
      <c r="AV616" s="539"/>
      <c r="AW616" s="539"/>
      <c r="AX616" s="539"/>
    </row>
    <row r="617" spans="2:50" ht="14.25" customHeight="1" x14ac:dyDescent="0.3">
      <c r="B617" s="957"/>
      <c r="C617" s="540"/>
      <c r="D617" s="540"/>
      <c r="E617" s="540"/>
      <c r="F617" s="539"/>
      <c r="G617" s="539"/>
      <c r="H617" s="539"/>
      <c r="I617" s="539"/>
      <c r="J617" s="539"/>
      <c r="K617" s="539"/>
      <c r="L617" s="539"/>
      <c r="M617" s="539"/>
      <c r="N617" s="539"/>
      <c r="O617" s="539"/>
      <c r="P617" s="539"/>
      <c r="Q617" s="539"/>
      <c r="R617" s="539"/>
      <c r="S617" s="539"/>
      <c r="T617" s="539"/>
      <c r="U617" s="539"/>
      <c r="V617" s="539"/>
      <c r="W617" s="539"/>
      <c r="X617" s="539"/>
      <c r="Y617" s="539"/>
      <c r="Z617" s="539"/>
      <c r="AA617" s="539"/>
      <c r="AB617" s="539"/>
      <c r="AC617" s="539"/>
      <c r="AD617" s="539"/>
      <c r="AE617" s="539"/>
      <c r="AF617" s="539"/>
      <c r="AG617" s="539"/>
      <c r="AH617" s="539"/>
      <c r="AI617" s="539"/>
      <c r="AJ617" s="539"/>
      <c r="AK617" s="539"/>
      <c r="AL617" s="539"/>
      <c r="AM617" s="539"/>
      <c r="AN617" s="539"/>
      <c r="AO617" s="539"/>
      <c r="AP617" s="539"/>
      <c r="AQ617" s="539"/>
      <c r="AR617" s="539"/>
      <c r="AS617" s="539"/>
      <c r="AT617" s="539"/>
      <c r="AU617" s="539"/>
      <c r="AV617" s="539"/>
      <c r="AW617" s="539"/>
      <c r="AX617" s="539"/>
    </row>
    <row r="618" spans="2:50" ht="14.25" customHeight="1" x14ac:dyDescent="0.3">
      <c r="B618" s="957"/>
      <c r="C618" s="540"/>
      <c r="D618" s="540"/>
      <c r="E618" s="540"/>
      <c r="F618" s="539"/>
      <c r="G618" s="539"/>
      <c r="H618" s="539"/>
      <c r="I618" s="539"/>
      <c r="J618" s="539"/>
      <c r="K618" s="539"/>
      <c r="L618" s="539"/>
      <c r="M618" s="539"/>
      <c r="N618" s="539"/>
      <c r="O618" s="539"/>
      <c r="P618" s="539"/>
      <c r="Q618" s="539"/>
      <c r="R618" s="539"/>
      <c r="S618" s="539"/>
      <c r="T618" s="539"/>
      <c r="U618" s="539"/>
      <c r="V618" s="539"/>
      <c r="W618" s="539"/>
      <c r="X618" s="539"/>
      <c r="Y618" s="539"/>
      <c r="Z618" s="539"/>
      <c r="AA618" s="539"/>
      <c r="AB618" s="539"/>
      <c r="AC618" s="539"/>
      <c r="AD618" s="539"/>
      <c r="AE618" s="539"/>
      <c r="AF618" s="539"/>
      <c r="AG618" s="539"/>
      <c r="AH618" s="539"/>
      <c r="AI618" s="539"/>
      <c r="AJ618" s="539"/>
      <c r="AK618" s="539"/>
      <c r="AL618" s="539"/>
      <c r="AM618" s="539"/>
      <c r="AN618" s="539"/>
      <c r="AO618" s="539"/>
      <c r="AP618" s="539"/>
      <c r="AQ618" s="539"/>
      <c r="AR618" s="539"/>
      <c r="AS618" s="539"/>
      <c r="AT618" s="539"/>
      <c r="AU618" s="539"/>
      <c r="AV618" s="539"/>
      <c r="AW618" s="539"/>
      <c r="AX618" s="539"/>
    </row>
    <row r="619" spans="2:50" ht="14.25" customHeight="1" x14ac:dyDescent="0.3">
      <c r="B619" s="957"/>
      <c r="C619" s="540"/>
      <c r="D619" s="540"/>
      <c r="E619" s="540"/>
      <c r="F619" s="539"/>
      <c r="G619" s="539"/>
      <c r="H619" s="539"/>
      <c r="I619" s="539"/>
      <c r="J619" s="539"/>
      <c r="K619" s="539"/>
      <c r="L619" s="539"/>
      <c r="M619" s="539"/>
      <c r="N619" s="539"/>
      <c r="O619" s="539"/>
      <c r="P619" s="539"/>
      <c r="Q619" s="539"/>
      <c r="R619" s="539"/>
      <c r="S619" s="539"/>
      <c r="T619" s="539"/>
      <c r="U619" s="539"/>
      <c r="V619" s="539"/>
      <c r="W619" s="539"/>
      <c r="X619" s="539"/>
      <c r="Y619" s="539"/>
      <c r="Z619" s="539"/>
      <c r="AA619" s="539"/>
      <c r="AB619" s="539"/>
      <c r="AC619" s="539"/>
      <c r="AD619" s="539"/>
      <c r="AE619" s="539"/>
      <c r="AF619" s="539"/>
      <c r="AG619" s="539"/>
      <c r="AH619" s="539"/>
      <c r="AI619" s="539"/>
      <c r="AJ619" s="539"/>
      <c r="AK619" s="539"/>
      <c r="AL619" s="539"/>
      <c r="AM619" s="539"/>
      <c r="AN619" s="539"/>
      <c r="AO619" s="539"/>
      <c r="AP619" s="539"/>
      <c r="AQ619" s="539"/>
      <c r="AR619" s="539"/>
      <c r="AS619" s="539"/>
      <c r="AT619" s="539"/>
      <c r="AU619" s="539"/>
      <c r="AV619" s="539"/>
      <c r="AW619" s="539"/>
      <c r="AX619" s="539"/>
    </row>
    <row r="620" spans="2:50" ht="14.25" customHeight="1" x14ac:dyDescent="0.3">
      <c r="B620" s="957"/>
      <c r="C620" s="540"/>
      <c r="D620" s="540"/>
      <c r="E620" s="540"/>
      <c r="F620" s="539"/>
      <c r="G620" s="539"/>
      <c r="H620" s="539"/>
      <c r="I620" s="539"/>
      <c r="J620" s="539"/>
      <c r="K620" s="539"/>
      <c r="L620" s="539"/>
      <c r="M620" s="539"/>
      <c r="N620" s="539"/>
      <c r="O620" s="539"/>
      <c r="P620" s="539"/>
      <c r="Q620" s="539"/>
      <c r="R620" s="539"/>
      <c r="S620" s="539"/>
      <c r="T620" s="539"/>
      <c r="U620" s="539"/>
      <c r="V620" s="539"/>
      <c r="W620" s="539"/>
      <c r="X620" s="539"/>
      <c r="Y620" s="539"/>
      <c r="Z620" s="539"/>
      <c r="AA620" s="539"/>
      <c r="AB620" s="539"/>
      <c r="AC620" s="539"/>
      <c r="AD620" s="539"/>
      <c r="AE620" s="539"/>
      <c r="AF620" s="539"/>
      <c r="AG620" s="539"/>
      <c r="AH620" s="539"/>
      <c r="AI620" s="539"/>
      <c r="AJ620" s="539"/>
      <c r="AK620" s="539"/>
      <c r="AL620" s="539"/>
      <c r="AM620" s="539"/>
      <c r="AN620" s="539"/>
      <c r="AO620" s="539"/>
      <c r="AP620" s="539"/>
      <c r="AQ620" s="539"/>
      <c r="AR620" s="539"/>
      <c r="AS620" s="539"/>
      <c r="AT620" s="539"/>
      <c r="AU620" s="539"/>
      <c r="AV620" s="539"/>
      <c r="AW620" s="539"/>
      <c r="AX620" s="539"/>
    </row>
    <row r="621" spans="2:50" ht="14.25" customHeight="1" x14ac:dyDescent="0.3">
      <c r="B621" s="957"/>
      <c r="C621" s="540"/>
      <c r="D621" s="540"/>
      <c r="E621" s="540"/>
      <c r="F621" s="539"/>
      <c r="G621" s="539"/>
      <c r="H621" s="539"/>
      <c r="I621" s="539"/>
      <c r="J621" s="539"/>
      <c r="K621" s="539"/>
      <c r="L621" s="539"/>
      <c r="M621" s="539"/>
      <c r="N621" s="539"/>
      <c r="O621" s="539"/>
      <c r="P621" s="539"/>
      <c r="Q621" s="539"/>
      <c r="R621" s="539"/>
      <c r="S621" s="539"/>
      <c r="T621" s="539"/>
      <c r="U621" s="539"/>
      <c r="V621" s="539"/>
      <c r="W621" s="539"/>
      <c r="X621" s="539"/>
      <c r="Y621" s="539"/>
      <c r="Z621" s="539"/>
      <c r="AA621" s="539"/>
      <c r="AB621" s="539"/>
      <c r="AC621" s="539"/>
      <c r="AD621" s="539"/>
      <c r="AE621" s="539"/>
      <c r="AF621" s="539"/>
      <c r="AG621" s="539"/>
      <c r="AH621" s="539"/>
      <c r="AI621" s="539"/>
      <c r="AJ621" s="539"/>
      <c r="AK621" s="539"/>
      <c r="AL621" s="539"/>
      <c r="AM621" s="539"/>
      <c r="AN621" s="539"/>
      <c r="AO621" s="539"/>
      <c r="AP621" s="539"/>
      <c r="AQ621" s="539"/>
      <c r="AR621" s="539"/>
      <c r="AS621" s="539"/>
      <c r="AT621" s="539"/>
      <c r="AU621" s="539"/>
      <c r="AV621" s="539"/>
      <c r="AW621" s="539"/>
      <c r="AX621" s="539"/>
    </row>
    <row r="622" spans="2:50" ht="14.25" customHeight="1" x14ac:dyDescent="0.3">
      <c r="B622" s="957"/>
      <c r="C622" s="540"/>
      <c r="D622" s="540"/>
      <c r="E622" s="540"/>
      <c r="F622" s="539"/>
      <c r="G622" s="539"/>
      <c r="H622" s="539"/>
      <c r="I622" s="539"/>
      <c r="J622" s="539"/>
      <c r="K622" s="539"/>
      <c r="L622" s="539"/>
      <c r="M622" s="539"/>
      <c r="N622" s="539"/>
      <c r="O622" s="539"/>
      <c r="P622" s="539"/>
      <c r="Q622" s="539"/>
      <c r="R622" s="539"/>
      <c r="S622" s="539"/>
      <c r="T622" s="539"/>
      <c r="U622" s="539"/>
      <c r="V622" s="539"/>
      <c r="W622" s="539"/>
      <c r="X622" s="539"/>
      <c r="Y622" s="539"/>
      <c r="Z622" s="539"/>
      <c r="AA622" s="539"/>
      <c r="AB622" s="539"/>
      <c r="AC622" s="539"/>
      <c r="AD622" s="539"/>
      <c r="AE622" s="539"/>
      <c r="AF622" s="539"/>
      <c r="AG622" s="539"/>
      <c r="AH622" s="539"/>
      <c r="AI622" s="539"/>
      <c r="AJ622" s="539"/>
      <c r="AK622" s="539"/>
      <c r="AL622" s="539"/>
      <c r="AM622" s="539"/>
      <c r="AN622" s="539"/>
      <c r="AO622" s="539"/>
      <c r="AP622" s="539"/>
      <c r="AQ622" s="539"/>
      <c r="AR622" s="539"/>
      <c r="AS622" s="539"/>
      <c r="AT622" s="539"/>
      <c r="AU622" s="539"/>
      <c r="AV622" s="539"/>
      <c r="AW622" s="539"/>
      <c r="AX622" s="539"/>
    </row>
    <row r="623" spans="2:50" ht="14.25" customHeight="1" x14ac:dyDescent="0.3">
      <c r="B623" s="957"/>
      <c r="C623" s="540"/>
      <c r="D623" s="540"/>
      <c r="E623" s="540"/>
      <c r="F623" s="539"/>
      <c r="G623" s="539"/>
      <c r="H623" s="539"/>
      <c r="I623" s="539"/>
      <c r="J623" s="539"/>
      <c r="K623" s="539"/>
      <c r="L623" s="539"/>
      <c r="M623" s="539"/>
      <c r="N623" s="539"/>
      <c r="O623" s="539"/>
      <c r="P623" s="539"/>
      <c r="Q623" s="539"/>
      <c r="R623" s="539"/>
      <c r="S623" s="539"/>
      <c r="T623" s="539"/>
      <c r="U623" s="539"/>
      <c r="V623" s="539"/>
      <c r="W623" s="539"/>
      <c r="X623" s="539"/>
      <c r="Y623" s="539"/>
      <c r="Z623" s="539"/>
      <c r="AA623" s="539"/>
      <c r="AB623" s="539"/>
      <c r="AC623" s="539"/>
      <c r="AD623" s="539"/>
      <c r="AE623" s="539"/>
      <c r="AF623" s="539"/>
      <c r="AG623" s="539"/>
      <c r="AH623" s="539"/>
      <c r="AI623" s="539"/>
      <c r="AJ623" s="539"/>
      <c r="AK623" s="539"/>
      <c r="AL623" s="539"/>
      <c r="AM623" s="539"/>
      <c r="AN623" s="539"/>
      <c r="AO623" s="539"/>
      <c r="AP623" s="539"/>
      <c r="AQ623" s="539"/>
      <c r="AR623" s="539"/>
      <c r="AS623" s="539"/>
      <c r="AT623" s="539"/>
      <c r="AU623" s="539"/>
      <c r="AV623" s="539"/>
      <c r="AW623" s="539"/>
      <c r="AX623" s="539"/>
    </row>
    <row r="624" spans="2:50" ht="14.25" customHeight="1" x14ac:dyDescent="0.3">
      <c r="B624" s="957"/>
      <c r="C624" s="540"/>
      <c r="D624" s="540"/>
      <c r="E624" s="540"/>
      <c r="F624" s="539"/>
      <c r="G624" s="539"/>
      <c r="H624" s="539"/>
      <c r="I624" s="539"/>
      <c r="J624" s="539"/>
      <c r="K624" s="539"/>
      <c r="L624" s="539"/>
      <c r="M624" s="539"/>
      <c r="N624" s="539"/>
      <c r="O624" s="539"/>
      <c r="P624" s="539"/>
      <c r="Q624" s="539"/>
      <c r="R624" s="539"/>
      <c r="S624" s="539"/>
      <c r="T624" s="539"/>
      <c r="U624" s="539"/>
      <c r="V624" s="539"/>
      <c r="W624" s="539"/>
      <c r="X624" s="539"/>
      <c r="Y624" s="539"/>
      <c r="Z624" s="539"/>
      <c r="AA624" s="539"/>
      <c r="AB624" s="539"/>
      <c r="AC624" s="539"/>
      <c r="AD624" s="539"/>
      <c r="AE624" s="539"/>
      <c r="AF624" s="539"/>
      <c r="AG624" s="539"/>
      <c r="AH624" s="539"/>
      <c r="AI624" s="539"/>
      <c r="AJ624" s="539"/>
      <c r="AK624" s="539"/>
      <c r="AL624" s="539"/>
      <c r="AM624" s="539"/>
      <c r="AN624" s="539"/>
      <c r="AO624" s="539"/>
      <c r="AP624" s="539"/>
      <c r="AQ624" s="539"/>
      <c r="AR624" s="539"/>
      <c r="AS624" s="539"/>
      <c r="AT624" s="539"/>
      <c r="AU624" s="539"/>
      <c r="AV624" s="539"/>
      <c r="AW624" s="539"/>
      <c r="AX624" s="539"/>
    </row>
    <row r="625" spans="2:50" ht="14.25" customHeight="1" x14ac:dyDescent="0.3">
      <c r="B625" s="957"/>
      <c r="C625" s="540"/>
      <c r="D625" s="540"/>
      <c r="E625" s="540"/>
      <c r="F625" s="539"/>
      <c r="G625" s="539"/>
      <c r="H625" s="539"/>
      <c r="I625" s="539"/>
      <c r="J625" s="539"/>
      <c r="K625" s="539"/>
      <c r="L625" s="539"/>
      <c r="M625" s="539"/>
      <c r="N625" s="539"/>
      <c r="O625" s="539"/>
      <c r="P625" s="539"/>
      <c r="Q625" s="539"/>
      <c r="R625" s="539"/>
      <c r="S625" s="539"/>
      <c r="T625" s="539"/>
      <c r="U625" s="539"/>
      <c r="V625" s="539"/>
      <c r="W625" s="539"/>
      <c r="X625" s="539"/>
      <c r="Y625" s="539"/>
      <c r="Z625" s="539"/>
      <c r="AA625" s="539"/>
      <c r="AB625" s="539"/>
      <c r="AC625" s="539"/>
      <c r="AD625" s="539"/>
      <c r="AE625" s="539"/>
      <c r="AF625" s="539"/>
      <c r="AG625" s="539"/>
      <c r="AH625" s="539"/>
      <c r="AI625" s="539"/>
      <c r="AJ625" s="539"/>
      <c r="AK625" s="539"/>
      <c r="AL625" s="539"/>
      <c r="AM625" s="539"/>
      <c r="AN625" s="539"/>
      <c r="AO625" s="539"/>
      <c r="AP625" s="539"/>
      <c r="AQ625" s="539"/>
      <c r="AR625" s="539"/>
      <c r="AS625" s="539"/>
      <c r="AT625" s="539"/>
      <c r="AU625" s="539"/>
      <c r="AV625" s="539"/>
      <c r="AW625" s="539"/>
      <c r="AX625" s="539"/>
    </row>
    <row r="626" spans="2:50" ht="14.25" customHeight="1" x14ac:dyDescent="0.3">
      <c r="B626" s="957"/>
      <c r="C626" s="540"/>
      <c r="D626" s="540"/>
      <c r="E626" s="540"/>
      <c r="F626" s="539"/>
      <c r="G626" s="539"/>
      <c r="H626" s="539"/>
      <c r="I626" s="539"/>
      <c r="J626" s="539"/>
      <c r="K626" s="539"/>
      <c r="L626" s="539"/>
      <c r="M626" s="539"/>
      <c r="N626" s="539"/>
      <c r="O626" s="539"/>
      <c r="P626" s="539"/>
      <c r="Q626" s="539"/>
      <c r="R626" s="539"/>
      <c r="S626" s="539"/>
      <c r="T626" s="539"/>
      <c r="U626" s="539"/>
      <c r="V626" s="539"/>
      <c r="W626" s="539"/>
      <c r="X626" s="539"/>
      <c r="Y626" s="539"/>
      <c r="Z626" s="539"/>
      <c r="AA626" s="539"/>
      <c r="AB626" s="539"/>
      <c r="AC626" s="539"/>
      <c r="AD626" s="539"/>
      <c r="AE626" s="539"/>
      <c r="AF626" s="539"/>
      <c r="AG626" s="539"/>
      <c r="AH626" s="539"/>
      <c r="AI626" s="539"/>
      <c r="AJ626" s="539"/>
      <c r="AK626" s="539"/>
      <c r="AL626" s="539"/>
      <c r="AM626" s="539"/>
      <c r="AN626" s="539"/>
      <c r="AO626" s="539"/>
      <c r="AP626" s="539"/>
      <c r="AQ626" s="539"/>
      <c r="AR626" s="539"/>
      <c r="AS626" s="539"/>
      <c r="AT626" s="539"/>
      <c r="AU626" s="539"/>
      <c r="AV626" s="539"/>
      <c r="AW626" s="539"/>
      <c r="AX626" s="539"/>
    </row>
    <row r="627" spans="2:50" ht="14.25" customHeight="1" x14ac:dyDescent="0.3">
      <c r="B627" s="957"/>
      <c r="C627" s="540"/>
      <c r="D627" s="540"/>
      <c r="E627" s="540"/>
      <c r="F627" s="539"/>
      <c r="G627" s="539"/>
      <c r="H627" s="539"/>
      <c r="I627" s="539"/>
      <c r="J627" s="539"/>
      <c r="K627" s="539"/>
      <c r="L627" s="539"/>
      <c r="M627" s="539"/>
      <c r="N627" s="539"/>
      <c r="O627" s="539"/>
      <c r="P627" s="539"/>
      <c r="Q627" s="539"/>
      <c r="R627" s="539"/>
      <c r="S627" s="539"/>
      <c r="T627" s="539"/>
      <c r="U627" s="539"/>
      <c r="V627" s="539"/>
      <c r="W627" s="539"/>
      <c r="X627" s="539"/>
      <c r="Y627" s="539"/>
      <c r="Z627" s="539"/>
      <c r="AA627" s="539"/>
      <c r="AB627" s="539"/>
      <c r="AC627" s="539"/>
      <c r="AD627" s="539"/>
      <c r="AE627" s="539"/>
      <c r="AF627" s="539"/>
      <c r="AG627" s="539"/>
      <c r="AH627" s="539"/>
      <c r="AI627" s="539"/>
      <c r="AJ627" s="539"/>
      <c r="AK627" s="539"/>
      <c r="AL627" s="539"/>
      <c r="AM627" s="539"/>
      <c r="AN627" s="539"/>
      <c r="AO627" s="539"/>
      <c r="AP627" s="539"/>
      <c r="AQ627" s="539"/>
      <c r="AR627" s="539"/>
      <c r="AS627" s="539"/>
      <c r="AT627" s="539"/>
      <c r="AU627" s="539"/>
      <c r="AV627" s="539"/>
      <c r="AW627" s="539"/>
      <c r="AX627" s="539"/>
    </row>
    <row r="628" spans="2:50" ht="14.25" customHeight="1" x14ac:dyDescent="0.3">
      <c r="B628" s="957"/>
      <c r="C628" s="540"/>
      <c r="D628" s="540"/>
      <c r="E628" s="540"/>
      <c r="F628" s="539"/>
      <c r="G628" s="539"/>
      <c r="H628" s="539"/>
      <c r="I628" s="539"/>
      <c r="J628" s="539"/>
      <c r="K628" s="539"/>
      <c r="L628" s="539"/>
      <c r="M628" s="539"/>
      <c r="N628" s="539"/>
      <c r="O628" s="539"/>
      <c r="P628" s="539"/>
      <c r="Q628" s="539"/>
      <c r="R628" s="539"/>
      <c r="S628" s="539"/>
      <c r="T628" s="539"/>
      <c r="U628" s="539"/>
      <c r="V628" s="539"/>
      <c r="W628" s="539"/>
      <c r="X628" s="539"/>
      <c r="Y628" s="539"/>
      <c r="Z628" s="539"/>
      <c r="AA628" s="539"/>
      <c r="AB628" s="539"/>
      <c r="AC628" s="539"/>
      <c r="AD628" s="539"/>
      <c r="AE628" s="539"/>
      <c r="AF628" s="539"/>
      <c r="AG628" s="539"/>
      <c r="AH628" s="539"/>
      <c r="AI628" s="539"/>
      <c r="AJ628" s="539"/>
      <c r="AK628" s="539"/>
      <c r="AL628" s="539"/>
      <c r="AM628" s="539"/>
      <c r="AN628" s="539"/>
      <c r="AO628" s="539"/>
      <c r="AP628" s="539"/>
      <c r="AQ628" s="539"/>
      <c r="AR628" s="539"/>
      <c r="AS628" s="539"/>
      <c r="AT628" s="539"/>
      <c r="AU628" s="539"/>
      <c r="AV628" s="539"/>
      <c r="AW628" s="539"/>
      <c r="AX628" s="539"/>
    </row>
    <row r="629" spans="2:50" ht="14.25" customHeight="1" x14ac:dyDescent="0.3">
      <c r="B629" s="957"/>
      <c r="C629" s="540"/>
      <c r="D629" s="540"/>
      <c r="E629" s="540"/>
      <c r="F629" s="539"/>
      <c r="G629" s="539"/>
      <c r="H629" s="539"/>
      <c r="I629" s="539"/>
      <c r="J629" s="539"/>
      <c r="K629" s="539"/>
      <c r="L629" s="539"/>
      <c r="M629" s="539"/>
      <c r="N629" s="539"/>
      <c r="O629" s="539"/>
      <c r="P629" s="539"/>
      <c r="Q629" s="539"/>
      <c r="R629" s="539"/>
      <c r="S629" s="539"/>
      <c r="T629" s="539"/>
      <c r="U629" s="539"/>
      <c r="V629" s="539"/>
      <c r="W629" s="539"/>
      <c r="X629" s="539"/>
      <c r="Y629" s="539"/>
      <c r="Z629" s="539"/>
      <c r="AA629" s="539"/>
      <c r="AB629" s="539"/>
      <c r="AC629" s="539"/>
      <c r="AD629" s="539"/>
      <c r="AE629" s="539"/>
      <c r="AF629" s="539"/>
      <c r="AG629" s="539"/>
      <c r="AH629" s="539"/>
      <c r="AI629" s="539"/>
      <c r="AJ629" s="539"/>
      <c r="AK629" s="539"/>
      <c r="AL629" s="539"/>
      <c r="AM629" s="539"/>
      <c r="AN629" s="539"/>
      <c r="AO629" s="539"/>
      <c r="AP629" s="539"/>
      <c r="AQ629" s="539"/>
      <c r="AR629" s="539"/>
      <c r="AS629" s="539"/>
      <c r="AT629" s="539"/>
      <c r="AU629" s="539"/>
      <c r="AV629" s="539"/>
      <c r="AW629" s="539"/>
      <c r="AX629" s="539"/>
    </row>
    <row r="630" spans="2:50" ht="14.25" customHeight="1" x14ac:dyDescent="0.3">
      <c r="B630" s="957"/>
      <c r="C630" s="540"/>
      <c r="D630" s="540"/>
      <c r="E630" s="540"/>
      <c r="F630" s="539"/>
      <c r="G630" s="539"/>
      <c r="H630" s="539"/>
      <c r="I630" s="539"/>
      <c r="J630" s="539"/>
      <c r="K630" s="539"/>
      <c r="L630" s="539"/>
      <c r="M630" s="539"/>
      <c r="N630" s="539"/>
      <c r="O630" s="539"/>
      <c r="P630" s="539"/>
      <c r="Q630" s="539"/>
      <c r="R630" s="539"/>
      <c r="S630" s="539"/>
      <c r="T630" s="539"/>
      <c r="U630" s="539"/>
      <c r="V630" s="539"/>
      <c r="W630" s="539"/>
      <c r="X630" s="539"/>
      <c r="Y630" s="539"/>
      <c r="Z630" s="539"/>
      <c r="AA630" s="539"/>
      <c r="AB630" s="539"/>
      <c r="AC630" s="539"/>
      <c r="AD630" s="539"/>
      <c r="AE630" s="539"/>
      <c r="AF630" s="539"/>
      <c r="AG630" s="539"/>
      <c r="AH630" s="539"/>
      <c r="AI630" s="539"/>
      <c r="AJ630" s="539"/>
      <c r="AK630" s="539"/>
      <c r="AL630" s="539"/>
      <c r="AM630" s="539"/>
      <c r="AN630" s="539"/>
      <c r="AO630" s="539"/>
      <c r="AP630" s="539"/>
      <c r="AQ630" s="539"/>
      <c r="AR630" s="539"/>
      <c r="AS630" s="539"/>
      <c r="AT630" s="539"/>
      <c r="AU630" s="539"/>
      <c r="AV630" s="539"/>
      <c r="AW630" s="539"/>
      <c r="AX630" s="539"/>
    </row>
    <row r="631" spans="2:50" ht="14.25" customHeight="1" x14ac:dyDescent="0.3">
      <c r="B631" s="957"/>
      <c r="C631" s="540"/>
      <c r="D631" s="540"/>
      <c r="E631" s="540"/>
      <c r="F631" s="539"/>
      <c r="G631" s="539"/>
      <c r="H631" s="539"/>
      <c r="I631" s="539"/>
      <c r="J631" s="539"/>
      <c r="K631" s="539"/>
      <c r="L631" s="539"/>
      <c r="M631" s="539"/>
      <c r="N631" s="539"/>
      <c r="O631" s="539"/>
      <c r="P631" s="539"/>
      <c r="Q631" s="539"/>
      <c r="R631" s="539"/>
      <c r="S631" s="539"/>
      <c r="T631" s="539"/>
      <c r="U631" s="539"/>
      <c r="V631" s="539"/>
      <c r="W631" s="539"/>
      <c r="X631" s="539"/>
      <c r="Y631" s="539"/>
      <c r="Z631" s="539"/>
      <c r="AA631" s="539"/>
      <c r="AB631" s="539"/>
      <c r="AC631" s="539"/>
      <c r="AD631" s="539"/>
      <c r="AE631" s="539"/>
      <c r="AF631" s="539"/>
      <c r="AG631" s="539"/>
      <c r="AH631" s="539"/>
      <c r="AI631" s="539"/>
      <c r="AJ631" s="539"/>
      <c r="AK631" s="539"/>
      <c r="AL631" s="539"/>
      <c r="AM631" s="539"/>
      <c r="AN631" s="539"/>
      <c r="AO631" s="539"/>
      <c r="AP631" s="539"/>
      <c r="AQ631" s="539"/>
      <c r="AR631" s="539"/>
      <c r="AS631" s="539"/>
      <c r="AT631" s="539"/>
      <c r="AU631" s="539"/>
      <c r="AV631" s="539"/>
      <c r="AW631" s="539"/>
      <c r="AX631" s="539"/>
    </row>
    <row r="632" spans="2:50" ht="14.25" customHeight="1" x14ac:dyDescent="0.3">
      <c r="B632" s="957"/>
      <c r="C632" s="540"/>
      <c r="D632" s="540"/>
      <c r="E632" s="540"/>
      <c r="F632" s="539"/>
      <c r="G632" s="539"/>
      <c r="H632" s="539"/>
      <c r="I632" s="539"/>
      <c r="J632" s="539"/>
      <c r="K632" s="539"/>
      <c r="L632" s="539"/>
      <c r="M632" s="539"/>
      <c r="N632" s="539"/>
      <c r="O632" s="539"/>
      <c r="P632" s="539"/>
      <c r="Q632" s="539"/>
      <c r="R632" s="539"/>
      <c r="S632" s="539"/>
      <c r="T632" s="539"/>
      <c r="U632" s="539"/>
      <c r="V632" s="539"/>
      <c r="W632" s="539"/>
      <c r="X632" s="539"/>
      <c r="Y632" s="539"/>
      <c r="Z632" s="539"/>
      <c r="AA632" s="539"/>
      <c r="AB632" s="539"/>
      <c r="AC632" s="539"/>
      <c r="AD632" s="539"/>
      <c r="AE632" s="539"/>
      <c r="AF632" s="539"/>
      <c r="AG632" s="539"/>
      <c r="AH632" s="539"/>
      <c r="AI632" s="539"/>
      <c r="AJ632" s="539"/>
      <c r="AK632" s="539"/>
      <c r="AL632" s="539"/>
      <c r="AM632" s="539"/>
      <c r="AN632" s="539"/>
      <c r="AO632" s="539"/>
      <c r="AP632" s="539"/>
      <c r="AQ632" s="539"/>
      <c r="AR632" s="539"/>
      <c r="AS632" s="539"/>
      <c r="AT632" s="539"/>
      <c r="AU632" s="539"/>
      <c r="AV632" s="539"/>
      <c r="AW632" s="539"/>
      <c r="AX632" s="539"/>
    </row>
    <row r="633" spans="2:50" ht="14.25" customHeight="1" x14ac:dyDescent="0.3">
      <c r="B633" s="957"/>
      <c r="C633" s="540"/>
      <c r="D633" s="540"/>
      <c r="E633" s="540"/>
      <c r="F633" s="539"/>
      <c r="G633" s="539"/>
      <c r="H633" s="539"/>
      <c r="I633" s="539"/>
      <c r="J633" s="539"/>
      <c r="K633" s="539"/>
      <c r="L633" s="539"/>
      <c r="M633" s="539"/>
      <c r="N633" s="539"/>
      <c r="O633" s="539"/>
      <c r="P633" s="539"/>
      <c r="Q633" s="539"/>
      <c r="R633" s="539"/>
      <c r="S633" s="539"/>
      <c r="T633" s="539"/>
      <c r="U633" s="539"/>
      <c r="V633" s="539"/>
      <c r="W633" s="539"/>
      <c r="X633" s="539"/>
      <c r="Y633" s="539"/>
      <c r="Z633" s="539"/>
      <c r="AA633" s="539"/>
      <c r="AB633" s="539"/>
      <c r="AC633" s="539"/>
      <c r="AD633" s="539"/>
      <c r="AE633" s="539"/>
      <c r="AF633" s="539"/>
      <c r="AG633" s="539"/>
      <c r="AH633" s="539"/>
      <c r="AI633" s="539"/>
      <c r="AJ633" s="539"/>
      <c r="AK633" s="539"/>
      <c r="AL633" s="539"/>
      <c r="AM633" s="539"/>
      <c r="AN633" s="539"/>
      <c r="AO633" s="539"/>
      <c r="AP633" s="539"/>
      <c r="AQ633" s="539"/>
      <c r="AR633" s="539"/>
      <c r="AS633" s="539"/>
      <c r="AT633" s="539"/>
      <c r="AU633" s="539"/>
      <c r="AV633" s="539"/>
      <c r="AW633" s="539"/>
      <c r="AX633" s="539"/>
    </row>
    <row r="634" spans="2:50" ht="14.25" customHeight="1" x14ac:dyDescent="0.3">
      <c r="B634" s="957"/>
      <c r="C634" s="540"/>
      <c r="D634" s="540"/>
      <c r="E634" s="540"/>
      <c r="F634" s="539"/>
      <c r="G634" s="539"/>
      <c r="H634" s="539"/>
      <c r="I634" s="539"/>
      <c r="J634" s="539"/>
      <c r="K634" s="539"/>
      <c r="L634" s="539"/>
      <c r="M634" s="539"/>
      <c r="N634" s="539"/>
      <c r="O634" s="539"/>
      <c r="P634" s="539"/>
      <c r="Q634" s="539"/>
      <c r="R634" s="539"/>
      <c r="S634" s="539"/>
      <c r="T634" s="539"/>
      <c r="U634" s="539"/>
      <c r="V634" s="539"/>
      <c r="W634" s="539"/>
      <c r="X634" s="539"/>
      <c r="Y634" s="539"/>
      <c r="Z634" s="539"/>
      <c r="AA634" s="539"/>
      <c r="AB634" s="539"/>
      <c r="AC634" s="539"/>
      <c r="AD634" s="539"/>
      <c r="AE634" s="539"/>
      <c r="AF634" s="539"/>
      <c r="AG634" s="539"/>
      <c r="AH634" s="539"/>
      <c r="AI634" s="539"/>
      <c r="AJ634" s="539"/>
      <c r="AK634" s="539"/>
      <c r="AL634" s="539"/>
      <c r="AM634" s="539"/>
      <c r="AN634" s="539"/>
      <c r="AO634" s="539"/>
      <c r="AP634" s="539"/>
      <c r="AQ634" s="539"/>
      <c r="AR634" s="539"/>
      <c r="AS634" s="539"/>
      <c r="AT634" s="539"/>
      <c r="AU634" s="539"/>
      <c r="AV634" s="539"/>
      <c r="AW634" s="539"/>
      <c r="AX634" s="539"/>
    </row>
    <row r="635" spans="2:50" ht="14.25" customHeight="1" x14ac:dyDescent="0.3">
      <c r="B635" s="957"/>
      <c r="C635" s="540"/>
      <c r="D635" s="540"/>
      <c r="E635" s="540"/>
      <c r="F635" s="539"/>
      <c r="G635" s="539"/>
      <c r="H635" s="539"/>
      <c r="I635" s="539"/>
      <c r="J635" s="539"/>
      <c r="K635" s="539"/>
      <c r="L635" s="539"/>
      <c r="M635" s="539"/>
      <c r="N635" s="539"/>
      <c r="O635" s="539"/>
      <c r="P635" s="539"/>
      <c r="Q635" s="539"/>
      <c r="R635" s="539"/>
      <c r="S635" s="539"/>
      <c r="T635" s="539"/>
      <c r="U635" s="539"/>
      <c r="V635" s="539"/>
      <c r="W635" s="539"/>
      <c r="X635" s="539"/>
      <c r="Y635" s="539"/>
      <c r="Z635" s="539"/>
      <c r="AA635" s="539"/>
      <c r="AB635" s="539"/>
      <c r="AC635" s="539"/>
      <c r="AD635" s="539"/>
      <c r="AE635" s="539"/>
      <c r="AF635" s="539"/>
      <c r="AG635" s="539"/>
      <c r="AH635" s="539"/>
      <c r="AI635" s="539"/>
      <c r="AJ635" s="539"/>
      <c r="AK635" s="539"/>
      <c r="AL635" s="539"/>
      <c r="AM635" s="539"/>
      <c r="AN635" s="539"/>
      <c r="AO635" s="539"/>
      <c r="AP635" s="539"/>
      <c r="AQ635" s="539"/>
      <c r="AR635" s="539"/>
      <c r="AS635" s="539"/>
      <c r="AT635" s="539"/>
      <c r="AU635" s="539"/>
      <c r="AV635" s="539"/>
      <c r="AW635" s="539"/>
      <c r="AX635" s="539"/>
    </row>
    <row r="636" spans="2:50" ht="14.25" customHeight="1" x14ac:dyDescent="0.3">
      <c r="B636" s="957"/>
      <c r="C636" s="540"/>
      <c r="D636" s="540"/>
      <c r="E636" s="540"/>
      <c r="F636" s="539"/>
      <c r="G636" s="539"/>
      <c r="H636" s="539"/>
      <c r="I636" s="539"/>
      <c r="J636" s="539"/>
      <c r="K636" s="539"/>
      <c r="L636" s="539"/>
      <c r="M636" s="539"/>
      <c r="N636" s="539"/>
      <c r="O636" s="539"/>
      <c r="P636" s="539"/>
      <c r="Q636" s="539"/>
      <c r="R636" s="539"/>
      <c r="S636" s="539"/>
      <c r="T636" s="539"/>
      <c r="U636" s="539"/>
      <c r="V636" s="539"/>
      <c r="W636" s="539"/>
      <c r="X636" s="539"/>
      <c r="Y636" s="539"/>
      <c r="Z636" s="539"/>
      <c r="AA636" s="539"/>
      <c r="AB636" s="539"/>
      <c r="AC636" s="539"/>
      <c r="AD636" s="539"/>
      <c r="AE636" s="539"/>
      <c r="AF636" s="539"/>
      <c r="AG636" s="539"/>
      <c r="AH636" s="539"/>
      <c r="AI636" s="539"/>
      <c r="AJ636" s="539"/>
      <c r="AK636" s="539"/>
      <c r="AL636" s="539"/>
      <c r="AM636" s="539"/>
      <c r="AN636" s="539"/>
      <c r="AO636" s="539"/>
      <c r="AP636" s="539"/>
      <c r="AQ636" s="539"/>
      <c r="AR636" s="539"/>
      <c r="AS636" s="539"/>
      <c r="AT636" s="539"/>
      <c r="AU636" s="539"/>
      <c r="AV636" s="539"/>
      <c r="AW636" s="539"/>
      <c r="AX636" s="539"/>
    </row>
    <row r="637" spans="2:50" ht="14.25" customHeight="1" x14ac:dyDescent="0.3">
      <c r="B637" s="957"/>
      <c r="C637" s="540"/>
      <c r="D637" s="540"/>
      <c r="E637" s="540"/>
      <c r="F637" s="539"/>
      <c r="G637" s="539"/>
      <c r="H637" s="539"/>
      <c r="I637" s="539"/>
      <c r="J637" s="539"/>
      <c r="K637" s="539"/>
      <c r="L637" s="539"/>
      <c r="M637" s="539"/>
      <c r="N637" s="539"/>
      <c r="O637" s="539"/>
      <c r="P637" s="539"/>
      <c r="Q637" s="539"/>
      <c r="R637" s="539"/>
      <c r="S637" s="539"/>
      <c r="T637" s="539"/>
      <c r="U637" s="539"/>
      <c r="V637" s="539"/>
      <c r="W637" s="539"/>
      <c r="X637" s="539"/>
      <c r="Y637" s="539"/>
      <c r="Z637" s="539"/>
      <c r="AA637" s="539"/>
      <c r="AB637" s="539"/>
      <c r="AC637" s="539"/>
      <c r="AD637" s="539"/>
      <c r="AE637" s="539"/>
      <c r="AF637" s="539"/>
      <c r="AG637" s="539"/>
      <c r="AH637" s="539"/>
      <c r="AI637" s="539"/>
      <c r="AJ637" s="539"/>
      <c r="AK637" s="539"/>
      <c r="AL637" s="539"/>
      <c r="AM637" s="539"/>
      <c r="AN637" s="539"/>
      <c r="AO637" s="539"/>
      <c r="AP637" s="539"/>
      <c r="AQ637" s="539"/>
      <c r="AR637" s="539"/>
      <c r="AS637" s="539"/>
      <c r="AT637" s="539"/>
      <c r="AU637" s="539"/>
      <c r="AV637" s="539"/>
      <c r="AW637" s="539"/>
      <c r="AX637" s="539"/>
    </row>
    <row r="638" spans="2:50" ht="14.25" customHeight="1" x14ac:dyDescent="0.3">
      <c r="B638" s="957"/>
      <c r="C638" s="540"/>
      <c r="D638" s="540"/>
      <c r="E638" s="540"/>
      <c r="F638" s="539"/>
      <c r="G638" s="539"/>
      <c r="H638" s="539"/>
      <c r="I638" s="539"/>
      <c r="J638" s="539"/>
      <c r="K638" s="539"/>
      <c r="L638" s="539"/>
      <c r="M638" s="539"/>
      <c r="N638" s="539"/>
      <c r="O638" s="539"/>
      <c r="P638" s="539"/>
      <c r="Q638" s="539"/>
      <c r="R638" s="539"/>
      <c r="S638" s="539"/>
      <c r="T638" s="539"/>
      <c r="U638" s="539"/>
      <c r="V638" s="539"/>
      <c r="W638" s="539"/>
      <c r="X638" s="539"/>
      <c r="Y638" s="539"/>
      <c r="Z638" s="539"/>
      <c r="AA638" s="539"/>
      <c r="AB638" s="539"/>
      <c r="AC638" s="539"/>
      <c r="AD638" s="539"/>
      <c r="AE638" s="539"/>
      <c r="AF638" s="539"/>
      <c r="AG638" s="539"/>
      <c r="AH638" s="539"/>
      <c r="AI638" s="539"/>
      <c r="AJ638" s="539"/>
      <c r="AK638" s="539"/>
      <c r="AL638" s="539"/>
      <c r="AM638" s="539"/>
      <c r="AN638" s="539"/>
      <c r="AO638" s="539"/>
      <c r="AP638" s="539"/>
      <c r="AQ638" s="539"/>
      <c r="AR638" s="539"/>
      <c r="AS638" s="539"/>
      <c r="AT638" s="539"/>
      <c r="AU638" s="539"/>
      <c r="AV638" s="539"/>
      <c r="AW638" s="539"/>
      <c r="AX638" s="539"/>
    </row>
    <row r="639" spans="2:50" ht="14.25" customHeight="1" x14ac:dyDescent="0.3">
      <c r="B639" s="957"/>
      <c r="C639" s="540"/>
      <c r="D639" s="540"/>
      <c r="E639" s="540"/>
      <c r="F639" s="539"/>
      <c r="G639" s="539"/>
      <c r="H639" s="539"/>
      <c r="I639" s="539"/>
      <c r="J639" s="539"/>
      <c r="K639" s="539"/>
      <c r="L639" s="539"/>
      <c r="M639" s="539"/>
      <c r="N639" s="539"/>
      <c r="O639" s="539"/>
      <c r="P639" s="539"/>
      <c r="Q639" s="539"/>
      <c r="R639" s="539"/>
      <c r="S639" s="539"/>
      <c r="T639" s="539"/>
      <c r="U639" s="539"/>
      <c r="V639" s="539"/>
      <c r="W639" s="539"/>
      <c r="X639" s="539"/>
      <c r="Y639" s="539"/>
      <c r="Z639" s="539"/>
      <c r="AA639" s="539"/>
      <c r="AB639" s="539"/>
      <c r="AC639" s="539"/>
      <c r="AD639" s="539"/>
      <c r="AE639" s="539"/>
      <c r="AF639" s="539"/>
      <c r="AG639" s="539"/>
      <c r="AH639" s="539"/>
      <c r="AI639" s="539"/>
      <c r="AJ639" s="539"/>
      <c r="AK639" s="539"/>
      <c r="AL639" s="539"/>
      <c r="AM639" s="539"/>
      <c r="AN639" s="539"/>
      <c r="AO639" s="539"/>
      <c r="AP639" s="539"/>
      <c r="AQ639" s="539"/>
      <c r="AR639" s="539"/>
      <c r="AS639" s="539"/>
      <c r="AT639" s="539"/>
      <c r="AU639" s="539"/>
      <c r="AV639" s="539"/>
      <c r="AW639" s="539"/>
      <c r="AX639" s="539"/>
    </row>
    <row r="640" spans="2:50" ht="14.25" customHeight="1" x14ac:dyDescent="0.3">
      <c r="B640" s="957"/>
      <c r="C640" s="540"/>
      <c r="D640" s="540"/>
      <c r="E640" s="540"/>
      <c r="F640" s="539"/>
      <c r="G640" s="539"/>
      <c r="H640" s="539"/>
      <c r="I640" s="539"/>
      <c r="J640" s="539"/>
      <c r="K640" s="539"/>
      <c r="L640" s="539"/>
      <c r="M640" s="539"/>
      <c r="N640" s="539"/>
      <c r="O640" s="539"/>
      <c r="P640" s="539"/>
      <c r="Q640" s="539"/>
      <c r="R640" s="539"/>
      <c r="S640" s="539"/>
      <c r="T640" s="539"/>
      <c r="U640" s="539"/>
      <c r="V640" s="539"/>
      <c r="W640" s="539"/>
      <c r="X640" s="539"/>
      <c r="Y640" s="539"/>
      <c r="Z640" s="539"/>
      <c r="AA640" s="539"/>
      <c r="AB640" s="539"/>
      <c r="AC640" s="539"/>
      <c r="AD640" s="539"/>
      <c r="AE640" s="539"/>
      <c r="AF640" s="539"/>
      <c r="AG640" s="539"/>
      <c r="AH640" s="539"/>
      <c r="AI640" s="539"/>
      <c r="AJ640" s="539"/>
      <c r="AK640" s="539"/>
      <c r="AL640" s="539"/>
      <c r="AM640" s="539"/>
      <c r="AN640" s="539"/>
      <c r="AO640" s="539"/>
      <c r="AP640" s="539"/>
      <c r="AQ640" s="539"/>
      <c r="AR640" s="539"/>
      <c r="AS640" s="539"/>
      <c r="AT640" s="539"/>
      <c r="AU640" s="539"/>
      <c r="AV640" s="539"/>
      <c r="AW640" s="539"/>
      <c r="AX640" s="539"/>
    </row>
    <row r="641" spans="2:50" ht="14.25" customHeight="1" x14ac:dyDescent="0.3">
      <c r="B641" s="957"/>
      <c r="C641" s="540"/>
      <c r="D641" s="540"/>
      <c r="E641" s="540"/>
      <c r="F641" s="539"/>
      <c r="G641" s="539"/>
      <c r="H641" s="539"/>
      <c r="I641" s="539"/>
      <c r="J641" s="539"/>
      <c r="K641" s="539"/>
      <c r="L641" s="539"/>
      <c r="M641" s="539"/>
      <c r="N641" s="539"/>
      <c r="O641" s="539"/>
      <c r="P641" s="539"/>
      <c r="Q641" s="539"/>
      <c r="R641" s="539"/>
      <c r="S641" s="539"/>
      <c r="T641" s="539"/>
      <c r="U641" s="539"/>
      <c r="V641" s="539"/>
      <c r="W641" s="539"/>
      <c r="X641" s="539"/>
      <c r="Y641" s="539"/>
      <c r="Z641" s="539"/>
      <c r="AA641" s="539"/>
      <c r="AB641" s="539"/>
      <c r="AC641" s="539"/>
      <c r="AD641" s="539"/>
      <c r="AE641" s="539"/>
      <c r="AF641" s="539"/>
      <c r="AG641" s="539"/>
      <c r="AH641" s="539"/>
      <c r="AI641" s="539"/>
      <c r="AJ641" s="539"/>
      <c r="AK641" s="539"/>
      <c r="AL641" s="539"/>
      <c r="AM641" s="539"/>
      <c r="AN641" s="539"/>
      <c r="AO641" s="539"/>
      <c r="AP641" s="539"/>
      <c r="AQ641" s="539"/>
      <c r="AR641" s="539"/>
      <c r="AS641" s="539"/>
      <c r="AT641" s="539"/>
      <c r="AU641" s="539"/>
      <c r="AV641" s="539"/>
      <c r="AW641" s="539"/>
      <c r="AX641" s="539"/>
    </row>
    <row r="642" spans="2:50" ht="14.25" customHeight="1" x14ac:dyDescent="0.3">
      <c r="B642" s="957"/>
      <c r="C642" s="540"/>
      <c r="D642" s="540"/>
      <c r="E642" s="540"/>
      <c r="F642" s="539"/>
      <c r="G642" s="539"/>
      <c r="H642" s="539"/>
      <c r="I642" s="539"/>
      <c r="J642" s="539"/>
      <c r="K642" s="539"/>
      <c r="L642" s="539"/>
      <c r="M642" s="539"/>
      <c r="N642" s="539"/>
      <c r="O642" s="539"/>
      <c r="P642" s="539"/>
      <c r="Q642" s="539"/>
      <c r="R642" s="539"/>
      <c r="S642" s="539"/>
      <c r="T642" s="539"/>
      <c r="U642" s="539"/>
      <c r="V642" s="539"/>
      <c r="W642" s="539"/>
      <c r="X642" s="539"/>
      <c r="Y642" s="539"/>
      <c r="Z642" s="539"/>
      <c r="AA642" s="539"/>
      <c r="AB642" s="539"/>
      <c r="AC642" s="539"/>
      <c r="AD642" s="539"/>
      <c r="AE642" s="539"/>
      <c r="AF642" s="539"/>
      <c r="AG642" s="539"/>
      <c r="AH642" s="539"/>
      <c r="AI642" s="539"/>
      <c r="AJ642" s="539"/>
      <c r="AK642" s="539"/>
      <c r="AL642" s="539"/>
      <c r="AM642" s="539"/>
      <c r="AN642" s="539"/>
      <c r="AO642" s="539"/>
      <c r="AP642" s="539"/>
      <c r="AQ642" s="539"/>
      <c r="AR642" s="539"/>
      <c r="AS642" s="539"/>
      <c r="AT642" s="539"/>
      <c r="AU642" s="539"/>
      <c r="AV642" s="539"/>
      <c r="AW642" s="539"/>
      <c r="AX642" s="539"/>
    </row>
    <row r="643" spans="2:50" ht="14.25" customHeight="1" x14ac:dyDescent="0.3">
      <c r="B643" s="957"/>
      <c r="C643" s="540"/>
      <c r="D643" s="540"/>
      <c r="E643" s="540"/>
      <c r="F643" s="539"/>
      <c r="G643" s="539"/>
      <c r="H643" s="539"/>
      <c r="I643" s="539"/>
      <c r="J643" s="539"/>
      <c r="K643" s="539"/>
      <c r="L643" s="539"/>
      <c r="M643" s="539"/>
      <c r="N643" s="539"/>
      <c r="O643" s="539"/>
      <c r="P643" s="539"/>
      <c r="Q643" s="539"/>
      <c r="R643" s="539"/>
      <c r="S643" s="539"/>
      <c r="T643" s="539"/>
      <c r="U643" s="539"/>
      <c r="V643" s="539"/>
      <c r="W643" s="539"/>
      <c r="X643" s="539"/>
      <c r="Y643" s="539"/>
      <c r="Z643" s="539"/>
      <c r="AA643" s="539"/>
      <c r="AB643" s="539"/>
      <c r="AC643" s="539"/>
      <c r="AD643" s="539"/>
      <c r="AE643" s="539"/>
      <c r="AF643" s="539"/>
      <c r="AG643" s="539"/>
      <c r="AH643" s="539"/>
      <c r="AI643" s="539"/>
      <c r="AJ643" s="539"/>
      <c r="AK643" s="539"/>
      <c r="AL643" s="539"/>
      <c r="AM643" s="539"/>
      <c r="AN643" s="539"/>
      <c r="AO643" s="539"/>
      <c r="AP643" s="539"/>
      <c r="AQ643" s="539"/>
      <c r="AR643" s="539"/>
      <c r="AS643" s="539"/>
      <c r="AT643" s="539"/>
      <c r="AU643" s="539"/>
      <c r="AV643" s="539"/>
      <c r="AW643" s="539"/>
      <c r="AX643" s="539"/>
    </row>
    <row r="644" spans="2:50" ht="14.25" customHeight="1" x14ac:dyDescent="0.3">
      <c r="B644" s="957"/>
      <c r="C644" s="540"/>
      <c r="D644" s="540"/>
      <c r="E644" s="540"/>
      <c r="F644" s="539"/>
      <c r="G644" s="539"/>
      <c r="H644" s="539"/>
      <c r="I644" s="539"/>
      <c r="J644" s="539"/>
      <c r="K644" s="539"/>
      <c r="L644" s="539"/>
      <c r="M644" s="539"/>
      <c r="N644" s="539"/>
      <c r="O644" s="539"/>
      <c r="P644" s="539"/>
      <c r="Q644" s="539"/>
      <c r="R644" s="539"/>
      <c r="S644" s="539"/>
      <c r="T644" s="539"/>
      <c r="U644" s="539"/>
      <c r="V644" s="539"/>
      <c r="W644" s="539"/>
      <c r="X644" s="539"/>
      <c r="Y644" s="539"/>
      <c r="Z644" s="539"/>
      <c r="AA644" s="539"/>
      <c r="AB644" s="539"/>
      <c r="AC644" s="539"/>
      <c r="AD644" s="539"/>
      <c r="AE644" s="539"/>
      <c r="AF644" s="539"/>
      <c r="AG644" s="539"/>
      <c r="AH644" s="539"/>
      <c r="AI644" s="539"/>
      <c r="AJ644" s="539"/>
      <c r="AK644" s="539"/>
      <c r="AL644" s="539"/>
      <c r="AM644" s="539"/>
      <c r="AN644" s="539"/>
      <c r="AO644" s="539"/>
      <c r="AP644" s="539"/>
      <c r="AQ644" s="539"/>
      <c r="AR644" s="539"/>
      <c r="AS644" s="539"/>
      <c r="AT644" s="539"/>
      <c r="AU644" s="539"/>
      <c r="AV644" s="539"/>
      <c r="AW644" s="539"/>
      <c r="AX644" s="539"/>
    </row>
    <row r="645" spans="2:50" ht="14.25" customHeight="1" x14ac:dyDescent="0.3">
      <c r="B645" s="957"/>
      <c r="C645" s="540"/>
      <c r="D645" s="540"/>
      <c r="E645" s="540"/>
      <c r="F645" s="539"/>
      <c r="G645" s="539"/>
      <c r="H645" s="539"/>
      <c r="I645" s="539"/>
      <c r="J645" s="539"/>
      <c r="K645" s="539"/>
      <c r="L645" s="539"/>
      <c r="M645" s="539"/>
      <c r="N645" s="539"/>
      <c r="O645" s="539"/>
      <c r="P645" s="539"/>
      <c r="Q645" s="539"/>
      <c r="R645" s="539"/>
      <c r="S645" s="539"/>
      <c r="T645" s="539"/>
      <c r="U645" s="539"/>
      <c r="V645" s="539"/>
      <c r="W645" s="539"/>
      <c r="X645" s="539"/>
      <c r="Y645" s="539"/>
      <c r="Z645" s="539"/>
      <c r="AA645" s="539"/>
      <c r="AB645" s="539"/>
      <c r="AC645" s="539"/>
      <c r="AD645" s="539"/>
      <c r="AE645" s="539"/>
      <c r="AF645" s="539"/>
      <c r="AG645" s="539"/>
      <c r="AH645" s="539"/>
      <c r="AI645" s="539"/>
      <c r="AJ645" s="539"/>
      <c r="AK645" s="539"/>
      <c r="AL645" s="539"/>
      <c r="AM645" s="539"/>
      <c r="AN645" s="539"/>
      <c r="AO645" s="539"/>
      <c r="AP645" s="539"/>
      <c r="AQ645" s="539"/>
      <c r="AR645" s="539"/>
      <c r="AS645" s="539"/>
      <c r="AT645" s="539"/>
      <c r="AU645" s="539"/>
      <c r="AV645" s="539"/>
      <c r="AW645" s="539"/>
      <c r="AX645" s="539"/>
    </row>
    <row r="646" spans="2:50" ht="14.25" customHeight="1" x14ac:dyDescent="0.3">
      <c r="B646" s="957"/>
      <c r="C646" s="540"/>
      <c r="D646" s="540"/>
      <c r="E646" s="540"/>
      <c r="F646" s="539"/>
      <c r="G646" s="539"/>
      <c r="H646" s="539"/>
      <c r="I646" s="539"/>
      <c r="J646" s="539"/>
      <c r="K646" s="539"/>
      <c r="L646" s="539"/>
      <c r="M646" s="539"/>
      <c r="N646" s="539"/>
      <c r="O646" s="539"/>
      <c r="P646" s="539"/>
      <c r="Q646" s="539"/>
      <c r="R646" s="539"/>
      <c r="S646" s="539"/>
      <c r="T646" s="539"/>
      <c r="U646" s="539"/>
      <c r="V646" s="539"/>
      <c r="W646" s="539"/>
      <c r="X646" s="539"/>
      <c r="Y646" s="539"/>
      <c r="Z646" s="539"/>
      <c r="AA646" s="539"/>
      <c r="AB646" s="539"/>
      <c r="AC646" s="539"/>
      <c r="AD646" s="539"/>
      <c r="AE646" s="539"/>
      <c r="AF646" s="539"/>
      <c r="AG646" s="539"/>
      <c r="AH646" s="539"/>
      <c r="AI646" s="539"/>
      <c r="AJ646" s="539"/>
      <c r="AK646" s="539"/>
      <c r="AL646" s="539"/>
      <c r="AM646" s="539"/>
      <c r="AN646" s="539"/>
      <c r="AO646" s="539"/>
      <c r="AP646" s="539"/>
      <c r="AQ646" s="539"/>
      <c r="AR646" s="539"/>
      <c r="AS646" s="539"/>
      <c r="AT646" s="539"/>
      <c r="AU646" s="539"/>
      <c r="AV646" s="539"/>
      <c r="AW646" s="539"/>
      <c r="AX646" s="539"/>
    </row>
    <row r="647" spans="2:50" ht="14.25" customHeight="1" x14ac:dyDescent="0.3">
      <c r="B647" s="957"/>
      <c r="C647" s="540"/>
      <c r="D647" s="540"/>
      <c r="E647" s="540"/>
      <c r="F647" s="539"/>
      <c r="G647" s="539"/>
      <c r="H647" s="539"/>
      <c r="I647" s="539"/>
      <c r="J647" s="539"/>
      <c r="K647" s="539"/>
      <c r="L647" s="539"/>
      <c r="M647" s="539"/>
      <c r="N647" s="539"/>
      <c r="O647" s="539"/>
      <c r="P647" s="539"/>
      <c r="Q647" s="539"/>
      <c r="R647" s="539"/>
      <c r="S647" s="539"/>
      <c r="T647" s="539"/>
      <c r="U647" s="539"/>
      <c r="V647" s="539"/>
      <c r="W647" s="539"/>
      <c r="X647" s="539"/>
      <c r="Y647" s="539"/>
      <c r="Z647" s="539"/>
      <c r="AA647" s="539"/>
      <c r="AB647" s="539"/>
      <c r="AC647" s="539"/>
      <c r="AD647" s="539"/>
      <c r="AE647" s="539"/>
      <c r="AF647" s="539"/>
      <c r="AG647" s="539"/>
      <c r="AH647" s="539"/>
      <c r="AI647" s="539"/>
      <c r="AJ647" s="539"/>
      <c r="AK647" s="539"/>
      <c r="AL647" s="539"/>
      <c r="AM647" s="539"/>
      <c r="AN647" s="539"/>
      <c r="AO647" s="539"/>
      <c r="AP647" s="539"/>
      <c r="AQ647" s="539"/>
      <c r="AR647" s="539"/>
      <c r="AS647" s="539"/>
      <c r="AT647" s="539"/>
      <c r="AU647" s="539"/>
      <c r="AV647" s="539"/>
      <c r="AW647" s="539"/>
      <c r="AX647" s="539"/>
    </row>
    <row r="648" spans="2:50" ht="14.25" customHeight="1" x14ac:dyDescent="0.3">
      <c r="B648" s="957"/>
      <c r="C648" s="540"/>
      <c r="D648" s="540"/>
      <c r="E648" s="540"/>
      <c r="F648" s="539"/>
      <c r="G648" s="539"/>
      <c r="H648" s="539"/>
      <c r="I648" s="539"/>
      <c r="J648" s="539"/>
      <c r="K648" s="539"/>
      <c r="L648" s="539"/>
      <c r="M648" s="539"/>
      <c r="N648" s="539"/>
      <c r="O648" s="539"/>
      <c r="P648" s="539"/>
      <c r="Q648" s="539"/>
      <c r="R648" s="539"/>
      <c r="S648" s="539"/>
      <c r="T648" s="539"/>
      <c r="U648" s="539"/>
      <c r="V648" s="539"/>
      <c r="W648" s="539"/>
      <c r="X648" s="539"/>
      <c r="Y648" s="539"/>
      <c r="Z648" s="539"/>
      <c r="AA648" s="539"/>
      <c r="AB648" s="539"/>
      <c r="AC648" s="539"/>
      <c r="AD648" s="539"/>
      <c r="AE648" s="539"/>
      <c r="AF648" s="539"/>
      <c r="AG648" s="539"/>
      <c r="AH648" s="539"/>
      <c r="AI648" s="539"/>
      <c r="AJ648" s="539"/>
      <c r="AK648" s="539"/>
      <c r="AL648" s="539"/>
      <c r="AM648" s="539"/>
      <c r="AN648" s="539"/>
      <c r="AO648" s="539"/>
      <c r="AP648" s="539"/>
      <c r="AQ648" s="539"/>
      <c r="AR648" s="539"/>
      <c r="AS648" s="539"/>
      <c r="AT648" s="539"/>
      <c r="AU648" s="539"/>
      <c r="AV648" s="539"/>
      <c r="AW648" s="539"/>
      <c r="AX648" s="539"/>
    </row>
    <row r="649" spans="2:50" ht="14.25" customHeight="1" x14ac:dyDescent="0.3">
      <c r="B649" s="957"/>
      <c r="C649" s="540"/>
      <c r="D649" s="540"/>
      <c r="E649" s="540"/>
      <c r="F649" s="539"/>
      <c r="G649" s="539"/>
      <c r="H649" s="539"/>
      <c r="I649" s="539"/>
      <c r="J649" s="539"/>
      <c r="K649" s="539"/>
      <c r="L649" s="539"/>
      <c r="M649" s="539"/>
      <c r="N649" s="539"/>
      <c r="O649" s="539"/>
      <c r="P649" s="539"/>
      <c r="Q649" s="539"/>
      <c r="R649" s="539"/>
      <c r="S649" s="539"/>
      <c r="T649" s="539"/>
      <c r="U649" s="539"/>
      <c r="V649" s="539"/>
      <c r="W649" s="539"/>
      <c r="X649" s="539"/>
      <c r="Y649" s="539"/>
      <c r="Z649" s="539"/>
      <c r="AA649" s="539"/>
      <c r="AB649" s="539"/>
      <c r="AC649" s="539"/>
      <c r="AD649" s="539"/>
      <c r="AE649" s="539"/>
      <c r="AF649" s="539"/>
      <c r="AG649" s="539"/>
      <c r="AH649" s="539"/>
      <c r="AI649" s="539"/>
      <c r="AJ649" s="539"/>
      <c r="AK649" s="539"/>
      <c r="AL649" s="539"/>
      <c r="AM649" s="539"/>
      <c r="AN649" s="539"/>
      <c r="AO649" s="539"/>
      <c r="AP649" s="539"/>
      <c r="AQ649" s="539"/>
      <c r="AR649" s="539"/>
      <c r="AS649" s="539"/>
      <c r="AT649" s="539"/>
      <c r="AU649" s="539"/>
      <c r="AV649" s="539"/>
      <c r="AW649" s="539"/>
      <c r="AX649" s="539"/>
    </row>
    <row r="650" spans="2:50" ht="14.25" customHeight="1" x14ac:dyDescent="0.3">
      <c r="B650" s="957"/>
      <c r="C650" s="540"/>
      <c r="D650" s="540"/>
      <c r="E650" s="540"/>
      <c r="F650" s="539"/>
      <c r="G650" s="539"/>
      <c r="H650" s="539"/>
      <c r="I650" s="539"/>
      <c r="J650" s="539"/>
      <c r="K650" s="539"/>
      <c r="L650" s="539"/>
      <c r="M650" s="539"/>
      <c r="N650" s="539"/>
      <c r="O650" s="539"/>
      <c r="P650" s="539"/>
      <c r="Q650" s="539"/>
      <c r="R650" s="539"/>
      <c r="S650" s="539"/>
      <c r="T650" s="539"/>
      <c r="U650" s="539"/>
      <c r="V650" s="539"/>
      <c r="W650" s="539"/>
      <c r="X650" s="539"/>
      <c r="Y650" s="539"/>
      <c r="Z650" s="539"/>
      <c r="AA650" s="539"/>
      <c r="AB650" s="539"/>
      <c r="AC650" s="539"/>
      <c r="AD650" s="539"/>
      <c r="AE650" s="539"/>
      <c r="AF650" s="539"/>
      <c r="AG650" s="539"/>
      <c r="AH650" s="539"/>
      <c r="AI650" s="539"/>
      <c r="AJ650" s="539"/>
      <c r="AK650" s="539"/>
      <c r="AL650" s="539"/>
      <c r="AM650" s="539"/>
      <c r="AN650" s="539"/>
      <c r="AO650" s="539"/>
      <c r="AP650" s="539"/>
      <c r="AQ650" s="539"/>
      <c r="AR650" s="539"/>
      <c r="AS650" s="539"/>
      <c r="AT650" s="539"/>
      <c r="AU650" s="539"/>
      <c r="AV650" s="539"/>
      <c r="AW650" s="539"/>
      <c r="AX650" s="539"/>
    </row>
    <row r="651" spans="2:50" ht="14.25" customHeight="1" x14ac:dyDescent="0.3">
      <c r="B651" s="957"/>
      <c r="C651" s="540"/>
      <c r="D651" s="540"/>
      <c r="E651" s="540"/>
      <c r="F651" s="539"/>
      <c r="G651" s="539"/>
      <c r="H651" s="539"/>
      <c r="I651" s="539"/>
      <c r="J651" s="539"/>
      <c r="K651" s="539"/>
      <c r="L651" s="539"/>
      <c r="M651" s="539"/>
      <c r="N651" s="539"/>
      <c r="O651" s="539"/>
      <c r="P651" s="539"/>
      <c r="Q651" s="539"/>
      <c r="R651" s="539"/>
      <c r="S651" s="539"/>
      <c r="T651" s="539"/>
      <c r="U651" s="539"/>
      <c r="V651" s="539"/>
      <c r="W651" s="539"/>
      <c r="X651" s="539"/>
      <c r="Y651" s="539"/>
      <c r="Z651" s="539"/>
      <c r="AA651" s="539"/>
      <c r="AB651" s="539"/>
      <c r="AC651" s="539"/>
      <c r="AD651" s="539"/>
      <c r="AE651" s="539"/>
      <c r="AF651" s="539"/>
      <c r="AG651" s="539"/>
      <c r="AH651" s="539"/>
      <c r="AI651" s="539"/>
      <c r="AJ651" s="539"/>
      <c r="AK651" s="539"/>
      <c r="AL651" s="539"/>
      <c r="AM651" s="539"/>
      <c r="AN651" s="539"/>
      <c r="AO651" s="539"/>
      <c r="AP651" s="539"/>
      <c r="AQ651" s="539"/>
      <c r="AR651" s="539"/>
      <c r="AS651" s="539"/>
      <c r="AT651" s="539"/>
      <c r="AU651" s="539"/>
      <c r="AV651" s="539"/>
      <c r="AW651" s="539"/>
      <c r="AX651" s="539"/>
    </row>
    <row r="652" spans="2:50" ht="14.25" customHeight="1" x14ac:dyDescent="0.3">
      <c r="B652" s="957"/>
      <c r="C652" s="540"/>
      <c r="D652" s="540"/>
      <c r="E652" s="540"/>
      <c r="F652" s="539"/>
      <c r="G652" s="539"/>
      <c r="H652" s="539"/>
      <c r="I652" s="539"/>
      <c r="J652" s="539"/>
      <c r="K652" s="539"/>
      <c r="L652" s="539"/>
      <c r="M652" s="539"/>
      <c r="N652" s="539"/>
      <c r="O652" s="539"/>
      <c r="P652" s="539"/>
      <c r="Q652" s="539"/>
      <c r="R652" s="539"/>
      <c r="S652" s="539"/>
      <c r="T652" s="539"/>
      <c r="U652" s="539"/>
      <c r="V652" s="539"/>
      <c r="W652" s="539"/>
      <c r="X652" s="539"/>
      <c r="Y652" s="539"/>
      <c r="Z652" s="539"/>
      <c r="AA652" s="539"/>
      <c r="AB652" s="539"/>
      <c r="AC652" s="539"/>
      <c r="AD652" s="539"/>
      <c r="AE652" s="539"/>
      <c r="AF652" s="539"/>
      <c r="AG652" s="539"/>
      <c r="AH652" s="539"/>
      <c r="AI652" s="539"/>
      <c r="AJ652" s="539"/>
      <c r="AK652" s="539"/>
      <c r="AL652" s="539"/>
      <c r="AM652" s="539"/>
      <c r="AN652" s="539"/>
      <c r="AO652" s="539"/>
      <c r="AP652" s="539"/>
      <c r="AQ652" s="539"/>
      <c r="AR652" s="539"/>
      <c r="AS652" s="539"/>
      <c r="AT652" s="539"/>
      <c r="AU652" s="539"/>
      <c r="AV652" s="539"/>
      <c r="AW652" s="539"/>
      <c r="AX652" s="539"/>
    </row>
    <row r="653" spans="2:50" ht="14.25" customHeight="1" x14ac:dyDescent="0.3">
      <c r="B653" s="957"/>
      <c r="C653" s="540"/>
      <c r="D653" s="540"/>
      <c r="E653" s="540"/>
      <c r="F653" s="539"/>
      <c r="G653" s="539"/>
      <c r="H653" s="539"/>
      <c r="I653" s="539"/>
      <c r="J653" s="539"/>
      <c r="K653" s="539"/>
      <c r="L653" s="539"/>
      <c r="M653" s="539"/>
      <c r="N653" s="539"/>
      <c r="O653" s="539"/>
      <c r="P653" s="539"/>
      <c r="Q653" s="539"/>
      <c r="R653" s="539"/>
      <c r="S653" s="539"/>
      <c r="T653" s="539"/>
      <c r="U653" s="539"/>
      <c r="V653" s="539"/>
      <c r="W653" s="539"/>
      <c r="X653" s="539"/>
      <c r="Y653" s="539"/>
      <c r="Z653" s="539"/>
      <c r="AA653" s="539"/>
      <c r="AB653" s="539"/>
      <c r="AC653" s="539"/>
      <c r="AD653" s="539"/>
      <c r="AE653" s="539"/>
      <c r="AF653" s="539"/>
      <c r="AG653" s="539"/>
      <c r="AH653" s="539"/>
      <c r="AI653" s="539"/>
      <c r="AJ653" s="539"/>
      <c r="AK653" s="539"/>
      <c r="AL653" s="539"/>
      <c r="AM653" s="539"/>
      <c r="AN653" s="539"/>
      <c r="AO653" s="539"/>
      <c r="AP653" s="539"/>
      <c r="AQ653" s="539"/>
      <c r="AR653" s="539"/>
      <c r="AS653" s="539"/>
      <c r="AT653" s="539"/>
      <c r="AU653" s="539"/>
      <c r="AV653" s="539"/>
      <c r="AW653" s="539"/>
      <c r="AX653" s="539"/>
    </row>
    <row r="654" spans="2:50" ht="14.25" customHeight="1" x14ac:dyDescent="0.3">
      <c r="B654" s="957"/>
      <c r="C654" s="540"/>
      <c r="D654" s="540"/>
      <c r="E654" s="540"/>
      <c r="F654" s="539"/>
      <c r="G654" s="539"/>
      <c r="H654" s="539"/>
      <c r="I654" s="539"/>
      <c r="J654" s="539"/>
      <c r="K654" s="539"/>
      <c r="L654" s="539"/>
      <c r="M654" s="539"/>
      <c r="N654" s="539"/>
      <c r="O654" s="539"/>
      <c r="P654" s="539"/>
      <c r="Q654" s="539"/>
      <c r="R654" s="539"/>
      <c r="S654" s="539"/>
      <c r="T654" s="539"/>
      <c r="U654" s="539"/>
      <c r="V654" s="539"/>
      <c r="W654" s="539"/>
      <c r="X654" s="539"/>
      <c r="Y654" s="539"/>
      <c r="Z654" s="539"/>
      <c r="AA654" s="539"/>
      <c r="AB654" s="539"/>
      <c r="AC654" s="539"/>
      <c r="AD654" s="539"/>
      <c r="AE654" s="539"/>
      <c r="AF654" s="539"/>
      <c r="AG654" s="539"/>
      <c r="AH654" s="539"/>
      <c r="AI654" s="539"/>
      <c r="AJ654" s="539"/>
      <c r="AK654" s="539"/>
      <c r="AL654" s="539"/>
      <c r="AM654" s="539"/>
      <c r="AN654" s="539"/>
      <c r="AO654" s="539"/>
      <c r="AP654" s="539"/>
      <c r="AQ654" s="539"/>
      <c r="AR654" s="539"/>
      <c r="AS654" s="539"/>
      <c r="AT654" s="539"/>
      <c r="AU654" s="539"/>
      <c r="AV654" s="539"/>
      <c r="AW654" s="539"/>
      <c r="AX654" s="539"/>
    </row>
    <row r="655" spans="2:50" ht="14.25" customHeight="1" x14ac:dyDescent="0.3">
      <c r="B655" s="957"/>
      <c r="C655" s="540"/>
      <c r="D655" s="540"/>
      <c r="E655" s="540"/>
      <c r="F655" s="539"/>
      <c r="G655" s="539"/>
      <c r="H655" s="539"/>
      <c r="I655" s="539"/>
      <c r="J655" s="539"/>
      <c r="K655" s="539"/>
      <c r="L655" s="539"/>
      <c r="M655" s="539"/>
      <c r="N655" s="539"/>
      <c r="O655" s="539"/>
      <c r="P655" s="539"/>
      <c r="Q655" s="539"/>
      <c r="R655" s="539"/>
      <c r="S655" s="539"/>
      <c r="T655" s="539"/>
      <c r="U655" s="539"/>
      <c r="V655" s="539"/>
      <c r="W655" s="539"/>
      <c r="X655" s="539"/>
      <c r="Y655" s="539"/>
      <c r="Z655" s="539"/>
      <c r="AA655" s="539"/>
      <c r="AB655" s="539"/>
      <c r="AC655" s="539"/>
      <c r="AD655" s="539"/>
      <c r="AE655" s="539"/>
      <c r="AF655" s="539"/>
      <c r="AG655" s="539"/>
      <c r="AH655" s="539"/>
      <c r="AI655" s="539"/>
      <c r="AJ655" s="539"/>
      <c r="AK655" s="539"/>
      <c r="AL655" s="539"/>
      <c r="AM655" s="539"/>
      <c r="AN655" s="539"/>
      <c r="AO655" s="539"/>
      <c r="AP655" s="539"/>
      <c r="AQ655" s="539"/>
      <c r="AR655" s="539"/>
      <c r="AS655" s="539"/>
      <c r="AT655" s="539"/>
      <c r="AU655" s="539"/>
      <c r="AV655" s="539"/>
      <c r="AW655" s="539"/>
      <c r="AX655" s="539"/>
    </row>
    <row r="656" spans="2:50" ht="14.25" customHeight="1" x14ac:dyDescent="0.3">
      <c r="B656" s="957"/>
      <c r="C656" s="540"/>
      <c r="D656" s="540"/>
      <c r="E656" s="540"/>
      <c r="F656" s="539"/>
      <c r="G656" s="539"/>
      <c r="H656" s="539"/>
      <c r="I656" s="539"/>
      <c r="J656" s="539"/>
      <c r="K656" s="539"/>
      <c r="L656" s="539"/>
      <c r="M656" s="539"/>
      <c r="N656" s="539"/>
      <c r="O656" s="539"/>
      <c r="P656" s="539"/>
      <c r="Q656" s="539"/>
      <c r="R656" s="539"/>
      <c r="S656" s="539"/>
      <c r="T656" s="539"/>
      <c r="U656" s="539"/>
      <c r="V656" s="539"/>
      <c r="W656" s="539"/>
      <c r="X656" s="539"/>
      <c r="Y656" s="539"/>
      <c r="Z656" s="539"/>
      <c r="AA656" s="539"/>
      <c r="AB656" s="539"/>
      <c r="AC656" s="539"/>
      <c r="AD656" s="539"/>
      <c r="AE656" s="539"/>
      <c r="AF656" s="539"/>
      <c r="AG656" s="539"/>
      <c r="AH656" s="539"/>
      <c r="AI656" s="539"/>
      <c r="AJ656" s="539"/>
      <c r="AK656" s="539"/>
      <c r="AL656" s="539"/>
      <c r="AM656" s="539"/>
      <c r="AN656" s="539"/>
      <c r="AO656" s="539"/>
      <c r="AP656" s="539"/>
      <c r="AQ656" s="539"/>
      <c r="AR656" s="539"/>
      <c r="AS656" s="539"/>
      <c r="AT656" s="539"/>
      <c r="AU656" s="539"/>
      <c r="AV656" s="539"/>
      <c r="AW656" s="539"/>
      <c r="AX656" s="539"/>
    </row>
    <row r="657" spans="2:50" ht="14.25" customHeight="1" x14ac:dyDescent="0.3">
      <c r="B657" s="957"/>
      <c r="C657" s="540"/>
      <c r="D657" s="540"/>
      <c r="E657" s="540"/>
      <c r="F657" s="539"/>
      <c r="G657" s="539"/>
      <c r="H657" s="539"/>
      <c r="I657" s="539"/>
      <c r="J657" s="539"/>
      <c r="K657" s="539"/>
      <c r="L657" s="539"/>
      <c r="M657" s="539"/>
      <c r="N657" s="539"/>
      <c r="O657" s="539"/>
      <c r="P657" s="539"/>
      <c r="Q657" s="539"/>
      <c r="R657" s="539"/>
      <c r="S657" s="539"/>
      <c r="T657" s="539"/>
      <c r="U657" s="539"/>
      <c r="V657" s="539"/>
      <c r="W657" s="539"/>
      <c r="X657" s="539"/>
      <c r="Y657" s="539"/>
      <c r="Z657" s="539"/>
      <c r="AA657" s="539"/>
      <c r="AB657" s="539"/>
      <c r="AC657" s="539"/>
      <c r="AD657" s="539"/>
      <c r="AE657" s="539"/>
      <c r="AF657" s="539"/>
      <c r="AG657" s="539"/>
      <c r="AH657" s="539"/>
      <c r="AI657" s="539"/>
      <c r="AJ657" s="539"/>
      <c r="AK657" s="539"/>
      <c r="AL657" s="539"/>
      <c r="AM657" s="539"/>
      <c r="AN657" s="539"/>
      <c r="AO657" s="539"/>
      <c r="AP657" s="539"/>
      <c r="AQ657" s="539"/>
      <c r="AR657" s="539"/>
      <c r="AS657" s="539"/>
      <c r="AT657" s="539"/>
      <c r="AU657" s="539"/>
      <c r="AV657" s="539"/>
      <c r="AW657" s="539"/>
      <c r="AX657" s="539"/>
    </row>
    <row r="658" spans="2:50" ht="14.25" customHeight="1" x14ac:dyDescent="0.3">
      <c r="B658" s="957"/>
      <c r="C658" s="540"/>
      <c r="D658" s="540"/>
      <c r="E658" s="540"/>
      <c r="F658" s="539"/>
      <c r="G658" s="539"/>
      <c r="H658" s="539"/>
      <c r="I658" s="539"/>
      <c r="J658" s="539"/>
      <c r="K658" s="539"/>
      <c r="L658" s="539"/>
      <c r="M658" s="539"/>
      <c r="N658" s="539"/>
      <c r="O658" s="539"/>
      <c r="P658" s="539"/>
      <c r="Q658" s="539"/>
      <c r="R658" s="539"/>
      <c r="S658" s="539"/>
      <c r="T658" s="539"/>
      <c r="U658" s="539"/>
      <c r="V658" s="539"/>
      <c r="W658" s="539"/>
      <c r="X658" s="539"/>
      <c r="Y658" s="539"/>
      <c r="Z658" s="539"/>
      <c r="AA658" s="539"/>
      <c r="AB658" s="539"/>
      <c r="AC658" s="539"/>
      <c r="AD658" s="539"/>
      <c r="AE658" s="539"/>
      <c r="AF658" s="539"/>
      <c r="AG658" s="539"/>
      <c r="AH658" s="539"/>
      <c r="AI658" s="539"/>
      <c r="AJ658" s="539"/>
      <c r="AK658" s="539"/>
      <c r="AL658" s="539"/>
      <c r="AM658" s="539"/>
      <c r="AN658" s="539"/>
      <c r="AO658" s="539"/>
      <c r="AP658" s="539"/>
      <c r="AQ658" s="539"/>
      <c r="AR658" s="539"/>
      <c r="AS658" s="539"/>
      <c r="AT658" s="539"/>
      <c r="AU658" s="539"/>
      <c r="AV658" s="539"/>
      <c r="AW658" s="539"/>
      <c r="AX658" s="539"/>
    </row>
    <row r="659" spans="2:50" ht="14.25" customHeight="1" x14ac:dyDescent="0.3">
      <c r="B659" s="957"/>
      <c r="C659" s="540"/>
      <c r="D659" s="540"/>
      <c r="E659" s="540"/>
      <c r="F659" s="539"/>
      <c r="G659" s="539"/>
      <c r="H659" s="539"/>
      <c r="I659" s="539"/>
      <c r="J659" s="539"/>
      <c r="K659" s="539"/>
      <c r="L659" s="539"/>
      <c r="M659" s="539"/>
      <c r="N659" s="539"/>
      <c r="O659" s="539"/>
      <c r="P659" s="539"/>
      <c r="Q659" s="539"/>
      <c r="R659" s="539"/>
      <c r="S659" s="539"/>
      <c r="T659" s="539"/>
      <c r="U659" s="539"/>
      <c r="V659" s="539"/>
      <c r="W659" s="539"/>
      <c r="X659" s="539"/>
      <c r="Y659" s="539"/>
      <c r="Z659" s="539"/>
      <c r="AA659" s="539"/>
      <c r="AB659" s="539"/>
      <c r="AC659" s="539"/>
      <c r="AD659" s="539"/>
      <c r="AE659" s="539"/>
      <c r="AF659" s="539"/>
      <c r="AG659" s="539"/>
      <c r="AH659" s="539"/>
      <c r="AI659" s="539"/>
      <c r="AJ659" s="539"/>
      <c r="AK659" s="539"/>
      <c r="AL659" s="539"/>
      <c r="AM659" s="539"/>
      <c r="AN659" s="539"/>
      <c r="AO659" s="539"/>
      <c r="AP659" s="539"/>
      <c r="AQ659" s="539"/>
      <c r="AR659" s="539"/>
      <c r="AS659" s="539"/>
      <c r="AT659" s="539"/>
      <c r="AU659" s="539"/>
      <c r="AV659" s="539"/>
      <c r="AW659" s="539"/>
      <c r="AX659" s="539"/>
    </row>
    <row r="660" spans="2:50" ht="14.25" customHeight="1" x14ac:dyDescent="0.3">
      <c r="B660" s="957"/>
      <c r="C660" s="540"/>
      <c r="D660" s="540"/>
      <c r="E660" s="540"/>
      <c r="F660" s="539"/>
      <c r="G660" s="539"/>
      <c r="H660" s="539"/>
      <c r="I660" s="539"/>
      <c r="J660" s="539"/>
      <c r="K660" s="539"/>
      <c r="L660" s="539"/>
      <c r="M660" s="539"/>
      <c r="N660" s="539"/>
      <c r="O660" s="539"/>
      <c r="P660" s="539"/>
      <c r="Q660" s="539"/>
      <c r="R660" s="539"/>
      <c r="S660" s="539"/>
      <c r="T660" s="539"/>
      <c r="U660" s="539"/>
      <c r="V660" s="539"/>
      <c r="W660" s="539"/>
      <c r="X660" s="539"/>
      <c r="Y660" s="539"/>
      <c r="Z660" s="539"/>
      <c r="AA660" s="539"/>
      <c r="AB660" s="539"/>
      <c r="AC660" s="539"/>
      <c r="AD660" s="539"/>
      <c r="AE660" s="539"/>
      <c r="AF660" s="539"/>
      <c r="AG660" s="539"/>
      <c r="AH660" s="539"/>
      <c r="AI660" s="539"/>
      <c r="AJ660" s="539"/>
      <c r="AK660" s="539"/>
      <c r="AL660" s="539"/>
      <c r="AM660" s="539"/>
      <c r="AN660" s="539"/>
      <c r="AO660" s="539"/>
      <c r="AP660" s="539"/>
      <c r="AQ660" s="539"/>
      <c r="AR660" s="539"/>
      <c r="AS660" s="539"/>
      <c r="AT660" s="539"/>
      <c r="AU660" s="539"/>
      <c r="AV660" s="539"/>
      <c r="AW660" s="539"/>
      <c r="AX660" s="539"/>
    </row>
    <row r="661" spans="2:50" ht="14.25" customHeight="1" x14ac:dyDescent="0.3">
      <c r="B661" s="957"/>
      <c r="C661" s="540"/>
      <c r="D661" s="540"/>
      <c r="E661" s="540"/>
      <c r="F661" s="539"/>
      <c r="G661" s="539"/>
      <c r="H661" s="539"/>
      <c r="I661" s="539"/>
      <c r="J661" s="539"/>
      <c r="K661" s="539"/>
      <c r="L661" s="539"/>
      <c r="M661" s="539"/>
      <c r="N661" s="539"/>
      <c r="O661" s="539"/>
      <c r="P661" s="539"/>
      <c r="Q661" s="539"/>
      <c r="R661" s="539"/>
      <c r="S661" s="539"/>
      <c r="T661" s="539"/>
      <c r="U661" s="539"/>
      <c r="V661" s="539"/>
      <c r="W661" s="539"/>
      <c r="X661" s="539"/>
      <c r="Y661" s="539"/>
      <c r="Z661" s="539"/>
      <c r="AA661" s="539"/>
      <c r="AB661" s="539"/>
      <c r="AC661" s="539"/>
      <c r="AD661" s="539"/>
      <c r="AE661" s="539"/>
      <c r="AF661" s="539"/>
      <c r="AG661" s="539"/>
      <c r="AH661" s="539"/>
      <c r="AI661" s="539"/>
      <c r="AJ661" s="539"/>
      <c r="AK661" s="539"/>
      <c r="AL661" s="539"/>
      <c r="AM661" s="539"/>
      <c r="AN661" s="539"/>
      <c r="AO661" s="539"/>
      <c r="AP661" s="539"/>
      <c r="AQ661" s="539"/>
      <c r="AR661" s="539"/>
      <c r="AS661" s="539"/>
      <c r="AT661" s="539"/>
      <c r="AU661" s="539"/>
      <c r="AV661" s="539"/>
      <c r="AW661" s="539"/>
      <c r="AX661" s="539"/>
    </row>
    <row r="662" spans="2:50" ht="14.25" customHeight="1" x14ac:dyDescent="0.3">
      <c r="B662" s="957"/>
      <c r="C662" s="540"/>
      <c r="D662" s="540"/>
      <c r="E662" s="540"/>
      <c r="F662" s="539"/>
      <c r="G662" s="539"/>
      <c r="H662" s="539"/>
      <c r="I662" s="539"/>
      <c r="J662" s="539"/>
      <c r="K662" s="539"/>
      <c r="L662" s="539"/>
      <c r="M662" s="539"/>
      <c r="N662" s="539"/>
      <c r="O662" s="539"/>
      <c r="P662" s="539"/>
      <c r="Q662" s="539"/>
      <c r="R662" s="539"/>
      <c r="S662" s="539"/>
      <c r="T662" s="539"/>
      <c r="U662" s="539"/>
      <c r="V662" s="539"/>
      <c r="W662" s="539"/>
      <c r="X662" s="539"/>
      <c r="Y662" s="539"/>
      <c r="Z662" s="539"/>
      <c r="AA662" s="539"/>
      <c r="AB662" s="539"/>
      <c r="AC662" s="539"/>
      <c r="AD662" s="539"/>
      <c r="AE662" s="539"/>
      <c r="AF662" s="539"/>
      <c r="AG662" s="539"/>
      <c r="AH662" s="539"/>
      <c r="AI662" s="539"/>
      <c r="AJ662" s="539"/>
      <c r="AK662" s="539"/>
      <c r="AL662" s="539"/>
      <c r="AM662" s="539"/>
      <c r="AN662" s="539"/>
      <c r="AO662" s="539"/>
      <c r="AP662" s="539"/>
      <c r="AQ662" s="539"/>
      <c r="AR662" s="539"/>
      <c r="AS662" s="539"/>
      <c r="AT662" s="539"/>
      <c r="AU662" s="539"/>
      <c r="AV662" s="539"/>
      <c r="AW662" s="539"/>
      <c r="AX662" s="539"/>
    </row>
    <row r="663" spans="2:50" ht="14.25" customHeight="1" x14ac:dyDescent="0.3">
      <c r="B663" s="957"/>
      <c r="C663" s="540"/>
      <c r="D663" s="540"/>
      <c r="E663" s="540"/>
      <c r="F663" s="539"/>
      <c r="G663" s="539"/>
      <c r="H663" s="539"/>
      <c r="I663" s="539"/>
      <c r="J663" s="539"/>
      <c r="K663" s="539"/>
      <c r="L663" s="539"/>
      <c r="M663" s="539"/>
      <c r="N663" s="539"/>
      <c r="O663" s="539"/>
      <c r="P663" s="539"/>
      <c r="Q663" s="539"/>
      <c r="R663" s="539"/>
      <c r="S663" s="539"/>
      <c r="T663" s="539"/>
      <c r="U663" s="539"/>
      <c r="V663" s="539"/>
      <c r="W663" s="539"/>
      <c r="X663" s="539"/>
      <c r="Y663" s="539"/>
      <c r="Z663" s="539"/>
      <c r="AA663" s="539"/>
      <c r="AB663" s="539"/>
      <c r="AC663" s="539"/>
      <c r="AD663" s="539"/>
      <c r="AE663" s="539"/>
      <c r="AF663" s="539"/>
      <c r="AG663" s="539"/>
      <c r="AH663" s="539"/>
      <c r="AI663" s="539"/>
      <c r="AJ663" s="539"/>
      <c r="AK663" s="539"/>
      <c r="AL663" s="539"/>
      <c r="AM663" s="539"/>
      <c r="AN663" s="539"/>
      <c r="AO663" s="539"/>
      <c r="AP663" s="539"/>
      <c r="AQ663" s="539"/>
      <c r="AR663" s="539"/>
      <c r="AS663" s="539"/>
      <c r="AT663" s="539"/>
      <c r="AU663" s="539"/>
      <c r="AV663" s="539"/>
      <c r="AW663" s="539"/>
      <c r="AX663" s="539"/>
    </row>
    <row r="664" spans="2:50" ht="14.25" customHeight="1" x14ac:dyDescent="0.3">
      <c r="B664" s="957"/>
      <c r="C664" s="540"/>
      <c r="D664" s="540"/>
      <c r="E664" s="540"/>
      <c r="F664" s="539"/>
      <c r="G664" s="539"/>
      <c r="H664" s="539"/>
      <c r="I664" s="539"/>
      <c r="J664" s="539"/>
      <c r="K664" s="539"/>
      <c r="L664" s="539"/>
      <c r="M664" s="539"/>
      <c r="N664" s="539"/>
      <c r="O664" s="539"/>
      <c r="P664" s="539"/>
      <c r="Q664" s="539"/>
      <c r="R664" s="539"/>
      <c r="S664" s="539"/>
      <c r="T664" s="539"/>
      <c r="U664" s="539"/>
      <c r="V664" s="539"/>
      <c r="W664" s="539"/>
      <c r="X664" s="539"/>
      <c r="Y664" s="539"/>
      <c r="Z664" s="539"/>
      <c r="AA664" s="539"/>
      <c r="AB664" s="539"/>
      <c r="AC664" s="539"/>
      <c r="AD664" s="539"/>
      <c r="AE664" s="539"/>
      <c r="AF664" s="539"/>
      <c r="AG664" s="539"/>
      <c r="AH664" s="539"/>
      <c r="AI664" s="539"/>
      <c r="AJ664" s="539"/>
      <c r="AK664" s="539"/>
      <c r="AL664" s="539"/>
      <c r="AM664" s="539"/>
      <c r="AN664" s="539"/>
      <c r="AO664" s="539"/>
      <c r="AP664" s="539"/>
      <c r="AQ664" s="539"/>
      <c r="AR664" s="539"/>
      <c r="AS664" s="539"/>
      <c r="AT664" s="539"/>
      <c r="AU664" s="539"/>
      <c r="AV664" s="539"/>
      <c r="AW664" s="539"/>
      <c r="AX664" s="539"/>
    </row>
    <row r="665" spans="2:50" ht="14.25" customHeight="1" x14ac:dyDescent="0.3">
      <c r="B665" s="957"/>
      <c r="C665" s="540"/>
      <c r="D665" s="540"/>
      <c r="E665" s="540"/>
      <c r="F665" s="539"/>
      <c r="G665" s="539"/>
      <c r="H665" s="539"/>
      <c r="I665" s="539"/>
      <c r="J665" s="539"/>
      <c r="K665" s="539"/>
      <c r="L665" s="539"/>
      <c r="M665" s="539"/>
      <c r="N665" s="539"/>
      <c r="O665" s="539"/>
      <c r="P665" s="539"/>
      <c r="Q665" s="539"/>
      <c r="R665" s="539"/>
      <c r="S665" s="539"/>
      <c r="T665" s="539"/>
      <c r="U665" s="539"/>
      <c r="V665" s="539"/>
      <c r="W665" s="539"/>
      <c r="X665" s="539"/>
      <c r="Y665" s="539"/>
      <c r="Z665" s="539"/>
      <c r="AA665" s="539"/>
      <c r="AB665" s="539"/>
      <c r="AC665" s="539"/>
      <c r="AD665" s="539"/>
      <c r="AE665" s="539"/>
      <c r="AF665" s="539"/>
      <c r="AG665" s="539"/>
      <c r="AH665" s="539"/>
      <c r="AI665" s="539"/>
      <c r="AJ665" s="539"/>
      <c r="AK665" s="539"/>
      <c r="AL665" s="539"/>
      <c r="AM665" s="539"/>
      <c r="AN665" s="539"/>
      <c r="AO665" s="539"/>
      <c r="AP665" s="539"/>
      <c r="AQ665" s="539"/>
      <c r="AR665" s="539"/>
      <c r="AS665" s="539"/>
      <c r="AT665" s="539"/>
      <c r="AU665" s="539"/>
      <c r="AV665" s="539"/>
      <c r="AW665" s="539"/>
      <c r="AX665" s="539"/>
    </row>
    <row r="666" spans="2:50" ht="14.25" customHeight="1" x14ac:dyDescent="0.3">
      <c r="B666" s="957"/>
      <c r="C666" s="540"/>
      <c r="D666" s="540"/>
      <c r="E666" s="540"/>
      <c r="F666" s="539"/>
      <c r="G666" s="539"/>
      <c r="H666" s="539"/>
      <c r="I666" s="539"/>
      <c r="J666" s="539"/>
      <c r="K666" s="539"/>
      <c r="L666" s="539"/>
      <c r="M666" s="539"/>
      <c r="N666" s="539"/>
      <c r="O666" s="539"/>
      <c r="P666" s="539"/>
      <c r="Q666" s="539"/>
      <c r="R666" s="539"/>
      <c r="S666" s="539"/>
      <c r="T666" s="539"/>
      <c r="U666" s="539"/>
      <c r="V666" s="539"/>
      <c r="W666" s="539"/>
      <c r="X666" s="539"/>
      <c r="Y666" s="539"/>
      <c r="Z666" s="539"/>
      <c r="AA666" s="539"/>
      <c r="AB666" s="539"/>
      <c r="AC666" s="539"/>
      <c r="AD666" s="539"/>
      <c r="AE666" s="539"/>
      <c r="AF666" s="539"/>
      <c r="AG666" s="539"/>
      <c r="AH666" s="539"/>
      <c r="AI666" s="539"/>
      <c r="AJ666" s="539"/>
      <c r="AK666" s="539"/>
      <c r="AL666" s="539"/>
      <c r="AM666" s="539"/>
      <c r="AN666" s="539"/>
      <c r="AO666" s="539"/>
      <c r="AP666" s="539"/>
      <c r="AQ666" s="539"/>
      <c r="AR666" s="539"/>
      <c r="AS666" s="539"/>
      <c r="AT666" s="539"/>
      <c r="AU666" s="539"/>
      <c r="AV666" s="539"/>
      <c r="AW666" s="539"/>
      <c r="AX666" s="539"/>
    </row>
    <row r="667" spans="2:50" ht="14.25" customHeight="1" x14ac:dyDescent="0.3">
      <c r="B667" s="957"/>
      <c r="C667" s="540"/>
      <c r="D667" s="540"/>
      <c r="E667" s="540"/>
      <c r="F667" s="539"/>
      <c r="G667" s="539"/>
      <c r="H667" s="539"/>
      <c r="I667" s="539"/>
      <c r="J667" s="539"/>
      <c r="K667" s="539"/>
      <c r="L667" s="539"/>
      <c r="M667" s="539"/>
      <c r="N667" s="539"/>
      <c r="O667" s="539"/>
      <c r="P667" s="539"/>
      <c r="Q667" s="539"/>
      <c r="R667" s="539"/>
      <c r="S667" s="539"/>
      <c r="T667" s="539"/>
      <c r="U667" s="539"/>
      <c r="V667" s="539"/>
      <c r="W667" s="539"/>
      <c r="X667" s="539"/>
      <c r="Y667" s="539"/>
      <c r="Z667" s="539"/>
      <c r="AA667" s="539"/>
      <c r="AB667" s="539"/>
      <c r="AC667" s="539"/>
      <c r="AD667" s="539"/>
      <c r="AE667" s="539"/>
      <c r="AF667" s="539"/>
      <c r="AG667" s="539"/>
      <c r="AH667" s="539"/>
      <c r="AI667" s="539"/>
      <c r="AJ667" s="539"/>
      <c r="AK667" s="539"/>
      <c r="AL667" s="539"/>
      <c r="AM667" s="539"/>
      <c r="AN667" s="539"/>
      <c r="AO667" s="539"/>
      <c r="AP667" s="539"/>
      <c r="AQ667" s="539"/>
      <c r="AR667" s="539"/>
      <c r="AS667" s="539"/>
      <c r="AT667" s="539"/>
      <c r="AU667" s="539"/>
      <c r="AV667" s="539"/>
      <c r="AW667" s="539"/>
      <c r="AX667" s="539"/>
    </row>
    <row r="668" spans="2:50" ht="14.25" customHeight="1" x14ac:dyDescent="0.3">
      <c r="B668" s="957"/>
      <c r="C668" s="540"/>
      <c r="D668" s="540"/>
      <c r="E668" s="540"/>
      <c r="F668" s="539"/>
      <c r="G668" s="539"/>
      <c r="H668" s="539"/>
      <c r="I668" s="539"/>
      <c r="J668" s="539"/>
      <c r="K668" s="539"/>
      <c r="L668" s="539"/>
      <c r="M668" s="539"/>
      <c r="N668" s="539"/>
      <c r="O668" s="539"/>
      <c r="P668" s="539"/>
      <c r="Q668" s="539"/>
      <c r="R668" s="539"/>
      <c r="S668" s="539"/>
      <c r="T668" s="539"/>
      <c r="U668" s="539"/>
      <c r="V668" s="539"/>
      <c r="W668" s="539"/>
      <c r="X668" s="539"/>
      <c r="Y668" s="539"/>
      <c r="Z668" s="539"/>
      <c r="AA668" s="539"/>
      <c r="AB668" s="539"/>
      <c r="AC668" s="539"/>
      <c r="AD668" s="539"/>
      <c r="AE668" s="539"/>
      <c r="AF668" s="539"/>
      <c r="AG668" s="539"/>
      <c r="AH668" s="539"/>
      <c r="AI668" s="539"/>
      <c r="AJ668" s="539"/>
      <c r="AK668" s="539"/>
      <c r="AL668" s="539"/>
      <c r="AM668" s="539"/>
      <c r="AN668" s="539"/>
      <c r="AO668" s="539"/>
      <c r="AP668" s="539"/>
      <c r="AQ668" s="539"/>
      <c r="AR668" s="539"/>
      <c r="AS668" s="539"/>
      <c r="AT668" s="539"/>
      <c r="AU668" s="539"/>
      <c r="AV668" s="539"/>
      <c r="AW668" s="539"/>
      <c r="AX668" s="539"/>
    </row>
    <row r="669" spans="2:50" ht="14.25" customHeight="1" x14ac:dyDescent="0.3">
      <c r="B669" s="957"/>
      <c r="C669" s="540"/>
      <c r="D669" s="540"/>
      <c r="E669" s="540"/>
      <c r="F669" s="539"/>
      <c r="G669" s="539"/>
      <c r="H669" s="539"/>
      <c r="I669" s="539"/>
      <c r="J669" s="539"/>
      <c r="K669" s="539"/>
      <c r="L669" s="539"/>
      <c r="M669" s="539"/>
      <c r="N669" s="539"/>
      <c r="O669" s="539"/>
      <c r="P669" s="539"/>
      <c r="Q669" s="539"/>
      <c r="R669" s="539"/>
      <c r="S669" s="539"/>
      <c r="T669" s="539"/>
      <c r="U669" s="539"/>
      <c r="V669" s="539"/>
      <c r="W669" s="539"/>
      <c r="X669" s="539"/>
      <c r="Y669" s="539"/>
      <c r="Z669" s="539"/>
      <c r="AA669" s="539"/>
      <c r="AB669" s="539"/>
      <c r="AC669" s="539"/>
      <c r="AD669" s="539"/>
      <c r="AE669" s="539"/>
      <c r="AF669" s="539"/>
      <c r="AG669" s="539"/>
      <c r="AH669" s="539"/>
      <c r="AI669" s="539"/>
      <c r="AJ669" s="539"/>
      <c r="AK669" s="539"/>
      <c r="AL669" s="539"/>
      <c r="AM669" s="539"/>
      <c r="AN669" s="539"/>
      <c r="AO669" s="539"/>
      <c r="AP669" s="539"/>
      <c r="AQ669" s="539"/>
      <c r="AR669" s="539"/>
      <c r="AS669" s="539"/>
      <c r="AT669" s="539"/>
      <c r="AU669" s="539"/>
      <c r="AV669" s="539"/>
      <c r="AW669" s="539"/>
      <c r="AX669" s="539"/>
    </row>
    <row r="670" spans="2:50" ht="14.25" customHeight="1" x14ac:dyDescent="0.3">
      <c r="B670" s="957"/>
      <c r="C670" s="540"/>
      <c r="D670" s="540"/>
      <c r="E670" s="540"/>
      <c r="F670" s="539"/>
      <c r="G670" s="539"/>
      <c r="H670" s="539"/>
      <c r="I670" s="539"/>
      <c r="J670" s="539"/>
      <c r="K670" s="539"/>
      <c r="L670" s="539"/>
      <c r="M670" s="539"/>
      <c r="N670" s="539"/>
      <c r="O670" s="539"/>
      <c r="P670" s="539"/>
      <c r="Q670" s="539"/>
      <c r="R670" s="539"/>
      <c r="S670" s="539"/>
      <c r="T670" s="539"/>
      <c r="U670" s="539"/>
      <c r="V670" s="539"/>
      <c r="W670" s="539"/>
      <c r="X670" s="539"/>
      <c r="Y670" s="539"/>
      <c r="Z670" s="539"/>
      <c r="AA670" s="539"/>
      <c r="AB670" s="539"/>
      <c r="AC670" s="539"/>
      <c r="AD670" s="539"/>
      <c r="AE670" s="539"/>
      <c r="AF670" s="539"/>
      <c r="AG670" s="539"/>
      <c r="AH670" s="539"/>
      <c r="AI670" s="539"/>
      <c r="AJ670" s="539"/>
      <c r="AK670" s="539"/>
      <c r="AL670" s="539"/>
      <c r="AM670" s="539"/>
      <c r="AN670" s="539"/>
      <c r="AO670" s="539"/>
      <c r="AP670" s="539"/>
      <c r="AQ670" s="539"/>
      <c r="AR670" s="539"/>
      <c r="AS670" s="539"/>
      <c r="AT670" s="539"/>
      <c r="AU670" s="539"/>
      <c r="AV670" s="539"/>
      <c r="AW670" s="539"/>
      <c r="AX670" s="539"/>
    </row>
    <row r="671" spans="2:50" ht="14.25" customHeight="1" x14ac:dyDescent="0.3">
      <c r="B671" s="957"/>
      <c r="C671" s="540"/>
      <c r="D671" s="540"/>
      <c r="E671" s="540"/>
      <c r="F671" s="539"/>
      <c r="G671" s="539"/>
      <c r="H671" s="539"/>
      <c r="I671" s="539"/>
      <c r="J671" s="539"/>
      <c r="K671" s="539"/>
      <c r="L671" s="539"/>
      <c r="M671" s="539"/>
      <c r="N671" s="539"/>
      <c r="O671" s="539"/>
      <c r="P671" s="539"/>
      <c r="Q671" s="539"/>
      <c r="R671" s="539"/>
      <c r="S671" s="539"/>
      <c r="T671" s="539"/>
      <c r="U671" s="539"/>
      <c r="V671" s="539"/>
      <c r="W671" s="539"/>
      <c r="X671" s="539"/>
      <c r="Y671" s="539"/>
      <c r="Z671" s="539"/>
      <c r="AA671" s="539"/>
      <c r="AB671" s="539"/>
      <c r="AC671" s="539"/>
      <c r="AD671" s="539"/>
      <c r="AE671" s="539"/>
      <c r="AF671" s="539"/>
      <c r="AG671" s="539"/>
      <c r="AH671" s="539"/>
      <c r="AI671" s="539"/>
      <c r="AJ671" s="539"/>
      <c r="AK671" s="539"/>
      <c r="AL671" s="539"/>
      <c r="AM671" s="539"/>
      <c r="AN671" s="539"/>
      <c r="AO671" s="539"/>
      <c r="AP671" s="539"/>
      <c r="AQ671" s="539"/>
      <c r="AR671" s="539"/>
      <c r="AS671" s="539"/>
      <c r="AT671" s="539"/>
      <c r="AU671" s="539"/>
      <c r="AV671" s="539"/>
      <c r="AW671" s="539"/>
      <c r="AX671" s="539"/>
    </row>
    <row r="672" spans="2:50" ht="14.25" customHeight="1" x14ac:dyDescent="0.3">
      <c r="B672" s="957"/>
      <c r="C672" s="540"/>
      <c r="D672" s="540"/>
      <c r="E672" s="540"/>
      <c r="F672" s="539"/>
      <c r="G672" s="539"/>
      <c r="H672" s="539"/>
      <c r="I672" s="539"/>
      <c r="J672" s="539"/>
      <c r="K672" s="539"/>
      <c r="L672" s="539"/>
      <c r="M672" s="539"/>
      <c r="N672" s="539"/>
      <c r="O672" s="539"/>
      <c r="P672" s="539"/>
      <c r="Q672" s="539"/>
      <c r="R672" s="539"/>
      <c r="S672" s="539"/>
      <c r="T672" s="539"/>
      <c r="U672" s="539"/>
      <c r="V672" s="539"/>
      <c r="W672" s="539"/>
      <c r="X672" s="539"/>
      <c r="Y672" s="539"/>
      <c r="Z672" s="539"/>
      <c r="AA672" s="539"/>
      <c r="AB672" s="539"/>
      <c r="AC672" s="539"/>
      <c r="AD672" s="539"/>
      <c r="AE672" s="539"/>
      <c r="AF672" s="539"/>
      <c r="AG672" s="539"/>
      <c r="AH672" s="539"/>
      <c r="AI672" s="539"/>
      <c r="AJ672" s="539"/>
      <c r="AK672" s="539"/>
      <c r="AL672" s="539"/>
      <c r="AM672" s="539"/>
      <c r="AN672" s="539"/>
      <c r="AO672" s="539"/>
      <c r="AP672" s="539"/>
      <c r="AQ672" s="539"/>
      <c r="AR672" s="539"/>
      <c r="AS672" s="539"/>
      <c r="AT672" s="539"/>
      <c r="AU672" s="539"/>
      <c r="AV672" s="539"/>
      <c r="AW672" s="539"/>
      <c r="AX672" s="539"/>
    </row>
    <row r="673" spans="2:50" ht="14.25" customHeight="1" x14ac:dyDescent="0.3">
      <c r="B673" s="957"/>
      <c r="C673" s="540"/>
      <c r="D673" s="540"/>
      <c r="E673" s="540"/>
      <c r="F673" s="539"/>
      <c r="G673" s="539"/>
      <c r="H673" s="539"/>
      <c r="I673" s="539"/>
      <c r="J673" s="539"/>
      <c r="K673" s="539"/>
      <c r="L673" s="539"/>
      <c r="M673" s="539"/>
      <c r="N673" s="539"/>
      <c r="O673" s="539"/>
      <c r="P673" s="539"/>
      <c r="Q673" s="539"/>
      <c r="R673" s="539"/>
      <c r="S673" s="539"/>
      <c r="T673" s="539"/>
      <c r="U673" s="539"/>
      <c r="V673" s="539"/>
      <c r="W673" s="539"/>
      <c r="X673" s="539"/>
      <c r="Y673" s="539"/>
      <c r="Z673" s="539"/>
      <c r="AA673" s="539"/>
      <c r="AB673" s="539"/>
      <c r="AC673" s="539"/>
      <c r="AD673" s="539"/>
      <c r="AE673" s="539"/>
      <c r="AF673" s="539"/>
      <c r="AG673" s="539"/>
      <c r="AH673" s="539"/>
      <c r="AI673" s="539"/>
      <c r="AJ673" s="539"/>
      <c r="AK673" s="539"/>
      <c r="AL673" s="539"/>
      <c r="AM673" s="539"/>
      <c r="AN673" s="539"/>
      <c r="AO673" s="539"/>
      <c r="AP673" s="539"/>
      <c r="AQ673" s="539"/>
      <c r="AR673" s="539"/>
      <c r="AS673" s="539"/>
      <c r="AT673" s="539"/>
      <c r="AU673" s="539"/>
      <c r="AV673" s="539"/>
      <c r="AW673" s="539"/>
      <c r="AX673" s="539"/>
    </row>
    <row r="674" spans="2:50" ht="14.25" customHeight="1" x14ac:dyDescent="0.3">
      <c r="B674" s="957"/>
      <c r="C674" s="540"/>
      <c r="D674" s="540"/>
      <c r="E674" s="540"/>
      <c r="F674" s="539"/>
      <c r="G674" s="539"/>
      <c r="H674" s="539"/>
      <c r="I674" s="539"/>
      <c r="J674" s="539"/>
      <c r="K674" s="539"/>
      <c r="L674" s="539"/>
      <c r="M674" s="539"/>
      <c r="N674" s="539"/>
      <c r="O674" s="539"/>
      <c r="P674" s="539"/>
      <c r="Q674" s="539"/>
      <c r="R674" s="539"/>
      <c r="S674" s="539"/>
      <c r="T674" s="539"/>
      <c r="U674" s="539"/>
      <c r="V674" s="539"/>
      <c r="W674" s="539"/>
      <c r="X674" s="539"/>
      <c r="Y674" s="539"/>
      <c r="Z674" s="539"/>
      <c r="AA674" s="539"/>
      <c r="AB674" s="539"/>
      <c r="AC674" s="539"/>
      <c r="AD674" s="539"/>
      <c r="AE674" s="539"/>
      <c r="AF674" s="539"/>
      <c r="AG674" s="539"/>
      <c r="AH674" s="539"/>
      <c r="AI674" s="539"/>
      <c r="AJ674" s="539"/>
      <c r="AK674" s="539"/>
      <c r="AL674" s="539"/>
      <c r="AM674" s="539"/>
      <c r="AN674" s="539"/>
      <c r="AO674" s="539"/>
      <c r="AP674" s="539"/>
      <c r="AQ674" s="539"/>
      <c r="AR674" s="539"/>
      <c r="AS674" s="539"/>
      <c r="AT674" s="539"/>
      <c r="AU674" s="539"/>
      <c r="AV674" s="539"/>
      <c r="AW674" s="539"/>
      <c r="AX674" s="539"/>
    </row>
    <row r="675" spans="2:50" ht="14.25" customHeight="1" x14ac:dyDescent="0.3">
      <c r="B675" s="957"/>
      <c r="C675" s="540"/>
      <c r="D675" s="540"/>
      <c r="E675" s="540"/>
      <c r="F675" s="539"/>
      <c r="G675" s="539"/>
      <c r="H675" s="539"/>
      <c r="I675" s="539"/>
      <c r="J675" s="539"/>
      <c r="K675" s="539"/>
      <c r="L675" s="539"/>
      <c r="M675" s="539"/>
      <c r="N675" s="539"/>
      <c r="O675" s="539"/>
      <c r="P675" s="539"/>
      <c r="Q675" s="539"/>
      <c r="R675" s="539"/>
      <c r="S675" s="539"/>
      <c r="T675" s="539"/>
      <c r="U675" s="539"/>
      <c r="V675" s="539"/>
      <c r="W675" s="539"/>
      <c r="X675" s="539"/>
      <c r="Y675" s="539"/>
      <c r="Z675" s="539"/>
      <c r="AA675" s="539"/>
      <c r="AB675" s="539"/>
      <c r="AC675" s="539"/>
      <c r="AD675" s="539"/>
      <c r="AE675" s="539"/>
      <c r="AF675" s="539"/>
      <c r="AG675" s="539"/>
      <c r="AH675" s="539"/>
      <c r="AI675" s="539"/>
      <c r="AJ675" s="539"/>
      <c r="AK675" s="539"/>
      <c r="AL675" s="539"/>
      <c r="AM675" s="539"/>
      <c r="AN675" s="539"/>
      <c r="AO675" s="539"/>
      <c r="AP675" s="539"/>
      <c r="AQ675" s="539"/>
      <c r="AR675" s="539"/>
      <c r="AS675" s="539"/>
      <c r="AT675" s="539"/>
      <c r="AU675" s="539"/>
      <c r="AV675" s="539"/>
      <c r="AW675" s="539"/>
      <c r="AX675" s="539"/>
    </row>
    <row r="676" spans="2:50" ht="14.25" customHeight="1" x14ac:dyDescent="0.3">
      <c r="B676" s="957"/>
      <c r="C676" s="540"/>
      <c r="D676" s="540"/>
      <c r="E676" s="540"/>
      <c r="F676" s="539"/>
      <c r="G676" s="539"/>
      <c r="H676" s="539"/>
      <c r="I676" s="539"/>
      <c r="J676" s="539"/>
      <c r="K676" s="539"/>
      <c r="L676" s="539"/>
      <c r="M676" s="539"/>
      <c r="N676" s="539"/>
      <c r="O676" s="539"/>
      <c r="P676" s="539"/>
      <c r="Q676" s="539"/>
      <c r="R676" s="539"/>
      <c r="S676" s="539"/>
      <c r="T676" s="539"/>
      <c r="U676" s="539"/>
      <c r="V676" s="539"/>
      <c r="W676" s="539"/>
      <c r="X676" s="539"/>
      <c r="Y676" s="539"/>
      <c r="Z676" s="539"/>
      <c r="AA676" s="539"/>
      <c r="AB676" s="539"/>
      <c r="AC676" s="539"/>
      <c r="AD676" s="539"/>
      <c r="AE676" s="539"/>
      <c r="AF676" s="539"/>
      <c r="AG676" s="539"/>
      <c r="AH676" s="539"/>
      <c r="AI676" s="539"/>
      <c r="AJ676" s="539"/>
      <c r="AK676" s="539"/>
      <c r="AL676" s="539"/>
      <c r="AM676" s="539"/>
      <c r="AN676" s="539"/>
      <c r="AO676" s="539"/>
      <c r="AP676" s="539"/>
      <c r="AQ676" s="539"/>
      <c r="AR676" s="539"/>
      <c r="AS676" s="539"/>
      <c r="AT676" s="539"/>
      <c r="AU676" s="539"/>
      <c r="AV676" s="539"/>
      <c r="AW676" s="539"/>
      <c r="AX676" s="539"/>
    </row>
    <row r="677" spans="2:50" ht="14.25" customHeight="1" x14ac:dyDescent="0.3">
      <c r="B677" s="957"/>
      <c r="C677" s="540"/>
      <c r="D677" s="540"/>
      <c r="E677" s="540"/>
      <c r="F677" s="539"/>
      <c r="G677" s="539"/>
      <c r="H677" s="539"/>
      <c r="I677" s="539"/>
      <c r="J677" s="539"/>
      <c r="K677" s="539"/>
      <c r="L677" s="539"/>
      <c r="M677" s="539"/>
      <c r="N677" s="539"/>
      <c r="O677" s="539"/>
      <c r="P677" s="539"/>
      <c r="Q677" s="539"/>
      <c r="R677" s="539"/>
      <c r="S677" s="539"/>
      <c r="T677" s="539"/>
      <c r="U677" s="539"/>
      <c r="V677" s="539"/>
      <c r="W677" s="539"/>
      <c r="X677" s="539"/>
      <c r="Y677" s="539"/>
      <c r="Z677" s="539"/>
      <c r="AA677" s="539"/>
      <c r="AB677" s="539"/>
      <c r="AC677" s="539"/>
      <c r="AD677" s="539"/>
      <c r="AE677" s="539"/>
      <c r="AF677" s="539"/>
      <c r="AG677" s="539"/>
      <c r="AH677" s="539"/>
      <c r="AI677" s="539"/>
      <c r="AJ677" s="539"/>
      <c r="AK677" s="539"/>
      <c r="AL677" s="539"/>
      <c r="AM677" s="539"/>
      <c r="AN677" s="539"/>
      <c r="AO677" s="539"/>
      <c r="AP677" s="539"/>
      <c r="AQ677" s="539"/>
      <c r="AR677" s="539"/>
      <c r="AS677" s="539"/>
      <c r="AT677" s="539"/>
      <c r="AU677" s="539"/>
      <c r="AV677" s="539"/>
      <c r="AW677" s="539"/>
      <c r="AX677" s="539"/>
    </row>
    <row r="678" spans="2:50" ht="14.25" customHeight="1" x14ac:dyDescent="0.3">
      <c r="B678" s="957"/>
      <c r="C678" s="540"/>
      <c r="D678" s="540"/>
      <c r="E678" s="540"/>
      <c r="F678" s="539"/>
      <c r="G678" s="539"/>
      <c r="H678" s="539"/>
      <c r="I678" s="539"/>
      <c r="J678" s="539"/>
      <c r="K678" s="539"/>
      <c r="L678" s="539"/>
      <c r="M678" s="539"/>
      <c r="N678" s="539"/>
      <c r="O678" s="539"/>
      <c r="P678" s="539"/>
      <c r="Q678" s="539"/>
      <c r="R678" s="539"/>
      <c r="S678" s="539"/>
      <c r="T678" s="539"/>
      <c r="U678" s="539"/>
      <c r="V678" s="539"/>
      <c r="W678" s="539"/>
      <c r="X678" s="539"/>
      <c r="Y678" s="539"/>
      <c r="Z678" s="539"/>
      <c r="AA678" s="539"/>
      <c r="AB678" s="539"/>
      <c r="AC678" s="539"/>
      <c r="AD678" s="539"/>
      <c r="AE678" s="539"/>
      <c r="AF678" s="539"/>
      <c r="AG678" s="539"/>
      <c r="AH678" s="539"/>
      <c r="AI678" s="539"/>
      <c r="AJ678" s="539"/>
      <c r="AK678" s="539"/>
      <c r="AL678" s="539"/>
      <c r="AM678" s="539"/>
      <c r="AN678" s="539"/>
      <c r="AO678" s="539"/>
      <c r="AP678" s="539"/>
      <c r="AQ678" s="539"/>
      <c r="AR678" s="539"/>
      <c r="AS678" s="539"/>
      <c r="AT678" s="539"/>
      <c r="AU678" s="539"/>
      <c r="AV678" s="539"/>
      <c r="AW678" s="539"/>
      <c r="AX678" s="539"/>
    </row>
    <row r="679" spans="2:50" ht="14.25" customHeight="1" x14ac:dyDescent="0.3">
      <c r="B679" s="957"/>
      <c r="C679" s="540"/>
      <c r="D679" s="540"/>
      <c r="E679" s="540"/>
      <c r="F679" s="539"/>
      <c r="G679" s="539"/>
      <c r="H679" s="539"/>
      <c r="I679" s="539"/>
      <c r="J679" s="539"/>
      <c r="K679" s="539"/>
      <c r="L679" s="539"/>
      <c r="M679" s="539"/>
      <c r="N679" s="539"/>
      <c r="O679" s="539"/>
      <c r="P679" s="539"/>
      <c r="Q679" s="539"/>
      <c r="R679" s="539"/>
      <c r="S679" s="539"/>
      <c r="T679" s="539"/>
      <c r="U679" s="539"/>
      <c r="V679" s="539"/>
      <c r="W679" s="539"/>
      <c r="X679" s="539"/>
      <c r="Y679" s="539"/>
      <c r="Z679" s="539"/>
      <c r="AA679" s="539"/>
      <c r="AB679" s="539"/>
      <c r="AC679" s="539"/>
      <c r="AD679" s="539"/>
      <c r="AE679" s="539"/>
      <c r="AF679" s="539"/>
      <c r="AG679" s="539"/>
      <c r="AH679" s="539"/>
      <c r="AI679" s="539"/>
      <c r="AJ679" s="539"/>
      <c r="AK679" s="539"/>
      <c r="AL679" s="539"/>
      <c r="AM679" s="539"/>
      <c r="AN679" s="539"/>
      <c r="AO679" s="539"/>
      <c r="AP679" s="539"/>
      <c r="AQ679" s="539"/>
      <c r="AR679" s="539"/>
      <c r="AS679" s="539"/>
      <c r="AT679" s="539"/>
      <c r="AU679" s="539"/>
      <c r="AV679" s="539"/>
      <c r="AW679" s="539"/>
      <c r="AX679" s="539"/>
    </row>
    <row r="680" spans="2:50" ht="14.25" customHeight="1" x14ac:dyDescent="0.3">
      <c r="B680" s="957"/>
      <c r="C680" s="540"/>
      <c r="D680" s="540"/>
      <c r="E680" s="540"/>
      <c r="F680" s="539"/>
      <c r="G680" s="539"/>
      <c r="H680" s="539"/>
      <c r="I680" s="539"/>
      <c r="J680" s="539"/>
      <c r="K680" s="539"/>
      <c r="L680" s="539"/>
      <c r="M680" s="539"/>
      <c r="N680" s="539"/>
      <c r="O680" s="539"/>
      <c r="P680" s="539"/>
      <c r="Q680" s="539"/>
      <c r="R680" s="539"/>
      <c r="S680" s="539"/>
      <c r="T680" s="539"/>
      <c r="U680" s="539"/>
      <c r="V680" s="539"/>
      <c r="W680" s="539"/>
      <c r="X680" s="539"/>
      <c r="Y680" s="539"/>
      <c r="Z680" s="539"/>
      <c r="AA680" s="539"/>
      <c r="AB680" s="539"/>
      <c r="AC680" s="539"/>
      <c r="AD680" s="539"/>
      <c r="AE680" s="539"/>
      <c r="AF680" s="539"/>
      <c r="AG680" s="539"/>
      <c r="AH680" s="539"/>
      <c r="AI680" s="539"/>
      <c r="AJ680" s="539"/>
      <c r="AK680" s="539"/>
      <c r="AL680" s="539"/>
      <c r="AM680" s="539"/>
      <c r="AN680" s="539"/>
      <c r="AO680" s="539"/>
      <c r="AP680" s="539"/>
      <c r="AQ680" s="539"/>
      <c r="AR680" s="539"/>
      <c r="AS680" s="539"/>
      <c r="AT680" s="539"/>
      <c r="AU680" s="539"/>
      <c r="AV680" s="539"/>
      <c r="AW680" s="539"/>
      <c r="AX680" s="539"/>
    </row>
    <row r="681" spans="2:50" ht="14.25" customHeight="1" x14ac:dyDescent="0.3">
      <c r="B681" s="957"/>
      <c r="C681" s="540"/>
      <c r="D681" s="540"/>
      <c r="E681" s="540"/>
      <c r="F681" s="539"/>
      <c r="G681" s="539"/>
      <c r="H681" s="539"/>
      <c r="I681" s="539"/>
      <c r="J681" s="539"/>
      <c r="K681" s="539"/>
      <c r="L681" s="539"/>
      <c r="M681" s="539"/>
      <c r="N681" s="539"/>
      <c r="O681" s="539"/>
      <c r="P681" s="539"/>
      <c r="Q681" s="539"/>
      <c r="R681" s="539"/>
      <c r="S681" s="539"/>
      <c r="T681" s="539"/>
      <c r="U681" s="539"/>
      <c r="V681" s="539"/>
      <c r="W681" s="539"/>
      <c r="X681" s="539"/>
      <c r="Y681" s="539"/>
      <c r="Z681" s="539"/>
      <c r="AA681" s="539"/>
      <c r="AB681" s="539"/>
      <c r="AC681" s="539"/>
      <c r="AD681" s="539"/>
      <c r="AE681" s="539"/>
      <c r="AF681" s="539"/>
      <c r="AG681" s="539"/>
      <c r="AH681" s="539"/>
      <c r="AI681" s="539"/>
      <c r="AJ681" s="539"/>
      <c r="AK681" s="539"/>
      <c r="AL681" s="539"/>
      <c r="AM681" s="539"/>
      <c r="AN681" s="539"/>
      <c r="AO681" s="539"/>
      <c r="AP681" s="539"/>
      <c r="AQ681" s="539"/>
      <c r="AR681" s="539"/>
      <c r="AS681" s="539"/>
      <c r="AT681" s="539"/>
      <c r="AU681" s="539"/>
      <c r="AV681" s="539"/>
      <c r="AW681" s="539"/>
      <c r="AX681" s="539"/>
    </row>
    <row r="682" spans="2:50" ht="14.25" customHeight="1" x14ac:dyDescent="0.3">
      <c r="B682" s="957"/>
      <c r="C682" s="540"/>
      <c r="D682" s="540"/>
      <c r="E682" s="540"/>
      <c r="F682" s="539"/>
      <c r="G682" s="539"/>
      <c r="H682" s="539"/>
      <c r="I682" s="539"/>
      <c r="J682" s="539"/>
      <c r="K682" s="539"/>
      <c r="L682" s="539"/>
      <c r="M682" s="539"/>
      <c r="N682" s="539"/>
      <c r="O682" s="539"/>
      <c r="P682" s="539"/>
      <c r="Q682" s="539"/>
      <c r="R682" s="539"/>
      <c r="S682" s="539"/>
      <c r="T682" s="539"/>
      <c r="U682" s="539"/>
      <c r="V682" s="539"/>
      <c r="W682" s="539"/>
      <c r="X682" s="539"/>
      <c r="Y682" s="539"/>
      <c r="Z682" s="539"/>
      <c r="AA682" s="539"/>
      <c r="AB682" s="539"/>
      <c r="AC682" s="539"/>
      <c r="AD682" s="539"/>
      <c r="AE682" s="539"/>
      <c r="AF682" s="539"/>
      <c r="AG682" s="539"/>
      <c r="AH682" s="539"/>
      <c r="AI682" s="539"/>
      <c r="AJ682" s="539"/>
      <c r="AK682" s="539"/>
      <c r="AL682" s="539"/>
      <c r="AM682" s="539"/>
      <c r="AN682" s="539"/>
      <c r="AO682" s="539"/>
      <c r="AP682" s="539"/>
      <c r="AQ682" s="539"/>
      <c r="AR682" s="539"/>
      <c r="AS682" s="539"/>
      <c r="AT682" s="539"/>
      <c r="AU682" s="539"/>
      <c r="AV682" s="539"/>
      <c r="AW682" s="539"/>
      <c r="AX682" s="539"/>
    </row>
    <row r="683" spans="2:50" ht="14.25" customHeight="1" x14ac:dyDescent="0.3">
      <c r="B683" s="957"/>
      <c r="C683" s="540"/>
      <c r="D683" s="540"/>
      <c r="E683" s="540"/>
      <c r="F683" s="539"/>
      <c r="G683" s="539"/>
      <c r="H683" s="539"/>
      <c r="I683" s="539"/>
      <c r="J683" s="539"/>
      <c r="K683" s="539"/>
      <c r="L683" s="539"/>
      <c r="M683" s="539"/>
      <c r="N683" s="539"/>
      <c r="O683" s="539"/>
      <c r="P683" s="539"/>
      <c r="Q683" s="539"/>
      <c r="R683" s="539"/>
      <c r="S683" s="539"/>
      <c r="T683" s="539"/>
      <c r="U683" s="539"/>
      <c r="V683" s="539"/>
      <c r="W683" s="539"/>
      <c r="X683" s="539"/>
      <c r="Y683" s="539"/>
      <c r="Z683" s="539"/>
      <c r="AA683" s="539"/>
      <c r="AB683" s="539"/>
      <c r="AC683" s="539"/>
      <c r="AD683" s="539"/>
      <c r="AE683" s="539"/>
      <c r="AF683" s="539"/>
      <c r="AG683" s="539"/>
      <c r="AH683" s="539"/>
      <c r="AI683" s="539"/>
      <c r="AJ683" s="539"/>
      <c r="AK683" s="539"/>
      <c r="AL683" s="539"/>
      <c r="AM683" s="539"/>
      <c r="AN683" s="539"/>
      <c r="AO683" s="539"/>
      <c r="AP683" s="539"/>
      <c r="AQ683" s="539"/>
      <c r="AR683" s="539"/>
      <c r="AS683" s="539"/>
      <c r="AT683" s="539"/>
      <c r="AU683" s="539"/>
      <c r="AV683" s="539"/>
      <c r="AW683" s="539"/>
      <c r="AX683" s="539"/>
    </row>
    <row r="684" spans="2:50" ht="14.25" customHeight="1" x14ac:dyDescent="0.3">
      <c r="B684" s="957"/>
      <c r="C684" s="540"/>
      <c r="D684" s="540"/>
      <c r="E684" s="540"/>
      <c r="F684" s="539"/>
      <c r="G684" s="539"/>
      <c r="H684" s="539"/>
      <c r="I684" s="539"/>
      <c r="J684" s="539"/>
      <c r="K684" s="539"/>
      <c r="L684" s="539"/>
      <c r="M684" s="539"/>
      <c r="N684" s="539"/>
      <c r="O684" s="539"/>
      <c r="P684" s="539"/>
      <c r="Q684" s="539"/>
      <c r="R684" s="539"/>
      <c r="S684" s="539"/>
      <c r="T684" s="539"/>
      <c r="U684" s="539"/>
      <c r="V684" s="539"/>
      <c r="W684" s="539"/>
      <c r="X684" s="539"/>
      <c r="Y684" s="539"/>
      <c r="Z684" s="539"/>
      <c r="AA684" s="539"/>
      <c r="AB684" s="539"/>
      <c r="AC684" s="539"/>
      <c r="AD684" s="539"/>
      <c r="AE684" s="539"/>
      <c r="AF684" s="539"/>
      <c r="AG684" s="539"/>
      <c r="AH684" s="539"/>
      <c r="AI684" s="539"/>
      <c r="AJ684" s="539"/>
      <c r="AK684" s="539"/>
      <c r="AL684" s="539"/>
      <c r="AM684" s="539"/>
      <c r="AN684" s="539"/>
      <c r="AO684" s="539"/>
      <c r="AP684" s="539"/>
      <c r="AQ684" s="539"/>
      <c r="AR684" s="539"/>
      <c r="AS684" s="539"/>
      <c r="AT684" s="539"/>
      <c r="AU684" s="539"/>
      <c r="AV684" s="539"/>
      <c r="AW684" s="539"/>
      <c r="AX684" s="539"/>
    </row>
    <row r="685" spans="2:50" ht="14.25" customHeight="1" x14ac:dyDescent="0.3">
      <c r="B685" s="957"/>
      <c r="C685" s="540"/>
      <c r="D685" s="540"/>
      <c r="E685" s="540"/>
      <c r="F685" s="539"/>
      <c r="G685" s="539"/>
      <c r="H685" s="539"/>
      <c r="I685" s="539"/>
      <c r="J685" s="539"/>
      <c r="K685" s="539"/>
      <c r="L685" s="539"/>
      <c r="M685" s="539"/>
      <c r="N685" s="539"/>
      <c r="O685" s="539"/>
      <c r="P685" s="539"/>
      <c r="Q685" s="539"/>
      <c r="R685" s="539"/>
      <c r="S685" s="539"/>
      <c r="T685" s="539"/>
      <c r="U685" s="539"/>
      <c r="V685" s="539"/>
      <c r="W685" s="539"/>
      <c r="X685" s="539"/>
      <c r="Y685" s="539"/>
      <c r="Z685" s="539"/>
      <c r="AA685" s="539"/>
      <c r="AB685" s="539"/>
      <c r="AC685" s="539"/>
      <c r="AD685" s="539"/>
      <c r="AE685" s="539"/>
      <c r="AF685" s="539"/>
      <c r="AG685" s="539"/>
      <c r="AH685" s="539"/>
      <c r="AI685" s="539"/>
      <c r="AJ685" s="539"/>
      <c r="AK685" s="539"/>
      <c r="AL685" s="539"/>
      <c r="AM685" s="539"/>
      <c r="AN685" s="539"/>
      <c r="AO685" s="539"/>
      <c r="AP685" s="539"/>
      <c r="AQ685" s="539"/>
      <c r="AR685" s="539"/>
      <c r="AS685" s="539"/>
      <c r="AT685" s="539"/>
      <c r="AU685" s="539"/>
      <c r="AV685" s="539"/>
      <c r="AW685" s="539"/>
      <c r="AX685" s="539"/>
    </row>
    <row r="686" spans="2:50" ht="14.25" customHeight="1" x14ac:dyDescent="0.3">
      <c r="B686" s="957"/>
      <c r="C686" s="540"/>
      <c r="D686" s="540"/>
      <c r="E686" s="540"/>
      <c r="F686" s="539"/>
      <c r="G686" s="539"/>
      <c r="H686" s="539"/>
      <c r="I686" s="539"/>
      <c r="J686" s="539"/>
      <c r="K686" s="539"/>
      <c r="L686" s="539"/>
      <c r="M686" s="539"/>
      <c r="N686" s="539"/>
      <c r="O686" s="539"/>
      <c r="P686" s="539"/>
      <c r="Q686" s="539"/>
      <c r="R686" s="539"/>
      <c r="S686" s="539"/>
      <c r="T686" s="539"/>
      <c r="U686" s="539"/>
      <c r="V686" s="539"/>
      <c r="W686" s="539"/>
      <c r="X686" s="539"/>
      <c r="Y686" s="539"/>
      <c r="Z686" s="539"/>
      <c r="AA686" s="539"/>
      <c r="AB686" s="539"/>
      <c r="AC686" s="539"/>
      <c r="AD686" s="539"/>
      <c r="AE686" s="539"/>
      <c r="AF686" s="539"/>
      <c r="AG686" s="539"/>
      <c r="AH686" s="539"/>
      <c r="AI686" s="539"/>
      <c r="AJ686" s="539"/>
      <c r="AK686" s="539"/>
      <c r="AL686" s="539"/>
      <c r="AM686" s="539"/>
      <c r="AN686" s="539"/>
      <c r="AO686" s="539"/>
      <c r="AP686" s="539"/>
      <c r="AQ686" s="539"/>
      <c r="AR686" s="539"/>
      <c r="AS686" s="539"/>
      <c r="AT686" s="539"/>
      <c r="AU686" s="539"/>
      <c r="AV686" s="539"/>
      <c r="AW686" s="539"/>
      <c r="AX686" s="539"/>
    </row>
    <row r="687" spans="2:50" ht="14.25" customHeight="1" x14ac:dyDescent="0.3">
      <c r="B687" s="957"/>
      <c r="C687" s="540"/>
      <c r="D687" s="540"/>
      <c r="E687" s="540"/>
      <c r="F687" s="539"/>
      <c r="G687" s="539"/>
      <c r="H687" s="539"/>
      <c r="I687" s="539"/>
      <c r="J687" s="539"/>
      <c r="K687" s="539"/>
      <c r="L687" s="539"/>
      <c r="M687" s="539"/>
      <c r="N687" s="539"/>
      <c r="O687" s="539"/>
      <c r="P687" s="539"/>
      <c r="Q687" s="539"/>
      <c r="R687" s="539"/>
      <c r="S687" s="539"/>
      <c r="T687" s="539"/>
      <c r="U687" s="539"/>
      <c r="V687" s="539"/>
      <c r="W687" s="539"/>
      <c r="X687" s="539"/>
      <c r="Y687" s="539"/>
      <c r="Z687" s="539"/>
      <c r="AA687" s="539"/>
      <c r="AB687" s="539"/>
      <c r="AC687" s="539"/>
      <c r="AD687" s="539"/>
      <c r="AE687" s="539"/>
      <c r="AF687" s="539"/>
      <c r="AG687" s="539"/>
      <c r="AH687" s="539"/>
      <c r="AI687" s="539"/>
      <c r="AJ687" s="539"/>
      <c r="AK687" s="539"/>
      <c r="AL687" s="539"/>
      <c r="AM687" s="539"/>
      <c r="AN687" s="539"/>
      <c r="AO687" s="539"/>
      <c r="AP687" s="539"/>
      <c r="AQ687" s="539"/>
      <c r="AR687" s="539"/>
      <c r="AS687" s="539"/>
      <c r="AT687" s="539"/>
      <c r="AU687" s="539"/>
      <c r="AV687" s="539"/>
      <c r="AW687" s="539"/>
      <c r="AX687" s="539"/>
    </row>
    <row r="688" spans="2:50" ht="14.25" customHeight="1" x14ac:dyDescent="0.3">
      <c r="B688" s="957"/>
      <c r="C688" s="540"/>
      <c r="D688" s="540"/>
      <c r="E688" s="540"/>
      <c r="F688" s="539"/>
      <c r="G688" s="539"/>
      <c r="H688" s="539"/>
      <c r="I688" s="539"/>
      <c r="J688" s="539"/>
      <c r="K688" s="539"/>
      <c r="L688" s="539"/>
      <c r="M688" s="539"/>
      <c r="N688" s="539"/>
      <c r="O688" s="539"/>
      <c r="P688" s="539"/>
      <c r="Q688" s="539"/>
      <c r="R688" s="539"/>
      <c r="S688" s="539"/>
      <c r="T688" s="539"/>
      <c r="U688" s="539"/>
      <c r="V688" s="539"/>
      <c r="W688" s="539"/>
      <c r="X688" s="539"/>
      <c r="Y688" s="539"/>
      <c r="Z688" s="539"/>
      <c r="AA688" s="539"/>
      <c r="AB688" s="539"/>
      <c r="AC688" s="539"/>
      <c r="AD688" s="539"/>
      <c r="AE688" s="539"/>
      <c r="AF688" s="539"/>
      <c r="AG688" s="539"/>
      <c r="AH688" s="539"/>
      <c r="AI688" s="539"/>
      <c r="AJ688" s="539"/>
      <c r="AK688" s="539"/>
      <c r="AL688" s="539"/>
      <c r="AM688" s="539"/>
      <c r="AN688" s="539"/>
      <c r="AO688" s="539"/>
      <c r="AP688" s="539"/>
      <c r="AQ688" s="539"/>
      <c r="AR688" s="539"/>
      <c r="AS688" s="539"/>
      <c r="AT688" s="539"/>
      <c r="AU688" s="539"/>
      <c r="AV688" s="539"/>
      <c r="AW688" s="539"/>
      <c r="AX688" s="539"/>
    </row>
    <row r="689" spans="2:50" ht="14.25" customHeight="1" x14ac:dyDescent="0.3">
      <c r="B689" s="957"/>
      <c r="C689" s="540"/>
      <c r="D689" s="540"/>
      <c r="E689" s="540"/>
      <c r="F689" s="539"/>
      <c r="G689" s="539"/>
      <c r="H689" s="539"/>
      <c r="I689" s="539"/>
      <c r="J689" s="539"/>
      <c r="K689" s="539"/>
      <c r="L689" s="539"/>
      <c r="M689" s="539"/>
      <c r="N689" s="539"/>
      <c r="O689" s="539"/>
      <c r="P689" s="539"/>
      <c r="Q689" s="539"/>
      <c r="R689" s="539"/>
      <c r="S689" s="539"/>
      <c r="T689" s="539"/>
      <c r="U689" s="539"/>
      <c r="V689" s="539"/>
      <c r="W689" s="539"/>
      <c r="X689" s="539"/>
      <c r="Y689" s="539"/>
      <c r="Z689" s="539"/>
      <c r="AA689" s="539"/>
      <c r="AB689" s="539"/>
      <c r="AC689" s="539"/>
      <c r="AD689" s="539"/>
      <c r="AE689" s="539"/>
      <c r="AF689" s="539"/>
      <c r="AG689" s="539"/>
      <c r="AH689" s="539"/>
      <c r="AI689" s="539"/>
      <c r="AJ689" s="539"/>
      <c r="AK689" s="539"/>
      <c r="AL689" s="539"/>
      <c r="AM689" s="539"/>
      <c r="AN689" s="539"/>
      <c r="AO689" s="539"/>
      <c r="AP689" s="539"/>
      <c r="AQ689" s="539"/>
      <c r="AR689" s="539"/>
      <c r="AS689" s="539"/>
      <c r="AT689" s="539"/>
      <c r="AU689" s="539"/>
      <c r="AV689" s="539"/>
      <c r="AW689" s="539"/>
      <c r="AX689" s="539"/>
    </row>
    <row r="690" spans="2:50" ht="14.25" customHeight="1" x14ac:dyDescent="0.3">
      <c r="B690" s="957"/>
      <c r="C690" s="540"/>
      <c r="D690" s="540"/>
      <c r="E690" s="540"/>
      <c r="F690" s="539"/>
      <c r="G690" s="539"/>
      <c r="H690" s="539"/>
      <c r="I690" s="539"/>
      <c r="J690" s="539"/>
      <c r="K690" s="539"/>
      <c r="L690" s="539"/>
      <c r="M690" s="539"/>
      <c r="N690" s="539"/>
      <c r="O690" s="539"/>
      <c r="P690" s="539"/>
      <c r="Q690" s="539"/>
      <c r="R690" s="539"/>
      <c r="S690" s="539"/>
      <c r="T690" s="539"/>
      <c r="U690" s="539"/>
      <c r="V690" s="539"/>
      <c r="W690" s="539"/>
      <c r="X690" s="539"/>
      <c r="Y690" s="539"/>
      <c r="Z690" s="539"/>
      <c r="AA690" s="539"/>
      <c r="AB690" s="539"/>
      <c r="AC690" s="539"/>
      <c r="AD690" s="539"/>
      <c r="AE690" s="539"/>
      <c r="AF690" s="539"/>
      <c r="AG690" s="539"/>
      <c r="AH690" s="539"/>
      <c r="AI690" s="539"/>
      <c r="AJ690" s="539"/>
      <c r="AK690" s="539"/>
      <c r="AL690" s="539"/>
      <c r="AM690" s="539"/>
      <c r="AN690" s="539"/>
      <c r="AO690" s="539"/>
      <c r="AP690" s="539"/>
      <c r="AQ690" s="539"/>
      <c r="AR690" s="539"/>
      <c r="AS690" s="539"/>
      <c r="AT690" s="539"/>
      <c r="AU690" s="539"/>
      <c r="AV690" s="539"/>
      <c r="AW690" s="539"/>
      <c r="AX690" s="539"/>
    </row>
    <row r="691" spans="2:50" ht="14.25" customHeight="1" x14ac:dyDescent="0.3">
      <c r="B691" s="957"/>
      <c r="C691" s="540"/>
      <c r="D691" s="540"/>
      <c r="E691" s="540"/>
      <c r="F691" s="539"/>
      <c r="G691" s="539"/>
      <c r="H691" s="539"/>
      <c r="I691" s="539"/>
      <c r="J691" s="539"/>
      <c r="K691" s="539"/>
      <c r="L691" s="539"/>
      <c r="M691" s="539"/>
      <c r="N691" s="539"/>
      <c r="O691" s="539"/>
      <c r="P691" s="539"/>
      <c r="Q691" s="539"/>
      <c r="R691" s="539"/>
      <c r="S691" s="539"/>
      <c r="T691" s="539"/>
      <c r="U691" s="539"/>
      <c r="V691" s="539"/>
      <c r="W691" s="539"/>
      <c r="X691" s="539"/>
      <c r="Y691" s="539"/>
      <c r="Z691" s="539"/>
      <c r="AA691" s="539"/>
      <c r="AB691" s="539"/>
      <c r="AC691" s="539"/>
      <c r="AD691" s="539"/>
      <c r="AE691" s="539"/>
      <c r="AF691" s="539"/>
      <c r="AG691" s="539"/>
      <c r="AH691" s="539"/>
      <c r="AI691" s="539"/>
      <c r="AJ691" s="539"/>
      <c r="AK691" s="539"/>
      <c r="AL691" s="539"/>
      <c r="AM691" s="539"/>
      <c r="AN691" s="539"/>
      <c r="AO691" s="539"/>
      <c r="AP691" s="539"/>
      <c r="AQ691" s="539"/>
      <c r="AR691" s="539"/>
      <c r="AS691" s="539"/>
      <c r="AT691" s="539"/>
      <c r="AU691" s="539"/>
      <c r="AV691" s="539"/>
      <c r="AW691" s="539"/>
      <c r="AX691" s="539"/>
    </row>
    <row r="692" spans="2:50" ht="14.25" customHeight="1" x14ac:dyDescent="0.3">
      <c r="B692" s="957"/>
      <c r="C692" s="540"/>
      <c r="D692" s="540"/>
      <c r="E692" s="540"/>
      <c r="F692" s="539"/>
      <c r="G692" s="539"/>
      <c r="H692" s="539"/>
      <c r="I692" s="539"/>
      <c r="J692" s="539"/>
      <c r="K692" s="539"/>
      <c r="L692" s="539"/>
      <c r="M692" s="539"/>
      <c r="N692" s="539"/>
      <c r="O692" s="539"/>
      <c r="P692" s="539"/>
      <c r="Q692" s="539"/>
      <c r="R692" s="539"/>
      <c r="S692" s="539"/>
      <c r="T692" s="539"/>
      <c r="U692" s="539"/>
      <c r="V692" s="539"/>
      <c r="W692" s="539"/>
      <c r="X692" s="539"/>
      <c r="Y692" s="539"/>
      <c r="Z692" s="539"/>
      <c r="AA692" s="539"/>
      <c r="AB692" s="539"/>
      <c r="AC692" s="539"/>
      <c r="AD692" s="539"/>
      <c r="AE692" s="539"/>
      <c r="AF692" s="539"/>
      <c r="AG692" s="539"/>
      <c r="AH692" s="539"/>
      <c r="AI692" s="539"/>
      <c r="AJ692" s="539"/>
      <c r="AK692" s="539"/>
      <c r="AL692" s="539"/>
      <c r="AM692" s="539"/>
      <c r="AN692" s="539"/>
      <c r="AO692" s="539"/>
      <c r="AP692" s="539"/>
      <c r="AQ692" s="539"/>
      <c r="AR692" s="539"/>
      <c r="AS692" s="539"/>
      <c r="AT692" s="539"/>
      <c r="AU692" s="539"/>
      <c r="AV692" s="539"/>
      <c r="AW692" s="539"/>
      <c r="AX692" s="539"/>
    </row>
    <row r="693" spans="2:50" ht="14.25" customHeight="1" x14ac:dyDescent="0.3">
      <c r="B693" s="957"/>
      <c r="C693" s="540"/>
      <c r="D693" s="540"/>
      <c r="E693" s="540"/>
      <c r="F693" s="539"/>
      <c r="G693" s="539"/>
      <c r="H693" s="539"/>
      <c r="I693" s="539"/>
      <c r="J693" s="539"/>
      <c r="K693" s="539"/>
      <c r="L693" s="539"/>
      <c r="M693" s="539"/>
      <c r="N693" s="539"/>
      <c r="O693" s="539"/>
      <c r="P693" s="539"/>
      <c r="Q693" s="539"/>
      <c r="R693" s="539"/>
      <c r="S693" s="539"/>
      <c r="T693" s="539"/>
      <c r="U693" s="539"/>
      <c r="V693" s="539"/>
      <c r="W693" s="539"/>
      <c r="X693" s="539"/>
      <c r="Y693" s="539"/>
      <c r="Z693" s="539"/>
      <c r="AA693" s="539"/>
      <c r="AB693" s="539"/>
      <c r="AC693" s="539"/>
      <c r="AD693" s="539"/>
      <c r="AE693" s="539"/>
      <c r="AF693" s="539"/>
      <c r="AG693" s="539"/>
      <c r="AH693" s="539"/>
      <c r="AI693" s="539"/>
      <c r="AJ693" s="539"/>
      <c r="AK693" s="539"/>
      <c r="AL693" s="539"/>
      <c r="AM693" s="539"/>
      <c r="AN693" s="539"/>
      <c r="AO693" s="539"/>
      <c r="AP693" s="539"/>
      <c r="AQ693" s="539"/>
      <c r="AR693" s="539"/>
      <c r="AS693" s="539"/>
      <c r="AT693" s="539"/>
      <c r="AU693" s="539"/>
      <c r="AV693" s="539"/>
      <c r="AW693" s="539"/>
      <c r="AX693" s="539"/>
    </row>
    <row r="694" spans="2:50" ht="14.25" customHeight="1" x14ac:dyDescent="0.3">
      <c r="B694" s="957"/>
      <c r="C694" s="540"/>
      <c r="D694" s="540"/>
      <c r="E694" s="540"/>
      <c r="F694" s="539"/>
      <c r="G694" s="539"/>
      <c r="H694" s="539"/>
      <c r="I694" s="539"/>
      <c r="J694" s="539"/>
      <c r="K694" s="539"/>
      <c r="L694" s="539"/>
      <c r="M694" s="539"/>
      <c r="N694" s="539"/>
      <c r="O694" s="539"/>
      <c r="P694" s="539"/>
      <c r="Q694" s="539"/>
      <c r="R694" s="539"/>
      <c r="S694" s="539"/>
      <c r="T694" s="539"/>
      <c r="U694" s="539"/>
      <c r="V694" s="539"/>
      <c r="W694" s="539"/>
      <c r="X694" s="539"/>
      <c r="Y694" s="539"/>
      <c r="Z694" s="539"/>
      <c r="AA694" s="539"/>
      <c r="AB694" s="539"/>
      <c r="AC694" s="539"/>
      <c r="AD694" s="539"/>
      <c r="AE694" s="539"/>
      <c r="AF694" s="539"/>
      <c r="AG694" s="539"/>
      <c r="AH694" s="539"/>
      <c r="AI694" s="539"/>
      <c r="AJ694" s="539"/>
      <c r="AK694" s="539"/>
      <c r="AL694" s="539"/>
      <c r="AM694" s="539"/>
      <c r="AN694" s="539"/>
      <c r="AO694" s="539"/>
      <c r="AP694" s="539"/>
      <c r="AQ694" s="539"/>
      <c r="AR694" s="539"/>
      <c r="AS694" s="539"/>
      <c r="AT694" s="539"/>
      <c r="AU694" s="539"/>
      <c r="AV694" s="539"/>
      <c r="AW694" s="539"/>
      <c r="AX694" s="539"/>
    </row>
    <row r="695" spans="2:50" ht="14.25" customHeight="1" x14ac:dyDescent="0.3">
      <c r="B695" s="957"/>
      <c r="C695" s="540"/>
      <c r="D695" s="540"/>
      <c r="E695" s="540"/>
      <c r="F695" s="539"/>
      <c r="G695" s="539"/>
      <c r="H695" s="539"/>
      <c r="I695" s="539"/>
      <c r="J695" s="539"/>
      <c r="K695" s="539"/>
      <c r="L695" s="539"/>
      <c r="M695" s="539"/>
      <c r="N695" s="539"/>
      <c r="O695" s="539"/>
      <c r="P695" s="539"/>
      <c r="Q695" s="539"/>
      <c r="R695" s="539"/>
      <c r="S695" s="539"/>
      <c r="T695" s="539"/>
      <c r="U695" s="539"/>
      <c r="V695" s="539"/>
      <c r="W695" s="539"/>
      <c r="X695" s="539"/>
      <c r="Y695" s="539"/>
      <c r="Z695" s="539"/>
      <c r="AA695" s="539"/>
      <c r="AB695" s="539"/>
      <c r="AC695" s="539"/>
      <c r="AD695" s="539"/>
      <c r="AE695" s="539"/>
      <c r="AF695" s="539"/>
      <c r="AG695" s="539"/>
      <c r="AH695" s="539"/>
      <c r="AI695" s="539"/>
      <c r="AJ695" s="539"/>
      <c r="AK695" s="539"/>
      <c r="AL695" s="539"/>
      <c r="AM695" s="539"/>
      <c r="AN695" s="539"/>
      <c r="AO695" s="539"/>
      <c r="AP695" s="539"/>
      <c r="AQ695" s="539"/>
      <c r="AR695" s="539"/>
      <c r="AS695" s="539"/>
      <c r="AT695" s="539"/>
      <c r="AU695" s="539"/>
      <c r="AV695" s="539"/>
      <c r="AW695" s="539"/>
      <c r="AX695" s="539"/>
    </row>
    <row r="696" spans="2:50" ht="14.25" customHeight="1" x14ac:dyDescent="0.3">
      <c r="B696" s="957"/>
      <c r="C696" s="540"/>
      <c r="D696" s="540"/>
      <c r="E696" s="540"/>
      <c r="F696" s="539"/>
      <c r="G696" s="539"/>
      <c r="H696" s="539"/>
      <c r="I696" s="539"/>
      <c r="J696" s="539"/>
      <c r="K696" s="539"/>
      <c r="L696" s="539"/>
      <c r="M696" s="539"/>
      <c r="N696" s="539"/>
      <c r="O696" s="539"/>
      <c r="P696" s="539"/>
      <c r="Q696" s="539"/>
      <c r="R696" s="539"/>
      <c r="S696" s="539"/>
      <c r="T696" s="539"/>
      <c r="U696" s="539"/>
      <c r="V696" s="539"/>
      <c r="W696" s="539"/>
      <c r="X696" s="539"/>
      <c r="Y696" s="539"/>
      <c r="Z696" s="539"/>
      <c r="AA696" s="539"/>
      <c r="AB696" s="539"/>
      <c r="AC696" s="539"/>
      <c r="AD696" s="539"/>
      <c r="AE696" s="539"/>
      <c r="AF696" s="539"/>
      <c r="AG696" s="539"/>
      <c r="AH696" s="539"/>
      <c r="AI696" s="539"/>
      <c r="AJ696" s="539"/>
      <c r="AK696" s="539"/>
      <c r="AL696" s="539"/>
      <c r="AM696" s="539"/>
      <c r="AN696" s="539"/>
      <c r="AO696" s="539"/>
      <c r="AP696" s="539"/>
      <c r="AQ696" s="539"/>
      <c r="AR696" s="539"/>
      <c r="AS696" s="539"/>
      <c r="AT696" s="539"/>
      <c r="AU696" s="539"/>
      <c r="AV696" s="539"/>
      <c r="AW696" s="539"/>
      <c r="AX696" s="539"/>
    </row>
    <row r="697" spans="2:50" ht="14.25" customHeight="1" x14ac:dyDescent="0.3">
      <c r="B697" s="957"/>
      <c r="C697" s="540"/>
      <c r="D697" s="540"/>
      <c r="E697" s="540"/>
      <c r="F697" s="539"/>
      <c r="G697" s="539"/>
      <c r="H697" s="539"/>
      <c r="I697" s="539"/>
      <c r="J697" s="539"/>
      <c r="K697" s="539"/>
      <c r="L697" s="539"/>
      <c r="M697" s="539"/>
      <c r="N697" s="539"/>
      <c r="O697" s="539"/>
      <c r="P697" s="539"/>
      <c r="Q697" s="539"/>
      <c r="R697" s="539"/>
      <c r="S697" s="539"/>
      <c r="T697" s="539"/>
      <c r="U697" s="539"/>
      <c r="V697" s="539"/>
      <c r="W697" s="539"/>
      <c r="X697" s="539"/>
      <c r="Y697" s="539"/>
      <c r="Z697" s="539"/>
      <c r="AA697" s="539"/>
      <c r="AB697" s="539"/>
      <c r="AC697" s="539"/>
      <c r="AD697" s="539"/>
      <c r="AE697" s="539"/>
      <c r="AF697" s="539"/>
      <c r="AG697" s="539"/>
      <c r="AH697" s="539"/>
      <c r="AI697" s="539"/>
      <c r="AJ697" s="539"/>
      <c r="AK697" s="539"/>
      <c r="AL697" s="539"/>
      <c r="AM697" s="539"/>
      <c r="AN697" s="539"/>
      <c r="AO697" s="539"/>
      <c r="AP697" s="539"/>
      <c r="AQ697" s="539"/>
      <c r="AR697" s="539"/>
      <c r="AS697" s="539"/>
      <c r="AT697" s="539"/>
      <c r="AU697" s="539"/>
      <c r="AV697" s="539"/>
      <c r="AW697" s="539"/>
      <c r="AX697" s="539"/>
    </row>
    <row r="698" spans="2:50" ht="14.25" customHeight="1" x14ac:dyDescent="0.3">
      <c r="B698" s="957"/>
      <c r="C698" s="540"/>
      <c r="D698" s="540"/>
      <c r="E698" s="540"/>
      <c r="F698" s="539"/>
      <c r="G698" s="539"/>
      <c r="H698" s="539"/>
      <c r="I698" s="539"/>
      <c r="J698" s="539"/>
      <c r="K698" s="539"/>
      <c r="L698" s="539"/>
      <c r="M698" s="539"/>
      <c r="N698" s="539"/>
      <c r="O698" s="539"/>
      <c r="P698" s="539"/>
      <c r="Q698" s="539"/>
      <c r="R698" s="539"/>
      <c r="S698" s="539"/>
      <c r="T698" s="539"/>
      <c r="U698" s="539"/>
      <c r="V698" s="539"/>
      <c r="W698" s="539"/>
      <c r="X698" s="539"/>
      <c r="Y698" s="539"/>
      <c r="Z698" s="539"/>
      <c r="AA698" s="539"/>
      <c r="AB698" s="539"/>
      <c r="AC698" s="539"/>
      <c r="AD698" s="539"/>
      <c r="AE698" s="539"/>
      <c r="AF698" s="539"/>
      <c r="AG698" s="539"/>
      <c r="AH698" s="539"/>
      <c r="AI698" s="539"/>
      <c r="AJ698" s="539"/>
      <c r="AK698" s="539"/>
      <c r="AL698" s="539"/>
      <c r="AM698" s="539"/>
      <c r="AN698" s="539"/>
      <c r="AO698" s="539"/>
      <c r="AP698" s="539"/>
      <c r="AQ698" s="539"/>
      <c r="AR698" s="539"/>
      <c r="AS698" s="539"/>
      <c r="AT698" s="539"/>
      <c r="AU698" s="539"/>
      <c r="AV698" s="539"/>
      <c r="AW698" s="539"/>
      <c r="AX698" s="539"/>
    </row>
    <row r="699" spans="2:50" ht="14.25" customHeight="1" x14ac:dyDescent="0.3">
      <c r="B699" s="957"/>
      <c r="C699" s="540"/>
      <c r="D699" s="540"/>
      <c r="E699" s="540"/>
      <c r="F699" s="539"/>
      <c r="G699" s="539"/>
      <c r="H699" s="539"/>
      <c r="I699" s="539"/>
      <c r="J699" s="539"/>
      <c r="K699" s="539"/>
      <c r="L699" s="539"/>
      <c r="M699" s="539"/>
      <c r="N699" s="539"/>
      <c r="O699" s="539"/>
      <c r="P699" s="539"/>
      <c r="Q699" s="539"/>
      <c r="R699" s="539"/>
      <c r="S699" s="539"/>
      <c r="T699" s="539"/>
      <c r="U699" s="539"/>
      <c r="V699" s="539"/>
      <c r="W699" s="539"/>
      <c r="X699" s="539"/>
      <c r="Y699" s="539"/>
      <c r="Z699" s="539"/>
      <c r="AA699" s="539"/>
      <c r="AB699" s="539"/>
      <c r="AC699" s="539"/>
      <c r="AD699" s="539"/>
      <c r="AE699" s="539"/>
      <c r="AF699" s="539"/>
      <c r="AG699" s="539"/>
      <c r="AH699" s="539"/>
      <c r="AI699" s="539"/>
      <c r="AJ699" s="539"/>
      <c r="AK699" s="539"/>
      <c r="AL699" s="539"/>
      <c r="AM699" s="539"/>
      <c r="AN699" s="539"/>
      <c r="AO699" s="539"/>
      <c r="AP699" s="539"/>
      <c r="AQ699" s="539"/>
      <c r="AR699" s="539"/>
      <c r="AS699" s="539"/>
      <c r="AT699" s="539"/>
      <c r="AU699" s="539"/>
      <c r="AV699" s="539"/>
      <c r="AW699" s="539"/>
      <c r="AX699" s="539"/>
    </row>
    <row r="700" spans="2:50" ht="14.25" customHeight="1" x14ac:dyDescent="0.3">
      <c r="B700" s="957"/>
      <c r="C700" s="540"/>
      <c r="D700" s="540"/>
      <c r="E700" s="540"/>
      <c r="F700" s="539"/>
      <c r="G700" s="539"/>
      <c r="H700" s="539"/>
      <c r="I700" s="539"/>
      <c r="J700" s="539"/>
      <c r="K700" s="539"/>
      <c r="L700" s="539"/>
      <c r="M700" s="539"/>
      <c r="N700" s="539"/>
      <c r="O700" s="539"/>
      <c r="P700" s="539"/>
      <c r="Q700" s="539"/>
      <c r="R700" s="539"/>
      <c r="S700" s="539"/>
      <c r="T700" s="539"/>
      <c r="U700" s="539"/>
      <c r="V700" s="539"/>
      <c r="W700" s="539"/>
      <c r="X700" s="539"/>
      <c r="Y700" s="539"/>
      <c r="Z700" s="539"/>
      <c r="AA700" s="539"/>
      <c r="AB700" s="539"/>
      <c r="AC700" s="539"/>
      <c r="AD700" s="539"/>
      <c r="AE700" s="539"/>
      <c r="AF700" s="539"/>
      <c r="AG700" s="539"/>
      <c r="AH700" s="539"/>
      <c r="AI700" s="539"/>
      <c r="AJ700" s="539"/>
      <c r="AK700" s="539"/>
      <c r="AL700" s="539"/>
      <c r="AM700" s="539"/>
      <c r="AN700" s="539"/>
      <c r="AO700" s="539"/>
      <c r="AP700" s="539"/>
      <c r="AQ700" s="539"/>
      <c r="AR700" s="539"/>
      <c r="AS700" s="539"/>
      <c r="AT700" s="539"/>
      <c r="AU700" s="539"/>
      <c r="AV700" s="539"/>
      <c r="AW700" s="539"/>
      <c r="AX700" s="539"/>
    </row>
    <row r="701" spans="2:50" ht="14.25" customHeight="1" x14ac:dyDescent="0.3">
      <c r="B701" s="957"/>
      <c r="C701" s="540"/>
      <c r="D701" s="540"/>
      <c r="E701" s="540"/>
      <c r="F701" s="539"/>
      <c r="G701" s="539"/>
      <c r="H701" s="539"/>
      <c r="I701" s="539"/>
      <c r="J701" s="539"/>
      <c r="K701" s="539"/>
      <c r="L701" s="539"/>
      <c r="M701" s="539"/>
      <c r="N701" s="539"/>
      <c r="O701" s="539"/>
      <c r="P701" s="539"/>
      <c r="Q701" s="539"/>
      <c r="R701" s="539"/>
      <c r="S701" s="539"/>
      <c r="T701" s="539"/>
      <c r="U701" s="539"/>
      <c r="V701" s="539"/>
      <c r="W701" s="539"/>
      <c r="X701" s="539"/>
      <c r="Y701" s="539"/>
      <c r="Z701" s="539"/>
      <c r="AA701" s="539"/>
      <c r="AB701" s="539"/>
      <c r="AC701" s="539"/>
      <c r="AD701" s="539"/>
      <c r="AE701" s="539"/>
      <c r="AF701" s="539"/>
      <c r="AG701" s="539"/>
      <c r="AH701" s="539"/>
      <c r="AI701" s="539"/>
      <c r="AJ701" s="539"/>
      <c r="AK701" s="539"/>
      <c r="AL701" s="539"/>
      <c r="AM701" s="539"/>
      <c r="AN701" s="539"/>
      <c r="AO701" s="539"/>
      <c r="AP701" s="539"/>
      <c r="AQ701" s="539"/>
      <c r="AR701" s="539"/>
      <c r="AS701" s="539"/>
      <c r="AT701" s="539"/>
      <c r="AU701" s="539"/>
      <c r="AV701" s="539"/>
      <c r="AW701" s="539"/>
      <c r="AX701" s="539"/>
    </row>
    <row r="702" spans="2:50" ht="14.25" customHeight="1" x14ac:dyDescent="0.3">
      <c r="B702" s="957"/>
      <c r="C702" s="540"/>
      <c r="D702" s="540"/>
      <c r="E702" s="540"/>
      <c r="F702" s="539"/>
      <c r="G702" s="539"/>
      <c r="H702" s="539"/>
      <c r="I702" s="539"/>
      <c r="J702" s="539"/>
      <c r="K702" s="539"/>
      <c r="L702" s="539"/>
      <c r="M702" s="539"/>
      <c r="N702" s="539"/>
      <c r="O702" s="539"/>
      <c r="P702" s="539"/>
      <c r="Q702" s="539"/>
      <c r="R702" s="539"/>
      <c r="S702" s="539"/>
      <c r="T702" s="539"/>
      <c r="U702" s="539"/>
      <c r="V702" s="539"/>
      <c r="W702" s="539"/>
      <c r="X702" s="539"/>
      <c r="Y702" s="539"/>
      <c r="Z702" s="539"/>
      <c r="AA702" s="539"/>
      <c r="AB702" s="539"/>
      <c r="AC702" s="539"/>
      <c r="AD702" s="539"/>
      <c r="AE702" s="539"/>
      <c r="AF702" s="539"/>
      <c r="AG702" s="539"/>
      <c r="AH702" s="539"/>
      <c r="AI702" s="539"/>
      <c r="AJ702" s="539"/>
      <c r="AK702" s="539"/>
      <c r="AL702" s="539"/>
      <c r="AM702" s="539"/>
      <c r="AN702" s="539"/>
      <c r="AO702" s="539"/>
      <c r="AP702" s="539"/>
      <c r="AQ702" s="539"/>
      <c r="AR702" s="539"/>
      <c r="AS702" s="539"/>
      <c r="AT702" s="539"/>
      <c r="AU702" s="539"/>
      <c r="AV702" s="539"/>
      <c r="AW702" s="539"/>
      <c r="AX702" s="539"/>
    </row>
    <row r="703" spans="2:50" ht="14.25" customHeight="1" x14ac:dyDescent="0.3">
      <c r="B703" s="957"/>
      <c r="C703" s="540"/>
      <c r="D703" s="540"/>
      <c r="E703" s="540"/>
      <c r="F703" s="539"/>
      <c r="G703" s="539"/>
      <c r="H703" s="539"/>
      <c r="I703" s="539"/>
      <c r="J703" s="539"/>
      <c r="K703" s="539"/>
      <c r="L703" s="539"/>
      <c r="M703" s="539"/>
      <c r="N703" s="539"/>
      <c r="O703" s="539"/>
      <c r="P703" s="539"/>
      <c r="Q703" s="539"/>
      <c r="R703" s="539"/>
      <c r="S703" s="539"/>
      <c r="T703" s="539"/>
      <c r="U703" s="539"/>
      <c r="V703" s="539"/>
      <c r="W703" s="539"/>
      <c r="X703" s="539"/>
      <c r="Y703" s="539"/>
      <c r="Z703" s="539"/>
      <c r="AA703" s="539"/>
      <c r="AB703" s="539"/>
      <c r="AC703" s="539"/>
      <c r="AD703" s="539"/>
      <c r="AE703" s="539"/>
      <c r="AF703" s="539"/>
      <c r="AG703" s="539"/>
      <c r="AH703" s="539"/>
      <c r="AI703" s="539"/>
      <c r="AJ703" s="539"/>
      <c r="AK703" s="539"/>
      <c r="AL703" s="539"/>
      <c r="AM703" s="539"/>
      <c r="AN703" s="539"/>
      <c r="AO703" s="539"/>
      <c r="AP703" s="539"/>
      <c r="AQ703" s="539"/>
      <c r="AR703" s="539"/>
      <c r="AS703" s="539"/>
      <c r="AT703" s="539"/>
      <c r="AU703" s="539"/>
      <c r="AV703" s="539"/>
      <c r="AW703" s="539"/>
      <c r="AX703" s="539"/>
    </row>
    <row r="704" spans="2:50" ht="14.25" customHeight="1" x14ac:dyDescent="0.3">
      <c r="B704" s="957"/>
      <c r="C704" s="540"/>
      <c r="D704" s="540"/>
      <c r="E704" s="540"/>
      <c r="F704" s="539"/>
      <c r="G704" s="539"/>
      <c r="H704" s="539"/>
      <c r="I704" s="539"/>
      <c r="J704" s="539"/>
      <c r="K704" s="539"/>
      <c r="L704" s="539"/>
      <c r="M704" s="539"/>
      <c r="N704" s="539"/>
      <c r="O704" s="539"/>
      <c r="P704" s="539"/>
      <c r="Q704" s="539"/>
      <c r="R704" s="539"/>
      <c r="S704" s="539"/>
      <c r="T704" s="539"/>
      <c r="U704" s="539"/>
      <c r="V704" s="539"/>
      <c r="W704" s="539"/>
      <c r="X704" s="539"/>
      <c r="Y704" s="539"/>
      <c r="Z704" s="539"/>
      <c r="AA704" s="539"/>
      <c r="AB704" s="539"/>
      <c r="AC704" s="539"/>
      <c r="AD704" s="539"/>
      <c r="AE704" s="539"/>
      <c r="AF704" s="539"/>
      <c r="AG704" s="539"/>
      <c r="AH704" s="539"/>
      <c r="AI704" s="539"/>
      <c r="AJ704" s="539"/>
      <c r="AK704" s="539"/>
      <c r="AL704" s="539"/>
      <c r="AM704" s="539"/>
      <c r="AN704" s="539"/>
      <c r="AO704" s="539"/>
      <c r="AP704" s="539"/>
      <c r="AQ704" s="539"/>
      <c r="AR704" s="539"/>
      <c r="AS704" s="539"/>
      <c r="AT704" s="539"/>
      <c r="AU704" s="539"/>
      <c r="AV704" s="539"/>
      <c r="AW704" s="539"/>
      <c r="AX704" s="539"/>
    </row>
    <row r="705" spans="2:50" ht="14.25" customHeight="1" x14ac:dyDescent="0.3">
      <c r="B705" s="957"/>
      <c r="C705" s="540"/>
      <c r="D705" s="540"/>
      <c r="E705" s="540"/>
      <c r="F705" s="539"/>
      <c r="G705" s="539"/>
      <c r="H705" s="539"/>
      <c r="I705" s="539"/>
      <c r="J705" s="539"/>
      <c r="K705" s="539"/>
      <c r="L705" s="539"/>
      <c r="M705" s="539"/>
      <c r="N705" s="539"/>
      <c r="O705" s="539"/>
      <c r="P705" s="539"/>
      <c r="Q705" s="539"/>
      <c r="R705" s="539"/>
      <c r="S705" s="539"/>
      <c r="T705" s="539"/>
      <c r="U705" s="539"/>
      <c r="V705" s="539"/>
      <c r="W705" s="539"/>
      <c r="X705" s="539"/>
      <c r="Y705" s="539"/>
      <c r="Z705" s="539"/>
      <c r="AA705" s="539"/>
      <c r="AB705" s="539"/>
      <c r="AC705" s="539"/>
      <c r="AD705" s="539"/>
      <c r="AE705" s="539"/>
      <c r="AF705" s="539"/>
      <c r="AG705" s="539"/>
      <c r="AH705" s="539"/>
      <c r="AI705" s="539"/>
      <c r="AJ705" s="539"/>
      <c r="AK705" s="539"/>
      <c r="AL705" s="539"/>
      <c r="AM705" s="539"/>
      <c r="AN705" s="539"/>
      <c r="AO705" s="539"/>
      <c r="AP705" s="539"/>
      <c r="AQ705" s="539"/>
      <c r="AR705" s="539"/>
      <c r="AS705" s="539"/>
      <c r="AT705" s="539"/>
      <c r="AU705" s="539"/>
      <c r="AV705" s="539"/>
      <c r="AW705" s="539"/>
      <c r="AX705" s="539"/>
    </row>
    <row r="706" spans="2:50" ht="14.25" customHeight="1" x14ac:dyDescent="0.3">
      <c r="B706" s="957"/>
      <c r="C706" s="540"/>
      <c r="D706" s="540"/>
      <c r="E706" s="540"/>
      <c r="F706" s="539"/>
      <c r="G706" s="539"/>
      <c r="H706" s="539"/>
      <c r="I706" s="539"/>
      <c r="J706" s="539"/>
      <c r="K706" s="539"/>
      <c r="L706" s="539"/>
      <c r="M706" s="539"/>
      <c r="N706" s="539"/>
      <c r="O706" s="539"/>
      <c r="P706" s="539"/>
      <c r="Q706" s="539"/>
      <c r="R706" s="539"/>
      <c r="S706" s="539"/>
      <c r="T706" s="539"/>
      <c r="U706" s="539"/>
      <c r="V706" s="539"/>
      <c r="W706" s="539"/>
      <c r="X706" s="539"/>
      <c r="Y706" s="539"/>
      <c r="Z706" s="539"/>
      <c r="AA706" s="539"/>
      <c r="AB706" s="539"/>
      <c r="AC706" s="539"/>
      <c r="AD706" s="539"/>
      <c r="AE706" s="539"/>
      <c r="AF706" s="539"/>
      <c r="AG706" s="539"/>
      <c r="AH706" s="539"/>
      <c r="AI706" s="539"/>
      <c r="AJ706" s="539"/>
      <c r="AK706" s="539"/>
      <c r="AL706" s="539"/>
      <c r="AM706" s="539"/>
      <c r="AN706" s="539"/>
      <c r="AO706" s="539"/>
      <c r="AP706" s="539"/>
      <c r="AQ706" s="539"/>
      <c r="AR706" s="539"/>
      <c r="AS706" s="539"/>
      <c r="AT706" s="539"/>
      <c r="AU706" s="539"/>
      <c r="AV706" s="539"/>
      <c r="AW706" s="539"/>
      <c r="AX706" s="539"/>
    </row>
    <row r="707" spans="2:50" ht="14.25" customHeight="1" x14ac:dyDescent="0.3">
      <c r="B707" s="957"/>
      <c r="C707" s="540"/>
      <c r="D707" s="540"/>
      <c r="E707" s="540"/>
      <c r="F707" s="539"/>
      <c r="G707" s="539"/>
      <c r="H707" s="539"/>
      <c r="I707" s="539"/>
      <c r="J707" s="539"/>
      <c r="K707" s="539"/>
      <c r="L707" s="539"/>
      <c r="M707" s="539"/>
      <c r="N707" s="539"/>
      <c r="O707" s="539"/>
      <c r="P707" s="539"/>
      <c r="Q707" s="539"/>
      <c r="R707" s="539"/>
      <c r="S707" s="539"/>
      <c r="T707" s="539"/>
      <c r="U707" s="539"/>
      <c r="V707" s="539"/>
      <c r="W707" s="539"/>
      <c r="X707" s="539"/>
      <c r="Y707" s="539"/>
      <c r="Z707" s="539"/>
      <c r="AA707" s="539"/>
      <c r="AB707" s="539"/>
      <c r="AC707" s="539"/>
      <c r="AD707" s="539"/>
      <c r="AE707" s="539"/>
      <c r="AF707" s="539"/>
      <c r="AG707" s="539"/>
      <c r="AH707" s="539"/>
      <c r="AI707" s="539"/>
      <c r="AJ707" s="539"/>
      <c r="AK707" s="539"/>
      <c r="AL707" s="539"/>
      <c r="AM707" s="539"/>
      <c r="AN707" s="539"/>
      <c r="AO707" s="539"/>
      <c r="AP707" s="539"/>
      <c r="AQ707" s="539"/>
      <c r="AR707" s="539"/>
      <c r="AS707" s="539"/>
      <c r="AT707" s="539"/>
      <c r="AU707" s="539"/>
      <c r="AV707" s="539"/>
      <c r="AW707" s="539"/>
      <c r="AX707" s="539"/>
    </row>
    <row r="708" spans="2:50" ht="14.25" customHeight="1" x14ac:dyDescent="0.3">
      <c r="B708" s="957"/>
      <c r="C708" s="540"/>
      <c r="D708" s="540"/>
      <c r="E708" s="540"/>
      <c r="F708" s="539"/>
      <c r="G708" s="539"/>
      <c r="H708" s="539"/>
      <c r="I708" s="539"/>
      <c r="J708" s="539"/>
      <c r="K708" s="539"/>
      <c r="L708" s="539"/>
      <c r="M708" s="539"/>
      <c r="N708" s="539"/>
      <c r="O708" s="539"/>
      <c r="P708" s="539"/>
      <c r="Q708" s="539"/>
      <c r="R708" s="539"/>
      <c r="S708" s="539"/>
      <c r="T708" s="539"/>
      <c r="U708" s="539"/>
      <c r="V708" s="539"/>
      <c r="W708" s="539"/>
      <c r="X708" s="539"/>
      <c r="Y708" s="539"/>
      <c r="Z708" s="539"/>
      <c r="AA708" s="539"/>
      <c r="AB708" s="539"/>
      <c r="AC708" s="539"/>
      <c r="AD708" s="539"/>
      <c r="AE708" s="539"/>
      <c r="AF708" s="539"/>
      <c r="AG708" s="539"/>
      <c r="AH708" s="539"/>
      <c r="AI708" s="539"/>
      <c r="AJ708" s="539"/>
      <c r="AK708" s="539"/>
      <c r="AL708" s="539"/>
      <c r="AM708" s="539"/>
      <c r="AN708" s="539"/>
      <c r="AO708" s="539"/>
      <c r="AP708" s="539"/>
      <c r="AQ708" s="539"/>
      <c r="AR708" s="539"/>
      <c r="AS708" s="539"/>
      <c r="AT708" s="539"/>
      <c r="AU708" s="539"/>
      <c r="AV708" s="539"/>
      <c r="AW708" s="539"/>
      <c r="AX708" s="539"/>
    </row>
    <row r="709" spans="2:50" ht="14.25" customHeight="1" x14ac:dyDescent="0.3">
      <c r="B709" s="957"/>
      <c r="C709" s="540"/>
      <c r="D709" s="540"/>
      <c r="E709" s="540"/>
      <c r="F709" s="539"/>
      <c r="G709" s="539"/>
      <c r="H709" s="539"/>
      <c r="I709" s="539"/>
      <c r="J709" s="539"/>
      <c r="K709" s="539"/>
      <c r="L709" s="539"/>
      <c r="M709" s="539"/>
      <c r="N709" s="539"/>
      <c r="O709" s="539"/>
      <c r="P709" s="539"/>
      <c r="Q709" s="539"/>
      <c r="R709" s="539"/>
      <c r="S709" s="539"/>
      <c r="T709" s="539"/>
      <c r="U709" s="539"/>
      <c r="V709" s="539"/>
      <c r="W709" s="539"/>
      <c r="X709" s="539"/>
      <c r="Y709" s="539"/>
      <c r="Z709" s="539"/>
      <c r="AA709" s="539"/>
      <c r="AB709" s="539"/>
      <c r="AC709" s="539"/>
      <c r="AD709" s="539"/>
      <c r="AE709" s="539"/>
      <c r="AF709" s="539"/>
      <c r="AG709" s="539"/>
      <c r="AH709" s="539"/>
      <c r="AI709" s="539"/>
      <c r="AJ709" s="539"/>
      <c r="AK709" s="539"/>
      <c r="AL709" s="539"/>
      <c r="AM709" s="539"/>
      <c r="AN709" s="539"/>
      <c r="AO709" s="539"/>
      <c r="AP709" s="539"/>
      <c r="AQ709" s="539"/>
      <c r="AR709" s="539"/>
      <c r="AS709" s="539"/>
      <c r="AT709" s="539"/>
      <c r="AU709" s="539"/>
      <c r="AV709" s="539"/>
      <c r="AW709" s="539"/>
      <c r="AX709" s="539"/>
    </row>
    <row r="710" spans="2:50" ht="14.25" customHeight="1" x14ac:dyDescent="0.3">
      <c r="B710" s="957"/>
      <c r="C710" s="540"/>
      <c r="D710" s="540"/>
      <c r="E710" s="540"/>
      <c r="F710" s="539"/>
      <c r="G710" s="539"/>
      <c r="H710" s="539"/>
      <c r="I710" s="539"/>
      <c r="J710" s="539"/>
      <c r="K710" s="539"/>
      <c r="L710" s="539"/>
      <c r="M710" s="539"/>
      <c r="N710" s="539"/>
      <c r="O710" s="539"/>
      <c r="P710" s="539"/>
      <c r="Q710" s="539"/>
      <c r="R710" s="539"/>
      <c r="S710" s="539"/>
      <c r="T710" s="539"/>
      <c r="U710" s="539"/>
      <c r="V710" s="539"/>
      <c r="W710" s="539"/>
      <c r="X710" s="539"/>
      <c r="Y710" s="539"/>
      <c r="Z710" s="539"/>
      <c r="AA710" s="539"/>
      <c r="AB710" s="539"/>
      <c r="AC710" s="539"/>
      <c r="AD710" s="539"/>
      <c r="AE710" s="539"/>
      <c r="AF710" s="539"/>
      <c r="AG710" s="539"/>
      <c r="AH710" s="539"/>
      <c r="AI710" s="539"/>
      <c r="AJ710" s="539"/>
      <c r="AK710" s="539"/>
      <c r="AL710" s="539"/>
      <c r="AM710" s="539"/>
      <c r="AN710" s="539"/>
      <c r="AO710" s="539"/>
      <c r="AP710" s="539"/>
      <c r="AQ710" s="539"/>
      <c r="AR710" s="539"/>
      <c r="AS710" s="539"/>
      <c r="AT710" s="539"/>
      <c r="AU710" s="539"/>
      <c r="AV710" s="539"/>
      <c r="AW710" s="539"/>
      <c r="AX710" s="539"/>
    </row>
    <row r="711" spans="2:50" ht="14.25" customHeight="1" x14ac:dyDescent="0.3">
      <c r="B711" s="957"/>
      <c r="C711" s="540"/>
      <c r="D711" s="540"/>
      <c r="E711" s="540"/>
      <c r="F711" s="539"/>
      <c r="G711" s="539"/>
      <c r="H711" s="539"/>
      <c r="I711" s="539"/>
      <c r="J711" s="539"/>
      <c r="K711" s="539"/>
      <c r="L711" s="539"/>
      <c r="M711" s="539"/>
      <c r="N711" s="539"/>
      <c r="O711" s="539"/>
      <c r="P711" s="539"/>
      <c r="Q711" s="539"/>
      <c r="R711" s="539"/>
      <c r="S711" s="539"/>
      <c r="T711" s="539"/>
      <c r="U711" s="539"/>
      <c r="V711" s="539"/>
      <c r="W711" s="539"/>
      <c r="X711" s="539"/>
      <c r="Y711" s="539"/>
      <c r="Z711" s="539"/>
      <c r="AA711" s="539"/>
      <c r="AB711" s="539"/>
      <c r="AC711" s="539"/>
      <c r="AD711" s="539"/>
      <c r="AE711" s="539"/>
      <c r="AF711" s="539"/>
      <c r="AG711" s="539"/>
      <c r="AH711" s="539"/>
      <c r="AI711" s="539"/>
      <c r="AJ711" s="539"/>
      <c r="AK711" s="539"/>
      <c r="AL711" s="539"/>
      <c r="AM711" s="539"/>
      <c r="AN711" s="539"/>
      <c r="AO711" s="539"/>
      <c r="AP711" s="539"/>
      <c r="AQ711" s="539"/>
      <c r="AR711" s="539"/>
      <c r="AS711" s="539"/>
      <c r="AT711" s="539"/>
      <c r="AU711" s="539"/>
      <c r="AV711" s="539"/>
      <c r="AW711" s="539"/>
      <c r="AX711" s="539"/>
    </row>
    <row r="712" spans="2:50" ht="14.25" customHeight="1" x14ac:dyDescent="0.3">
      <c r="B712" s="957"/>
      <c r="C712" s="540"/>
      <c r="D712" s="540"/>
      <c r="E712" s="540"/>
      <c r="F712" s="539"/>
      <c r="G712" s="539"/>
      <c r="H712" s="539"/>
      <c r="I712" s="539"/>
      <c r="J712" s="539"/>
      <c r="K712" s="539"/>
      <c r="L712" s="539"/>
      <c r="M712" s="539"/>
      <c r="N712" s="539"/>
      <c r="O712" s="539"/>
      <c r="P712" s="539"/>
      <c r="Q712" s="539"/>
      <c r="R712" s="539"/>
      <c r="S712" s="539"/>
      <c r="T712" s="539"/>
      <c r="U712" s="539"/>
      <c r="V712" s="539"/>
      <c r="W712" s="539"/>
      <c r="X712" s="539"/>
      <c r="Y712" s="539"/>
      <c r="Z712" s="539"/>
      <c r="AA712" s="539"/>
      <c r="AB712" s="539"/>
      <c r="AC712" s="539"/>
      <c r="AD712" s="539"/>
      <c r="AE712" s="539"/>
      <c r="AF712" s="539"/>
      <c r="AG712" s="539"/>
      <c r="AH712" s="539"/>
      <c r="AI712" s="539"/>
      <c r="AJ712" s="539"/>
      <c r="AK712" s="539"/>
      <c r="AL712" s="539"/>
      <c r="AM712" s="539"/>
      <c r="AN712" s="539"/>
      <c r="AO712" s="539"/>
      <c r="AP712" s="539"/>
      <c r="AQ712" s="539"/>
      <c r="AR712" s="539"/>
      <c r="AS712" s="539"/>
      <c r="AT712" s="539"/>
      <c r="AU712" s="539"/>
      <c r="AV712" s="539"/>
      <c r="AW712" s="539"/>
      <c r="AX712" s="539"/>
    </row>
    <row r="713" spans="2:50" ht="14.25" customHeight="1" x14ac:dyDescent="0.3">
      <c r="B713" s="957"/>
      <c r="C713" s="540"/>
      <c r="D713" s="540"/>
      <c r="E713" s="540"/>
      <c r="F713" s="539"/>
      <c r="G713" s="539"/>
      <c r="H713" s="539"/>
      <c r="I713" s="539"/>
      <c r="J713" s="539"/>
      <c r="K713" s="539"/>
      <c r="L713" s="539"/>
      <c r="M713" s="539"/>
      <c r="N713" s="539"/>
      <c r="O713" s="539"/>
      <c r="P713" s="539"/>
      <c r="Q713" s="539"/>
      <c r="R713" s="539"/>
      <c r="S713" s="539"/>
      <c r="T713" s="539"/>
      <c r="U713" s="539"/>
      <c r="V713" s="539"/>
      <c r="W713" s="539"/>
      <c r="X713" s="539"/>
      <c r="Y713" s="539"/>
      <c r="Z713" s="539"/>
      <c r="AA713" s="539"/>
      <c r="AB713" s="539"/>
      <c r="AC713" s="539"/>
      <c r="AD713" s="539"/>
      <c r="AE713" s="539"/>
      <c r="AF713" s="539"/>
      <c r="AG713" s="539"/>
      <c r="AH713" s="539"/>
      <c r="AI713" s="539"/>
      <c r="AJ713" s="539"/>
      <c r="AK713" s="539"/>
      <c r="AL713" s="539"/>
      <c r="AM713" s="539"/>
      <c r="AN713" s="539"/>
      <c r="AO713" s="539"/>
      <c r="AP713" s="539"/>
      <c r="AQ713" s="539"/>
      <c r="AR713" s="539"/>
      <c r="AS713" s="539"/>
      <c r="AT713" s="539"/>
      <c r="AU713" s="539"/>
      <c r="AV713" s="539"/>
      <c r="AW713" s="539"/>
      <c r="AX713" s="539"/>
    </row>
    <row r="714" spans="2:50" ht="14.25" customHeight="1" x14ac:dyDescent="0.3">
      <c r="B714" s="957"/>
      <c r="C714" s="540"/>
      <c r="D714" s="540"/>
      <c r="E714" s="540"/>
      <c r="F714" s="539"/>
      <c r="G714" s="539"/>
      <c r="H714" s="539"/>
      <c r="I714" s="539"/>
      <c r="J714" s="539"/>
      <c r="K714" s="539"/>
      <c r="L714" s="539"/>
      <c r="M714" s="539"/>
      <c r="N714" s="539"/>
      <c r="O714" s="539"/>
      <c r="P714" s="539"/>
      <c r="Q714" s="539"/>
      <c r="R714" s="539"/>
      <c r="S714" s="539"/>
      <c r="T714" s="539"/>
      <c r="U714" s="539"/>
      <c r="V714" s="539"/>
      <c r="W714" s="539"/>
      <c r="X714" s="539"/>
      <c r="Y714" s="539"/>
      <c r="Z714" s="539"/>
      <c r="AA714" s="539"/>
      <c r="AB714" s="539"/>
      <c r="AC714" s="539"/>
      <c r="AD714" s="539"/>
      <c r="AE714" s="539"/>
      <c r="AF714" s="539"/>
      <c r="AG714" s="539"/>
      <c r="AH714" s="539"/>
      <c r="AI714" s="539"/>
      <c r="AJ714" s="539"/>
      <c r="AK714" s="539"/>
      <c r="AL714" s="539"/>
      <c r="AM714" s="539"/>
      <c r="AN714" s="539"/>
      <c r="AO714" s="539"/>
      <c r="AP714" s="539"/>
      <c r="AQ714" s="539"/>
      <c r="AR714" s="539"/>
      <c r="AS714" s="539"/>
      <c r="AT714" s="539"/>
      <c r="AU714" s="539"/>
      <c r="AV714" s="539"/>
      <c r="AW714" s="539"/>
      <c r="AX714" s="539"/>
    </row>
    <row r="715" spans="2:50" ht="14.25" customHeight="1" x14ac:dyDescent="0.3">
      <c r="B715" s="957"/>
      <c r="C715" s="540"/>
      <c r="D715" s="540"/>
      <c r="E715" s="540"/>
      <c r="F715" s="539"/>
      <c r="G715" s="539"/>
      <c r="H715" s="539"/>
      <c r="I715" s="539"/>
      <c r="J715" s="539"/>
      <c r="K715" s="539"/>
      <c r="L715" s="539"/>
      <c r="M715" s="539"/>
      <c r="N715" s="539"/>
      <c r="O715" s="539"/>
      <c r="P715" s="539"/>
      <c r="Q715" s="539"/>
      <c r="R715" s="539"/>
      <c r="S715" s="539"/>
      <c r="T715" s="539"/>
      <c r="U715" s="539"/>
      <c r="V715" s="539"/>
      <c r="W715" s="539"/>
      <c r="X715" s="539"/>
      <c r="Y715" s="539"/>
      <c r="Z715" s="539"/>
      <c r="AA715" s="539"/>
      <c r="AB715" s="539"/>
      <c r="AC715" s="539"/>
      <c r="AD715" s="539"/>
      <c r="AE715" s="539"/>
      <c r="AF715" s="539"/>
      <c r="AG715" s="539"/>
      <c r="AH715" s="539"/>
      <c r="AI715" s="539"/>
      <c r="AJ715" s="539"/>
      <c r="AK715" s="539"/>
      <c r="AL715" s="539"/>
      <c r="AM715" s="539"/>
      <c r="AN715" s="539"/>
      <c r="AO715" s="539"/>
      <c r="AP715" s="539"/>
      <c r="AQ715" s="539"/>
      <c r="AR715" s="539"/>
      <c r="AS715" s="539"/>
      <c r="AT715" s="539"/>
      <c r="AU715" s="539"/>
      <c r="AV715" s="539"/>
      <c r="AW715" s="539"/>
      <c r="AX715" s="539"/>
    </row>
    <row r="716" spans="2:50" ht="14.25" customHeight="1" x14ac:dyDescent="0.3">
      <c r="B716" s="957"/>
      <c r="C716" s="540"/>
      <c r="D716" s="540"/>
      <c r="E716" s="540"/>
      <c r="F716" s="539"/>
      <c r="G716" s="539"/>
      <c r="H716" s="539"/>
      <c r="I716" s="539"/>
      <c r="J716" s="539"/>
      <c r="K716" s="539"/>
      <c r="L716" s="539"/>
      <c r="M716" s="539"/>
      <c r="N716" s="539"/>
      <c r="O716" s="539"/>
      <c r="P716" s="539"/>
      <c r="Q716" s="539"/>
      <c r="R716" s="539"/>
      <c r="S716" s="539"/>
      <c r="T716" s="539"/>
      <c r="U716" s="539"/>
      <c r="V716" s="539"/>
      <c r="W716" s="539"/>
      <c r="X716" s="539"/>
      <c r="Y716" s="539"/>
      <c r="Z716" s="539"/>
      <c r="AA716" s="539"/>
      <c r="AB716" s="539"/>
      <c r="AC716" s="539"/>
      <c r="AD716" s="539"/>
      <c r="AE716" s="539"/>
      <c r="AF716" s="539"/>
      <c r="AG716" s="539"/>
      <c r="AH716" s="539"/>
      <c r="AI716" s="539"/>
      <c r="AJ716" s="539"/>
      <c r="AK716" s="539"/>
      <c r="AL716" s="539"/>
      <c r="AM716" s="539"/>
      <c r="AN716" s="539"/>
      <c r="AO716" s="539"/>
      <c r="AP716" s="539"/>
      <c r="AQ716" s="539"/>
      <c r="AR716" s="539"/>
      <c r="AS716" s="539"/>
      <c r="AT716" s="539"/>
      <c r="AU716" s="539"/>
      <c r="AV716" s="539"/>
      <c r="AW716" s="539"/>
      <c r="AX716" s="539"/>
    </row>
    <row r="717" spans="2:50" ht="14.25" customHeight="1" x14ac:dyDescent="0.3">
      <c r="B717" s="957"/>
      <c r="C717" s="540"/>
      <c r="D717" s="540"/>
      <c r="E717" s="540"/>
      <c r="F717" s="539"/>
      <c r="G717" s="539"/>
      <c r="H717" s="539"/>
      <c r="I717" s="539"/>
      <c r="J717" s="539"/>
      <c r="K717" s="539"/>
      <c r="L717" s="539"/>
      <c r="M717" s="539"/>
      <c r="N717" s="539"/>
      <c r="O717" s="539"/>
      <c r="P717" s="539"/>
      <c r="Q717" s="539"/>
      <c r="R717" s="539"/>
      <c r="S717" s="539"/>
      <c r="T717" s="539"/>
      <c r="U717" s="539"/>
      <c r="V717" s="539"/>
      <c r="W717" s="539"/>
      <c r="X717" s="539"/>
      <c r="Y717" s="539"/>
      <c r="Z717" s="539"/>
      <c r="AA717" s="539"/>
      <c r="AB717" s="539"/>
      <c r="AC717" s="539"/>
      <c r="AD717" s="539"/>
      <c r="AE717" s="539"/>
      <c r="AF717" s="539"/>
      <c r="AG717" s="539"/>
      <c r="AH717" s="539"/>
      <c r="AI717" s="539"/>
      <c r="AJ717" s="539"/>
      <c r="AK717" s="539"/>
      <c r="AL717" s="539"/>
      <c r="AM717" s="539"/>
      <c r="AN717" s="539"/>
      <c r="AO717" s="539"/>
      <c r="AP717" s="539"/>
      <c r="AQ717" s="539"/>
      <c r="AR717" s="539"/>
      <c r="AS717" s="539"/>
      <c r="AT717" s="539"/>
      <c r="AU717" s="539"/>
      <c r="AV717" s="539"/>
      <c r="AW717" s="539"/>
      <c r="AX717" s="539"/>
    </row>
    <row r="718" spans="2:50" ht="14.25" customHeight="1" x14ac:dyDescent="0.3">
      <c r="B718" s="957"/>
      <c r="C718" s="540"/>
      <c r="D718" s="540"/>
      <c r="E718" s="540"/>
      <c r="F718" s="539"/>
      <c r="G718" s="539"/>
      <c r="H718" s="539"/>
      <c r="I718" s="539"/>
      <c r="J718" s="539"/>
      <c r="K718" s="539"/>
      <c r="L718" s="539"/>
      <c r="M718" s="539"/>
      <c r="N718" s="539"/>
      <c r="O718" s="539"/>
      <c r="P718" s="539"/>
      <c r="Q718" s="539"/>
      <c r="R718" s="539"/>
      <c r="S718" s="539"/>
      <c r="T718" s="539"/>
      <c r="U718" s="539"/>
      <c r="V718" s="539"/>
      <c r="W718" s="539"/>
      <c r="X718" s="539"/>
      <c r="Y718" s="539"/>
      <c r="Z718" s="539"/>
      <c r="AA718" s="539"/>
      <c r="AB718" s="539"/>
      <c r="AC718" s="539"/>
      <c r="AD718" s="539"/>
      <c r="AE718" s="539"/>
      <c r="AF718" s="539"/>
      <c r="AG718" s="539"/>
      <c r="AH718" s="539"/>
      <c r="AI718" s="539"/>
      <c r="AJ718" s="539"/>
      <c r="AK718" s="539"/>
      <c r="AL718" s="539"/>
      <c r="AM718" s="539"/>
      <c r="AN718" s="539"/>
      <c r="AO718" s="539"/>
      <c r="AP718" s="539"/>
      <c r="AQ718" s="539"/>
      <c r="AR718" s="539"/>
      <c r="AS718" s="539"/>
      <c r="AT718" s="539"/>
      <c r="AU718" s="539"/>
      <c r="AV718" s="539"/>
      <c r="AW718" s="539"/>
      <c r="AX718" s="539"/>
    </row>
    <row r="719" spans="2:50" ht="14.25" customHeight="1" x14ac:dyDescent="0.3">
      <c r="B719" s="957"/>
      <c r="C719" s="540"/>
      <c r="D719" s="540"/>
      <c r="E719" s="540"/>
      <c r="F719" s="539"/>
      <c r="G719" s="539"/>
      <c r="H719" s="539"/>
      <c r="I719" s="539"/>
      <c r="J719" s="539"/>
      <c r="K719" s="539"/>
      <c r="L719" s="539"/>
      <c r="M719" s="539"/>
      <c r="N719" s="539"/>
      <c r="O719" s="539"/>
      <c r="P719" s="539"/>
      <c r="Q719" s="539"/>
      <c r="R719" s="539"/>
      <c r="S719" s="539"/>
      <c r="T719" s="539"/>
      <c r="U719" s="539"/>
      <c r="V719" s="539"/>
      <c r="W719" s="539"/>
      <c r="X719" s="539"/>
      <c r="Y719" s="539"/>
      <c r="Z719" s="539"/>
      <c r="AA719" s="539"/>
      <c r="AB719" s="539"/>
      <c r="AC719" s="539"/>
      <c r="AD719" s="539"/>
      <c r="AE719" s="539"/>
      <c r="AF719" s="539"/>
      <c r="AG719" s="539"/>
      <c r="AH719" s="539"/>
      <c r="AI719" s="539"/>
      <c r="AJ719" s="539"/>
      <c r="AK719" s="539"/>
      <c r="AL719" s="539"/>
      <c r="AM719" s="539"/>
      <c r="AN719" s="539"/>
      <c r="AO719" s="539"/>
      <c r="AP719" s="539"/>
      <c r="AQ719" s="539"/>
      <c r="AR719" s="539"/>
      <c r="AS719" s="539"/>
      <c r="AT719" s="539"/>
      <c r="AU719" s="539"/>
      <c r="AV719" s="539"/>
      <c r="AW719" s="539"/>
      <c r="AX719" s="539"/>
    </row>
    <row r="720" spans="2:50" ht="14.25" customHeight="1" x14ac:dyDescent="0.3">
      <c r="B720" s="957"/>
      <c r="C720" s="540"/>
      <c r="D720" s="540"/>
      <c r="E720" s="540"/>
      <c r="F720" s="539"/>
      <c r="G720" s="539"/>
      <c r="H720" s="539"/>
      <c r="I720" s="539"/>
      <c r="J720" s="539"/>
      <c r="K720" s="539"/>
      <c r="L720" s="539"/>
      <c r="M720" s="539"/>
      <c r="N720" s="539"/>
      <c r="O720" s="539"/>
      <c r="P720" s="539"/>
      <c r="Q720" s="539"/>
      <c r="R720" s="539"/>
      <c r="S720" s="539"/>
      <c r="T720" s="539"/>
      <c r="U720" s="539"/>
      <c r="V720" s="539"/>
      <c r="W720" s="539"/>
      <c r="X720" s="539"/>
      <c r="Y720" s="539"/>
      <c r="Z720" s="539"/>
      <c r="AA720" s="539"/>
      <c r="AB720" s="539"/>
      <c r="AC720" s="539"/>
      <c r="AD720" s="539"/>
      <c r="AE720" s="539"/>
      <c r="AF720" s="539"/>
      <c r="AG720" s="539"/>
      <c r="AH720" s="539"/>
      <c r="AI720" s="539"/>
      <c r="AJ720" s="539"/>
      <c r="AK720" s="539"/>
      <c r="AL720" s="539"/>
      <c r="AM720" s="539"/>
      <c r="AN720" s="539"/>
      <c r="AO720" s="539"/>
      <c r="AP720" s="539"/>
      <c r="AQ720" s="539"/>
      <c r="AR720" s="539"/>
      <c r="AS720" s="539"/>
      <c r="AT720" s="539"/>
      <c r="AU720" s="539"/>
      <c r="AV720" s="539"/>
      <c r="AW720" s="539"/>
      <c r="AX720" s="539"/>
    </row>
    <row r="721" spans="2:50" ht="14.25" customHeight="1" x14ac:dyDescent="0.3">
      <c r="B721" s="957"/>
      <c r="C721" s="540"/>
      <c r="D721" s="540"/>
      <c r="E721" s="540"/>
      <c r="F721" s="539"/>
      <c r="G721" s="539"/>
      <c r="H721" s="539"/>
      <c r="I721" s="539"/>
      <c r="J721" s="539"/>
      <c r="K721" s="539"/>
      <c r="L721" s="539"/>
      <c r="M721" s="539"/>
      <c r="N721" s="539"/>
      <c r="O721" s="539"/>
      <c r="P721" s="539"/>
      <c r="Q721" s="539"/>
      <c r="R721" s="539"/>
      <c r="S721" s="539"/>
      <c r="T721" s="539"/>
      <c r="U721" s="539"/>
      <c r="V721" s="539"/>
      <c r="W721" s="539"/>
      <c r="X721" s="539"/>
      <c r="Y721" s="539"/>
      <c r="Z721" s="539"/>
      <c r="AA721" s="539"/>
      <c r="AB721" s="539"/>
      <c r="AC721" s="539"/>
      <c r="AD721" s="539"/>
      <c r="AE721" s="539"/>
      <c r="AF721" s="539"/>
      <c r="AG721" s="539"/>
      <c r="AH721" s="539"/>
      <c r="AI721" s="539"/>
      <c r="AJ721" s="539"/>
      <c r="AK721" s="539"/>
      <c r="AL721" s="539"/>
      <c r="AM721" s="539"/>
      <c r="AN721" s="539"/>
      <c r="AO721" s="539"/>
      <c r="AP721" s="539"/>
      <c r="AQ721" s="539"/>
      <c r="AR721" s="539"/>
      <c r="AS721" s="539"/>
      <c r="AT721" s="539"/>
      <c r="AU721" s="539"/>
      <c r="AV721" s="539"/>
      <c r="AW721" s="539"/>
      <c r="AX721" s="539"/>
    </row>
    <row r="722" spans="2:50" ht="14.25" customHeight="1" x14ac:dyDescent="0.3">
      <c r="B722" s="957"/>
      <c r="C722" s="540"/>
      <c r="D722" s="540"/>
      <c r="E722" s="540"/>
      <c r="F722" s="539"/>
      <c r="G722" s="539"/>
      <c r="H722" s="539"/>
      <c r="I722" s="539"/>
      <c r="J722" s="539"/>
      <c r="K722" s="539"/>
      <c r="L722" s="539"/>
      <c r="M722" s="539"/>
      <c r="N722" s="539"/>
      <c r="O722" s="539"/>
      <c r="P722" s="539"/>
      <c r="Q722" s="539"/>
      <c r="R722" s="539"/>
      <c r="S722" s="539"/>
      <c r="T722" s="539"/>
      <c r="U722" s="539"/>
      <c r="V722" s="539"/>
      <c r="W722" s="539"/>
      <c r="X722" s="539"/>
      <c r="Y722" s="539"/>
      <c r="Z722" s="539"/>
      <c r="AA722" s="539"/>
      <c r="AB722" s="539"/>
      <c r="AC722" s="539"/>
      <c r="AD722" s="539"/>
      <c r="AE722" s="539"/>
      <c r="AF722" s="539"/>
      <c r="AG722" s="539"/>
      <c r="AH722" s="539"/>
      <c r="AI722" s="539"/>
      <c r="AJ722" s="539"/>
      <c r="AK722" s="539"/>
      <c r="AL722" s="539"/>
      <c r="AM722" s="539"/>
      <c r="AN722" s="539"/>
      <c r="AO722" s="539"/>
      <c r="AP722" s="539"/>
      <c r="AQ722" s="539"/>
      <c r="AR722" s="539"/>
      <c r="AS722" s="539"/>
      <c r="AT722" s="539"/>
      <c r="AU722" s="539"/>
      <c r="AV722" s="539"/>
      <c r="AW722" s="539"/>
      <c r="AX722" s="539"/>
    </row>
    <row r="723" spans="2:50" ht="14.25" customHeight="1" x14ac:dyDescent="0.3">
      <c r="B723" s="957"/>
      <c r="C723" s="540"/>
      <c r="D723" s="540"/>
      <c r="E723" s="540"/>
      <c r="F723" s="539"/>
      <c r="G723" s="539"/>
      <c r="H723" s="539"/>
      <c r="I723" s="539"/>
      <c r="J723" s="539"/>
      <c r="K723" s="539"/>
      <c r="L723" s="539"/>
      <c r="M723" s="539"/>
      <c r="N723" s="539"/>
      <c r="O723" s="539"/>
      <c r="P723" s="539"/>
      <c r="Q723" s="539"/>
      <c r="R723" s="539"/>
      <c r="S723" s="539"/>
      <c r="T723" s="539"/>
      <c r="U723" s="539"/>
      <c r="V723" s="539"/>
      <c r="W723" s="539"/>
      <c r="X723" s="539"/>
      <c r="Y723" s="539"/>
      <c r="Z723" s="539"/>
      <c r="AA723" s="539"/>
      <c r="AB723" s="539"/>
      <c r="AC723" s="539"/>
      <c r="AD723" s="539"/>
      <c r="AE723" s="539"/>
      <c r="AF723" s="539"/>
      <c r="AG723" s="539"/>
      <c r="AH723" s="539"/>
      <c r="AI723" s="539"/>
      <c r="AJ723" s="539"/>
      <c r="AK723" s="539"/>
      <c r="AL723" s="539"/>
      <c r="AM723" s="539"/>
      <c r="AN723" s="539"/>
      <c r="AO723" s="539"/>
      <c r="AP723" s="539"/>
      <c r="AQ723" s="539"/>
      <c r="AR723" s="539"/>
      <c r="AS723" s="539"/>
      <c r="AT723" s="539"/>
      <c r="AU723" s="539"/>
      <c r="AV723" s="539"/>
      <c r="AW723" s="539"/>
      <c r="AX723" s="539"/>
    </row>
    <row r="724" spans="2:50" ht="14.25" customHeight="1" x14ac:dyDescent="0.3">
      <c r="B724" s="957"/>
      <c r="C724" s="540"/>
      <c r="D724" s="540"/>
      <c r="E724" s="540"/>
      <c r="F724" s="539"/>
      <c r="G724" s="539"/>
      <c r="H724" s="539"/>
      <c r="I724" s="539"/>
      <c r="J724" s="539"/>
      <c r="K724" s="539"/>
      <c r="L724" s="539"/>
      <c r="M724" s="539"/>
      <c r="N724" s="539"/>
      <c r="O724" s="539"/>
      <c r="P724" s="539"/>
      <c r="Q724" s="539"/>
      <c r="R724" s="539"/>
      <c r="S724" s="539"/>
      <c r="T724" s="539"/>
      <c r="U724" s="539"/>
      <c r="V724" s="539"/>
      <c r="W724" s="539"/>
      <c r="X724" s="539"/>
      <c r="Y724" s="539"/>
      <c r="Z724" s="539"/>
      <c r="AA724" s="539"/>
      <c r="AB724" s="539"/>
      <c r="AC724" s="539"/>
      <c r="AD724" s="539"/>
      <c r="AE724" s="539"/>
      <c r="AF724" s="539"/>
      <c r="AG724" s="539"/>
      <c r="AH724" s="539"/>
      <c r="AI724" s="539"/>
      <c r="AJ724" s="539"/>
      <c r="AK724" s="539"/>
      <c r="AL724" s="539"/>
      <c r="AM724" s="539"/>
      <c r="AN724" s="539"/>
      <c r="AO724" s="539"/>
      <c r="AP724" s="539"/>
      <c r="AQ724" s="539"/>
      <c r="AR724" s="539"/>
      <c r="AS724" s="539"/>
      <c r="AT724" s="539"/>
      <c r="AU724" s="539"/>
      <c r="AV724" s="539"/>
      <c r="AW724" s="539"/>
      <c r="AX724" s="539"/>
    </row>
    <row r="725" spans="2:50" ht="14.25" customHeight="1" x14ac:dyDescent="0.3">
      <c r="B725" s="957"/>
      <c r="C725" s="540"/>
      <c r="D725" s="540"/>
      <c r="E725" s="540"/>
      <c r="F725" s="539"/>
      <c r="G725" s="539"/>
      <c r="H725" s="539"/>
      <c r="I725" s="539"/>
      <c r="J725" s="539"/>
      <c r="K725" s="539"/>
      <c r="L725" s="539"/>
      <c r="M725" s="539"/>
      <c r="N725" s="539"/>
      <c r="O725" s="539"/>
      <c r="P725" s="539"/>
      <c r="Q725" s="539"/>
      <c r="R725" s="539"/>
      <c r="S725" s="539"/>
      <c r="T725" s="539"/>
      <c r="U725" s="539"/>
      <c r="V725" s="539"/>
      <c r="W725" s="539"/>
      <c r="X725" s="539"/>
      <c r="Y725" s="539"/>
      <c r="Z725" s="539"/>
      <c r="AA725" s="539"/>
      <c r="AB725" s="539"/>
      <c r="AC725" s="539"/>
      <c r="AD725" s="539"/>
      <c r="AE725" s="539"/>
      <c r="AF725" s="539"/>
      <c r="AG725" s="539"/>
      <c r="AH725" s="539"/>
      <c r="AI725" s="539"/>
      <c r="AJ725" s="539"/>
      <c r="AK725" s="539"/>
      <c r="AL725" s="539"/>
      <c r="AM725" s="539"/>
      <c r="AN725" s="539"/>
      <c r="AO725" s="539"/>
      <c r="AP725" s="539"/>
      <c r="AQ725" s="539"/>
      <c r="AR725" s="539"/>
      <c r="AS725" s="539"/>
      <c r="AT725" s="539"/>
      <c r="AU725" s="539"/>
      <c r="AV725" s="539"/>
      <c r="AW725" s="539"/>
      <c r="AX725" s="539"/>
    </row>
    <row r="726" spans="2:50" ht="14.25" customHeight="1" x14ac:dyDescent="0.3">
      <c r="B726" s="957"/>
      <c r="C726" s="540"/>
      <c r="D726" s="540"/>
      <c r="E726" s="540"/>
      <c r="F726" s="539"/>
      <c r="G726" s="539"/>
      <c r="H726" s="539"/>
      <c r="I726" s="539"/>
      <c r="J726" s="539"/>
      <c r="K726" s="539"/>
      <c r="L726" s="539"/>
      <c r="M726" s="539"/>
      <c r="N726" s="539"/>
      <c r="O726" s="539"/>
      <c r="P726" s="539"/>
      <c r="Q726" s="539"/>
      <c r="R726" s="539"/>
      <c r="S726" s="539"/>
      <c r="T726" s="539"/>
      <c r="U726" s="539"/>
      <c r="V726" s="539"/>
      <c r="W726" s="539"/>
      <c r="X726" s="539"/>
      <c r="Y726" s="539"/>
      <c r="Z726" s="539"/>
      <c r="AA726" s="539"/>
      <c r="AB726" s="539"/>
      <c r="AC726" s="539"/>
      <c r="AD726" s="539"/>
      <c r="AE726" s="539"/>
      <c r="AF726" s="539"/>
      <c r="AG726" s="539"/>
      <c r="AH726" s="539"/>
      <c r="AI726" s="539"/>
      <c r="AJ726" s="539"/>
      <c r="AK726" s="539"/>
      <c r="AL726" s="539"/>
      <c r="AM726" s="539"/>
      <c r="AN726" s="539"/>
      <c r="AO726" s="539"/>
      <c r="AP726" s="539"/>
      <c r="AQ726" s="539"/>
      <c r="AR726" s="539"/>
      <c r="AS726" s="539"/>
      <c r="AT726" s="539"/>
      <c r="AU726" s="539"/>
      <c r="AV726" s="539"/>
      <c r="AW726" s="539"/>
      <c r="AX726" s="539"/>
    </row>
    <row r="727" spans="2:50" ht="14.25" customHeight="1" x14ac:dyDescent="0.3">
      <c r="B727" s="957"/>
      <c r="C727" s="540"/>
      <c r="D727" s="540"/>
      <c r="E727" s="540"/>
      <c r="F727" s="539"/>
      <c r="G727" s="539"/>
      <c r="H727" s="539"/>
      <c r="I727" s="539"/>
      <c r="J727" s="539"/>
      <c r="K727" s="539"/>
      <c r="L727" s="539"/>
      <c r="M727" s="539"/>
      <c r="N727" s="539"/>
      <c r="O727" s="539"/>
      <c r="P727" s="539"/>
      <c r="Q727" s="539"/>
      <c r="R727" s="539"/>
      <c r="S727" s="539"/>
      <c r="T727" s="539"/>
      <c r="U727" s="539"/>
      <c r="V727" s="539"/>
      <c r="W727" s="539"/>
      <c r="X727" s="539"/>
      <c r="Y727" s="539"/>
      <c r="Z727" s="539"/>
      <c r="AA727" s="539"/>
      <c r="AB727" s="539"/>
      <c r="AC727" s="539"/>
      <c r="AD727" s="539"/>
      <c r="AE727" s="539"/>
      <c r="AF727" s="539"/>
      <c r="AG727" s="539"/>
      <c r="AH727" s="539"/>
      <c r="AI727" s="539"/>
      <c r="AJ727" s="539"/>
      <c r="AK727" s="539"/>
      <c r="AL727" s="539"/>
      <c r="AM727" s="539"/>
      <c r="AN727" s="539"/>
      <c r="AO727" s="539"/>
      <c r="AP727" s="539"/>
      <c r="AQ727" s="539"/>
      <c r="AR727" s="539"/>
      <c r="AS727" s="539"/>
      <c r="AT727" s="539"/>
      <c r="AU727" s="539"/>
      <c r="AV727" s="539"/>
      <c r="AW727" s="539"/>
      <c r="AX727" s="539"/>
    </row>
    <row r="728" spans="2:50" ht="14.25" customHeight="1" x14ac:dyDescent="0.3">
      <c r="B728" s="957"/>
      <c r="C728" s="540"/>
      <c r="D728" s="540"/>
      <c r="E728" s="540"/>
      <c r="F728" s="539"/>
      <c r="G728" s="539"/>
      <c r="H728" s="539"/>
      <c r="I728" s="539"/>
      <c r="J728" s="539"/>
      <c r="K728" s="539"/>
      <c r="L728" s="539"/>
      <c r="M728" s="539"/>
      <c r="N728" s="539"/>
      <c r="O728" s="539"/>
      <c r="P728" s="539"/>
      <c r="Q728" s="539"/>
      <c r="R728" s="539"/>
      <c r="S728" s="539"/>
      <c r="T728" s="539"/>
      <c r="U728" s="539"/>
      <c r="V728" s="539"/>
      <c r="W728" s="539"/>
      <c r="X728" s="539"/>
      <c r="Y728" s="539"/>
      <c r="Z728" s="539"/>
      <c r="AA728" s="539"/>
      <c r="AB728" s="539"/>
      <c r="AC728" s="539"/>
      <c r="AD728" s="539"/>
      <c r="AE728" s="539"/>
      <c r="AF728" s="539"/>
      <c r="AG728" s="539"/>
      <c r="AH728" s="539"/>
      <c r="AI728" s="539"/>
      <c r="AJ728" s="539"/>
      <c r="AK728" s="539"/>
      <c r="AL728" s="539"/>
      <c r="AM728" s="539"/>
      <c r="AN728" s="539"/>
      <c r="AO728" s="539"/>
      <c r="AP728" s="539"/>
      <c r="AQ728" s="539"/>
      <c r="AR728" s="539"/>
      <c r="AS728" s="539"/>
      <c r="AT728" s="539"/>
      <c r="AU728" s="539"/>
      <c r="AV728" s="539"/>
      <c r="AW728" s="539"/>
      <c r="AX728" s="539"/>
    </row>
    <row r="729" spans="2:50" ht="14.25" customHeight="1" x14ac:dyDescent="0.3">
      <c r="B729" s="957"/>
      <c r="C729" s="540"/>
      <c r="D729" s="540"/>
      <c r="E729" s="540"/>
      <c r="F729" s="539"/>
      <c r="G729" s="539"/>
      <c r="H729" s="539"/>
      <c r="I729" s="539"/>
      <c r="J729" s="539"/>
      <c r="K729" s="539"/>
      <c r="L729" s="539"/>
      <c r="M729" s="539"/>
      <c r="N729" s="539"/>
      <c r="O729" s="539"/>
      <c r="P729" s="539"/>
      <c r="Q729" s="539"/>
      <c r="R729" s="539"/>
      <c r="S729" s="539"/>
      <c r="T729" s="539"/>
      <c r="U729" s="539"/>
      <c r="V729" s="539"/>
      <c r="W729" s="539"/>
      <c r="X729" s="539"/>
      <c r="Y729" s="539"/>
      <c r="Z729" s="539"/>
      <c r="AA729" s="539"/>
      <c r="AB729" s="539"/>
      <c r="AC729" s="539"/>
      <c r="AD729" s="539"/>
      <c r="AE729" s="539"/>
      <c r="AF729" s="539"/>
      <c r="AG729" s="539"/>
      <c r="AH729" s="539"/>
      <c r="AI729" s="539"/>
      <c r="AJ729" s="539"/>
      <c r="AK729" s="539"/>
      <c r="AL729" s="539"/>
      <c r="AM729" s="539"/>
      <c r="AN729" s="539"/>
      <c r="AO729" s="539"/>
      <c r="AP729" s="539"/>
      <c r="AQ729" s="539"/>
      <c r="AR729" s="539"/>
      <c r="AS729" s="539"/>
      <c r="AT729" s="539"/>
      <c r="AU729" s="539"/>
      <c r="AV729" s="539"/>
      <c r="AW729" s="539"/>
      <c r="AX729" s="539"/>
    </row>
    <row r="730" spans="2:50" ht="14.25" customHeight="1" x14ac:dyDescent="0.3">
      <c r="B730" s="957"/>
      <c r="C730" s="540"/>
      <c r="D730" s="540"/>
      <c r="E730" s="540"/>
      <c r="F730" s="539"/>
      <c r="G730" s="539"/>
      <c r="H730" s="539"/>
      <c r="I730" s="539"/>
      <c r="J730" s="539"/>
      <c r="K730" s="539"/>
      <c r="L730" s="539"/>
      <c r="M730" s="539"/>
      <c r="N730" s="539"/>
      <c r="O730" s="539"/>
      <c r="P730" s="539"/>
      <c r="Q730" s="539"/>
      <c r="R730" s="539"/>
      <c r="S730" s="539"/>
      <c r="T730" s="539"/>
      <c r="U730" s="539"/>
      <c r="V730" s="539"/>
      <c r="W730" s="539"/>
      <c r="X730" s="539"/>
      <c r="Y730" s="539"/>
      <c r="Z730" s="539"/>
      <c r="AA730" s="539"/>
      <c r="AB730" s="539"/>
      <c r="AC730" s="539"/>
      <c r="AD730" s="539"/>
      <c r="AE730" s="539"/>
      <c r="AF730" s="539"/>
      <c r="AG730" s="539"/>
      <c r="AH730" s="539"/>
      <c r="AI730" s="539"/>
      <c r="AJ730" s="539"/>
      <c r="AK730" s="539"/>
      <c r="AL730" s="539"/>
      <c r="AM730" s="539"/>
      <c r="AN730" s="539"/>
      <c r="AO730" s="539"/>
      <c r="AP730" s="539"/>
      <c r="AQ730" s="539"/>
      <c r="AR730" s="539"/>
      <c r="AS730" s="539"/>
      <c r="AT730" s="539"/>
      <c r="AU730" s="539"/>
      <c r="AV730" s="539"/>
      <c r="AW730" s="539"/>
      <c r="AX730" s="539"/>
    </row>
    <row r="731" spans="2:50" ht="14.25" customHeight="1" x14ac:dyDescent="0.3">
      <c r="B731" s="957"/>
      <c r="C731" s="540"/>
      <c r="D731" s="540"/>
      <c r="E731" s="540"/>
      <c r="F731" s="539"/>
      <c r="G731" s="539"/>
      <c r="H731" s="539"/>
      <c r="I731" s="539"/>
      <c r="J731" s="539"/>
      <c r="K731" s="539"/>
      <c r="L731" s="539"/>
      <c r="M731" s="539"/>
      <c r="N731" s="539"/>
      <c r="O731" s="539"/>
      <c r="P731" s="539"/>
      <c r="Q731" s="539"/>
      <c r="R731" s="539"/>
      <c r="S731" s="539"/>
      <c r="T731" s="539"/>
      <c r="U731" s="539"/>
      <c r="V731" s="539"/>
      <c r="W731" s="539"/>
      <c r="X731" s="539"/>
      <c r="Y731" s="539"/>
      <c r="Z731" s="539"/>
      <c r="AA731" s="539"/>
      <c r="AB731" s="539"/>
      <c r="AC731" s="539"/>
      <c r="AD731" s="539"/>
      <c r="AE731" s="539"/>
      <c r="AF731" s="539"/>
      <c r="AG731" s="539"/>
      <c r="AH731" s="539"/>
      <c r="AI731" s="539"/>
      <c r="AJ731" s="539"/>
      <c r="AK731" s="539"/>
      <c r="AL731" s="539"/>
      <c r="AM731" s="539"/>
      <c r="AN731" s="539"/>
      <c r="AO731" s="539"/>
      <c r="AP731" s="539"/>
      <c r="AQ731" s="539"/>
      <c r="AR731" s="539"/>
      <c r="AS731" s="539"/>
      <c r="AT731" s="539"/>
      <c r="AU731" s="539"/>
      <c r="AV731" s="539"/>
      <c r="AW731" s="539"/>
      <c r="AX731" s="539"/>
    </row>
    <row r="732" spans="2:50" ht="14.25" customHeight="1" x14ac:dyDescent="0.3">
      <c r="B732" s="957"/>
      <c r="C732" s="540"/>
      <c r="D732" s="540"/>
      <c r="E732" s="540"/>
      <c r="F732" s="539"/>
      <c r="G732" s="539"/>
      <c r="H732" s="539"/>
      <c r="I732" s="539"/>
      <c r="J732" s="539"/>
      <c r="K732" s="539"/>
      <c r="L732" s="539"/>
      <c r="M732" s="539"/>
      <c r="N732" s="539"/>
      <c r="O732" s="539"/>
      <c r="P732" s="539"/>
      <c r="Q732" s="539"/>
      <c r="R732" s="539"/>
      <c r="S732" s="539"/>
      <c r="T732" s="539"/>
      <c r="U732" s="539"/>
      <c r="V732" s="539"/>
      <c r="W732" s="539"/>
      <c r="X732" s="539"/>
      <c r="Y732" s="539"/>
      <c r="Z732" s="539"/>
      <c r="AA732" s="539"/>
      <c r="AB732" s="539"/>
      <c r="AC732" s="539"/>
      <c r="AD732" s="539"/>
      <c r="AE732" s="539"/>
      <c r="AF732" s="539"/>
      <c r="AG732" s="539"/>
      <c r="AH732" s="539"/>
      <c r="AI732" s="539"/>
      <c r="AJ732" s="539"/>
      <c r="AK732" s="539"/>
      <c r="AL732" s="539"/>
      <c r="AM732" s="539"/>
      <c r="AN732" s="539"/>
      <c r="AO732" s="539"/>
      <c r="AP732" s="539"/>
      <c r="AQ732" s="539"/>
      <c r="AR732" s="539"/>
      <c r="AS732" s="539"/>
      <c r="AT732" s="539"/>
      <c r="AU732" s="539"/>
      <c r="AV732" s="539"/>
      <c r="AW732" s="539"/>
      <c r="AX732" s="539"/>
    </row>
    <row r="733" spans="2:50" ht="14.25" customHeight="1" x14ac:dyDescent="0.3">
      <c r="B733" s="957"/>
      <c r="C733" s="540"/>
      <c r="D733" s="540"/>
      <c r="E733" s="540"/>
      <c r="F733" s="539"/>
      <c r="G733" s="539"/>
      <c r="H733" s="539"/>
      <c r="I733" s="539"/>
      <c r="J733" s="539"/>
      <c r="K733" s="539"/>
      <c r="L733" s="539"/>
      <c r="M733" s="539"/>
      <c r="N733" s="539"/>
      <c r="O733" s="539"/>
      <c r="P733" s="539"/>
      <c r="Q733" s="539"/>
      <c r="R733" s="539"/>
      <c r="S733" s="539"/>
      <c r="T733" s="539"/>
      <c r="U733" s="539"/>
      <c r="V733" s="539"/>
      <c r="W733" s="539"/>
      <c r="X733" s="539"/>
      <c r="Y733" s="539"/>
      <c r="Z733" s="539"/>
      <c r="AA733" s="539"/>
      <c r="AB733" s="539"/>
      <c r="AC733" s="539"/>
      <c r="AD733" s="539"/>
      <c r="AE733" s="539"/>
      <c r="AF733" s="539"/>
      <c r="AG733" s="539"/>
      <c r="AH733" s="539"/>
      <c r="AI733" s="539"/>
      <c r="AJ733" s="539"/>
      <c r="AK733" s="539"/>
      <c r="AL733" s="539"/>
      <c r="AM733" s="539"/>
      <c r="AN733" s="539"/>
      <c r="AO733" s="539"/>
      <c r="AP733" s="539"/>
      <c r="AQ733" s="539"/>
      <c r="AR733" s="539"/>
      <c r="AS733" s="539"/>
      <c r="AT733" s="539"/>
      <c r="AU733" s="539"/>
      <c r="AV733" s="539"/>
      <c r="AW733" s="539"/>
      <c r="AX733" s="539"/>
    </row>
    <row r="734" spans="2:50" ht="14.25" customHeight="1" x14ac:dyDescent="0.3">
      <c r="B734" s="957"/>
      <c r="C734" s="540"/>
      <c r="D734" s="540"/>
      <c r="E734" s="540"/>
      <c r="F734" s="539"/>
      <c r="G734" s="539"/>
      <c r="H734" s="539"/>
      <c r="I734" s="539"/>
      <c r="J734" s="539"/>
      <c r="K734" s="539"/>
      <c r="L734" s="539"/>
      <c r="M734" s="539"/>
      <c r="N734" s="539"/>
      <c r="O734" s="539"/>
      <c r="P734" s="539"/>
      <c r="Q734" s="539"/>
      <c r="R734" s="539"/>
      <c r="S734" s="539"/>
      <c r="T734" s="539"/>
      <c r="U734" s="539"/>
      <c r="V734" s="539"/>
      <c r="W734" s="539"/>
      <c r="X734" s="539"/>
      <c r="Y734" s="539"/>
      <c r="Z734" s="539"/>
      <c r="AA734" s="539"/>
      <c r="AB734" s="539"/>
      <c r="AC734" s="539"/>
      <c r="AD734" s="539"/>
      <c r="AE734" s="539"/>
      <c r="AF734" s="539"/>
      <c r="AG734" s="539"/>
      <c r="AH734" s="539"/>
      <c r="AI734" s="539"/>
      <c r="AJ734" s="539"/>
      <c r="AK734" s="539"/>
      <c r="AL734" s="539"/>
      <c r="AM734" s="539"/>
      <c r="AN734" s="539"/>
      <c r="AO734" s="539"/>
      <c r="AP734" s="539"/>
      <c r="AQ734" s="539"/>
      <c r="AR734" s="539"/>
      <c r="AS734" s="539"/>
      <c r="AT734" s="539"/>
      <c r="AU734" s="539"/>
      <c r="AV734" s="539"/>
      <c r="AW734" s="539"/>
      <c r="AX734" s="539"/>
    </row>
    <row r="735" spans="2:50" ht="14.25" customHeight="1" x14ac:dyDescent="0.3">
      <c r="B735" s="957"/>
      <c r="C735" s="540"/>
      <c r="D735" s="540"/>
      <c r="E735" s="540"/>
      <c r="F735" s="539"/>
      <c r="G735" s="539"/>
      <c r="H735" s="539"/>
      <c r="I735" s="539"/>
      <c r="J735" s="539"/>
      <c r="K735" s="539"/>
      <c r="L735" s="539"/>
      <c r="M735" s="539"/>
      <c r="N735" s="539"/>
      <c r="O735" s="539"/>
      <c r="P735" s="539"/>
      <c r="Q735" s="539"/>
      <c r="R735" s="539"/>
      <c r="S735" s="539"/>
      <c r="T735" s="539"/>
      <c r="U735" s="539"/>
      <c r="V735" s="539"/>
      <c r="W735" s="539"/>
      <c r="X735" s="539"/>
      <c r="Y735" s="539"/>
      <c r="Z735" s="539"/>
      <c r="AA735" s="539"/>
      <c r="AB735" s="539"/>
      <c r="AC735" s="539"/>
      <c r="AD735" s="539"/>
      <c r="AE735" s="539"/>
      <c r="AF735" s="539"/>
      <c r="AG735" s="539"/>
      <c r="AH735" s="539"/>
      <c r="AI735" s="539"/>
      <c r="AJ735" s="539"/>
      <c r="AK735" s="539"/>
      <c r="AL735" s="539"/>
      <c r="AM735" s="539"/>
      <c r="AN735" s="539"/>
      <c r="AO735" s="539"/>
      <c r="AP735" s="539"/>
      <c r="AQ735" s="539"/>
      <c r="AR735" s="539"/>
      <c r="AS735" s="539"/>
      <c r="AT735" s="539"/>
      <c r="AU735" s="539"/>
      <c r="AV735" s="539"/>
      <c r="AW735" s="539"/>
      <c r="AX735" s="539"/>
    </row>
    <row r="736" spans="2:50" ht="14.25" customHeight="1" x14ac:dyDescent="0.3">
      <c r="B736" s="957"/>
      <c r="C736" s="540"/>
      <c r="D736" s="540"/>
      <c r="E736" s="540"/>
      <c r="F736" s="539"/>
      <c r="G736" s="539"/>
      <c r="H736" s="539"/>
      <c r="I736" s="539"/>
      <c r="J736" s="539"/>
      <c r="K736" s="539"/>
      <c r="L736" s="539"/>
      <c r="M736" s="539"/>
      <c r="N736" s="539"/>
      <c r="O736" s="539"/>
      <c r="P736" s="539"/>
      <c r="Q736" s="539"/>
      <c r="R736" s="539"/>
      <c r="S736" s="539"/>
      <c r="T736" s="539"/>
      <c r="U736" s="539"/>
      <c r="V736" s="539"/>
      <c r="W736" s="539"/>
      <c r="X736" s="539"/>
      <c r="Y736" s="539"/>
      <c r="Z736" s="539"/>
      <c r="AA736" s="539"/>
      <c r="AB736" s="539"/>
      <c r="AC736" s="539"/>
      <c r="AD736" s="539"/>
      <c r="AE736" s="539"/>
      <c r="AF736" s="539"/>
      <c r="AG736" s="539"/>
      <c r="AH736" s="539"/>
      <c r="AI736" s="539"/>
      <c r="AJ736" s="539"/>
      <c r="AK736" s="539"/>
      <c r="AL736" s="539"/>
      <c r="AM736" s="539"/>
      <c r="AN736" s="539"/>
      <c r="AO736" s="539"/>
      <c r="AP736" s="539"/>
      <c r="AQ736" s="539"/>
      <c r="AR736" s="539"/>
      <c r="AS736" s="539"/>
      <c r="AT736" s="539"/>
      <c r="AU736" s="539"/>
      <c r="AV736" s="539"/>
      <c r="AW736" s="539"/>
      <c r="AX736" s="539"/>
    </row>
    <row r="737" spans="2:50" ht="14.25" customHeight="1" x14ac:dyDescent="0.3">
      <c r="B737" s="957"/>
      <c r="C737" s="540"/>
      <c r="D737" s="540"/>
      <c r="E737" s="540"/>
      <c r="F737" s="539"/>
      <c r="G737" s="539"/>
      <c r="H737" s="539"/>
      <c r="I737" s="539"/>
      <c r="J737" s="539"/>
      <c r="K737" s="539"/>
      <c r="L737" s="539"/>
      <c r="M737" s="539"/>
      <c r="N737" s="539"/>
      <c r="O737" s="539"/>
      <c r="P737" s="539"/>
      <c r="Q737" s="539"/>
      <c r="R737" s="539"/>
      <c r="S737" s="539"/>
      <c r="T737" s="539"/>
      <c r="U737" s="539"/>
      <c r="V737" s="539"/>
      <c r="W737" s="539"/>
      <c r="X737" s="539"/>
      <c r="Y737" s="539"/>
      <c r="Z737" s="539"/>
      <c r="AA737" s="539"/>
      <c r="AB737" s="539"/>
      <c r="AC737" s="539"/>
      <c r="AD737" s="539"/>
      <c r="AE737" s="539"/>
      <c r="AF737" s="539"/>
      <c r="AG737" s="539"/>
      <c r="AH737" s="539"/>
      <c r="AI737" s="539"/>
      <c r="AJ737" s="539"/>
      <c r="AK737" s="539"/>
      <c r="AL737" s="539"/>
      <c r="AM737" s="539"/>
      <c r="AN737" s="539"/>
      <c r="AO737" s="539"/>
      <c r="AP737" s="539"/>
      <c r="AQ737" s="539"/>
      <c r="AR737" s="539"/>
      <c r="AS737" s="539"/>
      <c r="AT737" s="539"/>
      <c r="AU737" s="539"/>
      <c r="AV737" s="539"/>
      <c r="AW737" s="539"/>
      <c r="AX737" s="539"/>
    </row>
    <row r="738" spans="2:50" ht="14.25" customHeight="1" x14ac:dyDescent="0.3">
      <c r="B738" s="957"/>
      <c r="C738" s="540"/>
      <c r="D738" s="540"/>
      <c r="E738" s="540"/>
      <c r="F738" s="539"/>
      <c r="G738" s="539"/>
      <c r="H738" s="539"/>
      <c r="I738" s="539"/>
      <c r="J738" s="539"/>
      <c r="K738" s="539"/>
      <c r="L738" s="539"/>
      <c r="M738" s="539"/>
      <c r="N738" s="539"/>
      <c r="O738" s="539"/>
      <c r="P738" s="539"/>
      <c r="Q738" s="539"/>
      <c r="R738" s="539"/>
      <c r="S738" s="539"/>
      <c r="T738" s="539"/>
      <c r="U738" s="539"/>
      <c r="V738" s="539"/>
      <c r="W738" s="539"/>
      <c r="X738" s="539"/>
      <c r="Y738" s="539"/>
      <c r="Z738" s="539"/>
      <c r="AA738" s="539"/>
      <c r="AB738" s="539"/>
      <c r="AC738" s="539"/>
      <c r="AD738" s="539"/>
      <c r="AE738" s="539"/>
      <c r="AF738" s="539"/>
      <c r="AG738" s="539"/>
      <c r="AH738" s="539"/>
      <c r="AI738" s="539"/>
      <c r="AJ738" s="539"/>
      <c r="AK738" s="539"/>
      <c r="AL738" s="539"/>
      <c r="AM738" s="539"/>
      <c r="AN738" s="539"/>
      <c r="AO738" s="539"/>
      <c r="AP738" s="539"/>
      <c r="AQ738" s="539"/>
      <c r="AR738" s="539"/>
      <c r="AS738" s="539"/>
      <c r="AT738" s="539"/>
      <c r="AU738" s="539"/>
      <c r="AV738" s="539"/>
      <c r="AW738" s="539"/>
      <c r="AX738" s="539"/>
    </row>
    <row r="739" spans="2:50" ht="14.25" customHeight="1" x14ac:dyDescent="0.3">
      <c r="B739" s="957"/>
      <c r="C739" s="540"/>
      <c r="D739" s="540"/>
      <c r="E739" s="540"/>
      <c r="F739" s="539"/>
      <c r="G739" s="539"/>
      <c r="H739" s="539"/>
      <c r="I739" s="539"/>
      <c r="J739" s="539"/>
      <c r="K739" s="539"/>
      <c r="L739" s="539"/>
      <c r="M739" s="539"/>
      <c r="N739" s="539"/>
      <c r="O739" s="539"/>
      <c r="P739" s="539"/>
      <c r="Q739" s="539"/>
      <c r="R739" s="539"/>
      <c r="S739" s="539"/>
      <c r="T739" s="539"/>
      <c r="U739" s="539"/>
      <c r="V739" s="539"/>
      <c r="W739" s="539"/>
      <c r="X739" s="539"/>
      <c r="Y739" s="539"/>
      <c r="Z739" s="539"/>
      <c r="AA739" s="539"/>
      <c r="AB739" s="539"/>
      <c r="AC739" s="539"/>
      <c r="AD739" s="539"/>
      <c r="AE739" s="539"/>
      <c r="AF739" s="539"/>
      <c r="AG739" s="539"/>
      <c r="AH739" s="539"/>
      <c r="AI739" s="539"/>
      <c r="AJ739" s="539"/>
      <c r="AK739" s="539"/>
      <c r="AL739" s="539"/>
      <c r="AM739" s="539"/>
      <c r="AN739" s="539"/>
      <c r="AO739" s="539"/>
      <c r="AP739" s="539"/>
      <c r="AQ739" s="539"/>
      <c r="AR739" s="539"/>
      <c r="AS739" s="539"/>
      <c r="AT739" s="539"/>
      <c r="AU739" s="539"/>
      <c r="AV739" s="539"/>
      <c r="AW739" s="539"/>
      <c r="AX739" s="539"/>
    </row>
    <row r="740" spans="2:50" ht="14.25" customHeight="1" x14ac:dyDescent="0.3">
      <c r="B740" s="957"/>
      <c r="C740" s="540"/>
      <c r="D740" s="540"/>
      <c r="E740" s="540"/>
      <c r="F740" s="539"/>
      <c r="G740" s="539"/>
      <c r="H740" s="539"/>
      <c r="I740" s="539"/>
      <c r="J740" s="539"/>
      <c r="K740" s="539"/>
      <c r="L740" s="539"/>
      <c r="M740" s="539"/>
      <c r="N740" s="539"/>
      <c r="O740" s="539"/>
      <c r="P740" s="539"/>
      <c r="Q740" s="539"/>
      <c r="R740" s="539"/>
      <c r="S740" s="539"/>
      <c r="T740" s="539"/>
      <c r="U740" s="539"/>
      <c r="V740" s="539"/>
      <c r="W740" s="539"/>
      <c r="X740" s="539"/>
      <c r="Y740" s="539"/>
      <c r="Z740" s="539"/>
      <c r="AA740" s="539"/>
      <c r="AB740" s="539"/>
      <c r="AC740" s="539"/>
      <c r="AD740" s="539"/>
      <c r="AE740" s="539"/>
      <c r="AF740" s="539"/>
      <c r="AG740" s="539"/>
      <c r="AH740" s="539"/>
      <c r="AI740" s="539"/>
      <c r="AJ740" s="539"/>
      <c r="AK740" s="539"/>
      <c r="AL740" s="539"/>
      <c r="AM740" s="539"/>
      <c r="AN740" s="539"/>
      <c r="AO740" s="539"/>
      <c r="AP740" s="539"/>
      <c r="AQ740" s="539"/>
      <c r="AR740" s="539"/>
      <c r="AS740" s="539"/>
      <c r="AT740" s="539"/>
      <c r="AU740" s="539"/>
      <c r="AV740" s="539"/>
      <c r="AW740" s="539"/>
      <c r="AX740" s="539"/>
    </row>
    <row r="741" spans="2:50" ht="14.25" customHeight="1" x14ac:dyDescent="0.3">
      <c r="B741" s="957"/>
      <c r="C741" s="540"/>
      <c r="D741" s="540"/>
      <c r="E741" s="540"/>
      <c r="F741" s="539"/>
      <c r="G741" s="539"/>
      <c r="H741" s="539"/>
      <c r="I741" s="539"/>
      <c r="J741" s="539"/>
      <c r="K741" s="539"/>
      <c r="L741" s="539"/>
      <c r="M741" s="539"/>
      <c r="N741" s="539"/>
      <c r="O741" s="539"/>
      <c r="P741" s="539"/>
      <c r="Q741" s="539"/>
      <c r="R741" s="539"/>
      <c r="S741" s="539"/>
      <c r="T741" s="539"/>
      <c r="U741" s="539"/>
      <c r="V741" s="539"/>
      <c r="W741" s="539"/>
      <c r="X741" s="539"/>
      <c r="Y741" s="539"/>
      <c r="Z741" s="539"/>
      <c r="AA741" s="539"/>
      <c r="AB741" s="539"/>
      <c r="AC741" s="539"/>
      <c r="AD741" s="539"/>
      <c r="AE741" s="539"/>
      <c r="AF741" s="539"/>
      <c r="AG741" s="539"/>
      <c r="AH741" s="539"/>
      <c r="AI741" s="539"/>
      <c r="AJ741" s="539"/>
      <c r="AK741" s="539"/>
      <c r="AL741" s="539"/>
      <c r="AM741" s="539"/>
      <c r="AN741" s="539"/>
      <c r="AO741" s="539"/>
      <c r="AP741" s="539"/>
      <c r="AQ741" s="539"/>
      <c r="AR741" s="539"/>
      <c r="AS741" s="539"/>
      <c r="AT741" s="539"/>
      <c r="AU741" s="539"/>
      <c r="AV741" s="539"/>
      <c r="AW741" s="539"/>
      <c r="AX741" s="539"/>
    </row>
    <row r="742" spans="2:50" ht="14.25" customHeight="1" x14ac:dyDescent="0.3">
      <c r="B742" s="957"/>
      <c r="C742" s="540"/>
      <c r="D742" s="540"/>
      <c r="E742" s="540"/>
      <c r="F742" s="539"/>
      <c r="G742" s="539"/>
      <c r="H742" s="539"/>
      <c r="I742" s="539"/>
      <c r="J742" s="539"/>
      <c r="K742" s="539"/>
      <c r="L742" s="539"/>
      <c r="M742" s="539"/>
      <c r="N742" s="539"/>
      <c r="O742" s="539"/>
      <c r="P742" s="539"/>
      <c r="Q742" s="539"/>
      <c r="R742" s="539"/>
      <c r="S742" s="539"/>
      <c r="T742" s="539"/>
      <c r="U742" s="539"/>
      <c r="V742" s="539"/>
      <c r="W742" s="539"/>
      <c r="X742" s="539"/>
      <c r="Y742" s="539"/>
      <c r="Z742" s="539"/>
      <c r="AA742" s="539"/>
      <c r="AB742" s="539"/>
      <c r="AC742" s="539"/>
      <c r="AD742" s="539"/>
      <c r="AE742" s="539"/>
      <c r="AF742" s="539"/>
      <c r="AG742" s="539"/>
      <c r="AH742" s="539"/>
      <c r="AI742" s="539"/>
      <c r="AJ742" s="539"/>
      <c r="AK742" s="539"/>
      <c r="AL742" s="539"/>
      <c r="AM742" s="539"/>
      <c r="AN742" s="539"/>
      <c r="AO742" s="539"/>
      <c r="AP742" s="539"/>
      <c r="AQ742" s="539"/>
      <c r="AR742" s="539"/>
      <c r="AS742" s="539"/>
      <c r="AT742" s="539"/>
      <c r="AU742" s="539"/>
      <c r="AV742" s="539"/>
      <c r="AW742" s="539"/>
      <c r="AX742" s="539"/>
    </row>
    <row r="743" spans="2:50" ht="14.25" customHeight="1" x14ac:dyDescent="0.3">
      <c r="B743" s="957"/>
      <c r="C743" s="540"/>
      <c r="D743" s="540"/>
      <c r="E743" s="540"/>
      <c r="F743" s="539"/>
      <c r="G743" s="539"/>
      <c r="H743" s="539"/>
      <c r="I743" s="539"/>
      <c r="J743" s="539"/>
      <c r="K743" s="539"/>
      <c r="L743" s="539"/>
      <c r="M743" s="539"/>
      <c r="N743" s="539"/>
      <c r="O743" s="539"/>
      <c r="P743" s="539"/>
      <c r="Q743" s="539"/>
      <c r="R743" s="539"/>
      <c r="S743" s="539"/>
      <c r="T743" s="539"/>
      <c r="U743" s="539"/>
      <c r="V743" s="539"/>
      <c r="W743" s="539"/>
      <c r="X743" s="539"/>
      <c r="Y743" s="539"/>
      <c r="Z743" s="539"/>
      <c r="AA743" s="539"/>
      <c r="AB743" s="539"/>
      <c r="AC743" s="539"/>
      <c r="AD743" s="539"/>
      <c r="AE743" s="539"/>
      <c r="AF743" s="539"/>
      <c r="AG743" s="539"/>
      <c r="AH743" s="539"/>
      <c r="AI743" s="539"/>
      <c r="AJ743" s="539"/>
      <c r="AK743" s="539"/>
      <c r="AL743" s="539"/>
      <c r="AM743" s="539"/>
      <c r="AN743" s="539"/>
      <c r="AO743" s="539"/>
      <c r="AP743" s="539"/>
      <c r="AQ743" s="539"/>
      <c r="AR743" s="539"/>
      <c r="AS743" s="539"/>
      <c r="AT743" s="539"/>
      <c r="AU743" s="539"/>
      <c r="AV743" s="539"/>
      <c r="AW743" s="539"/>
      <c r="AX743" s="539"/>
    </row>
    <row r="744" spans="2:50" ht="14.25" customHeight="1" x14ac:dyDescent="0.3">
      <c r="B744" s="957"/>
      <c r="C744" s="540"/>
      <c r="D744" s="540"/>
      <c r="E744" s="540"/>
      <c r="F744" s="539"/>
      <c r="G744" s="539"/>
      <c r="H744" s="539"/>
      <c r="I744" s="539"/>
      <c r="J744" s="539"/>
      <c r="K744" s="539"/>
      <c r="L744" s="539"/>
      <c r="M744" s="539"/>
      <c r="N744" s="539"/>
      <c r="O744" s="539"/>
      <c r="P744" s="539"/>
      <c r="Q744" s="539"/>
      <c r="R744" s="539"/>
      <c r="S744" s="539"/>
      <c r="T744" s="539"/>
      <c r="U744" s="539"/>
      <c r="V744" s="539"/>
      <c r="W744" s="539"/>
      <c r="X744" s="539"/>
      <c r="Y744" s="539"/>
      <c r="Z744" s="539"/>
      <c r="AA744" s="539"/>
      <c r="AB744" s="539"/>
      <c r="AC744" s="539"/>
      <c r="AD744" s="539"/>
      <c r="AE744" s="539"/>
      <c r="AF744" s="539"/>
      <c r="AG744" s="539"/>
      <c r="AH744" s="539"/>
      <c r="AI744" s="539"/>
      <c r="AJ744" s="539"/>
      <c r="AK744" s="539"/>
      <c r="AL744" s="539"/>
      <c r="AM744" s="539"/>
      <c r="AN744" s="539"/>
      <c r="AO744" s="539"/>
      <c r="AP744" s="539"/>
      <c r="AQ744" s="539"/>
      <c r="AR744" s="539"/>
      <c r="AS744" s="539"/>
      <c r="AT744" s="539"/>
      <c r="AU744" s="539"/>
      <c r="AV744" s="539"/>
      <c r="AW744" s="539"/>
      <c r="AX744" s="539"/>
    </row>
    <row r="745" spans="2:50" ht="14.25" customHeight="1" x14ac:dyDescent="0.3">
      <c r="B745" s="957"/>
      <c r="C745" s="540"/>
      <c r="D745" s="540"/>
      <c r="E745" s="540"/>
      <c r="F745" s="539"/>
      <c r="G745" s="539"/>
      <c r="H745" s="539"/>
      <c r="I745" s="539"/>
      <c r="J745" s="539"/>
      <c r="K745" s="539"/>
      <c r="L745" s="539"/>
      <c r="M745" s="539"/>
      <c r="N745" s="539"/>
      <c r="O745" s="539"/>
      <c r="P745" s="539"/>
      <c r="Q745" s="539"/>
      <c r="R745" s="539"/>
      <c r="S745" s="539"/>
      <c r="T745" s="539"/>
      <c r="U745" s="539"/>
      <c r="V745" s="539"/>
      <c r="W745" s="539"/>
      <c r="X745" s="539"/>
      <c r="Y745" s="539"/>
      <c r="Z745" s="539"/>
      <c r="AA745" s="539"/>
      <c r="AB745" s="539"/>
      <c r="AC745" s="539"/>
      <c r="AD745" s="539"/>
      <c r="AE745" s="539"/>
      <c r="AF745" s="539"/>
      <c r="AG745" s="539"/>
      <c r="AH745" s="539"/>
      <c r="AI745" s="539"/>
      <c r="AJ745" s="539"/>
      <c r="AK745" s="539"/>
      <c r="AL745" s="539"/>
      <c r="AM745" s="539"/>
      <c r="AN745" s="539"/>
      <c r="AO745" s="539"/>
      <c r="AP745" s="539"/>
      <c r="AQ745" s="539"/>
      <c r="AR745" s="539"/>
      <c r="AS745" s="539"/>
      <c r="AT745" s="539"/>
      <c r="AU745" s="539"/>
      <c r="AV745" s="539"/>
      <c r="AW745" s="539"/>
      <c r="AX745" s="539"/>
    </row>
    <row r="746" spans="2:50" ht="14.25" customHeight="1" x14ac:dyDescent="0.3">
      <c r="B746" s="957"/>
      <c r="C746" s="540"/>
      <c r="D746" s="540"/>
      <c r="E746" s="540"/>
      <c r="F746" s="539"/>
      <c r="G746" s="539"/>
      <c r="H746" s="539"/>
      <c r="I746" s="539"/>
      <c r="J746" s="539"/>
      <c r="K746" s="539"/>
      <c r="L746" s="539"/>
      <c r="M746" s="539"/>
      <c r="N746" s="539"/>
      <c r="O746" s="539"/>
      <c r="P746" s="539"/>
      <c r="Q746" s="539"/>
      <c r="R746" s="539"/>
      <c r="S746" s="539"/>
      <c r="T746" s="539"/>
      <c r="U746" s="539"/>
      <c r="V746" s="539"/>
      <c r="W746" s="539"/>
      <c r="X746" s="539"/>
      <c r="Y746" s="539"/>
      <c r="Z746" s="539"/>
      <c r="AA746" s="539"/>
      <c r="AB746" s="539"/>
      <c r="AC746" s="539"/>
      <c r="AD746" s="539"/>
      <c r="AE746" s="539"/>
      <c r="AF746" s="539"/>
      <c r="AG746" s="539"/>
      <c r="AH746" s="539"/>
      <c r="AI746" s="539"/>
      <c r="AJ746" s="539"/>
      <c r="AK746" s="539"/>
      <c r="AL746" s="539"/>
      <c r="AM746" s="539"/>
      <c r="AN746" s="539"/>
      <c r="AO746" s="539"/>
      <c r="AP746" s="539"/>
      <c r="AQ746" s="539"/>
      <c r="AR746" s="539"/>
      <c r="AS746" s="539"/>
      <c r="AT746" s="539"/>
      <c r="AU746" s="539"/>
      <c r="AV746" s="539"/>
      <c r="AW746" s="539"/>
      <c r="AX746" s="539"/>
    </row>
    <row r="747" spans="2:50" ht="14.25" customHeight="1" x14ac:dyDescent="0.3">
      <c r="B747" s="957"/>
      <c r="C747" s="540"/>
      <c r="D747" s="540"/>
      <c r="E747" s="540"/>
      <c r="F747" s="539"/>
      <c r="G747" s="539"/>
      <c r="H747" s="539"/>
      <c r="I747" s="539"/>
      <c r="J747" s="539"/>
      <c r="K747" s="539"/>
      <c r="L747" s="539"/>
      <c r="M747" s="539"/>
      <c r="N747" s="539"/>
      <c r="O747" s="539"/>
      <c r="P747" s="539"/>
      <c r="Q747" s="539"/>
      <c r="R747" s="539"/>
      <c r="S747" s="539"/>
      <c r="T747" s="539"/>
      <c r="U747" s="539"/>
      <c r="V747" s="539"/>
      <c r="W747" s="539"/>
      <c r="X747" s="539"/>
      <c r="Y747" s="539"/>
      <c r="Z747" s="539"/>
      <c r="AA747" s="539"/>
      <c r="AB747" s="539"/>
      <c r="AC747" s="539"/>
      <c r="AD747" s="539"/>
      <c r="AE747" s="539"/>
      <c r="AF747" s="539"/>
      <c r="AG747" s="539"/>
      <c r="AH747" s="539"/>
      <c r="AI747" s="539"/>
      <c r="AJ747" s="539"/>
      <c r="AK747" s="539"/>
      <c r="AL747" s="539"/>
      <c r="AM747" s="539"/>
      <c r="AN747" s="539"/>
      <c r="AO747" s="539"/>
      <c r="AP747" s="539"/>
      <c r="AQ747" s="539"/>
      <c r="AR747" s="539"/>
      <c r="AS747" s="539"/>
      <c r="AT747" s="539"/>
      <c r="AU747" s="539"/>
      <c r="AV747" s="539"/>
      <c r="AW747" s="539"/>
      <c r="AX747" s="539"/>
    </row>
    <row r="748" spans="2:50" ht="14.25" customHeight="1" x14ac:dyDescent="0.3">
      <c r="B748" s="957"/>
      <c r="C748" s="540"/>
      <c r="D748" s="540"/>
      <c r="E748" s="540"/>
      <c r="F748" s="539"/>
      <c r="G748" s="539"/>
      <c r="H748" s="539"/>
      <c r="I748" s="539"/>
      <c r="J748" s="539"/>
      <c r="K748" s="539"/>
      <c r="L748" s="539"/>
      <c r="M748" s="539"/>
      <c r="N748" s="539"/>
      <c r="O748" s="539"/>
      <c r="P748" s="539"/>
      <c r="Q748" s="539"/>
      <c r="R748" s="539"/>
      <c r="S748" s="539"/>
      <c r="T748" s="539"/>
      <c r="U748" s="539"/>
      <c r="V748" s="539"/>
      <c r="W748" s="539"/>
      <c r="X748" s="539"/>
      <c r="Y748" s="539"/>
      <c r="Z748" s="539"/>
      <c r="AA748" s="539"/>
      <c r="AB748" s="539"/>
      <c r="AC748" s="539"/>
      <c r="AD748" s="539"/>
      <c r="AE748" s="539"/>
      <c r="AF748" s="539"/>
      <c r="AG748" s="539"/>
      <c r="AH748" s="539"/>
      <c r="AI748" s="539"/>
      <c r="AJ748" s="539"/>
      <c r="AK748" s="539"/>
      <c r="AL748" s="539"/>
      <c r="AM748" s="539"/>
      <c r="AN748" s="539"/>
      <c r="AO748" s="539"/>
      <c r="AP748" s="539"/>
      <c r="AQ748" s="539"/>
      <c r="AR748" s="539"/>
      <c r="AS748" s="539"/>
      <c r="AT748" s="539"/>
      <c r="AU748" s="539"/>
      <c r="AV748" s="539"/>
      <c r="AW748" s="539"/>
      <c r="AX748" s="539"/>
    </row>
    <row r="749" spans="2:50" ht="14.25" customHeight="1" x14ac:dyDescent="0.3">
      <c r="B749" s="957"/>
      <c r="C749" s="540"/>
      <c r="D749" s="540"/>
      <c r="E749" s="540"/>
      <c r="F749" s="539"/>
      <c r="G749" s="539"/>
      <c r="H749" s="539"/>
      <c r="I749" s="539"/>
      <c r="J749" s="539"/>
      <c r="K749" s="539"/>
      <c r="L749" s="539"/>
      <c r="M749" s="539"/>
      <c r="N749" s="539"/>
      <c r="O749" s="539"/>
      <c r="P749" s="539"/>
      <c r="Q749" s="539"/>
      <c r="R749" s="539"/>
      <c r="S749" s="539"/>
      <c r="T749" s="539"/>
      <c r="U749" s="539"/>
      <c r="V749" s="539"/>
      <c r="W749" s="539"/>
      <c r="X749" s="539"/>
      <c r="Y749" s="539"/>
      <c r="Z749" s="539"/>
      <c r="AA749" s="539"/>
      <c r="AB749" s="539"/>
      <c r="AC749" s="539"/>
      <c r="AD749" s="539"/>
      <c r="AE749" s="539"/>
      <c r="AF749" s="539"/>
      <c r="AG749" s="539"/>
      <c r="AH749" s="539"/>
      <c r="AI749" s="539"/>
      <c r="AJ749" s="539"/>
      <c r="AK749" s="539"/>
      <c r="AL749" s="539"/>
      <c r="AM749" s="539"/>
      <c r="AN749" s="539"/>
      <c r="AO749" s="539"/>
      <c r="AP749" s="539"/>
      <c r="AQ749" s="539"/>
      <c r="AR749" s="539"/>
      <c r="AS749" s="539"/>
      <c r="AT749" s="539"/>
      <c r="AU749" s="539"/>
      <c r="AV749" s="539"/>
      <c r="AW749" s="539"/>
      <c r="AX749" s="539"/>
    </row>
    <row r="750" spans="2:50" ht="14.25" customHeight="1" x14ac:dyDescent="0.3">
      <c r="B750" s="957"/>
      <c r="C750" s="540"/>
      <c r="D750" s="540"/>
      <c r="E750" s="540"/>
      <c r="F750" s="539"/>
      <c r="G750" s="539"/>
      <c r="H750" s="539"/>
      <c r="I750" s="539"/>
      <c r="J750" s="539"/>
      <c r="K750" s="539"/>
      <c r="L750" s="539"/>
      <c r="M750" s="539"/>
      <c r="N750" s="539"/>
      <c r="O750" s="539"/>
      <c r="P750" s="539"/>
      <c r="Q750" s="539"/>
      <c r="R750" s="539"/>
      <c r="S750" s="539"/>
      <c r="T750" s="539"/>
      <c r="U750" s="539"/>
      <c r="V750" s="539"/>
      <c r="W750" s="539"/>
      <c r="X750" s="539"/>
      <c r="Y750" s="539"/>
      <c r="Z750" s="539"/>
      <c r="AA750" s="539"/>
      <c r="AB750" s="539"/>
      <c r="AC750" s="539"/>
      <c r="AD750" s="539"/>
      <c r="AE750" s="539"/>
      <c r="AF750" s="539"/>
      <c r="AG750" s="539"/>
      <c r="AH750" s="539"/>
      <c r="AI750" s="539"/>
      <c r="AJ750" s="539"/>
      <c r="AK750" s="539"/>
      <c r="AL750" s="539"/>
      <c r="AM750" s="539"/>
      <c r="AN750" s="539"/>
      <c r="AO750" s="539"/>
      <c r="AP750" s="539"/>
      <c r="AQ750" s="539"/>
      <c r="AR750" s="539"/>
      <c r="AS750" s="539"/>
      <c r="AT750" s="539"/>
      <c r="AU750" s="539"/>
      <c r="AV750" s="539"/>
      <c r="AW750" s="539"/>
      <c r="AX750" s="539"/>
    </row>
    <row r="751" spans="2:50" ht="14.25" customHeight="1" x14ac:dyDescent="0.3">
      <c r="B751" s="957"/>
      <c r="C751" s="540"/>
      <c r="D751" s="540"/>
      <c r="E751" s="540"/>
      <c r="F751" s="539"/>
      <c r="G751" s="539"/>
      <c r="H751" s="539"/>
      <c r="I751" s="539"/>
      <c r="J751" s="539"/>
      <c r="K751" s="539"/>
      <c r="L751" s="539"/>
      <c r="M751" s="539"/>
      <c r="N751" s="539"/>
      <c r="O751" s="539"/>
      <c r="P751" s="539"/>
      <c r="Q751" s="539"/>
      <c r="R751" s="539"/>
      <c r="S751" s="539"/>
      <c r="T751" s="539"/>
      <c r="U751" s="539"/>
      <c r="V751" s="539"/>
      <c r="W751" s="539"/>
      <c r="X751" s="539"/>
      <c r="Y751" s="539"/>
      <c r="Z751" s="539"/>
      <c r="AA751" s="539"/>
      <c r="AB751" s="539"/>
      <c r="AC751" s="539"/>
      <c r="AD751" s="539"/>
      <c r="AE751" s="539"/>
      <c r="AF751" s="539"/>
      <c r="AG751" s="539"/>
      <c r="AH751" s="539"/>
      <c r="AI751" s="539"/>
      <c r="AJ751" s="539"/>
      <c r="AK751" s="539"/>
      <c r="AL751" s="539"/>
      <c r="AM751" s="539"/>
      <c r="AN751" s="539"/>
      <c r="AO751" s="539"/>
      <c r="AP751" s="539"/>
      <c r="AQ751" s="539"/>
      <c r="AR751" s="539"/>
      <c r="AS751" s="539"/>
      <c r="AT751" s="539"/>
      <c r="AU751" s="539"/>
      <c r="AV751" s="539"/>
      <c r="AW751" s="539"/>
      <c r="AX751" s="539"/>
    </row>
    <row r="752" spans="2:50" ht="14.25" customHeight="1" x14ac:dyDescent="0.3">
      <c r="B752" s="957"/>
      <c r="C752" s="540"/>
      <c r="D752" s="540"/>
      <c r="E752" s="540"/>
      <c r="F752" s="539"/>
      <c r="G752" s="539"/>
      <c r="H752" s="539"/>
      <c r="I752" s="539"/>
      <c r="J752" s="539"/>
      <c r="K752" s="539"/>
      <c r="L752" s="539"/>
      <c r="M752" s="539"/>
      <c r="N752" s="539"/>
      <c r="O752" s="539"/>
      <c r="P752" s="539"/>
      <c r="Q752" s="539"/>
      <c r="R752" s="539"/>
      <c r="S752" s="539"/>
      <c r="T752" s="539"/>
      <c r="U752" s="539"/>
      <c r="V752" s="539"/>
      <c r="W752" s="539"/>
      <c r="X752" s="539"/>
      <c r="Y752" s="539"/>
      <c r="Z752" s="539"/>
      <c r="AA752" s="539"/>
      <c r="AB752" s="539"/>
      <c r="AC752" s="539"/>
      <c r="AD752" s="539"/>
      <c r="AE752" s="539"/>
      <c r="AF752" s="539"/>
      <c r="AG752" s="539"/>
      <c r="AH752" s="539"/>
      <c r="AI752" s="539"/>
      <c r="AJ752" s="539"/>
      <c r="AK752" s="539"/>
      <c r="AL752" s="539"/>
      <c r="AM752" s="539"/>
      <c r="AN752" s="539"/>
      <c r="AO752" s="539"/>
      <c r="AP752" s="539"/>
      <c r="AQ752" s="539"/>
      <c r="AR752" s="539"/>
      <c r="AS752" s="539"/>
      <c r="AT752" s="539"/>
      <c r="AU752" s="539"/>
      <c r="AV752" s="539"/>
      <c r="AW752" s="539"/>
      <c r="AX752" s="539"/>
    </row>
    <row r="753" spans="2:50" ht="14.25" customHeight="1" x14ac:dyDescent="0.3">
      <c r="B753" s="957"/>
      <c r="C753" s="540"/>
      <c r="D753" s="540"/>
      <c r="E753" s="540"/>
      <c r="F753" s="539"/>
      <c r="G753" s="539"/>
      <c r="H753" s="539"/>
      <c r="I753" s="539"/>
      <c r="J753" s="539"/>
      <c r="K753" s="539"/>
      <c r="L753" s="539"/>
      <c r="M753" s="539"/>
      <c r="N753" s="539"/>
      <c r="O753" s="539"/>
      <c r="P753" s="539"/>
      <c r="Q753" s="539"/>
      <c r="R753" s="539"/>
      <c r="S753" s="539"/>
      <c r="T753" s="539"/>
      <c r="U753" s="539"/>
      <c r="V753" s="539"/>
      <c r="W753" s="539"/>
      <c r="X753" s="539"/>
      <c r="Y753" s="539"/>
      <c r="Z753" s="539"/>
      <c r="AA753" s="539"/>
      <c r="AB753" s="539"/>
      <c r="AC753" s="539"/>
      <c r="AD753" s="539"/>
      <c r="AE753" s="539"/>
      <c r="AF753" s="539"/>
      <c r="AG753" s="539"/>
      <c r="AH753" s="539"/>
      <c r="AI753" s="539"/>
      <c r="AJ753" s="539"/>
      <c r="AK753" s="539"/>
      <c r="AL753" s="539"/>
      <c r="AM753" s="539"/>
      <c r="AN753" s="539"/>
      <c r="AO753" s="539"/>
      <c r="AP753" s="539"/>
      <c r="AQ753" s="539"/>
      <c r="AR753" s="539"/>
      <c r="AS753" s="539"/>
      <c r="AT753" s="539"/>
      <c r="AU753" s="539"/>
      <c r="AV753" s="539"/>
      <c r="AW753" s="539"/>
      <c r="AX753" s="539"/>
    </row>
    <row r="754" spans="2:50" ht="14.25" customHeight="1" x14ac:dyDescent="0.3">
      <c r="B754" s="957"/>
      <c r="C754" s="540"/>
      <c r="D754" s="540"/>
      <c r="E754" s="540"/>
      <c r="F754" s="539"/>
      <c r="G754" s="539"/>
      <c r="H754" s="539"/>
      <c r="I754" s="539"/>
      <c r="J754" s="539"/>
      <c r="K754" s="539"/>
      <c r="L754" s="539"/>
      <c r="M754" s="539"/>
      <c r="N754" s="539"/>
      <c r="O754" s="539"/>
      <c r="P754" s="539"/>
      <c r="Q754" s="539"/>
      <c r="R754" s="539"/>
      <c r="S754" s="539"/>
      <c r="T754" s="539"/>
      <c r="U754" s="539"/>
      <c r="V754" s="539"/>
      <c r="W754" s="539"/>
      <c r="X754" s="539"/>
      <c r="Y754" s="539"/>
      <c r="Z754" s="539"/>
      <c r="AA754" s="539"/>
      <c r="AB754" s="539"/>
      <c r="AC754" s="539"/>
      <c r="AD754" s="539"/>
      <c r="AE754" s="539"/>
      <c r="AF754" s="539"/>
      <c r="AG754" s="539"/>
      <c r="AH754" s="539"/>
      <c r="AI754" s="539"/>
      <c r="AJ754" s="539"/>
      <c r="AK754" s="539"/>
      <c r="AL754" s="539"/>
      <c r="AM754" s="539"/>
      <c r="AN754" s="539"/>
      <c r="AO754" s="539"/>
      <c r="AP754" s="539"/>
      <c r="AQ754" s="539"/>
      <c r="AR754" s="539"/>
      <c r="AS754" s="539"/>
      <c r="AT754" s="539"/>
      <c r="AU754" s="539"/>
      <c r="AV754" s="539"/>
      <c r="AW754" s="539"/>
      <c r="AX754" s="539"/>
    </row>
    <row r="755" spans="2:50" ht="14.25" customHeight="1" x14ac:dyDescent="0.3">
      <c r="B755" s="957"/>
      <c r="C755" s="540"/>
      <c r="D755" s="540"/>
      <c r="E755" s="540"/>
      <c r="F755" s="539"/>
      <c r="G755" s="539"/>
      <c r="H755" s="539"/>
      <c r="I755" s="539"/>
      <c r="J755" s="539"/>
      <c r="K755" s="539"/>
      <c r="L755" s="539"/>
      <c r="M755" s="539"/>
      <c r="N755" s="539"/>
      <c r="O755" s="539"/>
      <c r="P755" s="539"/>
      <c r="Q755" s="539"/>
      <c r="R755" s="539"/>
      <c r="S755" s="539"/>
      <c r="T755" s="539"/>
      <c r="U755" s="539"/>
      <c r="V755" s="539"/>
      <c r="W755" s="539"/>
      <c r="X755" s="539"/>
      <c r="Y755" s="539"/>
      <c r="Z755" s="539"/>
      <c r="AA755" s="539"/>
      <c r="AB755" s="539"/>
      <c r="AC755" s="539"/>
      <c r="AD755" s="539"/>
      <c r="AE755" s="539"/>
      <c r="AF755" s="539"/>
      <c r="AG755" s="539"/>
      <c r="AH755" s="539"/>
      <c r="AI755" s="539"/>
      <c r="AJ755" s="539"/>
      <c r="AK755" s="539"/>
      <c r="AL755" s="539"/>
      <c r="AM755" s="539"/>
      <c r="AN755" s="539"/>
      <c r="AO755" s="539"/>
      <c r="AP755" s="539"/>
      <c r="AQ755" s="539"/>
      <c r="AR755" s="539"/>
      <c r="AS755" s="539"/>
      <c r="AT755" s="539"/>
      <c r="AU755" s="539"/>
      <c r="AV755" s="539"/>
      <c r="AW755" s="539"/>
      <c r="AX755" s="539"/>
    </row>
    <row r="756" spans="2:50" ht="14.25" customHeight="1" x14ac:dyDescent="0.3">
      <c r="B756" s="957"/>
      <c r="C756" s="540"/>
      <c r="D756" s="540"/>
      <c r="E756" s="540"/>
      <c r="F756" s="539"/>
      <c r="G756" s="539"/>
      <c r="H756" s="539"/>
      <c r="I756" s="539"/>
      <c r="J756" s="539"/>
      <c r="K756" s="539"/>
      <c r="L756" s="539"/>
      <c r="M756" s="539"/>
      <c r="N756" s="539"/>
      <c r="O756" s="539"/>
      <c r="P756" s="539"/>
      <c r="Q756" s="539"/>
      <c r="R756" s="539"/>
      <c r="S756" s="539"/>
      <c r="T756" s="539"/>
      <c r="U756" s="539"/>
      <c r="V756" s="539"/>
      <c r="W756" s="539"/>
      <c r="X756" s="539"/>
      <c r="Y756" s="539"/>
      <c r="Z756" s="539"/>
      <c r="AA756" s="539"/>
      <c r="AB756" s="539"/>
      <c r="AC756" s="539"/>
      <c r="AD756" s="539"/>
      <c r="AE756" s="539"/>
      <c r="AF756" s="539"/>
      <c r="AG756" s="539"/>
      <c r="AH756" s="539"/>
      <c r="AI756" s="539"/>
      <c r="AJ756" s="539"/>
      <c r="AK756" s="539"/>
      <c r="AL756" s="539"/>
      <c r="AM756" s="539"/>
      <c r="AN756" s="539"/>
      <c r="AO756" s="539"/>
      <c r="AP756" s="539"/>
      <c r="AQ756" s="539"/>
      <c r="AR756" s="539"/>
      <c r="AS756" s="539"/>
      <c r="AT756" s="539"/>
      <c r="AU756" s="539"/>
      <c r="AV756" s="539"/>
      <c r="AW756" s="539"/>
      <c r="AX756" s="539"/>
    </row>
    <row r="757" spans="2:50" ht="14.25" customHeight="1" x14ac:dyDescent="0.3">
      <c r="B757" s="957"/>
      <c r="C757" s="540"/>
      <c r="D757" s="540"/>
      <c r="E757" s="540"/>
      <c r="F757" s="539"/>
      <c r="G757" s="539"/>
      <c r="H757" s="539"/>
      <c r="I757" s="539"/>
      <c r="J757" s="539"/>
      <c r="K757" s="539"/>
      <c r="L757" s="539"/>
      <c r="M757" s="539"/>
      <c r="N757" s="539"/>
      <c r="O757" s="539"/>
      <c r="P757" s="539"/>
      <c r="Q757" s="539"/>
      <c r="R757" s="539"/>
      <c r="S757" s="539"/>
      <c r="T757" s="539"/>
      <c r="U757" s="539"/>
      <c r="V757" s="539"/>
      <c r="W757" s="539"/>
      <c r="X757" s="539"/>
      <c r="Y757" s="539"/>
      <c r="Z757" s="539"/>
      <c r="AA757" s="539"/>
      <c r="AB757" s="539"/>
      <c r="AC757" s="539"/>
      <c r="AD757" s="539"/>
      <c r="AE757" s="539"/>
      <c r="AF757" s="539"/>
      <c r="AG757" s="539"/>
      <c r="AH757" s="539"/>
      <c r="AI757" s="539"/>
      <c r="AJ757" s="539"/>
      <c r="AK757" s="539"/>
      <c r="AL757" s="539"/>
      <c r="AM757" s="539"/>
      <c r="AN757" s="539"/>
      <c r="AO757" s="539"/>
      <c r="AP757" s="539"/>
      <c r="AQ757" s="539"/>
      <c r="AR757" s="539"/>
      <c r="AS757" s="539"/>
      <c r="AT757" s="539"/>
      <c r="AU757" s="539"/>
      <c r="AV757" s="539"/>
      <c r="AW757" s="539"/>
      <c r="AX757" s="539"/>
    </row>
    <row r="758" spans="2:50" ht="14.25" customHeight="1" x14ac:dyDescent="0.3">
      <c r="B758" s="957"/>
      <c r="C758" s="540"/>
      <c r="D758" s="540"/>
      <c r="E758" s="540"/>
      <c r="F758" s="539"/>
      <c r="G758" s="539"/>
      <c r="H758" s="539"/>
      <c r="I758" s="539"/>
      <c r="J758" s="539"/>
      <c r="K758" s="539"/>
      <c r="L758" s="539"/>
      <c r="M758" s="539"/>
      <c r="N758" s="539"/>
      <c r="O758" s="539"/>
      <c r="P758" s="539"/>
      <c r="Q758" s="539"/>
      <c r="R758" s="539"/>
      <c r="S758" s="539"/>
      <c r="T758" s="539"/>
      <c r="U758" s="539"/>
      <c r="V758" s="539"/>
      <c r="W758" s="539"/>
      <c r="X758" s="539"/>
      <c r="Y758" s="539"/>
      <c r="Z758" s="539"/>
      <c r="AA758" s="539"/>
      <c r="AB758" s="539"/>
      <c r="AC758" s="539"/>
      <c r="AD758" s="539"/>
      <c r="AE758" s="539"/>
      <c r="AF758" s="539"/>
      <c r="AG758" s="539"/>
      <c r="AH758" s="539"/>
      <c r="AI758" s="539"/>
      <c r="AJ758" s="539"/>
      <c r="AK758" s="539"/>
      <c r="AL758" s="539"/>
      <c r="AM758" s="539"/>
      <c r="AN758" s="539"/>
      <c r="AO758" s="539"/>
      <c r="AP758" s="539"/>
      <c r="AQ758" s="539"/>
      <c r="AR758" s="539"/>
      <c r="AS758" s="539"/>
      <c r="AT758" s="539"/>
      <c r="AU758" s="539"/>
      <c r="AV758" s="539"/>
      <c r="AW758" s="539"/>
      <c r="AX758" s="539"/>
    </row>
    <row r="759" spans="2:50" ht="14.25" customHeight="1" x14ac:dyDescent="0.3">
      <c r="B759" s="957"/>
      <c r="C759" s="540"/>
      <c r="D759" s="540"/>
      <c r="E759" s="540"/>
      <c r="F759" s="539"/>
      <c r="G759" s="539"/>
      <c r="H759" s="539"/>
      <c r="I759" s="539"/>
      <c r="J759" s="539"/>
      <c r="K759" s="539"/>
      <c r="L759" s="539"/>
      <c r="M759" s="539"/>
      <c r="N759" s="539"/>
      <c r="O759" s="539"/>
      <c r="P759" s="539"/>
      <c r="Q759" s="539"/>
      <c r="R759" s="539"/>
      <c r="S759" s="539"/>
      <c r="T759" s="539"/>
      <c r="U759" s="539"/>
      <c r="V759" s="539"/>
      <c r="W759" s="539"/>
      <c r="X759" s="539"/>
      <c r="Y759" s="539"/>
      <c r="Z759" s="539"/>
      <c r="AA759" s="539"/>
      <c r="AB759" s="539"/>
      <c r="AC759" s="539"/>
      <c r="AD759" s="539"/>
      <c r="AE759" s="539"/>
      <c r="AF759" s="539"/>
      <c r="AG759" s="539"/>
      <c r="AH759" s="539"/>
      <c r="AI759" s="539"/>
      <c r="AJ759" s="539"/>
      <c r="AK759" s="539"/>
      <c r="AL759" s="539"/>
      <c r="AM759" s="539"/>
      <c r="AN759" s="539"/>
      <c r="AO759" s="539"/>
      <c r="AP759" s="539"/>
      <c r="AQ759" s="539"/>
      <c r="AR759" s="539"/>
      <c r="AS759" s="539"/>
      <c r="AT759" s="539"/>
      <c r="AU759" s="539"/>
      <c r="AV759" s="539"/>
      <c r="AW759" s="539"/>
      <c r="AX759" s="539"/>
    </row>
    <row r="760" spans="2:50" ht="14.25" customHeight="1" x14ac:dyDescent="0.3">
      <c r="B760" s="957"/>
      <c r="C760" s="540"/>
      <c r="D760" s="540"/>
      <c r="E760" s="540"/>
      <c r="F760" s="539"/>
      <c r="G760" s="539"/>
      <c r="H760" s="539"/>
      <c r="I760" s="539"/>
      <c r="J760" s="539"/>
      <c r="K760" s="539"/>
      <c r="L760" s="539"/>
      <c r="M760" s="539"/>
      <c r="N760" s="539"/>
      <c r="O760" s="539"/>
      <c r="P760" s="539"/>
      <c r="Q760" s="539"/>
      <c r="R760" s="539"/>
      <c r="S760" s="539"/>
      <c r="T760" s="539"/>
      <c r="U760" s="539"/>
      <c r="V760" s="539"/>
      <c r="W760" s="539"/>
      <c r="X760" s="539"/>
      <c r="Y760" s="539"/>
      <c r="Z760" s="539"/>
      <c r="AA760" s="539"/>
      <c r="AB760" s="539"/>
      <c r="AC760" s="539"/>
      <c r="AD760" s="539"/>
      <c r="AE760" s="539"/>
      <c r="AF760" s="539"/>
      <c r="AG760" s="539"/>
      <c r="AH760" s="539"/>
      <c r="AI760" s="539"/>
      <c r="AJ760" s="539"/>
      <c r="AK760" s="539"/>
      <c r="AL760" s="539"/>
      <c r="AM760" s="539"/>
      <c r="AN760" s="539"/>
      <c r="AO760" s="539"/>
      <c r="AP760" s="539"/>
      <c r="AQ760" s="539"/>
      <c r="AR760" s="539"/>
      <c r="AS760" s="539"/>
      <c r="AT760" s="539"/>
      <c r="AU760" s="539"/>
      <c r="AV760" s="539"/>
      <c r="AW760" s="539"/>
      <c r="AX760" s="539"/>
    </row>
    <row r="761" spans="2:50" ht="14.25" customHeight="1" x14ac:dyDescent="0.3">
      <c r="B761" s="957"/>
      <c r="C761" s="540"/>
      <c r="D761" s="540"/>
      <c r="E761" s="540"/>
      <c r="F761" s="539"/>
      <c r="G761" s="539"/>
      <c r="H761" s="539"/>
      <c r="I761" s="539"/>
      <c r="J761" s="539"/>
      <c r="K761" s="539"/>
      <c r="L761" s="539"/>
      <c r="M761" s="539"/>
      <c r="N761" s="539"/>
      <c r="O761" s="539"/>
      <c r="P761" s="539"/>
      <c r="Q761" s="539"/>
      <c r="R761" s="539"/>
      <c r="S761" s="539"/>
      <c r="T761" s="539"/>
      <c r="U761" s="539"/>
      <c r="V761" s="539"/>
      <c r="W761" s="539"/>
      <c r="X761" s="539"/>
      <c r="Y761" s="539"/>
      <c r="Z761" s="539"/>
      <c r="AA761" s="539"/>
      <c r="AB761" s="539"/>
      <c r="AC761" s="539"/>
      <c r="AD761" s="539"/>
      <c r="AE761" s="539"/>
      <c r="AF761" s="539"/>
      <c r="AG761" s="539"/>
      <c r="AH761" s="539"/>
      <c r="AI761" s="539"/>
      <c r="AJ761" s="539"/>
      <c r="AK761" s="539"/>
      <c r="AL761" s="539"/>
      <c r="AM761" s="539"/>
      <c r="AN761" s="539"/>
      <c r="AO761" s="539"/>
      <c r="AP761" s="539"/>
      <c r="AQ761" s="539"/>
      <c r="AR761" s="539"/>
      <c r="AS761" s="539"/>
      <c r="AT761" s="539"/>
      <c r="AU761" s="539"/>
      <c r="AV761" s="539"/>
      <c r="AW761" s="539"/>
      <c r="AX761" s="539"/>
    </row>
    <row r="762" spans="2:50" ht="14.25" customHeight="1" x14ac:dyDescent="0.3">
      <c r="B762" s="957"/>
      <c r="C762" s="540"/>
      <c r="D762" s="540"/>
      <c r="E762" s="540"/>
      <c r="F762" s="539"/>
      <c r="G762" s="539"/>
      <c r="H762" s="539"/>
      <c r="I762" s="539"/>
      <c r="J762" s="539"/>
      <c r="K762" s="539"/>
      <c r="L762" s="539"/>
      <c r="M762" s="539"/>
      <c r="N762" s="539"/>
      <c r="O762" s="539"/>
      <c r="P762" s="539"/>
      <c r="Q762" s="539"/>
      <c r="R762" s="539"/>
      <c r="S762" s="539"/>
      <c r="T762" s="539"/>
      <c r="U762" s="539"/>
      <c r="V762" s="539"/>
      <c r="W762" s="539"/>
      <c r="X762" s="539"/>
      <c r="Y762" s="539"/>
      <c r="Z762" s="539"/>
      <c r="AA762" s="539"/>
      <c r="AB762" s="539"/>
      <c r="AC762" s="539"/>
      <c r="AD762" s="539"/>
      <c r="AE762" s="539"/>
      <c r="AF762" s="539"/>
      <c r="AG762" s="539"/>
      <c r="AH762" s="539"/>
      <c r="AI762" s="539"/>
      <c r="AJ762" s="539"/>
      <c r="AK762" s="539"/>
      <c r="AL762" s="539"/>
      <c r="AM762" s="539"/>
      <c r="AN762" s="539"/>
      <c r="AO762" s="539"/>
      <c r="AP762" s="539"/>
      <c r="AQ762" s="539"/>
      <c r="AR762" s="539"/>
      <c r="AS762" s="539"/>
      <c r="AT762" s="539"/>
      <c r="AU762" s="539"/>
      <c r="AV762" s="539"/>
      <c r="AW762" s="539"/>
      <c r="AX762" s="539"/>
    </row>
    <row r="763" spans="2:50" ht="14.25" customHeight="1" x14ac:dyDescent="0.3">
      <c r="B763" s="957"/>
      <c r="C763" s="540"/>
      <c r="D763" s="540"/>
      <c r="E763" s="540"/>
      <c r="F763" s="539"/>
      <c r="G763" s="539"/>
      <c r="H763" s="539"/>
      <c r="I763" s="539"/>
      <c r="J763" s="539"/>
      <c r="K763" s="539"/>
      <c r="L763" s="539"/>
      <c r="M763" s="539"/>
      <c r="N763" s="539"/>
      <c r="O763" s="539"/>
      <c r="P763" s="539"/>
      <c r="Q763" s="539"/>
      <c r="R763" s="539"/>
      <c r="S763" s="539"/>
      <c r="T763" s="539"/>
      <c r="U763" s="539"/>
      <c r="V763" s="539"/>
      <c r="W763" s="539"/>
      <c r="X763" s="539"/>
      <c r="Y763" s="539"/>
      <c r="Z763" s="539"/>
      <c r="AA763" s="539"/>
      <c r="AB763" s="539"/>
      <c r="AC763" s="539"/>
      <c r="AD763" s="539"/>
      <c r="AE763" s="539"/>
      <c r="AF763" s="539"/>
      <c r="AG763" s="539"/>
      <c r="AH763" s="539"/>
      <c r="AI763" s="539"/>
      <c r="AJ763" s="539"/>
      <c r="AK763" s="539"/>
      <c r="AL763" s="539"/>
      <c r="AM763" s="539"/>
      <c r="AN763" s="539"/>
      <c r="AO763" s="539"/>
      <c r="AP763" s="539"/>
      <c r="AQ763" s="539"/>
      <c r="AR763" s="539"/>
      <c r="AS763" s="539"/>
      <c r="AT763" s="539"/>
      <c r="AU763" s="539"/>
      <c r="AV763" s="539"/>
      <c r="AW763" s="539"/>
      <c r="AX763" s="539"/>
    </row>
    <row r="764" spans="2:50" ht="14.25" customHeight="1" x14ac:dyDescent="0.3">
      <c r="B764" s="957"/>
      <c r="C764" s="540"/>
      <c r="D764" s="540"/>
      <c r="E764" s="540"/>
      <c r="F764" s="539"/>
      <c r="G764" s="539"/>
      <c r="H764" s="539"/>
      <c r="I764" s="539"/>
      <c r="J764" s="539"/>
      <c r="K764" s="539"/>
      <c r="L764" s="539"/>
      <c r="M764" s="539"/>
      <c r="N764" s="539"/>
      <c r="O764" s="539"/>
      <c r="P764" s="539"/>
      <c r="Q764" s="539"/>
      <c r="R764" s="539"/>
      <c r="S764" s="539"/>
      <c r="T764" s="539"/>
      <c r="U764" s="539"/>
      <c r="V764" s="539"/>
      <c r="W764" s="539"/>
      <c r="X764" s="539"/>
      <c r="Y764" s="539"/>
      <c r="Z764" s="539"/>
      <c r="AA764" s="539"/>
      <c r="AB764" s="539"/>
      <c r="AC764" s="539"/>
      <c r="AD764" s="539"/>
      <c r="AE764" s="539"/>
      <c r="AF764" s="539"/>
      <c r="AG764" s="539"/>
      <c r="AH764" s="539"/>
      <c r="AI764" s="539"/>
      <c r="AJ764" s="539"/>
      <c r="AK764" s="539"/>
      <c r="AL764" s="539"/>
      <c r="AM764" s="539"/>
      <c r="AN764" s="539"/>
      <c r="AO764" s="539"/>
      <c r="AP764" s="539"/>
      <c r="AQ764" s="539"/>
      <c r="AR764" s="539"/>
      <c r="AS764" s="539"/>
      <c r="AT764" s="539"/>
      <c r="AU764" s="539"/>
      <c r="AV764" s="539"/>
      <c r="AW764" s="539"/>
      <c r="AX764" s="539"/>
    </row>
    <row r="765" spans="2:50" ht="14.25" customHeight="1" x14ac:dyDescent="0.3">
      <c r="B765" s="957"/>
      <c r="C765" s="540"/>
      <c r="D765" s="540"/>
      <c r="E765" s="540"/>
      <c r="F765" s="539"/>
      <c r="G765" s="539"/>
      <c r="H765" s="539"/>
      <c r="I765" s="539"/>
      <c r="J765" s="539"/>
      <c r="K765" s="539"/>
      <c r="L765" s="539"/>
      <c r="M765" s="539"/>
      <c r="N765" s="539"/>
      <c r="O765" s="539"/>
      <c r="P765" s="539"/>
      <c r="Q765" s="539"/>
      <c r="R765" s="539"/>
      <c r="S765" s="539"/>
      <c r="T765" s="539"/>
      <c r="U765" s="539"/>
      <c r="V765" s="539"/>
      <c r="W765" s="539"/>
      <c r="X765" s="539"/>
      <c r="Y765" s="539"/>
      <c r="Z765" s="539"/>
      <c r="AA765" s="539"/>
      <c r="AB765" s="539"/>
      <c r="AC765" s="539"/>
      <c r="AD765" s="539"/>
      <c r="AE765" s="539"/>
      <c r="AF765" s="539"/>
      <c r="AG765" s="539"/>
      <c r="AH765" s="539"/>
      <c r="AI765" s="539"/>
      <c r="AJ765" s="539"/>
      <c r="AK765" s="539"/>
      <c r="AL765" s="539"/>
      <c r="AM765" s="539"/>
      <c r="AN765" s="539"/>
      <c r="AO765" s="539"/>
      <c r="AP765" s="539"/>
      <c r="AQ765" s="539"/>
      <c r="AR765" s="539"/>
      <c r="AS765" s="539"/>
      <c r="AT765" s="539"/>
      <c r="AU765" s="539"/>
      <c r="AV765" s="539"/>
      <c r="AW765" s="539"/>
      <c r="AX765" s="539"/>
    </row>
    <row r="766" spans="2:50" ht="14.25" customHeight="1" x14ac:dyDescent="0.3">
      <c r="B766" s="957"/>
      <c r="C766" s="540"/>
      <c r="D766" s="540"/>
      <c r="E766" s="540"/>
      <c r="F766" s="539"/>
      <c r="G766" s="539"/>
      <c r="H766" s="539"/>
      <c r="I766" s="539"/>
      <c r="J766" s="539"/>
      <c r="K766" s="539"/>
      <c r="L766" s="539"/>
      <c r="M766" s="539"/>
      <c r="N766" s="539"/>
      <c r="O766" s="539"/>
      <c r="P766" s="539"/>
      <c r="Q766" s="539"/>
      <c r="R766" s="539"/>
      <c r="S766" s="539"/>
      <c r="T766" s="539"/>
      <c r="U766" s="539"/>
      <c r="V766" s="539"/>
      <c r="W766" s="539"/>
      <c r="X766" s="539"/>
      <c r="Y766" s="539"/>
      <c r="Z766" s="539"/>
      <c r="AA766" s="539"/>
      <c r="AB766" s="539"/>
      <c r="AC766" s="539"/>
      <c r="AD766" s="539"/>
      <c r="AE766" s="539"/>
      <c r="AF766" s="539"/>
      <c r="AG766" s="539"/>
      <c r="AH766" s="539"/>
      <c r="AI766" s="539"/>
      <c r="AJ766" s="539"/>
      <c r="AK766" s="539"/>
      <c r="AL766" s="539"/>
      <c r="AM766" s="539"/>
      <c r="AN766" s="539"/>
      <c r="AO766" s="539"/>
      <c r="AP766" s="539"/>
      <c r="AQ766" s="539"/>
      <c r="AR766" s="539"/>
      <c r="AS766" s="539"/>
      <c r="AT766" s="539"/>
      <c r="AU766" s="539"/>
      <c r="AV766" s="539"/>
      <c r="AW766" s="539"/>
      <c r="AX766" s="539"/>
    </row>
    <row r="767" spans="2:50" ht="14.25" customHeight="1" x14ac:dyDescent="0.3">
      <c r="B767" s="957"/>
      <c r="C767" s="540"/>
      <c r="D767" s="540"/>
      <c r="E767" s="540"/>
      <c r="F767" s="539"/>
      <c r="G767" s="539"/>
      <c r="H767" s="539"/>
      <c r="I767" s="539"/>
      <c r="J767" s="539"/>
      <c r="K767" s="539"/>
      <c r="L767" s="539"/>
      <c r="M767" s="539"/>
      <c r="N767" s="539"/>
      <c r="O767" s="539"/>
      <c r="P767" s="539"/>
      <c r="Q767" s="539"/>
      <c r="R767" s="539"/>
      <c r="S767" s="539"/>
      <c r="T767" s="539"/>
      <c r="U767" s="539"/>
      <c r="V767" s="539"/>
      <c r="W767" s="539"/>
      <c r="X767" s="539"/>
      <c r="Y767" s="539"/>
      <c r="Z767" s="539"/>
      <c r="AA767" s="539"/>
      <c r="AB767" s="539"/>
      <c r="AC767" s="539"/>
      <c r="AD767" s="539"/>
      <c r="AE767" s="539"/>
      <c r="AF767" s="539"/>
      <c r="AG767" s="539"/>
      <c r="AH767" s="539"/>
      <c r="AI767" s="539"/>
      <c r="AJ767" s="539"/>
      <c r="AK767" s="539"/>
      <c r="AL767" s="539"/>
      <c r="AM767" s="539"/>
      <c r="AN767" s="539"/>
      <c r="AO767" s="539"/>
      <c r="AP767" s="539"/>
      <c r="AQ767" s="539"/>
      <c r="AR767" s="539"/>
      <c r="AS767" s="539"/>
      <c r="AT767" s="539"/>
      <c r="AU767" s="539"/>
      <c r="AV767" s="539"/>
      <c r="AW767" s="539"/>
      <c r="AX767" s="539"/>
    </row>
    <row r="768" spans="2:50" ht="14.25" customHeight="1" x14ac:dyDescent="0.3">
      <c r="B768" s="957"/>
      <c r="C768" s="540"/>
      <c r="D768" s="540"/>
      <c r="E768" s="540"/>
      <c r="F768" s="539"/>
      <c r="G768" s="539"/>
      <c r="H768" s="539"/>
      <c r="I768" s="539"/>
      <c r="J768" s="539"/>
      <c r="K768" s="539"/>
      <c r="L768" s="539"/>
      <c r="M768" s="539"/>
      <c r="N768" s="539"/>
      <c r="O768" s="539"/>
      <c r="P768" s="539"/>
      <c r="Q768" s="539"/>
      <c r="R768" s="539"/>
      <c r="S768" s="539"/>
      <c r="T768" s="539"/>
      <c r="U768" s="539"/>
      <c r="V768" s="539"/>
      <c r="W768" s="539"/>
      <c r="X768" s="539"/>
      <c r="Y768" s="539"/>
      <c r="Z768" s="539"/>
      <c r="AA768" s="539"/>
      <c r="AB768" s="539"/>
      <c r="AC768" s="539"/>
      <c r="AD768" s="539"/>
      <c r="AE768" s="539"/>
      <c r="AF768" s="539"/>
      <c r="AG768" s="539"/>
      <c r="AH768" s="539"/>
      <c r="AI768" s="539"/>
      <c r="AJ768" s="539"/>
      <c r="AK768" s="539"/>
      <c r="AL768" s="539"/>
      <c r="AM768" s="539"/>
      <c r="AN768" s="539"/>
      <c r="AO768" s="539"/>
      <c r="AP768" s="539"/>
      <c r="AQ768" s="539"/>
      <c r="AR768" s="539"/>
      <c r="AS768" s="539"/>
      <c r="AT768" s="539"/>
      <c r="AU768" s="539"/>
      <c r="AV768" s="539"/>
      <c r="AW768" s="539"/>
      <c r="AX768" s="539"/>
    </row>
    <row r="769" spans="2:50" ht="14.25" customHeight="1" x14ac:dyDescent="0.3">
      <c r="B769" s="957"/>
      <c r="C769" s="540"/>
      <c r="D769" s="540"/>
      <c r="E769" s="540"/>
      <c r="F769" s="539"/>
      <c r="G769" s="539"/>
      <c r="H769" s="539"/>
      <c r="I769" s="539"/>
      <c r="J769" s="539"/>
      <c r="K769" s="539"/>
      <c r="L769" s="539"/>
      <c r="M769" s="539"/>
      <c r="N769" s="539"/>
      <c r="O769" s="539"/>
      <c r="P769" s="539"/>
      <c r="Q769" s="539"/>
      <c r="R769" s="539"/>
      <c r="S769" s="539"/>
      <c r="T769" s="539"/>
      <c r="U769" s="539"/>
      <c r="V769" s="539"/>
      <c r="W769" s="539"/>
      <c r="X769" s="539"/>
      <c r="Y769" s="539"/>
      <c r="Z769" s="539"/>
      <c r="AA769" s="539"/>
      <c r="AB769" s="539"/>
      <c r="AC769" s="539"/>
      <c r="AD769" s="539"/>
      <c r="AE769" s="539"/>
      <c r="AF769" s="539"/>
      <c r="AG769" s="539"/>
      <c r="AH769" s="539"/>
      <c r="AI769" s="539"/>
      <c r="AJ769" s="539"/>
      <c r="AK769" s="539"/>
      <c r="AL769" s="539"/>
      <c r="AM769" s="539"/>
      <c r="AN769" s="539"/>
      <c r="AO769" s="539"/>
      <c r="AP769" s="539"/>
      <c r="AQ769" s="539"/>
      <c r="AR769" s="539"/>
      <c r="AS769" s="539"/>
      <c r="AT769" s="539"/>
      <c r="AU769" s="539"/>
      <c r="AV769" s="539"/>
      <c r="AW769" s="539"/>
      <c r="AX769" s="539"/>
    </row>
    <row r="770" spans="2:50" ht="14.25" customHeight="1" x14ac:dyDescent="0.3">
      <c r="B770" s="957"/>
      <c r="C770" s="540"/>
      <c r="D770" s="540"/>
      <c r="E770" s="540"/>
      <c r="F770" s="539"/>
      <c r="G770" s="539"/>
      <c r="H770" s="539"/>
      <c r="I770" s="539"/>
      <c r="J770" s="539"/>
      <c r="K770" s="539"/>
      <c r="L770" s="539"/>
      <c r="M770" s="539"/>
      <c r="N770" s="539"/>
      <c r="O770" s="539"/>
      <c r="P770" s="539"/>
      <c r="Q770" s="539"/>
      <c r="R770" s="539"/>
      <c r="S770" s="539"/>
      <c r="T770" s="539"/>
      <c r="U770" s="539"/>
      <c r="V770" s="539"/>
      <c r="W770" s="539"/>
      <c r="X770" s="539"/>
      <c r="Y770" s="539"/>
      <c r="Z770" s="539"/>
      <c r="AA770" s="539"/>
      <c r="AB770" s="539"/>
      <c r="AC770" s="539"/>
      <c r="AD770" s="539"/>
      <c r="AE770" s="539"/>
      <c r="AF770" s="539"/>
      <c r="AG770" s="539"/>
      <c r="AH770" s="539"/>
      <c r="AI770" s="539"/>
      <c r="AJ770" s="539"/>
      <c r="AK770" s="539"/>
      <c r="AL770" s="539"/>
      <c r="AM770" s="539"/>
      <c r="AN770" s="539"/>
      <c r="AO770" s="539"/>
      <c r="AP770" s="539"/>
      <c r="AQ770" s="539"/>
      <c r="AR770" s="539"/>
      <c r="AS770" s="539"/>
      <c r="AT770" s="539"/>
      <c r="AU770" s="539"/>
      <c r="AV770" s="539"/>
      <c r="AW770" s="539"/>
      <c r="AX770" s="539"/>
    </row>
    <row r="771" spans="2:50" ht="14.25" customHeight="1" x14ac:dyDescent="0.3">
      <c r="B771" s="957"/>
      <c r="C771" s="540"/>
      <c r="D771" s="540"/>
      <c r="E771" s="540"/>
      <c r="F771" s="539"/>
      <c r="G771" s="539"/>
      <c r="H771" s="539"/>
      <c r="I771" s="539"/>
      <c r="J771" s="539"/>
      <c r="K771" s="539"/>
      <c r="L771" s="539"/>
      <c r="M771" s="539"/>
      <c r="N771" s="539"/>
      <c r="O771" s="539"/>
      <c r="P771" s="539"/>
      <c r="Q771" s="539"/>
      <c r="R771" s="539"/>
      <c r="S771" s="539"/>
      <c r="T771" s="539"/>
      <c r="U771" s="539"/>
      <c r="V771" s="539"/>
      <c r="W771" s="539"/>
      <c r="X771" s="539"/>
      <c r="Y771" s="539"/>
      <c r="Z771" s="539"/>
      <c r="AA771" s="539"/>
      <c r="AB771" s="539"/>
      <c r="AC771" s="539"/>
      <c r="AD771" s="539"/>
      <c r="AE771" s="539"/>
      <c r="AF771" s="539"/>
      <c r="AG771" s="539"/>
      <c r="AH771" s="539"/>
      <c r="AI771" s="539"/>
      <c r="AJ771" s="539"/>
      <c r="AK771" s="539"/>
      <c r="AL771" s="539"/>
      <c r="AM771" s="539"/>
      <c r="AN771" s="539"/>
      <c r="AO771" s="539"/>
      <c r="AP771" s="539"/>
      <c r="AQ771" s="539"/>
      <c r="AR771" s="539"/>
      <c r="AS771" s="539"/>
      <c r="AT771" s="539"/>
      <c r="AU771" s="539"/>
      <c r="AV771" s="539"/>
      <c r="AW771" s="539"/>
      <c r="AX771" s="539"/>
    </row>
    <row r="772" spans="2:50" ht="14.25" customHeight="1" x14ac:dyDescent="0.3">
      <c r="B772" s="957"/>
      <c r="C772" s="540"/>
      <c r="D772" s="540"/>
      <c r="E772" s="540"/>
      <c r="F772" s="539"/>
      <c r="G772" s="539"/>
      <c r="H772" s="539"/>
      <c r="I772" s="539"/>
      <c r="J772" s="539"/>
      <c r="K772" s="539"/>
      <c r="L772" s="539"/>
      <c r="M772" s="539"/>
      <c r="N772" s="539"/>
      <c r="O772" s="539"/>
      <c r="P772" s="539"/>
      <c r="Q772" s="539"/>
      <c r="R772" s="539"/>
      <c r="S772" s="539"/>
      <c r="T772" s="539"/>
      <c r="U772" s="539"/>
      <c r="V772" s="539"/>
      <c r="W772" s="539"/>
      <c r="X772" s="539"/>
      <c r="Y772" s="539"/>
      <c r="Z772" s="539"/>
      <c r="AA772" s="539"/>
      <c r="AB772" s="539"/>
      <c r="AC772" s="539"/>
      <c r="AD772" s="539"/>
      <c r="AE772" s="539"/>
      <c r="AF772" s="539"/>
      <c r="AG772" s="539"/>
      <c r="AH772" s="539"/>
      <c r="AI772" s="539"/>
      <c r="AJ772" s="539"/>
      <c r="AK772" s="539"/>
      <c r="AL772" s="539"/>
      <c r="AM772" s="539"/>
      <c r="AN772" s="539"/>
      <c r="AO772" s="539"/>
      <c r="AP772" s="539"/>
      <c r="AQ772" s="539"/>
      <c r="AR772" s="539"/>
      <c r="AS772" s="539"/>
      <c r="AT772" s="539"/>
      <c r="AU772" s="539"/>
      <c r="AV772" s="539"/>
      <c r="AW772" s="539"/>
      <c r="AX772" s="539"/>
    </row>
    <row r="773" spans="2:50" ht="14.25" customHeight="1" x14ac:dyDescent="0.3">
      <c r="B773" s="957"/>
      <c r="C773" s="540"/>
      <c r="D773" s="540"/>
      <c r="E773" s="540"/>
      <c r="F773" s="539"/>
      <c r="G773" s="539"/>
      <c r="H773" s="539"/>
      <c r="I773" s="539"/>
      <c r="J773" s="539"/>
      <c r="K773" s="539"/>
      <c r="L773" s="539"/>
      <c r="M773" s="539"/>
      <c r="N773" s="539"/>
      <c r="O773" s="539"/>
      <c r="P773" s="539"/>
      <c r="Q773" s="539"/>
      <c r="R773" s="539"/>
      <c r="S773" s="539"/>
      <c r="T773" s="539"/>
      <c r="U773" s="539"/>
      <c r="V773" s="539"/>
      <c r="W773" s="539"/>
      <c r="X773" s="539"/>
      <c r="Y773" s="539"/>
      <c r="Z773" s="539"/>
      <c r="AA773" s="539"/>
      <c r="AB773" s="539"/>
      <c r="AC773" s="539"/>
      <c r="AD773" s="539"/>
      <c r="AE773" s="539"/>
      <c r="AF773" s="539"/>
      <c r="AG773" s="539"/>
      <c r="AH773" s="539"/>
      <c r="AI773" s="539"/>
      <c r="AJ773" s="539"/>
      <c r="AK773" s="539"/>
      <c r="AL773" s="539"/>
      <c r="AM773" s="539"/>
      <c r="AN773" s="539"/>
      <c r="AO773" s="539"/>
      <c r="AP773" s="539"/>
      <c r="AQ773" s="539"/>
      <c r="AR773" s="539"/>
      <c r="AS773" s="539"/>
      <c r="AT773" s="539"/>
      <c r="AU773" s="539"/>
      <c r="AV773" s="539"/>
      <c r="AW773" s="539"/>
      <c r="AX773" s="539"/>
    </row>
    <row r="774" spans="2:50" ht="14.25" customHeight="1" x14ac:dyDescent="0.3">
      <c r="B774" s="957"/>
      <c r="C774" s="540"/>
      <c r="D774" s="540"/>
      <c r="E774" s="540"/>
      <c r="F774" s="539"/>
      <c r="G774" s="539"/>
      <c r="H774" s="539"/>
      <c r="I774" s="539"/>
      <c r="J774" s="539"/>
      <c r="K774" s="539"/>
      <c r="L774" s="539"/>
      <c r="M774" s="539"/>
      <c r="N774" s="539"/>
      <c r="O774" s="539"/>
      <c r="P774" s="539"/>
      <c r="Q774" s="539"/>
      <c r="R774" s="539"/>
      <c r="S774" s="539"/>
      <c r="T774" s="539"/>
      <c r="U774" s="539"/>
      <c r="V774" s="539"/>
      <c r="W774" s="539"/>
      <c r="X774" s="539"/>
      <c r="Y774" s="539"/>
      <c r="Z774" s="539"/>
      <c r="AA774" s="539"/>
      <c r="AB774" s="539"/>
      <c r="AC774" s="539"/>
      <c r="AD774" s="539"/>
      <c r="AE774" s="539"/>
      <c r="AF774" s="539"/>
      <c r="AG774" s="539"/>
      <c r="AH774" s="539"/>
      <c r="AI774" s="539"/>
      <c r="AJ774" s="539"/>
      <c r="AK774" s="539"/>
      <c r="AL774" s="539"/>
      <c r="AM774" s="539"/>
      <c r="AN774" s="539"/>
      <c r="AO774" s="539"/>
      <c r="AP774" s="539"/>
      <c r="AQ774" s="539"/>
      <c r="AR774" s="539"/>
      <c r="AS774" s="539"/>
      <c r="AT774" s="539"/>
      <c r="AU774" s="539"/>
      <c r="AV774" s="539"/>
      <c r="AW774" s="539"/>
      <c r="AX774" s="539"/>
    </row>
    <row r="775" spans="2:50" ht="14.25" customHeight="1" x14ac:dyDescent="0.3">
      <c r="B775" s="957"/>
      <c r="C775" s="540"/>
      <c r="D775" s="540"/>
      <c r="E775" s="540"/>
      <c r="F775" s="539"/>
      <c r="G775" s="539"/>
      <c r="H775" s="539"/>
      <c r="I775" s="539"/>
      <c r="J775" s="539"/>
      <c r="K775" s="539"/>
      <c r="L775" s="539"/>
      <c r="M775" s="539"/>
      <c r="N775" s="539"/>
      <c r="O775" s="539"/>
      <c r="P775" s="539"/>
      <c r="Q775" s="539"/>
      <c r="R775" s="539"/>
      <c r="S775" s="539"/>
      <c r="T775" s="539"/>
      <c r="U775" s="539"/>
      <c r="V775" s="539"/>
      <c r="W775" s="539"/>
      <c r="X775" s="539"/>
      <c r="Y775" s="539"/>
      <c r="Z775" s="539"/>
      <c r="AA775" s="539"/>
      <c r="AB775" s="539"/>
      <c r="AC775" s="539"/>
      <c r="AD775" s="539"/>
      <c r="AE775" s="539"/>
      <c r="AF775" s="539"/>
      <c r="AG775" s="539"/>
      <c r="AH775" s="539"/>
      <c r="AI775" s="539"/>
      <c r="AJ775" s="539"/>
      <c r="AK775" s="539"/>
      <c r="AL775" s="539"/>
      <c r="AM775" s="539"/>
      <c r="AN775" s="539"/>
      <c r="AO775" s="539"/>
      <c r="AP775" s="539"/>
      <c r="AQ775" s="539"/>
      <c r="AR775" s="539"/>
      <c r="AS775" s="539"/>
      <c r="AT775" s="539"/>
      <c r="AU775" s="539"/>
      <c r="AV775" s="539"/>
      <c r="AW775" s="539"/>
      <c r="AX775" s="539"/>
    </row>
    <row r="776" spans="2:50" ht="14.25" customHeight="1" x14ac:dyDescent="0.3">
      <c r="B776" s="957"/>
      <c r="C776" s="540"/>
      <c r="D776" s="540"/>
      <c r="E776" s="540"/>
      <c r="F776" s="539"/>
      <c r="G776" s="539"/>
      <c r="H776" s="539"/>
      <c r="I776" s="539"/>
      <c r="J776" s="539"/>
      <c r="K776" s="539"/>
      <c r="L776" s="539"/>
      <c r="M776" s="539"/>
      <c r="N776" s="539"/>
      <c r="O776" s="539"/>
      <c r="P776" s="539"/>
      <c r="Q776" s="539"/>
      <c r="R776" s="539"/>
      <c r="S776" s="539"/>
      <c r="T776" s="539"/>
      <c r="U776" s="539"/>
      <c r="V776" s="539"/>
      <c r="W776" s="539"/>
      <c r="X776" s="539"/>
      <c r="Y776" s="539"/>
      <c r="Z776" s="539"/>
      <c r="AA776" s="539"/>
      <c r="AB776" s="539"/>
      <c r="AC776" s="539"/>
      <c r="AD776" s="539"/>
      <c r="AE776" s="539"/>
      <c r="AF776" s="539"/>
      <c r="AG776" s="539"/>
      <c r="AH776" s="539"/>
      <c r="AI776" s="539"/>
      <c r="AJ776" s="539"/>
      <c r="AK776" s="539"/>
      <c r="AL776" s="539"/>
      <c r="AM776" s="539"/>
      <c r="AN776" s="539"/>
      <c r="AO776" s="539"/>
      <c r="AP776" s="539"/>
      <c r="AQ776" s="539"/>
      <c r="AR776" s="539"/>
      <c r="AS776" s="539"/>
      <c r="AT776" s="539"/>
      <c r="AU776" s="539"/>
      <c r="AV776" s="539"/>
      <c r="AW776" s="539"/>
      <c r="AX776" s="539"/>
    </row>
    <row r="777" spans="2:50" ht="14.25" customHeight="1" x14ac:dyDescent="0.3">
      <c r="B777" s="957"/>
      <c r="C777" s="540"/>
      <c r="D777" s="540"/>
      <c r="E777" s="540"/>
      <c r="F777" s="539"/>
      <c r="G777" s="539"/>
      <c r="H777" s="539"/>
      <c r="I777" s="539"/>
      <c r="J777" s="539"/>
      <c r="K777" s="539"/>
      <c r="L777" s="539"/>
      <c r="M777" s="539"/>
      <c r="N777" s="539"/>
      <c r="O777" s="539"/>
      <c r="P777" s="539"/>
      <c r="Q777" s="539"/>
      <c r="R777" s="539"/>
      <c r="S777" s="539"/>
      <c r="T777" s="539"/>
      <c r="U777" s="539"/>
      <c r="V777" s="539"/>
      <c r="W777" s="539"/>
      <c r="X777" s="539"/>
      <c r="Y777" s="539"/>
      <c r="Z777" s="539"/>
      <c r="AA777" s="539"/>
      <c r="AB777" s="539"/>
      <c r="AC777" s="539"/>
      <c r="AD777" s="539"/>
      <c r="AE777" s="539"/>
      <c r="AF777" s="539"/>
      <c r="AG777" s="539"/>
      <c r="AH777" s="539"/>
      <c r="AI777" s="539"/>
      <c r="AJ777" s="539"/>
      <c r="AK777" s="539"/>
      <c r="AL777" s="539"/>
      <c r="AM777" s="539"/>
      <c r="AN777" s="539"/>
      <c r="AO777" s="539"/>
      <c r="AP777" s="539"/>
      <c r="AQ777" s="539"/>
      <c r="AR777" s="539"/>
      <c r="AS777" s="539"/>
      <c r="AT777" s="539"/>
      <c r="AU777" s="539"/>
      <c r="AV777" s="539"/>
      <c r="AW777" s="539"/>
      <c r="AX777" s="539"/>
    </row>
    <row r="778" spans="2:50" ht="14.25" customHeight="1" x14ac:dyDescent="0.3">
      <c r="B778" s="957"/>
      <c r="C778" s="540"/>
      <c r="D778" s="540"/>
      <c r="E778" s="540"/>
      <c r="F778" s="539"/>
      <c r="G778" s="539"/>
      <c r="H778" s="539"/>
      <c r="I778" s="539"/>
      <c r="J778" s="539"/>
      <c r="K778" s="539"/>
      <c r="L778" s="539"/>
      <c r="M778" s="539"/>
      <c r="N778" s="539"/>
      <c r="O778" s="539"/>
      <c r="P778" s="539"/>
      <c r="Q778" s="539"/>
      <c r="R778" s="539"/>
      <c r="S778" s="539"/>
      <c r="T778" s="539"/>
      <c r="U778" s="539"/>
      <c r="V778" s="539"/>
      <c r="W778" s="539"/>
      <c r="X778" s="539"/>
      <c r="Y778" s="539"/>
      <c r="Z778" s="539"/>
      <c r="AA778" s="539"/>
      <c r="AB778" s="539"/>
      <c r="AC778" s="539"/>
      <c r="AD778" s="539"/>
      <c r="AE778" s="539"/>
      <c r="AF778" s="539"/>
      <c r="AG778" s="539"/>
      <c r="AH778" s="539"/>
      <c r="AI778" s="539"/>
      <c r="AJ778" s="539"/>
      <c r="AK778" s="539"/>
      <c r="AL778" s="539"/>
      <c r="AM778" s="539"/>
      <c r="AN778" s="539"/>
      <c r="AO778" s="539"/>
      <c r="AP778" s="539"/>
      <c r="AQ778" s="539"/>
      <c r="AR778" s="539"/>
      <c r="AS778" s="539"/>
      <c r="AT778" s="539"/>
      <c r="AU778" s="539"/>
      <c r="AV778" s="539"/>
      <c r="AW778" s="539"/>
      <c r="AX778" s="539"/>
    </row>
    <row r="779" spans="2:50" ht="14.25" customHeight="1" x14ac:dyDescent="0.3">
      <c r="B779" s="957"/>
      <c r="C779" s="540"/>
      <c r="D779" s="540"/>
      <c r="E779" s="540"/>
      <c r="F779" s="539"/>
      <c r="G779" s="539"/>
      <c r="H779" s="539"/>
      <c r="I779" s="539"/>
      <c r="J779" s="539"/>
      <c r="K779" s="539"/>
      <c r="L779" s="539"/>
      <c r="M779" s="539"/>
      <c r="N779" s="539"/>
      <c r="O779" s="539"/>
      <c r="P779" s="539"/>
      <c r="Q779" s="539"/>
      <c r="R779" s="539"/>
      <c r="S779" s="539"/>
      <c r="T779" s="539"/>
      <c r="U779" s="539"/>
      <c r="V779" s="539"/>
      <c r="W779" s="539"/>
      <c r="X779" s="539"/>
      <c r="Y779" s="539"/>
      <c r="Z779" s="539"/>
      <c r="AA779" s="539"/>
      <c r="AB779" s="539"/>
      <c r="AC779" s="539"/>
      <c r="AD779" s="539"/>
      <c r="AE779" s="539"/>
      <c r="AF779" s="539"/>
      <c r="AG779" s="539"/>
      <c r="AH779" s="539"/>
      <c r="AI779" s="539"/>
      <c r="AJ779" s="539"/>
      <c r="AK779" s="539"/>
      <c r="AL779" s="539"/>
      <c r="AM779" s="539"/>
      <c r="AN779" s="539"/>
      <c r="AO779" s="539"/>
      <c r="AP779" s="539"/>
      <c r="AQ779" s="539"/>
      <c r="AR779" s="539"/>
      <c r="AS779" s="539"/>
      <c r="AT779" s="539"/>
      <c r="AU779" s="539"/>
      <c r="AV779" s="539"/>
      <c r="AW779" s="539"/>
      <c r="AX779" s="539"/>
    </row>
    <row r="780" spans="2:50" ht="14.25" customHeight="1" x14ac:dyDescent="0.3">
      <c r="B780" s="957"/>
      <c r="C780" s="540"/>
      <c r="D780" s="540"/>
      <c r="E780" s="540"/>
      <c r="F780" s="539"/>
      <c r="G780" s="539"/>
      <c r="H780" s="539"/>
      <c r="I780" s="539"/>
      <c r="J780" s="539"/>
      <c r="K780" s="539"/>
      <c r="L780" s="539"/>
      <c r="M780" s="539"/>
      <c r="N780" s="539"/>
      <c r="O780" s="539"/>
      <c r="P780" s="539"/>
      <c r="Q780" s="539"/>
      <c r="R780" s="539"/>
      <c r="S780" s="539"/>
      <c r="T780" s="539"/>
      <c r="U780" s="539"/>
      <c r="V780" s="539"/>
      <c r="W780" s="539"/>
      <c r="X780" s="539"/>
      <c r="Y780" s="539"/>
      <c r="Z780" s="539"/>
      <c r="AA780" s="539"/>
      <c r="AB780" s="539"/>
      <c r="AC780" s="539"/>
      <c r="AD780" s="539"/>
      <c r="AE780" s="539"/>
      <c r="AF780" s="539"/>
      <c r="AG780" s="539"/>
      <c r="AH780" s="539"/>
      <c r="AI780" s="539"/>
      <c r="AJ780" s="539"/>
      <c r="AK780" s="539"/>
      <c r="AL780" s="539"/>
      <c r="AM780" s="539"/>
      <c r="AN780" s="539"/>
      <c r="AO780" s="539"/>
      <c r="AP780" s="539"/>
      <c r="AQ780" s="539"/>
      <c r="AR780" s="539"/>
      <c r="AS780" s="539"/>
      <c r="AT780" s="539"/>
      <c r="AU780" s="539"/>
      <c r="AV780" s="539"/>
      <c r="AW780" s="539"/>
      <c r="AX780" s="539"/>
    </row>
    <row r="781" spans="2:50" ht="14.25" customHeight="1" x14ac:dyDescent="0.3">
      <c r="B781" s="957"/>
      <c r="C781" s="540"/>
      <c r="D781" s="540"/>
      <c r="E781" s="540"/>
      <c r="F781" s="539"/>
      <c r="G781" s="539"/>
      <c r="H781" s="539"/>
      <c r="I781" s="539"/>
      <c r="J781" s="539"/>
      <c r="K781" s="539"/>
      <c r="L781" s="539"/>
      <c r="M781" s="539"/>
      <c r="N781" s="539"/>
      <c r="O781" s="539"/>
      <c r="P781" s="539"/>
      <c r="Q781" s="539"/>
      <c r="R781" s="539"/>
      <c r="S781" s="539"/>
      <c r="T781" s="539"/>
      <c r="U781" s="539"/>
      <c r="V781" s="539"/>
      <c r="W781" s="539"/>
      <c r="X781" s="539"/>
      <c r="Y781" s="539"/>
      <c r="Z781" s="539"/>
      <c r="AA781" s="539"/>
      <c r="AB781" s="539"/>
      <c r="AC781" s="539"/>
      <c r="AD781" s="539"/>
      <c r="AE781" s="539"/>
      <c r="AF781" s="539"/>
      <c r="AG781" s="539"/>
      <c r="AH781" s="539"/>
      <c r="AI781" s="539"/>
      <c r="AJ781" s="539"/>
      <c r="AK781" s="539"/>
      <c r="AL781" s="539"/>
      <c r="AM781" s="539"/>
      <c r="AN781" s="539"/>
      <c r="AO781" s="539"/>
      <c r="AP781" s="539"/>
      <c r="AQ781" s="539"/>
      <c r="AR781" s="539"/>
      <c r="AS781" s="539"/>
      <c r="AT781" s="539"/>
      <c r="AU781" s="539"/>
      <c r="AV781" s="539"/>
      <c r="AW781" s="539"/>
      <c r="AX781" s="539"/>
    </row>
    <row r="782" spans="2:50" ht="14.25" customHeight="1" x14ac:dyDescent="0.3">
      <c r="B782" s="957"/>
      <c r="C782" s="540"/>
      <c r="D782" s="540"/>
      <c r="E782" s="540"/>
      <c r="F782" s="539"/>
      <c r="G782" s="539"/>
      <c r="H782" s="539"/>
      <c r="I782" s="539"/>
      <c r="J782" s="539"/>
      <c r="K782" s="539"/>
      <c r="L782" s="539"/>
      <c r="M782" s="539"/>
      <c r="N782" s="539"/>
      <c r="O782" s="539"/>
      <c r="P782" s="539"/>
      <c r="Q782" s="539"/>
      <c r="R782" s="539"/>
      <c r="S782" s="539"/>
      <c r="T782" s="539"/>
      <c r="U782" s="539"/>
      <c r="V782" s="539"/>
      <c r="W782" s="539"/>
      <c r="X782" s="539"/>
      <c r="Y782" s="539"/>
      <c r="Z782" s="539"/>
      <c r="AA782" s="539"/>
      <c r="AB782" s="539"/>
      <c r="AC782" s="539"/>
      <c r="AD782" s="539"/>
      <c r="AE782" s="539"/>
      <c r="AF782" s="539"/>
      <c r="AG782" s="539"/>
      <c r="AH782" s="539"/>
      <c r="AI782" s="539"/>
      <c r="AJ782" s="539"/>
      <c r="AK782" s="539"/>
      <c r="AL782" s="539"/>
      <c r="AM782" s="539"/>
      <c r="AN782" s="539"/>
      <c r="AO782" s="539"/>
      <c r="AP782" s="539"/>
      <c r="AQ782" s="539"/>
      <c r="AR782" s="539"/>
      <c r="AS782" s="539"/>
      <c r="AT782" s="539"/>
      <c r="AU782" s="539"/>
      <c r="AV782" s="539"/>
      <c r="AW782" s="539"/>
      <c r="AX782" s="539"/>
    </row>
    <row r="783" spans="2:50" ht="14.25" customHeight="1" x14ac:dyDescent="0.3">
      <c r="B783" s="957"/>
      <c r="C783" s="540"/>
      <c r="D783" s="540"/>
      <c r="E783" s="540"/>
      <c r="F783" s="539"/>
      <c r="G783" s="539"/>
      <c r="H783" s="539"/>
      <c r="I783" s="539"/>
      <c r="J783" s="539"/>
      <c r="K783" s="539"/>
      <c r="L783" s="539"/>
      <c r="M783" s="539"/>
      <c r="N783" s="539"/>
      <c r="O783" s="539"/>
      <c r="P783" s="539"/>
      <c r="Q783" s="539"/>
      <c r="R783" s="539"/>
      <c r="S783" s="539"/>
      <c r="T783" s="539"/>
      <c r="U783" s="539"/>
      <c r="V783" s="539"/>
      <c r="W783" s="539"/>
      <c r="X783" s="539"/>
      <c r="Y783" s="539"/>
      <c r="Z783" s="539"/>
      <c r="AA783" s="539"/>
      <c r="AB783" s="539"/>
      <c r="AC783" s="539"/>
      <c r="AD783" s="539"/>
      <c r="AE783" s="539"/>
      <c r="AF783" s="539"/>
      <c r="AG783" s="539"/>
      <c r="AH783" s="539"/>
      <c r="AI783" s="539"/>
      <c r="AJ783" s="539"/>
      <c r="AK783" s="539"/>
      <c r="AL783" s="539"/>
      <c r="AM783" s="539"/>
      <c r="AN783" s="539"/>
      <c r="AO783" s="539"/>
      <c r="AP783" s="539"/>
      <c r="AQ783" s="539"/>
      <c r="AR783" s="539"/>
      <c r="AS783" s="539"/>
      <c r="AT783" s="539"/>
      <c r="AU783" s="539"/>
      <c r="AV783" s="539"/>
      <c r="AW783" s="539"/>
      <c r="AX783" s="539"/>
    </row>
    <row r="784" spans="2:50" ht="14.25" customHeight="1" x14ac:dyDescent="0.3">
      <c r="B784" s="957"/>
      <c r="C784" s="540"/>
      <c r="D784" s="540"/>
      <c r="E784" s="540"/>
      <c r="F784" s="539"/>
      <c r="G784" s="539"/>
      <c r="H784" s="539"/>
      <c r="I784" s="539"/>
      <c r="J784" s="539"/>
      <c r="K784" s="539"/>
      <c r="L784" s="539"/>
      <c r="M784" s="539"/>
      <c r="N784" s="539"/>
      <c r="O784" s="539"/>
      <c r="P784" s="539"/>
      <c r="Q784" s="539"/>
      <c r="R784" s="539"/>
      <c r="S784" s="539"/>
      <c r="T784" s="539"/>
      <c r="U784" s="539"/>
      <c r="V784" s="539"/>
      <c r="W784" s="539"/>
      <c r="X784" s="539"/>
      <c r="Y784" s="539"/>
      <c r="Z784" s="539"/>
      <c r="AA784" s="539"/>
      <c r="AB784" s="539"/>
      <c r="AC784" s="539"/>
      <c r="AD784" s="539"/>
      <c r="AE784" s="539"/>
      <c r="AF784" s="539"/>
      <c r="AG784" s="539"/>
      <c r="AH784" s="539"/>
      <c r="AI784" s="539"/>
      <c r="AJ784" s="539"/>
      <c r="AK784" s="539"/>
      <c r="AL784" s="539"/>
      <c r="AM784" s="539"/>
      <c r="AN784" s="539"/>
      <c r="AO784" s="539"/>
      <c r="AP784" s="539"/>
      <c r="AQ784" s="539"/>
      <c r="AR784" s="539"/>
      <c r="AS784" s="539"/>
      <c r="AT784" s="539"/>
      <c r="AU784" s="539"/>
      <c r="AV784" s="539"/>
      <c r="AW784" s="539"/>
      <c r="AX784" s="539"/>
    </row>
    <row r="785" spans="2:50" ht="14.25" customHeight="1" x14ac:dyDescent="0.3">
      <c r="B785" s="957"/>
      <c r="C785" s="540"/>
      <c r="D785" s="540"/>
      <c r="E785" s="540"/>
      <c r="F785" s="539"/>
      <c r="G785" s="539"/>
      <c r="H785" s="539"/>
      <c r="I785" s="539"/>
      <c r="J785" s="539"/>
      <c r="K785" s="539"/>
      <c r="L785" s="539"/>
      <c r="M785" s="539"/>
      <c r="N785" s="539"/>
      <c r="O785" s="539"/>
      <c r="P785" s="539"/>
      <c r="Q785" s="539"/>
      <c r="R785" s="539"/>
      <c r="S785" s="539"/>
      <c r="T785" s="539"/>
      <c r="U785" s="539"/>
      <c r="V785" s="539"/>
      <c r="W785" s="539"/>
      <c r="X785" s="539"/>
      <c r="Y785" s="539"/>
      <c r="Z785" s="539"/>
      <c r="AA785" s="539"/>
      <c r="AB785" s="539"/>
      <c r="AC785" s="539"/>
      <c r="AD785" s="539"/>
      <c r="AE785" s="539"/>
      <c r="AF785" s="539"/>
      <c r="AG785" s="539"/>
      <c r="AH785" s="539"/>
      <c r="AI785" s="539"/>
      <c r="AJ785" s="539"/>
      <c r="AK785" s="539"/>
      <c r="AL785" s="539"/>
      <c r="AM785" s="539"/>
      <c r="AN785" s="539"/>
      <c r="AO785" s="539"/>
      <c r="AP785" s="539"/>
      <c r="AQ785" s="539"/>
      <c r="AR785" s="539"/>
      <c r="AS785" s="539"/>
      <c r="AT785" s="539"/>
      <c r="AU785" s="539"/>
      <c r="AV785" s="539"/>
      <c r="AW785" s="539"/>
      <c r="AX785" s="539"/>
    </row>
    <row r="786" spans="2:50" ht="14.25" customHeight="1" x14ac:dyDescent="0.3">
      <c r="B786" s="957"/>
      <c r="C786" s="540"/>
      <c r="D786" s="540"/>
      <c r="E786" s="540"/>
      <c r="F786" s="539"/>
      <c r="G786" s="539"/>
      <c r="H786" s="539"/>
      <c r="I786" s="539"/>
      <c r="J786" s="539"/>
      <c r="K786" s="539"/>
      <c r="L786" s="539"/>
      <c r="M786" s="539"/>
      <c r="N786" s="539"/>
      <c r="O786" s="539"/>
      <c r="P786" s="539"/>
      <c r="Q786" s="539"/>
      <c r="R786" s="539"/>
      <c r="S786" s="539"/>
      <c r="T786" s="539"/>
      <c r="U786" s="539"/>
      <c r="V786" s="539"/>
      <c r="W786" s="539"/>
      <c r="X786" s="539"/>
      <c r="Y786" s="539"/>
      <c r="Z786" s="539"/>
      <c r="AA786" s="539"/>
      <c r="AB786" s="539"/>
      <c r="AC786" s="539"/>
      <c r="AD786" s="539"/>
      <c r="AE786" s="539"/>
      <c r="AF786" s="539"/>
      <c r="AG786" s="539"/>
      <c r="AH786" s="539"/>
      <c r="AI786" s="539"/>
      <c r="AJ786" s="539"/>
      <c r="AK786" s="539"/>
      <c r="AL786" s="539"/>
      <c r="AM786" s="539"/>
      <c r="AN786" s="539"/>
      <c r="AO786" s="539"/>
      <c r="AP786" s="539"/>
      <c r="AQ786" s="539"/>
      <c r="AR786" s="539"/>
      <c r="AS786" s="539"/>
      <c r="AT786" s="539"/>
      <c r="AU786" s="539"/>
      <c r="AV786" s="539"/>
      <c r="AW786" s="539"/>
      <c r="AX786" s="539"/>
    </row>
    <row r="787" spans="2:50" ht="14.25" customHeight="1" x14ac:dyDescent="0.3">
      <c r="B787" s="957"/>
      <c r="C787" s="540"/>
      <c r="D787" s="540"/>
      <c r="E787" s="540"/>
      <c r="F787" s="539"/>
      <c r="G787" s="539"/>
      <c r="H787" s="539"/>
      <c r="I787" s="539"/>
      <c r="J787" s="539"/>
      <c r="K787" s="539"/>
      <c r="L787" s="539"/>
      <c r="M787" s="539"/>
      <c r="N787" s="539"/>
      <c r="O787" s="539"/>
      <c r="P787" s="539"/>
      <c r="Q787" s="539"/>
      <c r="R787" s="539"/>
      <c r="S787" s="539"/>
      <c r="T787" s="539"/>
      <c r="U787" s="539"/>
      <c r="V787" s="539"/>
      <c r="W787" s="539"/>
      <c r="X787" s="539"/>
      <c r="Y787" s="539"/>
      <c r="Z787" s="539"/>
      <c r="AA787" s="539"/>
      <c r="AB787" s="539"/>
      <c r="AC787" s="539"/>
      <c r="AD787" s="539"/>
      <c r="AE787" s="539"/>
      <c r="AF787" s="539"/>
      <c r="AG787" s="539"/>
      <c r="AH787" s="539"/>
      <c r="AI787" s="539"/>
      <c r="AJ787" s="539"/>
      <c r="AK787" s="539"/>
      <c r="AL787" s="539"/>
      <c r="AM787" s="539"/>
      <c r="AN787" s="539"/>
      <c r="AO787" s="539"/>
      <c r="AP787" s="539"/>
      <c r="AQ787" s="539"/>
      <c r="AR787" s="539"/>
      <c r="AS787" s="539"/>
      <c r="AT787" s="539"/>
      <c r="AU787" s="539"/>
      <c r="AV787" s="539"/>
      <c r="AW787" s="539"/>
      <c r="AX787" s="539"/>
    </row>
    <row r="788" spans="2:50" ht="14.25" customHeight="1" x14ac:dyDescent="0.3">
      <c r="B788" s="957"/>
      <c r="C788" s="540"/>
      <c r="D788" s="540"/>
      <c r="E788" s="540"/>
      <c r="F788" s="539"/>
      <c r="G788" s="539"/>
      <c r="H788" s="539"/>
      <c r="I788" s="539"/>
      <c r="J788" s="539"/>
      <c r="K788" s="539"/>
      <c r="L788" s="539"/>
      <c r="M788" s="539"/>
      <c r="N788" s="539"/>
      <c r="O788" s="539"/>
      <c r="P788" s="539"/>
      <c r="Q788" s="539"/>
      <c r="R788" s="539"/>
      <c r="S788" s="539"/>
      <c r="T788" s="539"/>
      <c r="U788" s="539"/>
      <c r="V788" s="539"/>
      <c r="W788" s="539"/>
      <c r="X788" s="539"/>
      <c r="Y788" s="539"/>
      <c r="Z788" s="539"/>
      <c r="AA788" s="539"/>
      <c r="AB788" s="539"/>
      <c r="AC788" s="539"/>
      <c r="AD788" s="539"/>
      <c r="AE788" s="539"/>
      <c r="AF788" s="539"/>
      <c r="AG788" s="539"/>
      <c r="AH788" s="539"/>
      <c r="AI788" s="539"/>
      <c r="AJ788" s="539"/>
      <c r="AK788" s="539"/>
      <c r="AL788" s="539"/>
      <c r="AM788" s="539"/>
      <c r="AN788" s="539"/>
      <c r="AO788" s="539"/>
      <c r="AP788" s="539"/>
      <c r="AQ788" s="539"/>
      <c r="AR788" s="539"/>
      <c r="AS788" s="539"/>
      <c r="AT788" s="539"/>
      <c r="AU788" s="539"/>
      <c r="AV788" s="539"/>
      <c r="AW788" s="539"/>
      <c r="AX788" s="539"/>
    </row>
    <row r="789" spans="2:50" ht="14.25" customHeight="1" x14ac:dyDescent="0.3">
      <c r="B789" s="957"/>
      <c r="C789" s="540"/>
      <c r="D789" s="540"/>
      <c r="E789" s="540"/>
      <c r="F789" s="539"/>
      <c r="G789" s="539"/>
      <c r="H789" s="539"/>
      <c r="I789" s="539"/>
      <c r="J789" s="539"/>
      <c r="K789" s="539"/>
      <c r="L789" s="539"/>
      <c r="M789" s="539"/>
      <c r="N789" s="539"/>
      <c r="O789" s="539"/>
      <c r="P789" s="539"/>
      <c r="Q789" s="539"/>
      <c r="R789" s="539"/>
      <c r="S789" s="539"/>
      <c r="T789" s="539"/>
      <c r="U789" s="539"/>
      <c r="V789" s="539"/>
      <c r="W789" s="539"/>
      <c r="X789" s="539"/>
      <c r="Y789" s="539"/>
      <c r="Z789" s="539"/>
      <c r="AA789" s="539"/>
      <c r="AB789" s="539"/>
      <c r="AC789" s="539"/>
      <c r="AD789" s="539"/>
      <c r="AE789" s="539"/>
      <c r="AF789" s="539"/>
      <c r="AG789" s="539"/>
      <c r="AH789" s="539"/>
      <c r="AI789" s="539"/>
      <c r="AJ789" s="539"/>
      <c r="AK789" s="539"/>
      <c r="AL789" s="539"/>
      <c r="AM789" s="539"/>
      <c r="AN789" s="539"/>
      <c r="AO789" s="539"/>
      <c r="AP789" s="539"/>
      <c r="AQ789" s="539"/>
      <c r="AR789" s="539"/>
      <c r="AS789" s="539"/>
      <c r="AT789" s="539"/>
      <c r="AU789" s="539"/>
      <c r="AV789" s="539"/>
      <c r="AW789" s="539"/>
      <c r="AX789" s="539"/>
    </row>
    <row r="790" spans="2:50" ht="14.25" customHeight="1" x14ac:dyDescent="0.3">
      <c r="B790" s="957"/>
      <c r="C790" s="540"/>
      <c r="D790" s="540"/>
      <c r="E790" s="540"/>
      <c r="F790" s="539"/>
      <c r="G790" s="539"/>
      <c r="H790" s="539"/>
      <c r="I790" s="539"/>
      <c r="J790" s="539"/>
      <c r="K790" s="539"/>
      <c r="L790" s="539"/>
      <c r="M790" s="539"/>
      <c r="N790" s="539"/>
      <c r="O790" s="539"/>
      <c r="P790" s="539"/>
      <c r="Q790" s="539"/>
      <c r="R790" s="539"/>
      <c r="S790" s="539"/>
      <c r="T790" s="539"/>
      <c r="U790" s="539"/>
      <c r="V790" s="539"/>
      <c r="W790" s="539"/>
      <c r="X790" s="539"/>
      <c r="Y790" s="539"/>
      <c r="Z790" s="539"/>
      <c r="AA790" s="539"/>
      <c r="AB790" s="539"/>
      <c r="AC790" s="539"/>
      <c r="AD790" s="539"/>
      <c r="AE790" s="539"/>
      <c r="AF790" s="539"/>
      <c r="AG790" s="539"/>
      <c r="AH790" s="539"/>
      <c r="AI790" s="539"/>
      <c r="AJ790" s="539"/>
      <c r="AK790" s="539"/>
      <c r="AL790" s="539"/>
      <c r="AM790" s="539"/>
      <c r="AN790" s="539"/>
      <c r="AO790" s="539"/>
      <c r="AP790" s="539"/>
      <c r="AQ790" s="539"/>
      <c r="AR790" s="539"/>
      <c r="AS790" s="539"/>
      <c r="AT790" s="539"/>
      <c r="AU790" s="539"/>
      <c r="AV790" s="539"/>
      <c r="AW790" s="539"/>
      <c r="AX790" s="539"/>
    </row>
    <row r="791" spans="2:50" ht="14.25" customHeight="1" x14ac:dyDescent="0.3">
      <c r="B791" s="957"/>
      <c r="C791" s="540"/>
      <c r="D791" s="540"/>
      <c r="E791" s="540"/>
      <c r="F791" s="539"/>
      <c r="G791" s="539"/>
      <c r="H791" s="539"/>
      <c r="I791" s="539"/>
      <c r="J791" s="539"/>
      <c r="K791" s="539"/>
      <c r="L791" s="539"/>
      <c r="M791" s="539"/>
      <c r="N791" s="539"/>
      <c r="O791" s="539"/>
      <c r="P791" s="539"/>
      <c r="Q791" s="539"/>
      <c r="R791" s="539"/>
      <c r="S791" s="539"/>
      <c r="T791" s="539"/>
      <c r="U791" s="539"/>
      <c r="V791" s="539"/>
      <c r="W791" s="539"/>
      <c r="X791" s="539"/>
      <c r="Y791" s="539"/>
      <c r="Z791" s="539"/>
      <c r="AA791" s="539"/>
      <c r="AB791" s="539"/>
      <c r="AC791" s="539"/>
      <c r="AD791" s="539"/>
      <c r="AE791" s="539"/>
      <c r="AF791" s="539"/>
      <c r="AG791" s="539"/>
      <c r="AH791" s="539"/>
      <c r="AI791" s="539"/>
      <c r="AJ791" s="539"/>
      <c r="AK791" s="539"/>
      <c r="AL791" s="539"/>
      <c r="AM791" s="539"/>
      <c r="AN791" s="539"/>
      <c r="AO791" s="539"/>
      <c r="AP791" s="539"/>
      <c r="AQ791" s="539"/>
      <c r="AR791" s="539"/>
      <c r="AS791" s="539"/>
      <c r="AT791" s="539"/>
      <c r="AU791" s="539"/>
      <c r="AV791" s="539"/>
      <c r="AW791" s="539"/>
      <c r="AX791" s="539"/>
    </row>
    <row r="792" spans="2:50" ht="14.25" customHeight="1" x14ac:dyDescent="0.3">
      <c r="B792" s="957"/>
      <c r="C792" s="540"/>
      <c r="D792" s="540"/>
      <c r="E792" s="540"/>
      <c r="F792" s="539"/>
      <c r="G792" s="539"/>
      <c r="H792" s="539"/>
      <c r="I792" s="539"/>
      <c r="J792" s="539"/>
      <c r="K792" s="539"/>
      <c r="L792" s="539"/>
      <c r="M792" s="539"/>
      <c r="N792" s="539"/>
      <c r="O792" s="539"/>
      <c r="P792" s="539"/>
      <c r="Q792" s="539"/>
      <c r="R792" s="539"/>
      <c r="S792" s="539"/>
      <c r="T792" s="539"/>
      <c r="U792" s="539"/>
      <c r="V792" s="539"/>
      <c r="W792" s="539"/>
      <c r="X792" s="539"/>
      <c r="Y792" s="539"/>
      <c r="Z792" s="539"/>
      <c r="AA792" s="539"/>
      <c r="AB792" s="539"/>
      <c r="AC792" s="539"/>
      <c r="AD792" s="539"/>
      <c r="AE792" s="539"/>
      <c r="AF792" s="539"/>
      <c r="AG792" s="539"/>
      <c r="AH792" s="539"/>
      <c r="AI792" s="539"/>
      <c r="AJ792" s="539"/>
      <c r="AK792" s="539"/>
      <c r="AL792" s="539"/>
      <c r="AM792" s="539"/>
      <c r="AN792" s="539"/>
      <c r="AO792" s="539"/>
      <c r="AP792" s="539"/>
      <c r="AQ792" s="539"/>
      <c r="AR792" s="539"/>
      <c r="AS792" s="539"/>
      <c r="AT792" s="539"/>
      <c r="AU792" s="539"/>
      <c r="AV792" s="539"/>
      <c r="AW792" s="539"/>
      <c r="AX792" s="539"/>
    </row>
    <row r="793" spans="2:50" ht="14.25" customHeight="1" x14ac:dyDescent="0.3">
      <c r="B793" s="957"/>
      <c r="C793" s="540"/>
      <c r="D793" s="540"/>
      <c r="E793" s="540"/>
      <c r="F793" s="539"/>
      <c r="G793" s="539"/>
      <c r="H793" s="539"/>
      <c r="I793" s="539"/>
      <c r="J793" s="539"/>
      <c r="K793" s="539"/>
      <c r="L793" s="539"/>
      <c r="M793" s="539"/>
      <c r="N793" s="539"/>
      <c r="O793" s="539"/>
      <c r="P793" s="539"/>
      <c r="Q793" s="539"/>
      <c r="R793" s="539"/>
      <c r="S793" s="539"/>
      <c r="T793" s="539"/>
      <c r="U793" s="539"/>
      <c r="V793" s="539"/>
      <c r="W793" s="539"/>
      <c r="X793" s="539"/>
      <c r="Y793" s="539"/>
      <c r="Z793" s="539"/>
      <c r="AA793" s="539"/>
      <c r="AB793" s="539"/>
      <c r="AC793" s="539"/>
      <c r="AD793" s="539"/>
      <c r="AE793" s="539"/>
      <c r="AF793" s="539"/>
      <c r="AG793" s="539"/>
      <c r="AH793" s="539"/>
      <c r="AI793" s="539"/>
      <c r="AJ793" s="539"/>
      <c r="AK793" s="539"/>
      <c r="AL793" s="539"/>
      <c r="AM793" s="539"/>
      <c r="AN793" s="539"/>
      <c r="AO793" s="539"/>
      <c r="AP793" s="539"/>
      <c r="AQ793" s="539"/>
      <c r="AR793" s="539"/>
      <c r="AS793" s="539"/>
      <c r="AT793" s="539"/>
      <c r="AU793" s="539"/>
      <c r="AV793" s="539"/>
      <c r="AW793" s="539"/>
      <c r="AX793" s="539"/>
    </row>
    <row r="794" spans="2:50" ht="14.25" customHeight="1" x14ac:dyDescent="0.3">
      <c r="B794" s="957"/>
      <c r="C794" s="540"/>
      <c r="D794" s="540"/>
      <c r="E794" s="540"/>
      <c r="F794" s="539"/>
      <c r="G794" s="539"/>
      <c r="H794" s="539"/>
      <c r="I794" s="539"/>
      <c r="J794" s="539"/>
      <c r="K794" s="539"/>
      <c r="L794" s="539"/>
      <c r="M794" s="539"/>
      <c r="N794" s="539"/>
      <c r="O794" s="539"/>
      <c r="P794" s="539"/>
      <c r="Q794" s="539"/>
      <c r="R794" s="539"/>
      <c r="S794" s="539"/>
      <c r="T794" s="539"/>
      <c r="U794" s="539"/>
      <c r="V794" s="539"/>
      <c r="W794" s="539"/>
      <c r="X794" s="539"/>
      <c r="Y794" s="539"/>
      <c r="Z794" s="539"/>
      <c r="AA794" s="539"/>
      <c r="AB794" s="539"/>
      <c r="AC794" s="539"/>
      <c r="AD794" s="539"/>
      <c r="AE794" s="539"/>
      <c r="AF794" s="539"/>
      <c r="AG794" s="539"/>
      <c r="AH794" s="539"/>
      <c r="AI794" s="539"/>
      <c r="AJ794" s="539"/>
      <c r="AK794" s="539"/>
      <c r="AL794" s="539"/>
      <c r="AM794" s="539"/>
      <c r="AN794" s="539"/>
      <c r="AO794" s="539"/>
      <c r="AP794" s="539"/>
      <c r="AQ794" s="539"/>
      <c r="AR794" s="539"/>
      <c r="AS794" s="539"/>
      <c r="AT794" s="539"/>
      <c r="AU794" s="539"/>
      <c r="AV794" s="539"/>
      <c r="AW794" s="539"/>
      <c r="AX794" s="539"/>
    </row>
    <row r="795" spans="2:50" ht="14.25" customHeight="1" x14ac:dyDescent="0.3">
      <c r="B795" s="957"/>
      <c r="C795" s="540"/>
      <c r="D795" s="540"/>
      <c r="E795" s="540"/>
      <c r="F795" s="539"/>
      <c r="G795" s="539"/>
      <c r="H795" s="539"/>
      <c r="I795" s="539"/>
      <c r="J795" s="539"/>
      <c r="K795" s="539"/>
      <c r="L795" s="539"/>
      <c r="M795" s="539"/>
      <c r="N795" s="539"/>
      <c r="O795" s="539"/>
      <c r="P795" s="539"/>
      <c r="Q795" s="539"/>
      <c r="R795" s="539"/>
      <c r="S795" s="539"/>
      <c r="T795" s="539"/>
      <c r="U795" s="539"/>
      <c r="V795" s="539"/>
      <c r="W795" s="539"/>
      <c r="X795" s="539"/>
      <c r="Y795" s="539"/>
      <c r="Z795" s="539"/>
      <c r="AA795" s="539"/>
      <c r="AB795" s="539"/>
      <c r="AC795" s="539"/>
      <c r="AD795" s="539"/>
      <c r="AE795" s="539"/>
      <c r="AF795" s="539"/>
      <c r="AG795" s="539"/>
      <c r="AH795" s="539"/>
      <c r="AI795" s="539"/>
      <c r="AJ795" s="539"/>
      <c r="AK795" s="539"/>
      <c r="AL795" s="539"/>
      <c r="AM795" s="539"/>
      <c r="AN795" s="539"/>
      <c r="AO795" s="539"/>
      <c r="AP795" s="539"/>
      <c r="AQ795" s="539"/>
      <c r="AR795" s="539"/>
      <c r="AS795" s="539"/>
      <c r="AT795" s="539"/>
      <c r="AU795" s="539"/>
      <c r="AV795" s="539"/>
      <c r="AW795" s="539"/>
      <c r="AX795" s="539"/>
    </row>
    <row r="796" spans="2:50" ht="14.25" customHeight="1" x14ac:dyDescent="0.3">
      <c r="B796" s="957"/>
      <c r="C796" s="540"/>
      <c r="D796" s="540"/>
      <c r="E796" s="540"/>
      <c r="F796" s="539"/>
      <c r="G796" s="539"/>
      <c r="H796" s="539"/>
      <c r="I796" s="539"/>
      <c r="J796" s="539"/>
      <c r="K796" s="539"/>
      <c r="L796" s="539"/>
      <c r="M796" s="539"/>
      <c r="N796" s="539"/>
      <c r="O796" s="539"/>
      <c r="P796" s="539"/>
      <c r="Q796" s="539"/>
      <c r="R796" s="539"/>
      <c r="S796" s="539"/>
      <c r="T796" s="539"/>
      <c r="U796" s="539"/>
      <c r="V796" s="539"/>
      <c r="W796" s="539"/>
      <c r="X796" s="539"/>
      <c r="Y796" s="539"/>
      <c r="Z796" s="539"/>
      <c r="AA796" s="539"/>
      <c r="AB796" s="539"/>
      <c r="AC796" s="539"/>
      <c r="AD796" s="539"/>
      <c r="AE796" s="539"/>
      <c r="AF796" s="539"/>
      <c r="AG796" s="539"/>
      <c r="AH796" s="539"/>
      <c r="AI796" s="539"/>
      <c r="AJ796" s="539"/>
      <c r="AK796" s="539"/>
      <c r="AL796" s="539"/>
      <c r="AM796" s="539"/>
      <c r="AN796" s="539"/>
      <c r="AO796" s="539"/>
      <c r="AP796" s="539"/>
      <c r="AQ796" s="539"/>
      <c r="AR796" s="539"/>
      <c r="AS796" s="539"/>
      <c r="AT796" s="539"/>
      <c r="AU796" s="539"/>
      <c r="AV796" s="539"/>
      <c r="AW796" s="539"/>
      <c r="AX796" s="539"/>
    </row>
    <row r="797" spans="2:50" ht="14.25" customHeight="1" x14ac:dyDescent="0.3">
      <c r="B797" s="957"/>
      <c r="C797" s="540"/>
      <c r="D797" s="540"/>
      <c r="E797" s="540"/>
      <c r="F797" s="539"/>
      <c r="G797" s="539"/>
      <c r="H797" s="539"/>
      <c r="I797" s="539"/>
      <c r="J797" s="539"/>
      <c r="K797" s="539"/>
      <c r="L797" s="539"/>
      <c r="M797" s="539"/>
      <c r="N797" s="539"/>
      <c r="O797" s="539"/>
      <c r="P797" s="539"/>
      <c r="Q797" s="539"/>
      <c r="R797" s="539"/>
      <c r="S797" s="539"/>
      <c r="T797" s="539"/>
      <c r="U797" s="539"/>
      <c r="V797" s="539"/>
      <c r="W797" s="539"/>
      <c r="X797" s="539"/>
      <c r="Y797" s="539"/>
      <c r="Z797" s="539"/>
      <c r="AA797" s="539"/>
      <c r="AB797" s="539"/>
      <c r="AC797" s="539"/>
      <c r="AD797" s="539"/>
      <c r="AE797" s="539"/>
      <c r="AF797" s="539"/>
      <c r="AG797" s="539"/>
      <c r="AH797" s="539"/>
      <c r="AI797" s="539"/>
      <c r="AJ797" s="539"/>
      <c r="AK797" s="539"/>
      <c r="AL797" s="539"/>
      <c r="AM797" s="539"/>
      <c r="AN797" s="539"/>
      <c r="AO797" s="539"/>
      <c r="AP797" s="539"/>
      <c r="AQ797" s="539"/>
      <c r="AR797" s="539"/>
      <c r="AS797" s="539"/>
      <c r="AT797" s="539"/>
      <c r="AU797" s="539"/>
      <c r="AV797" s="539"/>
      <c r="AW797" s="539"/>
      <c r="AX797" s="539"/>
    </row>
    <row r="798" spans="2:50" ht="14.25" customHeight="1" x14ac:dyDescent="0.3">
      <c r="B798" s="957"/>
      <c r="C798" s="540"/>
      <c r="D798" s="540"/>
      <c r="E798" s="540"/>
      <c r="F798" s="539"/>
      <c r="G798" s="539"/>
      <c r="H798" s="539"/>
      <c r="I798" s="539"/>
      <c r="J798" s="539"/>
      <c r="K798" s="539"/>
      <c r="L798" s="539"/>
      <c r="M798" s="539"/>
      <c r="N798" s="539"/>
      <c r="O798" s="539"/>
      <c r="P798" s="539"/>
      <c r="Q798" s="539"/>
      <c r="R798" s="539"/>
      <c r="S798" s="539"/>
      <c r="T798" s="539"/>
      <c r="U798" s="539"/>
      <c r="V798" s="539"/>
      <c r="W798" s="539"/>
      <c r="X798" s="539"/>
      <c r="Y798" s="539"/>
      <c r="Z798" s="539"/>
      <c r="AA798" s="539"/>
      <c r="AB798" s="539"/>
      <c r="AC798" s="539"/>
      <c r="AD798" s="539"/>
      <c r="AE798" s="539"/>
      <c r="AF798" s="539"/>
      <c r="AG798" s="539"/>
      <c r="AH798" s="539"/>
      <c r="AI798" s="539"/>
      <c r="AJ798" s="539"/>
      <c r="AK798" s="539"/>
      <c r="AL798" s="539"/>
      <c r="AM798" s="539"/>
      <c r="AN798" s="539"/>
      <c r="AO798" s="539"/>
      <c r="AP798" s="539"/>
      <c r="AQ798" s="539"/>
      <c r="AR798" s="539"/>
      <c r="AS798" s="539"/>
      <c r="AT798" s="539"/>
      <c r="AU798" s="539"/>
      <c r="AV798" s="539"/>
      <c r="AW798" s="539"/>
      <c r="AX798" s="539"/>
    </row>
    <row r="799" spans="2:50" ht="14.25" customHeight="1" x14ac:dyDescent="0.3">
      <c r="B799" s="957"/>
      <c r="C799" s="540"/>
      <c r="D799" s="540"/>
      <c r="E799" s="540"/>
      <c r="F799" s="539"/>
      <c r="G799" s="539"/>
      <c r="H799" s="539"/>
      <c r="I799" s="539"/>
      <c r="J799" s="539"/>
      <c r="K799" s="539"/>
      <c r="L799" s="539"/>
      <c r="M799" s="539"/>
      <c r="N799" s="539"/>
      <c r="O799" s="539"/>
      <c r="P799" s="539"/>
      <c r="Q799" s="539"/>
      <c r="R799" s="539"/>
      <c r="S799" s="539"/>
      <c r="T799" s="539"/>
      <c r="U799" s="539"/>
      <c r="V799" s="539"/>
      <c r="W799" s="539"/>
      <c r="X799" s="539"/>
      <c r="Y799" s="539"/>
      <c r="Z799" s="539"/>
      <c r="AA799" s="539"/>
      <c r="AB799" s="539"/>
      <c r="AC799" s="539"/>
      <c r="AD799" s="539"/>
      <c r="AE799" s="539"/>
      <c r="AF799" s="539"/>
      <c r="AG799" s="539"/>
      <c r="AH799" s="539"/>
      <c r="AI799" s="539"/>
      <c r="AJ799" s="539"/>
      <c r="AK799" s="539"/>
      <c r="AL799" s="539"/>
      <c r="AM799" s="539"/>
      <c r="AN799" s="539"/>
      <c r="AO799" s="539"/>
      <c r="AP799" s="539"/>
      <c r="AQ799" s="539"/>
      <c r="AR799" s="539"/>
      <c r="AS799" s="539"/>
      <c r="AT799" s="539"/>
      <c r="AU799" s="539"/>
      <c r="AV799" s="539"/>
      <c r="AW799" s="539"/>
      <c r="AX799" s="539"/>
    </row>
    <row r="800" spans="2:50" ht="14.25" customHeight="1" x14ac:dyDescent="0.3">
      <c r="B800" s="957"/>
      <c r="C800" s="540"/>
      <c r="D800" s="540"/>
      <c r="E800" s="540"/>
      <c r="F800" s="539"/>
      <c r="G800" s="539"/>
      <c r="H800" s="539"/>
      <c r="I800" s="539"/>
      <c r="J800" s="539"/>
      <c r="K800" s="539"/>
      <c r="L800" s="539"/>
      <c r="M800" s="539"/>
      <c r="N800" s="539"/>
      <c r="O800" s="539"/>
      <c r="P800" s="539"/>
      <c r="Q800" s="539"/>
      <c r="R800" s="539"/>
      <c r="S800" s="539"/>
      <c r="T800" s="539"/>
      <c r="U800" s="539"/>
      <c r="V800" s="539"/>
      <c r="W800" s="539"/>
      <c r="X800" s="539"/>
      <c r="Y800" s="539"/>
      <c r="Z800" s="539"/>
      <c r="AA800" s="539"/>
      <c r="AB800" s="539"/>
      <c r="AC800" s="539"/>
      <c r="AD800" s="539"/>
      <c r="AE800" s="539"/>
      <c r="AF800" s="539"/>
      <c r="AG800" s="539"/>
      <c r="AH800" s="539"/>
      <c r="AI800" s="539"/>
      <c r="AJ800" s="539"/>
      <c r="AK800" s="539"/>
      <c r="AL800" s="539"/>
      <c r="AM800" s="539"/>
      <c r="AN800" s="539"/>
      <c r="AO800" s="539"/>
      <c r="AP800" s="539"/>
      <c r="AQ800" s="539"/>
      <c r="AR800" s="539"/>
      <c r="AS800" s="539"/>
      <c r="AT800" s="539"/>
      <c r="AU800" s="539"/>
      <c r="AV800" s="539"/>
      <c r="AW800" s="539"/>
      <c r="AX800" s="539"/>
    </row>
    <row r="801" spans="2:50" ht="14.25" customHeight="1" x14ac:dyDescent="0.3">
      <c r="B801" s="957"/>
      <c r="C801" s="540"/>
      <c r="D801" s="540"/>
      <c r="E801" s="540"/>
      <c r="F801" s="539"/>
      <c r="G801" s="539"/>
      <c r="H801" s="539"/>
      <c r="I801" s="539"/>
      <c r="J801" s="539"/>
      <c r="K801" s="539"/>
      <c r="L801" s="539"/>
      <c r="M801" s="539"/>
      <c r="N801" s="539"/>
      <c r="O801" s="539"/>
      <c r="P801" s="539"/>
      <c r="Q801" s="539"/>
      <c r="R801" s="539"/>
      <c r="S801" s="539"/>
      <c r="T801" s="539"/>
      <c r="U801" s="539"/>
      <c r="V801" s="539"/>
      <c r="W801" s="539"/>
      <c r="X801" s="539"/>
      <c r="Y801" s="539"/>
      <c r="Z801" s="539"/>
      <c r="AA801" s="539"/>
      <c r="AB801" s="539"/>
      <c r="AC801" s="539"/>
      <c r="AD801" s="539"/>
      <c r="AE801" s="539"/>
      <c r="AF801" s="539"/>
      <c r="AG801" s="539"/>
      <c r="AH801" s="539"/>
      <c r="AI801" s="539"/>
      <c r="AJ801" s="539"/>
      <c r="AK801" s="539"/>
      <c r="AL801" s="539"/>
      <c r="AM801" s="539"/>
      <c r="AN801" s="539"/>
      <c r="AO801" s="539"/>
      <c r="AP801" s="539"/>
      <c r="AQ801" s="539"/>
      <c r="AR801" s="539"/>
      <c r="AS801" s="539"/>
      <c r="AT801" s="539"/>
      <c r="AU801" s="539"/>
      <c r="AV801" s="539"/>
      <c r="AW801" s="539"/>
      <c r="AX801" s="539"/>
    </row>
    <row r="802" spans="2:50" ht="14.25" customHeight="1" x14ac:dyDescent="0.3">
      <c r="B802" s="957"/>
      <c r="C802" s="540"/>
      <c r="D802" s="540"/>
      <c r="E802" s="540"/>
      <c r="F802" s="539"/>
      <c r="G802" s="539"/>
      <c r="H802" s="539"/>
      <c r="I802" s="539"/>
      <c r="J802" s="539"/>
      <c r="K802" s="539"/>
      <c r="L802" s="539"/>
      <c r="M802" s="539"/>
      <c r="N802" s="539"/>
      <c r="O802" s="539"/>
      <c r="P802" s="539"/>
      <c r="Q802" s="539"/>
      <c r="R802" s="539"/>
      <c r="S802" s="539"/>
      <c r="T802" s="539"/>
      <c r="U802" s="539"/>
      <c r="V802" s="539"/>
      <c r="W802" s="539"/>
      <c r="X802" s="539"/>
      <c r="Y802" s="539"/>
      <c r="Z802" s="539"/>
      <c r="AA802" s="539"/>
      <c r="AB802" s="539"/>
      <c r="AC802" s="539"/>
      <c r="AD802" s="539"/>
      <c r="AE802" s="539"/>
      <c r="AF802" s="539"/>
      <c r="AG802" s="539"/>
      <c r="AH802" s="539"/>
      <c r="AI802" s="539"/>
      <c r="AJ802" s="539"/>
      <c r="AK802" s="539"/>
      <c r="AL802" s="539"/>
      <c r="AM802" s="539"/>
      <c r="AN802" s="539"/>
      <c r="AO802" s="539"/>
      <c r="AP802" s="539"/>
      <c r="AQ802" s="539"/>
      <c r="AR802" s="539"/>
      <c r="AS802" s="539"/>
      <c r="AT802" s="539"/>
      <c r="AU802" s="539"/>
      <c r="AV802" s="539"/>
      <c r="AW802" s="539"/>
      <c r="AX802" s="539"/>
    </row>
    <row r="803" spans="2:50" ht="14.25" customHeight="1" x14ac:dyDescent="0.3">
      <c r="B803" s="957"/>
      <c r="C803" s="540"/>
      <c r="D803" s="540"/>
      <c r="E803" s="540"/>
      <c r="F803" s="539"/>
      <c r="G803" s="539"/>
      <c r="H803" s="539"/>
      <c r="I803" s="539"/>
      <c r="J803" s="539"/>
      <c r="K803" s="539"/>
      <c r="L803" s="539"/>
      <c r="M803" s="539"/>
      <c r="N803" s="539"/>
      <c r="O803" s="539"/>
      <c r="P803" s="539"/>
      <c r="Q803" s="539"/>
      <c r="R803" s="539"/>
      <c r="S803" s="539"/>
      <c r="T803" s="539"/>
      <c r="U803" s="539"/>
      <c r="V803" s="539"/>
      <c r="W803" s="539"/>
      <c r="X803" s="539"/>
      <c r="Y803" s="539"/>
      <c r="Z803" s="539"/>
      <c r="AA803" s="539"/>
      <c r="AB803" s="539"/>
      <c r="AC803" s="539"/>
      <c r="AD803" s="539"/>
      <c r="AE803" s="539"/>
      <c r="AF803" s="539"/>
      <c r="AG803" s="539"/>
      <c r="AH803" s="539"/>
      <c r="AI803" s="539"/>
      <c r="AJ803" s="539"/>
      <c r="AK803" s="539"/>
      <c r="AL803" s="539"/>
      <c r="AM803" s="539"/>
      <c r="AN803" s="539"/>
      <c r="AO803" s="539"/>
      <c r="AP803" s="539"/>
      <c r="AQ803" s="539"/>
      <c r="AR803" s="539"/>
      <c r="AS803" s="539"/>
      <c r="AT803" s="539"/>
      <c r="AU803" s="539"/>
      <c r="AV803" s="539"/>
      <c r="AW803" s="539"/>
      <c r="AX803" s="539"/>
    </row>
    <row r="804" spans="2:50" ht="14.25" customHeight="1" x14ac:dyDescent="0.3">
      <c r="B804" s="957"/>
      <c r="C804" s="540"/>
      <c r="D804" s="540"/>
      <c r="E804" s="540"/>
      <c r="F804" s="539"/>
      <c r="G804" s="539"/>
      <c r="H804" s="539"/>
      <c r="I804" s="539"/>
      <c r="J804" s="539"/>
      <c r="K804" s="539"/>
      <c r="L804" s="539"/>
      <c r="M804" s="539"/>
      <c r="N804" s="539"/>
      <c r="O804" s="539"/>
      <c r="P804" s="539"/>
      <c r="Q804" s="539"/>
      <c r="R804" s="539"/>
      <c r="S804" s="539"/>
      <c r="T804" s="539"/>
      <c r="U804" s="539"/>
      <c r="V804" s="539"/>
      <c r="W804" s="539"/>
      <c r="X804" s="539"/>
      <c r="Y804" s="539"/>
      <c r="Z804" s="539"/>
      <c r="AA804" s="539"/>
      <c r="AB804" s="539"/>
      <c r="AC804" s="539"/>
      <c r="AD804" s="539"/>
      <c r="AE804" s="539"/>
      <c r="AF804" s="539"/>
      <c r="AG804" s="539"/>
      <c r="AH804" s="539"/>
      <c r="AI804" s="539"/>
      <c r="AJ804" s="539"/>
      <c r="AK804" s="539"/>
      <c r="AL804" s="539"/>
      <c r="AM804" s="539"/>
      <c r="AN804" s="539"/>
      <c r="AO804" s="539"/>
      <c r="AP804" s="539"/>
      <c r="AQ804" s="539"/>
      <c r="AR804" s="539"/>
      <c r="AS804" s="539"/>
      <c r="AT804" s="539"/>
      <c r="AU804" s="539"/>
      <c r="AV804" s="539"/>
      <c r="AW804" s="539"/>
      <c r="AX804" s="539"/>
    </row>
    <row r="805" spans="2:50" ht="14.25" customHeight="1" x14ac:dyDescent="0.3">
      <c r="B805" s="957"/>
      <c r="C805" s="540"/>
      <c r="D805" s="540"/>
      <c r="E805" s="540"/>
      <c r="F805" s="539"/>
      <c r="G805" s="539"/>
      <c r="H805" s="539"/>
      <c r="I805" s="539"/>
      <c r="J805" s="539"/>
      <c r="K805" s="539"/>
      <c r="L805" s="539"/>
      <c r="M805" s="539"/>
      <c r="N805" s="539"/>
      <c r="O805" s="539"/>
      <c r="P805" s="539"/>
      <c r="Q805" s="539"/>
      <c r="R805" s="539"/>
      <c r="S805" s="539"/>
      <c r="T805" s="539"/>
      <c r="U805" s="539"/>
      <c r="V805" s="539"/>
      <c r="W805" s="539"/>
      <c r="X805" s="539"/>
      <c r="Y805" s="539"/>
      <c r="Z805" s="539"/>
      <c r="AA805" s="539"/>
      <c r="AB805" s="539"/>
      <c r="AC805" s="539"/>
      <c r="AD805" s="539"/>
      <c r="AE805" s="539"/>
      <c r="AF805" s="539"/>
      <c r="AG805" s="539"/>
      <c r="AH805" s="539"/>
      <c r="AI805" s="539"/>
      <c r="AJ805" s="539"/>
      <c r="AK805" s="539"/>
      <c r="AL805" s="539"/>
      <c r="AM805" s="539"/>
      <c r="AN805" s="539"/>
      <c r="AO805" s="539"/>
      <c r="AP805" s="539"/>
      <c r="AQ805" s="539"/>
      <c r="AR805" s="539"/>
      <c r="AS805" s="539"/>
      <c r="AT805" s="539"/>
      <c r="AU805" s="539"/>
      <c r="AV805" s="539"/>
      <c r="AW805" s="539"/>
      <c r="AX805" s="539"/>
    </row>
    <row r="806" spans="2:50" ht="14.25" customHeight="1" x14ac:dyDescent="0.3">
      <c r="B806" s="957"/>
      <c r="C806" s="540"/>
      <c r="D806" s="540"/>
      <c r="E806" s="540"/>
      <c r="F806" s="539"/>
      <c r="G806" s="539"/>
      <c r="H806" s="539"/>
      <c r="I806" s="539"/>
      <c r="J806" s="539"/>
      <c r="K806" s="539"/>
      <c r="L806" s="539"/>
      <c r="M806" s="539"/>
      <c r="N806" s="539"/>
      <c r="O806" s="539"/>
      <c r="P806" s="539"/>
      <c r="Q806" s="539"/>
      <c r="R806" s="539"/>
      <c r="S806" s="539"/>
      <c r="T806" s="539"/>
      <c r="U806" s="539"/>
      <c r="V806" s="539"/>
      <c r="W806" s="539"/>
      <c r="X806" s="539"/>
      <c r="Y806" s="539"/>
      <c r="Z806" s="539"/>
      <c r="AA806" s="539"/>
      <c r="AB806" s="539"/>
      <c r="AC806" s="539"/>
      <c r="AD806" s="539"/>
      <c r="AE806" s="539"/>
      <c r="AF806" s="539"/>
      <c r="AG806" s="539"/>
      <c r="AH806" s="539"/>
      <c r="AI806" s="539"/>
      <c r="AJ806" s="539"/>
      <c r="AK806" s="539"/>
      <c r="AL806" s="539"/>
      <c r="AM806" s="539"/>
      <c r="AN806" s="539"/>
      <c r="AO806" s="539"/>
      <c r="AP806" s="539"/>
      <c r="AQ806" s="539"/>
      <c r="AR806" s="539"/>
      <c r="AS806" s="539"/>
      <c r="AT806" s="539"/>
      <c r="AU806" s="539"/>
      <c r="AV806" s="539"/>
      <c r="AW806" s="539"/>
      <c r="AX806" s="539"/>
    </row>
    <row r="807" spans="2:50" ht="14.25" customHeight="1" x14ac:dyDescent="0.3">
      <c r="B807" s="957"/>
      <c r="C807" s="540"/>
      <c r="D807" s="540"/>
      <c r="E807" s="540"/>
      <c r="F807" s="539"/>
      <c r="G807" s="539"/>
      <c r="H807" s="539"/>
      <c r="I807" s="539"/>
      <c r="J807" s="539"/>
      <c r="K807" s="539"/>
      <c r="L807" s="539"/>
      <c r="M807" s="539"/>
      <c r="N807" s="539"/>
      <c r="O807" s="539"/>
      <c r="P807" s="539"/>
      <c r="Q807" s="539"/>
      <c r="R807" s="539"/>
      <c r="S807" s="539"/>
      <c r="T807" s="539"/>
      <c r="U807" s="539"/>
      <c r="V807" s="539"/>
      <c r="W807" s="539"/>
      <c r="X807" s="539"/>
      <c r="Y807" s="539"/>
      <c r="Z807" s="539"/>
      <c r="AA807" s="539"/>
      <c r="AB807" s="539"/>
      <c r="AC807" s="539"/>
      <c r="AD807" s="539"/>
      <c r="AE807" s="539"/>
      <c r="AF807" s="539"/>
      <c r="AG807" s="539"/>
      <c r="AH807" s="539"/>
      <c r="AI807" s="539"/>
      <c r="AJ807" s="539"/>
      <c r="AK807" s="539"/>
      <c r="AL807" s="539"/>
      <c r="AM807" s="539"/>
      <c r="AN807" s="539"/>
      <c r="AO807" s="539"/>
      <c r="AP807" s="539"/>
      <c r="AQ807" s="539"/>
      <c r="AR807" s="539"/>
      <c r="AS807" s="539"/>
      <c r="AT807" s="539"/>
      <c r="AU807" s="539"/>
      <c r="AV807" s="539"/>
      <c r="AW807" s="539"/>
      <c r="AX807" s="539"/>
    </row>
    <row r="808" spans="2:50" ht="14.25" customHeight="1" x14ac:dyDescent="0.3">
      <c r="B808" s="957"/>
      <c r="C808" s="540"/>
      <c r="D808" s="540"/>
      <c r="E808" s="540"/>
      <c r="F808" s="539"/>
      <c r="G808" s="539"/>
      <c r="H808" s="539"/>
      <c r="I808" s="539"/>
      <c r="J808" s="539"/>
      <c r="K808" s="539"/>
      <c r="L808" s="539"/>
      <c r="M808" s="539"/>
      <c r="N808" s="539"/>
      <c r="O808" s="539"/>
      <c r="P808" s="539"/>
      <c r="Q808" s="539"/>
      <c r="R808" s="539"/>
      <c r="S808" s="539"/>
      <c r="T808" s="539"/>
      <c r="U808" s="539"/>
      <c r="V808" s="539"/>
      <c r="W808" s="539"/>
      <c r="X808" s="539"/>
      <c r="Y808" s="539"/>
      <c r="Z808" s="539"/>
      <c r="AA808" s="539"/>
      <c r="AB808" s="539"/>
      <c r="AC808" s="539"/>
      <c r="AD808" s="539"/>
      <c r="AE808" s="539"/>
      <c r="AF808" s="539"/>
      <c r="AG808" s="539"/>
      <c r="AH808" s="539"/>
      <c r="AI808" s="539"/>
      <c r="AJ808" s="539"/>
      <c r="AK808" s="539"/>
      <c r="AL808" s="539"/>
      <c r="AM808" s="539"/>
      <c r="AN808" s="539"/>
      <c r="AO808" s="539"/>
      <c r="AP808" s="539"/>
      <c r="AQ808" s="539"/>
      <c r="AR808" s="539"/>
      <c r="AS808" s="539"/>
      <c r="AT808" s="539"/>
      <c r="AU808" s="539"/>
      <c r="AV808" s="539"/>
      <c r="AW808" s="539"/>
      <c r="AX808" s="539"/>
    </row>
    <row r="809" spans="2:50" ht="14.25" customHeight="1" x14ac:dyDescent="0.3">
      <c r="B809" s="957"/>
      <c r="C809" s="540"/>
      <c r="D809" s="540"/>
      <c r="E809" s="540"/>
      <c r="F809" s="539"/>
      <c r="G809" s="539"/>
      <c r="H809" s="539"/>
      <c r="I809" s="539"/>
      <c r="J809" s="539"/>
      <c r="K809" s="539"/>
      <c r="L809" s="539"/>
      <c r="M809" s="539"/>
      <c r="N809" s="539"/>
      <c r="O809" s="539"/>
      <c r="P809" s="539"/>
      <c r="Q809" s="539"/>
      <c r="R809" s="539"/>
      <c r="S809" s="539"/>
      <c r="T809" s="539"/>
      <c r="U809" s="539"/>
      <c r="V809" s="539"/>
      <c r="W809" s="539"/>
      <c r="X809" s="539"/>
      <c r="Y809" s="539"/>
      <c r="Z809" s="539"/>
      <c r="AA809" s="539"/>
      <c r="AB809" s="539"/>
      <c r="AC809" s="539"/>
      <c r="AD809" s="539"/>
      <c r="AE809" s="539"/>
      <c r="AF809" s="539"/>
      <c r="AG809" s="539"/>
      <c r="AH809" s="539"/>
      <c r="AI809" s="539"/>
      <c r="AJ809" s="539"/>
      <c r="AK809" s="539"/>
      <c r="AL809" s="539"/>
      <c r="AM809" s="539"/>
      <c r="AN809" s="539"/>
      <c r="AO809" s="539"/>
      <c r="AP809" s="539"/>
      <c r="AQ809" s="539"/>
      <c r="AR809" s="539"/>
      <c r="AS809" s="539"/>
      <c r="AT809" s="539"/>
      <c r="AU809" s="539"/>
      <c r="AV809" s="539"/>
      <c r="AW809" s="539"/>
      <c r="AX809" s="539"/>
    </row>
    <row r="810" spans="2:50" ht="14.25" customHeight="1" x14ac:dyDescent="0.3">
      <c r="B810" s="957"/>
      <c r="C810" s="540"/>
      <c r="D810" s="540"/>
      <c r="E810" s="540"/>
      <c r="F810" s="539"/>
      <c r="G810" s="539"/>
      <c r="H810" s="539"/>
      <c r="I810" s="539"/>
      <c r="J810" s="539"/>
      <c r="K810" s="539"/>
      <c r="L810" s="539"/>
      <c r="M810" s="539"/>
      <c r="N810" s="539"/>
      <c r="O810" s="539"/>
      <c r="P810" s="539"/>
      <c r="Q810" s="539"/>
      <c r="R810" s="539"/>
      <c r="S810" s="539"/>
      <c r="T810" s="539"/>
      <c r="U810" s="539"/>
      <c r="V810" s="539"/>
      <c r="W810" s="539"/>
      <c r="X810" s="539"/>
      <c r="Y810" s="539"/>
      <c r="Z810" s="539"/>
      <c r="AA810" s="539"/>
      <c r="AB810" s="539"/>
      <c r="AC810" s="539"/>
      <c r="AD810" s="539"/>
      <c r="AE810" s="539"/>
      <c r="AF810" s="539"/>
      <c r="AG810" s="539"/>
      <c r="AH810" s="539"/>
      <c r="AI810" s="539"/>
      <c r="AJ810" s="539"/>
      <c r="AK810" s="539"/>
      <c r="AL810" s="539"/>
      <c r="AM810" s="539"/>
      <c r="AN810" s="539"/>
      <c r="AO810" s="539"/>
      <c r="AP810" s="539"/>
      <c r="AQ810" s="539"/>
      <c r="AR810" s="539"/>
      <c r="AS810" s="539"/>
      <c r="AT810" s="539"/>
      <c r="AU810" s="539"/>
      <c r="AV810" s="539"/>
      <c r="AW810" s="539"/>
      <c r="AX810" s="539"/>
    </row>
    <row r="811" spans="2:50" ht="14.25" customHeight="1" x14ac:dyDescent="0.3">
      <c r="B811" s="957"/>
      <c r="C811" s="540"/>
      <c r="D811" s="540"/>
      <c r="E811" s="540"/>
      <c r="F811" s="539"/>
      <c r="G811" s="539"/>
      <c r="H811" s="539"/>
      <c r="I811" s="539"/>
      <c r="J811" s="539"/>
      <c r="K811" s="539"/>
      <c r="L811" s="539"/>
      <c r="M811" s="539"/>
      <c r="N811" s="539"/>
      <c r="O811" s="539"/>
      <c r="P811" s="539"/>
      <c r="Q811" s="539"/>
      <c r="R811" s="539"/>
      <c r="S811" s="539"/>
      <c r="T811" s="539"/>
      <c r="U811" s="539"/>
      <c r="V811" s="539"/>
      <c r="W811" s="539"/>
      <c r="X811" s="539"/>
      <c r="Y811" s="539"/>
      <c r="Z811" s="539"/>
      <c r="AA811" s="539"/>
      <c r="AB811" s="539"/>
      <c r="AC811" s="539"/>
      <c r="AD811" s="539"/>
      <c r="AE811" s="539"/>
      <c r="AF811" s="539"/>
      <c r="AG811" s="539"/>
      <c r="AH811" s="539"/>
      <c r="AI811" s="539"/>
      <c r="AJ811" s="539"/>
      <c r="AK811" s="539"/>
      <c r="AL811" s="539"/>
      <c r="AM811" s="539"/>
      <c r="AN811" s="539"/>
      <c r="AO811" s="539"/>
      <c r="AP811" s="539"/>
      <c r="AQ811" s="539"/>
      <c r="AR811" s="539"/>
      <c r="AS811" s="539"/>
      <c r="AT811" s="539"/>
      <c r="AU811" s="539"/>
      <c r="AV811" s="539"/>
      <c r="AW811" s="539"/>
      <c r="AX811" s="539"/>
    </row>
    <row r="812" spans="2:50" ht="14.25" customHeight="1" x14ac:dyDescent="0.3">
      <c r="B812" s="957"/>
      <c r="C812" s="540"/>
      <c r="D812" s="540"/>
      <c r="E812" s="540"/>
      <c r="F812" s="539"/>
      <c r="G812" s="539"/>
      <c r="H812" s="539"/>
      <c r="I812" s="539"/>
      <c r="J812" s="539"/>
      <c r="K812" s="539"/>
      <c r="L812" s="539"/>
      <c r="M812" s="539"/>
      <c r="N812" s="539"/>
      <c r="O812" s="539"/>
      <c r="P812" s="539"/>
      <c r="Q812" s="539"/>
      <c r="R812" s="539"/>
      <c r="S812" s="539"/>
      <c r="T812" s="539"/>
      <c r="U812" s="539"/>
      <c r="V812" s="539"/>
      <c r="W812" s="539"/>
      <c r="X812" s="539"/>
      <c r="Y812" s="539"/>
      <c r="Z812" s="539"/>
      <c r="AA812" s="539"/>
      <c r="AB812" s="539"/>
      <c r="AC812" s="539"/>
      <c r="AD812" s="539"/>
      <c r="AE812" s="539"/>
      <c r="AF812" s="539"/>
      <c r="AG812" s="539"/>
      <c r="AH812" s="539"/>
      <c r="AI812" s="539"/>
      <c r="AJ812" s="539"/>
      <c r="AK812" s="539"/>
      <c r="AL812" s="539"/>
      <c r="AM812" s="539"/>
      <c r="AN812" s="539"/>
      <c r="AO812" s="539"/>
      <c r="AP812" s="539"/>
      <c r="AQ812" s="539"/>
      <c r="AR812" s="539"/>
      <c r="AS812" s="539"/>
      <c r="AT812" s="539"/>
      <c r="AU812" s="539"/>
      <c r="AV812" s="539"/>
      <c r="AW812" s="539"/>
      <c r="AX812" s="539"/>
    </row>
    <row r="813" spans="2:50" ht="14.25" customHeight="1" x14ac:dyDescent="0.3">
      <c r="B813" s="957"/>
      <c r="C813" s="540"/>
      <c r="D813" s="540"/>
      <c r="E813" s="540"/>
      <c r="F813" s="539"/>
      <c r="G813" s="539"/>
      <c r="H813" s="539"/>
      <c r="I813" s="539"/>
      <c r="J813" s="539"/>
      <c r="K813" s="539"/>
      <c r="L813" s="539"/>
      <c r="M813" s="539"/>
      <c r="N813" s="539"/>
      <c r="O813" s="539"/>
      <c r="P813" s="539"/>
      <c r="Q813" s="539"/>
      <c r="R813" s="539"/>
      <c r="S813" s="539"/>
      <c r="T813" s="539"/>
      <c r="U813" s="539"/>
      <c r="V813" s="539"/>
      <c r="W813" s="539"/>
      <c r="X813" s="539"/>
      <c r="Y813" s="539"/>
      <c r="Z813" s="539"/>
      <c r="AA813" s="539"/>
      <c r="AB813" s="539"/>
      <c r="AC813" s="539"/>
      <c r="AD813" s="539"/>
      <c r="AE813" s="539"/>
      <c r="AF813" s="539"/>
      <c r="AG813" s="539"/>
      <c r="AH813" s="539"/>
      <c r="AI813" s="539"/>
      <c r="AJ813" s="539"/>
      <c r="AK813" s="539"/>
      <c r="AL813" s="539"/>
      <c r="AM813" s="539"/>
      <c r="AN813" s="539"/>
      <c r="AO813" s="539"/>
      <c r="AP813" s="539"/>
      <c r="AQ813" s="539"/>
      <c r="AR813" s="539"/>
      <c r="AS813" s="539"/>
      <c r="AT813" s="539"/>
      <c r="AU813" s="539"/>
      <c r="AV813" s="539"/>
      <c r="AW813" s="539"/>
      <c r="AX813" s="539"/>
    </row>
    <row r="814" spans="2:50" ht="14.25" customHeight="1" x14ac:dyDescent="0.3">
      <c r="B814" s="957"/>
      <c r="C814" s="540"/>
      <c r="D814" s="540"/>
      <c r="E814" s="540"/>
      <c r="F814" s="539"/>
      <c r="G814" s="539"/>
      <c r="H814" s="539"/>
      <c r="I814" s="539"/>
      <c r="J814" s="539"/>
      <c r="K814" s="539"/>
      <c r="L814" s="539"/>
      <c r="M814" s="539"/>
      <c r="N814" s="539"/>
      <c r="O814" s="539"/>
      <c r="P814" s="539"/>
      <c r="Q814" s="539"/>
      <c r="R814" s="539"/>
      <c r="S814" s="539"/>
      <c r="T814" s="539"/>
      <c r="U814" s="539"/>
      <c r="V814" s="539"/>
      <c r="W814" s="539"/>
      <c r="X814" s="539"/>
      <c r="Y814" s="539"/>
      <c r="Z814" s="539"/>
      <c r="AA814" s="539"/>
      <c r="AB814" s="539"/>
      <c r="AC814" s="539"/>
      <c r="AD814" s="539"/>
      <c r="AE814" s="539"/>
      <c r="AF814" s="539"/>
      <c r="AG814" s="539"/>
      <c r="AH814" s="539"/>
      <c r="AI814" s="539"/>
      <c r="AJ814" s="539"/>
      <c r="AK814" s="539"/>
      <c r="AL814" s="539"/>
      <c r="AM814" s="539"/>
      <c r="AN814" s="539"/>
      <c r="AO814" s="539"/>
      <c r="AP814" s="539"/>
      <c r="AQ814" s="539"/>
      <c r="AR814" s="539"/>
      <c r="AS814" s="539"/>
      <c r="AT814" s="539"/>
      <c r="AU814" s="539"/>
      <c r="AV814" s="539"/>
      <c r="AW814" s="539"/>
      <c r="AX814" s="539"/>
    </row>
    <row r="815" spans="2:50" ht="14.25" customHeight="1" x14ac:dyDescent="0.3">
      <c r="B815" s="957"/>
      <c r="C815" s="540"/>
      <c r="D815" s="540"/>
      <c r="E815" s="540"/>
      <c r="F815" s="539"/>
      <c r="G815" s="539"/>
      <c r="H815" s="539"/>
      <c r="I815" s="539"/>
      <c r="J815" s="539"/>
      <c r="K815" s="539"/>
      <c r="L815" s="539"/>
      <c r="M815" s="539"/>
      <c r="N815" s="539"/>
      <c r="O815" s="539"/>
      <c r="P815" s="539"/>
      <c r="Q815" s="539"/>
      <c r="R815" s="539"/>
      <c r="S815" s="539"/>
      <c r="T815" s="539"/>
      <c r="U815" s="539"/>
      <c r="V815" s="539"/>
      <c r="W815" s="539"/>
      <c r="X815" s="539"/>
      <c r="Y815" s="539"/>
      <c r="Z815" s="539"/>
      <c r="AA815" s="539"/>
      <c r="AB815" s="539"/>
      <c r="AC815" s="539"/>
      <c r="AD815" s="539"/>
      <c r="AE815" s="539"/>
      <c r="AF815" s="539"/>
      <c r="AG815" s="539"/>
      <c r="AH815" s="539"/>
      <c r="AI815" s="539"/>
      <c r="AJ815" s="539"/>
      <c r="AK815" s="539"/>
      <c r="AL815" s="539"/>
      <c r="AM815" s="539"/>
      <c r="AN815" s="539"/>
      <c r="AO815" s="539"/>
      <c r="AP815" s="539"/>
      <c r="AQ815" s="539"/>
      <c r="AR815" s="539"/>
      <c r="AS815" s="539"/>
      <c r="AT815" s="539"/>
      <c r="AU815" s="539"/>
      <c r="AV815" s="539"/>
      <c r="AW815" s="539"/>
      <c r="AX815" s="539"/>
    </row>
    <row r="816" spans="2:50" ht="14.25" customHeight="1" x14ac:dyDescent="0.3">
      <c r="B816" s="957"/>
      <c r="C816" s="540"/>
      <c r="D816" s="540"/>
      <c r="E816" s="540"/>
      <c r="F816" s="539"/>
      <c r="G816" s="539"/>
      <c r="H816" s="539"/>
      <c r="I816" s="539"/>
      <c r="J816" s="539"/>
      <c r="K816" s="539"/>
      <c r="L816" s="539"/>
      <c r="M816" s="539"/>
      <c r="N816" s="539"/>
      <c r="O816" s="539"/>
      <c r="P816" s="539"/>
      <c r="Q816" s="539"/>
      <c r="R816" s="539"/>
      <c r="S816" s="539"/>
      <c r="T816" s="539"/>
      <c r="U816" s="539"/>
      <c r="V816" s="539"/>
      <c r="W816" s="539"/>
      <c r="X816" s="539"/>
      <c r="Y816" s="539"/>
      <c r="Z816" s="539"/>
      <c r="AA816" s="539"/>
      <c r="AB816" s="539"/>
      <c r="AC816" s="539"/>
      <c r="AD816" s="539"/>
      <c r="AE816" s="539"/>
      <c r="AF816" s="539"/>
      <c r="AG816" s="539"/>
      <c r="AH816" s="539"/>
      <c r="AI816" s="539"/>
      <c r="AJ816" s="539"/>
      <c r="AK816" s="539"/>
      <c r="AL816" s="539"/>
      <c r="AM816" s="539"/>
      <c r="AN816" s="539"/>
      <c r="AO816" s="539"/>
      <c r="AP816" s="539"/>
      <c r="AQ816" s="539"/>
      <c r="AR816" s="539"/>
      <c r="AS816" s="539"/>
      <c r="AT816" s="539"/>
      <c r="AU816" s="539"/>
      <c r="AV816" s="539"/>
      <c r="AW816" s="539"/>
      <c r="AX816" s="539"/>
    </row>
    <row r="817" spans="2:50" ht="14.25" customHeight="1" x14ac:dyDescent="0.3">
      <c r="B817" s="957"/>
      <c r="C817" s="540"/>
      <c r="D817" s="540"/>
      <c r="E817" s="540"/>
      <c r="F817" s="539"/>
      <c r="G817" s="539"/>
      <c r="H817" s="539"/>
      <c r="I817" s="539"/>
      <c r="J817" s="539"/>
      <c r="K817" s="539"/>
      <c r="L817" s="539"/>
      <c r="M817" s="539"/>
      <c r="N817" s="539"/>
      <c r="O817" s="539"/>
      <c r="P817" s="539"/>
      <c r="Q817" s="539"/>
      <c r="R817" s="539"/>
      <c r="S817" s="539"/>
      <c r="T817" s="539"/>
      <c r="U817" s="539"/>
      <c r="V817" s="539"/>
      <c r="W817" s="539"/>
      <c r="X817" s="539"/>
      <c r="Y817" s="539"/>
      <c r="Z817" s="539"/>
      <c r="AA817" s="539"/>
      <c r="AB817" s="539"/>
      <c r="AC817" s="539"/>
      <c r="AD817" s="539"/>
      <c r="AE817" s="539"/>
      <c r="AF817" s="539"/>
      <c r="AG817" s="539"/>
      <c r="AH817" s="539"/>
      <c r="AI817" s="539"/>
      <c r="AJ817" s="539"/>
      <c r="AK817" s="539"/>
      <c r="AL817" s="539"/>
      <c r="AM817" s="539"/>
      <c r="AN817" s="539"/>
      <c r="AO817" s="539"/>
      <c r="AP817" s="539"/>
      <c r="AQ817" s="539"/>
      <c r="AR817" s="539"/>
      <c r="AS817" s="539"/>
      <c r="AT817" s="539"/>
      <c r="AU817" s="539"/>
      <c r="AV817" s="539"/>
      <c r="AW817" s="539"/>
      <c r="AX817" s="539"/>
    </row>
    <row r="818" spans="2:50" ht="15" customHeight="1" x14ac:dyDescent="0.3">
      <c r="B818" s="957"/>
      <c r="F818" s="539"/>
      <c r="G818" s="539"/>
      <c r="H818" s="539"/>
      <c r="I818" s="539"/>
      <c r="J818" s="539"/>
      <c r="K818" s="539"/>
      <c r="L818" s="539"/>
      <c r="M818" s="539"/>
      <c r="N818" s="539"/>
      <c r="O818" s="539"/>
      <c r="P818" s="539"/>
      <c r="Q818" s="539"/>
      <c r="R818" s="539"/>
      <c r="S818" s="539"/>
      <c r="T818" s="539"/>
      <c r="U818" s="539"/>
      <c r="V818" s="539"/>
      <c r="W818" s="539"/>
      <c r="X818" s="539"/>
      <c r="Y818" s="539"/>
      <c r="Z818" s="539"/>
      <c r="AA818" s="539"/>
      <c r="AB818" s="539"/>
      <c r="AC818" s="539"/>
      <c r="AD818" s="539"/>
      <c r="AE818" s="539"/>
      <c r="AF818" s="539"/>
      <c r="AG818" s="539"/>
      <c r="AH818" s="539"/>
      <c r="AI818" s="539"/>
      <c r="AJ818" s="539"/>
      <c r="AK818" s="539"/>
      <c r="AL818" s="539"/>
      <c r="AM818" s="539"/>
      <c r="AN818" s="539"/>
      <c r="AO818" s="539"/>
      <c r="AP818" s="539"/>
      <c r="AQ818" s="539"/>
      <c r="AR818" s="539"/>
      <c r="AS818" s="539"/>
      <c r="AT818" s="539"/>
      <c r="AU818" s="539"/>
      <c r="AV818" s="539"/>
      <c r="AW818" s="539"/>
    </row>
    <row r="819" spans="2:50" ht="15" customHeight="1" x14ac:dyDescent="0.3">
      <c r="B819" s="957"/>
      <c r="F819" s="539"/>
      <c r="G819" s="539"/>
      <c r="H819" s="539"/>
      <c r="I819" s="539"/>
      <c r="J819" s="539"/>
      <c r="K819" s="539"/>
      <c r="L819" s="539"/>
      <c r="M819" s="539"/>
      <c r="N819" s="539"/>
      <c r="O819" s="539"/>
      <c r="P819" s="539"/>
      <c r="Q819" s="539"/>
      <c r="R819" s="539"/>
      <c r="S819" s="539"/>
      <c r="T819" s="539"/>
      <c r="U819" s="539"/>
      <c r="V819" s="539"/>
      <c r="W819" s="539"/>
      <c r="X819" s="539"/>
      <c r="Y819" s="539"/>
      <c r="Z819" s="539"/>
      <c r="AA819" s="539"/>
      <c r="AB819" s="539"/>
      <c r="AC819" s="539"/>
      <c r="AD819" s="539"/>
      <c r="AE819" s="539"/>
      <c r="AF819" s="539"/>
      <c r="AG819" s="539"/>
      <c r="AH819" s="539"/>
      <c r="AI819" s="539"/>
      <c r="AJ819" s="539"/>
      <c r="AK819" s="539"/>
      <c r="AL819" s="539"/>
      <c r="AM819" s="539"/>
      <c r="AN819" s="539"/>
      <c r="AO819" s="539"/>
      <c r="AP819" s="539"/>
      <c r="AQ819" s="539"/>
      <c r="AR819" s="539"/>
      <c r="AS819" s="539"/>
      <c r="AT819" s="539"/>
      <c r="AU819" s="539"/>
      <c r="AV819" s="539"/>
      <c r="AW819" s="539"/>
    </row>
    <row r="820" spans="2:50" ht="15" customHeight="1" x14ac:dyDescent="0.3">
      <c r="B820" s="957"/>
      <c r="F820" s="539"/>
      <c r="G820" s="539"/>
      <c r="H820" s="539"/>
      <c r="I820" s="539"/>
      <c r="J820" s="539"/>
      <c r="K820" s="539"/>
      <c r="L820" s="539"/>
      <c r="M820" s="539"/>
      <c r="N820" s="539"/>
      <c r="O820" s="539"/>
      <c r="P820" s="539"/>
      <c r="Q820" s="539"/>
      <c r="R820" s="539"/>
      <c r="S820" s="539"/>
      <c r="T820" s="539"/>
      <c r="U820" s="539"/>
      <c r="V820" s="539"/>
      <c r="W820" s="539"/>
      <c r="X820" s="539"/>
      <c r="Y820" s="539"/>
      <c r="Z820" s="539"/>
      <c r="AA820" s="539"/>
      <c r="AB820" s="539"/>
      <c r="AC820" s="539"/>
      <c r="AD820" s="539"/>
      <c r="AE820" s="539"/>
      <c r="AF820" s="539"/>
      <c r="AG820" s="539"/>
      <c r="AH820" s="539"/>
      <c r="AI820" s="539"/>
      <c r="AJ820" s="539"/>
      <c r="AK820" s="539"/>
      <c r="AL820" s="539"/>
      <c r="AM820" s="539"/>
      <c r="AN820" s="539"/>
      <c r="AO820" s="539"/>
      <c r="AP820" s="539"/>
      <c r="AQ820" s="539"/>
      <c r="AR820" s="539"/>
      <c r="AS820" s="539"/>
      <c r="AT820" s="539"/>
      <c r="AU820" s="539"/>
      <c r="AV820" s="539"/>
      <c r="AW820" s="539"/>
    </row>
    <row r="821" spans="2:50" ht="15" customHeight="1" x14ac:dyDescent="0.3">
      <c r="B821" s="957"/>
    </row>
    <row r="822" spans="2:50" ht="15" customHeight="1" x14ac:dyDescent="0.3">
      <c r="B822" s="957"/>
    </row>
    <row r="823" spans="2:50" ht="15" customHeight="1" x14ac:dyDescent="0.3">
      <c r="B823" s="957"/>
    </row>
    <row r="824" spans="2:50" ht="15" customHeight="1" x14ac:dyDescent="0.3">
      <c r="B824" s="957"/>
    </row>
    <row r="825" spans="2:50" ht="15" customHeight="1" x14ac:dyDescent="0.3">
      <c r="B825" s="957"/>
    </row>
    <row r="826" spans="2:50" ht="15" customHeight="1" x14ac:dyDescent="0.3">
      <c r="B826" s="957"/>
    </row>
    <row r="827" spans="2:50" ht="15" customHeight="1" x14ac:dyDescent="0.3">
      <c r="B827" s="957"/>
    </row>
    <row r="828" spans="2:50" ht="15" customHeight="1" x14ac:dyDescent="0.3">
      <c r="B828" s="957"/>
    </row>
    <row r="829" spans="2:50" ht="15" customHeight="1" x14ac:dyDescent="0.3">
      <c r="B829" s="957"/>
    </row>
    <row r="830" spans="2:50" ht="15" customHeight="1" x14ac:dyDescent="0.3">
      <c r="B830" s="957"/>
    </row>
    <row r="831" spans="2:50" ht="15" customHeight="1" x14ac:dyDescent="0.3">
      <c r="B831" s="957"/>
    </row>
    <row r="832" spans="2:50" ht="15" customHeight="1" x14ac:dyDescent="0.3">
      <c r="B832" s="957"/>
    </row>
  </sheetData>
  <mergeCells count="104">
    <mergeCell ref="Q180:R180"/>
    <mergeCell ref="Q179:T179"/>
    <mergeCell ref="B159:B164"/>
    <mergeCell ref="D160:E160"/>
    <mergeCell ref="D161:E161"/>
    <mergeCell ref="D162:E162"/>
    <mergeCell ref="D163:E163"/>
    <mergeCell ref="D164:E164"/>
    <mergeCell ref="B168:B173"/>
    <mergeCell ref="D168:E168"/>
    <mergeCell ref="D169:E169"/>
    <mergeCell ref="D170:E170"/>
    <mergeCell ref="D171:E171"/>
    <mergeCell ref="D172:E172"/>
    <mergeCell ref="D173:E173"/>
    <mergeCell ref="D159:E159"/>
    <mergeCell ref="B140:B145"/>
    <mergeCell ref="D140:E140"/>
    <mergeCell ref="D141:E141"/>
    <mergeCell ref="D142:E142"/>
    <mergeCell ref="D143:E143"/>
    <mergeCell ref="D144:E144"/>
    <mergeCell ref="D145:E145"/>
    <mergeCell ref="B149:B155"/>
    <mergeCell ref="D150:E150"/>
    <mergeCell ref="D151:E151"/>
    <mergeCell ref="D152:E152"/>
    <mergeCell ref="D153:E153"/>
    <mergeCell ref="D154:E154"/>
    <mergeCell ref="D155:E155"/>
    <mergeCell ref="D149:E149"/>
    <mergeCell ref="D121:E121"/>
    <mergeCell ref="D122:E122"/>
    <mergeCell ref="D123:E123"/>
    <mergeCell ref="D124:E124"/>
    <mergeCell ref="D125:E125"/>
    <mergeCell ref="D126:E126"/>
    <mergeCell ref="D127:E127"/>
    <mergeCell ref="B131:B136"/>
    <mergeCell ref="D131:E131"/>
    <mergeCell ref="D132:E132"/>
    <mergeCell ref="D133:E133"/>
    <mergeCell ref="D134:E134"/>
    <mergeCell ref="D135:E135"/>
    <mergeCell ref="D136:E136"/>
    <mergeCell ref="D99:F99"/>
    <mergeCell ref="B100:B103"/>
    <mergeCell ref="D100:E100"/>
    <mergeCell ref="D101:E101"/>
    <mergeCell ref="D102:E102"/>
    <mergeCell ref="D106:F106"/>
    <mergeCell ref="C108:C110"/>
    <mergeCell ref="B111:B117"/>
    <mergeCell ref="D111:E111"/>
    <mergeCell ref="D112:E112"/>
    <mergeCell ref="D113:E113"/>
    <mergeCell ref="D114:E114"/>
    <mergeCell ref="D115:E115"/>
    <mergeCell ref="D116:E116"/>
    <mergeCell ref="D117:E117"/>
    <mergeCell ref="A83:A85"/>
    <mergeCell ref="C83:C85"/>
    <mergeCell ref="D83:E85"/>
    <mergeCell ref="G83:G85"/>
    <mergeCell ref="B64:B85"/>
    <mergeCell ref="C64:C70"/>
    <mergeCell ref="D91:F91"/>
    <mergeCell ref="B92:B94"/>
    <mergeCell ref="D92:E92"/>
    <mergeCell ref="D93:E93"/>
    <mergeCell ref="D94:E94"/>
    <mergeCell ref="A79:A82"/>
    <mergeCell ref="A76:A78"/>
    <mergeCell ref="C76:C78"/>
    <mergeCell ref="D76:E78"/>
    <mergeCell ref="C79:C80"/>
    <mergeCell ref="D79:E80"/>
    <mergeCell ref="G79:G80"/>
    <mergeCell ref="O46:O50"/>
    <mergeCell ref="Q46:Q50"/>
    <mergeCell ref="D51:E53"/>
    <mergeCell ref="D54:E55"/>
    <mergeCell ref="D56:E57"/>
    <mergeCell ref="D58:E60"/>
    <mergeCell ref="D63:E63"/>
    <mergeCell ref="D64:E70"/>
    <mergeCell ref="A71:A74"/>
    <mergeCell ref="C71:C75"/>
    <mergeCell ref="D71:E75"/>
    <mergeCell ref="M79:M80"/>
    <mergeCell ref="C81:C82"/>
    <mergeCell ref="D81:E82"/>
    <mergeCell ref="G81:G82"/>
    <mergeCell ref="D3:F3"/>
    <mergeCell ref="B8:B15"/>
    <mergeCell ref="B17:B24"/>
    <mergeCell ref="D28:F28"/>
    <mergeCell ref="B33:B36"/>
    <mergeCell ref="D39:F39"/>
    <mergeCell ref="C41:C43"/>
    <mergeCell ref="B44:B60"/>
    <mergeCell ref="D44:E45"/>
    <mergeCell ref="C46:C50"/>
    <mergeCell ref="D46:E50"/>
  </mergeCells>
  <hyperlinks>
    <hyperlink ref="E6" location="'Gráficos UTCUTS-OseMOSYS'!A1" display="GRÁFICO UTCUTS-1" xr:uid="{C632D599-ECD5-4E8B-B9B9-331BF16B3983}"/>
    <hyperlink ref="E31" location="'Gráficos UTCUTS-OseMOSYS'!A1" display="GRÁFICO UTCUTS-1" xr:uid="{4C70FA7D-8E7A-4C09-8E52-487690D49B5F}"/>
    <hyperlink ref="E42" location="'Gráficos UTCUTS-OseMOSYS'!A1" display="GRÁFICO UTCUTS-1" xr:uid="{CC301E20-C9BB-4036-A512-1B363D68A520}"/>
    <hyperlink ref="E109" location="'Gráficos UTCUTS-OseMOSYS'!A1" display="GRÁFICO UTCUTS-1" xr:uid="{B13083E9-EC0A-4010-8533-246727D37C6A}"/>
    <hyperlink ref="E130" location="'Gráficos UTCUTS-OseMOSYS'!A1" display="GRÁFICO UTCUTS-1" xr:uid="{DC64B056-CD63-46D7-80EF-53CB78325CE7}"/>
    <hyperlink ref="E139" location="'Gráficos UTCUTS-OseMOSYS'!A1" display="GRÁFICO UTCUTS-1" xr:uid="{CA527C26-4C70-40FD-857D-692F7C0FFBF3}"/>
    <hyperlink ref="E148" location="'Gráficos UTCUTS-OseMOSYS'!A1" display="GRÁFICO UTCUTS-1" xr:uid="{931B1E8E-E34C-4CE2-ACD8-28A650D3150E}"/>
    <hyperlink ref="E167" location="'Gráficos UTCUTS-OseMOSYS'!A1" display="GRÁFICO UTCUTS-1" xr:uid="{D00CDC39-FB67-48A0-A76D-C90731A244AB}"/>
  </hyperlinks>
  <pageMargins left="0.7" right="0.7" top="0.75" bottom="0.75" header="0" footer="0"/>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A9FD-1866-451B-8E5A-06803DB82E47}">
  <sheetPr>
    <tabColor rgb="FF92D050"/>
  </sheetPr>
  <dimension ref="A1:BM1008"/>
  <sheetViews>
    <sheetView workbookViewId="0">
      <pane xSplit="4" ySplit="1" topLeftCell="G176" activePane="bottomRight" state="frozen"/>
      <selection pane="topRight" activeCell="E1" sqref="E1"/>
      <selection pane="bottomLeft" activeCell="A2" sqref="A2"/>
      <selection pane="bottomRight" activeCell="R185" sqref="R185"/>
    </sheetView>
  </sheetViews>
  <sheetFormatPr defaultColWidth="8.6640625" defaultRowHeight="14.5" x14ac:dyDescent="0.35"/>
  <cols>
    <col min="1" max="1" width="12.6640625" style="376" customWidth="1"/>
    <col min="2" max="2" width="5.5" style="356" customWidth="1"/>
    <col min="3" max="3" width="3.08203125" customWidth="1"/>
    <col min="4" max="4" width="47.58203125" customWidth="1"/>
    <col min="5" max="5" width="9.6640625" customWidth="1"/>
    <col min="6" max="6" width="9.6640625" style="378" customWidth="1"/>
    <col min="7" max="7" width="11" bestFit="1" customWidth="1"/>
    <col min="8" max="8" width="13.1640625" customWidth="1"/>
    <col min="9" max="9" width="9.6640625" customWidth="1"/>
    <col min="10" max="10" width="9.1640625" customWidth="1"/>
    <col min="11" max="11" width="8.08203125" customWidth="1"/>
    <col min="12" max="12" width="7.9140625" customWidth="1"/>
    <col min="13" max="13" width="9.08203125" customWidth="1"/>
    <col min="14" max="41" width="8" customWidth="1"/>
    <col min="42" max="42" width="7.6640625" customWidth="1"/>
    <col min="43" max="43" width="9.1640625" customWidth="1"/>
    <col min="44" max="44" width="9.4140625" customWidth="1"/>
    <col min="45" max="45" width="8.1640625" customWidth="1"/>
    <col min="46" max="46" width="7.08203125" customWidth="1"/>
    <col min="47" max="49" width="9"/>
  </cols>
  <sheetData>
    <row r="1" spans="1:65" ht="17" x14ac:dyDescent="0.3">
      <c r="A1" s="48" t="s">
        <v>202</v>
      </c>
      <c r="C1" s="480"/>
      <c r="D1" s="481" t="s">
        <v>203</v>
      </c>
      <c r="E1" s="482">
        <v>2010</v>
      </c>
      <c r="F1" s="482">
        <v>2011</v>
      </c>
      <c r="G1" s="483">
        <v>2012</v>
      </c>
      <c r="H1" s="483">
        <v>2013</v>
      </c>
      <c r="I1" s="482">
        <v>2014</v>
      </c>
      <c r="J1" s="482">
        <v>2015</v>
      </c>
      <c r="K1" s="482">
        <v>2016</v>
      </c>
      <c r="L1" s="482">
        <v>2017</v>
      </c>
      <c r="M1" s="482">
        <v>2018</v>
      </c>
      <c r="N1" s="482">
        <v>2019</v>
      </c>
      <c r="O1" s="482">
        <v>2020</v>
      </c>
      <c r="P1" s="482">
        <v>2021</v>
      </c>
      <c r="Q1" s="482">
        <v>2022</v>
      </c>
      <c r="R1" s="482">
        <v>2023</v>
      </c>
      <c r="S1" s="482">
        <v>2024</v>
      </c>
      <c r="T1" s="482">
        <v>2025</v>
      </c>
      <c r="U1" s="482">
        <v>2026</v>
      </c>
      <c r="V1" s="482">
        <v>2027</v>
      </c>
      <c r="W1" s="482">
        <v>2028</v>
      </c>
      <c r="X1" s="482">
        <v>2029</v>
      </c>
      <c r="Y1" s="482">
        <v>2030</v>
      </c>
      <c r="Z1" s="482">
        <v>2031</v>
      </c>
      <c r="AA1" s="482">
        <v>2032</v>
      </c>
      <c r="AB1" s="482">
        <v>2033</v>
      </c>
      <c r="AC1" s="482">
        <v>2034</v>
      </c>
      <c r="AD1" s="482">
        <v>2035</v>
      </c>
      <c r="AE1" s="482">
        <v>2036</v>
      </c>
      <c r="AF1" s="482">
        <v>2037</v>
      </c>
      <c r="AG1" s="482">
        <v>2038</v>
      </c>
      <c r="AH1" s="482">
        <v>2039</v>
      </c>
      <c r="AI1" s="482">
        <v>2040</v>
      </c>
      <c r="AJ1" s="482">
        <v>2041</v>
      </c>
      <c r="AK1" s="482">
        <v>2042</v>
      </c>
      <c r="AL1" s="482">
        <v>2043</v>
      </c>
      <c r="AM1" s="482">
        <v>2044</v>
      </c>
      <c r="AN1" s="482">
        <v>2045</v>
      </c>
      <c r="AO1" s="482">
        <v>2046</v>
      </c>
      <c r="AP1" s="482">
        <v>2047</v>
      </c>
      <c r="AQ1" s="482">
        <v>2048</v>
      </c>
      <c r="AR1" s="482">
        <v>2049</v>
      </c>
      <c r="AS1" s="482">
        <v>2050</v>
      </c>
      <c r="AT1" s="484">
        <v>2051</v>
      </c>
      <c r="AU1" s="482">
        <v>2052</v>
      </c>
      <c r="AV1" s="484">
        <v>2053</v>
      </c>
      <c r="AW1" s="482">
        <v>2054</v>
      </c>
      <c r="AX1" s="484">
        <v>2055</v>
      </c>
      <c r="AY1" s="482">
        <v>2056</v>
      </c>
      <c r="AZ1" s="484">
        <v>2057</v>
      </c>
      <c r="BA1" s="482">
        <v>2058</v>
      </c>
      <c r="BB1" s="484">
        <v>2059</v>
      </c>
      <c r="BC1" s="482">
        <v>2060</v>
      </c>
      <c r="BD1" s="484">
        <v>2061</v>
      </c>
      <c r="BE1" s="482">
        <v>2062</v>
      </c>
      <c r="BF1" s="484">
        <v>2063</v>
      </c>
      <c r="BG1" s="482">
        <v>2064</v>
      </c>
      <c r="BH1" s="484">
        <v>2065</v>
      </c>
      <c r="BI1" s="482">
        <v>2066</v>
      </c>
      <c r="BJ1" s="484">
        <v>2067</v>
      </c>
      <c r="BK1" s="482">
        <v>2068</v>
      </c>
      <c r="BL1" s="484">
        <v>2069</v>
      </c>
      <c r="BM1" s="482">
        <v>2070</v>
      </c>
    </row>
    <row r="2" spans="1:65" ht="17" x14ac:dyDescent="0.3">
      <c r="D2" s="81"/>
      <c r="E2" s="81"/>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row>
    <row r="3" spans="1:65" x14ac:dyDescent="0.3">
      <c r="C3" s="485"/>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7"/>
    </row>
    <row r="4" spans="1:65" x14ac:dyDescent="0.3">
      <c r="C4" s="488"/>
      <c r="D4" s="489" t="s">
        <v>204</v>
      </c>
      <c r="E4" s="489"/>
      <c r="F4" s="489"/>
      <c r="G4" s="489"/>
      <c r="H4" s="489"/>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90"/>
    </row>
    <row r="5" spans="1:65" x14ac:dyDescent="0.35">
      <c r="A5" s="1177">
        <v>1</v>
      </c>
      <c r="B5" s="26"/>
      <c r="C5" s="488"/>
      <c r="D5" s="491" t="s">
        <v>205</v>
      </c>
      <c r="E5" s="492">
        <v>9.2470360000000001E-2</v>
      </c>
      <c r="F5" s="493">
        <v>0.29849617499999997</v>
      </c>
      <c r="G5" s="492">
        <v>0.50611284400000001</v>
      </c>
      <c r="H5" s="492">
        <v>0.172537519</v>
      </c>
      <c r="I5" s="492">
        <v>0.10759797</v>
      </c>
      <c r="J5" s="492">
        <v>0.24254431700000001</v>
      </c>
      <c r="K5" s="492">
        <v>0.494945405</v>
      </c>
      <c r="L5" s="492">
        <v>9.2155155000000002E-2</v>
      </c>
      <c r="M5" s="492">
        <v>0.18826599399999999</v>
      </c>
      <c r="N5" s="492">
        <v>0.44935906599999997</v>
      </c>
      <c r="O5" s="494"/>
      <c r="P5" s="494"/>
      <c r="Q5" s="494"/>
      <c r="R5" s="494"/>
      <c r="S5" s="494"/>
      <c r="T5" s="494"/>
      <c r="U5" s="494"/>
      <c r="V5" s="494"/>
      <c r="W5" s="494"/>
      <c r="X5" s="494"/>
      <c r="Y5" s="494"/>
      <c r="Z5" s="494"/>
      <c r="AA5" s="494"/>
      <c r="AB5" s="494"/>
      <c r="AC5" s="494"/>
      <c r="AD5" s="494"/>
      <c r="AE5" s="494"/>
      <c r="AF5" s="494"/>
      <c r="AG5" s="494"/>
      <c r="AH5" s="494"/>
      <c r="AI5" s="494"/>
      <c r="AJ5" s="494"/>
      <c r="AK5" s="494"/>
      <c r="AL5" s="494"/>
      <c r="AM5" s="494"/>
      <c r="AN5" s="494"/>
      <c r="AO5" s="494"/>
      <c r="AP5" s="494"/>
      <c r="AQ5" s="494"/>
      <c r="AR5" s="494"/>
      <c r="AS5" s="494"/>
      <c r="AT5" s="490"/>
    </row>
    <row r="6" spans="1:65" x14ac:dyDescent="0.35">
      <c r="A6" s="1177"/>
      <c r="C6" s="488"/>
      <c r="D6" s="491" t="s">
        <v>206</v>
      </c>
      <c r="E6" s="492">
        <v>7.5439610000000001E-3</v>
      </c>
      <c r="F6" s="493">
        <v>4.1586320000000003E-2</v>
      </c>
      <c r="G6" s="492">
        <v>4.4365131000000002E-2</v>
      </c>
      <c r="H6" s="492">
        <v>2.3935644999999998E-2</v>
      </c>
      <c r="I6" s="492">
        <v>1.0834785E-2</v>
      </c>
      <c r="J6" s="492">
        <v>2.2673816999999999E-2</v>
      </c>
      <c r="K6" s="492">
        <v>6.3577336999999998E-2</v>
      </c>
      <c r="L6" s="492">
        <v>1.2437746E-2</v>
      </c>
      <c r="M6" s="492">
        <v>1.9896414000000001E-2</v>
      </c>
      <c r="N6" s="492">
        <v>5.0350579999999999E-2</v>
      </c>
      <c r="O6" s="494"/>
      <c r="P6" s="494"/>
      <c r="Q6" s="491"/>
      <c r="R6" s="491"/>
      <c r="S6" s="491"/>
      <c r="T6" s="491"/>
      <c r="U6" s="491"/>
      <c r="V6" s="491"/>
      <c r="W6" s="491"/>
      <c r="X6" s="491"/>
      <c r="Y6" s="491"/>
      <c r="Z6" s="491"/>
      <c r="AA6" s="491"/>
      <c r="AB6" s="491"/>
      <c r="AC6" s="491"/>
      <c r="AD6" s="491"/>
      <c r="AE6" s="491"/>
      <c r="AF6" s="491"/>
      <c r="AG6" s="491"/>
      <c r="AH6" s="491"/>
      <c r="AI6" s="491"/>
      <c r="AJ6" s="491"/>
      <c r="AK6" s="491"/>
      <c r="AL6" s="491"/>
      <c r="AM6" s="491"/>
      <c r="AN6" s="491"/>
      <c r="AO6" s="491"/>
      <c r="AP6" s="491"/>
      <c r="AQ6" s="491"/>
      <c r="AR6" s="491"/>
      <c r="AS6" s="491"/>
      <c r="AT6" s="490"/>
    </row>
    <row r="7" spans="1:65" x14ac:dyDescent="0.35">
      <c r="A7" s="1177"/>
      <c r="C7" s="488"/>
      <c r="D7" s="491" t="s">
        <v>207</v>
      </c>
      <c r="E7" s="492">
        <v>0.21279999999999999</v>
      </c>
      <c r="F7" s="493">
        <v>0.68659999999999999</v>
      </c>
      <c r="G7" s="492">
        <v>1.1639999999999999</v>
      </c>
      <c r="H7" s="492">
        <v>0.39689999999999998</v>
      </c>
      <c r="I7" s="492">
        <v>0.2475</v>
      </c>
      <c r="J7" s="492">
        <v>0.55789999999999995</v>
      </c>
      <c r="K7" s="492">
        <v>1.1383000000000001</v>
      </c>
      <c r="L7" s="492">
        <v>0.21190000000000001</v>
      </c>
      <c r="M7" s="492">
        <v>0.43309999999999998</v>
      </c>
      <c r="N7" s="492">
        <v>1.0335000000000001</v>
      </c>
      <c r="O7" s="494"/>
      <c r="P7" s="494"/>
      <c r="Q7" s="491"/>
      <c r="R7" s="491"/>
      <c r="S7" s="491"/>
      <c r="T7" s="491"/>
      <c r="U7" s="491"/>
      <c r="V7" s="491"/>
      <c r="W7" s="491"/>
      <c r="X7" s="491"/>
      <c r="Y7" s="491"/>
      <c r="Z7" s="491"/>
      <c r="AA7" s="491"/>
      <c r="AB7" s="491"/>
      <c r="AC7" s="491"/>
      <c r="AD7" s="491"/>
      <c r="AE7" s="491"/>
      <c r="AF7" s="491"/>
      <c r="AG7" s="491"/>
      <c r="AH7" s="491"/>
      <c r="AI7" s="491"/>
      <c r="AJ7" s="491"/>
      <c r="AK7" s="491"/>
      <c r="AL7" s="491"/>
      <c r="AM7" s="491"/>
      <c r="AN7" s="491"/>
      <c r="AO7" s="491"/>
      <c r="AP7" s="491"/>
      <c r="AQ7" s="491"/>
      <c r="AR7" s="491"/>
      <c r="AS7" s="491"/>
      <c r="AT7" s="490"/>
    </row>
    <row r="8" spans="1:65" x14ac:dyDescent="0.35">
      <c r="A8" s="1177"/>
      <c r="C8" s="488"/>
      <c r="D8" s="491" t="s">
        <v>208</v>
      </c>
      <c r="E8" s="492">
        <v>1.9400000000000001E-2</v>
      </c>
      <c r="F8" s="493">
        <v>6.2700000000000006E-2</v>
      </c>
      <c r="G8" s="492">
        <v>0.10630000000000001</v>
      </c>
      <c r="H8" s="492">
        <v>3.6200000000000003E-2</v>
      </c>
      <c r="I8" s="492">
        <v>2.2499999999999999E-2</v>
      </c>
      <c r="J8" s="492">
        <v>5.0900000000000001E-2</v>
      </c>
      <c r="K8" s="492">
        <v>0.10390000000000001</v>
      </c>
      <c r="L8" s="492">
        <v>1.9199999999999998E-2</v>
      </c>
      <c r="M8" s="492">
        <v>3.9600000000000003E-2</v>
      </c>
      <c r="N8" s="492">
        <v>9.4299999999999995E-2</v>
      </c>
      <c r="O8" s="494"/>
      <c r="P8" s="494"/>
      <c r="Q8" s="491"/>
      <c r="R8" s="491"/>
      <c r="S8" s="491"/>
      <c r="T8" s="491"/>
      <c r="U8" s="491"/>
      <c r="V8" s="491"/>
      <c r="W8" s="491"/>
      <c r="X8" s="491"/>
      <c r="Y8" s="491"/>
      <c r="Z8" s="491"/>
      <c r="AA8" s="491"/>
      <c r="AB8" s="491"/>
      <c r="AC8" s="491"/>
      <c r="AD8" s="491"/>
      <c r="AE8" s="491"/>
      <c r="AF8" s="491"/>
      <c r="AG8" s="491"/>
      <c r="AH8" s="491"/>
      <c r="AI8" s="491"/>
      <c r="AJ8" s="491"/>
      <c r="AK8" s="491"/>
      <c r="AL8" s="491"/>
      <c r="AM8" s="491"/>
      <c r="AN8" s="491"/>
      <c r="AO8" s="491"/>
      <c r="AP8" s="491"/>
      <c r="AQ8" s="491"/>
      <c r="AR8" s="491"/>
      <c r="AS8" s="491"/>
      <c r="AT8" s="490"/>
    </row>
    <row r="9" spans="1:65" x14ac:dyDescent="0.3">
      <c r="C9" s="495"/>
      <c r="D9" s="496"/>
      <c r="E9" s="496"/>
      <c r="F9" s="496"/>
      <c r="G9" s="496"/>
      <c r="H9" s="496"/>
      <c r="I9" s="496"/>
      <c r="J9" s="496"/>
      <c r="K9" s="496"/>
      <c r="L9" s="496"/>
      <c r="M9" s="496"/>
      <c r="N9" s="496"/>
      <c r="O9" s="496"/>
      <c r="P9" s="496"/>
      <c r="Q9" s="496"/>
      <c r="R9" s="496"/>
      <c r="S9" s="496"/>
      <c r="T9" s="496"/>
      <c r="U9" s="496"/>
      <c r="V9" s="496"/>
      <c r="W9" s="496"/>
      <c r="X9" s="496"/>
      <c r="Y9" s="496"/>
      <c r="Z9" s="496"/>
      <c r="AA9" s="496"/>
      <c r="AB9" s="496"/>
      <c r="AC9" s="496"/>
      <c r="AD9" s="496"/>
      <c r="AE9" s="496"/>
      <c r="AF9" s="496"/>
      <c r="AG9" s="496"/>
      <c r="AH9" s="496"/>
      <c r="AI9" s="496"/>
      <c r="AJ9" s="496"/>
      <c r="AK9" s="496"/>
      <c r="AL9" s="496"/>
      <c r="AM9" s="496"/>
      <c r="AN9" s="496"/>
      <c r="AO9" s="496"/>
      <c r="AP9" s="496"/>
      <c r="AQ9" s="496"/>
      <c r="AR9" s="496"/>
      <c r="AS9" s="496"/>
      <c r="AT9" s="497"/>
    </row>
    <row r="10" spans="1:65" x14ac:dyDescent="0.3">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spans="1:65" x14ac:dyDescent="0.3">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row>
    <row r="12" spans="1:65" x14ac:dyDescent="0.3">
      <c r="C12" s="498"/>
      <c r="D12" s="499"/>
      <c r="E12" s="499"/>
      <c r="F12" s="499"/>
      <c r="G12" s="499"/>
      <c r="H12" s="499"/>
      <c r="I12" s="499"/>
      <c r="J12" s="499"/>
      <c r="K12" s="499"/>
      <c r="L12" s="499"/>
      <c r="M12" s="499"/>
      <c r="N12" s="499"/>
      <c r="O12" s="499"/>
      <c r="P12" s="499"/>
      <c r="Q12" s="499"/>
      <c r="R12" s="499"/>
      <c r="S12" s="499"/>
      <c r="T12" s="499"/>
      <c r="U12" s="499"/>
      <c r="V12" s="499"/>
      <c r="W12" s="499"/>
      <c r="X12" s="499"/>
      <c r="Y12" s="499"/>
      <c r="Z12" s="499"/>
      <c r="AA12" s="499"/>
      <c r="AB12" s="499"/>
      <c r="AC12" s="499"/>
      <c r="AD12" s="499"/>
      <c r="AE12" s="499"/>
      <c r="AF12" s="499"/>
      <c r="AG12" s="499"/>
      <c r="AH12" s="499"/>
      <c r="AI12" s="499"/>
      <c r="AJ12" s="499"/>
      <c r="AK12" s="499"/>
      <c r="AL12" s="499"/>
      <c r="AM12" s="499"/>
      <c r="AN12" s="499"/>
      <c r="AO12" s="499"/>
      <c r="AP12" s="499"/>
      <c r="AQ12" s="499"/>
      <c r="AR12" s="499"/>
      <c r="AS12" s="499"/>
      <c r="AT12" s="500"/>
    </row>
    <row r="13" spans="1:65" ht="17" x14ac:dyDescent="0.3">
      <c r="C13" s="501"/>
      <c r="D13" s="502" t="s">
        <v>38</v>
      </c>
      <c r="E13" s="503"/>
      <c r="F13" s="503"/>
      <c r="G13" s="503"/>
      <c r="H13" s="503"/>
      <c r="I13" s="503"/>
      <c r="J13" s="503"/>
      <c r="K13" s="503"/>
      <c r="L13" s="503"/>
      <c r="M13" s="503"/>
      <c r="N13" s="503"/>
      <c r="O13" s="503"/>
      <c r="P13" s="503"/>
      <c r="Q13" s="503"/>
      <c r="R13" s="503"/>
      <c r="S13" s="503"/>
      <c r="T13" s="503"/>
      <c r="U13" s="503"/>
      <c r="V13" s="503"/>
      <c r="W13" s="503"/>
      <c r="X13" s="503"/>
      <c r="Y13" s="503"/>
      <c r="Z13" s="503"/>
      <c r="AA13" s="503"/>
      <c r="AB13" s="503"/>
      <c r="AC13" s="503"/>
      <c r="AD13" s="503"/>
      <c r="AE13" s="503"/>
      <c r="AF13" s="503"/>
      <c r="AG13" s="503"/>
      <c r="AH13" s="503"/>
      <c r="AI13" s="503"/>
      <c r="AJ13" s="503"/>
      <c r="AK13" s="503"/>
      <c r="AL13" s="503"/>
      <c r="AM13" s="503"/>
      <c r="AN13" s="503"/>
      <c r="AO13" s="503"/>
      <c r="AP13" s="503"/>
      <c r="AQ13" s="503"/>
      <c r="AR13" s="503"/>
      <c r="AS13" s="503"/>
      <c r="AT13" s="504"/>
    </row>
    <row r="14" spans="1:65" x14ac:dyDescent="0.3">
      <c r="C14" s="501"/>
      <c r="D14" s="505" t="s">
        <v>209</v>
      </c>
      <c r="E14" s="503"/>
      <c r="F14" s="503"/>
      <c r="G14" s="503"/>
      <c r="H14" s="503"/>
      <c r="I14" s="503"/>
      <c r="J14" s="503"/>
      <c r="K14" s="503"/>
      <c r="L14" s="503"/>
      <c r="M14" s="503"/>
      <c r="N14" s="503"/>
      <c r="O14" s="503"/>
      <c r="P14" s="503"/>
      <c r="Q14" s="503"/>
      <c r="R14" s="503"/>
      <c r="S14" s="503"/>
      <c r="T14" s="503"/>
      <c r="U14" s="503"/>
      <c r="V14" s="503"/>
      <c r="W14" s="503"/>
      <c r="X14" s="503"/>
      <c r="Y14" s="503"/>
      <c r="Z14" s="503"/>
      <c r="AA14" s="503"/>
      <c r="AB14" s="503"/>
      <c r="AC14" s="503"/>
      <c r="AD14" s="503"/>
      <c r="AE14" s="503"/>
      <c r="AF14" s="503"/>
      <c r="AG14" s="503"/>
      <c r="AH14" s="503"/>
      <c r="AI14" s="503"/>
      <c r="AJ14" s="503"/>
      <c r="AK14" s="503"/>
      <c r="AL14" s="503"/>
      <c r="AM14" s="503"/>
      <c r="AN14" s="503"/>
      <c r="AO14" s="503"/>
      <c r="AP14" s="503"/>
      <c r="AQ14" s="503"/>
      <c r="AR14" s="503"/>
      <c r="AS14" s="503"/>
      <c r="AT14" s="504"/>
    </row>
    <row r="15" spans="1:65" x14ac:dyDescent="0.3">
      <c r="A15" s="376" t="s">
        <v>210</v>
      </c>
      <c r="B15" s="26"/>
      <c r="C15" s="501"/>
      <c r="D15" s="503" t="s">
        <v>211</v>
      </c>
      <c r="E15" s="503">
        <v>9.7918000000000005E-2</v>
      </c>
      <c r="F15" s="503">
        <v>9.7918000000000005E-2</v>
      </c>
      <c r="G15" s="503">
        <v>9.7918000000000005E-2</v>
      </c>
      <c r="H15" s="503">
        <v>9.7918000000000005E-2</v>
      </c>
      <c r="I15" s="503">
        <v>9.7918000000000005E-2</v>
      </c>
      <c r="J15" s="503">
        <v>9.4353000000000006E-2</v>
      </c>
      <c r="K15" s="503">
        <v>9.4353000000000006E-2</v>
      </c>
      <c r="L15" s="503">
        <v>0.122793</v>
      </c>
      <c r="M15" s="503">
        <v>0.122793</v>
      </c>
      <c r="N15" s="503"/>
      <c r="O15" s="503"/>
      <c r="P15" s="503"/>
      <c r="Q15" s="503"/>
      <c r="R15" s="503"/>
      <c r="S15" s="503"/>
      <c r="T15" s="503"/>
      <c r="U15" s="503"/>
      <c r="V15" s="503"/>
      <c r="W15" s="503"/>
      <c r="X15" s="503"/>
      <c r="Y15" s="503"/>
      <c r="Z15" s="503"/>
      <c r="AA15" s="503"/>
      <c r="AB15" s="503"/>
      <c r="AC15" s="503"/>
      <c r="AD15" s="503"/>
      <c r="AE15" s="503"/>
      <c r="AF15" s="503"/>
      <c r="AG15" s="503"/>
      <c r="AH15" s="503"/>
      <c r="AI15" s="503"/>
      <c r="AJ15" s="503"/>
      <c r="AK15" s="503"/>
      <c r="AL15" s="503"/>
      <c r="AM15" s="503"/>
      <c r="AN15" s="503"/>
      <c r="AO15" s="503"/>
      <c r="AP15" s="503"/>
      <c r="AQ15" s="503"/>
      <c r="AR15" s="503"/>
      <c r="AS15" s="503"/>
      <c r="AT15" s="504"/>
      <c r="AU15" s="22"/>
      <c r="AV15" s="22"/>
      <c r="AW15" s="22"/>
    </row>
    <row r="16" spans="1:65" x14ac:dyDescent="0.3">
      <c r="A16" s="1178" t="s">
        <v>212</v>
      </c>
      <c r="B16" s="26"/>
      <c r="C16" s="501"/>
      <c r="D16" s="503" t="s">
        <v>213</v>
      </c>
      <c r="E16" s="503">
        <v>5.0421000000000001E-2</v>
      </c>
      <c r="F16" s="503">
        <v>5.0421000000000001E-2</v>
      </c>
      <c r="G16" s="503">
        <v>5.0421000000000001E-2</v>
      </c>
      <c r="H16" s="503">
        <v>5.0421000000000001E-2</v>
      </c>
      <c r="I16" s="503">
        <v>5.0421000000000001E-2</v>
      </c>
      <c r="J16" s="503">
        <v>3.3241E-2</v>
      </c>
      <c r="K16" s="503">
        <v>3.3241E-2</v>
      </c>
      <c r="L16" s="503">
        <v>3.7765E-2</v>
      </c>
      <c r="M16" s="503">
        <v>3.7765E-2</v>
      </c>
      <c r="N16" s="503"/>
      <c r="O16" s="503"/>
      <c r="P16" s="503"/>
      <c r="Q16" s="503"/>
      <c r="R16" s="503"/>
      <c r="S16" s="503"/>
      <c r="T16" s="503"/>
      <c r="U16" s="503"/>
      <c r="V16" s="503"/>
      <c r="W16" s="503"/>
      <c r="X16" s="503"/>
      <c r="Y16" s="503"/>
      <c r="Z16" s="503"/>
      <c r="AA16" s="503"/>
      <c r="AB16" s="503"/>
      <c r="AC16" s="503"/>
      <c r="AD16" s="503"/>
      <c r="AE16" s="503"/>
      <c r="AF16" s="503"/>
      <c r="AG16" s="503"/>
      <c r="AH16" s="503"/>
      <c r="AI16" s="503"/>
      <c r="AJ16" s="503"/>
      <c r="AK16" s="503"/>
      <c r="AL16" s="503"/>
      <c r="AM16" s="503"/>
      <c r="AN16" s="503"/>
      <c r="AO16" s="503"/>
      <c r="AP16" s="503"/>
      <c r="AQ16" s="503"/>
      <c r="AR16" s="503"/>
      <c r="AS16" s="503"/>
      <c r="AT16" s="504"/>
      <c r="AU16" s="22"/>
      <c r="AV16" s="22"/>
      <c r="AW16" s="22"/>
    </row>
    <row r="17" spans="1:46" x14ac:dyDescent="0.3">
      <c r="A17" s="1178"/>
      <c r="C17" s="501"/>
      <c r="D17" s="506" t="s">
        <v>214</v>
      </c>
      <c r="E17" s="506">
        <v>10.523577</v>
      </c>
      <c r="F17" s="506">
        <v>10.523577</v>
      </c>
      <c r="G17" s="506">
        <v>10.523577</v>
      </c>
      <c r="H17" s="506">
        <v>10.523577</v>
      </c>
      <c r="I17" s="506">
        <v>10.523577</v>
      </c>
      <c r="J17" s="503"/>
      <c r="K17" s="503"/>
      <c r="L17" s="503"/>
      <c r="M17" s="503"/>
      <c r="N17" s="503"/>
      <c r="O17" s="503"/>
      <c r="P17" s="503"/>
      <c r="Q17" s="503"/>
      <c r="R17" s="503"/>
      <c r="S17" s="503"/>
      <c r="T17" s="503"/>
      <c r="U17" s="503"/>
      <c r="V17" s="503"/>
      <c r="W17" s="503"/>
      <c r="X17" s="503"/>
      <c r="Y17" s="503"/>
      <c r="Z17" s="503"/>
      <c r="AA17" s="503"/>
      <c r="AB17" s="503"/>
      <c r="AC17" s="503"/>
      <c r="AD17" s="503"/>
      <c r="AE17" s="503"/>
      <c r="AF17" s="503"/>
      <c r="AG17" s="503"/>
      <c r="AH17" s="503"/>
      <c r="AI17" s="503"/>
      <c r="AJ17" s="503"/>
      <c r="AK17" s="503"/>
      <c r="AL17" s="503"/>
      <c r="AM17" s="503"/>
      <c r="AN17" s="503"/>
      <c r="AO17" s="503"/>
      <c r="AP17" s="503"/>
      <c r="AQ17" s="503"/>
      <c r="AR17" s="507"/>
      <c r="AS17" s="377"/>
      <c r="AT17" s="504"/>
    </row>
    <row r="18" spans="1:46" x14ac:dyDescent="0.3">
      <c r="A18" s="1178"/>
      <c r="C18" s="501"/>
      <c r="D18" s="506" t="s">
        <v>215</v>
      </c>
      <c r="E18" s="506">
        <v>38.586447</v>
      </c>
      <c r="F18" s="506">
        <v>38.586447</v>
      </c>
      <c r="G18" s="506">
        <v>38.586447</v>
      </c>
      <c r="H18" s="506">
        <v>38.586447</v>
      </c>
      <c r="I18" s="506">
        <v>38.586447</v>
      </c>
      <c r="J18" s="503"/>
      <c r="K18" s="503"/>
      <c r="L18" s="503"/>
      <c r="M18" s="503"/>
      <c r="N18" s="503"/>
      <c r="O18" s="503"/>
      <c r="P18" s="503"/>
      <c r="Q18" s="503"/>
      <c r="R18" s="503"/>
      <c r="S18" s="503"/>
      <c r="T18" s="503"/>
      <c r="U18" s="503"/>
      <c r="V18" s="503"/>
      <c r="W18" s="503"/>
      <c r="X18" s="503"/>
      <c r="Y18" s="503"/>
      <c r="Z18" s="503"/>
      <c r="AA18" s="503"/>
      <c r="AB18" s="503"/>
      <c r="AC18" s="503"/>
      <c r="AD18" s="503"/>
      <c r="AE18" s="503"/>
      <c r="AF18" s="503"/>
      <c r="AG18" s="503"/>
      <c r="AH18" s="503"/>
      <c r="AI18" s="503"/>
      <c r="AJ18" s="503"/>
      <c r="AK18" s="503"/>
      <c r="AL18" s="503"/>
      <c r="AM18" s="503"/>
      <c r="AN18" s="503"/>
      <c r="AO18" s="503"/>
      <c r="AP18" s="503"/>
      <c r="AQ18" s="503"/>
      <c r="AR18" s="507"/>
      <c r="AS18" s="377"/>
      <c r="AT18" s="504"/>
    </row>
    <row r="19" spans="1:46" x14ac:dyDescent="0.3">
      <c r="A19" s="960">
        <v>6</v>
      </c>
      <c r="C19" s="501"/>
      <c r="D19" s="506" t="s">
        <v>216</v>
      </c>
      <c r="E19" s="506"/>
      <c r="F19" s="506"/>
      <c r="G19" s="506"/>
      <c r="H19" s="506"/>
      <c r="I19" s="506">
        <v>5.4966589099999998</v>
      </c>
      <c r="J19" s="506"/>
      <c r="K19" s="506">
        <v>5.5093518899999996</v>
      </c>
      <c r="L19" s="506"/>
      <c r="M19" s="506">
        <v>5.5139349429999998</v>
      </c>
      <c r="N19" s="503"/>
      <c r="O19" s="503"/>
      <c r="P19" s="503"/>
      <c r="Q19" s="503"/>
      <c r="R19" s="503"/>
      <c r="S19" s="503"/>
      <c r="T19" s="503"/>
      <c r="U19" s="503"/>
      <c r="V19" s="503"/>
      <c r="W19" s="503"/>
      <c r="X19" s="503"/>
      <c r="Y19" s="503"/>
      <c r="Z19" s="503"/>
      <c r="AA19" s="503"/>
      <c r="AB19" s="503"/>
      <c r="AC19" s="503"/>
      <c r="AD19" s="503"/>
      <c r="AE19" s="503"/>
      <c r="AF19" s="503"/>
      <c r="AG19" s="503"/>
      <c r="AH19" s="503"/>
      <c r="AI19" s="503"/>
      <c r="AJ19" s="503"/>
      <c r="AK19" s="503"/>
      <c r="AL19" s="503"/>
      <c r="AM19" s="503"/>
      <c r="AN19" s="503"/>
      <c r="AO19" s="503"/>
      <c r="AP19" s="503"/>
      <c r="AQ19" s="503"/>
      <c r="AR19" s="507"/>
      <c r="AS19" s="377"/>
      <c r="AT19" s="504"/>
    </row>
    <row r="20" spans="1:46" x14ac:dyDescent="0.3">
      <c r="A20" s="376">
        <v>6</v>
      </c>
      <c r="C20" s="501"/>
      <c r="D20" s="506" t="s">
        <v>217</v>
      </c>
      <c r="E20" s="506"/>
      <c r="F20" s="506"/>
      <c r="G20" s="506"/>
      <c r="H20" s="506"/>
      <c r="I20" s="506">
        <v>20.279497330000002</v>
      </c>
      <c r="J20" s="506"/>
      <c r="K20" s="506">
        <v>20.279497330000002</v>
      </c>
      <c r="L20" s="506"/>
      <c r="M20" s="506">
        <v>20.279497330000002</v>
      </c>
      <c r="N20" s="503"/>
      <c r="O20" s="503"/>
      <c r="P20" s="503"/>
      <c r="Q20" s="503"/>
      <c r="R20" s="503"/>
      <c r="S20" s="503"/>
      <c r="T20" s="503"/>
      <c r="U20" s="503"/>
      <c r="V20" s="503"/>
      <c r="W20" s="503"/>
      <c r="X20" s="503"/>
      <c r="Y20" s="503"/>
      <c r="Z20" s="503"/>
      <c r="AA20" s="503"/>
      <c r="AB20" s="503"/>
      <c r="AC20" s="503"/>
      <c r="AD20" s="503"/>
      <c r="AE20" s="503"/>
      <c r="AF20" s="503"/>
      <c r="AG20" s="503"/>
      <c r="AH20" s="503"/>
      <c r="AI20" s="503"/>
      <c r="AJ20" s="503"/>
      <c r="AK20" s="503"/>
      <c r="AL20" s="503"/>
      <c r="AM20" s="503"/>
      <c r="AN20" s="503"/>
      <c r="AO20" s="503"/>
      <c r="AP20" s="503"/>
      <c r="AQ20" s="503"/>
      <c r="AR20" s="507"/>
      <c r="AS20" s="377"/>
      <c r="AT20" s="504"/>
    </row>
    <row r="21" spans="1:46" x14ac:dyDescent="0.3">
      <c r="C21" s="508"/>
      <c r="D21" s="509"/>
      <c r="E21" s="509"/>
      <c r="F21" s="509"/>
      <c r="G21" s="509"/>
      <c r="H21" s="509"/>
      <c r="I21" s="509"/>
      <c r="J21" s="509"/>
      <c r="K21" s="509"/>
      <c r="L21" s="509"/>
      <c r="M21" s="509"/>
      <c r="N21" s="509"/>
      <c r="O21" s="509"/>
      <c r="P21" s="509"/>
      <c r="Q21" s="509"/>
      <c r="R21" s="509"/>
      <c r="S21" s="509"/>
      <c r="T21" s="509"/>
      <c r="U21" s="509"/>
      <c r="V21" s="509"/>
      <c r="W21" s="509"/>
      <c r="X21" s="509"/>
      <c r="Y21" s="509"/>
      <c r="Z21" s="509"/>
      <c r="AA21" s="509"/>
      <c r="AB21" s="509"/>
      <c r="AC21" s="509"/>
      <c r="AD21" s="509"/>
      <c r="AE21" s="509"/>
      <c r="AF21" s="509"/>
      <c r="AG21" s="509"/>
      <c r="AH21" s="509"/>
      <c r="AI21" s="509"/>
      <c r="AJ21" s="509"/>
      <c r="AK21" s="509"/>
      <c r="AL21" s="509"/>
      <c r="AM21" s="509"/>
      <c r="AN21" s="509"/>
      <c r="AO21" s="509"/>
      <c r="AP21" s="509"/>
      <c r="AQ21" s="509"/>
      <c r="AR21" s="509"/>
      <c r="AS21" s="509"/>
      <c r="AT21" s="510"/>
    </row>
    <row r="24" spans="1:46" x14ac:dyDescent="0.35">
      <c r="C24" s="113"/>
      <c r="F24" s="112"/>
    </row>
    <row r="25" spans="1:46" ht="15.5" x14ac:dyDescent="0.35">
      <c r="C25" s="31" t="s">
        <v>95</v>
      </c>
      <c r="D25" s="155" t="s">
        <v>95</v>
      </c>
      <c r="E25" s="114" t="s">
        <v>218</v>
      </c>
      <c r="F25" s="114"/>
      <c r="G25" s="114"/>
      <c r="H25" s="114"/>
      <c r="I25" s="115" t="s">
        <v>95</v>
      </c>
      <c r="J25" s="115" t="s">
        <v>95</v>
      </c>
      <c r="K25" s="115" t="s">
        <v>95</v>
      </c>
      <c r="L25" s="115" t="s">
        <v>95</v>
      </c>
      <c r="M25" s="115" t="s">
        <v>95</v>
      </c>
      <c r="N25" s="115" t="s">
        <v>95</v>
      </c>
      <c r="O25" s="115" t="s">
        <v>95</v>
      </c>
      <c r="P25" s="115" t="s">
        <v>95</v>
      </c>
      <c r="Q25" s="115" t="s">
        <v>95</v>
      </c>
      <c r="R25" s="115" t="s">
        <v>95</v>
      </c>
      <c r="S25" s="115" t="s">
        <v>95</v>
      </c>
      <c r="T25" s="115" t="s">
        <v>95</v>
      </c>
      <c r="U25" s="115" t="s">
        <v>95</v>
      </c>
      <c r="V25" s="115" t="s">
        <v>95</v>
      </c>
      <c r="W25" s="115" t="s">
        <v>95</v>
      </c>
      <c r="X25" s="115" t="s">
        <v>95</v>
      </c>
      <c r="Y25" s="115" t="s">
        <v>95</v>
      </c>
      <c r="Z25" s="115" t="s">
        <v>95</v>
      </c>
      <c r="AA25" s="115" t="s">
        <v>95</v>
      </c>
      <c r="AB25" s="115" t="s">
        <v>95</v>
      </c>
      <c r="AC25" s="115" t="s">
        <v>95</v>
      </c>
      <c r="AD25" s="115" t="s">
        <v>95</v>
      </c>
      <c r="AE25" s="115" t="s">
        <v>95</v>
      </c>
      <c r="AF25" s="115" t="s">
        <v>95</v>
      </c>
      <c r="AG25" s="115" t="s">
        <v>95</v>
      </c>
      <c r="AH25" s="115" t="s">
        <v>95</v>
      </c>
      <c r="AI25" s="115" t="s">
        <v>95</v>
      </c>
      <c r="AJ25" s="115" t="s">
        <v>95</v>
      </c>
      <c r="AK25" s="115" t="s">
        <v>95</v>
      </c>
      <c r="AL25" s="115" t="s">
        <v>95</v>
      </c>
      <c r="AM25" s="115" t="s">
        <v>95</v>
      </c>
      <c r="AN25" s="115" t="s">
        <v>95</v>
      </c>
      <c r="AO25" s="115" t="s">
        <v>95</v>
      </c>
      <c r="AP25" s="115" t="s">
        <v>95</v>
      </c>
      <c r="AQ25" s="115" t="s">
        <v>95</v>
      </c>
      <c r="AR25" s="115" t="s">
        <v>95</v>
      </c>
      <c r="AS25" s="115" t="s">
        <v>95</v>
      </c>
      <c r="AT25" s="116" t="s">
        <v>95</v>
      </c>
    </row>
    <row r="26" spans="1:46" x14ac:dyDescent="0.35">
      <c r="C26" s="164" t="s">
        <v>95</v>
      </c>
      <c r="D26" s="511" t="s">
        <v>95</v>
      </c>
      <c r="E26" s="457" t="s">
        <v>219</v>
      </c>
      <c r="F26" s="457"/>
      <c r="G26" s="457"/>
      <c r="H26" s="457"/>
      <c r="I26" s="457" t="s">
        <v>95</v>
      </c>
      <c r="J26" s="457" t="s">
        <v>95</v>
      </c>
      <c r="K26" s="457" t="s">
        <v>95</v>
      </c>
      <c r="L26" s="457" t="s">
        <v>95</v>
      </c>
      <c r="M26" s="457" t="s">
        <v>95</v>
      </c>
      <c r="N26" s="457" t="s">
        <v>95</v>
      </c>
      <c r="O26" s="457" t="s">
        <v>95</v>
      </c>
      <c r="P26" s="457" t="s">
        <v>95</v>
      </c>
      <c r="Q26" s="457" t="s">
        <v>95</v>
      </c>
      <c r="R26" s="457" t="s">
        <v>95</v>
      </c>
      <c r="S26" s="457" t="s">
        <v>95</v>
      </c>
      <c r="T26" s="457" t="s">
        <v>95</v>
      </c>
      <c r="U26" s="457" t="s">
        <v>95</v>
      </c>
      <c r="V26" s="457" t="s">
        <v>95</v>
      </c>
      <c r="W26" s="457" t="s">
        <v>95</v>
      </c>
      <c r="X26" s="457" t="s">
        <v>95</v>
      </c>
      <c r="Y26" s="457" t="s">
        <v>95</v>
      </c>
      <c r="Z26" s="457" t="s">
        <v>95</v>
      </c>
      <c r="AA26" s="457" t="s">
        <v>95</v>
      </c>
      <c r="AB26" s="457" t="s">
        <v>95</v>
      </c>
      <c r="AC26" s="457" t="s">
        <v>95</v>
      </c>
      <c r="AD26" s="457" t="s">
        <v>95</v>
      </c>
      <c r="AE26" s="457" t="s">
        <v>95</v>
      </c>
      <c r="AF26" s="457" t="s">
        <v>95</v>
      </c>
      <c r="AG26" s="457" t="s">
        <v>95</v>
      </c>
      <c r="AH26" s="457" t="s">
        <v>95</v>
      </c>
      <c r="AI26" s="457" t="s">
        <v>95</v>
      </c>
      <c r="AJ26" s="457" t="s">
        <v>95</v>
      </c>
      <c r="AK26" s="457" t="s">
        <v>95</v>
      </c>
      <c r="AL26" s="457" t="s">
        <v>95</v>
      </c>
      <c r="AM26" s="457" t="s">
        <v>95</v>
      </c>
      <c r="AN26" s="457" t="s">
        <v>95</v>
      </c>
      <c r="AO26" s="457" t="s">
        <v>95</v>
      </c>
      <c r="AP26" s="457" t="s">
        <v>95</v>
      </c>
      <c r="AQ26" s="457" t="s">
        <v>95</v>
      </c>
      <c r="AR26" s="457" t="s">
        <v>95</v>
      </c>
      <c r="AS26" s="457" t="s">
        <v>95</v>
      </c>
      <c r="AT26" s="340" t="s">
        <v>95</v>
      </c>
    </row>
    <row r="27" spans="1:46" x14ac:dyDescent="0.35">
      <c r="A27" s="1177">
        <v>6</v>
      </c>
      <c r="C27" s="1179" t="s">
        <v>99</v>
      </c>
      <c r="D27" s="1180"/>
      <c r="E27" s="425" t="s">
        <v>95</v>
      </c>
      <c r="F27" s="425" t="s">
        <v>95</v>
      </c>
      <c r="G27" s="425">
        <v>388.1398532</v>
      </c>
      <c r="H27" s="425" t="s">
        <v>95</v>
      </c>
      <c r="I27" s="425">
        <v>388.1398532</v>
      </c>
      <c r="J27" s="425" t="s">
        <v>95</v>
      </c>
      <c r="K27" s="425">
        <v>397.07533999999998</v>
      </c>
      <c r="L27" s="425" t="s">
        <v>95</v>
      </c>
      <c r="M27" s="425">
        <v>406.02577000000002</v>
      </c>
      <c r="N27" s="425" t="s">
        <v>95</v>
      </c>
      <c r="O27" s="425" t="s">
        <v>95</v>
      </c>
      <c r="P27" s="425" t="s">
        <v>95</v>
      </c>
      <c r="Q27" s="425" t="s">
        <v>95</v>
      </c>
      <c r="R27" s="425" t="s">
        <v>95</v>
      </c>
      <c r="S27" s="425" t="s">
        <v>95</v>
      </c>
      <c r="T27" s="425" t="s">
        <v>95</v>
      </c>
      <c r="U27" s="425" t="s">
        <v>95</v>
      </c>
      <c r="V27" s="425" t="s">
        <v>95</v>
      </c>
      <c r="W27" s="425" t="s">
        <v>95</v>
      </c>
      <c r="X27" s="425" t="s">
        <v>95</v>
      </c>
      <c r="Y27" s="425" t="s">
        <v>95</v>
      </c>
      <c r="Z27" s="425" t="s">
        <v>95</v>
      </c>
      <c r="AA27" s="425" t="s">
        <v>95</v>
      </c>
      <c r="AB27" s="425" t="s">
        <v>95</v>
      </c>
      <c r="AC27" s="425" t="s">
        <v>95</v>
      </c>
      <c r="AD27" s="425" t="s">
        <v>95</v>
      </c>
      <c r="AE27" s="425" t="s">
        <v>95</v>
      </c>
      <c r="AF27" s="425" t="s">
        <v>95</v>
      </c>
      <c r="AG27" s="425" t="s">
        <v>95</v>
      </c>
      <c r="AH27" s="425" t="s">
        <v>95</v>
      </c>
      <c r="AI27" s="425" t="s">
        <v>95</v>
      </c>
      <c r="AJ27" s="425" t="s">
        <v>95</v>
      </c>
      <c r="AK27" s="425" t="s">
        <v>95</v>
      </c>
      <c r="AL27" s="425" t="s">
        <v>95</v>
      </c>
      <c r="AM27" s="425" t="s">
        <v>95</v>
      </c>
      <c r="AN27" s="425" t="s">
        <v>95</v>
      </c>
      <c r="AO27" s="425" t="s">
        <v>95</v>
      </c>
      <c r="AP27" s="425" t="s">
        <v>95</v>
      </c>
      <c r="AQ27" s="425" t="s">
        <v>95</v>
      </c>
      <c r="AR27" s="425" t="s">
        <v>95</v>
      </c>
      <c r="AS27" s="425" t="s">
        <v>95</v>
      </c>
      <c r="AT27" s="341" t="s">
        <v>95</v>
      </c>
    </row>
    <row r="28" spans="1:46" x14ac:dyDescent="0.35">
      <c r="A28" s="1177"/>
      <c r="C28" s="1172" t="s">
        <v>101</v>
      </c>
      <c r="D28" s="1021"/>
      <c r="E28" s="425" t="s">
        <v>95</v>
      </c>
      <c r="F28" s="425" t="s">
        <v>95</v>
      </c>
      <c r="G28" s="425">
        <v>307.81849999999997</v>
      </c>
      <c r="H28" s="425" t="s">
        <v>95</v>
      </c>
      <c r="I28" s="425">
        <v>307.81849999999997</v>
      </c>
      <c r="J28" s="425" t="s">
        <v>95</v>
      </c>
      <c r="K28" s="425">
        <v>307.81849999999997</v>
      </c>
      <c r="L28" s="425" t="s">
        <v>95</v>
      </c>
      <c r="M28" s="425">
        <v>307.81849999999997</v>
      </c>
      <c r="N28" s="425" t="s">
        <v>95</v>
      </c>
      <c r="O28" s="425" t="s">
        <v>95</v>
      </c>
      <c r="P28" s="425" t="s">
        <v>95</v>
      </c>
      <c r="Q28" s="425" t="s">
        <v>95</v>
      </c>
      <c r="R28" s="425" t="s">
        <v>95</v>
      </c>
      <c r="S28" s="425" t="s">
        <v>95</v>
      </c>
      <c r="T28" s="425" t="s">
        <v>95</v>
      </c>
      <c r="U28" s="425" t="s">
        <v>95</v>
      </c>
      <c r="V28" s="425" t="s">
        <v>95</v>
      </c>
      <c r="W28" s="425" t="s">
        <v>95</v>
      </c>
      <c r="X28" s="425" t="s">
        <v>95</v>
      </c>
      <c r="Y28" s="425" t="s">
        <v>95</v>
      </c>
      <c r="Z28" s="425" t="s">
        <v>95</v>
      </c>
      <c r="AA28" s="425" t="s">
        <v>95</v>
      </c>
      <c r="AB28" s="425" t="s">
        <v>95</v>
      </c>
      <c r="AC28" s="425" t="s">
        <v>95</v>
      </c>
      <c r="AD28" s="425" t="s">
        <v>95</v>
      </c>
      <c r="AE28" s="425" t="s">
        <v>95</v>
      </c>
      <c r="AF28" s="425" t="s">
        <v>95</v>
      </c>
      <c r="AG28" s="425" t="s">
        <v>95</v>
      </c>
      <c r="AH28" s="425" t="s">
        <v>95</v>
      </c>
      <c r="AI28" s="425" t="s">
        <v>95</v>
      </c>
      <c r="AJ28" s="425" t="s">
        <v>95</v>
      </c>
      <c r="AK28" s="425" t="s">
        <v>95</v>
      </c>
      <c r="AL28" s="425" t="s">
        <v>95</v>
      </c>
      <c r="AM28" s="425" t="s">
        <v>95</v>
      </c>
      <c r="AN28" s="425" t="s">
        <v>95</v>
      </c>
      <c r="AO28" s="425" t="s">
        <v>95</v>
      </c>
      <c r="AP28" s="425" t="s">
        <v>95</v>
      </c>
      <c r="AQ28" s="425" t="s">
        <v>95</v>
      </c>
      <c r="AR28" s="425" t="s">
        <v>95</v>
      </c>
      <c r="AS28" s="425" t="s">
        <v>95</v>
      </c>
      <c r="AT28" s="341" t="s">
        <v>95</v>
      </c>
    </row>
    <row r="29" spans="1:46" x14ac:dyDescent="0.35">
      <c r="A29" s="1177"/>
      <c r="C29" s="1175" t="s">
        <v>146</v>
      </c>
      <c r="D29" s="1023"/>
      <c r="E29" s="425"/>
      <c r="F29" s="425"/>
      <c r="G29" s="425"/>
      <c r="H29" s="425"/>
      <c r="I29" s="425"/>
      <c r="J29" s="425"/>
      <c r="K29" s="425"/>
      <c r="L29" s="425"/>
      <c r="M29" s="425"/>
      <c r="N29" s="425"/>
      <c r="O29" s="425"/>
      <c r="P29" s="425"/>
      <c r="Q29" s="425"/>
      <c r="R29" s="425"/>
      <c r="S29" s="425"/>
      <c r="T29" s="425"/>
      <c r="U29" s="425"/>
      <c r="V29" s="425"/>
      <c r="W29" s="425"/>
      <c r="X29" s="425"/>
      <c r="Y29" s="425"/>
      <c r="Z29" s="425"/>
      <c r="AA29" s="425"/>
      <c r="AB29" s="425"/>
      <c r="AC29" s="425"/>
      <c r="AD29" s="425"/>
      <c r="AE29" s="425"/>
      <c r="AF29" s="425"/>
      <c r="AG29" s="425"/>
      <c r="AH29" s="425"/>
      <c r="AI29" s="425"/>
      <c r="AJ29" s="425"/>
      <c r="AK29" s="425"/>
      <c r="AL29" s="425"/>
      <c r="AM29" s="425"/>
      <c r="AN29" s="425"/>
      <c r="AO29" s="425"/>
      <c r="AP29" s="425"/>
      <c r="AQ29" s="425"/>
      <c r="AR29" s="425"/>
      <c r="AS29" s="425"/>
      <c r="AT29" s="341"/>
    </row>
    <row r="30" spans="1:46" x14ac:dyDescent="0.35">
      <c r="A30" s="1177"/>
      <c r="C30" s="1172" t="s">
        <v>74</v>
      </c>
      <c r="D30" s="1021"/>
      <c r="E30" s="425" t="s">
        <v>95</v>
      </c>
      <c r="F30" s="425" t="s">
        <v>95</v>
      </c>
      <c r="G30" s="425">
        <v>128.33333329999999</v>
      </c>
      <c r="H30" s="425" t="s">
        <v>95</v>
      </c>
      <c r="I30" s="425">
        <v>128.33333329999999</v>
      </c>
      <c r="J30" s="425" t="s">
        <v>95</v>
      </c>
      <c r="K30" s="425">
        <v>128.33332999999999</v>
      </c>
      <c r="L30" s="425" t="s">
        <v>95</v>
      </c>
      <c r="M30" s="425">
        <v>128.33332999999999</v>
      </c>
      <c r="N30" s="425" t="s">
        <v>95</v>
      </c>
      <c r="O30" s="425" t="s">
        <v>95</v>
      </c>
      <c r="P30" s="425" t="s">
        <v>95</v>
      </c>
      <c r="Q30" s="425" t="s">
        <v>95</v>
      </c>
      <c r="R30" s="425" t="s">
        <v>95</v>
      </c>
      <c r="S30" s="425" t="s">
        <v>95</v>
      </c>
      <c r="T30" s="425" t="s">
        <v>95</v>
      </c>
      <c r="U30" s="425" t="s">
        <v>95</v>
      </c>
      <c r="V30" s="425" t="s">
        <v>95</v>
      </c>
      <c r="W30" s="425" t="s">
        <v>95</v>
      </c>
      <c r="X30" s="425" t="s">
        <v>95</v>
      </c>
      <c r="Y30" s="425" t="s">
        <v>95</v>
      </c>
      <c r="Z30" s="425" t="s">
        <v>95</v>
      </c>
      <c r="AA30" s="425" t="s">
        <v>95</v>
      </c>
      <c r="AB30" s="425" t="s">
        <v>95</v>
      </c>
      <c r="AC30" s="425" t="s">
        <v>95</v>
      </c>
      <c r="AD30" s="425" t="s">
        <v>95</v>
      </c>
      <c r="AE30" s="425" t="s">
        <v>95</v>
      </c>
      <c r="AF30" s="425" t="s">
        <v>95</v>
      </c>
      <c r="AG30" s="425" t="s">
        <v>95</v>
      </c>
      <c r="AH30" s="425" t="s">
        <v>95</v>
      </c>
      <c r="AI30" s="425" t="s">
        <v>95</v>
      </c>
      <c r="AJ30" s="425" t="s">
        <v>95</v>
      </c>
      <c r="AK30" s="425" t="s">
        <v>95</v>
      </c>
      <c r="AL30" s="425" t="s">
        <v>95</v>
      </c>
      <c r="AM30" s="425" t="s">
        <v>95</v>
      </c>
      <c r="AN30" s="425" t="s">
        <v>95</v>
      </c>
      <c r="AO30" s="425" t="s">
        <v>95</v>
      </c>
      <c r="AP30" s="425" t="s">
        <v>95</v>
      </c>
      <c r="AQ30" s="425" t="s">
        <v>95</v>
      </c>
      <c r="AR30" s="425" t="s">
        <v>95</v>
      </c>
      <c r="AS30" s="425" t="s">
        <v>95</v>
      </c>
      <c r="AT30" s="341" t="s">
        <v>95</v>
      </c>
    </row>
    <row r="31" spans="1:46" x14ac:dyDescent="0.35">
      <c r="A31" s="1177"/>
      <c r="C31" s="1172" t="s">
        <v>103</v>
      </c>
      <c r="D31" s="1021"/>
      <c r="E31" s="425" t="s">
        <v>95</v>
      </c>
      <c r="F31" s="425" t="s">
        <v>95</v>
      </c>
      <c r="G31" s="425">
        <v>-9.5333333299999996</v>
      </c>
      <c r="H31" s="425" t="s">
        <v>95</v>
      </c>
      <c r="I31" s="425">
        <v>-9.5333333329999999</v>
      </c>
      <c r="J31" s="425" t="s">
        <v>95</v>
      </c>
      <c r="K31" s="425">
        <v>-9.5333299999999994</v>
      </c>
      <c r="L31" s="425" t="s">
        <v>95</v>
      </c>
      <c r="M31" s="425">
        <v>-9.5333299999999994</v>
      </c>
      <c r="N31" s="425" t="s">
        <v>95</v>
      </c>
      <c r="O31" s="425" t="s">
        <v>95</v>
      </c>
      <c r="P31" s="425" t="s">
        <v>95</v>
      </c>
      <c r="Q31" s="425" t="s">
        <v>95</v>
      </c>
      <c r="R31" s="425" t="s">
        <v>95</v>
      </c>
      <c r="S31" s="425" t="s">
        <v>95</v>
      </c>
      <c r="T31" s="425" t="s">
        <v>95</v>
      </c>
      <c r="U31" s="425" t="s">
        <v>95</v>
      </c>
      <c r="V31" s="425" t="s">
        <v>95</v>
      </c>
      <c r="W31" s="425" t="s">
        <v>95</v>
      </c>
      <c r="X31" s="425" t="s">
        <v>95</v>
      </c>
      <c r="Y31" s="425" t="s">
        <v>95</v>
      </c>
      <c r="Z31" s="425" t="s">
        <v>95</v>
      </c>
      <c r="AA31" s="425" t="s">
        <v>95</v>
      </c>
      <c r="AB31" s="425" t="s">
        <v>95</v>
      </c>
      <c r="AC31" s="425" t="s">
        <v>95</v>
      </c>
      <c r="AD31" s="425" t="s">
        <v>95</v>
      </c>
      <c r="AE31" s="425" t="s">
        <v>95</v>
      </c>
      <c r="AF31" s="425" t="s">
        <v>95</v>
      </c>
      <c r="AG31" s="425" t="s">
        <v>95</v>
      </c>
      <c r="AH31" s="425" t="s">
        <v>95</v>
      </c>
      <c r="AI31" s="425" t="s">
        <v>95</v>
      </c>
      <c r="AJ31" s="425" t="s">
        <v>95</v>
      </c>
      <c r="AK31" s="425" t="s">
        <v>95</v>
      </c>
      <c r="AL31" s="425" t="s">
        <v>95</v>
      </c>
      <c r="AM31" s="425" t="s">
        <v>95</v>
      </c>
      <c r="AN31" s="425" t="s">
        <v>95</v>
      </c>
      <c r="AO31" s="425" t="s">
        <v>95</v>
      </c>
      <c r="AP31" s="425" t="s">
        <v>95</v>
      </c>
      <c r="AQ31" s="425" t="s">
        <v>95</v>
      </c>
      <c r="AR31" s="425" t="s">
        <v>95</v>
      </c>
      <c r="AS31" s="425" t="s">
        <v>95</v>
      </c>
      <c r="AT31" s="341" t="s">
        <v>95</v>
      </c>
    </row>
    <row r="32" spans="1:46" x14ac:dyDescent="0.35">
      <c r="A32" s="1177"/>
      <c r="C32" s="1172" t="s">
        <v>80</v>
      </c>
      <c r="D32" s="1021"/>
      <c r="E32" s="425" t="s">
        <v>95</v>
      </c>
      <c r="F32" s="425" t="s">
        <v>95</v>
      </c>
      <c r="G32" s="425" t="s">
        <v>95</v>
      </c>
      <c r="H32" s="425" t="s">
        <v>95</v>
      </c>
      <c r="I32" s="425" t="s">
        <v>95</v>
      </c>
      <c r="J32" s="425" t="s">
        <v>95</v>
      </c>
      <c r="K32" s="425" t="s">
        <v>95</v>
      </c>
      <c r="L32" s="425" t="s">
        <v>95</v>
      </c>
      <c r="M32" s="425" t="s">
        <v>95</v>
      </c>
      <c r="N32" s="425" t="s">
        <v>95</v>
      </c>
      <c r="O32" s="425" t="s">
        <v>95</v>
      </c>
      <c r="P32" s="425" t="s">
        <v>95</v>
      </c>
      <c r="Q32" s="425" t="s">
        <v>95</v>
      </c>
      <c r="R32" s="425" t="s">
        <v>95</v>
      </c>
      <c r="S32" s="425" t="s">
        <v>95</v>
      </c>
      <c r="T32" s="425" t="s">
        <v>95</v>
      </c>
      <c r="U32" s="425" t="s">
        <v>95</v>
      </c>
      <c r="V32" s="425" t="s">
        <v>95</v>
      </c>
      <c r="W32" s="425" t="s">
        <v>95</v>
      </c>
      <c r="X32" s="425" t="s">
        <v>95</v>
      </c>
      <c r="Y32" s="425" t="s">
        <v>95</v>
      </c>
      <c r="Z32" s="425" t="s">
        <v>95</v>
      </c>
      <c r="AA32" s="425" t="s">
        <v>95</v>
      </c>
      <c r="AB32" s="425" t="s">
        <v>95</v>
      </c>
      <c r="AC32" s="425" t="s">
        <v>95</v>
      </c>
      <c r="AD32" s="425" t="s">
        <v>95</v>
      </c>
      <c r="AE32" s="425" t="s">
        <v>95</v>
      </c>
      <c r="AF32" s="425" t="s">
        <v>95</v>
      </c>
      <c r="AG32" s="425" t="s">
        <v>95</v>
      </c>
      <c r="AH32" s="425" t="s">
        <v>95</v>
      </c>
      <c r="AI32" s="425" t="s">
        <v>95</v>
      </c>
      <c r="AJ32" s="425" t="s">
        <v>95</v>
      </c>
      <c r="AK32" s="425" t="s">
        <v>95</v>
      </c>
      <c r="AL32" s="425" t="s">
        <v>95</v>
      </c>
      <c r="AM32" s="425" t="s">
        <v>95</v>
      </c>
      <c r="AN32" s="425" t="s">
        <v>95</v>
      </c>
      <c r="AO32" s="425" t="s">
        <v>95</v>
      </c>
      <c r="AP32" s="425" t="s">
        <v>95</v>
      </c>
      <c r="AQ32" s="425" t="s">
        <v>95</v>
      </c>
      <c r="AR32" s="425" t="s">
        <v>95</v>
      </c>
      <c r="AS32" s="425" t="s">
        <v>95</v>
      </c>
      <c r="AT32" s="341" t="s">
        <v>95</v>
      </c>
    </row>
    <row r="33" spans="1:46" x14ac:dyDescent="0.35">
      <c r="A33" s="1177"/>
      <c r="C33" s="1172" t="s">
        <v>57</v>
      </c>
      <c r="D33" s="1021"/>
      <c r="E33" s="425" t="s">
        <v>95</v>
      </c>
      <c r="F33" s="425" t="s">
        <v>95</v>
      </c>
      <c r="G33" s="425">
        <v>-9.5333333299999996</v>
      </c>
      <c r="H33" s="425" t="s">
        <v>95</v>
      </c>
      <c r="I33" s="425">
        <v>-9.5333333329999999</v>
      </c>
      <c r="J33" s="425" t="s">
        <v>95</v>
      </c>
      <c r="K33" s="425">
        <v>-9.5333299999999994</v>
      </c>
      <c r="L33" s="425" t="s">
        <v>95</v>
      </c>
      <c r="M33" s="425">
        <v>-9.5333299999999994</v>
      </c>
      <c r="N33" s="425" t="s">
        <v>95</v>
      </c>
      <c r="O33" s="425" t="s">
        <v>95</v>
      </c>
      <c r="P33" s="425" t="s">
        <v>95</v>
      </c>
      <c r="Q33" s="425" t="s">
        <v>95</v>
      </c>
      <c r="R33" s="425" t="s">
        <v>95</v>
      </c>
      <c r="S33" s="425" t="s">
        <v>95</v>
      </c>
      <c r="T33" s="425" t="s">
        <v>95</v>
      </c>
      <c r="U33" s="425" t="s">
        <v>95</v>
      </c>
      <c r="V33" s="425" t="s">
        <v>95</v>
      </c>
      <c r="W33" s="425" t="s">
        <v>95</v>
      </c>
      <c r="X33" s="425" t="s">
        <v>95</v>
      </c>
      <c r="Y33" s="425" t="s">
        <v>95</v>
      </c>
      <c r="Z33" s="425" t="s">
        <v>95</v>
      </c>
      <c r="AA33" s="425" t="s">
        <v>95</v>
      </c>
      <c r="AB33" s="425" t="s">
        <v>95</v>
      </c>
      <c r="AC33" s="425" t="s">
        <v>95</v>
      </c>
      <c r="AD33" s="425" t="s">
        <v>95</v>
      </c>
      <c r="AE33" s="425" t="s">
        <v>95</v>
      </c>
      <c r="AF33" s="425" t="s">
        <v>95</v>
      </c>
      <c r="AG33" s="425" t="s">
        <v>95</v>
      </c>
      <c r="AH33" s="425" t="s">
        <v>95</v>
      </c>
      <c r="AI33" s="425" t="s">
        <v>95</v>
      </c>
      <c r="AJ33" s="425" t="s">
        <v>95</v>
      </c>
      <c r="AK33" s="425" t="s">
        <v>95</v>
      </c>
      <c r="AL33" s="425" t="s">
        <v>95</v>
      </c>
      <c r="AM33" s="425" t="s">
        <v>95</v>
      </c>
      <c r="AN33" s="425" t="s">
        <v>95</v>
      </c>
      <c r="AO33" s="425" t="s">
        <v>95</v>
      </c>
      <c r="AP33" s="425" t="s">
        <v>95</v>
      </c>
      <c r="AQ33" s="425" t="s">
        <v>95</v>
      </c>
      <c r="AR33" s="425" t="s">
        <v>95</v>
      </c>
      <c r="AS33" s="425" t="s">
        <v>95</v>
      </c>
      <c r="AT33" s="341" t="s">
        <v>95</v>
      </c>
    </row>
    <row r="34" spans="1:46" ht="15.5" x14ac:dyDescent="0.35">
      <c r="C34" s="31" t="s">
        <v>95</v>
      </c>
      <c r="D34" s="155" t="s">
        <v>95</v>
      </c>
      <c r="E34" s="114" t="s">
        <v>220</v>
      </c>
      <c r="F34" s="114"/>
      <c r="G34" s="114"/>
      <c r="H34" s="114"/>
      <c r="I34" s="115" t="s">
        <v>95</v>
      </c>
      <c r="J34" s="115" t="s">
        <v>95</v>
      </c>
      <c r="K34" s="115" t="s">
        <v>95</v>
      </c>
      <c r="L34" s="115" t="s">
        <v>95</v>
      </c>
      <c r="M34" s="115" t="s">
        <v>95</v>
      </c>
      <c r="N34" s="115" t="s">
        <v>95</v>
      </c>
      <c r="O34" s="115" t="s">
        <v>95</v>
      </c>
      <c r="P34" s="115" t="s">
        <v>95</v>
      </c>
      <c r="Q34" s="115" t="s">
        <v>95</v>
      </c>
      <c r="R34" s="115" t="s">
        <v>95</v>
      </c>
      <c r="S34" s="115" t="s">
        <v>95</v>
      </c>
      <c r="T34" s="115" t="s">
        <v>95</v>
      </c>
      <c r="U34" s="115" t="s">
        <v>95</v>
      </c>
      <c r="V34" s="115" t="s">
        <v>95</v>
      </c>
      <c r="W34" s="115" t="s">
        <v>95</v>
      </c>
      <c r="X34" s="115" t="s">
        <v>95</v>
      </c>
      <c r="Y34" s="115" t="s">
        <v>95</v>
      </c>
      <c r="Z34" s="115" t="s">
        <v>95</v>
      </c>
      <c r="AA34" s="115" t="s">
        <v>95</v>
      </c>
      <c r="AB34" s="115" t="s">
        <v>95</v>
      </c>
      <c r="AC34" s="115" t="s">
        <v>95</v>
      </c>
      <c r="AD34" s="115" t="s">
        <v>95</v>
      </c>
      <c r="AE34" s="115" t="s">
        <v>95</v>
      </c>
      <c r="AF34" s="115" t="s">
        <v>95</v>
      </c>
      <c r="AG34" s="115" t="s">
        <v>95</v>
      </c>
      <c r="AH34" s="115" t="s">
        <v>95</v>
      </c>
      <c r="AI34" s="115" t="s">
        <v>95</v>
      </c>
      <c r="AJ34" s="115" t="s">
        <v>95</v>
      </c>
      <c r="AK34" s="115" t="s">
        <v>95</v>
      </c>
      <c r="AL34" s="115" t="s">
        <v>95</v>
      </c>
      <c r="AM34" s="115" t="s">
        <v>95</v>
      </c>
      <c r="AN34" s="115" t="s">
        <v>95</v>
      </c>
      <c r="AO34" s="115" t="s">
        <v>95</v>
      </c>
      <c r="AP34" s="115" t="s">
        <v>95</v>
      </c>
      <c r="AQ34" s="115" t="s">
        <v>95</v>
      </c>
      <c r="AR34" s="115" t="s">
        <v>95</v>
      </c>
      <c r="AS34" s="115" t="s">
        <v>95</v>
      </c>
      <c r="AT34" s="116" t="s">
        <v>95</v>
      </c>
    </row>
    <row r="35" spans="1:46" x14ac:dyDescent="0.35">
      <c r="C35" s="164" t="s">
        <v>95</v>
      </c>
      <c r="D35" s="511" t="s">
        <v>95</v>
      </c>
      <c r="E35" s="457" t="s">
        <v>219</v>
      </c>
      <c r="F35" s="457"/>
      <c r="G35" s="457"/>
      <c r="H35" s="457"/>
      <c r="I35" s="457" t="s">
        <v>95</v>
      </c>
      <c r="J35" s="457" t="s">
        <v>95</v>
      </c>
      <c r="K35" s="457" t="s">
        <v>95</v>
      </c>
      <c r="L35" s="457" t="s">
        <v>95</v>
      </c>
      <c r="M35" s="457" t="s">
        <v>95</v>
      </c>
      <c r="N35" s="457" t="s">
        <v>95</v>
      </c>
      <c r="O35" s="457" t="s">
        <v>95</v>
      </c>
      <c r="P35" s="457" t="s">
        <v>95</v>
      </c>
      <c r="Q35" s="457" t="s">
        <v>95</v>
      </c>
      <c r="R35" s="457" t="s">
        <v>95</v>
      </c>
      <c r="S35" s="457" t="s">
        <v>95</v>
      </c>
      <c r="T35" s="457" t="s">
        <v>95</v>
      </c>
      <c r="U35" s="457" t="s">
        <v>95</v>
      </c>
      <c r="V35" s="457" t="s">
        <v>95</v>
      </c>
      <c r="W35" s="457" t="s">
        <v>95</v>
      </c>
      <c r="X35" s="457" t="s">
        <v>95</v>
      </c>
      <c r="Y35" s="457" t="s">
        <v>95</v>
      </c>
      <c r="Z35" s="457" t="s">
        <v>95</v>
      </c>
      <c r="AA35" s="457" t="s">
        <v>95</v>
      </c>
      <c r="AB35" s="457" t="s">
        <v>95</v>
      </c>
      <c r="AC35" s="457" t="s">
        <v>95</v>
      </c>
      <c r="AD35" s="457" t="s">
        <v>95</v>
      </c>
      <c r="AE35" s="457" t="s">
        <v>95</v>
      </c>
      <c r="AF35" s="457" t="s">
        <v>95</v>
      </c>
      <c r="AG35" s="457" t="s">
        <v>95</v>
      </c>
      <c r="AH35" s="457" t="s">
        <v>95</v>
      </c>
      <c r="AI35" s="457" t="s">
        <v>95</v>
      </c>
      <c r="AJ35" s="457" t="s">
        <v>95</v>
      </c>
      <c r="AK35" s="457" t="s">
        <v>95</v>
      </c>
      <c r="AL35" s="457" t="s">
        <v>95</v>
      </c>
      <c r="AM35" s="457" t="s">
        <v>95</v>
      </c>
      <c r="AN35" s="457" t="s">
        <v>95</v>
      </c>
      <c r="AO35" s="457" t="s">
        <v>95</v>
      </c>
      <c r="AP35" s="457" t="s">
        <v>95</v>
      </c>
      <c r="AQ35" s="457" t="s">
        <v>95</v>
      </c>
      <c r="AR35" s="457" t="s">
        <v>95</v>
      </c>
      <c r="AS35" s="457" t="s">
        <v>95</v>
      </c>
      <c r="AT35" s="340" t="s">
        <v>95</v>
      </c>
    </row>
    <row r="36" spans="1:46" x14ac:dyDescent="0.35">
      <c r="A36" s="1177">
        <v>6</v>
      </c>
      <c r="C36" s="1179" t="s">
        <v>99</v>
      </c>
      <c r="D36" s="1180"/>
      <c r="E36" s="425" t="s">
        <v>95</v>
      </c>
      <c r="F36" s="425" t="s">
        <v>95</v>
      </c>
      <c r="G36" s="425">
        <v>388.1398532</v>
      </c>
      <c r="H36" s="425" t="s">
        <v>95</v>
      </c>
      <c r="I36" s="425">
        <v>388.1398532</v>
      </c>
      <c r="J36" s="425" t="s">
        <v>95</v>
      </c>
      <c r="K36" s="425">
        <v>397.07533999999998</v>
      </c>
      <c r="L36" s="425" t="s">
        <v>95</v>
      </c>
      <c r="M36" s="425">
        <v>406.02577000000002</v>
      </c>
      <c r="N36" s="425" t="s">
        <v>95</v>
      </c>
      <c r="O36" s="425" t="s">
        <v>95</v>
      </c>
      <c r="P36" s="425" t="s">
        <v>95</v>
      </c>
      <c r="Q36" s="425" t="s">
        <v>95</v>
      </c>
      <c r="R36" s="425" t="s">
        <v>95</v>
      </c>
      <c r="S36" s="425" t="s">
        <v>95</v>
      </c>
      <c r="T36" s="425" t="s">
        <v>95</v>
      </c>
      <c r="U36" s="425" t="s">
        <v>95</v>
      </c>
      <c r="V36" s="425" t="s">
        <v>95</v>
      </c>
      <c r="W36" s="425" t="s">
        <v>95</v>
      </c>
      <c r="X36" s="425" t="s">
        <v>95</v>
      </c>
      <c r="Y36" s="425" t="s">
        <v>95</v>
      </c>
      <c r="Z36" s="425" t="s">
        <v>95</v>
      </c>
      <c r="AA36" s="425" t="s">
        <v>95</v>
      </c>
      <c r="AB36" s="425" t="s">
        <v>95</v>
      </c>
      <c r="AC36" s="425" t="s">
        <v>95</v>
      </c>
      <c r="AD36" s="425" t="s">
        <v>95</v>
      </c>
      <c r="AE36" s="425" t="s">
        <v>95</v>
      </c>
      <c r="AF36" s="425" t="s">
        <v>95</v>
      </c>
      <c r="AG36" s="425" t="s">
        <v>95</v>
      </c>
      <c r="AH36" s="425" t="s">
        <v>95</v>
      </c>
      <c r="AI36" s="425" t="s">
        <v>95</v>
      </c>
      <c r="AJ36" s="425" t="s">
        <v>95</v>
      </c>
      <c r="AK36" s="425" t="s">
        <v>95</v>
      </c>
      <c r="AL36" s="425" t="s">
        <v>95</v>
      </c>
      <c r="AM36" s="425" t="s">
        <v>95</v>
      </c>
      <c r="AN36" s="425" t="s">
        <v>95</v>
      </c>
      <c r="AO36" s="425" t="s">
        <v>95</v>
      </c>
      <c r="AP36" s="425" t="s">
        <v>95</v>
      </c>
      <c r="AQ36" s="425" t="s">
        <v>95</v>
      </c>
      <c r="AR36" s="425" t="s">
        <v>95</v>
      </c>
      <c r="AS36" s="425" t="s">
        <v>95</v>
      </c>
      <c r="AT36" s="341" t="s">
        <v>95</v>
      </c>
    </row>
    <row r="37" spans="1:46" x14ac:dyDescent="0.35">
      <c r="A37" s="1177"/>
      <c r="C37" s="1172" t="s">
        <v>101</v>
      </c>
      <c r="D37" s="1021"/>
      <c r="E37" s="425" t="s">
        <v>95</v>
      </c>
      <c r="F37" s="425" t="s">
        <v>95</v>
      </c>
      <c r="G37" s="425">
        <v>307.81849999999997</v>
      </c>
      <c r="H37" s="425" t="s">
        <v>95</v>
      </c>
      <c r="I37" s="425">
        <v>307.81849999999997</v>
      </c>
      <c r="J37" s="425" t="s">
        <v>95</v>
      </c>
      <c r="K37" s="425">
        <v>307.81849999999997</v>
      </c>
      <c r="L37" s="425" t="s">
        <v>95</v>
      </c>
      <c r="M37" s="425">
        <v>307.81849999999997</v>
      </c>
      <c r="N37" s="425" t="s">
        <v>95</v>
      </c>
      <c r="O37" s="425" t="s">
        <v>95</v>
      </c>
      <c r="P37" s="425" t="s">
        <v>95</v>
      </c>
      <c r="Q37" s="425" t="s">
        <v>95</v>
      </c>
      <c r="R37" s="425" t="s">
        <v>95</v>
      </c>
      <c r="S37" s="425" t="s">
        <v>95</v>
      </c>
      <c r="T37" s="425" t="s">
        <v>95</v>
      </c>
      <c r="U37" s="425" t="s">
        <v>95</v>
      </c>
      <c r="V37" s="425" t="s">
        <v>95</v>
      </c>
      <c r="W37" s="425" t="s">
        <v>95</v>
      </c>
      <c r="X37" s="425" t="s">
        <v>95</v>
      </c>
      <c r="Y37" s="425" t="s">
        <v>95</v>
      </c>
      <c r="Z37" s="425" t="s">
        <v>95</v>
      </c>
      <c r="AA37" s="425" t="s">
        <v>95</v>
      </c>
      <c r="AB37" s="425" t="s">
        <v>95</v>
      </c>
      <c r="AC37" s="425" t="s">
        <v>95</v>
      </c>
      <c r="AD37" s="425" t="s">
        <v>95</v>
      </c>
      <c r="AE37" s="425" t="s">
        <v>95</v>
      </c>
      <c r="AF37" s="425" t="s">
        <v>95</v>
      </c>
      <c r="AG37" s="425" t="s">
        <v>95</v>
      </c>
      <c r="AH37" s="425" t="s">
        <v>95</v>
      </c>
      <c r="AI37" s="425" t="s">
        <v>95</v>
      </c>
      <c r="AJ37" s="425" t="s">
        <v>95</v>
      </c>
      <c r="AK37" s="425" t="s">
        <v>95</v>
      </c>
      <c r="AL37" s="425" t="s">
        <v>95</v>
      </c>
      <c r="AM37" s="425" t="s">
        <v>95</v>
      </c>
      <c r="AN37" s="425" t="s">
        <v>95</v>
      </c>
      <c r="AO37" s="425" t="s">
        <v>95</v>
      </c>
      <c r="AP37" s="425" t="s">
        <v>95</v>
      </c>
      <c r="AQ37" s="425" t="s">
        <v>95</v>
      </c>
      <c r="AR37" s="425" t="s">
        <v>95</v>
      </c>
      <c r="AS37" s="425" t="s">
        <v>95</v>
      </c>
      <c r="AT37" s="341" t="s">
        <v>95</v>
      </c>
    </row>
    <row r="38" spans="1:46" x14ac:dyDescent="0.35">
      <c r="A38" s="1177"/>
      <c r="C38" s="1175" t="s">
        <v>221</v>
      </c>
      <c r="D38" s="1023"/>
      <c r="E38" s="425"/>
      <c r="F38" s="425"/>
      <c r="G38" s="425"/>
      <c r="H38" s="425"/>
      <c r="I38" s="425"/>
      <c r="J38" s="425"/>
      <c r="K38" s="425"/>
      <c r="L38" s="425"/>
      <c r="M38" s="425"/>
      <c r="N38" s="425"/>
      <c r="O38" s="425"/>
      <c r="P38" s="425"/>
      <c r="Q38" s="425"/>
      <c r="R38" s="425"/>
      <c r="S38" s="425"/>
      <c r="T38" s="425"/>
      <c r="U38" s="425"/>
      <c r="V38" s="425"/>
      <c r="W38" s="425"/>
      <c r="X38" s="425"/>
      <c r="Y38" s="425"/>
      <c r="Z38" s="425"/>
      <c r="AA38" s="425"/>
      <c r="AB38" s="425"/>
      <c r="AC38" s="425"/>
      <c r="AD38" s="425"/>
      <c r="AE38" s="425"/>
      <c r="AF38" s="425"/>
      <c r="AG38" s="425"/>
      <c r="AH38" s="425"/>
      <c r="AI38" s="425"/>
      <c r="AJ38" s="425"/>
      <c r="AK38" s="425"/>
      <c r="AL38" s="425"/>
      <c r="AM38" s="425"/>
      <c r="AN38" s="425"/>
      <c r="AO38" s="425"/>
      <c r="AP38" s="425"/>
      <c r="AQ38" s="425"/>
      <c r="AR38" s="425"/>
      <c r="AS38" s="425"/>
      <c r="AT38" s="341"/>
    </row>
    <row r="39" spans="1:46" x14ac:dyDescent="0.35">
      <c r="A39" s="1177"/>
      <c r="C39" s="1172" t="s">
        <v>74</v>
      </c>
      <c r="D39" s="1021"/>
      <c r="E39" s="425" t="s">
        <v>95</v>
      </c>
      <c r="F39" s="425" t="s">
        <v>95</v>
      </c>
      <c r="G39" s="425">
        <v>128.33333329999999</v>
      </c>
      <c r="H39" s="425" t="s">
        <v>95</v>
      </c>
      <c r="I39" s="425">
        <v>128.33333329999999</v>
      </c>
      <c r="J39" s="425" t="s">
        <v>95</v>
      </c>
      <c r="K39" s="425">
        <v>128.33332999999999</v>
      </c>
      <c r="L39" s="425" t="s">
        <v>95</v>
      </c>
      <c r="M39" s="425">
        <v>128.33332999999999</v>
      </c>
      <c r="N39" s="425" t="s">
        <v>95</v>
      </c>
      <c r="O39" s="425" t="s">
        <v>95</v>
      </c>
      <c r="P39" s="425" t="s">
        <v>95</v>
      </c>
      <c r="Q39" s="425" t="s">
        <v>95</v>
      </c>
      <c r="R39" s="425" t="s">
        <v>95</v>
      </c>
      <c r="S39" s="425" t="s">
        <v>95</v>
      </c>
      <c r="T39" s="425" t="s">
        <v>95</v>
      </c>
      <c r="U39" s="425" t="s">
        <v>95</v>
      </c>
      <c r="V39" s="425" t="s">
        <v>95</v>
      </c>
      <c r="W39" s="425" t="s">
        <v>95</v>
      </c>
      <c r="X39" s="425" t="s">
        <v>95</v>
      </c>
      <c r="Y39" s="425" t="s">
        <v>95</v>
      </c>
      <c r="Z39" s="425" t="s">
        <v>95</v>
      </c>
      <c r="AA39" s="425" t="s">
        <v>95</v>
      </c>
      <c r="AB39" s="425" t="s">
        <v>95</v>
      </c>
      <c r="AC39" s="425" t="s">
        <v>95</v>
      </c>
      <c r="AD39" s="425" t="s">
        <v>95</v>
      </c>
      <c r="AE39" s="425" t="s">
        <v>95</v>
      </c>
      <c r="AF39" s="425" t="s">
        <v>95</v>
      </c>
      <c r="AG39" s="425" t="s">
        <v>95</v>
      </c>
      <c r="AH39" s="425" t="s">
        <v>95</v>
      </c>
      <c r="AI39" s="425" t="s">
        <v>95</v>
      </c>
      <c r="AJ39" s="425" t="s">
        <v>95</v>
      </c>
      <c r="AK39" s="425" t="s">
        <v>95</v>
      </c>
      <c r="AL39" s="425" t="s">
        <v>95</v>
      </c>
      <c r="AM39" s="425" t="s">
        <v>95</v>
      </c>
      <c r="AN39" s="425" t="s">
        <v>95</v>
      </c>
      <c r="AO39" s="425" t="s">
        <v>95</v>
      </c>
      <c r="AP39" s="425" t="s">
        <v>95</v>
      </c>
      <c r="AQ39" s="425" t="s">
        <v>95</v>
      </c>
      <c r="AR39" s="425" t="s">
        <v>95</v>
      </c>
      <c r="AS39" s="425" t="s">
        <v>95</v>
      </c>
      <c r="AT39" s="341" t="s">
        <v>95</v>
      </c>
    </row>
    <row r="40" spans="1:46" x14ac:dyDescent="0.35">
      <c r="A40" s="1177"/>
      <c r="C40" s="1172" t="s">
        <v>103</v>
      </c>
      <c r="D40" s="1021"/>
      <c r="E40" s="425" t="s">
        <v>95</v>
      </c>
      <c r="F40" s="425" t="s">
        <v>95</v>
      </c>
      <c r="G40" s="425">
        <v>-9.5333333299999996</v>
      </c>
      <c r="H40" s="425" t="s">
        <v>95</v>
      </c>
      <c r="I40" s="425">
        <v>-9.5333333329999999</v>
      </c>
      <c r="J40" s="425" t="s">
        <v>95</v>
      </c>
      <c r="K40" s="425">
        <v>-9.5333299999999994</v>
      </c>
      <c r="L40" s="425" t="s">
        <v>95</v>
      </c>
      <c r="M40" s="425">
        <v>-9.5333299999999994</v>
      </c>
      <c r="N40" s="425" t="s">
        <v>95</v>
      </c>
      <c r="O40" s="425" t="s">
        <v>95</v>
      </c>
      <c r="P40" s="425" t="s">
        <v>95</v>
      </c>
      <c r="Q40" s="425" t="s">
        <v>95</v>
      </c>
      <c r="R40" s="425" t="s">
        <v>95</v>
      </c>
      <c r="S40" s="425" t="s">
        <v>95</v>
      </c>
      <c r="T40" s="425" t="s">
        <v>95</v>
      </c>
      <c r="U40" s="425" t="s">
        <v>95</v>
      </c>
      <c r="V40" s="425" t="s">
        <v>95</v>
      </c>
      <c r="W40" s="425" t="s">
        <v>95</v>
      </c>
      <c r="X40" s="425" t="s">
        <v>95</v>
      </c>
      <c r="Y40" s="425" t="s">
        <v>95</v>
      </c>
      <c r="Z40" s="425" t="s">
        <v>95</v>
      </c>
      <c r="AA40" s="425" t="s">
        <v>95</v>
      </c>
      <c r="AB40" s="425" t="s">
        <v>95</v>
      </c>
      <c r="AC40" s="425" t="s">
        <v>95</v>
      </c>
      <c r="AD40" s="425" t="s">
        <v>95</v>
      </c>
      <c r="AE40" s="425" t="s">
        <v>95</v>
      </c>
      <c r="AF40" s="425" t="s">
        <v>95</v>
      </c>
      <c r="AG40" s="425" t="s">
        <v>95</v>
      </c>
      <c r="AH40" s="425" t="s">
        <v>95</v>
      </c>
      <c r="AI40" s="425" t="s">
        <v>95</v>
      </c>
      <c r="AJ40" s="425" t="s">
        <v>95</v>
      </c>
      <c r="AK40" s="425" t="s">
        <v>95</v>
      </c>
      <c r="AL40" s="425" t="s">
        <v>95</v>
      </c>
      <c r="AM40" s="425" t="s">
        <v>95</v>
      </c>
      <c r="AN40" s="425" t="s">
        <v>95</v>
      </c>
      <c r="AO40" s="425" t="s">
        <v>95</v>
      </c>
      <c r="AP40" s="425" t="s">
        <v>95</v>
      </c>
      <c r="AQ40" s="425" t="s">
        <v>95</v>
      </c>
      <c r="AR40" s="425" t="s">
        <v>95</v>
      </c>
      <c r="AS40" s="425" t="s">
        <v>95</v>
      </c>
      <c r="AT40" s="341" t="s">
        <v>95</v>
      </c>
    </row>
    <row r="41" spans="1:46" x14ac:dyDescent="0.35">
      <c r="A41" s="1177"/>
      <c r="C41" s="1172" t="s">
        <v>80</v>
      </c>
      <c r="D41" s="1021"/>
      <c r="E41" s="425" t="s">
        <v>95</v>
      </c>
      <c r="F41" s="425" t="s">
        <v>95</v>
      </c>
      <c r="G41" s="425" t="s">
        <v>95</v>
      </c>
      <c r="H41" s="425" t="s">
        <v>95</v>
      </c>
      <c r="I41" s="425" t="s">
        <v>95</v>
      </c>
      <c r="J41" s="425" t="s">
        <v>95</v>
      </c>
      <c r="K41" s="425" t="s">
        <v>95</v>
      </c>
      <c r="L41" s="425" t="s">
        <v>95</v>
      </c>
      <c r="M41" s="425" t="s">
        <v>95</v>
      </c>
      <c r="N41" s="425" t="s">
        <v>95</v>
      </c>
      <c r="O41" s="425" t="s">
        <v>95</v>
      </c>
      <c r="P41" s="425" t="s">
        <v>95</v>
      </c>
      <c r="Q41" s="425" t="s">
        <v>95</v>
      </c>
      <c r="R41" s="425" t="s">
        <v>95</v>
      </c>
      <c r="S41" s="425" t="s">
        <v>95</v>
      </c>
      <c r="T41" s="425" t="s">
        <v>95</v>
      </c>
      <c r="U41" s="425" t="s">
        <v>95</v>
      </c>
      <c r="V41" s="425" t="s">
        <v>95</v>
      </c>
      <c r="W41" s="425" t="s">
        <v>95</v>
      </c>
      <c r="X41" s="425" t="s">
        <v>95</v>
      </c>
      <c r="Y41" s="425" t="s">
        <v>95</v>
      </c>
      <c r="Z41" s="425" t="s">
        <v>95</v>
      </c>
      <c r="AA41" s="425" t="s">
        <v>95</v>
      </c>
      <c r="AB41" s="425" t="s">
        <v>95</v>
      </c>
      <c r="AC41" s="425" t="s">
        <v>95</v>
      </c>
      <c r="AD41" s="425" t="s">
        <v>95</v>
      </c>
      <c r="AE41" s="425" t="s">
        <v>95</v>
      </c>
      <c r="AF41" s="425" t="s">
        <v>95</v>
      </c>
      <c r="AG41" s="425" t="s">
        <v>95</v>
      </c>
      <c r="AH41" s="425" t="s">
        <v>95</v>
      </c>
      <c r="AI41" s="425" t="s">
        <v>95</v>
      </c>
      <c r="AJ41" s="425" t="s">
        <v>95</v>
      </c>
      <c r="AK41" s="425" t="s">
        <v>95</v>
      </c>
      <c r="AL41" s="425" t="s">
        <v>95</v>
      </c>
      <c r="AM41" s="425" t="s">
        <v>95</v>
      </c>
      <c r="AN41" s="425" t="s">
        <v>95</v>
      </c>
      <c r="AO41" s="425" t="s">
        <v>95</v>
      </c>
      <c r="AP41" s="425" t="s">
        <v>95</v>
      </c>
      <c r="AQ41" s="425" t="s">
        <v>95</v>
      </c>
      <c r="AR41" s="425" t="s">
        <v>95</v>
      </c>
      <c r="AS41" s="425" t="s">
        <v>95</v>
      </c>
      <c r="AT41" s="341" t="s">
        <v>95</v>
      </c>
    </row>
    <row r="42" spans="1:46" x14ac:dyDescent="0.35">
      <c r="A42" s="1177"/>
      <c r="C42" s="1172" t="s">
        <v>57</v>
      </c>
      <c r="D42" s="1021"/>
      <c r="E42" s="425" t="s">
        <v>95</v>
      </c>
      <c r="F42" s="425" t="s">
        <v>95</v>
      </c>
      <c r="G42" s="425">
        <v>-9.5333333299999996</v>
      </c>
      <c r="H42" s="425" t="s">
        <v>95</v>
      </c>
      <c r="I42" s="425">
        <v>-9.5333333329999999</v>
      </c>
      <c r="J42" s="425" t="s">
        <v>95</v>
      </c>
      <c r="K42" s="425">
        <v>-9.5333299999999994</v>
      </c>
      <c r="L42" s="425" t="s">
        <v>95</v>
      </c>
      <c r="M42" s="425">
        <v>-9.5333299999999994</v>
      </c>
      <c r="N42" s="425" t="s">
        <v>95</v>
      </c>
      <c r="O42" s="425" t="s">
        <v>95</v>
      </c>
      <c r="P42" s="425" t="s">
        <v>95</v>
      </c>
      <c r="Q42" s="425" t="s">
        <v>95</v>
      </c>
      <c r="R42" s="425" t="s">
        <v>95</v>
      </c>
      <c r="S42" s="425" t="s">
        <v>95</v>
      </c>
      <c r="T42" s="425" t="s">
        <v>95</v>
      </c>
      <c r="U42" s="425" t="s">
        <v>95</v>
      </c>
      <c r="V42" s="425" t="s">
        <v>95</v>
      </c>
      <c r="W42" s="425" t="s">
        <v>95</v>
      </c>
      <c r="X42" s="425" t="s">
        <v>95</v>
      </c>
      <c r="Y42" s="425" t="s">
        <v>95</v>
      </c>
      <c r="Z42" s="425" t="s">
        <v>95</v>
      </c>
      <c r="AA42" s="425" t="s">
        <v>95</v>
      </c>
      <c r="AB42" s="425" t="s">
        <v>95</v>
      </c>
      <c r="AC42" s="425" t="s">
        <v>95</v>
      </c>
      <c r="AD42" s="425" t="s">
        <v>95</v>
      </c>
      <c r="AE42" s="425" t="s">
        <v>95</v>
      </c>
      <c r="AF42" s="425" t="s">
        <v>95</v>
      </c>
      <c r="AG42" s="425" t="s">
        <v>95</v>
      </c>
      <c r="AH42" s="425" t="s">
        <v>95</v>
      </c>
      <c r="AI42" s="425" t="s">
        <v>95</v>
      </c>
      <c r="AJ42" s="425" t="s">
        <v>95</v>
      </c>
      <c r="AK42" s="425" t="s">
        <v>95</v>
      </c>
      <c r="AL42" s="425" t="s">
        <v>95</v>
      </c>
      <c r="AM42" s="425" t="s">
        <v>95</v>
      </c>
      <c r="AN42" s="425" t="s">
        <v>95</v>
      </c>
      <c r="AO42" s="425" t="s">
        <v>95</v>
      </c>
      <c r="AP42" s="425" t="s">
        <v>95</v>
      </c>
      <c r="AQ42" s="425" t="s">
        <v>95</v>
      </c>
      <c r="AR42" s="425" t="s">
        <v>95</v>
      </c>
      <c r="AS42" s="425" t="s">
        <v>95</v>
      </c>
      <c r="AT42" s="341" t="s">
        <v>95</v>
      </c>
    </row>
    <row r="43" spans="1:46" ht="17" x14ac:dyDescent="0.4">
      <c r="C43" s="160" t="s">
        <v>95</v>
      </c>
      <c r="D43" s="432" t="s">
        <v>95</v>
      </c>
      <c r="E43" s="512" t="s">
        <v>222</v>
      </c>
      <c r="F43" s="512"/>
      <c r="G43" s="512"/>
      <c r="H43" s="512"/>
      <c r="I43" s="513" t="s">
        <v>95</v>
      </c>
      <c r="J43" s="513" t="s">
        <v>95</v>
      </c>
      <c r="K43" s="513" t="s">
        <v>95</v>
      </c>
      <c r="L43" s="513" t="s">
        <v>95</v>
      </c>
      <c r="M43" s="513" t="s">
        <v>95</v>
      </c>
      <c r="N43" s="513" t="s">
        <v>95</v>
      </c>
      <c r="O43" s="513" t="s">
        <v>95</v>
      </c>
      <c r="P43" s="513" t="s">
        <v>95</v>
      </c>
      <c r="Q43" s="513" t="s">
        <v>95</v>
      </c>
      <c r="R43" s="513" t="s">
        <v>95</v>
      </c>
      <c r="S43" s="513" t="s">
        <v>95</v>
      </c>
      <c r="T43" s="513" t="s">
        <v>95</v>
      </c>
      <c r="U43" s="513" t="s">
        <v>95</v>
      </c>
      <c r="V43" s="513" t="s">
        <v>95</v>
      </c>
      <c r="W43" s="513" t="s">
        <v>95</v>
      </c>
      <c r="X43" s="513" t="s">
        <v>95</v>
      </c>
      <c r="Y43" s="513" t="s">
        <v>95</v>
      </c>
      <c r="Z43" s="513" t="s">
        <v>95</v>
      </c>
      <c r="AA43" s="513" t="s">
        <v>95</v>
      </c>
      <c r="AB43" s="513" t="s">
        <v>95</v>
      </c>
      <c r="AC43" s="513" t="s">
        <v>95</v>
      </c>
      <c r="AD43" s="513" t="s">
        <v>95</v>
      </c>
      <c r="AE43" s="513" t="s">
        <v>95</v>
      </c>
      <c r="AF43" s="513" t="s">
        <v>95</v>
      </c>
      <c r="AG43" s="513" t="s">
        <v>95</v>
      </c>
      <c r="AH43" s="513" t="s">
        <v>95</v>
      </c>
      <c r="AI43" s="513" t="s">
        <v>95</v>
      </c>
      <c r="AJ43" s="513" t="s">
        <v>95</v>
      </c>
      <c r="AK43" s="513" t="s">
        <v>95</v>
      </c>
      <c r="AL43" s="513" t="s">
        <v>95</v>
      </c>
      <c r="AM43" s="513" t="s">
        <v>95</v>
      </c>
      <c r="AN43" s="513" t="s">
        <v>95</v>
      </c>
      <c r="AO43" s="513" t="s">
        <v>95</v>
      </c>
      <c r="AP43" s="513" t="s">
        <v>95</v>
      </c>
      <c r="AQ43" s="513" t="s">
        <v>95</v>
      </c>
      <c r="AR43" s="513" t="s">
        <v>95</v>
      </c>
      <c r="AS43" s="513" t="s">
        <v>95</v>
      </c>
      <c r="AT43" s="514" t="s">
        <v>95</v>
      </c>
    </row>
    <row r="44" spans="1:46" ht="17" x14ac:dyDescent="0.4">
      <c r="C44" s="164" t="s">
        <v>95</v>
      </c>
      <c r="D44" s="511" t="s">
        <v>95</v>
      </c>
      <c r="E44" s="515" t="s">
        <v>219</v>
      </c>
      <c r="F44" s="515"/>
      <c r="G44" s="515"/>
      <c r="H44" s="515"/>
      <c r="I44" s="516" t="s">
        <v>95</v>
      </c>
      <c r="J44" s="516" t="s">
        <v>95</v>
      </c>
      <c r="K44" s="516" t="s">
        <v>95</v>
      </c>
      <c r="L44" s="516" t="s">
        <v>95</v>
      </c>
      <c r="M44" s="515" t="s">
        <v>95</v>
      </c>
      <c r="N44" s="517" t="s">
        <v>95</v>
      </c>
      <c r="O44" s="517" t="s">
        <v>95</v>
      </c>
      <c r="P44" s="517" t="s">
        <v>95</v>
      </c>
      <c r="Q44" s="517" t="s">
        <v>95</v>
      </c>
      <c r="R44" s="517" t="s">
        <v>95</v>
      </c>
      <c r="S44" s="517" t="s">
        <v>95</v>
      </c>
      <c r="T44" s="517" t="s">
        <v>95</v>
      </c>
      <c r="U44" s="517" t="s">
        <v>95</v>
      </c>
      <c r="V44" s="517" t="s">
        <v>95</v>
      </c>
      <c r="W44" s="517" t="s">
        <v>95</v>
      </c>
      <c r="X44" s="517" t="s">
        <v>95</v>
      </c>
      <c r="Y44" s="517" t="s">
        <v>95</v>
      </c>
      <c r="Z44" s="517" t="s">
        <v>95</v>
      </c>
      <c r="AA44" s="517" t="s">
        <v>95</v>
      </c>
      <c r="AB44" s="517" t="s">
        <v>95</v>
      </c>
      <c r="AC44" s="517" t="s">
        <v>95</v>
      </c>
      <c r="AD44" s="517" t="s">
        <v>95</v>
      </c>
      <c r="AE44" s="517" t="s">
        <v>95</v>
      </c>
      <c r="AF44" s="517" t="s">
        <v>95</v>
      </c>
      <c r="AG44" s="517" t="s">
        <v>95</v>
      </c>
      <c r="AH44" s="517" t="s">
        <v>95</v>
      </c>
      <c r="AI44" s="517" t="s">
        <v>95</v>
      </c>
      <c r="AJ44" s="517" t="s">
        <v>95</v>
      </c>
      <c r="AK44" s="517" t="s">
        <v>95</v>
      </c>
      <c r="AL44" s="517" t="s">
        <v>95</v>
      </c>
      <c r="AM44" s="517" t="s">
        <v>95</v>
      </c>
      <c r="AN44" s="517" t="s">
        <v>95</v>
      </c>
      <c r="AO44" s="517" t="s">
        <v>95</v>
      </c>
      <c r="AP44" s="517" t="s">
        <v>95</v>
      </c>
      <c r="AQ44" s="517" t="s">
        <v>95</v>
      </c>
      <c r="AR44" s="517" t="s">
        <v>95</v>
      </c>
      <c r="AS44" s="517" t="s">
        <v>95</v>
      </c>
      <c r="AT44" s="518" t="s">
        <v>95</v>
      </c>
    </row>
    <row r="45" spans="1:46" x14ac:dyDescent="0.35">
      <c r="A45" s="1177">
        <v>6</v>
      </c>
      <c r="C45" s="1179" t="s">
        <v>99</v>
      </c>
      <c r="D45" s="1180"/>
      <c r="E45" s="425" t="s">
        <v>95</v>
      </c>
      <c r="F45" s="425" t="s">
        <v>95</v>
      </c>
      <c r="G45" s="425" t="s">
        <v>95</v>
      </c>
      <c r="H45" s="425" t="s">
        <v>95</v>
      </c>
      <c r="I45" s="425" t="s">
        <v>95</v>
      </c>
      <c r="J45" s="425" t="s">
        <v>95</v>
      </c>
      <c r="K45" s="425" t="s">
        <v>95</v>
      </c>
      <c r="L45" s="425" t="s">
        <v>95</v>
      </c>
      <c r="M45" s="425">
        <v>272.77726000000001</v>
      </c>
      <c r="N45" s="425" t="s">
        <v>95</v>
      </c>
      <c r="O45" s="425" t="s">
        <v>95</v>
      </c>
      <c r="P45" s="425" t="s">
        <v>95</v>
      </c>
      <c r="Q45" s="425" t="s">
        <v>95</v>
      </c>
      <c r="R45" s="425" t="s">
        <v>95</v>
      </c>
      <c r="S45" s="425" t="s">
        <v>95</v>
      </c>
      <c r="T45" s="425" t="s">
        <v>95</v>
      </c>
      <c r="U45" s="425" t="s">
        <v>95</v>
      </c>
      <c r="V45" s="425" t="s">
        <v>95</v>
      </c>
      <c r="W45" s="425" t="s">
        <v>95</v>
      </c>
      <c r="X45" s="425" t="s">
        <v>95</v>
      </c>
      <c r="Y45" s="425" t="s">
        <v>95</v>
      </c>
      <c r="Z45" s="425" t="s">
        <v>95</v>
      </c>
      <c r="AA45" s="425" t="s">
        <v>95</v>
      </c>
      <c r="AB45" s="425" t="s">
        <v>95</v>
      </c>
      <c r="AC45" s="425" t="s">
        <v>95</v>
      </c>
      <c r="AD45" s="425" t="s">
        <v>95</v>
      </c>
      <c r="AE45" s="425" t="s">
        <v>95</v>
      </c>
      <c r="AF45" s="425" t="s">
        <v>95</v>
      </c>
      <c r="AG45" s="425" t="s">
        <v>95</v>
      </c>
      <c r="AH45" s="425" t="s">
        <v>95</v>
      </c>
      <c r="AI45" s="425" t="s">
        <v>95</v>
      </c>
      <c r="AJ45" s="425" t="s">
        <v>95</v>
      </c>
      <c r="AK45" s="425" t="s">
        <v>95</v>
      </c>
      <c r="AL45" s="425" t="s">
        <v>95</v>
      </c>
      <c r="AM45" s="425" t="s">
        <v>95</v>
      </c>
      <c r="AN45" s="425" t="s">
        <v>95</v>
      </c>
      <c r="AO45" s="425" t="s">
        <v>95</v>
      </c>
      <c r="AP45" s="425" t="s">
        <v>95</v>
      </c>
      <c r="AQ45" s="425" t="s">
        <v>95</v>
      </c>
      <c r="AR45" s="425" t="s">
        <v>95</v>
      </c>
      <c r="AS45" s="425" t="s">
        <v>95</v>
      </c>
      <c r="AT45" s="341" t="s">
        <v>95</v>
      </c>
    </row>
    <row r="46" spans="1:46" x14ac:dyDescent="0.35">
      <c r="A46" s="1177"/>
      <c r="C46" s="1172" t="s">
        <v>101</v>
      </c>
      <c r="D46" s="1021"/>
      <c r="E46" s="425" t="s">
        <v>95</v>
      </c>
      <c r="F46" s="425" t="s">
        <v>95</v>
      </c>
      <c r="G46" s="425">
        <v>289.58999999999997</v>
      </c>
      <c r="H46" s="425" t="s">
        <v>95</v>
      </c>
      <c r="I46" s="425">
        <v>289.58999999999997</v>
      </c>
      <c r="J46" s="425" t="s">
        <v>95</v>
      </c>
      <c r="K46" s="425">
        <v>289.39861000000002</v>
      </c>
      <c r="L46" s="425" t="s">
        <v>95</v>
      </c>
      <c r="M46" s="425">
        <v>289.39861000000002</v>
      </c>
      <c r="N46" s="425" t="s">
        <v>95</v>
      </c>
      <c r="O46" s="425" t="s">
        <v>95</v>
      </c>
      <c r="P46" s="425" t="s">
        <v>95</v>
      </c>
      <c r="Q46" s="425" t="s">
        <v>95</v>
      </c>
      <c r="R46" s="425" t="s">
        <v>95</v>
      </c>
      <c r="S46" s="425" t="s">
        <v>95</v>
      </c>
      <c r="T46" s="425" t="s">
        <v>95</v>
      </c>
      <c r="U46" s="425" t="s">
        <v>95</v>
      </c>
      <c r="V46" s="425" t="s">
        <v>95</v>
      </c>
      <c r="W46" s="425" t="s">
        <v>95</v>
      </c>
      <c r="X46" s="425" t="s">
        <v>95</v>
      </c>
      <c r="Y46" s="425" t="s">
        <v>95</v>
      </c>
      <c r="Z46" s="425" t="s">
        <v>95</v>
      </c>
      <c r="AA46" s="425" t="s">
        <v>95</v>
      </c>
      <c r="AB46" s="425" t="s">
        <v>95</v>
      </c>
      <c r="AC46" s="425" t="s">
        <v>95</v>
      </c>
      <c r="AD46" s="425" t="s">
        <v>95</v>
      </c>
      <c r="AE46" s="425" t="s">
        <v>95</v>
      </c>
      <c r="AF46" s="425" t="s">
        <v>95</v>
      </c>
      <c r="AG46" s="425" t="s">
        <v>95</v>
      </c>
      <c r="AH46" s="425" t="s">
        <v>95</v>
      </c>
      <c r="AI46" s="425" t="s">
        <v>95</v>
      </c>
      <c r="AJ46" s="425" t="s">
        <v>95</v>
      </c>
      <c r="AK46" s="425" t="s">
        <v>95</v>
      </c>
      <c r="AL46" s="425" t="s">
        <v>95</v>
      </c>
      <c r="AM46" s="425" t="s">
        <v>95</v>
      </c>
      <c r="AN46" s="425" t="s">
        <v>95</v>
      </c>
      <c r="AO46" s="425" t="s">
        <v>95</v>
      </c>
      <c r="AP46" s="425" t="s">
        <v>95</v>
      </c>
      <c r="AQ46" s="425" t="s">
        <v>95</v>
      </c>
      <c r="AR46" s="425" t="s">
        <v>95</v>
      </c>
      <c r="AS46" s="425" t="s">
        <v>95</v>
      </c>
      <c r="AT46" s="341" t="s">
        <v>95</v>
      </c>
    </row>
    <row r="47" spans="1:46" x14ac:dyDescent="0.35">
      <c r="A47" s="1177"/>
      <c r="B47" s="61"/>
      <c r="C47" s="1172" t="s">
        <v>221</v>
      </c>
      <c r="D47" s="1021"/>
      <c r="E47" s="425" t="s">
        <v>95</v>
      </c>
      <c r="F47" s="425" t="s">
        <v>95</v>
      </c>
      <c r="G47" s="425">
        <v>-27.75</v>
      </c>
      <c r="H47" s="425" t="s">
        <v>95</v>
      </c>
      <c r="I47" s="425">
        <v>-27.75</v>
      </c>
      <c r="J47" s="425" t="s">
        <v>95</v>
      </c>
      <c r="K47" s="425">
        <v>-27.746700000000001</v>
      </c>
      <c r="L47" s="425" t="s">
        <v>95</v>
      </c>
      <c r="M47" s="425">
        <v>-27.74708</v>
      </c>
      <c r="N47" s="425" t="s">
        <v>95</v>
      </c>
      <c r="O47" s="425" t="s">
        <v>95</v>
      </c>
      <c r="P47" s="425" t="s">
        <v>95</v>
      </c>
      <c r="Q47" s="425" t="s">
        <v>95</v>
      </c>
      <c r="R47" s="425" t="s">
        <v>95</v>
      </c>
      <c r="S47" s="425" t="s">
        <v>95</v>
      </c>
      <c r="T47" s="425" t="s">
        <v>95</v>
      </c>
      <c r="U47" s="425" t="s">
        <v>95</v>
      </c>
      <c r="V47" s="425" t="s">
        <v>95</v>
      </c>
      <c r="W47" s="425" t="s">
        <v>95</v>
      </c>
      <c r="X47" s="425" t="s">
        <v>95</v>
      </c>
      <c r="Y47" s="425" t="s">
        <v>95</v>
      </c>
      <c r="Z47" s="425" t="s">
        <v>95</v>
      </c>
      <c r="AA47" s="425" t="s">
        <v>95</v>
      </c>
      <c r="AB47" s="425" t="s">
        <v>95</v>
      </c>
      <c r="AC47" s="425" t="s">
        <v>95</v>
      </c>
      <c r="AD47" s="425" t="s">
        <v>95</v>
      </c>
      <c r="AE47" s="425" t="s">
        <v>95</v>
      </c>
      <c r="AF47" s="425" t="s">
        <v>95</v>
      </c>
      <c r="AG47" s="425" t="s">
        <v>95</v>
      </c>
      <c r="AH47" s="425" t="s">
        <v>95</v>
      </c>
      <c r="AI47" s="425" t="s">
        <v>95</v>
      </c>
      <c r="AJ47" s="425" t="s">
        <v>95</v>
      </c>
      <c r="AK47" s="425" t="s">
        <v>95</v>
      </c>
      <c r="AL47" s="425" t="s">
        <v>95</v>
      </c>
      <c r="AM47" s="425" t="s">
        <v>95</v>
      </c>
      <c r="AN47" s="425" t="s">
        <v>95</v>
      </c>
      <c r="AO47" s="425" t="s">
        <v>95</v>
      </c>
      <c r="AP47" s="425" t="s">
        <v>95</v>
      </c>
      <c r="AQ47" s="425" t="s">
        <v>95</v>
      </c>
      <c r="AR47" s="425" t="s">
        <v>95</v>
      </c>
      <c r="AS47" s="425" t="s">
        <v>95</v>
      </c>
      <c r="AT47" s="341" t="s">
        <v>95</v>
      </c>
    </row>
    <row r="48" spans="1:46" x14ac:dyDescent="0.35">
      <c r="A48" s="1177"/>
      <c r="B48" s="61"/>
      <c r="C48" s="1175" t="s">
        <v>146</v>
      </c>
      <c r="D48" s="1023"/>
      <c r="E48" s="425"/>
      <c r="F48" s="425"/>
      <c r="G48" s="425">
        <v>-27.75</v>
      </c>
      <c r="H48" s="425" t="s">
        <v>95</v>
      </c>
      <c r="I48" s="425">
        <v>-27.75</v>
      </c>
      <c r="J48" s="425" t="s">
        <v>95</v>
      </c>
      <c r="K48" s="425">
        <v>-27.746700000000001</v>
      </c>
      <c r="L48" s="425" t="s">
        <v>95</v>
      </c>
      <c r="M48" s="425">
        <v>-27.74708</v>
      </c>
      <c r="N48" s="425"/>
      <c r="O48" s="425"/>
      <c r="P48" s="425"/>
      <c r="Q48" s="425"/>
      <c r="R48" s="425"/>
      <c r="S48" s="425"/>
      <c r="T48" s="425"/>
      <c r="U48" s="425"/>
      <c r="V48" s="425"/>
      <c r="W48" s="425"/>
      <c r="X48" s="425"/>
      <c r="Y48" s="425"/>
      <c r="Z48" s="425"/>
      <c r="AA48" s="425"/>
      <c r="AB48" s="425"/>
      <c r="AC48" s="425"/>
      <c r="AD48" s="425"/>
      <c r="AE48" s="425"/>
      <c r="AF48" s="425"/>
      <c r="AG48" s="425"/>
      <c r="AH48" s="425"/>
      <c r="AI48" s="425"/>
      <c r="AJ48" s="425"/>
      <c r="AK48" s="425"/>
      <c r="AL48" s="425"/>
      <c r="AM48" s="425"/>
      <c r="AN48" s="425"/>
      <c r="AO48" s="425"/>
      <c r="AP48" s="425"/>
      <c r="AQ48" s="425"/>
      <c r="AR48" s="425"/>
      <c r="AS48" s="425"/>
      <c r="AT48" s="341"/>
    </row>
    <row r="49" spans="1:46" x14ac:dyDescent="0.35">
      <c r="A49" s="1177"/>
      <c r="C49" s="1172" t="s">
        <v>103</v>
      </c>
      <c r="D49" s="1021"/>
      <c r="E49" s="425" t="s">
        <v>95</v>
      </c>
      <c r="F49" s="425" t="s">
        <v>95</v>
      </c>
      <c r="G49" s="425">
        <v>-29.57</v>
      </c>
      <c r="H49" s="425" t="s">
        <v>95</v>
      </c>
      <c r="I49" s="425">
        <v>-29.57</v>
      </c>
      <c r="J49" s="425" t="s">
        <v>95</v>
      </c>
      <c r="K49" s="425">
        <v>-27.753969999999999</v>
      </c>
      <c r="L49" s="425" t="s">
        <v>95</v>
      </c>
      <c r="M49" s="425">
        <v>-27.77787</v>
      </c>
      <c r="N49" s="425" t="s">
        <v>95</v>
      </c>
      <c r="O49" s="425" t="s">
        <v>95</v>
      </c>
      <c r="P49" s="425" t="s">
        <v>95</v>
      </c>
      <c r="Q49" s="425" t="s">
        <v>95</v>
      </c>
      <c r="R49" s="425" t="s">
        <v>95</v>
      </c>
      <c r="S49" s="425" t="s">
        <v>95</v>
      </c>
      <c r="T49" s="425" t="s">
        <v>95</v>
      </c>
      <c r="U49" s="425" t="s">
        <v>95</v>
      </c>
      <c r="V49" s="425" t="s">
        <v>95</v>
      </c>
      <c r="W49" s="425" t="s">
        <v>95</v>
      </c>
      <c r="X49" s="425" t="s">
        <v>95</v>
      </c>
      <c r="Y49" s="425" t="s">
        <v>95</v>
      </c>
      <c r="Z49" s="425" t="s">
        <v>95</v>
      </c>
      <c r="AA49" s="425" t="s">
        <v>95</v>
      </c>
      <c r="AB49" s="425" t="s">
        <v>95</v>
      </c>
      <c r="AC49" s="425" t="s">
        <v>95</v>
      </c>
      <c r="AD49" s="425" t="s">
        <v>95</v>
      </c>
      <c r="AE49" s="425" t="s">
        <v>95</v>
      </c>
      <c r="AF49" s="425" t="s">
        <v>95</v>
      </c>
      <c r="AG49" s="425" t="s">
        <v>95</v>
      </c>
      <c r="AH49" s="425" t="s">
        <v>95</v>
      </c>
      <c r="AI49" s="425" t="s">
        <v>95</v>
      </c>
      <c r="AJ49" s="425" t="s">
        <v>95</v>
      </c>
      <c r="AK49" s="425" t="s">
        <v>95</v>
      </c>
      <c r="AL49" s="425" t="s">
        <v>95</v>
      </c>
      <c r="AM49" s="425" t="s">
        <v>95</v>
      </c>
      <c r="AN49" s="425" t="s">
        <v>95</v>
      </c>
      <c r="AO49" s="425" t="s">
        <v>95</v>
      </c>
      <c r="AP49" s="425" t="s">
        <v>95</v>
      </c>
      <c r="AQ49" s="425" t="s">
        <v>95</v>
      </c>
      <c r="AR49" s="425" t="s">
        <v>95</v>
      </c>
      <c r="AS49" s="425" t="s">
        <v>95</v>
      </c>
      <c r="AT49" s="341" t="s">
        <v>95</v>
      </c>
    </row>
    <row r="50" spans="1:46" x14ac:dyDescent="0.35">
      <c r="A50" s="1177"/>
      <c r="B50" s="61"/>
      <c r="C50" s="1172" t="s">
        <v>80</v>
      </c>
      <c r="D50" s="1021"/>
      <c r="E50" s="425" t="s">
        <v>95</v>
      </c>
      <c r="F50" s="425" t="s">
        <v>95</v>
      </c>
      <c r="G50" s="425" t="s">
        <v>95</v>
      </c>
      <c r="H50" s="425" t="s">
        <v>95</v>
      </c>
      <c r="I50" s="425" t="s">
        <v>95</v>
      </c>
      <c r="J50" s="425" t="s">
        <v>95</v>
      </c>
      <c r="K50" s="425" t="s">
        <v>95</v>
      </c>
      <c r="L50" s="425" t="s">
        <v>95</v>
      </c>
      <c r="M50" s="425" t="s">
        <v>95</v>
      </c>
      <c r="N50" s="425" t="s">
        <v>95</v>
      </c>
      <c r="O50" s="425" t="s">
        <v>95</v>
      </c>
      <c r="P50" s="425" t="s">
        <v>95</v>
      </c>
      <c r="Q50" s="425" t="s">
        <v>95</v>
      </c>
      <c r="R50" s="425" t="s">
        <v>95</v>
      </c>
      <c r="S50" s="425" t="s">
        <v>95</v>
      </c>
      <c r="T50" s="425" t="s">
        <v>95</v>
      </c>
      <c r="U50" s="425" t="s">
        <v>95</v>
      </c>
      <c r="V50" s="425" t="s">
        <v>95</v>
      </c>
      <c r="W50" s="425" t="s">
        <v>95</v>
      </c>
      <c r="X50" s="425" t="s">
        <v>95</v>
      </c>
      <c r="Y50" s="425" t="s">
        <v>95</v>
      </c>
      <c r="Z50" s="425" t="s">
        <v>95</v>
      </c>
      <c r="AA50" s="425" t="s">
        <v>95</v>
      </c>
      <c r="AB50" s="425" t="s">
        <v>95</v>
      </c>
      <c r="AC50" s="425" t="s">
        <v>95</v>
      </c>
      <c r="AD50" s="425" t="s">
        <v>95</v>
      </c>
      <c r="AE50" s="425" t="s">
        <v>95</v>
      </c>
      <c r="AF50" s="425" t="s">
        <v>95</v>
      </c>
      <c r="AG50" s="425" t="s">
        <v>95</v>
      </c>
      <c r="AH50" s="425" t="s">
        <v>95</v>
      </c>
      <c r="AI50" s="425" t="s">
        <v>95</v>
      </c>
      <c r="AJ50" s="425" t="s">
        <v>95</v>
      </c>
      <c r="AK50" s="425" t="s">
        <v>95</v>
      </c>
      <c r="AL50" s="425" t="s">
        <v>95</v>
      </c>
      <c r="AM50" s="425" t="s">
        <v>95</v>
      </c>
      <c r="AN50" s="425" t="s">
        <v>95</v>
      </c>
      <c r="AO50" s="425" t="s">
        <v>95</v>
      </c>
      <c r="AP50" s="425" t="s">
        <v>95</v>
      </c>
      <c r="AQ50" s="425" t="s">
        <v>95</v>
      </c>
      <c r="AR50" s="425" t="s">
        <v>95</v>
      </c>
      <c r="AS50" s="425" t="s">
        <v>95</v>
      </c>
      <c r="AT50" s="341" t="s">
        <v>95</v>
      </c>
    </row>
    <row r="51" spans="1:46" x14ac:dyDescent="0.35">
      <c r="A51" s="1177"/>
      <c r="C51" s="1172" t="s">
        <v>57</v>
      </c>
      <c r="D51" s="1021"/>
      <c r="E51" s="425" t="s">
        <v>95</v>
      </c>
      <c r="F51" s="425" t="s">
        <v>95</v>
      </c>
      <c r="G51" s="425">
        <v>-27.75</v>
      </c>
      <c r="H51" s="425" t="s">
        <v>95</v>
      </c>
      <c r="I51" s="425">
        <v>-27.75</v>
      </c>
      <c r="J51" s="425" t="s">
        <v>95</v>
      </c>
      <c r="K51" s="425">
        <v>-27.750789999999999</v>
      </c>
      <c r="L51" s="425" t="s">
        <v>95</v>
      </c>
      <c r="M51" s="379">
        <v>-27.752559999999999</v>
      </c>
      <c r="N51" s="425" t="s">
        <v>95</v>
      </c>
      <c r="O51" s="425" t="s">
        <v>95</v>
      </c>
      <c r="P51" s="425" t="s">
        <v>95</v>
      </c>
      <c r="Q51" s="425" t="s">
        <v>95</v>
      </c>
      <c r="R51" s="425" t="s">
        <v>95</v>
      </c>
      <c r="S51" s="425" t="s">
        <v>95</v>
      </c>
      <c r="T51" s="425" t="s">
        <v>95</v>
      </c>
      <c r="U51" s="425" t="s">
        <v>95</v>
      </c>
      <c r="V51" s="425" t="s">
        <v>95</v>
      </c>
      <c r="W51" s="425" t="s">
        <v>95</v>
      </c>
      <c r="X51" s="425" t="s">
        <v>95</v>
      </c>
      <c r="Y51" s="425" t="s">
        <v>95</v>
      </c>
      <c r="Z51" s="425" t="s">
        <v>95</v>
      </c>
      <c r="AA51" s="425" t="s">
        <v>95</v>
      </c>
      <c r="AB51" s="425" t="s">
        <v>95</v>
      </c>
      <c r="AC51" s="425" t="s">
        <v>95</v>
      </c>
      <c r="AD51" s="425" t="s">
        <v>95</v>
      </c>
      <c r="AE51" s="425" t="s">
        <v>95</v>
      </c>
      <c r="AF51" s="425" t="s">
        <v>95</v>
      </c>
      <c r="AG51" s="425" t="s">
        <v>95</v>
      </c>
      <c r="AH51" s="425" t="s">
        <v>95</v>
      </c>
      <c r="AI51" s="425" t="s">
        <v>95</v>
      </c>
      <c r="AJ51" s="425" t="s">
        <v>95</v>
      </c>
      <c r="AK51" s="425" t="s">
        <v>95</v>
      </c>
      <c r="AL51" s="425" t="s">
        <v>95</v>
      </c>
      <c r="AM51" s="425" t="s">
        <v>95</v>
      </c>
      <c r="AN51" s="425" t="s">
        <v>95</v>
      </c>
      <c r="AO51" s="425" t="s">
        <v>95</v>
      </c>
      <c r="AP51" s="425" t="s">
        <v>95</v>
      </c>
      <c r="AQ51" s="425" t="s">
        <v>95</v>
      </c>
      <c r="AR51" s="425" t="s">
        <v>95</v>
      </c>
      <c r="AS51" s="425" t="s">
        <v>95</v>
      </c>
      <c r="AT51" s="341" t="s">
        <v>95</v>
      </c>
    </row>
    <row r="52" spans="1:46" ht="17" x14ac:dyDescent="0.4">
      <c r="C52" s="160" t="s">
        <v>95</v>
      </c>
      <c r="D52" s="432" t="s">
        <v>95</v>
      </c>
      <c r="E52" s="512" t="s">
        <v>223</v>
      </c>
      <c r="F52" s="512"/>
      <c r="G52" s="512"/>
      <c r="H52" s="512"/>
      <c r="I52" s="513" t="s">
        <v>95</v>
      </c>
      <c r="J52" s="513" t="s">
        <v>95</v>
      </c>
      <c r="K52" s="513" t="s">
        <v>95</v>
      </c>
      <c r="L52" s="513" t="s">
        <v>95</v>
      </c>
      <c r="M52" s="513" t="s">
        <v>95</v>
      </c>
      <c r="N52" s="513" t="s">
        <v>95</v>
      </c>
      <c r="O52" s="513" t="s">
        <v>95</v>
      </c>
      <c r="P52" s="513" t="s">
        <v>95</v>
      </c>
      <c r="Q52" s="513" t="s">
        <v>95</v>
      </c>
      <c r="R52" s="513" t="s">
        <v>95</v>
      </c>
      <c r="S52" s="513" t="s">
        <v>95</v>
      </c>
      <c r="T52" s="513" t="s">
        <v>95</v>
      </c>
      <c r="U52" s="513" t="s">
        <v>95</v>
      </c>
      <c r="V52" s="513" t="s">
        <v>95</v>
      </c>
      <c r="W52" s="513" t="s">
        <v>95</v>
      </c>
      <c r="X52" s="513" t="s">
        <v>95</v>
      </c>
      <c r="Y52" s="513" t="s">
        <v>95</v>
      </c>
      <c r="Z52" s="513" t="s">
        <v>95</v>
      </c>
      <c r="AA52" s="513" t="s">
        <v>95</v>
      </c>
      <c r="AB52" s="513" t="s">
        <v>95</v>
      </c>
      <c r="AC52" s="513" t="s">
        <v>95</v>
      </c>
      <c r="AD52" s="513" t="s">
        <v>95</v>
      </c>
      <c r="AE52" s="513" t="s">
        <v>95</v>
      </c>
      <c r="AF52" s="513" t="s">
        <v>95</v>
      </c>
      <c r="AG52" s="513" t="s">
        <v>95</v>
      </c>
      <c r="AH52" s="513" t="s">
        <v>95</v>
      </c>
      <c r="AI52" s="513" t="s">
        <v>95</v>
      </c>
      <c r="AJ52" s="513" t="s">
        <v>95</v>
      </c>
      <c r="AK52" s="513" t="s">
        <v>95</v>
      </c>
      <c r="AL52" s="513" t="s">
        <v>95</v>
      </c>
      <c r="AM52" s="513" t="s">
        <v>95</v>
      </c>
      <c r="AN52" s="513" t="s">
        <v>95</v>
      </c>
      <c r="AO52" s="513" t="s">
        <v>95</v>
      </c>
      <c r="AP52" s="513" t="s">
        <v>95</v>
      </c>
      <c r="AQ52" s="513" t="s">
        <v>95</v>
      </c>
      <c r="AR52" s="513" t="s">
        <v>95</v>
      </c>
      <c r="AS52" s="513" t="s">
        <v>95</v>
      </c>
      <c r="AT52" s="514" t="s">
        <v>95</v>
      </c>
    </row>
    <row r="53" spans="1:46" ht="17" x14ac:dyDescent="0.4">
      <c r="C53" s="164" t="s">
        <v>95</v>
      </c>
      <c r="D53" s="511" t="s">
        <v>95</v>
      </c>
      <c r="E53" s="515" t="s">
        <v>224</v>
      </c>
      <c r="F53" s="515"/>
      <c r="G53" s="515"/>
      <c r="H53" s="515"/>
      <c r="I53" s="516" t="s">
        <v>95</v>
      </c>
      <c r="J53" s="516" t="s">
        <v>95</v>
      </c>
      <c r="K53" s="516" t="s">
        <v>95</v>
      </c>
      <c r="L53" s="516" t="s">
        <v>95</v>
      </c>
      <c r="M53" s="515" t="s">
        <v>95</v>
      </c>
      <c r="N53" s="517" t="s">
        <v>95</v>
      </c>
      <c r="O53" s="517" t="s">
        <v>95</v>
      </c>
      <c r="P53" s="517" t="s">
        <v>95</v>
      </c>
      <c r="Q53" s="517" t="s">
        <v>95</v>
      </c>
      <c r="R53" s="517" t="s">
        <v>95</v>
      </c>
      <c r="S53" s="517" t="s">
        <v>95</v>
      </c>
      <c r="T53" s="517" t="s">
        <v>95</v>
      </c>
      <c r="U53" s="517" t="s">
        <v>95</v>
      </c>
      <c r="V53" s="517" t="s">
        <v>95</v>
      </c>
      <c r="W53" s="517" t="s">
        <v>95</v>
      </c>
      <c r="X53" s="517" t="s">
        <v>95</v>
      </c>
      <c r="Y53" s="517" t="s">
        <v>95</v>
      </c>
      <c r="Z53" s="517" t="s">
        <v>95</v>
      </c>
      <c r="AA53" s="517" t="s">
        <v>95</v>
      </c>
      <c r="AB53" s="517" t="s">
        <v>95</v>
      </c>
      <c r="AC53" s="517" t="s">
        <v>95</v>
      </c>
      <c r="AD53" s="517" t="s">
        <v>95</v>
      </c>
      <c r="AE53" s="517" t="s">
        <v>95</v>
      </c>
      <c r="AF53" s="517" t="s">
        <v>95</v>
      </c>
      <c r="AG53" s="517" t="s">
        <v>95</v>
      </c>
      <c r="AH53" s="517" t="s">
        <v>95</v>
      </c>
      <c r="AI53" s="517" t="s">
        <v>95</v>
      </c>
      <c r="AJ53" s="517" t="s">
        <v>95</v>
      </c>
      <c r="AK53" s="517" t="s">
        <v>95</v>
      </c>
      <c r="AL53" s="517" t="s">
        <v>95</v>
      </c>
      <c r="AM53" s="517" t="s">
        <v>95</v>
      </c>
      <c r="AN53" s="517" t="s">
        <v>95</v>
      </c>
      <c r="AO53" s="517" t="s">
        <v>95</v>
      </c>
      <c r="AP53" s="517" t="s">
        <v>95</v>
      </c>
      <c r="AQ53" s="517" t="s">
        <v>95</v>
      </c>
      <c r="AR53" s="517" t="s">
        <v>95</v>
      </c>
      <c r="AS53" s="517" t="s">
        <v>95</v>
      </c>
      <c r="AT53" s="518" t="s">
        <v>95</v>
      </c>
    </row>
    <row r="54" spans="1:46" x14ac:dyDescent="0.35">
      <c r="A54" s="1177">
        <v>6</v>
      </c>
      <c r="C54" s="1179" t="s">
        <v>99</v>
      </c>
      <c r="D54" s="1180"/>
      <c r="E54" s="425" t="s">
        <v>95</v>
      </c>
      <c r="F54" s="425" t="s">
        <v>95</v>
      </c>
      <c r="G54" s="425">
        <v>280.94</v>
      </c>
      <c r="H54" s="425" t="s">
        <v>95</v>
      </c>
      <c r="I54" s="425">
        <v>280.94</v>
      </c>
      <c r="J54" s="425" t="s">
        <v>95</v>
      </c>
      <c r="K54" s="425">
        <v>287.28393</v>
      </c>
      <c r="L54" s="425" t="s">
        <v>95</v>
      </c>
      <c r="M54" s="425">
        <v>306.30676999999997</v>
      </c>
      <c r="N54" s="425" t="s">
        <v>95</v>
      </c>
      <c r="O54" s="425" t="s">
        <v>95</v>
      </c>
      <c r="P54" s="425" t="s">
        <v>95</v>
      </c>
      <c r="Q54" s="425" t="s">
        <v>95</v>
      </c>
      <c r="R54" s="425" t="s">
        <v>95</v>
      </c>
      <c r="S54" s="425" t="s">
        <v>95</v>
      </c>
      <c r="T54" s="425" t="s">
        <v>95</v>
      </c>
      <c r="U54" s="425" t="s">
        <v>95</v>
      </c>
      <c r="V54" s="425" t="s">
        <v>95</v>
      </c>
      <c r="W54" s="425" t="s">
        <v>95</v>
      </c>
      <c r="X54" s="425" t="s">
        <v>95</v>
      </c>
      <c r="Y54" s="425" t="s">
        <v>95</v>
      </c>
      <c r="Z54" s="425" t="s">
        <v>95</v>
      </c>
      <c r="AA54" s="425" t="s">
        <v>95</v>
      </c>
      <c r="AB54" s="425" t="s">
        <v>95</v>
      </c>
      <c r="AC54" s="425" t="s">
        <v>95</v>
      </c>
      <c r="AD54" s="425" t="s">
        <v>95</v>
      </c>
      <c r="AE54" s="425" t="s">
        <v>95</v>
      </c>
      <c r="AF54" s="425" t="s">
        <v>95</v>
      </c>
      <c r="AG54" s="425" t="s">
        <v>95</v>
      </c>
      <c r="AH54" s="425" t="s">
        <v>95</v>
      </c>
      <c r="AI54" s="425" t="s">
        <v>95</v>
      </c>
      <c r="AJ54" s="425" t="s">
        <v>95</v>
      </c>
      <c r="AK54" s="425" t="s">
        <v>95</v>
      </c>
      <c r="AL54" s="425" t="s">
        <v>95</v>
      </c>
      <c r="AM54" s="425" t="s">
        <v>95</v>
      </c>
      <c r="AN54" s="425" t="s">
        <v>95</v>
      </c>
      <c r="AO54" s="425" t="s">
        <v>95</v>
      </c>
      <c r="AP54" s="425" t="s">
        <v>95</v>
      </c>
      <c r="AQ54" s="425" t="s">
        <v>95</v>
      </c>
      <c r="AR54" s="425" t="s">
        <v>95</v>
      </c>
      <c r="AS54" s="425" t="s">
        <v>95</v>
      </c>
      <c r="AT54" s="341" t="s">
        <v>95</v>
      </c>
    </row>
    <row r="55" spans="1:46" x14ac:dyDescent="0.35">
      <c r="A55" s="1177"/>
      <c r="C55" s="1172" t="s">
        <v>101</v>
      </c>
      <c r="D55" s="1021"/>
      <c r="E55" s="425" t="s">
        <v>95</v>
      </c>
      <c r="F55" s="425" t="s">
        <v>95</v>
      </c>
      <c r="G55" s="425" t="s">
        <v>95</v>
      </c>
      <c r="H55" s="425" t="s">
        <v>95</v>
      </c>
      <c r="I55" s="425" t="s">
        <v>95</v>
      </c>
      <c r="J55" s="425" t="s">
        <v>95</v>
      </c>
      <c r="K55" s="425">
        <v>317.35183000000001</v>
      </c>
      <c r="L55" s="425" t="s">
        <v>95</v>
      </c>
      <c r="M55" s="425">
        <v>317.35183000000001</v>
      </c>
      <c r="N55" s="425" t="s">
        <v>95</v>
      </c>
      <c r="O55" s="425" t="s">
        <v>95</v>
      </c>
      <c r="P55" s="425" t="s">
        <v>95</v>
      </c>
      <c r="Q55" s="425" t="s">
        <v>95</v>
      </c>
      <c r="R55" s="425" t="s">
        <v>95</v>
      </c>
      <c r="S55" s="425" t="s">
        <v>95</v>
      </c>
      <c r="T55" s="425" t="s">
        <v>95</v>
      </c>
      <c r="U55" s="425" t="s">
        <v>95</v>
      </c>
      <c r="V55" s="425" t="s">
        <v>95</v>
      </c>
      <c r="W55" s="425" t="s">
        <v>95</v>
      </c>
      <c r="X55" s="425" t="s">
        <v>95</v>
      </c>
      <c r="Y55" s="425" t="s">
        <v>95</v>
      </c>
      <c r="Z55" s="425" t="s">
        <v>95</v>
      </c>
      <c r="AA55" s="425" t="s">
        <v>95</v>
      </c>
      <c r="AB55" s="425" t="s">
        <v>95</v>
      </c>
      <c r="AC55" s="425" t="s">
        <v>95</v>
      </c>
      <c r="AD55" s="425" t="s">
        <v>95</v>
      </c>
      <c r="AE55" s="425" t="s">
        <v>95</v>
      </c>
      <c r="AF55" s="425" t="s">
        <v>95</v>
      </c>
      <c r="AG55" s="425" t="s">
        <v>95</v>
      </c>
      <c r="AH55" s="425" t="s">
        <v>95</v>
      </c>
      <c r="AI55" s="425" t="s">
        <v>95</v>
      </c>
      <c r="AJ55" s="425" t="s">
        <v>95</v>
      </c>
      <c r="AK55" s="425" t="s">
        <v>95</v>
      </c>
      <c r="AL55" s="425" t="s">
        <v>95</v>
      </c>
      <c r="AM55" s="425" t="s">
        <v>95</v>
      </c>
      <c r="AN55" s="425" t="s">
        <v>95</v>
      </c>
      <c r="AO55" s="425" t="s">
        <v>95</v>
      </c>
      <c r="AP55" s="425" t="s">
        <v>95</v>
      </c>
      <c r="AQ55" s="425" t="s">
        <v>95</v>
      </c>
      <c r="AR55" s="425" t="s">
        <v>95</v>
      </c>
      <c r="AS55" s="425" t="s">
        <v>95</v>
      </c>
      <c r="AT55" s="341" t="s">
        <v>95</v>
      </c>
    </row>
    <row r="56" spans="1:46" x14ac:dyDescent="0.35">
      <c r="A56" s="1177"/>
      <c r="C56" s="1172" t="s">
        <v>221</v>
      </c>
      <c r="D56" s="1021"/>
      <c r="E56" s="425" t="s">
        <v>95</v>
      </c>
      <c r="F56" s="425" t="s">
        <v>95</v>
      </c>
      <c r="G56" s="425">
        <v>77</v>
      </c>
      <c r="H56" s="425" t="s">
        <v>95</v>
      </c>
      <c r="I56" s="425">
        <v>77</v>
      </c>
      <c r="J56" s="425" t="s">
        <v>95</v>
      </c>
      <c r="K56" s="425">
        <v>77</v>
      </c>
      <c r="L56" s="425" t="s">
        <v>95</v>
      </c>
      <c r="M56" s="425">
        <v>77</v>
      </c>
      <c r="N56" s="425" t="s">
        <v>95</v>
      </c>
      <c r="O56" s="425" t="s">
        <v>95</v>
      </c>
      <c r="P56" s="425" t="s">
        <v>95</v>
      </c>
      <c r="Q56" s="425" t="s">
        <v>95</v>
      </c>
      <c r="R56" s="425" t="s">
        <v>95</v>
      </c>
      <c r="S56" s="425" t="s">
        <v>95</v>
      </c>
      <c r="T56" s="425" t="s">
        <v>95</v>
      </c>
      <c r="U56" s="425" t="s">
        <v>95</v>
      </c>
      <c r="V56" s="425" t="s">
        <v>95</v>
      </c>
      <c r="W56" s="425" t="s">
        <v>95</v>
      </c>
      <c r="X56" s="425" t="s">
        <v>95</v>
      </c>
      <c r="Y56" s="425" t="s">
        <v>95</v>
      </c>
      <c r="Z56" s="425" t="s">
        <v>95</v>
      </c>
      <c r="AA56" s="425" t="s">
        <v>95</v>
      </c>
      <c r="AB56" s="425" t="s">
        <v>95</v>
      </c>
      <c r="AC56" s="425" t="s">
        <v>95</v>
      </c>
      <c r="AD56" s="425" t="s">
        <v>95</v>
      </c>
      <c r="AE56" s="425" t="s">
        <v>95</v>
      </c>
      <c r="AF56" s="425" t="s">
        <v>95</v>
      </c>
      <c r="AG56" s="425" t="s">
        <v>95</v>
      </c>
      <c r="AH56" s="425" t="s">
        <v>95</v>
      </c>
      <c r="AI56" s="425" t="s">
        <v>95</v>
      </c>
      <c r="AJ56" s="425" t="s">
        <v>95</v>
      </c>
      <c r="AK56" s="425" t="s">
        <v>95</v>
      </c>
      <c r="AL56" s="425" t="s">
        <v>95</v>
      </c>
      <c r="AM56" s="425" t="s">
        <v>95</v>
      </c>
      <c r="AN56" s="425" t="s">
        <v>95</v>
      </c>
      <c r="AO56" s="425" t="s">
        <v>95</v>
      </c>
      <c r="AP56" s="425" t="s">
        <v>95</v>
      </c>
      <c r="AQ56" s="425" t="s">
        <v>95</v>
      </c>
      <c r="AR56" s="425" t="s">
        <v>95</v>
      </c>
      <c r="AS56" s="425" t="s">
        <v>95</v>
      </c>
      <c r="AT56" s="341" t="s">
        <v>95</v>
      </c>
    </row>
    <row r="57" spans="1:46" x14ac:dyDescent="0.35">
      <c r="A57" s="1177"/>
      <c r="C57" s="1175" t="s">
        <v>146</v>
      </c>
      <c r="D57" s="1023"/>
      <c r="E57" s="425"/>
      <c r="F57" s="425"/>
      <c r="G57" s="425">
        <v>77</v>
      </c>
      <c r="H57" s="425" t="s">
        <v>95</v>
      </c>
      <c r="I57" s="425">
        <v>77</v>
      </c>
      <c r="J57" s="425" t="s">
        <v>95</v>
      </c>
      <c r="K57" s="425">
        <v>77</v>
      </c>
      <c r="L57" s="425" t="s">
        <v>95</v>
      </c>
      <c r="M57" s="425">
        <v>77</v>
      </c>
      <c r="N57" s="425"/>
      <c r="O57" s="425"/>
      <c r="P57" s="425"/>
      <c r="Q57" s="425"/>
      <c r="R57" s="425"/>
      <c r="S57" s="425"/>
      <c r="T57" s="425"/>
      <c r="U57" s="425"/>
      <c r="V57" s="425"/>
      <c r="W57" s="425"/>
      <c r="X57" s="425"/>
      <c r="Y57" s="425"/>
      <c r="Z57" s="425"/>
      <c r="AA57" s="425"/>
      <c r="AB57" s="425"/>
      <c r="AC57" s="425"/>
      <c r="AD57" s="425"/>
      <c r="AE57" s="425"/>
      <c r="AF57" s="425"/>
      <c r="AG57" s="425"/>
      <c r="AH57" s="425"/>
      <c r="AI57" s="425"/>
      <c r="AJ57" s="425"/>
      <c r="AK57" s="425"/>
      <c r="AL57" s="425"/>
      <c r="AM57" s="425"/>
      <c r="AN57" s="425"/>
      <c r="AO57" s="425"/>
      <c r="AP57" s="425"/>
      <c r="AQ57" s="425"/>
      <c r="AR57" s="425"/>
      <c r="AS57" s="425"/>
      <c r="AT57" s="341"/>
    </row>
    <row r="58" spans="1:46" x14ac:dyDescent="0.35">
      <c r="A58" s="1177"/>
      <c r="B58" s="944"/>
      <c r="C58" s="1172" t="s">
        <v>74</v>
      </c>
      <c r="D58" s="1021"/>
      <c r="E58" s="425" t="s">
        <v>95</v>
      </c>
      <c r="F58" s="425" t="s">
        <v>95</v>
      </c>
      <c r="G58" s="425">
        <v>137.87</v>
      </c>
      <c r="H58" s="425" t="s">
        <v>95</v>
      </c>
      <c r="I58" s="425">
        <v>137.87</v>
      </c>
      <c r="J58" s="425" t="s">
        <v>95</v>
      </c>
      <c r="K58" s="425">
        <v>137.86667</v>
      </c>
      <c r="L58" s="425" t="s">
        <v>95</v>
      </c>
      <c r="M58" s="425">
        <v>137.86667</v>
      </c>
      <c r="N58" s="425" t="s">
        <v>95</v>
      </c>
      <c r="O58" s="425" t="s">
        <v>95</v>
      </c>
      <c r="P58" s="425" t="s">
        <v>95</v>
      </c>
      <c r="Q58" s="425" t="s">
        <v>95</v>
      </c>
      <c r="R58" s="425" t="s">
        <v>95</v>
      </c>
      <c r="S58" s="425" t="s">
        <v>95</v>
      </c>
      <c r="T58" s="425" t="s">
        <v>95</v>
      </c>
      <c r="U58" s="425" t="s">
        <v>95</v>
      </c>
      <c r="V58" s="425" t="s">
        <v>95</v>
      </c>
      <c r="W58" s="425" t="s">
        <v>95</v>
      </c>
      <c r="X58" s="425" t="s">
        <v>95</v>
      </c>
      <c r="Y58" s="425" t="s">
        <v>95</v>
      </c>
      <c r="Z58" s="425" t="s">
        <v>95</v>
      </c>
      <c r="AA58" s="425" t="s">
        <v>95</v>
      </c>
      <c r="AB58" s="425" t="s">
        <v>95</v>
      </c>
      <c r="AC58" s="425" t="s">
        <v>95</v>
      </c>
      <c r="AD58" s="425" t="s">
        <v>95</v>
      </c>
      <c r="AE58" s="425" t="s">
        <v>95</v>
      </c>
      <c r="AF58" s="425" t="s">
        <v>95</v>
      </c>
      <c r="AG58" s="425" t="s">
        <v>95</v>
      </c>
      <c r="AH58" s="425" t="s">
        <v>95</v>
      </c>
      <c r="AI58" s="425" t="s">
        <v>95</v>
      </c>
      <c r="AJ58" s="425" t="s">
        <v>95</v>
      </c>
      <c r="AK58" s="425" t="s">
        <v>95</v>
      </c>
      <c r="AL58" s="425" t="s">
        <v>95</v>
      </c>
      <c r="AM58" s="425" t="s">
        <v>95</v>
      </c>
      <c r="AN58" s="425" t="s">
        <v>95</v>
      </c>
      <c r="AO58" s="425" t="s">
        <v>95</v>
      </c>
      <c r="AP58" s="425" t="s">
        <v>95</v>
      </c>
      <c r="AQ58" s="425" t="s">
        <v>95</v>
      </c>
      <c r="AR58" s="425" t="s">
        <v>95</v>
      </c>
      <c r="AS58" s="425" t="s">
        <v>95</v>
      </c>
      <c r="AT58" s="341" t="s">
        <v>95</v>
      </c>
    </row>
    <row r="59" spans="1:46" x14ac:dyDescent="0.35">
      <c r="A59" s="1177"/>
      <c r="B59" s="944"/>
      <c r="C59" s="1172" t="s">
        <v>80</v>
      </c>
      <c r="D59" s="1021"/>
      <c r="E59" s="425" t="s">
        <v>95</v>
      </c>
      <c r="F59" s="425" t="s">
        <v>95</v>
      </c>
      <c r="G59" s="425" t="s">
        <v>95</v>
      </c>
      <c r="H59" s="425" t="s">
        <v>95</v>
      </c>
      <c r="I59" s="425" t="s">
        <v>95</v>
      </c>
      <c r="J59" s="425" t="s">
        <v>95</v>
      </c>
      <c r="K59" s="425" t="s">
        <v>95</v>
      </c>
      <c r="L59" s="425" t="s">
        <v>95</v>
      </c>
      <c r="M59" s="425" t="s">
        <v>95</v>
      </c>
      <c r="N59" s="425" t="s">
        <v>95</v>
      </c>
      <c r="O59" s="425" t="s">
        <v>95</v>
      </c>
      <c r="P59" s="425" t="s">
        <v>95</v>
      </c>
      <c r="Q59" s="425" t="s">
        <v>95</v>
      </c>
      <c r="R59" s="425" t="s">
        <v>95</v>
      </c>
      <c r="S59" s="425" t="s">
        <v>95</v>
      </c>
      <c r="T59" s="425" t="s">
        <v>95</v>
      </c>
      <c r="U59" s="425" t="s">
        <v>95</v>
      </c>
      <c r="V59" s="425" t="s">
        <v>95</v>
      </c>
      <c r="W59" s="425" t="s">
        <v>95</v>
      </c>
      <c r="X59" s="425" t="s">
        <v>95</v>
      </c>
      <c r="Y59" s="425" t="s">
        <v>95</v>
      </c>
      <c r="Z59" s="425" t="s">
        <v>95</v>
      </c>
      <c r="AA59" s="425" t="s">
        <v>95</v>
      </c>
      <c r="AB59" s="425" t="s">
        <v>95</v>
      </c>
      <c r="AC59" s="425" t="s">
        <v>95</v>
      </c>
      <c r="AD59" s="425" t="s">
        <v>95</v>
      </c>
      <c r="AE59" s="425" t="s">
        <v>95</v>
      </c>
      <c r="AF59" s="425" t="s">
        <v>95</v>
      </c>
      <c r="AG59" s="425" t="s">
        <v>95</v>
      </c>
      <c r="AH59" s="425" t="s">
        <v>95</v>
      </c>
      <c r="AI59" s="425" t="s">
        <v>95</v>
      </c>
      <c r="AJ59" s="425" t="s">
        <v>95</v>
      </c>
      <c r="AK59" s="425" t="s">
        <v>95</v>
      </c>
      <c r="AL59" s="425" t="s">
        <v>95</v>
      </c>
      <c r="AM59" s="425" t="s">
        <v>95</v>
      </c>
      <c r="AN59" s="425" t="s">
        <v>95</v>
      </c>
      <c r="AO59" s="425" t="s">
        <v>95</v>
      </c>
      <c r="AP59" s="425" t="s">
        <v>95</v>
      </c>
      <c r="AQ59" s="425" t="s">
        <v>95</v>
      </c>
      <c r="AR59" s="425" t="s">
        <v>95</v>
      </c>
      <c r="AS59" s="425" t="s">
        <v>95</v>
      </c>
      <c r="AT59" s="341" t="s">
        <v>95</v>
      </c>
    </row>
    <row r="60" spans="1:46" x14ac:dyDescent="0.35">
      <c r="A60" s="1177"/>
      <c r="B60" s="944"/>
      <c r="C60" s="1172" t="s">
        <v>57</v>
      </c>
      <c r="D60" s="1021"/>
      <c r="E60" s="425" t="s">
        <v>95</v>
      </c>
      <c r="F60" s="425" t="s">
        <v>95</v>
      </c>
      <c r="G60" s="425">
        <v>0</v>
      </c>
      <c r="H60" s="425" t="s">
        <v>95</v>
      </c>
      <c r="I60" s="425" t="s">
        <v>95</v>
      </c>
      <c r="J60" s="425" t="s">
        <v>95</v>
      </c>
      <c r="K60" s="425">
        <v>0</v>
      </c>
      <c r="L60" s="425" t="s">
        <v>95</v>
      </c>
      <c r="M60" s="425">
        <v>0</v>
      </c>
      <c r="N60" s="425" t="s">
        <v>95</v>
      </c>
      <c r="O60" s="425" t="s">
        <v>95</v>
      </c>
      <c r="P60" s="425" t="s">
        <v>95</v>
      </c>
      <c r="Q60" s="425" t="s">
        <v>95</v>
      </c>
      <c r="R60" s="425" t="s">
        <v>95</v>
      </c>
      <c r="S60" s="425" t="s">
        <v>95</v>
      </c>
      <c r="T60" s="425" t="s">
        <v>95</v>
      </c>
      <c r="U60" s="425" t="s">
        <v>95</v>
      </c>
      <c r="V60" s="425" t="s">
        <v>95</v>
      </c>
      <c r="W60" s="425" t="s">
        <v>95</v>
      </c>
      <c r="X60" s="425" t="s">
        <v>95</v>
      </c>
      <c r="Y60" s="425" t="s">
        <v>95</v>
      </c>
      <c r="Z60" s="425" t="s">
        <v>95</v>
      </c>
      <c r="AA60" s="425" t="s">
        <v>95</v>
      </c>
      <c r="AB60" s="425" t="s">
        <v>95</v>
      </c>
      <c r="AC60" s="425" t="s">
        <v>95</v>
      </c>
      <c r="AD60" s="425" t="s">
        <v>95</v>
      </c>
      <c r="AE60" s="425" t="s">
        <v>95</v>
      </c>
      <c r="AF60" s="425" t="s">
        <v>95</v>
      </c>
      <c r="AG60" s="425" t="s">
        <v>95</v>
      </c>
      <c r="AH60" s="425" t="s">
        <v>95</v>
      </c>
      <c r="AI60" s="425" t="s">
        <v>95</v>
      </c>
      <c r="AJ60" s="425" t="s">
        <v>95</v>
      </c>
      <c r="AK60" s="425" t="s">
        <v>95</v>
      </c>
      <c r="AL60" s="425" t="s">
        <v>95</v>
      </c>
      <c r="AM60" s="425" t="s">
        <v>95</v>
      </c>
      <c r="AN60" s="425" t="s">
        <v>95</v>
      </c>
      <c r="AO60" s="425" t="s">
        <v>95</v>
      </c>
      <c r="AP60" s="425" t="s">
        <v>95</v>
      </c>
      <c r="AQ60" s="425" t="s">
        <v>95</v>
      </c>
      <c r="AR60" s="425" t="s">
        <v>95</v>
      </c>
      <c r="AS60" s="425" t="s">
        <v>95</v>
      </c>
      <c r="AT60" s="341" t="s">
        <v>95</v>
      </c>
    </row>
    <row r="61" spans="1:46" x14ac:dyDescent="0.35">
      <c r="B61" s="944"/>
      <c r="C61" s="349" t="s">
        <v>95</v>
      </c>
      <c r="D61" s="425" t="s">
        <v>95</v>
      </c>
      <c r="E61" s="425" t="s">
        <v>95</v>
      </c>
      <c r="F61" s="425" t="s">
        <v>95</v>
      </c>
      <c r="G61" s="425" t="s">
        <v>95</v>
      </c>
      <c r="H61" s="425" t="s">
        <v>95</v>
      </c>
      <c r="I61" s="425" t="s">
        <v>95</v>
      </c>
      <c r="J61" s="425" t="s">
        <v>95</v>
      </c>
      <c r="K61" s="425" t="s">
        <v>95</v>
      </c>
      <c r="L61" s="425" t="s">
        <v>95</v>
      </c>
      <c r="M61" s="425" t="s">
        <v>95</v>
      </c>
      <c r="N61" s="425" t="s">
        <v>95</v>
      </c>
      <c r="O61" s="425" t="s">
        <v>95</v>
      </c>
      <c r="P61" s="425" t="s">
        <v>95</v>
      </c>
      <c r="Q61" s="425" t="s">
        <v>95</v>
      </c>
      <c r="R61" s="425" t="s">
        <v>95</v>
      </c>
      <c r="S61" s="425" t="s">
        <v>95</v>
      </c>
      <c r="T61" s="425" t="s">
        <v>95</v>
      </c>
      <c r="U61" s="425" t="s">
        <v>95</v>
      </c>
      <c r="V61" s="425" t="s">
        <v>95</v>
      </c>
      <c r="W61" s="425" t="s">
        <v>95</v>
      </c>
      <c r="X61" s="425" t="s">
        <v>95</v>
      </c>
      <c r="Y61" s="425" t="s">
        <v>95</v>
      </c>
      <c r="Z61" s="425" t="s">
        <v>95</v>
      </c>
      <c r="AA61" s="425" t="s">
        <v>95</v>
      </c>
      <c r="AB61" s="425" t="s">
        <v>95</v>
      </c>
      <c r="AC61" s="425" t="s">
        <v>95</v>
      </c>
      <c r="AD61" s="425" t="s">
        <v>95</v>
      </c>
      <c r="AE61" s="425" t="s">
        <v>95</v>
      </c>
      <c r="AF61" s="425" t="s">
        <v>95</v>
      </c>
      <c r="AG61" s="425" t="s">
        <v>95</v>
      </c>
      <c r="AH61" s="425" t="s">
        <v>95</v>
      </c>
      <c r="AI61" s="425" t="s">
        <v>95</v>
      </c>
      <c r="AJ61" s="425" t="s">
        <v>95</v>
      </c>
      <c r="AK61" s="425" t="s">
        <v>95</v>
      </c>
      <c r="AL61" s="425" t="s">
        <v>95</v>
      </c>
      <c r="AM61" s="425" t="s">
        <v>95</v>
      </c>
      <c r="AN61" s="425" t="s">
        <v>95</v>
      </c>
      <c r="AO61" s="425" t="s">
        <v>95</v>
      </c>
      <c r="AP61" s="425" t="s">
        <v>95</v>
      </c>
      <c r="AQ61" s="425" t="s">
        <v>95</v>
      </c>
      <c r="AR61" s="425" t="s">
        <v>95</v>
      </c>
      <c r="AS61" s="425" t="s">
        <v>95</v>
      </c>
      <c r="AT61" s="341" t="s">
        <v>95</v>
      </c>
    </row>
    <row r="62" spans="1:46" x14ac:dyDescent="0.35">
      <c r="C62" s="160" t="s">
        <v>95</v>
      </c>
      <c r="D62" s="432" t="s">
        <v>95</v>
      </c>
      <c r="E62" s="437" t="s">
        <v>95</v>
      </c>
      <c r="F62" s="437" t="s">
        <v>95</v>
      </c>
      <c r="G62" s="437" t="s">
        <v>95</v>
      </c>
      <c r="H62" s="437" t="s">
        <v>95</v>
      </c>
      <c r="I62" s="437" t="s">
        <v>95</v>
      </c>
      <c r="J62" s="437" t="s">
        <v>95</v>
      </c>
      <c r="K62" s="437" t="s">
        <v>95</v>
      </c>
      <c r="L62" s="437" t="s">
        <v>95</v>
      </c>
      <c r="M62" s="437" t="s">
        <v>95</v>
      </c>
      <c r="N62" s="437" t="s">
        <v>95</v>
      </c>
      <c r="O62" s="437" t="s">
        <v>95</v>
      </c>
      <c r="P62" s="437" t="s">
        <v>95</v>
      </c>
      <c r="Q62" s="437" t="s">
        <v>95</v>
      </c>
      <c r="R62" s="437" t="s">
        <v>95</v>
      </c>
      <c r="S62" s="437" t="s">
        <v>95</v>
      </c>
      <c r="T62" s="437" t="s">
        <v>95</v>
      </c>
      <c r="U62" s="437" t="s">
        <v>95</v>
      </c>
      <c r="V62" s="437" t="s">
        <v>95</v>
      </c>
      <c r="W62" s="437" t="s">
        <v>95</v>
      </c>
      <c r="X62" s="437" t="s">
        <v>95</v>
      </c>
      <c r="Y62" s="437" t="s">
        <v>95</v>
      </c>
      <c r="Z62" s="437" t="s">
        <v>95</v>
      </c>
      <c r="AA62" s="437" t="s">
        <v>95</v>
      </c>
      <c r="AB62" s="437" t="s">
        <v>95</v>
      </c>
      <c r="AC62" s="437" t="s">
        <v>95</v>
      </c>
      <c r="AD62" s="437" t="s">
        <v>95</v>
      </c>
      <c r="AE62" s="437" t="s">
        <v>95</v>
      </c>
      <c r="AF62" s="437" t="s">
        <v>95</v>
      </c>
      <c r="AG62" s="437" t="s">
        <v>95</v>
      </c>
      <c r="AH62" s="437" t="s">
        <v>95</v>
      </c>
      <c r="AI62" s="437" t="s">
        <v>95</v>
      </c>
      <c r="AJ62" s="437" t="s">
        <v>95</v>
      </c>
      <c r="AK62" s="437" t="s">
        <v>95</v>
      </c>
      <c r="AL62" s="437" t="s">
        <v>95</v>
      </c>
      <c r="AM62" s="437" t="s">
        <v>95</v>
      </c>
      <c r="AN62" s="437" t="s">
        <v>95</v>
      </c>
      <c r="AO62" s="437" t="s">
        <v>95</v>
      </c>
      <c r="AP62" s="437" t="s">
        <v>95</v>
      </c>
      <c r="AQ62" s="437" t="s">
        <v>95</v>
      </c>
      <c r="AR62" s="437" t="s">
        <v>95</v>
      </c>
      <c r="AS62" s="437" t="s">
        <v>95</v>
      </c>
      <c r="AT62" s="350" t="s">
        <v>95</v>
      </c>
    </row>
    <row r="63" spans="1:46" ht="17" x14ac:dyDescent="0.4">
      <c r="C63" s="160" t="s">
        <v>95</v>
      </c>
      <c r="D63" s="432" t="s">
        <v>95</v>
      </c>
      <c r="E63" s="512" t="s">
        <v>225</v>
      </c>
      <c r="F63" s="512"/>
      <c r="G63" s="512"/>
      <c r="H63" s="512"/>
      <c r="I63" s="513" t="s">
        <v>95</v>
      </c>
      <c r="J63" s="513" t="s">
        <v>95</v>
      </c>
      <c r="K63" s="513" t="s">
        <v>95</v>
      </c>
      <c r="L63" s="513" t="s">
        <v>95</v>
      </c>
      <c r="M63" s="513" t="s">
        <v>95</v>
      </c>
      <c r="N63" s="513" t="s">
        <v>95</v>
      </c>
      <c r="O63" s="513" t="s">
        <v>95</v>
      </c>
      <c r="P63" s="513" t="s">
        <v>95</v>
      </c>
      <c r="Q63" s="513" t="s">
        <v>95</v>
      </c>
      <c r="R63" s="513" t="s">
        <v>95</v>
      </c>
      <c r="S63" s="513" t="s">
        <v>95</v>
      </c>
      <c r="T63" s="513" t="s">
        <v>95</v>
      </c>
      <c r="U63" s="513" t="s">
        <v>95</v>
      </c>
      <c r="V63" s="513" t="s">
        <v>95</v>
      </c>
      <c r="W63" s="513" t="s">
        <v>95</v>
      </c>
      <c r="X63" s="513" t="s">
        <v>95</v>
      </c>
      <c r="Y63" s="513" t="s">
        <v>95</v>
      </c>
      <c r="Z63" s="513" t="s">
        <v>95</v>
      </c>
      <c r="AA63" s="513" t="s">
        <v>95</v>
      </c>
      <c r="AB63" s="513" t="s">
        <v>95</v>
      </c>
      <c r="AC63" s="513" t="s">
        <v>95</v>
      </c>
      <c r="AD63" s="513" t="s">
        <v>95</v>
      </c>
      <c r="AE63" s="513" t="s">
        <v>95</v>
      </c>
      <c r="AF63" s="513" t="s">
        <v>95</v>
      </c>
      <c r="AG63" s="513" t="s">
        <v>95</v>
      </c>
      <c r="AH63" s="513" t="s">
        <v>95</v>
      </c>
      <c r="AI63" s="513" t="s">
        <v>95</v>
      </c>
      <c r="AJ63" s="513" t="s">
        <v>95</v>
      </c>
      <c r="AK63" s="513" t="s">
        <v>95</v>
      </c>
      <c r="AL63" s="513" t="s">
        <v>95</v>
      </c>
      <c r="AM63" s="513" t="s">
        <v>95</v>
      </c>
      <c r="AN63" s="513" t="s">
        <v>95</v>
      </c>
      <c r="AO63" s="513" t="s">
        <v>95</v>
      </c>
      <c r="AP63" s="513" t="s">
        <v>95</v>
      </c>
      <c r="AQ63" s="513" t="s">
        <v>95</v>
      </c>
      <c r="AR63" s="513" t="s">
        <v>95</v>
      </c>
      <c r="AS63" s="513" t="s">
        <v>95</v>
      </c>
      <c r="AT63" s="514" t="s">
        <v>95</v>
      </c>
    </row>
    <row r="64" spans="1:46" ht="17" x14ac:dyDescent="0.4">
      <c r="C64" s="164" t="s">
        <v>95</v>
      </c>
      <c r="D64" s="511" t="s">
        <v>95</v>
      </c>
      <c r="E64" s="515" t="s">
        <v>219</v>
      </c>
      <c r="F64" s="515"/>
      <c r="G64" s="515"/>
      <c r="H64" s="515"/>
      <c r="I64" s="516" t="s">
        <v>95</v>
      </c>
      <c r="J64" s="516" t="s">
        <v>95</v>
      </c>
      <c r="K64" s="516" t="s">
        <v>95</v>
      </c>
      <c r="L64" s="516" t="s">
        <v>95</v>
      </c>
      <c r="M64" s="515" t="s">
        <v>95</v>
      </c>
      <c r="N64" s="517" t="s">
        <v>95</v>
      </c>
      <c r="O64" s="517" t="s">
        <v>95</v>
      </c>
      <c r="P64" s="517" t="s">
        <v>95</v>
      </c>
      <c r="Q64" s="517" t="s">
        <v>95</v>
      </c>
      <c r="R64" s="517" t="s">
        <v>95</v>
      </c>
      <c r="S64" s="517" t="s">
        <v>95</v>
      </c>
      <c r="T64" s="517" t="s">
        <v>95</v>
      </c>
      <c r="U64" s="517" t="s">
        <v>95</v>
      </c>
      <c r="V64" s="517" t="s">
        <v>95</v>
      </c>
      <c r="W64" s="517" t="s">
        <v>95</v>
      </c>
      <c r="X64" s="517" t="s">
        <v>95</v>
      </c>
      <c r="Y64" s="517" t="s">
        <v>95</v>
      </c>
      <c r="Z64" s="517" t="s">
        <v>95</v>
      </c>
      <c r="AA64" s="517" t="s">
        <v>95</v>
      </c>
      <c r="AB64" s="517" t="s">
        <v>95</v>
      </c>
      <c r="AC64" s="517" t="s">
        <v>95</v>
      </c>
      <c r="AD64" s="517" t="s">
        <v>95</v>
      </c>
      <c r="AE64" s="517" t="s">
        <v>95</v>
      </c>
      <c r="AF64" s="517" t="s">
        <v>95</v>
      </c>
      <c r="AG64" s="517" t="s">
        <v>95</v>
      </c>
      <c r="AH64" s="517" t="s">
        <v>95</v>
      </c>
      <c r="AI64" s="517" t="s">
        <v>95</v>
      </c>
      <c r="AJ64" s="517" t="s">
        <v>95</v>
      </c>
      <c r="AK64" s="517" t="s">
        <v>95</v>
      </c>
      <c r="AL64" s="517" t="s">
        <v>95</v>
      </c>
      <c r="AM64" s="517" t="s">
        <v>95</v>
      </c>
      <c r="AN64" s="517" t="s">
        <v>95</v>
      </c>
      <c r="AO64" s="517" t="s">
        <v>95</v>
      </c>
      <c r="AP64" s="517" t="s">
        <v>95</v>
      </c>
      <c r="AQ64" s="517" t="s">
        <v>95</v>
      </c>
      <c r="AR64" s="517" t="s">
        <v>95</v>
      </c>
      <c r="AS64" s="517" t="s">
        <v>95</v>
      </c>
      <c r="AT64" s="518" t="s">
        <v>95</v>
      </c>
    </row>
    <row r="65" spans="1:46" x14ac:dyDescent="0.35">
      <c r="A65" s="1177">
        <v>6</v>
      </c>
      <c r="C65" s="1179" t="s">
        <v>99</v>
      </c>
      <c r="D65" s="1180"/>
      <c r="E65" s="425" t="s">
        <v>95</v>
      </c>
      <c r="F65" s="425" t="s">
        <v>95</v>
      </c>
      <c r="G65" s="425">
        <v>275.05</v>
      </c>
      <c r="H65" s="425" t="s">
        <v>95</v>
      </c>
      <c r="I65" s="425">
        <v>283.62</v>
      </c>
      <c r="J65" s="425" t="s">
        <v>95</v>
      </c>
      <c r="K65" s="425">
        <v>368.09804000000003</v>
      </c>
      <c r="L65" s="425" t="s">
        <v>95</v>
      </c>
      <c r="M65" s="425">
        <v>441.43194999999997</v>
      </c>
      <c r="N65" s="425" t="s">
        <v>95</v>
      </c>
      <c r="O65" s="425" t="s">
        <v>95</v>
      </c>
      <c r="P65" s="425" t="s">
        <v>95</v>
      </c>
      <c r="Q65" s="425" t="s">
        <v>95</v>
      </c>
      <c r="R65" s="425" t="s">
        <v>95</v>
      </c>
      <c r="S65" s="425" t="s">
        <v>95</v>
      </c>
      <c r="T65" s="425" t="s">
        <v>95</v>
      </c>
      <c r="U65" s="425" t="s">
        <v>95</v>
      </c>
      <c r="V65" s="425" t="s">
        <v>95</v>
      </c>
      <c r="W65" s="425" t="s">
        <v>95</v>
      </c>
      <c r="X65" s="425" t="s">
        <v>95</v>
      </c>
      <c r="Y65" s="425" t="s">
        <v>95</v>
      </c>
      <c r="Z65" s="425" t="s">
        <v>95</v>
      </c>
      <c r="AA65" s="425" t="s">
        <v>95</v>
      </c>
      <c r="AB65" s="425" t="s">
        <v>95</v>
      </c>
      <c r="AC65" s="425" t="s">
        <v>95</v>
      </c>
      <c r="AD65" s="425" t="s">
        <v>95</v>
      </c>
      <c r="AE65" s="425" t="s">
        <v>95</v>
      </c>
      <c r="AF65" s="425" t="s">
        <v>95</v>
      </c>
      <c r="AG65" s="425" t="s">
        <v>95</v>
      </c>
      <c r="AH65" s="425" t="s">
        <v>95</v>
      </c>
      <c r="AI65" s="425" t="s">
        <v>95</v>
      </c>
      <c r="AJ65" s="425" t="s">
        <v>95</v>
      </c>
      <c r="AK65" s="425" t="s">
        <v>95</v>
      </c>
      <c r="AL65" s="425" t="s">
        <v>95</v>
      </c>
      <c r="AM65" s="425" t="s">
        <v>95</v>
      </c>
      <c r="AN65" s="425" t="s">
        <v>95</v>
      </c>
      <c r="AO65" s="425" t="s">
        <v>95</v>
      </c>
      <c r="AP65" s="425" t="s">
        <v>95</v>
      </c>
      <c r="AQ65" s="425" t="s">
        <v>95</v>
      </c>
      <c r="AR65" s="425" t="s">
        <v>95</v>
      </c>
      <c r="AS65" s="425" t="s">
        <v>95</v>
      </c>
      <c r="AT65" s="341" t="s">
        <v>95</v>
      </c>
    </row>
    <row r="66" spans="1:46" x14ac:dyDescent="0.35">
      <c r="A66" s="1177"/>
      <c r="C66" s="1172" t="s">
        <v>101</v>
      </c>
      <c r="D66" s="1021"/>
      <c r="E66" s="425" t="s">
        <v>95</v>
      </c>
      <c r="F66" s="425" t="s">
        <v>95</v>
      </c>
      <c r="G66" s="425">
        <v>317.35000000000002</v>
      </c>
      <c r="H66" s="425" t="s">
        <v>95</v>
      </c>
      <c r="I66" s="425">
        <v>317.35000000000002</v>
      </c>
      <c r="J66" s="425" t="s">
        <v>95</v>
      </c>
      <c r="K66" s="425">
        <v>279.26961</v>
      </c>
      <c r="L66" s="425" t="s">
        <v>95</v>
      </c>
      <c r="M66" s="425">
        <v>317.35183000000001</v>
      </c>
      <c r="N66" s="425" t="s">
        <v>95</v>
      </c>
      <c r="O66" s="425" t="s">
        <v>95</v>
      </c>
      <c r="P66" s="425" t="s">
        <v>95</v>
      </c>
      <c r="Q66" s="425" t="s">
        <v>95</v>
      </c>
      <c r="R66" s="425" t="s">
        <v>95</v>
      </c>
      <c r="S66" s="425" t="s">
        <v>95</v>
      </c>
      <c r="T66" s="425" t="s">
        <v>95</v>
      </c>
      <c r="U66" s="425" t="s">
        <v>95</v>
      </c>
      <c r="V66" s="425" t="s">
        <v>95</v>
      </c>
      <c r="W66" s="425" t="s">
        <v>95</v>
      </c>
      <c r="X66" s="425" t="s">
        <v>95</v>
      </c>
      <c r="Y66" s="425" t="s">
        <v>95</v>
      </c>
      <c r="Z66" s="425" t="s">
        <v>95</v>
      </c>
      <c r="AA66" s="425" t="s">
        <v>95</v>
      </c>
      <c r="AB66" s="425" t="s">
        <v>95</v>
      </c>
      <c r="AC66" s="425" t="s">
        <v>95</v>
      </c>
      <c r="AD66" s="425" t="s">
        <v>95</v>
      </c>
      <c r="AE66" s="425" t="s">
        <v>95</v>
      </c>
      <c r="AF66" s="425" t="s">
        <v>95</v>
      </c>
      <c r="AG66" s="425" t="s">
        <v>95</v>
      </c>
      <c r="AH66" s="425" t="s">
        <v>95</v>
      </c>
      <c r="AI66" s="425" t="s">
        <v>95</v>
      </c>
      <c r="AJ66" s="425" t="s">
        <v>95</v>
      </c>
      <c r="AK66" s="425" t="s">
        <v>95</v>
      </c>
      <c r="AL66" s="425" t="s">
        <v>95</v>
      </c>
      <c r="AM66" s="425" t="s">
        <v>95</v>
      </c>
      <c r="AN66" s="425" t="s">
        <v>95</v>
      </c>
      <c r="AO66" s="425" t="s">
        <v>95</v>
      </c>
      <c r="AP66" s="425" t="s">
        <v>95</v>
      </c>
      <c r="AQ66" s="425" t="s">
        <v>95</v>
      </c>
      <c r="AR66" s="425" t="s">
        <v>95</v>
      </c>
      <c r="AS66" s="425" t="s">
        <v>95</v>
      </c>
      <c r="AT66" s="341" t="s">
        <v>95</v>
      </c>
    </row>
    <row r="67" spans="1:46" x14ac:dyDescent="0.35">
      <c r="A67" s="1177"/>
      <c r="C67" s="1172" t="s">
        <v>221</v>
      </c>
      <c r="D67" s="1021"/>
      <c r="E67" s="425" t="s">
        <v>95</v>
      </c>
      <c r="F67" s="425" t="s">
        <v>95</v>
      </c>
      <c r="G67" s="425">
        <v>77</v>
      </c>
      <c r="H67" s="425" t="s">
        <v>95</v>
      </c>
      <c r="I67" s="425">
        <v>77</v>
      </c>
      <c r="J67" s="425" t="s">
        <v>95</v>
      </c>
      <c r="K67" s="425">
        <v>77</v>
      </c>
      <c r="L67" s="425" t="s">
        <v>95</v>
      </c>
      <c r="M67" s="425">
        <v>77</v>
      </c>
      <c r="N67" s="425" t="s">
        <v>95</v>
      </c>
      <c r="O67" s="425" t="s">
        <v>95</v>
      </c>
      <c r="P67" s="425" t="s">
        <v>95</v>
      </c>
      <c r="Q67" s="425" t="s">
        <v>95</v>
      </c>
      <c r="R67" s="425" t="s">
        <v>95</v>
      </c>
      <c r="S67" s="425" t="s">
        <v>95</v>
      </c>
      <c r="T67" s="425" t="s">
        <v>95</v>
      </c>
      <c r="U67" s="425" t="s">
        <v>95</v>
      </c>
      <c r="V67" s="425" t="s">
        <v>95</v>
      </c>
      <c r="W67" s="425" t="s">
        <v>95</v>
      </c>
      <c r="X67" s="425" t="s">
        <v>95</v>
      </c>
      <c r="Y67" s="425" t="s">
        <v>95</v>
      </c>
      <c r="Z67" s="425" t="s">
        <v>95</v>
      </c>
      <c r="AA67" s="425" t="s">
        <v>95</v>
      </c>
      <c r="AB67" s="425" t="s">
        <v>95</v>
      </c>
      <c r="AC67" s="425" t="s">
        <v>95</v>
      </c>
      <c r="AD67" s="425" t="s">
        <v>95</v>
      </c>
      <c r="AE67" s="425" t="s">
        <v>95</v>
      </c>
      <c r="AF67" s="425" t="s">
        <v>95</v>
      </c>
      <c r="AG67" s="425" t="s">
        <v>95</v>
      </c>
      <c r="AH67" s="425" t="s">
        <v>95</v>
      </c>
      <c r="AI67" s="425" t="s">
        <v>95</v>
      </c>
      <c r="AJ67" s="425" t="s">
        <v>95</v>
      </c>
      <c r="AK67" s="425" t="s">
        <v>95</v>
      </c>
      <c r="AL67" s="425" t="s">
        <v>95</v>
      </c>
      <c r="AM67" s="425" t="s">
        <v>95</v>
      </c>
      <c r="AN67" s="425" t="s">
        <v>95</v>
      </c>
      <c r="AO67" s="425" t="s">
        <v>95</v>
      </c>
      <c r="AP67" s="425" t="s">
        <v>95</v>
      </c>
      <c r="AQ67" s="425" t="s">
        <v>95</v>
      </c>
      <c r="AR67" s="425" t="s">
        <v>95</v>
      </c>
      <c r="AS67" s="425" t="s">
        <v>95</v>
      </c>
      <c r="AT67" s="341" t="s">
        <v>95</v>
      </c>
    </row>
    <row r="68" spans="1:46" x14ac:dyDescent="0.35">
      <c r="A68" s="1177"/>
      <c r="C68" s="1175" t="s">
        <v>146</v>
      </c>
      <c r="D68" s="1023"/>
      <c r="E68" s="425"/>
      <c r="F68" s="425"/>
      <c r="G68" s="425">
        <v>77</v>
      </c>
      <c r="H68" s="425" t="s">
        <v>95</v>
      </c>
      <c r="I68" s="425">
        <v>77</v>
      </c>
      <c r="J68" s="425" t="s">
        <v>95</v>
      </c>
      <c r="K68" s="425">
        <v>77</v>
      </c>
      <c r="L68" s="425" t="s">
        <v>95</v>
      </c>
      <c r="M68" s="425">
        <v>77</v>
      </c>
      <c r="N68" s="425"/>
      <c r="O68" s="425"/>
      <c r="P68" s="425"/>
      <c r="Q68" s="425"/>
      <c r="R68" s="425"/>
      <c r="S68" s="425"/>
      <c r="T68" s="425"/>
      <c r="U68" s="425"/>
      <c r="V68" s="425"/>
      <c r="W68" s="425"/>
      <c r="X68" s="425"/>
      <c r="Y68" s="425"/>
      <c r="Z68" s="425"/>
      <c r="AA68" s="425"/>
      <c r="AB68" s="425"/>
      <c r="AC68" s="425"/>
      <c r="AD68" s="425"/>
      <c r="AE68" s="425"/>
      <c r="AF68" s="425"/>
      <c r="AG68" s="425"/>
      <c r="AH68" s="425"/>
      <c r="AI68" s="425"/>
      <c r="AJ68" s="425"/>
      <c r="AK68" s="425"/>
      <c r="AL68" s="425"/>
      <c r="AM68" s="425"/>
      <c r="AN68" s="425"/>
      <c r="AO68" s="425"/>
      <c r="AP68" s="425"/>
      <c r="AQ68" s="425"/>
      <c r="AR68" s="425"/>
      <c r="AS68" s="425"/>
      <c r="AT68" s="341"/>
    </row>
    <row r="69" spans="1:46" x14ac:dyDescent="0.35">
      <c r="A69" s="1177"/>
      <c r="C69" s="1172" t="s">
        <v>74</v>
      </c>
      <c r="D69" s="1021"/>
      <c r="E69" s="425" t="s">
        <v>95</v>
      </c>
      <c r="F69" s="425" t="s">
        <v>95</v>
      </c>
      <c r="G69" s="425">
        <v>137.87</v>
      </c>
      <c r="H69" s="425" t="s">
        <v>95</v>
      </c>
      <c r="I69" s="425">
        <v>137.87</v>
      </c>
      <c r="J69" s="425" t="s">
        <v>95</v>
      </c>
      <c r="K69" s="425">
        <v>137.86667</v>
      </c>
      <c r="L69" s="425" t="s">
        <v>95</v>
      </c>
      <c r="M69" s="425">
        <v>137.86667</v>
      </c>
      <c r="N69" s="425" t="s">
        <v>95</v>
      </c>
      <c r="O69" s="425" t="s">
        <v>95</v>
      </c>
      <c r="P69" s="425" t="s">
        <v>95</v>
      </c>
      <c r="Q69" s="425" t="s">
        <v>95</v>
      </c>
      <c r="R69" s="425" t="s">
        <v>95</v>
      </c>
      <c r="S69" s="425" t="s">
        <v>95</v>
      </c>
      <c r="T69" s="425" t="s">
        <v>95</v>
      </c>
      <c r="U69" s="425" t="s">
        <v>95</v>
      </c>
      <c r="V69" s="425" t="s">
        <v>95</v>
      </c>
      <c r="W69" s="425" t="s">
        <v>95</v>
      </c>
      <c r="X69" s="425" t="s">
        <v>95</v>
      </c>
      <c r="Y69" s="425" t="s">
        <v>95</v>
      </c>
      <c r="Z69" s="425" t="s">
        <v>95</v>
      </c>
      <c r="AA69" s="425" t="s">
        <v>95</v>
      </c>
      <c r="AB69" s="425" t="s">
        <v>95</v>
      </c>
      <c r="AC69" s="425" t="s">
        <v>95</v>
      </c>
      <c r="AD69" s="425" t="s">
        <v>95</v>
      </c>
      <c r="AE69" s="425" t="s">
        <v>95</v>
      </c>
      <c r="AF69" s="425" t="s">
        <v>95</v>
      </c>
      <c r="AG69" s="425" t="s">
        <v>95</v>
      </c>
      <c r="AH69" s="425" t="s">
        <v>95</v>
      </c>
      <c r="AI69" s="425" t="s">
        <v>95</v>
      </c>
      <c r="AJ69" s="425" t="s">
        <v>95</v>
      </c>
      <c r="AK69" s="425" t="s">
        <v>95</v>
      </c>
      <c r="AL69" s="425" t="s">
        <v>95</v>
      </c>
      <c r="AM69" s="425" t="s">
        <v>95</v>
      </c>
      <c r="AN69" s="425" t="s">
        <v>95</v>
      </c>
      <c r="AO69" s="425" t="s">
        <v>95</v>
      </c>
      <c r="AP69" s="425" t="s">
        <v>95</v>
      </c>
      <c r="AQ69" s="425" t="s">
        <v>95</v>
      </c>
      <c r="AR69" s="425" t="s">
        <v>95</v>
      </c>
      <c r="AS69" s="425" t="s">
        <v>95</v>
      </c>
      <c r="AT69" s="341" t="s">
        <v>95</v>
      </c>
    </row>
    <row r="70" spans="1:46" x14ac:dyDescent="0.35">
      <c r="A70" s="1177"/>
      <c r="C70" s="1172" t="s">
        <v>103</v>
      </c>
      <c r="D70" s="1021"/>
      <c r="E70" s="425" t="s">
        <v>95</v>
      </c>
      <c r="F70" s="425" t="s">
        <v>95</v>
      </c>
      <c r="G70" s="425">
        <v>0</v>
      </c>
      <c r="H70" s="425" t="s">
        <v>95</v>
      </c>
      <c r="I70" s="425">
        <v>0</v>
      </c>
      <c r="J70" s="425" t="s">
        <v>95</v>
      </c>
      <c r="K70" s="425">
        <v>0</v>
      </c>
      <c r="L70" s="425" t="s">
        <v>95</v>
      </c>
      <c r="M70" s="425">
        <v>0</v>
      </c>
      <c r="N70" s="425" t="s">
        <v>95</v>
      </c>
      <c r="O70" s="425" t="s">
        <v>95</v>
      </c>
      <c r="P70" s="425" t="s">
        <v>95</v>
      </c>
      <c r="Q70" s="425" t="s">
        <v>95</v>
      </c>
      <c r="R70" s="425" t="s">
        <v>95</v>
      </c>
      <c r="S70" s="425" t="s">
        <v>95</v>
      </c>
      <c r="T70" s="425" t="s">
        <v>95</v>
      </c>
      <c r="U70" s="425" t="s">
        <v>95</v>
      </c>
      <c r="V70" s="425" t="s">
        <v>95</v>
      </c>
      <c r="W70" s="425" t="s">
        <v>95</v>
      </c>
      <c r="X70" s="425" t="s">
        <v>95</v>
      </c>
      <c r="Y70" s="425" t="s">
        <v>95</v>
      </c>
      <c r="Z70" s="425" t="s">
        <v>95</v>
      </c>
      <c r="AA70" s="425" t="s">
        <v>95</v>
      </c>
      <c r="AB70" s="425" t="s">
        <v>95</v>
      </c>
      <c r="AC70" s="425" t="s">
        <v>95</v>
      </c>
      <c r="AD70" s="425" t="s">
        <v>95</v>
      </c>
      <c r="AE70" s="425" t="s">
        <v>95</v>
      </c>
      <c r="AF70" s="425" t="s">
        <v>95</v>
      </c>
      <c r="AG70" s="425" t="s">
        <v>95</v>
      </c>
      <c r="AH70" s="425" t="s">
        <v>95</v>
      </c>
      <c r="AI70" s="425" t="s">
        <v>95</v>
      </c>
      <c r="AJ70" s="425" t="s">
        <v>95</v>
      </c>
      <c r="AK70" s="425" t="s">
        <v>95</v>
      </c>
      <c r="AL70" s="425" t="s">
        <v>95</v>
      </c>
      <c r="AM70" s="425" t="s">
        <v>95</v>
      </c>
      <c r="AN70" s="425" t="s">
        <v>95</v>
      </c>
      <c r="AO70" s="425" t="s">
        <v>95</v>
      </c>
      <c r="AP70" s="425" t="s">
        <v>95</v>
      </c>
      <c r="AQ70" s="425" t="s">
        <v>95</v>
      </c>
      <c r="AR70" s="425" t="s">
        <v>95</v>
      </c>
      <c r="AS70" s="425" t="s">
        <v>95</v>
      </c>
      <c r="AT70" s="341" t="s">
        <v>95</v>
      </c>
    </row>
    <row r="71" spans="1:46" x14ac:dyDescent="0.35">
      <c r="A71" s="1177"/>
      <c r="C71" s="1172" t="s">
        <v>57</v>
      </c>
      <c r="D71" s="1021"/>
      <c r="E71" s="425" t="s">
        <v>95</v>
      </c>
      <c r="F71" s="425" t="s">
        <v>95</v>
      </c>
      <c r="G71" s="425">
        <v>0</v>
      </c>
      <c r="H71" s="425" t="s">
        <v>95</v>
      </c>
      <c r="I71" s="425">
        <v>0</v>
      </c>
      <c r="J71" s="425" t="s">
        <v>95</v>
      </c>
      <c r="K71" s="425">
        <v>0</v>
      </c>
      <c r="L71" s="425" t="s">
        <v>95</v>
      </c>
      <c r="M71" s="425">
        <v>0</v>
      </c>
      <c r="N71" s="425" t="s">
        <v>95</v>
      </c>
      <c r="O71" s="425" t="s">
        <v>95</v>
      </c>
      <c r="P71" s="425" t="s">
        <v>95</v>
      </c>
      <c r="Q71" s="425" t="s">
        <v>95</v>
      </c>
      <c r="R71" s="425" t="s">
        <v>95</v>
      </c>
      <c r="S71" s="425" t="s">
        <v>95</v>
      </c>
      <c r="T71" s="425" t="s">
        <v>95</v>
      </c>
      <c r="U71" s="425" t="s">
        <v>95</v>
      </c>
      <c r="V71" s="425" t="s">
        <v>95</v>
      </c>
      <c r="W71" s="425" t="s">
        <v>95</v>
      </c>
      <c r="X71" s="425" t="s">
        <v>95</v>
      </c>
      <c r="Y71" s="425" t="s">
        <v>95</v>
      </c>
      <c r="Z71" s="425" t="s">
        <v>95</v>
      </c>
      <c r="AA71" s="425" t="s">
        <v>95</v>
      </c>
      <c r="AB71" s="425" t="s">
        <v>95</v>
      </c>
      <c r="AC71" s="425" t="s">
        <v>95</v>
      </c>
      <c r="AD71" s="425" t="s">
        <v>95</v>
      </c>
      <c r="AE71" s="425" t="s">
        <v>95</v>
      </c>
      <c r="AF71" s="425" t="s">
        <v>95</v>
      </c>
      <c r="AG71" s="425" t="s">
        <v>95</v>
      </c>
      <c r="AH71" s="425" t="s">
        <v>95</v>
      </c>
      <c r="AI71" s="425" t="s">
        <v>95</v>
      </c>
      <c r="AJ71" s="425" t="s">
        <v>95</v>
      </c>
      <c r="AK71" s="425" t="s">
        <v>95</v>
      </c>
      <c r="AL71" s="425" t="s">
        <v>95</v>
      </c>
      <c r="AM71" s="425" t="s">
        <v>95</v>
      </c>
      <c r="AN71" s="425" t="s">
        <v>95</v>
      </c>
      <c r="AO71" s="425" t="s">
        <v>95</v>
      </c>
      <c r="AP71" s="425" t="s">
        <v>95</v>
      </c>
      <c r="AQ71" s="425" t="s">
        <v>95</v>
      </c>
      <c r="AR71" s="425" t="s">
        <v>95</v>
      </c>
      <c r="AS71" s="425" t="s">
        <v>95</v>
      </c>
      <c r="AT71" s="341" t="s">
        <v>95</v>
      </c>
    </row>
    <row r="72" spans="1:46" x14ac:dyDescent="0.35">
      <c r="C72" s="160" t="s">
        <v>95</v>
      </c>
      <c r="D72" s="432" t="s">
        <v>95</v>
      </c>
      <c r="E72" s="437" t="s">
        <v>95</v>
      </c>
      <c r="F72" s="437" t="s">
        <v>95</v>
      </c>
      <c r="G72" s="437" t="s">
        <v>95</v>
      </c>
      <c r="H72" s="437" t="s">
        <v>95</v>
      </c>
      <c r="I72" s="437" t="s">
        <v>95</v>
      </c>
      <c r="J72" s="437" t="s">
        <v>95</v>
      </c>
      <c r="K72" s="437" t="s">
        <v>95</v>
      </c>
      <c r="L72" s="437" t="s">
        <v>95</v>
      </c>
      <c r="M72" s="437" t="s">
        <v>95</v>
      </c>
      <c r="N72" s="437" t="s">
        <v>95</v>
      </c>
      <c r="O72" s="437" t="s">
        <v>95</v>
      </c>
      <c r="P72" s="437" t="s">
        <v>95</v>
      </c>
      <c r="Q72" s="437" t="s">
        <v>95</v>
      </c>
      <c r="R72" s="437" t="s">
        <v>95</v>
      </c>
      <c r="S72" s="437" t="s">
        <v>95</v>
      </c>
      <c r="T72" s="437" t="s">
        <v>95</v>
      </c>
      <c r="U72" s="437" t="s">
        <v>95</v>
      </c>
      <c r="V72" s="437" t="s">
        <v>95</v>
      </c>
      <c r="W72" s="437" t="s">
        <v>95</v>
      </c>
      <c r="X72" s="437" t="s">
        <v>95</v>
      </c>
      <c r="Y72" s="437" t="s">
        <v>95</v>
      </c>
      <c r="Z72" s="437" t="s">
        <v>95</v>
      </c>
      <c r="AA72" s="437" t="s">
        <v>95</v>
      </c>
      <c r="AB72" s="437" t="s">
        <v>95</v>
      </c>
      <c r="AC72" s="437" t="s">
        <v>95</v>
      </c>
      <c r="AD72" s="437" t="s">
        <v>95</v>
      </c>
      <c r="AE72" s="437" t="s">
        <v>95</v>
      </c>
      <c r="AF72" s="437" t="s">
        <v>95</v>
      </c>
      <c r="AG72" s="437" t="s">
        <v>95</v>
      </c>
      <c r="AH72" s="437" t="s">
        <v>95</v>
      </c>
      <c r="AI72" s="437" t="s">
        <v>95</v>
      </c>
      <c r="AJ72" s="437" t="s">
        <v>95</v>
      </c>
      <c r="AK72" s="437" t="s">
        <v>95</v>
      </c>
      <c r="AL72" s="437" t="s">
        <v>95</v>
      </c>
      <c r="AM72" s="437" t="s">
        <v>95</v>
      </c>
      <c r="AN72" s="437" t="s">
        <v>95</v>
      </c>
      <c r="AO72" s="437" t="s">
        <v>95</v>
      </c>
      <c r="AP72" s="437" t="s">
        <v>95</v>
      </c>
      <c r="AQ72" s="437" t="s">
        <v>95</v>
      </c>
      <c r="AR72" s="437" t="s">
        <v>95</v>
      </c>
      <c r="AS72" s="437" t="s">
        <v>95</v>
      </c>
      <c r="AT72" s="350" t="s">
        <v>95</v>
      </c>
    </row>
    <row r="73" spans="1:46" ht="17" x14ac:dyDescent="0.4">
      <c r="C73" s="160" t="s">
        <v>95</v>
      </c>
      <c r="D73" s="432" t="s">
        <v>95</v>
      </c>
      <c r="E73" s="512" t="s">
        <v>226</v>
      </c>
      <c r="F73" s="512"/>
      <c r="G73" s="512"/>
      <c r="H73" s="512"/>
      <c r="I73" s="513" t="s">
        <v>95</v>
      </c>
      <c r="J73" s="513" t="s">
        <v>95</v>
      </c>
      <c r="K73" s="513" t="s">
        <v>95</v>
      </c>
      <c r="L73" s="513" t="s">
        <v>95</v>
      </c>
      <c r="M73" s="513" t="s">
        <v>95</v>
      </c>
      <c r="N73" s="513" t="s">
        <v>95</v>
      </c>
      <c r="O73" s="513" t="s">
        <v>95</v>
      </c>
      <c r="P73" s="513" t="s">
        <v>95</v>
      </c>
      <c r="Q73" s="513" t="s">
        <v>95</v>
      </c>
      <c r="R73" s="513" t="s">
        <v>95</v>
      </c>
      <c r="S73" s="513" t="s">
        <v>95</v>
      </c>
      <c r="T73" s="513" t="s">
        <v>95</v>
      </c>
      <c r="U73" s="513" t="s">
        <v>95</v>
      </c>
      <c r="V73" s="513" t="s">
        <v>95</v>
      </c>
      <c r="W73" s="513" t="s">
        <v>95</v>
      </c>
      <c r="X73" s="513" t="s">
        <v>95</v>
      </c>
      <c r="Y73" s="513" t="s">
        <v>95</v>
      </c>
      <c r="Z73" s="513" t="s">
        <v>95</v>
      </c>
      <c r="AA73" s="513" t="s">
        <v>95</v>
      </c>
      <c r="AB73" s="513" t="s">
        <v>95</v>
      </c>
      <c r="AC73" s="513" t="s">
        <v>95</v>
      </c>
      <c r="AD73" s="513" t="s">
        <v>95</v>
      </c>
      <c r="AE73" s="513" t="s">
        <v>95</v>
      </c>
      <c r="AF73" s="513" t="s">
        <v>95</v>
      </c>
      <c r="AG73" s="513" t="s">
        <v>95</v>
      </c>
      <c r="AH73" s="513" t="s">
        <v>95</v>
      </c>
      <c r="AI73" s="513" t="s">
        <v>95</v>
      </c>
      <c r="AJ73" s="513" t="s">
        <v>95</v>
      </c>
      <c r="AK73" s="513" t="s">
        <v>95</v>
      </c>
      <c r="AL73" s="513" t="s">
        <v>95</v>
      </c>
      <c r="AM73" s="513" t="s">
        <v>95</v>
      </c>
      <c r="AN73" s="513" t="s">
        <v>95</v>
      </c>
      <c r="AO73" s="513" t="s">
        <v>95</v>
      </c>
      <c r="AP73" s="513" t="s">
        <v>95</v>
      </c>
      <c r="AQ73" s="513" t="s">
        <v>95</v>
      </c>
      <c r="AR73" s="513" t="s">
        <v>95</v>
      </c>
      <c r="AS73" s="513" t="s">
        <v>95</v>
      </c>
      <c r="AT73" s="514" t="s">
        <v>95</v>
      </c>
    </row>
    <row r="74" spans="1:46" ht="17" x14ac:dyDescent="0.4">
      <c r="C74" s="164" t="s">
        <v>95</v>
      </c>
      <c r="D74" s="511" t="s">
        <v>95</v>
      </c>
      <c r="E74" s="515" t="s">
        <v>219</v>
      </c>
      <c r="F74" s="515"/>
      <c r="G74" s="515"/>
      <c r="H74" s="515"/>
      <c r="I74" s="516" t="s">
        <v>95</v>
      </c>
      <c r="J74" s="516" t="s">
        <v>95</v>
      </c>
      <c r="K74" s="516" t="s">
        <v>95</v>
      </c>
      <c r="L74" s="516" t="s">
        <v>95</v>
      </c>
      <c r="M74" s="515" t="s">
        <v>95</v>
      </c>
      <c r="N74" s="517" t="s">
        <v>95</v>
      </c>
      <c r="O74" s="517" t="s">
        <v>95</v>
      </c>
      <c r="P74" s="517" t="s">
        <v>95</v>
      </c>
      <c r="Q74" s="517" t="s">
        <v>95</v>
      </c>
      <c r="R74" s="517" t="s">
        <v>95</v>
      </c>
      <c r="S74" s="517" t="s">
        <v>95</v>
      </c>
      <c r="T74" s="517" t="s">
        <v>95</v>
      </c>
      <c r="U74" s="517" t="s">
        <v>95</v>
      </c>
      <c r="V74" s="517" t="s">
        <v>95</v>
      </c>
      <c r="W74" s="517" t="s">
        <v>95</v>
      </c>
      <c r="X74" s="517" t="s">
        <v>95</v>
      </c>
      <c r="Y74" s="517" t="s">
        <v>95</v>
      </c>
      <c r="Z74" s="517" t="s">
        <v>95</v>
      </c>
      <c r="AA74" s="517" t="s">
        <v>95</v>
      </c>
      <c r="AB74" s="517" t="s">
        <v>95</v>
      </c>
      <c r="AC74" s="517" t="s">
        <v>95</v>
      </c>
      <c r="AD74" s="517" t="s">
        <v>95</v>
      </c>
      <c r="AE74" s="517" t="s">
        <v>95</v>
      </c>
      <c r="AF74" s="517" t="s">
        <v>95</v>
      </c>
      <c r="AG74" s="517" t="s">
        <v>95</v>
      </c>
      <c r="AH74" s="517" t="s">
        <v>95</v>
      </c>
      <c r="AI74" s="517" t="s">
        <v>95</v>
      </c>
      <c r="AJ74" s="517" t="s">
        <v>95</v>
      </c>
      <c r="AK74" s="517" t="s">
        <v>95</v>
      </c>
      <c r="AL74" s="517" t="s">
        <v>95</v>
      </c>
      <c r="AM74" s="517" t="s">
        <v>95</v>
      </c>
      <c r="AN74" s="517" t="s">
        <v>95</v>
      </c>
      <c r="AO74" s="517" t="s">
        <v>95</v>
      </c>
      <c r="AP74" s="517" t="s">
        <v>95</v>
      </c>
      <c r="AQ74" s="517" t="s">
        <v>95</v>
      </c>
      <c r="AR74" s="517" t="s">
        <v>95</v>
      </c>
      <c r="AS74" s="517" t="s">
        <v>95</v>
      </c>
      <c r="AT74" s="518" t="s">
        <v>95</v>
      </c>
    </row>
    <row r="75" spans="1:46" x14ac:dyDescent="0.35">
      <c r="A75" s="1177">
        <v>6</v>
      </c>
      <c r="C75" s="1179" t="s">
        <v>99</v>
      </c>
      <c r="D75" s="1180"/>
      <c r="E75" s="425" t="s">
        <v>95</v>
      </c>
      <c r="F75" s="425" t="s">
        <v>95</v>
      </c>
      <c r="G75" s="425">
        <v>247.12</v>
      </c>
      <c r="H75" s="425" t="s">
        <v>95</v>
      </c>
      <c r="I75" s="425">
        <v>247.12</v>
      </c>
      <c r="J75" s="425" t="s">
        <v>95</v>
      </c>
      <c r="K75" s="425">
        <v>393.17335000000003</v>
      </c>
      <c r="L75" s="425" t="s">
        <v>95</v>
      </c>
      <c r="M75" s="425">
        <v>454.93997999999999</v>
      </c>
      <c r="N75" s="425" t="s">
        <v>95</v>
      </c>
      <c r="O75" s="425" t="s">
        <v>95</v>
      </c>
      <c r="P75" s="425" t="s">
        <v>95</v>
      </c>
      <c r="Q75" s="425" t="s">
        <v>95</v>
      </c>
      <c r="R75" s="425" t="s">
        <v>95</v>
      </c>
      <c r="S75" s="425" t="s">
        <v>95</v>
      </c>
      <c r="T75" s="425" t="s">
        <v>95</v>
      </c>
      <c r="U75" s="425" t="s">
        <v>95</v>
      </c>
      <c r="V75" s="425" t="s">
        <v>95</v>
      </c>
      <c r="W75" s="425" t="s">
        <v>95</v>
      </c>
      <c r="X75" s="425" t="s">
        <v>95</v>
      </c>
      <c r="Y75" s="425" t="s">
        <v>95</v>
      </c>
      <c r="Z75" s="425" t="s">
        <v>95</v>
      </c>
      <c r="AA75" s="425" t="s">
        <v>95</v>
      </c>
      <c r="AB75" s="425" t="s">
        <v>95</v>
      </c>
      <c r="AC75" s="425" t="s">
        <v>95</v>
      </c>
      <c r="AD75" s="425" t="s">
        <v>95</v>
      </c>
      <c r="AE75" s="425" t="s">
        <v>95</v>
      </c>
      <c r="AF75" s="425" t="s">
        <v>95</v>
      </c>
      <c r="AG75" s="425" t="s">
        <v>95</v>
      </c>
      <c r="AH75" s="425" t="s">
        <v>95</v>
      </c>
      <c r="AI75" s="425" t="s">
        <v>95</v>
      </c>
      <c r="AJ75" s="425" t="s">
        <v>95</v>
      </c>
      <c r="AK75" s="425" t="s">
        <v>95</v>
      </c>
      <c r="AL75" s="425" t="s">
        <v>95</v>
      </c>
      <c r="AM75" s="425" t="s">
        <v>95</v>
      </c>
      <c r="AN75" s="425" t="s">
        <v>95</v>
      </c>
      <c r="AO75" s="425" t="s">
        <v>95</v>
      </c>
      <c r="AP75" s="425" t="s">
        <v>95</v>
      </c>
      <c r="AQ75" s="425" t="s">
        <v>95</v>
      </c>
      <c r="AR75" s="425" t="s">
        <v>95</v>
      </c>
      <c r="AS75" s="425" t="s">
        <v>95</v>
      </c>
      <c r="AT75" s="341" t="s">
        <v>95</v>
      </c>
    </row>
    <row r="76" spans="1:46" x14ac:dyDescent="0.35">
      <c r="A76" s="1177"/>
      <c r="C76" s="1172" t="s">
        <v>101</v>
      </c>
      <c r="D76" s="1021"/>
      <c r="E76" s="425" t="s">
        <v>95</v>
      </c>
      <c r="F76" s="425" t="s">
        <v>95</v>
      </c>
      <c r="G76" s="425">
        <v>317.35000000000002</v>
      </c>
      <c r="H76" s="425" t="s">
        <v>95</v>
      </c>
      <c r="I76" s="425">
        <v>317.35000000000002</v>
      </c>
      <c r="J76" s="425" t="s">
        <v>95</v>
      </c>
      <c r="K76" s="425">
        <v>332.33848</v>
      </c>
      <c r="L76" s="425" t="s">
        <v>95</v>
      </c>
      <c r="M76" s="425">
        <v>317.35183000000001</v>
      </c>
      <c r="N76" s="425" t="s">
        <v>95</v>
      </c>
      <c r="O76" s="425" t="s">
        <v>95</v>
      </c>
      <c r="P76" s="425" t="s">
        <v>95</v>
      </c>
      <c r="Q76" s="425" t="s">
        <v>95</v>
      </c>
      <c r="R76" s="425" t="s">
        <v>95</v>
      </c>
      <c r="S76" s="425" t="s">
        <v>95</v>
      </c>
      <c r="T76" s="425" t="s">
        <v>95</v>
      </c>
      <c r="U76" s="425" t="s">
        <v>95</v>
      </c>
      <c r="V76" s="425" t="s">
        <v>95</v>
      </c>
      <c r="W76" s="425" t="s">
        <v>95</v>
      </c>
      <c r="X76" s="425" t="s">
        <v>95</v>
      </c>
      <c r="Y76" s="425" t="s">
        <v>95</v>
      </c>
      <c r="Z76" s="425" t="s">
        <v>95</v>
      </c>
      <c r="AA76" s="425" t="s">
        <v>95</v>
      </c>
      <c r="AB76" s="425" t="s">
        <v>95</v>
      </c>
      <c r="AC76" s="425" t="s">
        <v>95</v>
      </c>
      <c r="AD76" s="425" t="s">
        <v>95</v>
      </c>
      <c r="AE76" s="425" t="s">
        <v>95</v>
      </c>
      <c r="AF76" s="425" t="s">
        <v>95</v>
      </c>
      <c r="AG76" s="425" t="s">
        <v>95</v>
      </c>
      <c r="AH76" s="425" t="s">
        <v>95</v>
      </c>
      <c r="AI76" s="425" t="s">
        <v>95</v>
      </c>
      <c r="AJ76" s="425" t="s">
        <v>95</v>
      </c>
      <c r="AK76" s="425" t="s">
        <v>95</v>
      </c>
      <c r="AL76" s="425" t="s">
        <v>95</v>
      </c>
      <c r="AM76" s="425" t="s">
        <v>95</v>
      </c>
      <c r="AN76" s="425" t="s">
        <v>95</v>
      </c>
      <c r="AO76" s="425" t="s">
        <v>95</v>
      </c>
      <c r="AP76" s="425" t="s">
        <v>95</v>
      </c>
      <c r="AQ76" s="425" t="s">
        <v>95</v>
      </c>
      <c r="AR76" s="425" t="s">
        <v>95</v>
      </c>
      <c r="AS76" s="425" t="s">
        <v>95</v>
      </c>
      <c r="AT76" s="341" t="s">
        <v>95</v>
      </c>
    </row>
    <row r="77" spans="1:46" x14ac:dyDescent="0.35">
      <c r="A77" s="1177"/>
      <c r="C77" s="1172" t="s">
        <v>221</v>
      </c>
      <c r="D77" s="1021"/>
      <c r="E77" s="425" t="s">
        <v>95</v>
      </c>
      <c r="F77" s="425" t="s">
        <v>95</v>
      </c>
      <c r="G77" s="425">
        <v>77</v>
      </c>
      <c r="H77" s="425" t="s">
        <v>95</v>
      </c>
      <c r="I77" s="425">
        <v>77</v>
      </c>
      <c r="J77" s="425" t="s">
        <v>95</v>
      </c>
      <c r="K77" s="425">
        <v>77</v>
      </c>
      <c r="L77" s="425" t="s">
        <v>95</v>
      </c>
      <c r="M77" s="425">
        <v>77</v>
      </c>
      <c r="N77" s="425" t="s">
        <v>95</v>
      </c>
      <c r="O77" s="425" t="s">
        <v>95</v>
      </c>
      <c r="P77" s="425" t="s">
        <v>95</v>
      </c>
      <c r="Q77" s="425" t="s">
        <v>95</v>
      </c>
      <c r="R77" s="425" t="s">
        <v>95</v>
      </c>
      <c r="S77" s="425" t="s">
        <v>95</v>
      </c>
      <c r="T77" s="425" t="s">
        <v>95</v>
      </c>
      <c r="U77" s="425" t="s">
        <v>95</v>
      </c>
      <c r="V77" s="425" t="s">
        <v>95</v>
      </c>
      <c r="W77" s="425" t="s">
        <v>95</v>
      </c>
      <c r="X77" s="425" t="s">
        <v>95</v>
      </c>
      <c r="Y77" s="425" t="s">
        <v>95</v>
      </c>
      <c r="Z77" s="425" t="s">
        <v>95</v>
      </c>
      <c r="AA77" s="425" t="s">
        <v>95</v>
      </c>
      <c r="AB77" s="425" t="s">
        <v>95</v>
      </c>
      <c r="AC77" s="425" t="s">
        <v>95</v>
      </c>
      <c r="AD77" s="425" t="s">
        <v>95</v>
      </c>
      <c r="AE77" s="425" t="s">
        <v>95</v>
      </c>
      <c r="AF77" s="425" t="s">
        <v>95</v>
      </c>
      <c r="AG77" s="425" t="s">
        <v>95</v>
      </c>
      <c r="AH77" s="425" t="s">
        <v>95</v>
      </c>
      <c r="AI77" s="425" t="s">
        <v>95</v>
      </c>
      <c r="AJ77" s="425" t="s">
        <v>95</v>
      </c>
      <c r="AK77" s="425" t="s">
        <v>95</v>
      </c>
      <c r="AL77" s="425" t="s">
        <v>95</v>
      </c>
      <c r="AM77" s="425" t="s">
        <v>95</v>
      </c>
      <c r="AN77" s="425" t="s">
        <v>95</v>
      </c>
      <c r="AO77" s="425" t="s">
        <v>95</v>
      </c>
      <c r="AP77" s="425" t="s">
        <v>95</v>
      </c>
      <c r="AQ77" s="425" t="s">
        <v>95</v>
      </c>
      <c r="AR77" s="425" t="s">
        <v>95</v>
      </c>
      <c r="AS77" s="425" t="s">
        <v>95</v>
      </c>
      <c r="AT77" s="341" t="s">
        <v>95</v>
      </c>
    </row>
    <row r="78" spans="1:46" x14ac:dyDescent="0.35">
      <c r="A78" s="1177"/>
      <c r="C78" s="1175" t="s">
        <v>146</v>
      </c>
      <c r="D78" s="1023"/>
      <c r="E78" s="425"/>
      <c r="F78" s="425"/>
      <c r="G78" s="425">
        <v>77</v>
      </c>
      <c r="H78" s="425" t="s">
        <v>95</v>
      </c>
      <c r="I78" s="425">
        <v>77</v>
      </c>
      <c r="J78" s="425" t="s">
        <v>95</v>
      </c>
      <c r="K78" s="425">
        <v>77</v>
      </c>
      <c r="L78" s="425" t="s">
        <v>95</v>
      </c>
      <c r="M78" s="425">
        <v>77</v>
      </c>
      <c r="N78" s="425"/>
      <c r="O78" s="425"/>
      <c r="P78" s="425"/>
      <c r="Q78" s="425"/>
      <c r="R78" s="425"/>
      <c r="S78" s="425"/>
      <c r="T78" s="425"/>
      <c r="U78" s="425"/>
      <c r="V78" s="425"/>
      <c r="W78" s="425"/>
      <c r="X78" s="425"/>
      <c r="Y78" s="425"/>
      <c r="Z78" s="425"/>
      <c r="AA78" s="425"/>
      <c r="AB78" s="425"/>
      <c r="AC78" s="425"/>
      <c r="AD78" s="425"/>
      <c r="AE78" s="425"/>
      <c r="AF78" s="425"/>
      <c r="AG78" s="425"/>
      <c r="AH78" s="425"/>
      <c r="AI78" s="425"/>
      <c r="AJ78" s="425"/>
      <c r="AK78" s="425"/>
      <c r="AL78" s="425"/>
      <c r="AM78" s="425"/>
      <c r="AN78" s="425"/>
      <c r="AO78" s="425"/>
      <c r="AP78" s="425"/>
      <c r="AQ78" s="425"/>
      <c r="AR78" s="425"/>
      <c r="AS78" s="425"/>
      <c r="AT78" s="341"/>
    </row>
    <row r="79" spans="1:46" x14ac:dyDescent="0.35">
      <c r="A79" s="1177"/>
      <c r="C79" s="1172" t="s">
        <v>74</v>
      </c>
      <c r="D79" s="1021"/>
      <c r="E79" s="425" t="s">
        <v>95</v>
      </c>
      <c r="F79" s="425" t="s">
        <v>95</v>
      </c>
      <c r="G79" s="425">
        <v>137.87</v>
      </c>
      <c r="H79" s="425" t="s">
        <v>95</v>
      </c>
      <c r="I79" s="425">
        <v>137.87</v>
      </c>
      <c r="J79" s="425" t="s">
        <v>95</v>
      </c>
      <c r="K79" s="425">
        <v>137.86667</v>
      </c>
      <c r="L79" s="425" t="s">
        <v>95</v>
      </c>
      <c r="M79" s="425">
        <v>137.86667</v>
      </c>
      <c r="N79" s="425" t="s">
        <v>95</v>
      </c>
      <c r="O79" s="425" t="s">
        <v>95</v>
      </c>
      <c r="P79" s="425" t="s">
        <v>95</v>
      </c>
      <c r="Q79" s="425" t="s">
        <v>95</v>
      </c>
      <c r="R79" s="425" t="s">
        <v>95</v>
      </c>
      <c r="S79" s="425" t="s">
        <v>95</v>
      </c>
      <c r="T79" s="425" t="s">
        <v>95</v>
      </c>
      <c r="U79" s="425" t="s">
        <v>95</v>
      </c>
      <c r="V79" s="425" t="s">
        <v>95</v>
      </c>
      <c r="W79" s="425" t="s">
        <v>95</v>
      </c>
      <c r="X79" s="425" t="s">
        <v>95</v>
      </c>
      <c r="Y79" s="425" t="s">
        <v>95</v>
      </c>
      <c r="Z79" s="425" t="s">
        <v>95</v>
      </c>
      <c r="AA79" s="425" t="s">
        <v>95</v>
      </c>
      <c r="AB79" s="425" t="s">
        <v>95</v>
      </c>
      <c r="AC79" s="425" t="s">
        <v>95</v>
      </c>
      <c r="AD79" s="425" t="s">
        <v>95</v>
      </c>
      <c r="AE79" s="425" t="s">
        <v>95</v>
      </c>
      <c r="AF79" s="425" t="s">
        <v>95</v>
      </c>
      <c r="AG79" s="425" t="s">
        <v>95</v>
      </c>
      <c r="AH79" s="425" t="s">
        <v>95</v>
      </c>
      <c r="AI79" s="425" t="s">
        <v>95</v>
      </c>
      <c r="AJ79" s="425" t="s">
        <v>95</v>
      </c>
      <c r="AK79" s="425" t="s">
        <v>95</v>
      </c>
      <c r="AL79" s="425" t="s">
        <v>95</v>
      </c>
      <c r="AM79" s="425" t="s">
        <v>95</v>
      </c>
      <c r="AN79" s="425" t="s">
        <v>95</v>
      </c>
      <c r="AO79" s="425" t="s">
        <v>95</v>
      </c>
      <c r="AP79" s="425" t="s">
        <v>95</v>
      </c>
      <c r="AQ79" s="425" t="s">
        <v>95</v>
      </c>
      <c r="AR79" s="425" t="s">
        <v>95</v>
      </c>
      <c r="AS79" s="425" t="s">
        <v>95</v>
      </c>
      <c r="AT79" s="341" t="s">
        <v>95</v>
      </c>
    </row>
    <row r="80" spans="1:46" x14ac:dyDescent="0.35">
      <c r="A80" s="1177"/>
      <c r="C80" s="1172" t="s">
        <v>103</v>
      </c>
      <c r="D80" s="1021"/>
      <c r="E80" s="425" t="s">
        <v>95</v>
      </c>
      <c r="F80" s="425" t="s">
        <v>95</v>
      </c>
      <c r="G80" s="425">
        <v>0</v>
      </c>
      <c r="H80" s="425" t="s">
        <v>95</v>
      </c>
      <c r="I80" s="425">
        <v>0</v>
      </c>
      <c r="J80" s="425" t="s">
        <v>95</v>
      </c>
      <c r="K80" s="425">
        <v>0</v>
      </c>
      <c r="L80" s="425" t="s">
        <v>95</v>
      </c>
      <c r="M80" s="425">
        <v>0</v>
      </c>
      <c r="N80" s="425" t="s">
        <v>95</v>
      </c>
      <c r="O80" s="425" t="s">
        <v>95</v>
      </c>
      <c r="P80" s="425" t="s">
        <v>95</v>
      </c>
      <c r="Q80" s="425" t="s">
        <v>95</v>
      </c>
      <c r="R80" s="425" t="s">
        <v>95</v>
      </c>
      <c r="S80" s="425" t="s">
        <v>95</v>
      </c>
      <c r="T80" s="425" t="s">
        <v>95</v>
      </c>
      <c r="U80" s="425" t="s">
        <v>95</v>
      </c>
      <c r="V80" s="425" t="s">
        <v>95</v>
      </c>
      <c r="W80" s="425" t="s">
        <v>95</v>
      </c>
      <c r="X80" s="425" t="s">
        <v>95</v>
      </c>
      <c r="Y80" s="425" t="s">
        <v>95</v>
      </c>
      <c r="Z80" s="425" t="s">
        <v>95</v>
      </c>
      <c r="AA80" s="425" t="s">
        <v>95</v>
      </c>
      <c r="AB80" s="425" t="s">
        <v>95</v>
      </c>
      <c r="AC80" s="425" t="s">
        <v>95</v>
      </c>
      <c r="AD80" s="425" t="s">
        <v>95</v>
      </c>
      <c r="AE80" s="425" t="s">
        <v>95</v>
      </c>
      <c r="AF80" s="425" t="s">
        <v>95</v>
      </c>
      <c r="AG80" s="425" t="s">
        <v>95</v>
      </c>
      <c r="AH80" s="425" t="s">
        <v>95</v>
      </c>
      <c r="AI80" s="425" t="s">
        <v>95</v>
      </c>
      <c r="AJ80" s="425" t="s">
        <v>95</v>
      </c>
      <c r="AK80" s="425" t="s">
        <v>95</v>
      </c>
      <c r="AL80" s="425" t="s">
        <v>95</v>
      </c>
      <c r="AM80" s="425" t="s">
        <v>95</v>
      </c>
      <c r="AN80" s="425" t="s">
        <v>95</v>
      </c>
      <c r="AO80" s="425" t="s">
        <v>95</v>
      </c>
      <c r="AP80" s="425" t="s">
        <v>95</v>
      </c>
      <c r="AQ80" s="425" t="s">
        <v>95</v>
      </c>
      <c r="AR80" s="425" t="s">
        <v>95</v>
      </c>
      <c r="AS80" s="425" t="s">
        <v>95</v>
      </c>
      <c r="AT80" s="341" t="s">
        <v>95</v>
      </c>
    </row>
    <row r="81" spans="1:46" x14ac:dyDescent="0.35">
      <c r="A81" s="1177"/>
      <c r="C81" s="1172" t="s">
        <v>57</v>
      </c>
      <c r="D81" s="1021"/>
      <c r="E81" s="425" t="s">
        <v>95</v>
      </c>
      <c r="F81" s="425" t="s">
        <v>95</v>
      </c>
      <c r="G81" s="425" t="s">
        <v>95</v>
      </c>
      <c r="H81" s="425" t="s">
        <v>95</v>
      </c>
      <c r="I81" s="425" t="s">
        <v>95</v>
      </c>
      <c r="J81" s="425" t="s">
        <v>95</v>
      </c>
      <c r="K81" s="425" t="s">
        <v>95</v>
      </c>
      <c r="L81" s="425" t="s">
        <v>95</v>
      </c>
      <c r="M81" s="425" t="s">
        <v>95</v>
      </c>
      <c r="N81" s="425" t="s">
        <v>95</v>
      </c>
      <c r="O81" s="425" t="s">
        <v>95</v>
      </c>
      <c r="P81" s="425" t="s">
        <v>95</v>
      </c>
      <c r="Q81" s="425" t="s">
        <v>95</v>
      </c>
      <c r="R81" s="425" t="s">
        <v>95</v>
      </c>
      <c r="S81" s="425" t="s">
        <v>95</v>
      </c>
      <c r="T81" s="425" t="s">
        <v>95</v>
      </c>
      <c r="U81" s="425" t="s">
        <v>95</v>
      </c>
      <c r="V81" s="425" t="s">
        <v>95</v>
      </c>
      <c r="W81" s="425" t="s">
        <v>95</v>
      </c>
      <c r="X81" s="425" t="s">
        <v>95</v>
      </c>
      <c r="Y81" s="425" t="s">
        <v>95</v>
      </c>
      <c r="Z81" s="425" t="s">
        <v>95</v>
      </c>
      <c r="AA81" s="425" t="s">
        <v>95</v>
      </c>
      <c r="AB81" s="425" t="s">
        <v>95</v>
      </c>
      <c r="AC81" s="425" t="s">
        <v>95</v>
      </c>
      <c r="AD81" s="425" t="s">
        <v>95</v>
      </c>
      <c r="AE81" s="425" t="s">
        <v>95</v>
      </c>
      <c r="AF81" s="425" t="s">
        <v>95</v>
      </c>
      <c r="AG81" s="425" t="s">
        <v>95</v>
      </c>
      <c r="AH81" s="425" t="s">
        <v>95</v>
      </c>
      <c r="AI81" s="425" t="s">
        <v>95</v>
      </c>
      <c r="AJ81" s="425" t="s">
        <v>95</v>
      </c>
      <c r="AK81" s="425" t="s">
        <v>95</v>
      </c>
      <c r="AL81" s="425" t="s">
        <v>95</v>
      </c>
      <c r="AM81" s="425" t="s">
        <v>95</v>
      </c>
      <c r="AN81" s="425" t="s">
        <v>95</v>
      </c>
      <c r="AO81" s="425" t="s">
        <v>95</v>
      </c>
      <c r="AP81" s="425" t="s">
        <v>95</v>
      </c>
      <c r="AQ81" s="425" t="s">
        <v>95</v>
      </c>
      <c r="AR81" s="425" t="s">
        <v>95</v>
      </c>
      <c r="AS81" s="425" t="s">
        <v>95</v>
      </c>
      <c r="AT81" s="341" t="s">
        <v>95</v>
      </c>
    </row>
    <row r="82" spans="1:46" x14ac:dyDescent="0.35">
      <c r="C82" s="160" t="s">
        <v>95</v>
      </c>
      <c r="D82" s="432" t="s">
        <v>95</v>
      </c>
      <c r="E82" s="437" t="s">
        <v>95</v>
      </c>
      <c r="F82" s="437" t="s">
        <v>95</v>
      </c>
      <c r="G82" s="437" t="s">
        <v>95</v>
      </c>
      <c r="H82" s="437" t="s">
        <v>95</v>
      </c>
      <c r="I82" s="437" t="s">
        <v>95</v>
      </c>
      <c r="J82" s="437" t="s">
        <v>95</v>
      </c>
      <c r="K82" s="437" t="s">
        <v>95</v>
      </c>
      <c r="L82" s="437" t="s">
        <v>95</v>
      </c>
      <c r="M82" s="437" t="s">
        <v>95</v>
      </c>
      <c r="N82" s="437" t="s">
        <v>95</v>
      </c>
      <c r="O82" s="437" t="s">
        <v>95</v>
      </c>
      <c r="P82" s="437" t="s">
        <v>95</v>
      </c>
      <c r="Q82" s="437" t="s">
        <v>95</v>
      </c>
      <c r="R82" s="437" t="s">
        <v>95</v>
      </c>
      <c r="S82" s="437" t="s">
        <v>95</v>
      </c>
      <c r="T82" s="437" t="s">
        <v>95</v>
      </c>
      <c r="U82" s="437" t="s">
        <v>95</v>
      </c>
      <c r="V82" s="437" t="s">
        <v>95</v>
      </c>
      <c r="W82" s="437" t="s">
        <v>95</v>
      </c>
      <c r="X82" s="437" t="s">
        <v>95</v>
      </c>
      <c r="Y82" s="437" t="s">
        <v>95</v>
      </c>
      <c r="Z82" s="437" t="s">
        <v>95</v>
      </c>
      <c r="AA82" s="437" t="s">
        <v>95</v>
      </c>
      <c r="AB82" s="437" t="s">
        <v>95</v>
      </c>
      <c r="AC82" s="437" t="s">
        <v>95</v>
      </c>
      <c r="AD82" s="437" t="s">
        <v>95</v>
      </c>
      <c r="AE82" s="437" t="s">
        <v>95</v>
      </c>
      <c r="AF82" s="437" t="s">
        <v>95</v>
      </c>
      <c r="AG82" s="437" t="s">
        <v>95</v>
      </c>
      <c r="AH82" s="437" t="s">
        <v>95</v>
      </c>
      <c r="AI82" s="437" t="s">
        <v>95</v>
      </c>
      <c r="AJ82" s="437" t="s">
        <v>95</v>
      </c>
      <c r="AK82" s="437" t="s">
        <v>95</v>
      </c>
      <c r="AL82" s="437" t="s">
        <v>95</v>
      </c>
      <c r="AM82" s="437" t="s">
        <v>95</v>
      </c>
      <c r="AN82" s="437" t="s">
        <v>95</v>
      </c>
      <c r="AO82" s="437" t="s">
        <v>95</v>
      </c>
      <c r="AP82" s="437" t="s">
        <v>95</v>
      </c>
      <c r="AQ82" s="437" t="s">
        <v>95</v>
      </c>
      <c r="AR82" s="437" t="s">
        <v>95</v>
      </c>
      <c r="AS82" s="437" t="s">
        <v>95</v>
      </c>
      <c r="AT82" s="350" t="s">
        <v>95</v>
      </c>
    </row>
    <row r="83" spans="1:46" x14ac:dyDescent="0.35">
      <c r="C83" s="164" t="s">
        <v>95</v>
      </c>
      <c r="D83" s="511" t="s">
        <v>95</v>
      </c>
      <c r="E83" s="511" t="s">
        <v>95</v>
      </c>
      <c r="F83" s="511" t="s">
        <v>95</v>
      </c>
      <c r="G83" s="511" t="s">
        <v>95</v>
      </c>
      <c r="H83" s="511" t="s">
        <v>95</v>
      </c>
      <c r="I83" s="511" t="s">
        <v>95</v>
      </c>
      <c r="J83" s="511" t="s">
        <v>95</v>
      </c>
      <c r="K83" s="511" t="s">
        <v>95</v>
      </c>
      <c r="L83" s="511" t="s">
        <v>95</v>
      </c>
      <c r="M83" s="511" t="s">
        <v>95</v>
      </c>
      <c r="N83" s="511" t="s">
        <v>95</v>
      </c>
      <c r="O83" s="511" t="s">
        <v>95</v>
      </c>
      <c r="P83" s="511" t="s">
        <v>95</v>
      </c>
      <c r="Q83" s="511" t="s">
        <v>95</v>
      </c>
      <c r="R83" s="511" t="s">
        <v>95</v>
      </c>
      <c r="S83" s="511" t="s">
        <v>95</v>
      </c>
      <c r="T83" s="511" t="s">
        <v>95</v>
      </c>
      <c r="U83" s="511" t="s">
        <v>95</v>
      </c>
      <c r="V83" s="511" t="s">
        <v>95</v>
      </c>
      <c r="W83" s="511" t="s">
        <v>95</v>
      </c>
      <c r="X83" s="511" t="s">
        <v>95</v>
      </c>
      <c r="Y83" s="511" t="s">
        <v>95</v>
      </c>
      <c r="Z83" s="511" t="s">
        <v>95</v>
      </c>
      <c r="AA83" s="511" t="s">
        <v>95</v>
      </c>
      <c r="AB83" s="511" t="s">
        <v>95</v>
      </c>
      <c r="AC83" s="511" t="s">
        <v>95</v>
      </c>
      <c r="AD83" s="511" t="s">
        <v>95</v>
      </c>
      <c r="AE83" s="511" t="s">
        <v>95</v>
      </c>
      <c r="AF83" s="511" t="s">
        <v>95</v>
      </c>
      <c r="AG83" s="511" t="s">
        <v>95</v>
      </c>
      <c r="AH83" s="511" t="s">
        <v>95</v>
      </c>
      <c r="AI83" s="511" t="s">
        <v>95</v>
      </c>
      <c r="AJ83" s="511" t="s">
        <v>95</v>
      </c>
      <c r="AK83" s="511" t="s">
        <v>95</v>
      </c>
      <c r="AL83" s="511" t="s">
        <v>95</v>
      </c>
      <c r="AM83" s="511" t="s">
        <v>95</v>
      </c>
      <c r="AN83" s="511" t="s">
        <v>95</v>
      </c>
      <c r="AO83" s="511" t="s">
        <v>95</v>
      </c>
      <c r="AP83" s="511" t="s">
        <v>95</v>
      </c>
      <c r="AQ83" s="511" t="s">
        <v>95</v>
      </c>
      <c r="AR83" s="511" t="s">
        <v>95</v>
      </c>
      <c r="AS83" s="511" t="s">
        <v>95</v>
      </c>
      <c r="AT83" s="159" t="s">
        <v>95</v>
      </c>
    </row>
    <row r="84" spans="1:46" ht="17" x14ac:dyDescent="0.4">
      <c r="C84" s="160" t="s">
        <v>95</v>
      </c>
      <c r="D84" s="432" t="s">
        <v>95</v>
      </c>
      <c r="E84" s="512" t="s">
        <v>227</v>
      </c>
      <c r="F84" s="512"/>
      <c r="G84" s="512"/>
      <c r="H84" s="512"/>
      <c r="I84" s="512"/>
      <c r="J84" s="512"/>
      <c r="K84" s="513" t="s">
        <v>95</v>
      </c>
      <c r="L84" s="513" t="s">
        <v>95</v>
      </c>
      <c r="M84" s="513" t="s">
        <v>95</v>
      </c>
      <c r="N84" s="513" t="s">
        <v>95</v>
      </c>
      <c r="O84" s="513" t="s">
        <v>95</v>
      </c>
      <c r="P84" s="513" t="s">
        <v>95</v>
      </c>
      <c r="Q84" s="513" t="s">
        <v>95</v>
      </c>
      <c r="R84" s="513" t="s">
        <v>95</v>
      </c>
      <c r="S84" s="513" t="s">
        <v>95</v>
      </c>
      <c r="T84" s="513" t="s">
        <v>95</v>
      </c>
      <c r="U84" s="513" t="s">
        <v>95</v>
      </c>
      <c r="V84" s="513" t="s">
        <v>95</v>
      </c>
      <c r="W84" s="513" t="s">
        <v>95</v>
      </c>
      <c r="X84" s="513" t="s">
        <v>95</v>
      </c>
      <c r="Y84" s="513" t="s">
        <v>95</v>
      </c>
      <c r="Z84" s="513" t="s">
        <v>95</v>
      </c>
      <c r="AA84" s="513" t="s">
        <v>95</v>
      </c>
      <c r="AB84" s="513" t="s">
        <v>95</v>
      </c>
      <c r="AC84" s="513" t="s">
        <v>95</v>
      </c>
      <c r="AD84" s="513" t="s">
        <v>95</v>
      </c>
      <c r="AE84" s="513" t="s">
        <v>95</v>
      </c>
      <c r="AF84" s="513" t="s">
        <v>95</v>
      </c>
      <c r="AG84" s="513" t="s">
        <v>95</v>
      </c>
      <c r="AH84" s="513" t="s">
        <v>95</v>
      </c>
      <c r="AI84" s="513" t="s">
        <v>95</v>
      </c>
      <c r="AJ84" s="513" t="s">
        <v>95</v>
      </c>
      <c r="AK84" s="513" t="s">
        <v>95</v>
      </c>
      <c r="AL84" s="513" t="s">
        <v>95</v>
      </c>
      <c r="AM84" s="513" t="s">
        <v>95</v>
      </c>
      <c r="AN84" s="513" t="s">
        <v>95</v>
      </c>
      <c r="AO84" s="513" t="s">
        <v>95</v>
      </c>
      <c r="AP84" s="513" t="s">
        <v>95</v>
      </c>
      <c r="AQ84" s="513" t="s">
        <v>95</v>
      </c>
      <c r="AR84" s="513" t="s">
        <v>95</v>
      </c>
      <c r="AS84" s="513" t="s">
        <v>95</v>
      </c>
      <c r="AT84" s="514" t="s">
        <v>95</v>
      </c>
    </row>
    <row r="85" spans="1:46" ht="17" x14ac:dyDescent="0.4">
      <c r="C85" s="164" t="s">
        <v>95</v>
      </c>
      <c r="D85" s="511" t="s">
        <v>95</v>
      </c>
      <c r="E85" s="515" t="s">
        <v>219</v>
      </c>
      <c r="F85" s="515"/>
      <c r="G85" s="515"/>
      <c r="H85" s="515"/>
      <c r="I85" s="516" t="s">
        <v>95</v>
      </c>
      <c r="J85" s="516" t="s">
        <v>95</v>
      </c>
      <c r="K85" s="516" t="s">
        <v>95</v>
      </c>
      <c r="L85" s="516" t="s">
        <v>95</v>
      </c>
      <c r="M85" s="515" t="s">
        <v>95</v>
      </c>
      <c r="N85" s="517" t="s">
        <v>95</v>
      </c>
      <c r="O85" s="517" t="s">
        <v>95</v>
      </c>
      <c r="P85" s="517" t="s">
        <v>95</v>
      </c>
      <c r="Q85" s="517" t="s">
        <v>95</v>
      </c>
      <c r="R85" s="517" t="s">
        <v>95</v>
      </c>
      <c r="S85" s="517" t="s">
        <v>95</v>
      </c>
      <c r="T85" s="517" t="s">
        <v>95</v>
      </c>
      <c r="U85" s="517" t="s">
        <v>95</v>
      </c>
      <c r="V85" s="517" t="s">
        <v>95</v>
      </c>
      <c r="W85" s="517" t="s">
        <v>95</v>
      </c>
      <c r="X85" s="517" t="s">
        <v>95</v>
      </c>
      <c r="Y85" s="517" t="s">
        <v>95</v>
      </c>
      <c r="Z85" s="517" t="s">
        <v>95</v>
      </c>
      <c r="AA85" s="517" t="s">
        <v>95</v>
      </c>
      <c r="AB85" s="517" t="s">
        <v>95</v>
      </c>
      <c r="AC85" s="517" t="s">
        <v>95</v>
      </c>
      <c r="AD85" s="517" t="s">
        <v>95</v>
      </c>
      <c r="AE85" s="517" t="s">
        <v>95</v>
      </c>
      <c r="AF85" s="517" t="s">
        <v>95</v>
      </c>
      <c r="AG85" s="517" t="s">
        <v>95</v>
      </c>
      <c r="AH85" s="517" t="s">
        <v>95</v>
      </c>
      <c r="AI85" s="517" t="s">
        <v>95</v>
      </c>
      <c r="AJ85" s="517" t="s">
        <v>95</v>
      </c>
      <c r="AK85" s="517" t="s">
        <v>95</v>
      </c>
      <c r="AL85" s="517" t="s">
        <v>95</v>
      </c>
      <c r="AM85" s="517" t="s">
        <v>95</v>
      </c>
      <c r="AN85" s="517" t="s">
        <v>95</v>
      </c>
      <c r="AO85" s="517" t="s">
        <v>95</v>
      </c>
      <c r="AP85" s="517" t="s">
        <v>95</v>
      </c>
      <c r="AQ85" s="517" t="s">
        <v>95</v>
      </c>
      <c r="AR85" s="517" t="s">
        <v>95</v>
      </c>
      <c r="AS85" s="517" t="s">
        <v>95</v>
      </c>
      <c r="AT85" s="518" t="s">
        <v>95</v>
      </c>
    </row>
    <row r="86" spans="1:46" x14ac:dyDescent="0.35">
      <c r="A86" s="1177">
        <v>6</v>
      </c>
      <c r="C86" s="1179" t="s">
        <v>228</v>
      </c>
      <c r="D86" s="1180"/>
      <c r="E86" s="425" t="s">
        <v>95</v>
      </c>
      <c r="F86" s="425" t="s">
        <v>95</v>
      </c>
      <c r="G86" s="425">
        <v>-3.91</v>
      </c>
      <c r="H86" s="425" t="s">
        <v>95</v>
      </c>
      <c r="I86" s="425">
        <v>-4.05</v>
      </c>
      <c r="J86" s="425" t="s">
        <v>95</v>
      </c>
      <c r="K86" s="425">
        <v>-4.2300000000000004</v>
      </c>
      <c r="L86" s="425" t="s">
        <v>95</v>
      </c>
      <c r="M86" s="425">
        <v>-4.3621203900000003</v>
      </c>
      <c r="N86" s="425" t="s">
        <v>95</v>
      </c>
      <c r="O86" s="425" t="s">
        <v>95</v>
      </c>
      <c r="P86" s="425" t="s">
        <v>95</v>
      </c>
      <c r="Q86" s="425" t="s">
        <v>95</v>
      </c>
      <c r="R86" s="425" t="s">
        <v>95</v>
      </c>
      <c r="S86" s="425" t="s">
        <v>95</v>
      </c>
      <c r="T86" s="425" t="s">
        <v>95</v>
      </c>
      <c r="U86" s="425" t="s">
        <v>95</v>
      </c>
      <c r="V86" s="425" t="s">
        <v>95</v>
      </c>
      <c r="W86" s="425" t="s">
        <v>95</v>
      </c>
      <c r="X86" s="425" t="s">
        <v>95</v>
      </c>
      <c r="Y86" s="425" t="s">
        <v>95</v>
      </c>
      <c r="Z86" s="425" t="s">
        <v>95</v>
      </c>
      <c r="AA86" s="425" t="s">
        <v>95</v>
      </c>
      <c r="AB86" s="425" t="s">
        <v>95</v>
      </c>
      <c r="AC86" s="425" t="s">
        <v>95</v>
      </c>
      <c r="AD86" s="425" t="s">
        <v>95</v>
      </c>
      <c r="AE86" s="425" t="s">
        <v>95</v>
      </c>
      <c r="AF86" s="425" t="s">
        <v>95</v>
      </c>
      <c r="AG86" s="425" t="s">
        <v>95</v>
      </c>
      <c r="AH86" s="425" t="s">
        <v>95</v>
      </c>
      <c r="AI86" s="425" t="s">
        <v>95</v>
      </c>
      <c r="AJ86" s="425" t="s">
        <v>95</v>
      </c>
      <c r="AK86" s="425" t="s">
        <v>95</v>
      </c>
      <c r="AL86" s="425" t="s">
        <v>95</v>
      </c>
      <c r="AM86" s="425" t="s">
        <v>95</v>
      </c>
      <c r="AN86" s="425" t="s">
        <v>95</v>
      </c>
      <c r="AO86" s="425" t="s">
        <v>95</v>
      </c>
      <c r="AP86" s="425" t="s">
        <v>95</v>
      </c>
      <c r="AQ86" s="425" t="s">
        <v>95</v>
      </c>
      <c r="AR86" s="425" t="s">
        <v>95</v>
      </c>
      <c r="AS86" s="425" t="s">
        <v>95</v>
      </c>
      <c r="AT86" s="341" t="s">
        <v>95</v>
      </c>
    </row>
    <row r="87" spans="1:46" x14ac:dyDescent="0.35">
      <c r="A87" s="1177"/>
      <c r="C87" s="1172" t="s">
        <v>229</v>
      </c>
      <c r="D87" s="1021"/>
      <c r="E87" s="425" t="s">
        <v>95</v>
      </c>
      <c r="F87" s="425" t="s">
        <v>95</v>
      </c>
      <c r="G87" s="425">
        <v>21.35</v>
      </c>
      <c r="H87" s="425" t="s">
        <v>95</v>
      </c>
      <c r="I87" s="425">
        <v>50.53</v>
      </c>
      <c r="J87" s="425" t="s">
        <v>95</v>
      </c>
      <c r="K87" s="425">
        <v>20.239999999999998</v>
      </c>
      <c r="L87" s="425" t="s">
        <v>95</v>
      </c>
      <c r="M87" s="425">
        <v>16.507289969999999</v>
      </c>
      <c r="N87" s="425" t="s">
        <v>95</v>
      </c>
      <c r="O87" s="425" t="s">
        <v>95</v>
      </c>
      <c r="P87" s="425" t="s">
        <v>95</v>
      </c>
      <c r="Q87" s="425" t="s">
        <v>95</v>
      </c>
      <c r="R87" s="425" t="s">
        <v>95</v>
      </c>
      <c r="S87" s="425" t="s">
        <v>95</v>
      </c>
      <c r="T87" s="425" t="s">
        <v>95</v>
      </c>
      <c r="U87" s="425" t="s">
        <v>95</v>
      </c>
      <c r="V87" s="425" t="s">
        <v>95</v>
      </c>
      <c r="W87" s="425" t="s">
        <v>95</v>
      </c>
      <c r="X87" s="425" t="s">
        <v>95</v>
      </c>
      <c r="Y87" s="425" t="s">
        <v>95</v>
      </c>
      <c r="Z87" s="425" t="s">
        <v>95</v>
      </c>
      <c r="AA87" s="425" t="s">
        <v>95</v>
      </c>
      <c r="AB87" s="425" t="s">
        <v>95</v>
      </c>
      <c r="AC87" s="425" t="s">
        <v>95</v>
      </c>
      <c r="AD87" s="425" t="s">
        <v>95</v>
      </c>
      <c r="AE87" s="425" t="s">
        <v>95</v>
      </c>
      <c r="AF87" s="425" t="s">
        <v>95</v>
      </c>
      <c r="AG87" s="425" t="s">
        <v>95</v>
      </c>
      <c r="AH87" s="425" t="s">
        <v>95</v>
      </c>
      <c r="AI87" s="425" t="s">
        <v>95</v>
      </c>
      <c r="AJ87" s="425" t="s">
        <v>95</v>
      </c>
      <c r="AK87" s="425" t="s">
        <v>95</v>
      </c>
      <c r="AL87" s="425" t="s">
        <v>95</v>
      </c>
      <c r="AM87" s="425" t="s">
        <v>95</v>
      </c>
      <c r="AN87" s="425" t="s">
        <v>95</v>
      </c>
      <c r="AO87" s="425" t="s">
        <v>95</v>
      </c>
      <c r="AP87" s="425" t="s">
        <v>95</v>
      </c>
      <c r="AQ87" s="425" t="s">
        <v>95</v>
      </c>
      <c r="AR87" s="425" t="s">
        <v>95</v>
      </c>
      <c r="AS87" s="425" t="s">
        <v>95</v>
      </c>
      <c r="AT87" s="341" t="s">
        <v>95</v>
      </c>
    </row>
    <row r="88" spans="1:46" x14ac:dyDescent="0.35">
      <c r="A88" s="1177"/>
      <c r="C88" s="1172" t="s">
        <v>230</v>
      </c>
      <c r="D88" s="1021"/>
      <c r="E88" s="425" t="s">
        <v>95</v>
      </c>
      <c r="F88" s="425" t="s">
        <v>95</v>
      </c>
      <c r="G88" s="425">
        <v>-20.28</v>
      </c>
      <c r="H88" s="425" t="s">
        <v>95</v>
      </c>
      <c r="I88" s="425">
        <v>-26.79</v>
      </c>
      <c r="J88" s="425" t="s">
        <v>95</v>
      </c>
      <c r="K88" s="425">
        <v>-20.279497299999999</v>
      </c>
      <c r="L88" s="425" t="s">
        <v>95</v>
      </c>
      <c r="M88" s="425">
        <v>-20.279497330000002</v>
      </c>
      <c r="N88" s="425" t="s">
        <v>95</v>
      </c>
      <c r="O88" s="425" t="s">
        <v>95</v>
      </c>
      <c r="P88" s="425" t="s">
        <v>95</v>
      </c>
      <c r="Q88" s="425" t="s">
        <v>95</v>
      </c>
      <c r="R88" s="425" t="s">
        <v>95</v>
      </c>
      <c r="S88" s="425" t="s">
        <v>95</v>
      </c>
      <c r="T88" s="425" t="s">
        <v>95</v>
      </c>
      <c r="U88" s="425" t="s">
        <v>95</v>
      </c>
      <c r="V88" s="425" t="s">
        <v>95</v>
      </c>
      <c r="W88" s="425" t="s">
        <v>95</v>
      </c>
      <c r="X88" s="425" t="s">
        <v>95</v>
      </c>
      <c r="Y88" s="425" t="s">
        <v>95</v>
      </c>
      <c r="Z88" s="425" t="s">
        <v>95</v>
      </c>
      <c r="AA88" s="425" t="s">
        <v>95</v>
      </c>
      <c r="AB88" s="425" t="s">
        <v>95</v>
      </c>
      <c r="AC88" s="425" t="s">
        <v>95</v>
      </c>
      <c r="AD88" s="425" t="s">
        <v>95</v>
      </c>
      <c r="AE88" s="425" t="s">
        <v>95</v>
      </c>
      <c r="AF88" s="425" t="s">
        <v>95</v>
      </c>
      <c r="AG88" s="425" t="s">
        <v>95</v>
      </c>
      <c r="AH88" s="425" t="s">
        <v>95</v>
      </c>
      <c r="AI88" s="425" t="s">
        <v>95</v>
      </c>
      <c r="AJ88" s="425" t="s">
        <v>95</v>
      </c>
      <c r="AK88" s="425" t="s">
        <v>95</v>
      </c>
      <c r="AL88" s="425" t="s">
        <v>95</v>
      </c>
      <c r="AM88" s="425" t="s">
        <v>95</v>
      </c>
      <c r="AN88" s="425" t="s">
        <v>95</v>
      </c>
      <c r="AO88" s="425" t="s">
        <v>95</v>
      </c>
      <c r="AP88" s="425" t="s">
        <v>95</v>
      </c>
      <c r="AQ88" s="425" t="s">
        <v>95</v>
      </c>
      <c r="AR88" s="425" t="s">
        <v>95</v>
      </c>
      <c r="AS88" s="425" t="s">
        <v>95</v>
      </c>
      <c r="AT88" s="341" t="s">
        <v>95</v>
      </c>
    </row>
    <row r="89" spans="1:46" x14ac:dyDescent="0.35">
      <c r="A89" s="1177"/>
      <c r="C89" s="1175" t="s">
        <v>231</v>
      </c>
      <c r="D89" s="1023"/>
      <c r="E89" s="425"/>
      <c r="F89" s="425"/>
      <c r="G89" s="425">
        <v>-20.28</v>
      </c>
      <c r="H89" s="425" t="s">
        <v>95</v>
      </c>
      <c r="I89" s="425">
        <v>-26.79</v>
      </c>
      <c r="J89" s="425" t="s">
        <v>95</v>
      </c>
      <c r="K89" s="425">
        <v>-20.279497299999999</v>
      </c>
      <c r="L89" s="425" t="s">
        <v>95</v>
      </c>
      <c r="M89" s="425">
        <v>-20.279497330000002</v>
      </c>
      <c r="N89" s="425"/>
      <c r="O89" s="425"/>
      <c r="P89" s="425"/>
      <c r="Q89" s="425"/>
      <c r="R89" s="425"/>
      <c r="S89" s="425"/>
      <c r="T89" s="425"/>
      <c r="U89" s="425"/>
      <c r="V89" s="425"/>
      <c r="W89" s="425"/>
      <c r="X89" s="425"/>
      <c r="Y89" s="425"/>
      <c r="Z89" s="425"/>
      <c r="AA89" s="425"/>
      <c r="AB89" s="425"/>
      <c r="AC89" s="425"/>
      <c r="AD89" s="425"/>
      <c r="AE89" s="425"/>
      <c r="AF89" s="425"/>
      <c r="AG89" s="425"/>
      <c r="AH89" s="425"/>
      <c r="AI89" s="425"/>
      <c r="AJ89" s="425"/>
      <c r="AK89" s="425"/>
      <c r="AL89" s="425"/>
      <c r="AM89" s="425"/>
      <c r="AN89" s="425"/>
      <c r="AO89" s="425"/>
      <c r="AP89" s="425"/>
      <c r="AQ89" s="425"/>
      <c r="AR89" s="425"/>
      <c r="AS89" s="425"/>
      <c r="AT89" s="341"/>
    </row>
    <row r="90" spans="1:46" x14ac:dyDescent="0.35">
      <c r="A90" s="1177"/>
      <c r="C90" s="1172" t="s">
        <v>232</v>
      </c>
      <c r="D90" s="1021"/>
      <c r="E90" s="425" t="s">
        <v>95</v>
      </c>
      <c r="F90" s="425" t="s">
        <v>95</v>
      </c>
      <c r="G90" s="425">
        <v>-20.28</v>
      </c>
      <c r="H90" s="425" t="s">
        <v>95</v>
      </c>
      <c r="I90" s="425">
        <v>-20.279497330000002</v>
      </c>
      <c r="J90" s="425" t="s">
        <v>95</v>
      </c>
      <c r="K90" s="425">
        <v>-20.279497299999999</v>
      </c>
      <c r="L90" s="425" t="s">
        <v>95</v>
      </c>
      <c r="M90" s="425">
        <v>-20.279497330000002</v>
      </c>
      <c r="N90" s="425" t="s">
        <v>95</v>
      </c>
      <c r="O90" s="425" t="s">
        <v>95</v>
      </c>
      <c r="P90" s="425" t="s">
        <v>95</v>
      </c>
      <c r="Q90" s="425" t="s">
        <v>95</v>
      </c>
      <c r="R90" s="425" t="s">
        <v>95</v>
      </c>
      <c r="S90" s="425" t="s">
        <v>95</v>
      </c>
      <c r="T90" s="425" t="s">
        <v>95</v>
      </c>
      <c r="U90" s="425" t="s">
        <v>95</v>
      </c>
      <c r="V90" s="425" t="s">
        <v>95</v>
      </c>
      <c r="W90" s="425" t="s">
        <v>95</v>
      </c>
      <c r="X90" s="425" t="s">
        <v>95</v>
      </c>
      <c r="Y90" s="425" t="s">
        <v>95</v>
      </c>
      <c r="Z90" s="425" t="s">
        <v>95</v>
      </c>
      <c r="AA90" s="425" t="s">
        <v>95</v>
      </c>
      <c r="AB90" s="425" t="s">
        <v>95</v>
      </c>
      <c r="AC90" s="425" t="s">
        <v>95</v>
      </c>
      <c r="AD90" s="425" t="s">
        <v>95</v>
      </c>
      <c r="AE90" s="425" t="s">
        <v>95</v>
      </c>
      <c r="AF90" s="425" t="s">
        <v>95</v>
      </c>
      <c r="AG90" s="425" t="s">
        <v>95</v>
      </c>
      <c r="AH90" s="425" t="s">
        <v>95</v>
      </c>
      <c r="AI90" s="425" t="s">
        <v>95</v>
      </c>
      <c r="AJ90" s="425" t="s">
        <v>95</v>
      </c>
      <c r="AK90" s="425" t="s">
        <v>95</v>
      </c>
      <c r="AL90" s="425" t="s">
        <v>95</v>
      </c>
      <c r="AM90" s="425" t="s">
        <v>95</v>
      </c>
      <c r="AN90" s="425" t="s">
        <v>95</v>
      </c>
      <c r="AO90" s="425" t="s">
        <v>95</v>
      </c>
      <c r="AP90" s="425" t="s">
        <v>95</v>
      </c>
      <c r="AQ90" s="425" t="s">
        <v>95</v>
      </c>
      <c r="AR90" s="425" t="s">
        <v>95</v>
      </c>
      <c r="AS90" s="425" t="s">
        <v>95</v>
      </c>
      <c r="AT90" s="341" t="s">
        <v>95</v>
      </c>
    </row>
    <row r="91" spans="1:46" x14ac:dyDescent="0.35">
      <c r="A91" s="1177"/>
      <c r="C91" s="1172" t="s">
        <v>233</v>
      </c>
      <c r="D91" s="1021"/>
      <c r="E91" s="425" t="s">
        <v>95</v>
      </c>
      <c r="F91" s="425" t="s">
        <v>95</v>
      </c>
      <c r="G91" s="425">
        <v>-20.28</v>
      </c>
      <c r="H91" s="425" t="s">
        <v>95</v>
      </c>
      <c r="I91" s="425">
        <v>-20.279497330000002</v>
      </c>
      <c r="J91" s="425" t="s">
        <v>95</v>
      </c>
      <c r="K91" s="425">
        <v>-20.279497299999999</v>
      </c>
      <c r="L91" s="425" t="s">
        <v>95</v>
      </c>
      <c r="M91" s="425">
        <v>-20.279497330000002</v>
      </c>
      <c r="N91" s="425" t="s">
        <v>95</v>
      </c>
      <c r="O91" s="425" t="s">
        <v>95</v>
      </c>
      <c r="P91" s="425" t="s">
        <v>95</v>
      </c>
      <c r="Q91" s="425" t="s">
        <v>95</v>
      </c>
      <c r="R91" s="425" t="s">
        <v>95</v>
      </c>
      <c r="S91" s="425" t="s">
        <v>95</v>
      </c>
      <c r="T91" s="425" t="s">
        <v>95</v>
      </c>
      <c r="U91" s="425" t="s">
        <v>95</v>
      </c>
      <c r="V91" s="425" t="s">
        <v>95</v>
      </c>
      <c r="W91" s="425" t="s">
        <v>95</v>
      </c>
      <c r="X91" s="425" t="s">
        <v>95</v>
      </c>
      <c r="Y91" s="425" t="s">
        <v>95</v>
      </c>
      <c r="Z91" s="425" t="s">
        <v>95</v>
      </c>
      <c r="AA91" s="425" t="s">
        <v>95</v>
      </c>
      <c r="AB91" s="425" t="s">
        <v>95</v>
      </c>
      <c r="AC91" s="425" t="s">
        <v>95</v>
      </c>
      <c r="AD91" s="425" t="s">
        <v>95</v>
      </c>
      <c r="AE91" s="425" t="s">
        <v>95</v>
      </c>
      <c r="AF91" s="425" t="s">
        <v>95</v>
      </c>
      <c r="AG91" s="425" t="s">
        <v>95</v>
      </c>
      <c r="AH91" s="425" t="s">
        <v>95</v>
      </c>
      <c r="AI91" s="425" t="s">
        <v>95</v>
      </c>
      <c r="AJ91" s="425" t="s">
        <v>95</v>
      </c>
      <c r="AK91" s="425" t="s">
        <v>95</v>
      </c>
      <c r="AL91" s="425" t="s">
        <v>95</v>
      </c>
      <c r="AM91" s="425" t="s">
        <v>95</v>
      </c>
      <c r="AN91" s="425" t="s">
        <v>95</v>
      </c>
      <c r="AO91" s="425" t="s">
        <v>95</v>
      </c>
      <c r="AP91" s="425" t="s">
        <v>95</v>
      </c>
      <c r="AQ91" s="425" t="s">
        <v>95</v>
      </c>
      <c r="AR91" s="425" t="s">
        <v>95</v>
      </c>
      <c r="AS91" s="425" t="s">
        <v>95</v>
      </c>
      <c r="AT91" s="341" t="s">
        <v>95</v>
      </c>
    </row>
    <row r="92" spans="1:46" x14ac:dyDescent="0.35">
      <c r="A92" s="1177"/>
      <c r="C92" s="1175" t="s">
        <v>234</v>
      </c>
      <c r="D92" s="1023"/>
      <c r="E92" s="425"/>
      <c r="F92" s="425"/>
      <c r="G92" s="425" t="s">
        <v>95</v>
      </c>
      <c r="H92" s="425"/>
      <c r="I92" s="425" t="s">
        <v>95</v>
      </c>
      <c r="J92" s="425"/>
      <c r="K92" s="425"/>
      <c r="L92" s="425"/>
      <c r="M92" s="425" t="s">
        <v>95</v>
      </c>
      <c r="N92" s="425"/>
      <c r="O92" s="425"/>
      <c r="P92" s="425"/>
      <c r="Q92" s="425"/>
      <c r="R92" s="425"/>
      <c r="S92" s="425"/>
      <c r="T92" s="425"/>
      <c r="U92" s="425"/>
      <c r="V92" s="425"/>
      <c r="W92" s="425"/>
      <c r="X92" s="425"/>
      <c r="Y92" s="425"/>
      <c r="Z92" s="425"/>
      <c r="AA92" s="425"/>
      <c r="AB92" s="425"/>
      <c r="AC92" s="425"/>
      <c r="AD92" s="425"/>
      <c r="AE92" s="425"/>
      <c r="AF92" s="425"/>
      <c r="AG92" s="425"/>
      <c r="AH92" s="425"/>
      <c r="AI92" s="425"/>
      <c r="AJ92" s="425"/>
      <c r="AK92" s="425"/>
      <c r="AL92" s="425"/>
      <c r="AM92" s="425"/>
      <c r="AN92" s="425"/>
      <c r="AO92" s="425"/>
      <c r="AP92" s="425"/>
      <c r="AQ92" s="425"/>
      <c r="AR92" s="425"/>
      <c r="AS92" s="425"/>
      <c r="AT92" s="341"/>
    </row>
    <row r="93" spans="1:46" x14ac:dyDescent="0.35">
      <c r="A93" s="1177"/>
      <c r="C93" s="1172" t="s">
        <v>235</v>
      </c>
      <c r="D93" s="1021"/>
      <c r="E93" s="425" t="s">
        <v>95</v>
      </c>
      <c r="F93" s="425" t="s">
        <v>95</v>
      </c>
      <c r="G93" s="425">
        <v>-20.28</v>
      </c>
      <c r="H93" s="425" t="s">
        <v>95</v>
      </c>
      <c r="I93" s="425">
        <v>-20.279497330000002</v>
      </c>
      <c r="J93" s="425" t="s">
        <v>95</v>
      </c>
      <c r="K93" s="425">
        <v>-20.279497299999999</v>
      </c>
      <c r="L93" s="425" t="s">
        <v>95</v>
      </c>
      <c r="M93" s="425">
        <v>-20.279497330000002</v>
      </c>
      <c r="N93" s="425" t="s">
        <v>95</v>
      </c>
      <c r="O93" s="425" t="s">
        <v>95</v>
      </c>
      <c r="P93" s="425" t="s">
        <v>95</v>
      </c>
      <c r="Q93" s="425" t="s">
        <v>95</v>
      </c>
      <c r="R93" s="425" t="s">
        <v>95</v>
      </c>
      <c r="S93" s="425" t="s">
        <v>95</v>
      </c>
      <c r="T93" s="425" t="s">
        <v>95</v>
      </c>
      <c r="U93" s="425" t="s">
        <v>95</v>
      </c>
      <c r="V93" s="425" t="s">
        <v>95</v>
      </c>
      <c r="W93" s="425" t="s">
        <v>95</v>
      </c>
      <c r="X93" s="425" t="s">
        <v>95</v>
      </c>
      <c r="Y93" s="425" t="s">
        <v>95</v>
      </c>
      <c r="Z93" s="425" t="s">
        <v>95</v>
      </c>
      <c r="AA93" s="425" t="s">
        <v>95</v>
      </c>
      <c r="AB93" s="425" t="s">
        <v>95</v>
      </c>
      <c r="AC93" s="425" t="s">
        <v>95</v>
      </c>
      <c r="AD93" s="425" t="s">
        <v>95</v>
      </c>
      <c r="AE93" s="425" t="s">
        <v>95</v>
      </c>
      <c r="AF93" s="425" t="s">
        <v>95</v>
      </c>
      <c r="AG93" s="425" t="s">
        <v>95</v>
      </c>
      <c r="AH93" s="425" t="s">
        <v>95</v>
      </c>
      <c r="AI93" s="425" t="s">
        <v>95</v>
      </c>
      <c r="AJ93" s="425" t="s">
        <v>95</v>
      </c>
      <c r="AK93" s="425" t="s">
        <v>95</v>
      </c>
      <c r="AL93" s="425" t="s">
        <v>95</v>
      </c>
      <c r="AM93" s="425" t="s">
        <v>95</v>
      </c>
      <c r="AN93" s="425" t="s">
        <v>95</v>
      </c>
      <c r="AO93" s="425" t="s">
        <v>95</v>
      </c>
      <c r="AP93" s="425" t="s">
        <v>95</v>
      </c>
      <c r="AQ93" s="425" t="s">
        <v>95</v>
      </c>
      <c r="AR93" s="425" t="s">
        <v>95</v>
      </c>
      <c r="AS93" s="425" t="s">
        <v>95</v>
      </c>
      <c r="AT93" s="341" t="s">
        <v>95</v>
      </c>
    </row>
    <row r="94" spans="1:46" ht="14.4" customHeight="1" x14ac:dyDescent="0.35">
      <c r="C94" s="1172" t="s">
        <v>236</v>
      </c>
      <c r="D94" s="1021"/>
      <c r="E94" s="425" t="s">
        <v>95</v>
      </c>
      <c r="F94" s="425" t="s">
        <v>95</v>
      </c>
      <c r="G94" s="425" t="s">
        <v>95</v>
      </c>
      <c r="H94" s="425" t="s">
        <v>95</v>
      </c>
      <c r="I94" s="425" t="s">
        <v>95</v>
      </c>
      <c r="J94" s="425" t="s">
        <v>95</v>
      </c>
      <c r="K94" s="425" t="s">
        <v>95</v>
      </c>
      <c r="L94" s="425" t="s">
        <v>95</v>
      </c>
      <c r="M94" s="425">
        <v>-18.46</v>
      </c>
      <c r="N94" s="425"/>
      <c r="O94" s="425"/>
      <c r="P94" s="425"/>
      <c r="Q94" s="425" t="s">
        <v>95</v>
      </c>
      <c r="R94" s="425" t="s">
        <v>95</v>
      </c>
      <c r="S94" s="425" t="s">
        <v>95</v>
      </c>
      <c r="T94" s="425" t="s">
        <v>95</v>
      </c>
      <c r="U94" s="425" t="s">
        <v>95</v>
      </c>
      <c r="V94" s="425" t="s">
        <v>95</v>
      </c>
      <c r="W94" s="425" t="s">
        <v>95</v>
      </c>
      <c r="X94" s="425" t="s">
        <v>95</v>
      </c>
      <c r="Y94" s="425" t="s">
        <v>95</v>
      </c>
      <c r="Z94" s="425" t="s">
        <v>95</v>
      </c>
      <c r="AA94" s="425" t="s">
        <v>95</v>
      </c>
      <c r="AB94" s="425" t="s">
        <v>95</v>
      </c>
      <c r="AC94" s="425" t="s">
        <v>95</v>
      </c>
      <c r="AD94" s="425" t="s">
        <v>95</v>
      </c>
      <c r="AE94" s="425" t="s">
        <v>95</v>
      </c>
      <c r="AF94" s="425" t="s">
        <v>95</v>
      </c>
      <c r="AG94" s="425" t="s">
        <v>95</v>
      </c>
      <c r="AH94" s="425" t="s">
        <v>95</v>
      </c>
      <c r="AI94" s="425" t="s">
        <v>95</v>
      </c>
      <c r="AJ94" s="425" t="s">
        <v>95</v>
      </c>
      <c r="AK94" s="425" t="s">
        <v>95</v>
      </c>
      <c r="AL94" s="425" t="s">
        <v>95</v>
      </c>
      <c r="AM94" s="425" t="s">
        <v>95</v>
      </c>
      <c r="AN94" s="425" t="s">
        <v>95</v>
      </c>
      <c r="AO94" s="425" t="s">
        <v>95</v>
      </c>
      <c r="AP94" s="425" t="s">
        <v>95</v>
      </c>
      <c r="AQ94" s="425" t="s">
        <v>95</v>
      </c>
      <c r="AR94" s="425" t="s">
        <v>95</v>
      </c>
      <c r="AS94" s="425" t="s">
        <v>95</v>
      </c>
      <c r="AT94" s="425" t="s">
        <v>95</v>
      </c>
    </row>
    <row r="95" spans="1:46" x14ac:dyDescent="0.35">
      <c r="C95" s="164" t="s">
        <v>95</v>
      </c>
      <c r="D95" s="511" t="s">
        <v>95</v>
      </c>
      <c r="E95" s="511" t="s">
        <v>95</v>
      </c>
      <c r="F95" s="511" t="s">
        <v>95</v>
      </c>
      <c r="G95" s="511" t="s">
        <v>95</v>
      </c>
      <c r="H95" s="511" t="s">
        <v>95</v>
      </c>
      <c r="I95" s="511" t="s">
        <v>95</v>
      </c>
      <c r="J95" s="511" t="s">
        <v>95</v>
      </c>
      <c r="K95" s="511" t="s">
        <v>95</v>
      </c>
      <c r="L95" s="511" t="s">
        <v>95</v>
      </c>
      <c r="M95" s="511" t="s">
        <v>95</v>
      </c>
      <c r="N95" s="511" t="s">
        <v>95</v>
      </c>
      <c r="O95" s="511" t="s">
        <v>95</v>
      </c>
      <c r="P95" s="511" t="s">
        <v>95</v>
      </c>
      <c r="Q95" s="511" t="s">
        <v>95</v>
      </c>
      <c r="R95" s="511" t="s">
        <v>95</v>
      </c>
      <c r="S95" s="511" t="s">
        <v>95</v>
      </c>
      <c r="T95" s="511" t="s">
        <v>95</v>
      </c>
      <c r="U95" s="511" t="s">
        <v>95</v>
      </c>
      <c r="V95" s="511" t="s">
        <v>95</v>
      </c>
      <c r="W95" s="511" t="s">
        <v>95</v>
      </c>
      <c r="X95" s="511" t="s">
        <v>95</v>
      </c>
      <c r="Y95" s="511" t="s">
        <v>95</v>
      </c>
      <c r="Z95" s="511" t="s">
        <v>95</v>
      </c>
      <c r="AA95" s="511" t="s">
        <v>95</v>
      </c>
      <c r="AB95" s="511" t="s">
        <v>95</v>
      </c>
      <c r="AC95" s="511" t="s">
        <v>95</v>
      </c>
      <c r="AD95" s="511" t="s">
        <v>95</v>
      </c>
      <c r="AE95" s="511" t="s">
        <v>95</v>
      </c>
      <c r="AF95" s="511" t="s">
        <v>95</v>
      </c>
      <c r="AG95" s="511" t="s">
        <v>95</v>
      </c>
      <c r="AH95" s="511" t="s">
        <v>95</v>
      </c>
      <c r="AI95" s="511" t="s">
        <v>95</v>
      </c>
      <c r="AJ95" s="511" t="s">
        <v>95</v>
      </c>
      <c r="AK95" s="511" t="s">
        <v>95</v>
      </c>
      <c r="AL95" s="511" t="s">
        <v>95</v>
      </c>
      <c r="AM95" s="511" t="s">
        <v>95</v>
      </c>
      <c r="AN95" s="511" t="s">
        <v>95</v>
      </c>
      <c r="AO95" s="511" t="s">
        <v>95</v>
      </c>
      <c r="AP95" s="511" t="s">
        <v>95</v>
      </c>
      <c r="AQ95" s="511" t="s">
        <v>95</v>
      </c>
      <c r="AR95" s="511" t="s">
        <v>95</v>
      </c>
      <c r="AS95" s="511" t="s">
        <v>95</v>
      </c>
      <c r="AT95" s="159" t="s">
        <v>95</v>
      </c>
    </row>
    <row r="96" spans="1:46" ht="17" x14ac:dyDescent="0.4">
      <c r="C96" s="164"/>
      <c r="D96" s="511"/>
      <c r="E96" s="1176" t="s">
        <v>237</v>
      </c>
      <c r="F96" s="1176"/>
      <c r="G96" s="1176"/>
      <c r="H96" s="1176"/>
      <c r="I96" s="1176"/>
      <c r="J96" s="1176"/>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159"/>
    </row>
    <row r="97" spans="1:65" x14ac:dyDescent="0.35">
      <c r="C97" s="164"/>
      <c r="D97" s="511"/>
      <c r="E97" s="515" t="s">
        <v>238</v>
      </c>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c r="AJ97" s="511"/>
      <c r="AK97" s="511"/>
      <c r="AL97" s="511"/>
      <c r="AM97" s="511"/>
      <c r="AN97" s="511"/>
      <c r="AO97" s="511"/>
      <c r="AP97" s="511"/>
      <c r="AQ97" s="511"/>
      <c r="AR97" s="511"/>
      <c r="AS97" s="511"/>
      <c r="AT97" s="159"/>
    </row>
    <row r="98" spans="1:65" x14ac:dyDescent="0.35">
      <c r="A98" s="376">
        <v>6</v>
      </c>
      <c r="C98" s="1184" t="s">
        <v>239</v>
      </c>
      <c r="D98" s="1185"/>
      <c r="E98" s="351"/>
      <c r="F98" s="351"/>
      <c r="G98" s="351">
        <v>9.9606179200000007</v>
      </c>
      <c r="H98" s="351"/>
      <c r="I98" s="351">
        <v>9.9606179200000007</v>
      </c>
      <c r="J98" s="352"/>
      <c r="K98" s="351">
        <v>9.9606200000000005</v>
      </c>
      <c r="L98" s="351"/>
      <c r="M98" s="351">
        <v>9.9606200000000005</v>
      </c>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118"/>
    </row>
    <row r="99" spans="1:65" x14ac:dyDescent="0.35">
      <c r="F99" s="112"/>
      <c r="G99" s="112"/>
      <c r="H99" s="112"/>
    </row>
    <row r="100" spans="1:65" x14ac:dyDescent="0.35">
      <c r="F100" s="112"/>
      <c r="G100" s="112"/>
      <c r="H100" s="112"/>
    </row>
    <row r="101" spans="1:65" x14ac:dyDescent="0.35">
      <c r="B101" s="944"/>
      <c r="C101" s="45"/>
      <c r="D101" s="45" t="s">
        <v>114</v>
      </c>
      <c r="E101" s="45"/>
      <c r="F101" s="112"/>
      <c r="G101" s="112"/>
      <c r="H101" s="112"/>
    </row>
    <row r="102" spans="1:65" x14ac:dyDescent="0.35">
      <c r="B102" s="944">
        <v>1</v>
      </c>
      <c r="C102" s="45"/>
      <c r="D102" s="45" t="s">
        <v>240</v>
      </c>
      <c r="E102" s="45"/>
      <c r="F102" s="112"/>
      <c r="G102" s="112"/>
      <c r="H102" s="112"/>
    </row>
    <row r="103" spans="1:65" x14ac:dyDescent="0.35">
      <c r="B103" s="944">
        <v>2</v>
      </c>
      <c r="C103" s="45"/>
      <c r="D103" s="45" t="s">
        <v>241</v>
      </c>
      <c r="E103" s="45"/>
      <c r="F103" s="112"/>
      <c r="G103" s="112"/>
      <c r="H103" s="112"/>
    </row>
    <row r="104" spans="1:65" x14ac:dyDescent="0.35">
      <c r="B104" s="944">
        <v>3</v>
      </c>
      <c r="C104" s="45"/>
      <c r="D104" s="45" t="s">
        <v>242</v>
      </c>
      <c r="E104" s="45"/>
      <c r="F104" s="112"/>
      <c r="G104" s="112"/>
      <c r="H104" s="112"/>
    </row>
    <row r="105" spans="1:65" x14ac:dyDescent="0.35">
      <c r="B105" s="944">
        <v>4</v>
      </c>
      <c r="C105" s="45"/>
      <c r="D105" s="45" t="s">
        <v>243</v>
      </c>
      <c r="E105" s="45"/>
      <c r="F105" s="112"/>
      <c r="G105" s="112"/>
      <c r="H105" s="112"/>
    </row>
    <row r="106" spans="1:65" x14ac:dyDescent="0.35">
      <c r="B106" s="944">
        <v>5</v>
      </c>
      <c r="C106" s="45"/>
      <c r="D106" s="45" t="s">
        <v>244</v>
      </c>
      <c r="E106" s="45"/>
      <c r="F106" s="112"/>
      <c r="G106" s="112"/>
      <c r="H106" s="112"/>
    </row>
    <row r="107" spans="1:65" x14ac:dyDescent="0.35">
      <c r="B107" s="944">
        <v>6</v>
      </c>
      <c r="D107" s="119" t="s">
        <v>245</v>
      </c>
      <c r="E107" s="112"/>
      <c r="F107" s="112"/>
      <c r="G107" s="112"/>
      <c r="H107" s="112"/>
    </row>
    <row r="108" spans="1:65" x14ac:dyDescent="0.35">
      <c r="B108" s="944"/>
      <c r="D108" s="119"/>
      <c r="E108" s="112"/>
      <c r="F108" s="112"/>
      <c r="G108" s="112"/>
      <c r="H108" s="112"/>
    </row>
    <row r="109" spans="1:65" x14ac:dyDescent="0.35">
      <c r="B109" s="944"/>
      <c r="D109" s="119"/>
      <c r="E109" s="112"/>
      <c r="F109" s="112"/>
      <c r="G109" s="112"/>
      <c r="H109" s="112"/>
    </row>
    <row r="110" spans="1:65" x14ac:dyDescent="0.35">
      <c r="C110" s="635" t="s">
        <v>246</v>
      </c>
      <c r="D110" s="632"/>
      <c r="E110" s="112"/>
      <c r="F110" s="112"/>
      <c r="G110" s="112"/>
      <c r="H110" s="112"/>
    </row>
    <row r="111" spans="1:65" ht="15.5" x14ac:dyDescent="0.3">
      <c r="C111" s="1173" t="s">
        <v>247</v>
      </c>
      <c r="D111" s="1173"/>
      <c r="E111" s="1173"/>
      <c r="F111" s="1173"/>
      <c r="G111" s="1173"/>
      <c r="H111" s="1173"/>
      <c r="I111" s="1173"/>
    </row>
    <row r="112" spans="1:65" x14ac:dyDescent="0.35">
      <c r="C112" s="1181" t="s">
        <v>99</v>
      </c>
      <c r="D112" s="1182"/>
      <c r="E112" s="633"/>
      <c r="F112" s="634"/>
      <c r="G112" s="634"/>
      <c r="H112" s="634"/>
      <c r="I112" s="630"/>
      <c r="J112" s="630"/>
      <c r="K112" s="630"/>
      <c r="L112" s="630"/>
      <c r="M112" s="630">
        <f>IF(Calibración_BAU_USCUSS!Q111&lt;0,Calibración_BAU_USCUSS!Q111*-1, Calibración_BAU_USCUSS!Q111)*Emisiones_USCUSS!$M$27</f>
        <v>31.450756144200003</v>
      </c>
      <c r="N112" s="630">
        <f>IF(Calibración_BAU_USCUSS!R111&lt;0,Calibración_BAU_USCUSS!R111*-1, Calibración_BAU_USCUSS!R111)*Emisiones_USCUSS!$M$27</f>
        <v>8.936462614499435</v>
      </c>
      <c r="O112" s="630">
        <f>IF(Calibración_BAU_USCUSS!S111&lt;0,Calibración_BAU_USCUSS!S111*-1, Calibración_BAU_USCUSS!S111)*Emisiones_USCUSS!$M$27</f>
        <v>9.2511690819316765</v>
      </c>
      <c r="P112" s="630">
        <f>IF(Calibración_BAU_USCUSS!T111&lt;0,Calibración_BAU_USCUSS!T111*-1, Calibración_BAU_USCUSS!T111)*Emisiones_USCUSS!$M$27</f>
        <v>9.180860196908931</v>
      </c>
      <c r="Q112" s="630">
        <f>IF(Calibración_BAU_USCUSS!U111&lt;0,Calibración_BAU_USCUSS!U111*-1, Calibración_BAU_USCUSS!U111)*Emisiones_USCUSS!$M$27</f>
        <v>9.1110856594124989</v>
      </c>
      <c r="R112" s="630">
        <f>IF(Calibración_BAU_USCUSS!V111&lt;0,Calibración_BAU_USCUSS!V111*-1, Calibración_BAU_USCUSS!V111)*Emisiones_USCUSS!$M$27</f>
        <v>9.0418414084008543</v>
      </c>
      <c r="S112" s="630">
        <f>IF(Calibración_BAU_USCUSS!W111&lt;0,Calibración_BAU_USCUSS!W111*-1, Calibración_BAU_USCUSS!W111)*Emisiones_USCUSS!$M$27</f>
        <v>8.9731234136970937</v>
      </c>
      <c r="T112" s="630">
        <f>IF(Calibración_BAU_USCUSS!X111&lt;0,Calibración_BAU_USCUSS!X111*-1, Calibración_BAU_USCUSS!X111)*Emisiones_USCUSS!$M$27</f>
        <v>8.9049276757529974</v>
      </c>
      <c r="U112" s="630">
        <f>IF(Calibración_BAU_USCUSS!Y111&lt;0,Calibración_BAU_USCUSS!Y111*-1, Calibración_BAU_USCUSS!Y111)*Emisiones_USCUSS!$M$27</f>
        <v>8.8372502254173106</v>
      </c>
      <c r="V112" s="630">
        <f>IF(Calibración_BAU_USCUSS!Z111&lt;0,Calibración_BAU_USCUSS!Z111*-1, Calibración_BAU_USCUSS!Z111)*Emisiones_USCUSS!$M$27</f>
        <v>8.7700871237040481</v>
      </c>
      <c r="W112" s="630">
        <f>IF(Calibración_BAU_USCUSS!AA111&lt;0,Calibración_BAU_USCUSS!AA111*-1, Calibración_BAU_USCUSS!AA111)*Emisiones_USCUSS!$M$27</f>
        <v>8.7034344615639831</v>
      </c>
      <c r="X112" s="630">
        <f>IF(Calibración_BAU_USCUSS!AB111&lt;0,Calibración_BAU_USCUSS!AB111*-1, Calibración_BAU_USCUSS!AB111)*Emisiones_USCUSS!$M$27</f>
        <v>8.6372883596559831</v>
      </c>
      <c r="Y112" s="630">
        <f>IF(Calibración_BAU_USCUSS!AC111&lt;0,Calibración_BAU_USCUSS!AC111*-1, Calibración_BAU_USCUSS!AC111)*Emisiones_USCUSS!$M$27</f>
        <v>8.5716449681227456</v>
      </c>
      <c r="Z112" s="630">
        <f>IF(Calibración_BAU_USCUSS!AD111&lt;0,Calibración_BAU_USCUSS!AD111*-1, Calibración_BAU_USCUSS!AD111)*Emisiones_USCUSS!$M$27</f>
        <v>8.5065004663649955</v>
      </c>
      <c r="AA112" s="630">
        <f>IF(Calibración_BAU_USCUSS!AE111&lt;0,Calibración_BAU_USCUSS!AE111*-1, Calibración_BAU_USCUSS!AE111)*Emisiones_USCUSS!$M$27</f>
        <v>8.4418510628206107</v>
      </c>
      <c r="AB112" s="630">
        <f>IF(Calibración_BAU_USCUSS!AF111&lt;0,Calibración_BAU_USCUSS!AF111*-1, Calibración_BAU_USCUSS!AF111)*Emisiones_USCUSS!$M$27</f>
        <v>8.3776929947430538</v>
      </c>
      <c r="AC112" s="630">
        <f>IF(Calibración_BAU_USCUSS!AG111&lt;0,Calibración_BAU_USCUSS!AG111*-1, Calibración_BAU_USCUSS!AG111)*Emisiones_USCUSS!$M$27</f>
        <v>8.3140225279830222</v>
      </c>
      <c r="AD112" s="630">
        <f>IF(Calibración_BAU_USCUSS!AH111&lt;0,Calibración_BAU_USCUSS!AH111*-1, Calibración_BAU_USCUSS!AH111)*Emisiones_USCUSS!$M$27</f>
        <v>8.2508359567704286</v>
      </c>
      <c r="AE112" s="630">
        <f>IF(Calibración_BAU_USCUSS!AI111&lt;0,Calibración_BAU_USCUSS!AI111*-1, Calibración_BAU_USCUSS!AI111)*Emisiones_USCUSS!$M$27</f>
        <v>8.188129603498945</v>
      </c>
      <c r="AF112" s="630">
        <f>IF(Calibración_BAU_USCUSS!AJ111&lt;0,Calibración_BAU_USCUSS!AJ111*-1, Calibración_BAU_USCUSS!AJ111)*Emisiones_USCUSS!$M$27</f>
        <v>8.1258998185123676</v>
      </c>
      <c r="AG112" s="630">
        <f>IF(Calibración_BAU_USCUSS!AK111&lt;0,Calibración_BAU_USCUSS!AK111*-1, Calibración_BAU_USCUSS!AK111)*Emisiones_USCUSS!$M$27</f>
        <v>8.0641429798916935</v>
      </c>
      <c r="AH112" s="630">
        <f>IF(Calibración_BAU_USCUSS!AL111&lt;0,Calibración_BAU_USCUSS!AL111*-1, Calibración_BAU_USCUSS!AL111)*Emisiones_USCUSS!$M$27</f>
        <v>8.0028554932445495</v>
      </c>
      <c r="AI112" s="630">
        <f>IF(Calibración_BAU_USCUSS!AM111&lt;0,Calibración_BAU_USCUSS!AM111*-1, Calibración_BAU_USCUSS!AM111)*Emisiones_USCUSS!$M$27</f>
        <v>7.9420337914957972</v>
      </c>
      <c r="AJ112" s="630">
        <f>IF(Calibración_BAU_USCUSS!AN111&lt;0,Calibración_BAU_USCUSS!AN111*-1, Calibración_BAU_USCUSS!AN111)*Emisiones_USCUSS!$M$27</f>
        <v>7.8816743346805227</v>
      </c>
      <c r="AK112" s="630">
        <f>IF(Calibración_BAU_USCUSS!AO111&lt;0,Calibración_BAU_USCUSS!AO111*-1, Calibración_BAU_USCUSS!AO111)*Emisiones_USCUSS!$M$27</f>
        <v>7.8217736097368507</v>
      </c>
      <c r="AL112" s="630">
        <f>IF(Calibración_BAU_USCUSS!AP111&lt;0,Calibración_BAU_USCUSS!AP111*-1, Calibración_BAU_USCUSS!AP111)*Emisiones_USCUSS!$M$27</f>
        <v>7.7623281303028095</v>
      </c>
      <c r="AM112" s="630">
        <f>IF(Calibración_BAU_USCUSS!AQ111&lt;0,Calibración_BAU_USCUSS!AQ111*-1, Calibración_BAU_USCUSS!AQ111)*Emisiones_USCUSS!$M$27</f>
        <v>7.7033344365125362</v>
      </c>
      <c r="AN112" s="630">
        <f>IF(Calibración_BAU_USCUSS!AR111&lt;0,Calibración_BAU_USCUSS!AR111*-1, Calibración_BAU_USCUSS!AR111)*Emisiones_USCUSS!$M$27</f>
        <v>7.6447890947951667</v>
      </c>
      <c r="AO112" s="630">
        <f>IF(Calibración_BAU_USCUSS!AS111&lt;0,Calibración_BAU_USCUSS!AS111*-1, Calibración_BAU_USCUSS!AS111)*Emisiones_USCUSS!$M$27</f>
        <v>7.5866886976745924</v>
      </c>
      <c r="AP112" s="630">
        <f>IF(Calibración_BAU_USCUSS!AT111&lt;0,Calibración_BAU_USCUSS!AT111*-1, Calibración_BAU_USCUSS!AT111)*Emisiones_USCUSS!$M$27</f>
        <v>7.5290298635722479</v>
      </c>
      <c r="AQ112" s="630">
        <f>IF(Calibración_BAU_USCUSS!AU111&lt;0,Calibración_BAU_USCUSS!AU111*-1, Calibración_BAU_USCUSS!AU111)*Emisiones_USCUSS!$M$27</f>
        <v>7.4718092366092304</v>
      </c>
      <c r="AR112" s="630">
        <f>IF(Calibración_BAU_USCUSS!AV111&lt;0,Calibración_BAU_USCUSS!AV111*-1, Calibración_BAU_USCUSS!AV111)*Emisiones_USCUSS!$M$27</f>
        <v>7.4150234864109406</v>
      </c>
      <c r="AS112" s="630">
        <f>IF(Calibración_BAU_USCUSS!AW111&lt;0,Calibración_BAU_USCUSS!AW111*-1, Calibración_BAU_USCUSS!AW111)*Emisiones_USCUSS!$M$27</f>
        <v>7.3586693079142869</v>
      </c>
      <c r="AT112" s="630">
        <f>IF(Calibración_BAU_USCUSS!AX111&lt;0,Calibración_BAU_USCUSS!AX111*-1, Calibración_BAU_USCUSS!AX111)*Emisiones_USCUSS!$M$27</f>
        <v>7.3027434211740179</v>
      </c>
      <c r="AU112" s="630">
        <f>IF(Calibración_BAU_USCUSS!AY111&lt;0,Calibración_BAU_USCUSS!AY111*-1, Calibración_BAU_USCUSS!AY111)*Emisiones_USCUSS!$M$27</f>
        <v>7.2472425711731301</v>
      </c>
      <c r="AV112" s="630">
        <f>IF(Calibración_BAU_USCUSS!AZ111&lt;0,Calibración_BAU_USCUSS!AZ111*-1, Calibración_BAU_USCUSS!AZ111)*Emisiones_USCUSS!$M$27</f>
        <v>7.1921635276322524</v>
      </c>
      <c r="AW112" s="630">
        <f>IF(Calibración_BAU_USCUSS!BA111&lt;0,Calibración_BAU_USCUSS!BA111*-1, Calibración_BAU_USCUSS!BA111)*Emisiones_USCUSS!$M$27</f>
        <v>7.1375030848222529</v>
      </c>
      <c r="AX112" s="630">
        <f>IF(Calibración_BAU_USCUSS!BB111&lt;0,Calibración_BAU_USCUSS!BB111*-1, Calibración_BAU_USCUSS!BB111)*Emisiones_USCUSS!$M$27</f>
        <v>7.0832580613775082</v>
      </c>
      <c r="AY112" s="630">
        <f>IF(Calibración_BAU_USCUSS!BC111&lt;0,Calibración_BAU_USCUSS!BC111*-1, Calibración_BAU_USCUSS!BC111)*Emisiones_USCUSS!$M$27</f>
        <v>7.0294253001110532</v>
      </c>
      <c r="AZ112" s="630">
        <f>IF(Calibración_BAU_USCUSS!BD111&lt;0,Calibración_BAU_USCUSS!BD111*-1, Calibración_BAU_USCUSS!BD111)*Emisiones_USCUSS!$M$27</f>
        <v>6.9760016678302161</v>
      </c>
      <c r="BA112" s="630">
        <f>IF(Calibración_BAU_USCUSS!BE111&lt;0,Calibración_BAU_USCUSS!BE111*-1, Calibración_BAU_USCUSS!BE111)*Emisiones_USCUSS!$M$27</f>
        <v>6.9229840551548065</v>
      </c>
      <c r="BB112" s="630">
        <f>IF(Calibración_BAU_USCUSS!BF111&lt;0,Calibración_BAU_USCUSS!BF111*-1, Calibración_BAU_USCUSS!BF111)*Emisiones_USCUSS!$M$27</f>
        <v>6.8703693763356348</v>
      </c>
      <c r="BC112" s="630">
        <f>IF(Calibración_BAU_USCUSS!BG111&lt;0,Calibración_BAU_USCUSS!BG111*-1, Calibración_BAU_USCUSS!BG111)*Emisiones_USCUSS!$M$27</f>
        <v>6.8181545690754044</v>
      </c>
      <c r="BD112" s="630">
        <f>IF(Calibración_BAU_USCUSS!BH111&lt;0,Calibración_BAU_USCUSS!BH111*-1, Calibración_BAU_USCUSS!BH111)*Emisiones_USCUSS!$M$27</f>
        <v>6.7663365943504399</v>
      </c>
      <c r="BE112" s="630">
        <f>IF(Calibración_BAU_USCUSS!BI111&lt;0,Calibración_BAU_USCUSS!BI111*-1, Calibración_BAU_USCUSS!BI111)*Emisiones_USCUSS!$M$27</f>
        <v>6.7149124362334431</v>
      </c>
      <c r="BF112" s="630">
        <f>IF(Calibración_BAU_USCUSS!BJ111&lt;0,Calibración_BAU_USCUSS!BJ111*-1, Calibración_BAU_USCUSS!BJ111)*Emisiones_USCUSS!$M$27</f>
        <v>6.6638791017180958</v>
      </c>
      <c r="BG112" s="630">
        <f>IF(Calibración_BAU_USCUSS!BK111&lt;0,Calibración_BAU_USCUSS!BK111*-1, Calibración_BAU_USCUSS!BK111)*Emisiones_USCUSS!$M$27</f>
        <v>6.6132336205450324</v>
      </c>
      <c r="BH112" s="630">
        <f>IF(Calibración_BAU_USCUSS!BL111&lt;0,Calibración_BAU_USCUSS!BL111*-1, Calibración_BAU_USCUSS!BL111)*Emisiones_USCUSS!$M$27</f>
        <v>6.562973045028806</v>
      </c>
      <c r="BI112" s="630">
        <f>IF(Calibración_BAU_USCUSS!BM111&lt;0,Calibración_BAU_USCUSS!BM111*-1, Calibración_BAU_USCUSS!BM111)*Emisiones_USCUSS!$M$27</f>
        <v>6.5130944498865659</v>
      </c>
      <c r="BJ112" s="630">
        <f>IF(Calibración_BAU_USCUSS!BN111&lt;0,Calibración_BAU_USCUSS!BN111*-1, Calibración_BAU_USCUSS!BN111)*Emisiones_USCUSS!$M$27</f>
        <v>6.4635949320673998</v>
      </c>
      <c r="BK112" s="630">
        <f>IF(Calibración_BAU_USCUSS!BO111&lt;0,Calibración_BAU_USCUSS!BO111*-1, Calibración_BAU_USCUSS!BO111)*Emisiones_USCUSS!$M$27</f>
        <v>6.4144716105837087</v>
      </c>
      <c r="BL112" s="630">
        <f>IF(Calibración_BAU_USCUSS!BP111&lt;0,Calibración_BAU_USCUSS!BP111*-1, Calibración_BAU_USCUSS!BP111)*Emisiones_USCUSS!$M$27</f>
        <v>6.3657216263432588</v>
      </c>
      <c r="BM112" s="630">
        <f>IF(Calibración_BAU_USCUSS!BQ111&lt;0,Calibración_BAU_USCUSS!BQ111*-1, Calibración_BAU_USCUSS!BQ111)*Emisiones_USCUSS!$M$27</f>
        <v>6.3173421419830937</v>
      </c>
    </row>
    <row r="113" spans="1:65" ht="14.4" customHeight="1" x14ac:dyDescent="0.35">
      <c r="C113" s="1167" t="s">
        <v>101</v>
      </c>
      <c r="D113" s="1153"/>
      <c r="E113" s="633"/>
      <c r="F113" s="634"/>
      <c r="G113" s="634"/>
      <c r="H113" s="634"/>
      <c r="I113" s="630"/>
      <c r="J113" s="630"/>
      <c r="K113" s="630"/>
      <c r="L113" s="630"/>
      <c r="M113" s="630">
        <f>IF(Calibración_BAU_USCUSS!Q112 &lt;0,Calibración_BAU_USCUSS!Q112 *-1, Calibración_BAU_USCUSS!Q112 )*Emisiones_USCUSS!$M$28</f>
        <v>2.6472390999999997</v>
      </c>
      <c r="N113" s="630">
        <f>IF(Calibración_BAU_USCUSS!R112 &lt;0,Calibración_BAU_USCUSS!R112 *-1, Calibración_BAU_USCUSS!R112 )*Emisiones_USCUSS!$M$28</f>
        <v>2.1962645058569538E-5</v>
      </c>
      <c r="O113" s="630">
        <f>IF(Calibración_BAU_USCUSS!S112 &lt;0,Calibración_BAU_USCUSS!S112 *-1, Calibración_BAU_USCUSS!S112 )*Emisiones_USCUSS!$M$28</f>
        <v>1.4129302294869649E-2</v>
      </c>
      <c r="P113" s="630">
        <f>IF(Calibración_BAU_USCUSS!T112 &lt;0,Calibración_BAU_USCUSS!T112 *-1, Calibración_BAU_USCUSS!T112 )*Emisiones_USCUSS!$M$28</f>
        <v>7.6781664069952606E-3</v>
      </c>
      <c r="Q113" s="630">
        <f>IF(Calibración_BAU_USCUSS!U112 &lt;0,Calibración_BAU_USCUSS!U112 *-1, Calibración_BAU_USCUSS!U112 )*Emisiones_USCUSS!$M$28</f>
        <v>4.896953742622708E-3</v>
      </c>
      <c r="R113" s="630">
        <f>IF(Calibración_BAU_USCUSS!V112 &lt;0,Calibración_BAU_USCUSS!V112 *-1, Calibración_BAU_USCUSS!V112 )*Emisiones_USCUSS!$M$28</f>
        <v>5.6239464268188271E-3</v>
      </c>
      <c r="S113" s="630">
        <f>IF(Calibración_BAU_USCUSS!W112 &lt;0,Calibración_BAU_USCUSS!W112 *-1, Calibración_BAU_USCUSS!W112 )*Emisiones_USCUSS!$M$28</f>
        <v>5.4442159840745845E-3</v>
      </c>
      <c r="T113" s="630">
        <f>IF(Calibración_BAU_USCUSS!X112 &lt;0,Calibración_BAU_USCUSS!X112 *-1, Calibración_BAU_USCUSS!X112 )*Emisiones_USCUSS!$M$28</f>
        <v>4.9012643239824752E-3</v>
      </c>
      <c r="U113" s="630">
        <f>IF(Calibración_BAU_USCUSS!Y112 &lt;0,Calibración_BAU_USCUSS!Y112 *-1, Calibración_BAU_USCUSS!Y112 )*Emisiones_USCUSS!$M$28</f>
        <v>4.176278381593717E-3</v>
      </c>
      <c r="V113" s="630">
        <f>IF(Calibración_BAU_USCUSS!Z112 &lt;0,Calibración_BAU_USCUSS!Z112 *-1, Calibración_BAU_USCUSS!Z112 )*Emisiones_USCUSS!$M$28</f>
        <v>5.7842456137273211E-3</v>
      </c>
      <c r="W113" s="630">
        <f>IF(Calibración_BAU_USCUSS!AA112 &lt;0,Calibración_BAU_USCUSS!AA112 *-1, Calibración_BAU_USCUSS!AA112 )*Emisiones_USCUSS!$M$28</f>
        <v>5.1708386512121602E-3</v>
      </c>
      <c r="X113" s="630">
        <f>IF(Calibración_BAU_USCUSS!AB112 &lt;0,Calibración_BAU_USCUSS!AB112 *-1, Calibración_BAU_USCUSS!AB112 )*Emisiones_USCUSS!$M$28</f>
        <v>3.9907193970225244E-3</v>
      </c>
      <c r="Y113" s="630">
        <f>IF(Calibración_BAU_USCUSS!AC112 &lt;0,Calibración_BAU_USCUSS!AC112 *-1, Calibración_BAU_USCUSS!AC112 )*Emisiones_USCUSS!$M$28</f>
        <v>4.3298037619587072E-3</v>
      </c>
      <c r="Z113" s="630">
        <f>IF(Calibración_BAU_USCUSS!AD112 &lt;0,Calibración_BAU_USCUSS!AD112 *-1, Calibración_BAU_USCUSS!AD112 )*Emisiones_USCUSS!$M$28</f>
        <v>5.7594723217010233E-3</v>
      </c>
      <c r="AA113" s="630">
        <f>IF(Calibración_BAU_USCUSS!AE112 &lt;0,Calibración_BAU_USCUSS!AE112 *-1, Calibración_BAU_USCUSS!AE112 )*Emisiones_USCUSS!$M$28</f>
        <v>4.4864685481067765E-3</v>
      </c>
      <c r="AB113" s="630">
        <f>IF(Calibración_BAU_USCUSS!AF112 &lt;0,Calibración_BAU_USCUSS!AF112 *-1, Calibración_BAU_USCUSS!AF112 )*Emisiones_USCUSS!$M$28</f>
        <v>5.2599305100762273E-3</v>
      </c>
      <c r="AC113" s="630">
        <f>IF(Calibración_BAU_USCUSS!AG112 &lt;0,Calibración_BAU_USCUSS!AG112 *-1, Calibración_BAU_USCUSS!AG112 )*Emisiones_USCUSS!$M$28</f>
        <v>4.3065304649501108E-3</v>
      </c>
      <c r="AD113" s="630">
        <f>IF(Calibración_BAU_USCUSS!AH112 &lt;0,Calibración_BAU_USCUSS!AH112 *-1, Calibración_BAU_USCUSS!AH112 )*Emisiones_USCUSS!$M$28</f>
        <v>4.3035461339781377E-3</v>
      </c>
      <c r="AE113" s="630">
        <f>IF(Calibración_BAU_USCUSS!AI112 &lt;0,Calibración_BAU_USCUSS!AI112 *-1, Calibración_BAU_USCUSS!AI112 )*Emisiones_USCUSS!$M$28</f>
        <v>4.6492453578424698E-3</v>
      </c>
      <c r="AF113" s="630">
        <f>IF(Calibración_BAU_USCUSS!AJ112 &lt;0,Calibración_BAU_USCUSS!AJ112 *-1, Calibración_BAU_USCUSS!AJ112 )*Emisiones_USCUSS!$M$28</f>
        <v>4.1320648380196966E-3</v>
      </c>
      <c r="AG113" s="630">
        <f>IF(Calibración_BAU_USCUSS!AK112 &lt;0,Calibración_BAU_USCUSS!AK112 *-1, Calibración_BAU_USCUSS!AK112 )*Emisiones_USCUSS!$M$28</f>
        <v>4.2670108383419158E-3</v>
      </c>
      <c r="AH113" s="630">
        <f>IF(Calibración_BAU_USCUSS!AL112 &lt;0,Calibración_BAU_USCUSS!AL112 *-1, Calibración_BAU_USCUSS!AL112 )*Emisiones_USCUSS!$M$28</f>
        <v>4.5930164335414103E-3</v>
      </c>
      <c r="AI113" s="630">
        <f>IF(Calibración_BAU_USCUSS!AM112 &lt;0,Calibración_BAU_USCUSS!AM112 *-1, Calibración_BAU_USCUSS!AM112 )*Emisiones_USCUSS!$M$28</f>
        <v>4.1392766158581265E-3</v>
      </c>
      <c r="AJ113" s="630">
        <f>IF(Calibración_BAU_USCUSS!AN112 &lt;0,Calibración_BAU_USCUSS!AN112 *-1, Calibración_BAU_USCUSS!AN112 )*Emisiones_USCUSS!$M$28</f>
        <v>4.1604675254535324E-3</v>
      </c>
      <c r="AK113" s="630">
        <f>IF(Calibración_BAU_USCUSS!AO112 &lt;0,Calibración_BAU_USCUSS!AO112 *-1, Calibración_BAU_USCUSS!AO112 )*Emisiones_USCUSS!$M$28</f>
        <v>4.0620862338050746E-3</v>
      </c>
      <c r="AL113" s="630">
        <f>IF(Calibración_BAU_USCUSS!AP112 &lt;0,Calibración_BAU_USCUSS!AP112 *-1, Calibración_BAU_USCUSS!AP112 )*Emisiones_USCUSS!$M$28</f>
        <v>3.1898699733683153E-3</v>
      </c>
      <c r="AM113" s="630">
        <f>IF(Calibración_BAU_USCUSS!AQ112 &lt;0,Calibración_BAU_USCUSS!AQ112 *-1, Calibración_BAU_USCUSS!AQ112 )*Emisiones_USCUSS!$M$28</f>
        <v>3.9972257350317135E-3</v>
      </c>
      <c r="AN113" s="630">
        <f>IF(Calibración_BAU_USCUSS!AR112 &lt;0,Calibración_BAU_USCUSS!AR112 *-1, Calibración_BAU_USCUSS!AR112 )*Emisiones_USCUSS!$M$28</f>
        <v>3.3914023094232266E-3</v>
      </c>
      <c r="AO113" s="630">
        <f>IF(Calibración_BAU_USCUSS!AS112 &lt;0,Calibración_BAU_USCUSS!AS112 *-1, Calibración_BAU_USCUSS!AS112 )*Emisiones_USCUSS!$M$28</f>
        <v>4.1712434110255277E-3</v>
      </c>
      <c r="AP113" s="630">
        <f>IF(Calibración_BAU_USCUSS!AT112 &lt;0,Calibración_BAU_USCUSS!AT112 *-1, Calibración_BAU_USCUSS!AT112 )*Emisiones_USCUSS!$M$28</f>
        <v>3.3635357254673745E-3</v>
      </c>
      <c r="AQ113" s="630">
        <f>IF(Calibración_BAU_USCUSS!AU112 &lt;0,Calibración_BAU_USCUSS!AU112 *-1, Calibración_BAU_USCUSS!AU112 )*Emisiones_USCUSS!$M$28</f>
        <v>3.2709796518904412E-3</v>
      </c>
      <c r="AR113" s="630">
        <f>IF(Calibración_BAU_USCUSS!AV112 &lt;0,Calibración_BAU_USCUSS!AV112 *-1, Calibración_BAU_USCUSS!AV112 )*Emisiones_USCUSS!$M$28</f>
        <v>3.3324100737469552E-3</v>
      </c>
      <c r="AS113" s="630">
        <f>IF(Calibración_BAU_USCUSS!AW112 &lt;0,Calibración_BAU_USCUSS!AW112 *-1, Calibración_BAU_USCUSS!AW112 )*Emisiones_USCUSS!$M$28</f>
        <v>3.2977317649583371E-3</v>
      </c>
      <c r="AT113" s="630">
        <f>IF(Calibración_BAU_USCUSS!AX112 &lt;0,Calibración_BAU_USCUSS!AX112 *-1, Calibración_BAU_USCUSS!AX112 )*Emisiones_USCUSS!$M$28</f>
        <v>3.6781040668883709E-3</v>
      </c>
      <c r="AU113" s="630">
        <f>IF(Calibración_BAU_USCUSS!AY112 &lt;0,Calibración_BAU_USCUSS!AY112 *-1, Calibración_BAU_USCUSS!AY112 )*Emisiones_USCUSS!$M$28</f>
        <v>3.2851807729617072E-3</v>
      </c>
      <c r="AV113" s="630">
        <f>IF(Calibración_BAU_USCUSS!AZ112 &lt;0,Calibración_BAU_USCUSS!AZ112 *-1, Calibración_BAU_USCUSS!AZ112 )*Emisiones_USCUSS!$M$28</f>
        <v>3.2293924607197915E-3</v>
      </c>
      <c r="AW113" s="630">
        <f>IF(Calibración_BAU_USCUSS!BA112 &lt;0,Calibración_BAU_USCUSS!BA112 *-1, Calibración_BAU_USCUSS!BA112 )*Emisiones_USCUSS!$M$28</f>
        <v>3.2758824702985769E-3</v>
      </c>
      <c r="AX113" s="630">
        <f>IF(Calibración_BAU_USCUSS!BB112 &lt;0,Calibración_BAU_USCUSS!BB112 *-1, Calibración_BAU_USCUSS!BB112 )*Emisiones_USCUSS!$M$28</f>
        <v>3.2487572375317735E-3</v>
      </c>
      <c r="AY113" s="630">
        <f>IF(Calibración_BAU_USCUSS!BC112 &lt;0,Calibración_BAU_USCUSS!BC112 *-1, Calibración_BAU_USCUSS!BC112 )*Emisiones_USCUSS!$M$28</f>
        <v>3.2806744546279069E-3</v>
      </c>
      <c r="AZ113" s="630">
        <f>IF(Calibración_BAU_USCUSS!BD112 &lt;0,Calibración_BAU_USCUSS!BD112 *-1, Calibración_BAU_USCUSS!BD112 )*Emisiones_USCUSS!$M$28</f>
        <v>3.1223414568074723E-3</v>
      </c>
      <c r="BA113" s="630">
        <f>IF(Calibración_BAU_USCUSS!BE112 &lt;0,Calibración_BAU_USCUSS!BE112 *-1, Calibración_BAU_USCUSS!BE112 )*Emisiones_USCUSS!$M$28</f>
        <v>3.0999511550021813E-3</v>
      </c>
      <c r="BB113" s="630">
        <f>IF(Calibración_BAU_USCUSS!BF112 &lt;0,Calibración_BAU_USCUSS!BF112 *-1, Calibración_BAU_USCUSS!BF112 )*Emisiones_USCUSS!$M$28</f>
        <v>3.076624758632985E-3</v>
      </c>
      <c r="BC113" s="630">
        <f>IF(Calibración_BAU_USCUSS!BG112 &lt;0,Calibración_BAU_USCUSS!BG112 *-1, Calibración_BAU_USCUSS!BG112 )*Emisiones_USCUSS!$M$28</f>
        <v>3.0398153313091281E-3</v>
      </c>
      <c r="BD113" s="630">
        <f>IF(Calibración_BAU_USCUSS!BH112 &lt;0,Calibración_BAU_USCUSS!BH112 *-1, Calibración_BAU_USCUSS!BH112 )*Emisiones_USCUSS!$M$28</f>
        <v>2.9913612998559687E-3</v>
      </c>
      <c r="BE113" s="630">
        <f>IF(Calibración_BAU_USCUSS!BI112 &lt;0,Calibración_BAU_USCUSS!BI112 *-1, Calibración_BAU_USCUSS!BI112 )*Emisiones_USCUSS!$M$28</f>
        <v>2.9521295802669889E-3</v>
      </c>
      <c r="BF113" s="630">
        <f>IF(Calibración_BAU_USCUSS!BJ112 &lt;0,Calibración_BAU_USCUSS!BJ112 *-1, Calibración_BAU_USCUSS!BJ112 )*Emisiones_USCUSS!$M$28</f>
        <v>2.9169225490479093E-3</v>
      </c>
      <c r="BG113" s="630">
        <f>IF(Calibración_BAU_USCUSS!BK112 &lt;0,Calibración_BAU_USCUSS!BK112 *-1, Calibración_BAU_USCUSS!BK112 )*Emisiones_USCUSS!$M$28</f>
        <v>2.8830747929267943E-3</v>
      </c>
      <c r="BH113" s="630">
        <f>IF(Calibración_BAU_USCUSS!BL112 &lt;0,Calibración_BAU_USCUSS!BL112 *-1, Calibración_BAU_USCUSS!BL112 )*Emisiones_USCUSS!$M$28</f>
        <v>2.8419541780298841E-3</v>
      </c>
      <c r="BI113" s="630">
        <f>IF(Calibración_BAU_USCUSS!BM112 &lt;0,Calibración_BAU_USCUSS!BM112 *-1, Calibración_BAU_USCUSS!BM112 )*Emisiones_USCUSS!$M$28</f>
        <v>2.8013189708966982E-3</v>
      </c>
      <c r="BJ113" s="630">
        <f>IF(Calibración_BAU_USCUSS!BN112 &lt;0,Calibración_BAU_USCUSS!BN112 *-1, Calibración_BAU_USCUSS!BN112 )*Emisiones_USCUSS!$M$28</f>
        <v>2.7579632539741945E-3</v>
      </c>
      <c r="BK113" s="630">
        <f>IF(Calibración_BAU_USCUSS!BO112 &lt;0,Calibración_BAU_USCUSS!BO112 *-1, Calibración_BAU_USCUSS!BO112 )*Emisiones_USCUSS!$M$28</f>
        <v>2.7211456335503978E-3</v>
      </c>
      <c r="BL113" s="630">
        <f>IF(Calibración_BAU_USCUSS!BP112 &lt;0,Calibración_BAU_USCUSS!BP112 *-1, Calibración_BAU_USCUSS!BP112 )*Emisiones_USCUSS!$M$28</f>
        <v>2.6831907918116135E-3</v>
      </c>
      <c r="BM113" s="630">
        <f>IF(Calibración_BAU_USCUSS!BQ112 &lt;0,Calibración_BAU_USCUSS!BQ112 *-1, Calibración_BAU_USCUSS!BQ112 )*Emisiones_USCUSS!$M$28</f>
        <v>2.6442788352640935E-3</v>
      </c>
    </row>
    <row r="114" spans="1:65" x14ac:dyDescent="0.35">
      <c r="C114" s="1169" t="s">
        <v>141</v>
      </c>
      <c r="D114" s="1159"/>
      <c r="E114" s="633"/>
      <c r="F114" s="634"/>
      <c r="G114" s="634"/>
      <c r="H114" s="634"/>
      <c r="I114" s="630"/>
      <c r="J114" s="630"/>
      <c r="K114" s="630"/>
      <c r="L114" s="630"/>
      <c r="M114" s="630"/>
      <c r="N114" s="630"/>
      <c r="O114" s="630"/>
      <c r="P114" s="630"/>
      <c r="Q114" s="630"/>
      <c r="R114" s="630"/>
      <c r="S114" s="630"/>
      <c r="T114" s="630"/>
      <c r="U114" s="630"/>
      <c r="V114" s="630"/>
      <c r="W114" s="630"/>
      <c r="X114" s="630"/>
      <c r="Y114" s="630"/>
      <c r="Z114" s="630"/>
      <c r="AA114" s="630"/>
      <c r="AB114" s="630"/>
      <c r="AC114" s="630"/>
      <c r="AD114" s="630"/>
      <c r="AE114" s="630"/>
      <c r="AF114" s="630"/>
      <c r="AG114" s="630"/>
      <c r="AH114" s="630"/>
      <c r="AI114" s="630"/>
      <c r="AJ114" s="630"/>
      <c r="AK114" s="630"/>
      <c r="AL114" s="630"/>
      <c r="AM114" s="630"/>
      <c r="AN114" s="630"/>
      <c r="AO114" s="630"/>
      <c r="AP114" s="630"/>
      <c r="AQ114" s="630"/>
      <c r="AR114" s="630"/>
      <c r="AS114" s="630"/>
      <c r="AT114" s="630"/>
      <c r="AU114" s="630"/>
      <c r="AV114" s="630"/>
      <c r="AW114" s="630"/>
      <c r="AX114" s="630"/>
      <c r="AY114" s="630"/>
      <c r="AZ114" s="630"/>
      <c r="BA114" s="630"/>
      <c r="BB114" s="630"/>
      <c r="BC114" s="630"/>
      <c r="BD114" s="630"/>
      <c r="BE114" s="630"/>
      <c r="BF114" s="630"/>
      <c r="BG114" s="630"/>
      <c r="BH114" s="630"/>
      <c r="BI114" s="630"/>
      <c r="BJ114" s="630"/>
      <c r="BK114" s="630"/>
      <c r="BL114" s="630"/>
      <c r="BM114" s="630"/>
    </row>
    <row r="115" spans="1:65" s="939" customFormat="1" ht="14.4" customHeight="1" x14ac:dyDescent="0.35">
      <c r="A115" s="937"/>
      <c r="B115" s="938"/>
      <c r="C115" s="1174" t="s">
        <v>102</v>
      </c>
      <c r="D115" s="1155"/>
      <c r="E115" s="930"/>
      <c r="F115" s="930"/>
      <c r="G115" s="930"/>
      <c r="H115" s="930"/>
      <c r="I115" s="930"/>
      <c r="J115" s="930"/>
      <c r="K115" s="930"/>
      <c r="L115" s="930"/>
      <c r="M115" s="939">
        <f>IF(Calibración_BAU_USCUSS!Q114&lt;0,Calibración_BAU_USCUSS!Q114*-1, Calibración_BAU_USCUSS!Q114)*Emisiones_USCUSS!$M$30</f>
        <v>1.9070332837999999</v>
      </c>
      <c r="N115" s="939">
        <f>IF(Calibración_BAU_USCUSS!R114&lt;0,Calibración_BAU_USCUSS!R114*-1, Calibración_BAU_USCUSS!R114)*Emisiones_USCUSS!$M$30</f>
        <v>0.50890552456332905</v>
      </c>
      <c r="O115" s="939">
        <f>IF(Calibración_BAU_USCUSS!S114&lt;0,Calibración_BAU_USCUSS!S114*-1, Calibración_BAU_USCUSS!S114)*Emisiones_USCUSS!$M$30</f>
        <v>0.53244781233684979</v>
      </c>
      <c r="P115" s="939">
        <f>IF(Calibración_BAU_USCUSS!T114&lt;0,Calibración_BAU_USCUSS!T114*-1, Calibración_BAU_USCUSS!T114)*Emisiones_USCUSS!$M$30</f>
        <v>0.53244781233684979</v>
      </c>
      <c r="Q115" s="939">
        <f>IF(Calibración_BAU_USCUSS!U114&lt;0,Calibración_BAU_USCUSS!U114*-1, Calibración_BAU_USCUSS!U114)*Emisiones_USCUSS!$M$30</f>
        <v>0.53244781233684979</v>
      </c>
      <c r="R115" s="939">
        <f>IF(Calibración_BAU_USCUSS!V114&lt;0,Calibración_BAU_USCUSS!V114*-1, Calibración_BAU_USCUSS!V114)*Emisiones_USCUSS!$M$30</f>
        <v>0.53244781233684979</v>
      </c>
      <c r="S115" s="939">
        <f>IF(Calibración_BAU_USCUSS!W114&lt;0,Calibración_BAU_USCUSS!W114*-1, Calibración_BAU_USCUSS!W114)*Emisiones_USCUSS!$M$30</f>
        <v>0.53244781233688321</v>
      </c>
      <c r="T115" s="939">
        <f>IF(Calibración_BAU_USCUSS!X114&lt;0,Calibración_BAU_USCUSS!X114*-1, Calibración_BAU_USCUSS!X114)*Emisiones_USCUSS!$M$30</f>
        <v>0.53244781233684979</v>
      </c>
      <c r="U115" s="939">
        <f>IF(Calibración_BAU_USCUSS!Y114&lt;0,Calibración_BAU_USCUSS!Y114*-1, Calibración_BAU_USCUSS!Y114)*Emisiones_USCUSS!$M$30</f>
        <v>0.53244781233684979</v>
      </c>
      <c r="V115" s="939">
        <f>IF(Calibración_BAU_USCUSS!Z114&lt;0,Calibración_BAU_USCUSS!Z114*-1, Calibración_BAU_USCUSS!Z114)*Emisiones_USCUSS!$M$30</f>
        <v>0.53244781233684979</v>
      </c>
      <c r="W115" s="939">
        <f>IF(Calibración_BAU_USCUSS!AA114&lt;0,Calibración_BAU_USCUSS!AA114*-1, Calibración_BAU_USCUSS!AA114)*Emisiones_USCUSS!$M$30</f>
        <v>0.53244781233684979</v>
      </c>
      <c r="X115" s="939">
        <f>IF(Calibración_BAU_USCUSS!AB114&lt;0,Calibración_BAU_USCUSS!AB114*-1, Calibración_BAU_USCUSS!AB114)*Emisiones_USCUSS!$M$30</f>
        <v>0.53244781233684979</v>
      </c>
      <c r="Y115" s="939">
        <f>IF(Calibración_BAU_USCUSS!AC114&lt;0,Calibración_BAU_USCUSS!AC114*-1, Calibración_BAU_USCUSS!AC114)*Emisiones_USCUSS!$M$30</f>
        <v>0.53244781233684979</v>
      </c>
      <c r="Z115" s="939">
        <f>IF(Calibración_BAU_USCUSS!AD114&lt;0,Calibración_BAU_USCUSS!AD114*-1, Calibración_BAU_USCUSS!AD114)*Emisiones_USCUSS!$M$30</f>
        <v>0.53244781233684979</v>
      </c>
      <c r="AA115" s="939">
        <f>IF(Calibración_BAU_USCUSS!AE114&lt;0,Calibración_BAU_USCUSS!AE114*-1, Calibración_BAU_USCUSS!AE114)*Emisiones_USCUSS!$M$30</f>
        <v>0.53244781233684979</v>
      </c>
      <c r="AB115" s="939">
        <f>IF(Calibración_BAU_USCUSS!AF114&lt;0,Calibración_BAU_USCUSS!AF114*-1, Calibración_BAU_USCUSS!AF114)*Emisiones_USCUSS!$M$30</f>
        <v>0.53244781233684979</v>
      </c>
      <c r="AC115" s="939">
        <f>IF(Calibración_BAU_USCUSS!AG114&lt;0,Calibración_BAU_USCUSS!AG114*-1, Calibración_BAU_USCUSS!AG114)*Emisiones_USCUSS!$M$30</f>
        <v>0.53244781233684979</v>
      </c>
      <c r="AD115" s="939">
        <f>IF(Calibración_BAU_USCUSS!AH114&lt;0,Calibración_BAU_USCUSS!AH114*-1, Calibración_BAU_USCUSS!AH114)*Emisiones_USCUSS!$M$30</f>
        <v>0.53244781233688321</v>
      </c>
      <c r="AE115" s="939">
        <f>IF(Calibración_BAU_USCUSS!AI114&lt;0,Calibración_BAU_USCUSS!AI114*-1, Calibración_BAU_USCUSS!AI114)*Emisiones_USCUSS!$M$30</f>
        <v>0.53244781233684979</v>
      </c>
      <c r="AF115" s="939">
        <f>IF(Calibración_BAU_USCUSS!AJ114&lt;0,Calibración_BAU_USCUSS!AJ114*-1, Calibración_BAU_USCUSS!AJ114)*Emisiones_USCUSS!$M$30</f>
        <v>0.53244781233684979</v>
      </c>
      <c r="AG115" s="939">
        <f>IF(Calibración_BAU_USCUSS!AK114&lt;0,Calibración_BAU_USCUSS!AK114*-1, Calibración_BAU_USCUSS!AK114)*Emisiones_USCUSS!$M$30</f>
        <v>0.53244781233684979</v>
      </c>
      <c r="AH115" s="939">
        <f>IF(Calibración_BAU_USCUSS!AL114&lt;0,Calibración_BAU_USCUSS!AL114*-1, Calibración_BAU_USCUSS!AL114)*Emisiones_USCUSS!$M$30</f>
        <v>0.53244781233684979</v>
      </c>
      <c r="AI115" s="939">
        <f>IF(Calibración_BAU_USCUSS!AM114&lt;0,Calibración_BAU_USCUSS!AM114*-1, Calibración_BAU_USCUSS!AM114)*Emisiones_USCUSS!$M$30</f>
        <v>0.53244781233684979</v>
      </c>
      <c r="AJ115" s="939">
        <f>IF(Calibración_BAU_USCUSS!AN114&lt;0,Calibración_BAU_USCUSS!AN114*-1, Calibración_BAU_USCUSS!AN114)*Emisiones_USCUSS!$M$30</f>
        <v>0.53244781233684979</v>
      </c>
      <c r="AK115" s="939">
        <f>IF(Calibración_BAU_USCUSS!AO114&lt;0,Calibración_BAU_USCUSS!AO114*-1, Calibración_BAU_USCUSS!AO114)*Emisiones_USCUSS!$M$30</f>
        <v>0.53244781233684979</v>
      </c>
      <c r="AL115" s="939">
        <f>IF(Calibración_BAU_USCUSS!AP114&lt;0,Calibración_BAU_USCUSS!AP114*-1, Calibración_BAU_USCUSS!AP114)*Emisiones_USCUSS!$M$30</f>
        <v>0.53244781233684979</v>
      </c>
      <c r="AM115" s="939">
        <f>IF(Calibración_BAU_USCUSS!AQ114&lt;0,Calibración_BAU_USCUSS!AQ114*-1, Calibración_BAU_USCUSS!AQ114)*Emisiones_USCUSS!$M$30</f>
        <v>0.53244781233684979</v>
      </c>
      <c r="AN115" s="939">
        <f>IF(Calibración_BAU_USCUSS!AR114&lt;0,Calibración_BAU_USCUSS!AR114*-1, Calibración_BAU_USCUSS!AR114)*Emisiones_USCUSS!$M$30</f>
        <v>0.53244781233684979</v>
      </c>
      <c r="AO115" s="939">
        <f>IF(Calibración_BAU_USCUSS!AS114&lt;0,Calibración_BAU_USCUSS!AS114*-1, Calibración_BAU_USCUSS!AS114)*Emisiones_USCUSS!$M$30</f>
        <v>0.53244781233688321</v>
      </c>
      <c r="AP115" s="939">
        <f>IF(Calibración_BAU_USCUSS!AT114&lt;0,Calibración_BAU_USCUSS!AT114*-1, Calibración_BAU_USCUSS!AT114)*Emisiones_USCUSS!$M$30</f>
        <v>0.53244781233684979</v>
      </c>
      <c r="AQ115" s="939">
        <f>IF(Calibración_BAU_USCUSS!AU114&lt;0,Calibración_BAU_USCUSS!AU114*-1, Calibración_BAU_USCUSS!AU114)*Emisiones_USCUSS!$M$30</f>
        <v>0.53244781233684979</v>
      </c>
      <c r="AR115" s="939">
        <f>IF(Calibración_BAU_USCUSS!AV114&lt;0,Calibración_BAU_USCUSS!AV114*-1, Calibración_BAU_USCUSS!AV114)*Emisiones_USCUSS!$M$30</f>
        <v>0.53244781233684979</v>
      </c>
      <c r="AS115" s="939">
        <f>IF(Calibración_BAU_USCUSS!AW114&lt;0,Calibración_BAU_USCUSS!AW114*-1, Calibración_BAU_USCUSS!AW114)*Emisiones_USCUSS!$M$30</f>
        <v>0.53244781233684979</v>
      </c>
      <c r="AT115" s="939">
        <f>IF(Calibración_BAU_USCUSS!AX114&lt;0,Calibración_BAU_USCUSS!AX114*-1, Calibración_BAU_USCUSS!AX114)*Emisiones_USCUSS!$M$30</f>
        <v>0.53244781233684979</v>
      </c>
      <c r="AU115" s="939">
        <f>IF(Calibración_BAU_USCUSS!AY114&lt;0,Calibración_BAU_USCUSS!AY114*-1, Calibración_BAU_USCUSS!AY114)*Emisiones_USCUSS!$M$30</f>
        <v>0.53244781233684979</v>
      </c>
      <c r="AV115" s="939">
        <f>IF(Calibración_BAU_USCUSS!AZ114&lt;0,Calibración_BAU_USCUSS!AZ114*-1, Calibración_BAU_USCUSS!AZ114)*Emisiones_USCUSS!$M$30</f>
        <v>0.53244781233684979</v>
      </c>
      <c r="AW115" s="939">
        <f>IF(Calibración_BAU_USCUSS!BA114&lt;0,Calibración_BAU_USCUSS!BA114*-1, Calibración_BAU_USCUSS!BA114)*Emisiones_USCUSS!$M$30</f>
        <v>0.53244781233684979</v>
      </c>
      <c r="AX115" s="939">
        <f>IF(Calibración_BAU_USCUSS!BB114&lt;0,Calibración_BAU_USCUSS!BB114*-1, Calibración_BAU_USCUSS!BB114)*Emisiones_USCUSS!$M$30</f>
        <v>0.53244781233684979</v>
      </c>
      <c r="AY115" s="939">
        <f>IF(Calibración_BAU_USCUSS!BC114&lt;0,Calibración_BAU_USCUSS!BC114*-1, Calibración_BAU_USCUSS!BC114)*Emisiones_USCUSS!$M$30</f>
        <v>0.53244781233688321</v>
      </c>
      <c r="AZ115" s="939">
        <f>IF(Calibración_BAU_USCUSS!BD114&lt;0,Calibración_BAU_USCUSS!BD114*-1, Calibración_BAU_USCUSS!BD114)*Emisiones_USCUSS!$M$30</f>
        <v>0.53244781233684979</v>
      </c>
      <c r="BA115" s="939">
        <f>IF(Calibración_BAU_USCUSS!BE114&lt;0,Calibración_BAU_USCUSS!BE114*-1, Calibración_BAU_USCUSS!BE114)*Emisiones_USCUSS!$M$30</f>
        <v>0.53244781233684979</v>
      </c>
      <c r="BB115" s="939">
        <f>IF(Calibración_BAU_USCUSS!BF114&lt;0,Calibración_BAU_USCUSS!BF114*-1, Calibración_BAU_USCUSS!BF114)*Emisiones_USCUSS!$M$30</f>
        <v>0.53244781233684979</v>
      </c>
      <c r="BC115" s="939">
        <f>IF(Calibración_BAU_USCUSS!BG114&lt;0,Calibración_BAU_USCUSS!BG114*-1, Calibración_BAU_USCUSS!BG114)*Emisiones_USCUSS!$M$30</f>
        <v>0.53244781233684979</v>
      </c>
      <c r="BD115" s="939">
        <f>IF(Calibración_BAU_USCUSS!BH114&lt;0,Calibración_BAU_USCUSS!BH114*-1, Calibración_BAU_USCUSS!BH114)*Emisiones_USCUSS!$M$30</f>
        <v>0.53244781233684979</v>
      </c>
      <c r="BE115" s="939">
        <f>IF(Calibración_BAU_USCUSS!BI114&lt;0,Calibración_BAU_USCUSS!BI114*-1, Calibración_BAU_USCUSS!BI114)*Emisiones_USCUSS!$M$30</f>
        <v>0.53244781233684979</v>
      </c>
      <c r="BF115" s="939">
        <f>IF(Calibración_BAU_USCUSS!BJ114&lt;0,Calibración_BAU_USCUSS!BJ114*-1, Calibración_BAU_USCUSS!BJ114)*Emisiones_USCUSS!$M$30</f>
        <v>0.53244781233684979</v>
      </c>
      <c r="BG115" s="939">
        <f>IF(Calibración_BAU_USCUSS!BK114&lt;0,Calibración_BAU_USCUSS!BK114*-1, Calibración_BAU_USCUSS!BK114)*Emisiones_USCUSS!$M$30</f>
        <v>0.53244781233684979</v>
      </c>
      <c r="BH115" s="939">
        <f>IF(Calibración_BAU_USCUSS!BL114&lt;0,Calibración_BAU_USCUSS!BL114*-1, Calibración_BAU_USCUSS!BL114)*Emisiones_USCUSS!$M$30</f>
        <v>0.53244781233684979</v>
      </c>
      <c r="BI115" s="939">
        <f>IF(Calibración_BAU_USCUSS!BM114&lt;0,Calibración_BAU_USCUSS!BM114*-1, Calibración_BAU_USCUSS!BM114)*Emisiones_USCUSS!$M$30</f>
        <v>0.53244781233684979</v>
      </c>
      <c r="BJ115" s="939">
        <f>IF(Calibración_BAU_USCUSS!BN114&lt;0,Calibración_BAU_USCUSS!BN114*-1, Calibración_BAU_USCUSS!BN114)*Emisiones_USCUSS!$M$30</f>
        <v>0.53244781233688321</v>
      </c>
      <c r="BK115" s="939">
        <f>IF(Calibración_BAU_USCUSS!BO114&lt;0,Calibración_BAU_USCUSS!BO114*-1, Calibración_BAU_USCUSS!BO114)*Emisiones_USCUSS!$M$30</f>
        <v>0.53244781233684979</v>
      </c>
      <c r="BL115" s="939">
        <f>IF(Calibración_BAU_USCUSS!BP114&lt;0,Calibración_BAU_USCUSS!BP114*-1, Calibración_BAU_USCUSS!BP114)*Emisiones_USCUSS!$M$30</f>
        <v>0.53244781233684979</v>
      </c>
      <c r="BM115" s="939">
        <f>IF(Calibración_BAU_USCUSS!BQ114&lt;0,Calibración_BAU_USCUSS!BQ114*-1, Calibración_BAU_USCUSS!BQ114)*Emisiones_USCUSS!$M$30</f>
        <v>0.53244781233684979</v>
      </c>
    </row>
    <row r="116" spans="1:65" x14ac:dyDescent="0.35">
      <c r="C116" s="1167" t="s">
        <v>103</v>
      </c>
      <c r="D116" s="1153"/>
      <c r="E116" s="633"/>
      <c r="F116" s="634"/>
      <c r="G116" s="634"/>
      <c r="H116" s="634"/>
      <c r="I116" s="630"/>
      <c r="J116" s="630"/>
      <c r="K116" s="630"/>
      <c r="L116" s="630"/>
      <c r="M116" s="630">
        <f>IF(Calibración_BAU_USCUSS!Q115&lt;0,Calibración_BAU_USCUSS!Q115 *-1, Calibración_BAU_USCUSS!Q115)*Emisiones_USCUSS!$M$31</f>
        <v>-6.4159310899999988E-2</v>
      </c>
      <c r="N116" s="630">
        <f>IF(Calibración_BAU_USCUSS!R115&lt;0,Calibración_BAU_USCUSS!R115 *-1, Calibración_BAU_USCUSS!R115)*Emisiones_USCUSS!$M$31</f>
        <v>-2.6932995054158686E-3</v>
      </c>
      <c r="O116" s="630">
        <f>IF(Calibración_BAU_USCUSS!S115&lt;0,Calibración_BAU_USCUSS!S115 *-1, Calibración_BAU_USCUSS!S115)*Emisiones_USCUSS!$M$31</f>
        <v>-2.6895827520984953E-3</v>
      </c>
      <c r="P116" s="630">
        <f>IF(Calibración_BAU_USCUSS!T115&lt;0,Calibración_BAU_USCUSS!T115 *-1, Calibración_BAU_USCUSS!T115)*Emisiones_USCUSS!$M$31</f>
        <v>-2.6858711279006495E-3</v>
      </c>
      <c r="Q116" s="630">
        <f>IF(Calibración_BAU_USCUSS!U115&lt;0,Calibración_BAU_USCUSS!U115 *-1, Calibración_BAU_USCUSS!U115)*Emisiones_USCUSS!$M$31</f>
        <v>-2.682164625744137E-3</v>
      </c>
      <c r="R116" s="630">
        <f>IF(Calibración_BAU_USCUSS!V115&lt;0,Calibración_BAU_USCUSS!V115 *-1, Calibración_BAU_USCUSS!V115)*Emisiones_USCUSS!$M$31</f>
        <v>-2.6784632385604525E-3</v>
      </c>
      <c r="S116" s="630">
        <f>IF(Calibración_BAU_USCUSS!W115&lt;0,Calibración_BAU_USCUSS!W115 *-1, Calibración_BAU_USCUSS!W115)*Emisiones_USCUSS!$M$31</f>
        <v>-2.6747669592912188E-3</v>
      </c>
      <c r="T116" s="630">
        <f>IF(Calibración_BAU_USCUSS!X115&lt;0,Calibración_BAU_USCUSS!X115 *-1, Calibración_BAU_USCUSS!X115)*Emisiones_USCUSS!$M$31</f>
        <v>-2.6710757808875289E-3</v>
      </c>
      <c r="U116" s="630">
        <f>IF(Calibración_BAU_USCUSS!Y115&lt;0,Calibración_BAU_USCUSS!Y115 *-1, Calibración_BAU_USCUSS!Y115)*Emisiones_USCUSS!$M$31</f>
        <v>-2.6673896963099438E-3</v>
      </c>
      <c r="V116" s="630">
        <f>IF(Calibración_BAU_USCUSS!Z115&lt;0,Calibración_BAU_USCUSS!Z115 *-1, Calibración_BAU_USCUSS!Z115)*Emisiones_USCUSS!$M$31</f>
        <v>-2.6637086985289334E-3</v>
      </c>
      <c r="W116" s="630">
        <f>IF(Calibración_BAU_USCUSS!AA115&lt;0,Calibración_BAU_USCUSS!AA115 *-1, Calibración_BAU_USCUSS!AA115)*Emisiones_USCUSS!$M$31</f>
        <v>-2.6600327805250987E-3</v>
      </c>
      <c r="X116" s="630">
        <f>IF(Calibración_BAU_USCUSS!AB115&lt;0,Calibración_BAU_USCUSS!AB115 *-1, Calibración_BAU_USCUSS!AB115)*Emisiones_USCUSS!$M$31</f>
        <v>-2.6563619352878453E-3</v>
      </c>
      <c r="Y116" s="630">
        <f>IF(Calibración_BAU_USCUSS!AC115&lt;0,Calibración_BAU_USCUSS!AC115 *-1, Calibración_BAU_USCUSS!AC115)*Emisiones_USCUSS!$M$31</f>
        <v>-2.6526961558171517E-3</v>
      </c>
      <c r="Z116" s="630">
        <f>IF(Calibración_BAU_USCUSS!AD115&lt;0,Calibración_BAU_USCUSS!AD115 *-1, Calibración_BAU_USCUSS!AD115)*Emisiones_USCUSS!$M$31</f>
        <v>-2.6490354351222439E-3</v>
      </c>
      <c r="AA116" s="630">
        <f>IF(Calibración_BAU_USCUSS!AE115&lt;0,Calibración_BAU_USCUSS!AE115 *-1, Calibración_BAU_USCUSS!AE115)*Emisiones_USCUSS!$M$31</f>
        <v>-2.6453797662215959E-3</v>
      </c>
      <c r="AB116" s="630">
        <f>IF(Calibración_BAU_USCUSS!AF115&lt;0,Calibración_BAU_USCUSS!AF115 *-1, Calibración_BAU_USCUSS!AF115)*Emisiones_USCUSS!$M$31</f>
        <v>-2.6417291421442519E-3</v>
      </c>
      <c r="AC116" s="630">
        <f>IF(Calibración_BAU_USCUSS!AG115&lt;0,Calibración_BAU_USCUSS!AG115 *-1, Calibración_BAU_USCUSS!AG115)*Emisiones_USCUSS!$M$31</f>
        <v>-2.6380835559280647E-3</v>
      </c>
      <c r="AD116" s="630">
        <f>IF(Calibración_BAU_USCUSS!AH115&lt;0,Calibración_BAU_USCUSS!AH115 *-1, Calibración_BAU_USCUSS!AH115)*Emisiones_USCUSS!$M$31</f>
        <v>-2.6344430006210152E-3</v>
      </c>
      <c r="AE116" s="630">
        <f>IF(Calibración_BAU_USCUSS!AI115&lt;0,Calibración_BAU_USCUSS!AI115 *-1, Calibración_BAU_USCUSS!AI115)*Emisiones_USCUSS!$M$31</f>
        <v>-2.6308074692801132E-3</v>
      </c>
      <c r="AF116" s="630">
        <f>IF(Calibración_BAU_USCUSS!AJ115&lt;0,Calibración_BAU_USCUSS!AJ115 *-1, Calibración_BAU_USCUSS!AJ115)*Emisiones_USCUSS!$M$31</f>
        <v>-2.6271769549724984E-3</v>
      </c>
      <c r="AG116" s="630">
        <f>IF(Calibración_BAU_USCUSS!AK115&lt;0,Calibración_BAU_USCUSS!AK115 *-1, Calibración_BAU_USCUSS!AK115)*Emisiones_USCUSS!$M$31</f>
        <v>-2.6235514507745587E-3</v>
      </c>
      <c r="AH116" s="630">
        <f>IF(Calibración_BAU_USCUSS!AL115&lt;0,Calibración_BAU_USCUSS!AL115 *-1, Calibración_BAU_USCUSS!AL115)*Emisiones_USCUSS!$M$31</f>
        <v>-2.6199309497725899E-3</v>
      </c>
      <c r="AI116" s="630">
        <f>IF(Calibración_BAU_USCUSS!AM115&lt;0,Calibración_BAU_USCUSS!AM115 *-1, Calibración_BAU_USCUSS!AM115)*Emisiones_USCUSS!$M$31</f>
        <v>-2.6163154450619184E-3</v>
      </c>
      <c r="AJ116" s="630">
        <f>IF(Calibración_BAU_USCUSS!AN115&lt;0,Calibración_BAU_USCUSS!AN115 *-1, Calibración_BAU_USCUSS!AN115)*Emisiones_USCUSS!$M$31</f>
        <v>-2.6127049297477774E-3</v>
      </c>
      <c r="AK116" s="630">
        <f>IF(Calibración_BAU_USCUSS!AO115&lt;0,Calibración_BAU_USCUSS!AO115 *-1, Calibración_BAU_USCUSS!AO115)*Emisiones_USCUSS!$M$31</f>
        <v>-2.6090993969446505E-3</v>
      </c>
      <c r="AL116" s="630">
        <f>IF(Calibración_BAU_USCUSS!AP115&lt;0,Calibración_BAU_USCUSS!AP115 *-1, Calibración_BAU_USCUSS!AP115)*Emisiones_USCUSS!$M$31</f>
        <v>-2.6054988397769293E-3</v>
      </c>
      <c r="AM116" s="630">
        <f>IF(Calibración_BAU_USCUSS!AQ115&lt;0,Calibración_BAU_USCUSS!AQ115 *-1, Calibración_BAU_USCUSS!AQ115)*Emisiones_USCUSS!$M$31</f>
        <v>-2.6019032513780334E-3</v>
      </c>
      <c r="AN116" s="630">
        <f>IF(Calibración_BAU_USCUSS!AR115&lt;0,Calibración_BAU_USCUSS!AR115 *-1, Calibración_BAU_USCUSS!AR115)*Emisiones_USCUSS!$M$31</f>
        <v>-2.5983126248910735E-3</v>
      </c>
      <c r="AO116" s="630">
        <f>IF(Calibración_BAU_USCUSS!AS115&lt;0,Calibración_BAU_USCUSS!AS115 *-1, Calibración_BAU_USCUSS!AS115)*Emisiones_USCUSS!$M$31</f>
        <v>-2.5947269534686256E-3</v>
      </c>
      <c r="AP116" s="630">
        <f>IF(Calibración_BAU_USCUSS!AT115&lt;0,Calibración_BAU_USCUSS!AT115 *-1, Calibración_BAU_USCUSS!AT115)*Emisiones_USCUSS!$M$31</f>
        <v>-2.5911462302729573E-3</v>
      </c>
      <c r="AQ116" s="630">
        <f>IF(Calibración_BAU_USCUSS!AU115&lt;0,Calibración_BAU_USCUSS!AU115 *-1, Calibración_BAU_USCUSS!AU115)*Emisiones_USCUSS!$M$31</f>
        <v>-2.5875704484751437E-3</v>
      </c>
      <c r="AR116" s="630">
        <f>IF(Calibración_BAU_USCUSS!AV115&lt;0,Calibración_BAU_USCUSS!AV115 *-1, Calibración_BAU_USCUSS!AV115)*Emisiones_USCUSS!$M$31</f>
        <v>-2.5839996012561681E-3</v>
      </c>
      <c r="AS116" s="630">
        <f>IF(Calibración_BAU_USCUSS!AW115&lt;0,Calibración_BAU_USCUSS!AW115 *-1, Calibración_BAU_USCUSS!AW115)*Emisiones_USCUSS!$M$31</f>
        <v>-2.5804336818064837E-3</v>
      </c>
      <c r="AT116" s="630">
        <f>IF(Calibración_BAU_USCUSS!AX115&lt;0,Calibración_BAU_USCUSS!AX115 *-1, Calibración_BAU_USCUSS!AX115)*Emisiones_USCUSS!$M$31</f>
        <v>-2.5768726833255715E-3</v>
      </c>
      <c r="AU116" s="630">
        <f>IF(Calibración_BAU_USCUSS!AY115&lt;0,Calibración_BAU_USCUSS!AY115 *-1, Calibración_BAU_USCUSS!AY115)*Emisiones_USCUSS!$M$31</f>
        <v>-2.5733165990226019E-3</v>
      </c>
      <c r="AV116" s="630">
        <f>IF(Calibración_BAU_USCUSS!AZ115&lt;0,Calibración_BAU_USCUSS!AZ115 *-1, Calibración_BAU_USCUSS!AZ115)*Emisiones_USCUSS!$M$31</f>
        <v>-2.5697654221159922E-3</v>
      </c>
      <c r="AW116" s="630">
        <f>IF(Calibración_BAU_USCUSS!BA115&lt;0,Calibración_BAU_USCUSS!BA115 *-1, Calibración_BAU_USCUSS!BA115)*Emisiones_USCUSS!$M$31</f>
        <v>-2.5662191458334098E-3</v>
      </c>
      <c r="AX116" s="630">
        <f>IF(Calibración_BAU_USCUSS!BB115&lt;0,Calibración_BAU_USCUSS!BB115 *-1, Calibración_BAU_USCUSS!BB115)*Emisiones_USCUSS!$M$31</f>
        <v>-2.5626777634122112E-3</v>
      </c>
      <c r="AY116" s="630">
        <f>IF(Calibración_BAU_USCUSS!BC115&lt;0,Calibración_BAU_USCUSS!BC115 *-1, Calibración_BAU_USCUSS!BC115)*Emisiones_USCUSS!$M$31</f>
        <v>-2.5591412680987797E-3</v>
      </c>
      <c r="AZ116" s="630">
        <f>IF(Calibración_BAU_USCUSS!BD115&lt;0,Calibración_BAU_USCUSS!BD115 *-1, Calibración_BAU_USCUSS!BD115)*Emisiones_USCUSS!$M$31</f>
        <v>-2.5556096531487481E-3</v>
      </c>
      <c r="BA116" s="630">
        <f>IF(Calibración_BAU_USCUSS!BE115&lt;0,Calibración_BAU_USCUSS!BE115 *-1, Calibración_BAU_USCUSS!BE115)*Emisiones_USCUSS!$M$31</f>
        <v>-2.5520829118274389E-3</v>
      </c>
      <c r="BB116" s="630">
        <f>IF(Calibración_BAU_USCUSS!BF115&lt;0,Calibración_BAU_USCUSS!BF115 *-1, Calibración_BAU_USCUSS!BF115)*Emisiones_USCUSS!$M$31</f>
        <v>-2.5485610374089804E-3</v>
      </c>
      <c r="BC116" s="630">
        <f>IF(Calibración_BAU_USCUSS!BG115&lt;0,Calibración_BAU_USCUSS!BG115 *-1, Calibración_BAU_USCUSS!BG115)*Emisiones_USCUSS!$M$31</f>
        <v>-2.5450440231774125E-3</v>
      </c>
      <c r="BD116" s="630">
        <f>IF(Calibración_BAU_USCUSS!BH115&lt;0,Calibración_BAU_USCUSS!BH115 *-1, Calibración_BAU_USCUSS!BH115)*Emisiones_USCUSS!$M$31</f>
        <v>-2.5415318624253621E-3</v>
      </c>
      <c r="BE116" s="630">
        <f>IF(Calibración_BAU_USCUSS!BI115&lt;0,Calibración_BAU_USCUSS!BI115 *-1, Calibración_BAU_USCUSS!BI115)*Emisiones_USCUSS!$M$31</f>
        <v>-2.5380245484553643E-3</v>
      </c>
      <c r="BF116" s="630">
        <f>IF(Calibración_BAU_USCUSS!BJ115&lt;0,Calibración_BAU_USCUSS!BJ115 *-1, Calibración_BAU_USCUSS!BJ115)*Emisiones_USCUSS!$M$31</f>
        <v>-2.534522074578543E-3</v>
      </c>
      <c r="BG116" s="630">
        <f>IF(Calibración_BAU_USCUSS!BK115&lt;0,Calibración_BAU_USCUSS!BK115 *-1, Calibración_BAU_USCUSS!BK115)*Emisiones_USCUSS!$M$31</f>
        <v>-2.5310244341154907E-3</v>
      </c>
      <c r="BH116" s="630">
        <f>IF(Calibración_BAU_USCUSS!BL115&lt;0,Calibración_BAU_USCUSS!BL115 *-1, Calibración_BAU_USCUSS!BL115)*Emisiones_USCUSS!$M$31</f>
        <v>-2.5275316203964889E-3</v>
      </c>
      <c r="BI116" s="630">
        <f>IF(Calibración_BAU_USCUSS!BM115&lt;0,Calibración_BAU_USCUSS!BM115 *-1, Calibración_BAU_USCUSS!BM115)*Emisiones_USCUSS!$M$31</f>
        <v>-2.5240436267601868E-3</v>
      </c>
      <c r="BJ116" s="630">
        <f>IF(Calibración_BAU_USCUSS!BN115&lt;0,Calibración_BAU_USCUSS!BN115 *-1, Calibración_BAU_USCUSS!BN115)*Emisiones_USCUSS!$M$31</f>
        <v>-2.5205604465553632E-3</v>
      </c>
      <c r="BK116" s="630">
        <f>IF(Calibración_BAU_USCUSS!BO115&lt;0,Calibración_BAU_USCUSS!BO115 *-1, Calibración_BAU_USCUSS!BO115)*Emisiones_USCUSS!$M$31</f>
        <v>-2.517082073139163E-3</v>
      </c>
      <c r="BL116" s="630">
        <f>IF(Calibración_BAU_USCUSS!BP115&lt;0,Calibración_BAU_USCUSS!BP115 *-1, Calibración_BAU_USCUSS!BP115)*Emisiones_USCUSS!$M$31</f>
        <v>-2.5136084998782023E-3</v>
      </c>
      <c r="BM116" s="630">
        <f>IF(Calibración_BAU_USCUSS!BQ115&lt;0,Calibración_BAU_USCUSS!BQ115 *-1, Calibración_BAU_USCUSS!BQ115)*Emisiones_USCUSS!$M$31</f>
        <v>-2.5101397201483431E-3</v>
      </c>
    </row>
    <row r="117" spans="1:65" x14ac:dyDescent="0.35">
      <c r="C117" s="1167" t="s">
        <v>80</v>
      </c>
      <c r="D117" s="1153"/>
      <c r="E117" s="633"/>
      <c r="F117" s="634"/>
      <c r="G117" s="634"/>
      <c r="H117" s="634"/>
      <c r="I117" s="630"/>
      <c r="J117" s="630"/>
      <c r="K117" s="630"/>
      <c r="L117" s="630"/>
      <c r="M117" s="630"/>
      <c r="N117" s="630"/>
      <c r="O117" s="630"/>
      <c r="P117" s="630"/>
      <c r="Q117" s="630"/>
      <c r="R117" s="630"/>
      <c r="S117" s="630"/>
      <c r="T117" s="630"/>
      <c r="U117" s="630"/>
      <c r="V117" s="630"/>
      <c r="W117" s="630"/>
      <c r="X117" s="630"/>
      <c r="Y117" s="630"/>
      <c r="Z117" s="630"/>
      <c r="AA117" s="630"/>
      <c r="AB117" s="630"/>
      <c r="AC117" s="630"/>
      <c r="AD117" s="630"/>
      <c r="AE117" s="630"/>
      <c r="AF117" s="630"/>
      <c r="AG117" s="630"/>
      <c r="AH117" s="630"/>
      <c r="AI117" s="630"/>
      <c r="AJ117" s="630"/>
      <c r="AK117" s="630"/>
      <c r="AL117" s="630"/>
      <c r="AM117" s="630"/>
      <c r="AN117" s="630"/>
      <c r="AO117" s="630"/>
      <c r="AP117" s="630"/>
      <c r="AQ117" s="630"/>
      <c r="AR117" s="630"/>
      <c r="AS117" s="630"/>
      <c r="AT117" s="630"/>
      <c r="AU117" s="630"/>
      <c r="AV117" s="630"/>
      <c r="AW117" s="630"/>
      <c r="AX117" s="630"/>
      <c r="AY117" s="630"/>
      <c r="AZ117" s="630"/>
      <c r="BA117" s="630"/>
      <c r="BB117" s="630"/>
      <c r="BC117" s="630"/>
      <c r="BD117" s="630"/>
      <c r="BE117" s="630"/>
      <c r="BF117" s="630"/>
      <c r="BG117" s="630"/>
      <c r="BH117" s="630"/>
      <c r="BI117" s="630"/>
      <c r="BJ117" s="630"/>
      <c r="BK117" s="630"/>
      <c r="BL117" s="630"/>
      <c r="BM117" s="630"/>
    </row>
    <row r="118" spans="1:65" x14ac:dyDescent="0.35">
      <c r="C118" s="1167" t="s">
        <v>57</v>
      </c>
      <c r="D118" s="1153"/>
      <c r="E118" s="633"/>
      <c r="F118" s="634"/>
      <c r="G118" s="634"/>
      <c r="H118" s="634"/>
      <c r="I118" s="630"/>
      <c r="J118" s="630"/>
      <c r="K118" s="630"/>
      <c r="L118" s="630"/>
      <c r="M118" s="630">
        <f>IF(Calibración_BAU_USCUSS!Q117 &lt;0,Calibración_BAU_USCUSS!Q117 *-1, Calibración_BAU_USCUSS!Q117)*Emisiones_USCUSS!$M$33</f>
        <v>-1.4776661499999998E-2</v>
      </c>
      <c r="N118" s="630">
        <f>IF(Calibración_BAU_USCUSS!R117 &lt;0,Calibración_BAU_USCUSS!R117 *-1, Calibración_BAU_USCUSS!R117)*Emisiones_USCUSS!$M$33</f>
        <v>-2.0416569331959313E-3</v>
      </c>
      <c r="O118" s="630">
        <f>IF(Calibración_BAU_USCUSS!S117 &lt;0,Calibración_BAU_USCUSS!S117 *-1, Calibración_BAU_USCUSS!S117)*Emisiones_USCUSS!$M$33</f>
        <v>-2.0672546219218102E-3</v>
      </c>
      <c r="P118" s="630">
        <f>IF(Calibración_BAU_USCUSS!T117 &lt;0,Calibración_BAU_USCUSS!T117 *-1, Calibración_BAU_USCUSS!T117)*Emisiones_USCUSS!$M$33</f>
        <v>-2.0931732468723167E-3</v>
      </c>
      <c r="Q118" s="630">
        <f>IF(Calibración_BAU_USCUSS!U117 &lt;0,Calibración_BAU_USCUSS!U117 *-1, Calibración_BAU_USCUSS!U117)*Emisiones_USCUSS!$M$33</f>
        <v>-2.1172192667695839E-3</v>
      </c>
      <c r="R118" s="630">
        <f>IF(Calibración_BAU_USCUSS!V117 &lt;0,Calibración_BAU_USCUSS!V117 *-1, Calibración_BAU_USCUSS!V117)*Emisiones_USCUSS!$M$33</f>
        <v>-2.1437368097587039E-3</v>
      </c>
      <c r="S118" s="630">
        <f>IF(Calibración_BAU_USCUSS!W117 &lt;0,Calibración_BAU_USCUSS!W117 *-1, Calibración_BAU_USCUSS!W117)*Emisiones_USCUSS!$M$33</f>
        <v>-2.1705864771041465E-3</v>
      </c>
      <c r="T118" s="630">
        <f>IF(Calibración_BAU_USCUSS!X117 &lt;0,Calibración_BAU_USCUSS!X117 *-1, Calibración_BAU_USCUSS!X117)*Emisiones_USCUSS!$M$33</f>
        <v>-2.1977724285649441E-3</v>
      </c>
      <c r="U118" s="630">
        <f>IF(Calibración_BAU_USCUSS!Y117 &lt;0,Calibración_BAU_USCUSS!Y117 *-1, Calibración_BAU_USCUSS!Y117)*Emisiones_USCUSS!$M$33</f>
        <v>-2.2252988759997963E-3</v>
      </c>
      <c r="V118" s="630">
        <f>IF(Calibración_BAU_USCUSS!Z117 &lt;0,Calibración_BAU_USCUSS!Z117 *-1, Calibración_BAU_USCUSS!Z117)*Emisiones_USCUSS!$M$33</f>
        <v>-2.2531700840197444E-3</v>
      </c>
      <c r="W118" s="630">
        <f>IF(Calibración_BAU_USCUSS!AA117 &lt;0,Calibración_BAU_USCUSS!AA117 *-1, Calibración_BAU_USCUSS!AA117)*Emisiones_USCUSS!$M$33</f>
        <v>-2.2813903706487971E-3</v>
      </c>
      <c r="X118" s="630">
        <f>IF(Calibración_BAU_USCUSS!AB117 &lt;0,Calibración_BAU_USCUSS!AB117 *-1, Calibración_BAU_USCUSS!AB117)*Emisiones_USCUSS!$M$33</f>
        <v>-2.3099641079929625E-3</v>
      </c>
      <c r="Y118" s="630">
        <f>IF(Calibración_BAU_USCUSS!AC117 &lt;0,Calibración_BAU_USCUSS!AC117 *-1, Calibración_BAU_USCUSS!AC117)*Emisiones_USCUSS!$M$33</f>
        <v>-2.3388957229175241E-3</v>
      </c>
      <c r="Z118" s="630">
        <f>IF(Calibración_BAU_USCUSS!AD117 &lt;0,Calibración_BAU_USCUSS!AD117 *-1, Calibración_BAU_USCUSS!AD117)*Emisiones_USCUSS!$M$33</f>
        <v>-2.3681896977329718E-3</v>
      </c>
      <c r="AA118" s="630">
        <f>IF(Calibración_BAU_USCUSS!AE117 &lt;0,Calibración_BAU_USCUSS!AE117 *-1, Calibración_BAU_USCUSS!AE117)*Emisiones_USCUSS!$M$33</f>
        <v>-2.3978505708894238E-3</v>
      </c>
      <c r="AB118" s="630">
        <f>IF(Calibración_BAU_USCUSS!AF117 &lt;0,Calibración_BAU_USCUSS!AF117 *-1, Calibración_BAU_USCUSS!AF117)*Emisiones_USCUSS!$M$33</f>
        <v>-2.4278829376797057E-3</v>
      </c>
      <c r="AC118" s="630">
        <f>IF(Calibración_BAU_USCUSS!AG117 &lt;0,Calibración_BAU_USCUSS!AG117 *-1, Calibración_BAU_USCUSS!AG117)*Emisiones_USCUSS!$M$33</f>
        <v>-2.4582914509513405E-3</v>
      </c>
      <c r="AD118" s="630">
        <f>IF(Calibración_BAU_USCUSS!AH117 &lt;0,Calibración_BAU_USCUSS!AH117 *-1, Calibración_BAU_USCUSS!AH117)*Emisiones_USCUSS!$M$33</f>
        <v>-2.489080821827314E-3</v>
      </c>
      <c r="AE118" s="630">
        <f>IF(Calibración_BAU_USCUSS!AI117 &lt;0,Calibración_BAU_USCUSS!AI117 *-1, Calibración_BAU_USCUSS!AI117)*Emisiones_USCUSS!$M$33</f>
        <v>-2.5202558204362123E-3</v>
      </c>
      <c r="AF118" s="630">
        <f>IF(Calibración_BAU_USCUSS!AJ117 &lt;0,Calibración_BAU_USCUSS!AJ117 *-1, Calibración_BAU_USCUSS!AJ117)*Emisiones_USCUSS!$M$33</f>
        <v>-2.5518212766508443E-3</v>
      </c>
      <c r="AG118" s="630">
        <f>IF(Calibración_BAU_USCUSS!AK117 &lt;0,Calibración_BAU_USCUSS!AK117 *-1, Calibración_BAU_USCUSS!AK117)*Emisiones_USCUSS!$M$33</f>
        <v>-2.5837820808368994E-3</v>
      </c>
      <c r="AH118" s="630">
        <f>IF(Calibración_BAU_USCUSS!AL117 &lt;0,Calibración_BAU_USCUSS!AL117 *-1, Calibración_BAU_USCUSS!AL117)*Emisiones_USCUSS!$M$33</f>
        <v>-2.6161431846103856E-3</v>
      </c>
      <c r="AI118" s="630">
        <f>IF(Calibración_BAU_USCUSS!AM117 &lt;0,Calibración_BAU_USCUSS!AM117 *-1, Calibración_BAU_USCUSS!AM117)*Emisiones_USCUSS!$M$33</f>
        <v>-2.6489096016048073E-3</v>
      </c>
      <c r="AJ118" s="630">
        <f>IF(Calibración_BAU_USCUSS!AN117 &lt;0,Calibración_BAU_USCUSS!AN117 *-1, Calibración_BAU_USCUSS!AN117)*Emisiones_USCUSS!$M$33</f>
        <v>-2.6820864082479977E-3</v>
      </c>
      <c r="AK118" s="630">
        <f>IF(Calibración_BAU_USCUSS!AO117 &lt;0,Calibración_BAU_USCUSS!AO117 *-1, Calibración_BAU_USCUSS!AO117)*Emisiones_USCUSS!$M$33</f>
        <v>-2.7156787445485287E-3</v>
      </c>
      <c r="AL118" s="630">
        <f>IF(Calibración_BAU_USCUSS!AP117 &lt;0,Calibración_BAU_USCUSS!AP117 *-1, Calibración_BAU_USCUSS!AP117)*Emisiones_USCUSS!$M$33</f>
        <v>-2.7496918148920231E-3</v>
      </c>
      <c r="AM118" s="630">
        <f>IF(Calibración_BAU_USCUSS!AQ117 &lt;0,Calibración_BAU_USCUSS!AQ117 *-1, Calibración_BAU_USCUSS!AQ117)*Emisiones_USCUSS!$M$33</f>
        <v>-2.7841308888474979E-3</v>
      </c>
      <c r="AN118" s="630">
        <f>IF(Calibración_BAU_USCUSS!AR117 &lt;0,Calibración_BAU_USCUSS!AR117 *-1, Calibración_BAU_USCUSS!AR117)*Emisiones_USCUSS!$M$33</f>
        <v>-2.8190013019837828E-3</v>
      </c>
      <c r="AO118" s="630">
        <f>IF(Calibración_BAU_USCUSS!AS117 &lt;0,Calibración_BAU_USCUSS!AS117 *-1, Calibración_BAU_USCUSS!AS117)*Emisiones_USCUSS!$M$33</f>
        <v>-2.8543084566961317E-3</v>
      </c>
      <c r="AP118" s="630">
        <f>IF(Calibración_BAU_USCUSS!AT117 &lt;0,Calibración_BAU_USCUSS!AT117 *-1, Calibración_BAU_USCUSS!AT117)*Emisiones_USCUSS!$M$33</f>
        <v>-2.8900578230431212E-3</v>
      </c>
      <c r="AQ118" s="630">
        <f>IF(Calibración_BAU_USCUSS!AU117 &lt;0,Calibración_BAU_USCUSS!AU117 *-1, Calibración_BAU_USCUSS!AU117)*Emisiones_USCUSS!$M$33</f>
        <v>-2.9262549395942814E-3</v>
      </c>
      <c r="AR118" s="630">
        <f>IF(Calibración_BAU_USCUSS!AV117 &lt;0,Calibración_BAU_USCUSS!AV117 *-1, Calibración_BAU_USCUSS!AV117)*Emisiones_USCUSS!$M$33</f>
        <v>-2.9629054142880085E-3</v>
      </c>
      <c r="AS118" s="630">
        <f>IF(Calibración_BAU_USCUSS!AW117 &lt;0,Calibración_BAU_USCUSS!AW117 *-1, Calibración_BAU_USCUSS!AW117)*Emisiones_USCUSS!$M$33</f>
        <v>-3.0000149253005125E-3</v>
      </c>
      <c r="AT118" s="630">
        <f>IF(Calibración_BAU_USCUSS!AX117 &lt;0,Calibración_BAU_USCUSS!AX117 *-1, Calibración_BAU_USCUSS!AX117)*Emisiones_USCUSS!$M$33</f>
        <v>-3.0375892219254969E-3</v>
      </c>
      <c r="AU118" s="630">
        <f>IF(Calibración_BAU_USCUSS!AY117 &lt;0,Calibración_BAU_USCUSS!AY117 *-1, Calibración_BAU_USCUSS!AY117)*Emisiones_USCUSS!$M$33</f>
        <v>-3.0756341254647452E-3</v>
      </c>
      <c r="AV118" s="630">
        <f>IF(Calibración_BAU_USCUSS!AZ117 &lt;0,Calibración_BAU_USCUSS!AZ117 *-1, Calibración_BAU_USCUSS!AZ117)*Emisiones_USCUSS!$M$33</f>
        <v>-3.1141555301302808E-3</v>
      </c>
      <c r="AW118" s="630">
        <f>IF(Calibración_BAU_USCUSS!BA117 &lt;0,Calibración_BAU_USCUSS!BA117 *-1, Calibración_BAU_USCUSS!BA117)*Emisiones_USCUSS!$M$33</f>
        <v>-3.1531594039572227E-3</v>
      </c>
      <c r="AX118" s="630">
        <f>IF(Calibración_BAU_USCUSS!BB117 &lt;0,Calibración_BAU_USCUSS!BB117 *-1, Calibración_BAU_USCUSS!BB117)*Emisiones_USCUSS!$M$33</f>
        <v>-3.1926517897286674E-3</v>
      </c>
      <c r="AY118" s="630">
        <f>IF(Calibración_BAU_USCUSS!BC117 &lt;0,Calibración_BAU_USCUSS!BC117 *-1, Calibración_BAU_USCUSS!BC117)*Emisiones_USCUSS!$M$33</f>
        <v>-3.2326388059117279E-3</v>
      </c>
      <c r="AZ118" s="630">
        <f>IF(Calibración_BAU_USCUSS!BD117 &lt;0,Calibración_BAU_USCUSS!BD117 *-1, Calibración_BAU_USCUSS!BD117)*Emisiones_USCUSS!$M$33</f>
        <v>-3.2731266476055585E-3</v>
      </c>
      <c r="BA118" s="630">
        <f>IF(Calibración_BAU_USCUSS!BE117 &lt;0,Calibración_BAU_USCUSS!BE117 *-1, Calibración_BAU_USCUSS!BE117)*Emisiones_USCUSS!$M$33</f>
        <v>-3.3141215875010393E-3</v>
      </c>
      <c r="BB118" s="630">
        <f>IF(Calibración_BAU_USCUSS!BF117 &lt;0,Calibración_BAU_USCUSS!BF117 *-1, Calibración_BAU_USCUSS!BF117)*Emisiones_USCUSS!$M$33</f>
        <v>-3.3556299768526024E-3</v>
      </c>
      <c r="BC118" s="630">
        <f>IF(Calibración_BAU_USCUSS!BG117 &lt;0,Calibración_BAU_USCUSS!BG117 *-1, Calibración_BAU_USCUSS!BG117)*Emisiones_USCUSS!$M$33</f>
        <v>-3.397658246462393E-3</v>
      </c>
      <c r="BD118" s="630">
        <f>IF(Calibración_BAU_USCUSS!BH117 &lt;0,Calibración_BAU_USCUSS!BH117 *-1, Calibración_BAU_USCUSS!BH117)*Emisiones_USCUSS!$M$33</f>
        <v>-3.4402129076762785E-3</v>
      </c>
      <c r="BE118" s="630">
        <f>IF(Calibración_BAU_USCUSS!BI117 &lt;0,Calibración_BAU_USCUSS!BI117 *-1, Calibración_BAU_USCUSS!BI117)*Emisiones_USCUSS!$M$33</f>
        <v>-3.4833005533929399E-3</v>
      </c>
      <c r="BF118" s="630">
        <f>IF(Calibración_BAU_USCUSS!BJ117 &lt;0,Calibración_BAU_USCUSS!BJ117 *-1, Calibración_BAU_USCUSS!BJ117)*Emisiones_USCUSS!$M$33</f>
        <v>-3.5269278590851056E-3</v>
      </c>
      <c r="BG118" s="630">
        <f>IF(Calibración_BAU_USCUSS!BK117 &lt;0,Calibración_BAU_USCUSS!BK117 *-1, Calibración_BAU_USCUSS!BK117)*Emisiones_USCUSS!$M$33</f>
        <v>-3.5711015838337384E-3</v>
      </c>
      <c r="BH118" s="630">
        <f>IF(Calibración_BAU_USCUSS!BL117 &lt;0,Calibración_BAU_USCUSS!BL117 *-1, Calibración_BAU_USCUSS!BL117)*Emisiones_USCUSS!$M$33</f>
        <v>-3.6158285713754519E-3</v>
      </c>
      <c r="BI118" s="630">
        <f>IF(Calibración_BAU_USCUSS!BM117 &lt;0,Calibración_BAU_USCUSS!BM117 *-1, Calibración_BAU_USCUSS!BM117)*Emisiones_USCUSS!$M$33</f>
        <v>-3.6611157511624616E-3</v>
      </c>
      <c r="BJ118" s="630">
        <f>IF(Calibración_BAU_USCUSS!BN117 &lt;0,Calibración_BAU_USCUSS!BN117 *-1, Calibración_BAU_USCUSS!BN117)*Emisiones_USCUSS!$M$33</f>
        <v>-3.706970139436471E-3</v>
      </c>
      <c r="BK118" s="630">
        <f>IF(Calibración_BAU_USCUSS!BO117 &lt;0,Calibración_BAU_USCUSS!BO117 *-1, Calibración_BAU_USCUSS!BO117)*Emisiones_USCUSS!$M$33</f>
        <v>-3.7533988403153861E-3</v>
      </c>
      <c r="BL118" s="630">
        <f>IF(Calibración_BAU_USCUSS!BP117 &lt;0,Calibración_BAU_USCUSS!BP117 *-1, Calibración_BAU_USCUSS!BP117)*Emisiones_USCUSS!$M$33</f>
        <v>-3.8004090468941737E-3</v>
      </c>
      <c r="BM118" s="630">
        <f>IF(Calibración_BAU_USCUSS!BQ117 &lt;0,Calibración_BAU_USCUSS!BQ117 *-1, Calibración_BAU_USCUSS!BQ117)*Emisiones_USCUSS!$M$33</f>
        <v>-3.8480080423591301E-3</v>
      </c>
    </row>
    <row r="119" spans="1:65" x14ac:dyDescent="0.35">
      <c r="D119" s="93"/>
      <c r="E119" s="112"/>
      <c r="F119" s="112"/>
      <c r="G119" s="112"/>
      <c r="H119" s="112"/>
      <c r="M119" s="373">
        <f>SUM(M112:M118)</f>
        <v>35.926092555599993</v>
      </c>
      <c r="N119" s="373">
        <f>SUM(N112:N118)</f>
        <v>9.4406551452692096</v>
      </c>
      <c r="O119" s="373">
        <f t="shared" ref="O119:P119" si="0">SUM(O112:O118)</f>
        <v>9.7929893591893755</v>
      </c>
      <c r="P119" s="373">
        <f t="shared" si="0"/>
        <v>9.7162071312780025</v>
      </c>
      <c r="Q119" s="373">
        <f>SUM(Q112:Q118)</f>
        <v>9.6436310415994573</v>
      </c>
      <c r="R119" s="373">
        <f t="shared" ref="R119:BM119" si="1">SUM(R112:R118)</f>
        <v>9.5750909671162052</v>
      </c>
      <c r="S119" s="373">
        <f t="shared" si="1"/>
        <v>9.5061700885816549</v>
      </c>
      <c r="T119" s="373">
        <f t="shared" si="1"/>
        <v>9.4374079042043775</v>
      </c>
      <c r="U119" s="373">
        <f t="shared" si="1"/>
        <v>9.3689816275634445</v>
      </c>
      <c r="V119" s="373">
        <f t="shared" si="1"/>
        <v>9.303402302872076</v>
      </c>
      <c r="W119" s="373">
        <f t="shared" si="1"/>
        <v>9.2361116894008699</v>
      </c>
      <c r="X119" s="373">
        <f t="shared" si="1"/>
        <v>9.1687605653465738</v>
      </c>
      <c r="Y119" s="373">
        <f t="shared" si="1"/>
        <v>9.1034309923428189</v>
      </c>
      <c r="Z119" s="373">
        <f t="shared" si="1"/>
        <v>9.0396905258906912</v>
      </c>
      <c r="AA119" s="373">
        <f t="shared" si="1"/>
        <v>8.9737421133684574</v>
      </c>
      <c r="AB119" s="373">
        <f t="shared" si="1"/>
        <v>8.9103311255101563</v>
      </c>
      <c r="AC119" s="373">
        <f t="shared" si="1"/>
        <v>8.8456804957779429</v>
      </c>
      <c r="AD119" s="373">
        <f t="shared" si="1"/>
        <v>8.7824637914188397</v>
      </c>
      <c r="AE119" s="373">
        <f t="shared" si="1"/>
        <v>8.7200755979039215</v>
      </c>
      <c r="AF119" s="373">
        <f t="shared" si="1"/>
        <v>8.6573006974556144</v>
      </c>
      <c r="AG119" s="373">
        <f t="shared" si="1"/>
        <v>8.5956504695352738</v>
      </c>
      <c r="AH119" s="373">
        <f t="shared" si="1"/>
        <v>8.5346602478805558</v>
      </c>
      <c r="AI119" s="373">
        <f t="shared" si="1"/>
        <v>8.4733556554018392</v>
      </c>
      <c r="AJ119" s="373">
        <f t="shared" si="1"/>
        <v>8.4129878232048316</v>
      </c>
      <c r="AK119" s="373">
        <f t="shared" si="1"/>
        <v>8.3529587301660122</v>
      </c>
      <c r="AL119" s="373">
        <f t="shared" si="1"/>
        <v>8.2926106219583584</v>
      </c>
      <c r="AM119" s="373">
        <f t="shared" si="1"/>
        <v>8.2343934404441921</v>
      </c>
      <c r="AN119" s="373">
        <f t="shared" si="1"/>
        <v>8.1752109955145666</v>
      </c>
      <c r="AO119" s="373">
        <f t="shared" si="1"/>
        <v>8.1178587180123376</v>
      </c>
      <c r="AP119" s="373">
        <f t="shared" si="1"/>
        <v>8.0593600075812493</v>
      </c>
      <c r="AQ119" s="373">
        <f t="shared" si="1"/>
        <v>8.0020142032099031</v>
      </c>
      <c r="AR119" s="373">
        <f t="shared" si="1"/>
        <v>7.945256803805993</v>
      </c>
      <c r="AS119" s="373">
        <f t="shared" si="1"/>
        <v>7.888834403408989</v>
      </c>
      <c r="AT119" s="373">
        <f t="shared" si="1"/>
        <v>7.8332548756725044</v>
      </c>
      <c r="AU119" s="373">
        <f t="shared" si="1"/>
        <v>7.7773266135584542</v>
      </c>
      <c r="AV119" s="373">
        <f t="shared" si="1"/>
        <v>7.7221568114775758</v>
      </c>
      <c r="AW119" s="373">
        <f t="shared" si="1"/>
        <v>7.6675074010796109</v>
      </c>
      <c r="AX119" s="373">
        <f t="shared" si="1"/>
        <v>7.6131993013987493</v>
      </c>
      <c r="AY119" s="373">
        <f t="shared" si="1"/>
        <v>7.5593620068285539</v>
      </c>
      <c r="AZ119" s="373">
        <f t="shared" si="1"/>
        <v>7.5057430853231191</v>
      </c>
      <c r="BA119" s="373">
        <f t="shared" si="1"/>
        <v>7.45266561414733</v>
      </c>
      <c r="BB119" s="373">
        <f t="shared" si="1"/>
        <v>7.3999896224168555</v>
      </c>
      <c r="BC119" s="373">
        <f t="shared" si="1"/>
        <v>7.3476994944739236</v>
      </c>
      <c r="BD119" s="373">
        <f t="shared" si="1"/>
        <v>7.2957940232170433</v>
      </c>
      <c r="BE119" s="373">
        <f t="shared" si="1"/>
        <v>7.2442910530487117</v>
      </c>
      <c r="BF119" s="373">
        <f t="shared" si="1"/>
        <v>7.1931823866703288</v>
      </c>
      <c r="BG119" s="373">
        <f t="shared" si="1"/>
        <v>7.14246238165686</v>
      </c>
      <c r="BH119" s="373">
        <f t="shared" si="1"/>
        <v>7.0921194513519135</v>
      </c>
      <c r="BI119" s="373">
        <f t="shared" si="1"/>
        <v>7.0421584218163895</v>
      </c>
      <c r="BJ119" s="373">
        <f t="shared" si="1"/>
        <v>6.9925731770722654</v>
      </c>
      <c r="BK119" s="373">
        <f t="shared" si="1"/>
        <v>6.9433700876406546</v>
      </c>
      <c r="BL119" s="373">
        <f t="shared" si="1"/>
        <v>6.8945386119251477</v>
      </c>
      <c r="BM119" s="373">
        <f t="shared" si="1"/>
        <v>6.8460760853927001</v>
      </c>
    </row>
    <row r="120" spans="1:65" ht="15.5" x14ac:dyDescent="0.3">
      <c r="C120" s="1173" t="s">
        <v>248</v>
      </c>
      <c r="D120" s="1173"/>
      <c r="E120" s="1173"/>
      <c r="F120" s="1173"/>
      <c r="G120" s="1173"/>
      <c r="H120" s="1173"/>
      <c r="I120" s="1173"/>
    </row>
    <row r="121" spans="1:65" ht="14.4" customHeight="1" x14ac:dyDescent="0.35">
      <c r="C121" s="1181" t="s">
        <v>99</v>
      </c>
      <c r="D121" s="1182"/>
      <c r="E121" s="634"/>
      <c r="F121" s="634"/>
      <c r="G121" s="634"/>
      <c r="H121" s="634"/>
      <c r="I121" s="630"/>
      <c r="J121" s="630"/>
      <c r="K121" s="630"/>
      <c r="L121" s="630"/>
      <c r="M121" s="1183" t="s">
        <v>249</v>
      </c>
      <c r="N121" s="630">
        <f>IF(Calibración_BAU_USCUSS!R121&lt;0,Calibración_BAU_USCUSS!R121 *-1, Calibración_BAU_USCUSS!R121)*Emisiones_USCUSS!$M$36</f>
        <v>26.809387843498303</v>
      </c>
      <c r="O121" s="630">
        <f>IF(Calibración_BAU_USCUSS!S121&lt;0,Calibración_BAU_USCUSS!S121 *-1, Calibración_BAU_USCUSS!S121)*Emisiones_USCUSS!$M$36</f>
        <v>27.753507245795028</v>
      </c>
      <c r="P121" s="630">
        <f>IF(Calibración_BAU_USCUSS!T121&lt;0,Calibración_BAU_USCUSS!T121 *-1, Calibración_BAU_USCUSS!T121)*Emisiones_USCUSS!$M$36</f>
        <v>27.542580590726793</v>
      </c>
      <c r="Q121" s="630">
        <f>IF(Calibración_BAU_USCUSS!U121&lt;0,Calibración_BAU_USCUSS!U121 *-1, Calibración_BAU_USCUSS!U121)*Emisiones_USCUSS!$M$36</f>
        <v>27.333256978237497</v>
      </c>
      <c r="R121" s="630">
        <f>IF(Calibración_BAU_USCUSS!V121&lt;0,Calibración_BAU_USCUSS!V121 *-1, Calibración_BAU_USCUSS!V121)*Emisiones_USCUSS!$M$36</f>
        <v>27.125524225202568</v>
      </c>
      <c r="S121" s="630">
        <f>IF(Calibración_BAU_USCUSS!W121&lt;0,Calibración_BAU_USCUSS!W121 *-1, Calibración_BAU_USCUSS!W121)*Emisiones_USCUSS!$M$36</f>
        <v>26.919370241091286</v>
      </c>
      <c r="T121" s="630">
        <f>IF(Calibración_BAU_USCUSS!X121&lt;0,Calibración_BAU_USCUSS!X121 *-1, Calibración_BAU_USCUSS!X121)*Emisiones_USCUSS!$M$36</f>
        <v>26.714783027258989</v>
      </c>
      <c r="U121" s="630">
        <f>IF(Calibración_BAU_USCUSS!Y121&lt;0,Calibración_BAU_USCUSS!Y121 *-1, Calibración_BAU_USCUSS!Y121)*Emisiones_USCUSS!$M$36</f>
        <v>26.511750676251935</v>
      </c>
      <c r="V121" s="630">
        <f>IF(Calibración_BAU_USCUSS!Z121&lt;0,Calibración_BAU_USCUSS!Z121 *-1, Calibración_BAU_USCUSS!Z121)*Emisiones_USCUSS!$M$36</f>
        <v>26.310261371112148</v>
      </c>
      <c r="W121" s="630">
        <f>IF(Calibración_BAU_USCUSS!AA121&lt;0,Calibración_BAU_USCUSS!AA121 *-1, Calibración_BAU_USCUSS!AA121)*Emisiones_USCUSS!$M$36</f>
        <v>26.110303384691953</v>
      </c>
      <c r="X121" s="630">
        <f>IF(Calibración_BAU_USCUSS!AB121&lt;0,Calibración_BAU_USCUSS!AB121 *-1, Calibración_BAU_USCUSS!AB121)*Emisiones_USCUSS!$M$36</f>
        <v>25.911865078967953</v>
      </c>
      <c r="Y121" s="630">
        <f>IF(Calibración_BAU_USCUSS!AC121&lt;0,Calibración_BAU_USCUSS!AC121 *-1, Calibración_BAU_USCUSS!AC121)*Emisiones_USCUSS!$M$36</f>
        <v>25.714934904368238</v>
      </c>
      <c r="Z121" s="630">
        <f>IF(Calibración_BAU_USCUSS!AD121&lt;0,Calibración_BAU_USCUSS!AD121 *-1, Calibración_BAU_USCUSS!AD121)*Emisiones_USCUSS!$M$36</f>
        <v>25.519501399094981</v>
      </c>
      <c r="AA121" s="630">
        <f>IF(Calibración_BAU_USCUSS!AE121&lt;0,Calibración_BAU_USCUSS!AE121 *-1, Calibración_BAU_USCUSS!AE121)*Emisiones_USCUSS!$M$36</f>
        <v>25.325553188461832</v>
      </c>
      <c r="AB121" s="630">
        <f>IF(Calibración_BAU_USCUSS!AF121&lt;0,Calibración_BAU_USCUSS!AF121 *-1, Calibración_BAU_USCUSS!AF121)*Emisiones_USCUSS!$M$36</f>
        <v>25.133078984229165</v>
      </c>
      <c r="AC121" s="630">
        <f>IF(Calibración_BAU_USCUSS!AG121&lt;0,Calibración_BAU_USCUSS!AG121 *-1, Calibración_BAU_USCUSS!AG121)*Emisiones_USCUSS!$M$36</f>
        <v>24.942067583949065</v>
      </c>
      <c r="AD121" s="630">
        <f>IF(Calibración_BAU_USCUSS!AH121&lt;0,Calibración_BAU_USCUSS!AH121 *-1, Calibración_BAU_USCUSS!AH121)*Emisiones_USCUSS!$M$36</f>
        <v>24.752507870311288</v>
      </c>
      <c r="AE121" s="630">
        <f>IF(Calibración_BAU_USCUSS!AI121&lt;0,Calibración_BAU_USCUSS!AI121 *-1, Calibración_BAU_USCUSS!AI121)*Emisiones_USCUSS!$M$36</f>
        <v>24.564388810496833</v>
      </c>
      <c r="AF121" s="630">
        <f>IF(Calibración_BAU_USCUSS!AJ121&lt;0,Calibración_BAU_USCUSS!AJ121 *-1, Calibración_BAU_USCUSS!AJ121)*Emisiones_USCUSS!$M$36</f>
        <v>24.377699455537105</v>
      </c>
      <c r="AG121" s="630">
        <f>IF(Calibración_BAU_USCUSS!AK121&lt;0,Calibración_BAU_USCUSS!AK121 *-1, Calibración_BAU_USCUSS!AK121)*Emisiones_USCUSS!$M$36</f>
        <v>24.192428939675086</v>
      </c>
      <c r="AH121" s="630">
        <f>IF(Calibración_BAU_USCUSS!AL121&lt;0,Calibración_BAU_USCUSS!AL121 *-1, Calibración_BAU_USCUSS!AL121)*Emisiones_USCUSS!$M$36</f>
        <v>24.008566479733648</v>
      </c>
      <c r="AI121" s="630">
        <f>IF(Calibración_BAU_USCUSS!AM121&lt;0,Calibración_BAU_USCUSS!AM121 *-1, Calibración_BAU_USCUSS!AM121)*Emisiones_USCUSS!$M$36</f>
        <v>23.82610137448739</v>
      </c>
      <c r="AJ121" s="630">
        <f>IF(Calibración_BAU_USCUSS!AN121&lt;0,Calibración_BAU_USCUSS!AN121 *-1, Calibración_BAU_USCUSS!AN121)*Emisiones_USCUSS!$M$36</f>
        <v>23.645023004041569</v>
      </c>
      <c r="AK121" s="630">
        <f>IF(Calibración_BAU_USCUSS!AO121&lt;0,Calibración_BAU_USCUSS!AO121 *-1, Calibración_BAU_USCUSS!AO121)*Emisiones_USCUSS!$M$36</f>
        <v>23.465320829210551</v>
      </c>
      <c r="AL121" s="630">
        <f>IF(Calibración_BAU_USCUSS!AP121&lt;0,Calibración_BAU_USCUSS!AP121 *-1, Calibración_BAU_USCUSS!AP121)*Emisiones_USCUSS!$M$36</f>
        <v>23.286984390908433</v>
      </c>
      <c r="AM121" s="630">
        <f>IF(Calibración_BAU_USCUSS!AQ121&lt;0,Calibración_BAU_USCUSS!AQ121 *-1, Calibración_BAU_USCUSS!AQ121)*Emisiones_USCUSS!$M$36</f>
        <v>23.110003309537611</v>
      </c>
      <c r="AN121" s="630">
        <f>IF(Calibración_BAU_USCUSS!AR121&lt;0,Calibración_BAU_USCUSS!AR121 *-1, Calibración_BAU_USCUSS!AR121)*Emisiones_USCUSS!$M$36</f>
        <v>22.934367284385498</v>
      </c>
      <c r="AO121" s="630">
        <f>IF(Calibración_BAU_USCUSS!AS121&lt;0,Calibración_BAU_USCUSS!AS121 *-1, Calibración_BAU_USCUSS!AS121)*Emisiones_USCUSS!$M$36</f>
        <v>22.760066093023781</v>
      </c>
      <c r="AP121" s="630">
        <f>IF(Calibración_BAU_USCUSS!AT121&lt;0,Calibración_BAU_USCUSS!AT121 *-1, Calibración_BAU_USCUSS!AT121)*Emisiones_USCUSS!$M$36</f>
        <v>22.587089590716751</v>
      </c>
      <c r="AQ121" s="630">
        <f>IF(Calibración_BAU_USCUSS!AU121&lt;0,Calibración_BAU_USCUSS!AU121 *-1, Calibración_BAU_USCUSS!AU121)*Emisiones_USCUSS!$M$36</f>
        <v>22.415427709827689</v>
      </c>
      <c r="AR121" s="630">
        <f>IF(Calibración_BAU_USCUSS!AV121&lt;0,Calibración_BAU_USCUSS!AV121 *-1, Calibración_BAU_USCUSS!AV121)*Emisiones_USCUSS!$M$36</f>
        <v>22.245070459232824</v>
      </c>
      <c r="AS121" s="630">
        <f>IF(Calibración_BAU_USCUSS!AW121&lt;0,Calibración_BAU_USCUSS!AW121 *-1, Calibración_BAU_USCUSS!AW121)*Emisiones_USCUSS!$M$36</f>
        <v>22.076007923742861</v>
      </c>
      <c r="AT121" s="630">
        <f>IF(Calibración_BAU_USCUSS!AX121&lt;0,Calibración_BAU_USCUSS!AX121 *-1, Calibración_BAU_USCUSS!AX121)*Emisiones_USCUSS!$M$36</f>
        <v>21.908230263522057</v>
      </c>
      <c r="AU121" s="630">
        <f>IF(Calibración_BAU_USCUSS!AY121&lt;0,Calibración_BAU_USCUSS!AY121 *-1, Calibración_BAU_USCUSS!AY121)*Emisiones_USCUSS!$M$36</f>
        <v>21.741727713519388</v>
      </c>
      <c r="AV121" s="630">
        <f>IF(Calibración_BAU_USCUSS!AZ121&lt;0,Calibración_BAU_USCUSS!AZ121 *-1, Calibración_BAU_USCUSS!AZ121)*Emisiones_USCUSS!$M$36</f>
        <v>21.576490582896756</v>
      </c>
      <c r="AW121" s="630">
        <f>IF(Calibración_BAU_USCUSS!BA121&lt;0,Calibración_BAU_USCUSS!BA121 *-1, Calibración_BAU_USCUSS!BA121)*Emisiones_USCUSS!$M$36</f>
        <v>21.412509254466759</v>
      </c>
      <c r="AX121" s="630">
        <f>IF(Calibración_BAU_USCUSS!BB121&lt;0,Calibración_BAU_USCUSS!BB121 *-1, Calibración_BAU_USCUSS!BB121)*Emisiones_USCUSS!$M$36</f>
        <v>21.24977418413253</v>
      </c>
      <c r="AY121" s="630">
        <f>IF(Calibración_BAU_USCUSS!BC121&lt;0,Calibración_BAU_USCUSS!BC121 *-1, Calibración_BAU_USCUSS!BC121)*Emisiones_USCUSS!$M$36</f>
        <v>21.088275900333162</v>
      </c>
      <c r="AZ121" s="630">
        <f>IF(Calibración_BAU_USCUSS!BD121&lt;0,Calibración_BAU_USCUSS!BD121 *-1, Calibración_BAU_USCUSS!BD121)*Emisiones_USCUSS!$M$36</f>
        <v>20.928005003490654</v>
      </c>
      <c r="BA121" s="630">
        <f>IF(Calibración_BAU_USCUSS!BE121&lt;0,Calibración_BAU_USCUSS!BE121 *-1, Calibración_BAU_USCUSS!BE121)*Emisiones_USCUSS!$M$36</f>
        <v>20.76895216546442</v>
      </c>
      <c r="BB121" s="630">
        <f>IF(Calibración_BAU_USCUSS!BF121&lt;0,Calibración_BAU_USCUSS!BF121 *-1, Calibración_BAU_USCUSS!BF121)*Emisiones_USCUSS!$M$36</f>
        <v>20.611108129006908</v>
      </c>
      <c r="BC121" s="630">
        <f>IF(Calibración_BAU_USCUSS!BG121&lt;0,Calibración_BAU_USCUSS!BG121 *-1, Calibración_BAU_USCUSS!BG121)*Emisiones_USCUSS!$M$36</f>
        <v>20.454463707226214</v>
      </c>
      <c r="BD121" s="630">
        <f>IF(Calibración_BAU_USCUSS!BH121&lt;0,Calibración_BAU_USCUSS!BH121 *-1, Calibración_BAU_USCUSS!BH121)*Emisiones_USCUSS!$M$36</f>
        <v>20.299009783051321</v>
      </c>
      <c r="BE121" s="630">
        <f>IF(Calibración_BAU_USCUSS!BI121&lt;0,Calibración_BAU_USCUSS!BI121 *-1, Calibración_BAU_USCUSS!BI121)*Emisiones_USCUSS!$M$36</f>
        <v>20.144737308700329</v>
      </c>
      <c r="BF121" s="630">
        <f>IF(Calibración_BAU_USCUSS!BJ121&lt;0,Calibración_BAU_USCUSS!BJ121 *-1, Calibración_BAU_USCUSS!BJ121)*Emisiones_USCUSS!$M$36</f>
        <v>19.991637305154288</v>
      </c>
      <c r="BG121" s="630">
        <f>IF(Calibración_BAU_USCUSS!BK121&lt;0,Calibración_BAU_USCUSS!BK121 *-1, Calibración_BAU_USCUSS!BK121)*Emisiones_USCUSS!$M$36</f>
        <v>19.839700861635098</v>
      </c>
      <c r="BH121" s="630">
        <f>IF(Calibración_BAU_USCUSS!BL121&lt;0,Calibración_BAU_USCUSS!BL121 *-1, Calibración_BAU_USCUSS!BL121)*Emisiones_USCUSS!$M$36</f>
        <v>19.688919135086419</v>
      </c>
      <c r="BI121" s="630">
        <f>IF(Calibración_BAU_USCUSS!BM121&lt;0,Calibración_BAU_USCUSS!BM121 *-1, Calibración_BAU_USCUSS!BM121)*Emisiones_USCUSS!$M$36</f>
        <v>19.539283349659698</v>
      </c>
      <c r="BJ121" s="630">
        <f>IF(Calibración_BAU_USCUSS!BN121&lt;0,Calibración_BAU_USCUSS!BN121 *-1, Calibración_BAU_USCUSS!BN121)*Emisiones_USCUSS!$M$36</f>
        <v>19.390784796202201</v>
      </c>
      <c r="BK121" s="630">
        <f>IF(Calibración_BAU_USCUSS!BO121&lt;0,Calibración_BAU_USCUSS!BO121 *-1, Calibración_BAU_USCUSS!BO121)*Emisiones_USCUSS!$M$36</f>
        <v>19.243414831751128</v>
      </c>
      <c r="BL121" s="630">
        <f>IF(Calibración_BAU_USCUSS!BP121&lt;0,Calibración_BAU_USCUSS!BP121 *-1, Calibración_BAU_USCUSS!BP121)*Emisiones_USCUSS!$M$36</f>
        <v>19.097164879029776</v>
      </c>
      <c r="BM121" s="630">
        <f>IF(Calibración_BAU_USCUSS!BQ121&lt;0,Calibración_BAU_USCUSS!BQ121 *-1, Calibración_BAU_USCUSS!BQ121)*Emisiones_USCUSS!$M$36</f>
        <v>18.952026425949281</v>
      </c>
    </row>
    <row r="122" spans="1:65" ht="14.4" customHeight="1" x14ac:dyDescent="0.35">
      <c r="C122" s="1167" t="s">
        <v>101</v>
      </c>
      <c r="D122" s="1153"/>
      <c r="E122" s="634"/>
      <c r="F122" s="634"/>
      <c r="G122" s="634"/>
      <c r="H122" s="634"/>
      <c r="I122" s="630"/>
      <c r="J122" s="630"/>
      <c r="K122" s="630"/>
      <c r="L122" s="630"/>
      <c r="M122" s="1183"/>
      <c r="N122" s="630">
        <f>IF(Calibración_BAU_USCUSS!R122&lt;0, Calibración_BAU_USCUSS!R122*-1, Calibración_BAU_USCUSS!R122)*Emisiones_USCUSS!$M$37</f>
        <v>7.320881686189845E-6</v>
      </c>
      <c r="O122" s="630">
        <f>IF(Calibración_BAU_USCUSS!S122&lt;0, Calibración_BAU_USCUSS!S122*-1, Calibración_BAU_USCUSS!S122)*Emisiones_USCUSS!$M$37</f>
        <v>4.7097674316232165E-3</v>
      </c>
      <c r="P122" s="630">
        <f>IF(Calibración_BAU_USCUSS!T122&lt;0, Calibración_BAU_USCUSS!T122*-1, Calibración_BAU_USCUSS!T122)*Emisiones_USCUSS!$M$37</f>
        <v>2.5593888023317532E-3</v>
      </c>
      <c r="Q122" s="630">
        <f>IF(Calibración_BAU_USCUSS!U122&lt;0, Calibración_BAU_USCUSS!U122*-1, Calibración_BAU_USCUSS!U122)*Emisiones_USCUSS!$M$37</f>
        <v>1.6323179142075693E-3</v>
      </c>
      <c r="R122" s="630">
        <f>IF(Calibración_BAU_USCUSS!V122&lt;0, Calibración_BAU_USCUSS!V122*-1, Calibración_BAU_USCUSS!V122)*Emisiones_USCUSS!$M$37</f>
        <v>1.8746488089396089E-3</v>
      </c>
      <c r="S122" s="630">
        <f>IF(Calibración_BAU_USCUSS!W122&lt;0, Calibración_BAU_USCUSS!W122*-1, Calibración_BAU_USCUSS!W122)*Emisiones_USCUSS!$M$37</f>
        <v>1.8147386613581948E-3</v>
      </c>
      <c r="T122" s="630">
        <f>IF(Calibración_BAU_USCUSS!X122&lt;0, Calibración_BAU_USCUSS!X122*-1, Calibración_BAU_USCUSS!X122)*Emisiones_USCUSS!$M$37</f>
        <v>1.6337547746608249E-3</v>
      </c>
      <c r="U122" s="630">
        <f>IF(Calibración_BAU_USCUSS!Y122&lt;0, Calibración_BAU_USCUSS!Y122*-1, Calibración_BAU_USCUSS!Y122)*Emisiones_USCUSS!$M$37</f>
        <v>1.3920927938645721E-3</v>
      </c>
      <c r="V122" s="630">
        <f>IF(Calibración_BAU_USCUSS!Z122&lt;0, Calibración_BAU_USCUSS!Z122*-1, Calibración_BAU_USCUSS!Z122)*Emisiones_USCUSS!$M$37</f>
        <v>1.9280818712424403E-3</v>
      </c>
      <c r="W122" s="630">
        <f>IF(Calibración_BAU_USCUSS!AA122&lt;0, Calibración_BAU_USCUSS!AA122*-1, Calibración_BAU_USCUSS!AA122)*Emisiones_USCUSS!$M$37</f>
        <v>1.7236128837373865E-3</v>
      </c>
      <c r="X122" s="630">
        <f>IF(Calibración_BAU_USCUSS!AB122&lt;0, Calibración_BAU_USCUSS!AB122*-1, Calibración_BAU_USCUSS!AB122)*Emisiones_USCUSS!$M$37</f>
        <v>1.3302397990075081E-3</v>
      </c>
      <c r="Y122" s="630">
        <f>IF(Calibración_BAU_USCUSS!AC122&lt;0, Calibración_BAU_USCUSS!AC122*-1, Calibración_BAU_USCUSS!AC122)*Emisiones_USCUSS!$M$37</f>
        <v>1.4432679206529023E-3</v>
      </c>
      <c r="Z122" s="630">
        <f>IF(Calibración_BAU_USCUSS!AD122&lt;0, Calibración_BAU_USCUSS!AD122*-1, Calibración_BAU_USCUSS!AD122)*Emisiones_USCUSS!$M$37</f>
        <v>1.9198241072336741E-3</v>
      </c>
      <c r="AA122" s="630">
        <f>IF(Calibración_BAU_USCUSS!AE122&lt;0, Calibración_BAU_USCUSS!AE122*-1, Calibración_BAU_USCUSS!AE122)*Emisiones_USCUSS!$M$37</f>
        <v>1.4954895160355921E-3</v>
      </c>
      <c r="AB122" s="630">
        <f>IF(Calibración_BAU_USCUSS!AF122&lt;0, Calibración_BAU_USCUSS!AF122*-1, Calibración_BAU_USCUSS!AF122)*Emisiones_USCUSS!$M$37</f>
        <v>1.7533101700254088E-3</v>
      </c>
      <c r="AC122" s="630">
        <f>IF(Calibración_BAU_USCUSS!AG122&lt;0, Calibración_BAU_USCUSS!AG122*-1, Calibración_BAU_USCUSS!AG122)*Emisiones_USCUSS!$M$37</f>
        <v>1.43551015498337E-3</v>
      </c>
      <c r="AD122" s="630">
        <f>IF(Calibración_BAU_USCUSS!AH122&lt;0, Calibración_BAU_USCUSS!AH122*-1, Calibración_BAU_USCUSS!AH122)*Emisiones_USCUSS!$M$37</f>
        <v>1.4345153779927126E-3</v>
      </c>
      <c r="AE122" s="630">
        <f>IF(Calibración_BAU_USCUSS!AI122&lt;0, Calibración_BAU_USCUSS!AI122*-1, Calibración_BAU_USCUSS!AI122)*Emisiones_USCUSS!$M$37</f>
        <v>1.5497484526141565E-3</v>
      </c>
      <c r="AF122" s="630">
        <f>IF(Calibración_BAU_USCUSS!AJ122&lt;0, Calibración_BAU_USCUSS!AJ122*-1, Calibración_BAU_USCUSS!AJ122)*Emisiones_USCUSS!$M$37</f>
        <v>1.3773549460065653E-3</v>
      </c>
      <c r="AG122" s="630">
        <f>IF(Calibración_BAU_USCUSS!AK122&lt;0, Calibración_BAU_USCUSS!AK122*-1, Calibración_BAU_USCUSS!AK122)*Emisiones_USCUSS!$M$37</f>
        <v>1.4223369461139716E-3</v>
      </c>
      <c r="AH122" s="630">
        <f>IF(Calibración_BAU_USCUSS!AL122&lt;0, Calibración_BAU_USCUSS!AL122*-1, Calibración_BAU_USCUSS!AL122)*Emisiones_USCUSS!$M$37</f>
        <v>1.5310054778471366E-3</v>
      </c>
      <c r="AI122" s="630">
        <f>IF(Calibración_BAU_USCUSS!AM122&lt;0, Calibración_BAU_USCUSS!AM122*-1, Calibración_BAU_USCUSS!AM122)*Emisiones_USCUSS!$M$37</f>
        <v>1.3797588719527086E-3</v>
      </c>
      <c r="AJ122" s="630">
        <f>IF(Calibración_BAU_USCUSS!AN122&lt;0, Calibración_BAU_USCUSS!AN122*-1, Calibración_BAU_USCUSS!AN122)*Emisiones_USCUSS!$M$37</f>
        <v>1.3868225084845104E-3</v>
      </c>
      <c r="AK122" s="630">
        <f>IF(Calibración_BAU_USCUSS!AO122&lt;0, Calibración_BAU_USCUSS!AO122*-1, Calibración_BAU_USCUSS!AO122)*Emisiones_USCUSS!$M$37</f>
        <v>1.3540287446016915E-3</v>
      </c>
      <c r="AL122" s="630">
        <f>IF(Calibración_BAU_USCUSS!AP122&lt;0, Calibración_BAU_USCUSS!AP122*-1, Calibración_BAU_USCUSS!AP122)*Emisiones_USCUSS!$M$37</f>
        <v>1.0632899911227716E-3</v>
      </c>
      <c r="AM122" s="630">
        <f>IF(Calibración_BAU_USCUSS!AQ122&lt;0, Calibración_BAU_USCUSS!AQ122*-1, Calibración_BAU_USCUSS!AQ122)*Emisiones_USCUSS!$M$37</f>
        <v>1.3324085783439044E-3</v>
      </c>
      <c r="AN122" s="630">
        <f>IF(Calibración_BAU_USCUSS!AR122&lt;0, Calibración_BAU_USCUSS!AR122*-1, Calibración_BAU_USCUSS!AR122)*Emisiones_USCUSS!$M$37</f>
        <v>1.1304674364744087E-3</v>
      </c>
      <c r="AO122" s="630">
        <f>IF(Calibración_BAU_USCUSS!AS122&lt;0, Calibración_BAU_USCUSS!AS122*-1, Calibración_BAU_USCUSS!AS122)*Emisiones_USCUSS!$M$37</f>
        <v>1.3904144703418425E-3</v>
      </c>
      <c r="AP122" s="630">
        <f>IF(Calibración_BAU_USCUSS!AT122&lt;0, Calibración_BAU_USCUSS!AT122*-1, Calibración_BAU_USCUSS!AT122)*Emisiones_USCUSS!$M$37</f>
        <v>1.1211785751557913E-3</v>
      </c>
      <c r="AQ122" s="630">
        <f>IF(Calibración_BAU_USCUSS!AU122&lt;0, Calibración_BAU_USCUSS!AU122*-1, Calibración_BAU_USCUSS!AU122)*Emisiones_USCUSS!$M$37</f>
        <v>1.0903265506301471E-3</v>
      </c>
      <c r="AR122" s="630">
        <f>IF(Calibración_BAU_USCUSS!AV122&lt;0, Calibración_BAU_USCUSS!AV122*-1, Calibración_BAU_USCUSS!AV122)*Emisiones_USCUSS!$M$37</f>
        <v>1.1108033579156518E-3</v>
      </c>
      <c r="AS122" s="630">
        <f>IF(Calibración_BAU_USCUSS!AW122&lt;0, Calibración_BAU_USCUSS!AW122*-1, Calibración_BAU_USCUSS!AW122)*Emisiones_USCUSS!$M$37</f>
        <v>1.0992439216527788E-3</v>
      </c>
      <c r="AT122" s="630">
        <f>IF(Calibración_BAU_USCUSS!AX122&lt;0, Calibración_BAU_USCUSS!AX122*-1, Calibración_BAU_USCUSS!AX122)*Emisiones_USCUSS!$M$37</f>
        <v>1.22603468896279E-3</v>
      </c>
      <c r="AU122" s="630">
        <f>IF(Calibración_BAU_USCUSS!AY122&lt;0, Calibración_BAU_USCUSS!AY122*-1, Calibración_BAU_USCUSS!AY122)*Emisiones_USCUSS!$M$37</f>
        <v>1.0950602576539023E-3</v>
      </c>
      <c r="AV122" s="630">
        <f>IF(Calibración_BAU_USCUSS!AZ122&lt;0, Calibración_BAU_USCUSS!AZ122*-1, Calibración_BAU_USCUSS!AZ122)*Emisiones_USCUSS!$M$37</f>
        <v>1.0764641535732638E-3</v>
      </c>
      <c r="AW122" s="630">
        <f>IF(Calibración_BAU_USCUSS!BA122&lt;0, Calibración_BAU_USCUSS!BA122*-1, Calibración_BAU_USCUSS!BA122)*Emisiones_USCUSS!$M$37</f>
        <v>1.0919608234328589E-3</v>
      </c>
      <c r="AX122" s="630">
        <f>IF(Calibración_BAU_USCUSS!BB122&lt;0, Calibración_BAU_USCUSS!BB122*-1, Calibración_BAU_USCUSS!BB122)*Emisiones_USCUSS!$M$37</f>
        <v>1.0829190791772577E-3</v>
      </c>
      <c r="AY122" s="630">
        <f>IF(Calibración_BAU_USCUSS!BC122&lt;0, Calibración_BAU_USCUSS!BC122*-1, Calibración_BAU_USCUSS!BC122)*Emisiones_USCUSS!$M$37</f>
        <v>1.0935581515426353E-3</v>
      </c>
      <c r="AZ122" s="630">
        <f>IF(Calibración_BAU_USCUSS!BD122&lt;0, Calibración_BAU_USCUSS!BD122*-1, Calibración_BAU_USCUSS!BD122)*Emisiones_USCUSS!$M$37</f>
        <v>1.0407804856024906E-3</v>
      </c>
      <c r="BA122" s="630">
        <f>IF(Calibración_BAU_USCUSS!BE122&lt;0, Calibración_BAU_USCUSS!BE122*-1, Calibración_BAU_USCUSS!BE122)*Emisiones_USCUSS!$M$37</f>
        <v>1.0333170516673936E-3</v>
      </c>
      <c r="BB122" s="630">
        <f>IF(Calibración_BAU_USCUSS!BF122&lt;0, Calibración_BAU_USCUSS!BF122*-1, Calibración_BAU_USCUSS!BF122)*Emisiones_USCUSS!$M$37</f>
        <v>1.0255415862109949E-3</v>
      </c>
      <c r="BC122" s="630">
        <f>IF(Calibración_BAU_USCUSS!BG122&lt;0, Calibración_BAU_USCUSS!BG122*-1, Calibración_BAU_USCUSS!BG122)*Emisiones_USCUSS!$M$37</f>
        <v>1.0132717771030426E-3</v>
      </c>
      <c r="BD122" s="630">
        <f>IF(Calibración_BAU_USCUSS!BH122&lt;0, Calibración_BAU_USCUSS!BH122*-1, Calibración_BAU_USCUSS!BH122)*Emisiones_USCUSS!$M$37</f>
        <v>9.9712043328532276E-4</v>
      </c>
      <c r="BE122" s="630">
        <f>IF(Calibración_BAU_USCUSS!BI122&lt;0, Calibración_BAU_USCUSS!BI122*-1, Calibración_BAU_USCUSS!BI122)*Emisiones_USCUSS!$M$37</f>
        <v>9.8404319342232957E-4</v>
      </c>
      <c r="BF122" s="630">
        <f>IF(Calibración_BAU_USCUSS!BJ122&lt;0, Calibración_BAU_USCUSS!BJ122*-1, Calibración_BAU_USCUSS!BJ122)*Emisiones_USCUSS!$M$37</f>
        <v>9.7230751634930321E-4</v>
      </c>
      <c r="BG122" s="630">
        <f>IF(Calibración_BAU_USCUSS!BK122&lt;0, Calibración_BAU_USCUSS!BK122*-1, Calibración_BAU_USCUSS!BK122)*Emisiones_USCUSS!$M$37</f>
        <v>9.6102493097559804E-4</v>
      </c>
      <c r="BH122" s="630">
        <f>IF(Calibración_BAU_USCUSS!BL122&lt;0, Calibración_BAU_USCUSS!BL122*-1, Calibración_BAU_USCUSS!BL122)*Emisiones_USCUSS!$M$37</f>
        <v>9.4731805934329444E-4</v>
      </c>
      <c r="BI122" s="630">
        <f>IF(Calibración_BAU_USCUSS!BM122&lt;0, Calibración_BAU_USCUSS!BM122*-1, Calibración_BAU_USCUSS!BM122)*Emisiones_USCUSS!$M$37</f>
        <v>9.3377299029889923E-4</v>
      </c>
      <c r="BJ122" s="630">
        <f>IF(Calibración_BAU_USCUSS!BN122&lt;0, Calibración_BAU_USCUSS!BN122*-1, Calibración_BAU_USCUSS!BN122)*Emisiones_USCUSS!$M$37</f>
        <v>9.193210846580647E-4</v>
      </c>
      <c r="BK122" s="630">
        <f>IF(Calibración_BAU_USCUSS!BO122&lt;0, Calibración_BAU_USCUSS!BO122*-1, Calibración_BAU_USCUSS!BO122)*Emisiones_USCUSS!$M$37</f>
        <v>9.070485445167992E-4</v>
      </c>
      <c r="BL122" s="630">
        <f>IF(Calibración_BAU_USCUSS!BP122&lt;0, Calibración_BAU_USCUSS!BP122*-1, Calibración_BAU_USCUSS!BP122)*Emisiones_USCUSS!$M$37</f>
        <v>8.9439693060387108E-4</v>
      </c>
      <c r="BM122" s="630">
        <f>IF(Calibración_BAU_USCUSS!BQ122&lt;0, Calibración_BAU_USCUSS!BQ122*-1, Calibración_BAU_USCUSS!BQ122)*Emisiones_USCUSS!$M$37</f>
        <v>8.8142627842136446E-4</v>
      </c>
    </row>
    <row r="123" spans="1:65" ht="14.4" customHeight="1" x14ac:dyDescent="0.35">
      <c r="C123" s="1169" t="s">
        <v>106</v>
      </c>
      <c r="D123" s="1159"/>
      <c r="E123" s="634"/>
      <c r="F123" s="634"/>
      <c r="G123" s="634"/>
      <c r="H123" s="634"/>
      <c r="I123" s="630"/>
      <c r="J123" s="630"/>
      <c r="K123" s="630"/>
      <c r="L123" s="630"/>
      <c r="M123" s="1183"/>
      <c r="N123" s="630"/>
      <c r="O123" s="630"/>
      <c r="P123" s="630"/>
      <c r="Q123" s="630"/>
      <c r="R123" s="630"/>
      <c r="S123" s="630"/>
      <c r="T123" s="630"/>
      <c r="U123" s="630"/>
      <c r="V123" s="630"/>
      <c r="W123" s="630"/>
      <c r="X123" s="630"/>
      <c r="Y123" s="630"/>
      <c r="Z123" s="630"/>
      <c r="AA123" s="630"/>
      <c r="AB123" s="630"/>
      <c r="AC123" s="630"/>
      <c r="AD123" s="630"/>
      <c r="AE123" s="630"/>
      <c r="AF123" s="630"/>
      <c r="AG123" s="630"/>
      <c r="AH123" s="630"/>
      <c r="AI123" s="630"/>
      <c r="AJ123" s="630"/>
      <c r="AK123" s="630"/>
      <c r="AL123" s="630"/>
      <c r="AM123" s="630"/>
      <c r="AN123" s="630"/>
      <c r="AO123" s="630"/>
      <c r="AP123" s="630"/>
      <c r="AQ123" s="630"/>
      <c r="AR123" s="630"/>
      <c r="AS123" s="630"/>
      <c r="AT123" s="630"/>
      <c r="AU123" s="630"/>
      <c r="AV123" s="630"/>
      <c r="AW123" s="630"/>
      <c r="AX123" s="630"/>
      <c r="AY123" s="630"/>
      <c r="AZ123" s="630"/>
      <c r="BA123" s="630"/>
      <c r="BB123" s="630"/>
      <c r="BC123" s="630"/>
      <c r="BD123" s="630"/>
      <c r="BE123" s="630"/>
      <c r="BF123" s="630"/>
      <c r="BG123" s="630"/>
      <c r="BH123" s="630"/>
      <c r="BI123" s="630"/>
      <c r="BJ123" s="630"/>
      <c r="BK123" s="630"/>
      <c r="BL123" s="630"/>
      <c r="BM123" s="630"/>
    </row>
    <row r="124" spans="1:65" s="939" customFormat="1" ht="14.4" customHeight="1" x14ac:dyDescent="0.35">
      <c r="A124" s="937"/>
      <c r="B124" s="938"/>
      <c r="C124" s="1166" t="s">
        <v>102</v>
      </c>
      <c r="D124" s="1157"/>
      <c r="E124" s="940"/>
      <c r="F124" s="940"/>
      <c r="G124" s="940"/>
      <c r="H124" s="940"/>
      <c r="M124" s="1183"/>
      <c r="N124" s="939">
        <f>IF(Calibración_BAU_USCUSS!R124&lt;0,Calibración_BAU_USCUSS!R124 *-1, Calibración_BAU_USCUSS!R124)*Emisiones_USCUSS!$M$39</f>
        <v>0.16960618234464053</v>
      </c>
      <c r="O124" s="939">
        <f>IF(Calibración_BAU_USCUSS!S124&lt;0,Calibración_BAU_USCUSS!S124 *-1, Calibración_BAU_USCUSS!S124)*Emisiones_USCUSS!$M$39</f>
        <v>0.17745227039084893</v>
      </c>
      <c r="P124" s="939">
        <f>IF(Calibración_BAU_USCUSS!T124&lt;0,Calibración_BAU_USCUSS!T124 *-1, Calibración_BAU_USCUSS!T124)*Emisiones_USCUSS!$M$39</f>
        <v>0.17745227039084893</v>
      </c>
      <c r="Q124" s="939">
        <f>IF(Calibración_BAU_USCUSS!U124&lt;0,Calibración_BAU_USCUSS!U124 *-1, Calibración_BAU_USCUSS!U124)*Emisiones_USCUSS!$M$39</f>
        <v>0.17745227039084893</v>
      </c>
      <c r="R124" s="939">
        <f>IF(Calibración_BAU_USCUSS!V124&lt;0,Calibración_BAU_USCUSS!V124 *-1, Calibración_BAU_USCUSS!V124)*Emisiones_USCUSS!$M$39</f>
        <v>0.17745227039084893</v>
      </c>
      <c r="S124" s="939">
        <f>IF(Calibración_BAU_USCUSS!W124&lt;0,Calibración_BAU_USCUSS!W124 *-1, Calibración_BAU_USCUSS!W124)*Emisiones_USCUSS!$M$39</f>
        <v>0.17745227039086006</v>
      </c>
      <c r="T124" s="939">
        <f>IF(Calibración_BAU_USCUSS!X124&lt;0,Calibración_BAU_USCUSS!X124 *-1, Calibración_BAU_USCUSS!X124)*Emisiones_USCUSS!$M$39</f>
        <v>0.17745227039084893</v>
      </c>
      <c r="U124" s="939">
        <f>IF(Calibración_BAU_USCUSS!Y124&lt;0,Calibración_BAU_USCUSS!Y124 *-1, Calibración_BAU_USCUSS!Y124)*Emisiones_USCUSS!$M$39</f>
        <v>0.17745227039084893</v>
      </c>
      <c r="V124" s="939">
        <f>IF(Calibración_BAU_USCUSS!Z124&lt;0,Calibración_BAU_USCUSS!Z124 *-1, Calibración_BAU_USCUSS!Z124)*Emisiones_USCUSS!$M$39</f>
        <v>0.17745227039084893</v>
      </c>
      <c r="W124" s="939">
        <f>IF(Calibración_BAU_USCUSS!AA124&lt;0,Calibración_BAU_USCUSS!AA124 *-1, Calibración_BAU_USCUSS!AA124)*Emisiones_USCUSS!$M$39</f>
        <v>0.17745227039084893</v>
      </c>
      <c r="X124" s="939">
        <f>IF(Calibración_BAU_USCUSS!AB124&lt;0,Calibración_BAU_USCUSS!AB124 *-1, Calibración_BAU_USCUSS!AB124)*Emisiones_USCUSS!$M$39</f>
        <v>0.17745227039084893</v>
      </c>
      <c r="Y124" s="939">
        <f>IF(Calibración_BAU_USCUSS!AC124&lt;0,Calibración_BAU_USCUSS!AC124 *-1, Calibración_BAU_USCUSS!AC124)*Emisiones_USCUSS!$M$39</f>
        <v>0.17745227039084893</v>
      </c>
      <c r="Z124" s="939">
        <f>IF(Calibración_BAU_USCUSS!AD124&lt;0,Calibración_BAU_USCUSS!AD124 *-1, Calibración_BAU_USCUSS!AD124)*Emisiones_USCUSS!$M$39</f>
        <v>0.17745227039084893</v>
      </c>
      <c r="AA124" s="939">
        <f>IF(Calibración_BAU_USCUSS!AE124&lt;0,Calibración_BAU_USCUSS!AE124 *-1, Calibración_BAU_USCUSS!AE124)*Emisiones_USCUSS!$M$39</f>
        <v>0.17745227039084893</v>
      </c>
      <c r="AB124" s="939">
        <f>IF(Calibración_BAU_USCUSS!AF124&lt;0,Calibración_BAU_USCUSS!AF124 *-1, Calibración_BAU_USCUSS!AF124)*Emisiones_USCUSS!$M$39</f>
        <v>0.17745227039084893</v>
      </c>
      <c r="AC124" s="939">
        <f>IF(Calibración_BAU_USCUSS!AG124&lt;0,Calibración_BAU_USCUSS!AG124 *-1, Calibración_BAU_USCUSS!AG124)*Emisiones_USCUSS!$M$39</f>
        <v>0.17745227039084893</v>
      </c>
      <c r="AD124" s="939">
        <f>IF(Calibración_BAU_USCUSS!AH124&lt;0,Calibración_BAU_USCUSS!AH124 *-1, Calibración_BAU_USCUSS!AH124)*Emisiones_USCUSS!$M$39</f>
        <v>0.17745227039086006</v>
      </c>
      <c r="AE124" s="939">
        <f>IF(Calibración_BAU_USCUSS!AI124&lt;0,Calibración_BAU_USCUSS!AI124 *-1, Calibración_BAU_USCUSS!AI124)*Emisiones_USCUSS!$M$39</f>
        <v>0.17745227039084893</v>
      </c>
      <c r="AF124" s="939">
        <f>IF(Calibración_BAU_USCUSS!AJ124&lt;0,Calibración_BAU_USCUSS!AJ124 *-1, Calibración_BAU_USCUSS!AJ124)*Emisiones_USCUSS!$M$39</f>
        <v>0.17745227039084893</v>
      </c>
      <c r="AG124" s="939">
        <f>IF(Calibración_BAU_USCUSS!AK124&lt;0,Calibración_BAU_USCUSS!AK124 *-1, Calibración_BAU_USCUSS!AK124)*Emisiones_USCUSS!$M$39</f>
        <v>0.17745227039084893</v>
      </c>
      <c r="AH124" s="939">
        <f>IF(Calibración_BAU_USCUSS!AL124&lt;0,Calibración_BAU_USCUSS!AL124 *-1, Calibración_BAU_USCUSS!AL124)*Emisiones_USCUSS!$M$39</f>
        <v>0.17745227039084893</v>
      </c>
      <c r="AI124" s="939">
        <f>IF(Calibración_BAU_USCUSS!AM124&lt;0,Calibración_BAU_USCUSS!AM124 *-1, Calibración_BAU_USCUSS!AM124)*Emisiones_USCUSS!$M$39</f>
        <v>0.17745227039084893</v>
      </c>
      <c r="AJ124" s="939">
        <f>IF(Calibración_BAU_USCUSS!AN124&lt;0,Calibración_BAU_USCUSS!AN124 *-1, Calibración_BAU_USCUSS!AN124)*Emisiones_USCUSS!$M$39</f>
        <v>0.17745227039084893</v>
      </c>
      <c r="AK124" s="939">
        <f>IF(Calibración_BAU_USCUSS!AO124&lt;0,Calibración_BAU_USCUSS!AO124 *-1, Calibración_BAU_USCUSS!AO124)*Emisiones_USCUSS!$M$39</f>
        <v>0.17745227039084893</v>
      </c>
      <c r="AL124" s="939">
        <f>IF(Calibración_BAU_USCUSS!AP124&lt;0,Calibración_BAU_USCUSS!AP124 *-1, Calibración_BAU_USCUSS!AP124)*Emisiones_USCUSS!$M$39</f>
        <v>0.17745227039084893</v>
      </c>
      <c r="AM124" s="939">
        <f>IF(Calibración_BAU_USCUSS!AQ124&lt;0,Calibración_BAU_USCUSS!AQ124 *-1, Calibración_BAU_USCUSS!AQ124)*Emisiones_USCUSS!$M$39</f>
        <v>0.17745227039084893</v>
      </c>
      <c r="AN124" s="939">
        <f>IF(Calibración_BAU_USCUSS!AR124&lt;0,Calibración_BAU_USCUSS!AR124 *-1, Calibración_BAU_USCUSS!AR124)*Emisiones_USCUSS!$M$39</f>
        <v>0.17745227039084893</v>
      </c>
      <c r="AO124" s="939">
        <f>IF(Calibración_BAU_USCUSS!AS124&lt;0,Calibración_BAU_USCUSS!AS124 *-1, Calibración_BAU_USCUSS!AS124)*Emisiones_USCUSS!$M$39</f>
        <v>0.17745227039086006</v>
      </c>
      <c r="AP124" s="939">
        <f>IF(Calibración_BAU_USCUSS!AT124&lt;0,Calibración_BAU_USCUSS!AT124 *-1, Calibración_BAU_USCUSS!AT124)*Emisiones_USCUSS!$M$39</f>
        <v>0.17745227039084893</v>
      </c>
      <c r="AQ124" s="939">
        <f>IF(Calibración_BAU_USCUSS!AU124&lt;0,Calibración_BAU_USCUSS!AU124 *-1, Calibración_BAU_USCUSS!AU124)*Emisiones_USCUSS!$M$39</f>
        <v>0.17745227039084893</v>
      </c>
      <c r="AR124" s="939">
        <f>IF(Calibración_BAU_USCUSS!AV124&lt;0,Calibración_BAU_USCUSS!AV124 *-1, Calibración_BAU_USCUSS!AV124)*Emisiones_USCUSS!$M$39</f>
        <v>0.17745227039084893</v>
      </c>
      <c r="AS124" s="939">
        <f>IF(Calibración_BAU_USCUSS!AW124&lt;0,Calibración_BAU_USCUSS!AW124 *-1, Calibración_BAU_USCUSS!AW124)*Emisiones_USCUSS!$M$39</f>
        <v>0.17745227039084893</v>
      </c>
      <c r="AT124" s="939">
        <f>IF(Calibración_BAU_USCUSS!AX124&lt;0,Calibración_BAU_USCUSS!AX124 *-1, Calibración_BAU_USCUSS!AX124)*Emisiones_USCUSS!$M$39</f>
        <v>0.17745227039084893</v>
      </c>
      <c r="AU124" s="939">
        <f>IF(Calibración_BAU_USCUSS!AY124&lt;0,Calibración_BAU_USCUSS!AY124 *-1, Calibración_BAU_USCUSS!AY124)*Emisiones_USCUSS!$M$39</f>
        <v>0.17745227039084893</v>
      </c>
      <c r="AV124" s="939">
        <f>IF(Calibración_BAU_USCUSS!AZ124&lt;0,Calibración_BAU_USCUSS!AZ124 *-1, Calibración_BAU_USCUSS!AZ124)*Emisiones_USCUSS!$M$39</f>
        <v>0.17745227039084893</v>
      </c>
      <c r="AW124" s="939">
        <f>IF(Calibración_BAU_USCUSS!BA124&lt;0,Calibración_BAU_USCUSS!BA124 *-1, Calibración_BAU_USCUSS!BA124)*Emisiones_USCUSS!$M$39</f>
        <v>0.17745227039084893</v>
      </c>
      <c r="AX124" s="939">
        <f>IF(Calibración_BAU_USCUSS!BB124&lt;0,Calibración_BAU_USCUSS!BB124 *-1, Calibración_BAU_USCUSS!BB124)*Emisiones_USCUSS!$M$39</f>
        <v>0.17745227039084893</v>
      </c>
      <c r="AY124" s="939">
        <f>IF(Calibración_BAU_USCUSS!BC124&lt;0,Calibración_BAU_USCUSS!BC124 *-1, Calibración_BAU_USCUSS!BC124)*Emisiones_USCUSS!$M$39</f>
        <v>0.17745227039086006</v>
      </c>
      <c r="AZ124" s="939">
        <f>IF(Calibración_BAU_USCUSS!BD124&lt;0,Calibración_BAU_USCUSS!BD124 *-1, Calibración_BAU_USCUSS!BD124)*Emisiones_USCUSS!$M$39</f>
        <v>0.17745227039084893</v>
      </c>
      <c r="BA124" s="939">
        <f>IF(Calibración_BAU_USCUSS!BE124&lt;0,Calibración_BAU_USCUSS!BE124 *-1, Calibración_BAU_USCUSS!BE124)*Emisiones_USCUSS!$M$39</f>
        <v>0.17745227039084893</v>
      </c>
      <c r="BB124" s="939">
        <f>IF(Calibración_BAU_USCUSS!BF124&lt;0,Calibración_BAU_USCUSS!BF124 *-1, Calibración_BAU_USCUSS!BF124)*Emisiones_USCUSS!$M$39</f>
        <v>0.17745227039084893</v>
      </c>
      <c r="BC124" s="939">
        <f>IF(Calibración_BAU_USCUSS!BG124&lt;0,Calibración_BAU_USCUSS!BG124 *-1, Calibración_BAU_USCUSS!BG124)*Emisiones_USCUSS!$M$39</f>
        <v>0.17745227039084893</v>
      </c>
      <c r="BD124" s="939">
        <f>IF(Calibración_BAU_USCUSS!BH124&lt;0,Calibración_BAU_USCUSS!BH124 *-1, Calibración_BAU_USCUSS!BH124)*Emisiones_USCUSS!$M$39</f>
        <v>0.17745227039084893</v>
      </c>
      <c r="BE124" s="939">
        <f>IF(Calibración_BAU_USCUSS!BI124&lt;0,Calibración_BAU_USCUSS!BI124 *-1, Calibración_BAU_USCUSS!BI124)*Emisiones_USCUSS!$M$39</f>
        <v>0.17745227039084893</v>
      </c>
      <c r="BF124" s="939">
        <f>IF(Calibración_BAU_USCUSS!BJ124&lt;0,Calibración_BAU_USCUSS!BJ124 *-1, Calibración_BAU_USCUSS!BJ124)*Emisiones_USCUSS!$M$39</f>
        <v>0.17745227039084893</v>
      </c>
      <c r="BG124" s="939">
        <f>IF(Calibración_BAU_USCUSS!BK124&lt;0,Calibración_BAU_USCUSS!BK124 *-1, Calibración_BAU_USCUSS!BK124)*Emisiones_USCUSS!$M$39</f>
        <v>0.17745227039084893</v>
      </c>
      <c r="BH124" s="939">
        <f>IF(Calibración_BAU_USCUSS!BL124&lt;0,Calibración_BAU_USCUSS!BL124 *-1, Calibración_BAU_USCUSS!BL124)*Emisiones_USCUSS!$M$39</f>
        <v>0.17745227039084893</v>
      </c>
      <c r="BI124" s="939">
        <f>IF(Calibración_BAU_USCUSS!BM124&lt;0,Calibración_BAU_USCUSS!BM124 *-1, Calibración_BAU_USCUSS!BM124)*Emisiones_USCUSS!$M$39</f>
        <v>0.17745227039084893</v>
      </c>
      <c r="BJ124" s="939">
        <f>IF(Calibración_BAU_USCUSS!BN124&lt;0,Calibración_BAU_USCUSS!BN124 *-1, Calibración_BAU_USCUSS!BN124)*Emisiones_USCUSS!$M$39</f>
        <v>0.17745227039086006</v>
      </c>
      <c r="BK124" s="939">
        <f>IF(Calibración_BAU_USCUSS!BO124&lt;0,Calibración_BAU_USCUSS!BO124 *-1, Calibración_BAU_USCUSS!BO124)*Emisiones_USCUSS!$M$39</f>
        <v>0.17745227039084893</v>
      </c>
      <c r="BL124" s="939">
        <f>IF(Calibración_BAU_USCUSS!BP124&lt;0,Calibración_BAU_USCUSS!BP124 *-1, Calibración_BAU_USCUSS!BP124)*Emisiones_USCUSS!$M$39</f>
        <v>0.17745227039084893</v>
      </c>
      <c r="BM124" s="939">
        <f>IF(Calibración_BAU_USCUSS!BQ124&lt;0,Calibración_BAU_USCUSS!BQ124 *-1, Calibración_BAU_USCUSS!BQ124)*Emisiones_USCUSS!$M$39</f>
        <v>0.17745227039084893</v>
      </c>
    </row>
    <row r="125" spans="1:65" ht="14.4" customHeight="1" x14ac:dyDescent="0.35">
      <c r="C125" s="1167" t="s">
        <v>103</v>
      </c>
      <c r="D125" s="1153"/>
      <c r="E125" s="634"/>
      <c r="F125" s="634"/>
      <c r="G125" s="634"/>
      <c r="H125" s="634"/>
      <c r="I125" s="630"/>
      <c r="J125" s="630"/>
      <c r="K125" s="630"/>
      <c r="L125" s="630"/>
      <c r="M125" s="1183"/>
      <c r="N125" s="630">
        <f>IF(Calibración_BAU_USCUSS!R125&lt;0, Calibración_BAU_USCUSS!R125*-1, Calibración_BAU_USCUSS!R125)*Emisiones_USCUSS!$M$40</f>
        <v>-8.9776650180528952E-4</v>
      </c>
      <c r="O125" s="630">
        <f>IF(Calibración_BAU_USCUSS!S125&lt;0, Calibración_BAU_USCUSS!S125*-1, Calibración_BAU_USCUSS!S125)*Emisiones_USCUSS!$M$40</f>
        <v>-8.9652758403283169E-4</v>
      </c>
      <c r="P125" s="630">
        <f>IF(Calibración_BAU_USCUSS!T125&lt;0, Calibración_BAU_USCUSS!T125*-1, Calibración_BAU_USCUSS!T125)*Emisiones_USCUSS!$M$40</f>
        <v>-8.9529037596688314E-4</v>
      </c>
      <c r="Q125" s="630">
        <f>IF(Calibración_BAU_USCUSS!U125&lt;0, Calibración_BAU_USCUSS!U125*-1, Calibración_BAU_USCUSS!U125)*Emisiones_USCUSS!$M$40</f>
        <v>-8.9405487524804551E-4</v>
      </c>
      <c r="R125" s="630">
        <f>IF(Calibración_BAU_USCUSS!V125&lt;0, Calibración_BAU_USCUSS!V125*-1, Calibración_BAU_USCUSS!V125)*Emisiones_USCUSS!$M$40</f>
        <v>-8.9282107952015069E-4</v>
      </c>
      <c r="S125" s="630">
        <f>IF(Calibración_BAU_USCUSS!W125&lt;0, Calibración_BAU_USCUSS!W125*-1, Calibración_BAU_USCUSS!W125)*Emisiones_USCUSS!$M$40</f>
        <v>-8.9158898643040612E-4</v>
      </c>
      <c r="T125" s="630">
        <f>IF(Calibración_BAU_USCUSS!X125&lt;0, Calibración_BAU_USCUSS!X125*-1, Calibración_BAU_USCUSS!X125)*Emisiones_USCUSS!$M$40</f>
        <v>-8.9035859362917615E-4</v>
      </c>
      <c r="U125" s="630">
        <f>IF(Calibración_BAU_USCUSS!Y125&lt;0, Calibración_BAU_USCUSS!Y125*-1, Calibración_BAU_USCUSS!Y125)*Emisiones_USCUSS!$M$40</f>
        <v>-8.8912989876998108E-4</v>
      </c>
      <c r="V125" s="630">
        <f>IF(Calibración_BAU_USCUSS!Z125&lt;0, Calibración_BAU_USCUSS!Z125*-1, Calibración_BAU_USCUSS!Z125)*Emisiones_USCUSS!$M$40</f>
        <v>-8.8790289950964449E-4</v>
      </c>
      <c r="W125" s="630">
        <f>IF(Calibración_BAU_USCUSS!AA125&lt;0, Calibración_BAU_USCUSS!AA125*-1, Calibración_BAU_USCUSS!AA125)*Emisiones_USCUSS!$M$40</f>
        <v>-8.8667759350836593E-4</v>
      </c>
      <c r="X125" s="630">
        <f>IF(Calibración_BAU_USCUSS!AB125&lt;0, Calibración_BAU_USCUSS!AB125*-1, Calibración_BAU_USCUSS!AB125)*Emisiones_USCUSS!$M$40</f>
        <v>-8.8545397842928163E-4</v>
      </c>
      <c r="Y125" s="630">
        <f>IF(Calibración_BAU_USCUSS!AC125&lt;0, Calibración_BAU_USCUSS!AC125*-1, Calibración_BAU_USCUSS!AC125)*Emisiones_USCUSS!$M$40</f>
        <v>-8.8423205193905049E-4</v>
      </c>
      <c r="Z125" s="630">
        <f>IF(Calibración_BAU_USCUSS!AD125&lt;0, Calibración_BAU_USCUSS!AD125*-1, Calibración_BAU_USCUSS!AD125)*Emisiones_USCUSS!$M$40</f>
        <v>-8.8301181170741456E-4</v>
      </c>
      <c r="AA125" s="630">
        <f>IF(Calibración_BAU_USCUSS!AE125&lt;0, Calibración_BAU_USCUSS!AE125*-1, Calibración_BAU_USCUSS!AE125)*Emisiones_USCUSS!$M$40</f>
        <v>-8.817932554071985E-4</v>
      </c>
      <c r="AB125" s="630">
        <f>IF(Calibración_BAU_USCUSS!AF125&lt;0, Calibración_BAU_USCUSS!AF125*-1, Calibración_BAU_USCUSS!AF125)*Emisiones_USCUSS!$M$40</f>
        <v>-8.8057638071475052E-4</v>
      </c>
      <c r="AC125" s="630">
        <f>IF(Calibración_BAU_USCUSS!AG125&lt;0, Calibración_BAU_USCUSS!AG125*-1, Calibración_BAU_USCUSS!AG125)*Emisiones_USCUSS!$M$40</f>
        <v>-8.7936118530935483E-4</v>
      </c>
      <c r="AD125" s="630">
        <f>IF(Calibración_BAU_USCUSS!AH125&lt;0, Calibración_BAU_USCUSS!AH125*-1, Calibración_BAU_USCUSS!AH125)*Emisiones_USCUSS!$M$40</f>
        <v>-8.7814766687367154E-4</v>
      </c>
      <c r="AE125" s="630">
        <f>IF(Calibración_BAU_USCUSS!AI125&lt;0, Calibración_BAU_USCUSS!AI125*-1, Calibración_BAU_USCUSS!AI125)*Emisiones_USCUSS!$M$40</f>
        <v>-8.7693582309337093E-4</v>
      </c>
      <c r="AF125" s="630">
        <f>IF(Calibración_BAU_USCUSS!AJ125&lt;0, Calibración_BAU_USCUSS!AJ125*-1, Calibración_BAU_USCUSS!AJ125)*Emisiones_USCUSS!$M$40</f>
        <v>-8.7572565165749939E-4</v>
      </c>
      <c r="AG125" s="630">
        <f>IF(Calibración_BAU_USCUSS!AK125&lt;0, Calibración_BAU_USCUSS!AK125*-1, Calibración_BAU_USCUSS!AK125)*Emisiones_USCUSS!$M$40</f>
        <v>-8.74517150258186E-4</v>
      </c>
      <c r="AH125" s="630">
        <f>IF(Calibración_BAU_USCUSS!AL125&lt;0, Calibración_BAU_USCUSS!AL125*-1, Calibración_BAU_USCUSS!AL125)*Emisiones_USCUSS!$M$40</f>
        <v>-8.7331031659086331E-4</v>
      </c>
      <c r="AI125" s="630">
        <f>IF(Calibración_BAU_USCUSS!AM125&lt;0, Calibración_BAU_USCUSS!AM125*-1, Calibración_BAU_USCUSS!AM125)*Emisiones_USCUSS!$M$40</f>
        <v>-8.7210514835397274E-4</v>
      </c>
      <c r="AJ125" s="630">
        <f>IF(Calibración_BAU_USCUSS!AN125&lt;0, Calibración_BAU_USCUSS!AN125*-1, Calibración_BAU_USCUSS!AN125)*Emisiones_USCUSS!$M$40</f>
        <v>-8.7090164324925918E-4</v>
      </c>
      <c r="AK125" s="630">
        <f>IF(Calibración_BAU_USCUSS!AO125&lt;0, Calibración_BAU_USCUSS!AO125*-1, Calibración_BAU_USCUSS!AO125)*Emisiones_USCUSS!$M$40</f>
        <v>-8.6969979898155012E-4</v>
      </c>
      <c r="AL125" s="630">
        <f>IF(Calibración_BAU_USCUSS!AP125&lt;0, Calibración_BAU_USCUSS!AP125*-1, Calibración_BAU_USCUSS!AP125)*Emisiones_USCUSS!$M$40</f>
        <v>-8.6849961325897638E-4</v>
      </c>
      <c r="AM125" s="630">
        <f>IF(Calibración_BAU_USCUSS!AQ125&lt;0, Calibración_BAU_USCUSS!AQ125*-1, Calibración_BAU_USCUSS!AQ125)*Emisiones_USCUSS!$M$40</f>
        <v>-8.6730108379267778E-4</v>
      </c>
      <c r="AN125" s="630">
        <f>IF(Calibración_BAU_USCUSS!AR125&lt;0, Calibración_BAU_USCUSS!AR125*-1, Calibración_BAU_USCUSS!AR125)*Emisiones_USCUSS!$M$40</f>
        <v>-8.661042082970243E-4</v>
      </c>
      <c r="AO125" s="630">
        <f>IF(Calibración_BAU_USCUSS!AS125&lt;0, Calibración_BAU_USCUSS!AS125*-1, Calibración_BAU_USCUSS!AS125)*Emisiones_USCUSS!$M$40</f>
        <v>-8.6490898448954171E-4</v>
      </c>
      <c r="AP125" s="630">
        <f>IF(Calibración_BAU_USCUSS!AT125&lt;0, Calibración_BAU_USCUSS!AT125*-1, Calibración_BAU_USCUSS!AT125)*Emisiones_USCUSS!$M$40</f>
        <v>-8.6371541009098562E-4</v>
      </c>
      <c r="AQ125" s="630">
        <f>IF(Calibración_BAU_USCUSS!AU125&lt;0, Calibración_BAU_USCUSS!AU125*-1, Calibración_BAU_USCUSS!AU125)*Emisiones_USCUSS!$M$40</f>
        <v>-8.6252348282504776E-4</v>
      </c>
      <c r="AR125" s="630">
        <f>IF(Calibración_BAU_USCUSS!AV125&lt;0, Calibración_BAU_USCUSS!AV125*-1, Calibración_BAU_USCUSS!AV125)*Emisiones_USCUSS!$M$40</f>
        <v>-8.6133320041872268E-4</v>
      </c>
      <c r="AS125" s="630">
        <f>IF(Calibración_BAU_USCUSS!AW125&lt;0, Calibración_BAU_USCUSS!AW125*-1, Calibración_BAU_USCUSS!AW125)*Emisiones_USCUSS!$M$40</f>
        <v>-8.6014456060216112E-4</v>
      </c>
      <c r="AT125" s="630">
        <f>IF(Calibración_BAU_USCUSS!AX125&lt;0, Calibración_BAU_USCUSS!AX125*-1, Calibración_BAU_USCUSS!AX125)*Emisiones_USCUSS!$M$40</f>
        <v>-8.5895756110852383E-4</v>
      </c>
      <c r="AU125" s="630">
        <f>IF(Calibración_BAU_USCUSS!AY125&lt;0, Calibración_BAU_USCUSS!AY125*-1, Calibración_BAU_USCUSS!AY125)*Emisiones_USCUSS!$M$40</f>
        <v>-8.5777219967420049E-4</v>
      </c>
      <c r="AV125" s="630">
        <f>IF(Calibración_BAU_USCUSS!AZ125&lt;0, Calibración_BAU_USCUSS!AZ125*-1, Calibración_BAU_USCUSS!AZ125)*Emisiones_USCUSS!$M$40</f>
        <v>-8.5658847403866393E-4</v>
      </c>
      <c r="AW125" s="630">
        <f>IF(Calibración_BAU_USCUSS!BA125&lt;0, Calibración_BAU_USCUSS!BA125*-1, Calibración_BAU_USCUSS!BA125)*Emisiones_USCUSS!$M$40</f>
        <v>-8.5540638194446983E-4</v>
      </c>
      <c r="AX125" s="630">
        <f>IF(Calibración_BAU_USCUSS!BB125&lt;0, Calibración_BAU_USCUSS!BB125*-1, Calibración_BAU_USCUSS!BB125)*Emisiones_USCUSS!$M$40</f>
        <v>-8.5422592113740356E-4</v>
      </c>
      <c r="AY125" s="630">
        <f>IF(Calibración_BAU_USCUSS!BC125&lt;0, Calibración_BAU_USCUSS!BC125*-1, Calibración_BAU_USCUSS!BC125)*Emisiones_USCUSS!$M$40</f>
        <v>-8.5304708936625973E-4</v>
      </c>
      <c r="AZ125" s="630">
        <f>IF(Calibración_BAU_USCUSS!BD125&lt;0, Calibración_BAU_USCUSS!BD125*-1, Calibración_BAU_USCUSS!BD125)*Emisiones_USCUSS!$M$40</f>
        <v>-8.5186988438291597E-4</v>
      </c>
      <c r="BA125" s="630">
        <f>IF(Calibración_BAU_USCUSS!BE125&lt;0, Calibración_BAU_USCUSS!BE125*-1, Calibración_BAU_USCUSS!BE125)*Emisiones_USCUSS!$M$40</f>
        <v>-8.506943039424794E-4</v>
      </c>
      <c r="BB125" s="630">
        <f>IF(Calibración_BAU_USCUSS!BF125&lt;0, Calibración_BAU_USCUSS!BF125*-1, Calibración_BAU_USCUSS!BF125)*Emisiones_USCUSS!$M$40</f>
        <v>-8.4952034580299343E-4</v>
      </c>
      <c r="BC125" s="630">
        <f>IF(Calibración_BAU_USCUSS!BG125&lt;0, Calibración_BAU_USCUSS!BG125*-1, Calibración_BAU_USCUSS!BG125)*Emisiones_USCUSS!$M$40</f>
        <v>-8.4834800772580423E-4</v>
      </c>
      <c r="BD125" s="630">
        <f>IF(Calibración_BAU_USCUSS!BH125&lt;0, Calibración_BAU_USCUSS!BH125*-1, Calibración_BAU_USCUSS!BH125)*Emisiones_USCUSS!$M$40</f>
        <v>-8.471772874751206E-4</v>
      </c>
      <c r="BE125" s="630">
        <f>IF(Calibración_BAU_USCUSS!BI125&lt;0, Calibración_BAU_USCUSS!BI125*-1, Calibración_BAU_USCUSS!BI125)*Emisiones_USCUSS!$M$40</f>
        <v>-8.4600818281845458E-4</v>
      </c>
      <c r="BF125" s="630">
        <f>IF(Calibración_BAU_USCUSS!BJ125&lt;0, Calibración_BAU_USCUSS!BJ125*-1, Calibración_BAU_USCUSS!BJ125)*Emisiones_USCUSS!$M$40</f>
        <v>-8.4484069152618074E-4</v>
      </c>
      <c r="BG125" s="630">
        <f>IF(Calibración_BAU_USCUSS!BK125&lt;0, Calibración_BAU_USCUSS!BK125*-1, Calibración_BAU_USCUSS!BK125)*Emisiones_USCUSS!$M$40</f>
        <v>-8.4367481137183006E-4</v>
      </c>
      <c r="BH125" s="630">
        <f>IF(Calibración_BAU_USCUSS!BL125&lt;0, Calibración_BAU_USCUSS!BL125*-1, Calibración_BAU_USCUSS!BL125)*Emisiones_USCUSS!$M$40</f>
        <v>-8.4251054013216283E-4</v>
      </c>
      <c r="BI125" s="630">
        <f>IF(Calibración_BAU_USCUSS!BM125&lt;0, Calibración_BAU_USCUSS!BM125*-1, Calibración_BAU_USCUSS!BM125)*Emisiones_USCUSS!$M$40</f>
        <v>-8.4134787558672887E-4</v>
      </c>
      <c r="BJ125" s="630">
        <f>IF(Calibración_BAU_USCUSS!BN125&lt;0, Calibración_BAU_USCUSS!BN125*-1, Calibración_BAU_USCUSS!BN125)*Emisiones_USCUSS!$M$40</f>
        <v>-8.4018681551845424E-4</v>
      </c>
      <c r="BK125" s="630">
        <f>IF(Calibración_BAU_USCUSS!BO125&lt;0, Calibración_BAU_USCUSS!BO125*-1, Calibración_BAU_USCUSS!BO125)*Emisiones_USCUSS!$M$40</f>
        <v>-8.3902735771305417E-4</v>
      </c>
      <c r="BL125" s="630">
        <f>IF(Calibración_BAU_USCUSS!BP125&lt;0, Calibración_BAU_USCUSS!BP125*-1, Calibración_BAU_USCUSS!BP125)*Emisiones_USCUSS!$M$40</f>
        <v>-8.3786949995940047E-4</v>
      </c>
      <c r="BM125" s="630">
        <f>IF(Calibración_BAU_USCUSS!BQ125&lt;0, Calibración_BAU_USCUSS!BQ125*-1, Calibración_BAU_USCUSS!BQ125)*Emisiones_USCUSS!$M$40</f>
        <v>-8.3671324004944766E-4</v>
      </c>
    </row>
    <row r="126" spans="1:65" ht="14.4" customHeight="1" x14ac:dyDescent="0.35">
      <c r="C126" s="1167" t="s">
        <v>80</v>
      </c>
      <c r="D126" s="1153"/>
      <c r="E126" s="634"/>
      <c r="F126" s="634"/>
      <c r="G126" s="634"/>
      <c r="H126" s="634"/>
      <c r="I126" s="630"/>
      <c r="J126" s="630"/>
      <c r="K126" s="630"/>
      <c r="L126" s="630"/>
      <c r="M126" s="1183"/>
      <c r="N126" s="630"/>
      <c r="O126" s="630"/>
      <c r="P126" s="630"/>
      <c r="Q126" s="630"/>
      <c r="R126" s="630"/>
      <c r="S126" s="630"/>
      <c r="T126" s="630"/>
      <c r="U126" s="630"/>
      <c r="V126" s="630"/>
      <c r="W126" s="630"/>
      <c r="X126" s="630"/>
      <c r="Y126" s="630"/>
      <c r="Z126" s="630"/>
      <c r="AA126" s="630"/>
      <c r="AB126" s="630"/>
      <c r="AC126" s="630"/>
      <c r="AD126" s="630"/>
      <c r="AE126" s="630"/>
      <c r="AF126" s="630"/>
      <c r="AG126" s="630"/>
      <c r="AH126" s="630"/>
      <c r="AI126" s="630"/>
      <c r="AJ126" s="630"/>
      <c r="AK126" s="630"/>
      <c r="AL126" s="630"/>
      <c r="AM126" s="630"/>
      <c r="AN126" s="630"/>
      <c r="AO126" s="630"/>
      <c r="AP126" s="630"/>
      <c r="AQ126" s="630"/>
      <c r="AR126" s="630"/>
      <c r="AS126" s="630"/>
      <c r="AT126" s="630"/>
      <c r="AU126" s="630"/>
      <c r="AV126" s="630"/>
      <c r="AW126" s="630"/>
      <c r="AX126" s="630"/>
      <c r="AY126" s="630"/>
      <c r="AZ126" s="630"/>
      <c r="BA126" s="630"/>
      <c r="BB126" s="630"/>
      <c r="BC126" s="630"/>
      <c r="BD126" s="630"/>
      <c r="BE126" s="630"/>
      <c r="BF126" s="630"/>
      <c r="BG126" s="630"/>
      <c r="BH126" s="630"/>
      <c r="BI126" s="630"/>
      <c r="BJ126" s="630"/>
      <c r="BK126" s="630"/>
      <c r="BL126" s="630"/>
      <c r="BM126" s="630"/>
    </row>
    <row r="127" spans="1:65" ht="14.4" customHeight="1" x14ac:dyDescent="0.35">
      <c r="C127" s="1167" t="s">
        <v>57</v>
      </c>
      <c r="D127" s="1153"/>
      <c r="E127" s="634"/>
      <c r="F127" s="634"/>
      <c r="G127" s="634"/>
      <c r="H127" s="634"/>
      <c r="I127" s="630"/>
      <c r="J127" s="630"/>
      <c r="K127" s="630"/>
      <c r="L127" s="630"/>
      <c r="M127" s="1183"/>
      <c r="N127" s="630">
        <f>IF(Calibración_BAU_USCUSS!R127&lt;0,Calibración_BAU_USCUSS!R127*-1, Calibración_BAU_USCUSS!R127) *Emisiones_USCUSS!$M$42</f>
        <v>-6.8037925262638731E-4</v>
      </c>
      <c r="O127" s="630">
        <f>IF(Calibración_BAU_USCUSS!S127&lt;0,Calibración_BAU_USCUSS!S127*-1, Calibración_BAU_USCUSS!S127) *Emisiones_USCUSS!$M$42</f>
        <v>-6.8890964577966501E-4</v>
      </c>
      <c r="P127" s="630">
        <f>IF(Calibración_BAU_USCUSS!T127&lt;0,Calibración_BAU_USCUSS!T127*-1, Calibración_BAU_USCUSS!T127) *Emisiones_USCUSS!$M$42</f>
        <v>-6.9754699047073641E-4</v>
      </c>
      <c r="Q127" s="630">
        <f>IF(Calibración_BAU_USCUSS!U127&lt;0,Calibración_BAU_USCUSS!U127*-1, Calibración_BAU_USCUSS!U127) *Emisiones_USCUSS!$M$42</f>
        <v>-7.0556029220636754E-4</v>
      </c>
      <c r="R127" s="630">
        <f>IF(Calibración_BAU_USCUSS!V127&lt;0,Calibración_BAU_USCUSS!V127*-1, Calibración_BAU_USCUSS!V127) *Emisiones_USCUSS!$M$42</f>
        <v>-7.1439722547712186E-4</v>
      </c>
      <c r="S127" s="630">
        <f>IF(Calibración_BAU_USCUSS!W127&lt;0,Calibración_BAU_USCUSS!W127*-1, Calibración_BAU_USCUSS!W127) *Emisiones_USCUSS!$M$42</f>
        <v>-7.2334483871455408E-4</v>
      </c>
      <c r="T127" s="630">
        <f>IF(Calibración_BAU_USCUSS!X127&lt;0,Calibración_BAU_USCUSS!X127*-1, Calibración_BAU_USCUSS!X127) *Emisiones_USCUSS!$M$42</f>
        <v>-7.324045181524118E-4</v>
      </c>
      <c r="U127" s="630">
        <f>IF(Calibración_BAU_USCUSS!Y127&lt;0,Calibración_BAU_USCUSS!Y127*-1, Calibración_BAU_USCUSS!Y127) *Emisiones_USCUSS!$M$42</f>
        <v>-7.4157766738658197E-4</v>
      </c>
      <c r="V127" s="630">
        <f>IF(Calibración_BAU_USCUSS!Z127&lt;0,Calibración_BAU_USCUSS!Z127*-1, Calibración_BAU_USCUSS!Z127) *Emisiones_USCUSS!$M$42</f>
        <v>-7.5086570759259398E-4</v>
      </c>
      <c r="W127" s="630">
        <f>IF(Calibración_BAU_USCUSS!AA127&lt;0,Calibración_BAU_USCUSS!AA127*-1, Calibración_BAU_USCUSS!AA127) *Emisiones_USCUSS!$M$42</f>
        <v>-7.6027007774577212E-4</v>
      </c>
      <c r="X127" s="630">
        <f>IF(Calibración_BAU_USCUSS!AB127&lt;0,Calibración_BAU_USCUSS!AB127*-1, Calibración_BAU_USCUSS!AB127) *Emisiones_USCUSS!$M$42</f>
        <v>-7.6979223484419004E-4</v>
      </c>
      <c r="Y127" s="630">
        <f>IF(Calibración_BAU_USCUSS!AC127&lt;0,Calibración_BAU_USCUSS!AC127*-1, Calibración_BAU_USCUSS!AC127) *Emisiones_USCUSS!$M$42</f>
        <v>-7.794336541343714E-4</v>
      </c>
      <c r="Z127" s="630">
        <f>IF(Calibración_BAU_USCUSS!AD127&lt;0,Calibración_BAU_USCUSS!AD127*-1, Calibración_BAU_USCUSS!AD127) *Emisiones_USCUSS!$M$42</f>
        <v>-7.8919582933987533E-4</v>
      </c>
      <c r="AA127" s="630">
        <f>IF(Calibración_BAU_USCUSS!AE127&lt;0,Calibración_BAU_USCUSS!AE127*-1, Calibración_BAU_USCUSS!AE127) *Emisiones_USCUSS!$M$42</f>
        <v>-7.9908027289271198E-4</v>
      </c>
      <c r="AB127" s="630">
        <f>IF(Calibración_BAU_USCUSS!AF127&lt;0,Calibración_BAU_USCUSS!AF127*-1, Calibración_BAU_USCUSS!AF127) *Emisiones_USCUSS!$M$42</f>
        <v>-8.0908851616764272E-4</v>
      </c>
      <c r="AC127" s="630">
        <f>IF(Calibración_BAU_USCUSS!AG127&lt;0,Calibración_BAU_USCUSS!AG127*-1, Calibración_BAU_USCUSS!AG127) *Emisiones_USCUSS!$M$42</f>
        <v>-8.1922210971944868E-4</v>
      </c>
      <c r="AD127" s="630">
        <f>IF(Calibración_BAU_USCUSS!AH127&lt;0,Calibración_BAU_USCUSS!AH127*-1, Calibración_BAU_USCUSS!AH127) *Emisiones_USCUSS!$M$42</f>
        <v>-8.2948262352312667E-4</v>
      </c>
      <c r="AE127" s="630">
        <f>IF(Calibración_BAU_USCUSS!AI127&lt;0,Calibración_BAU_USCUSS!AI127*-1, Calibración_BAU_USCUSS!AI127) *Emisiones_USCUSS!$M$42</f>
        <v>-8.3987164721720448E-4</v>
      </c>
      <c r="AF127" s="630">
        <f>IF(Calibración_BAU_USCUSS!AJ127&lt;0,Calibración_BAU_USCUSS!AJ127*-1, Calibración_BAU_USCUSS!AJ127) *Emisiones_USCUSS!$M$42</f>
        <v>-8.5039079034988723E-4</v>
      </c>
      <c r="AG127" s="630">
        <f>IF(Calibración_BAU_USCUSS!AK127&lt;0,Calibración_BAU_USCUSS!AK127*-1, Calibración_BAU_USCUSS!AK127) *Emisiones_USCUSS!$M$42</f>
        <v>-8.6104168262854592E-4</v>
      </c>
      <c r="AH127" s="630">
        <f>IF(Calibración_BAU_USCUSS!AL127&lt;0,Calibración_BAU_USCUSS!AL127*-1, Calibración_BAU_USCUSS!AL127) *Emisiones_USCUSS!$M$42</f>
        <v>-8.718259741721324E-4</v>
      </c>
      <c r="AI127" s="630">
        <f>IF(Calibración_BAU_USCUSS!AM127&lt;0,Calibración_BAU_USCUSS!AM127*-1, Calibración_BAU_USCUSS!AM127) *Emisiones_USCUSS!$M$42</f>
        <v>-8.8274533576684043E-4</v>
      </c>
      <c r="AJ127" s="630">
        <f>IF(Calibración_BAU_USCUSS!AN127&lt;0,Calibración_BAU_USCUSS!AN127*-1, Calibración_BAU_USCUSS!AN127) *Emisiones_USCUSS!$M$42</f>
        <v>-8.938014591249844E-4</v>
      </c>
      <c r="AK127" s="630">
        <f>IF(Calibración_BAU_USCUSS!AO127&lt;0,Calibración_BAU_USCUSS!AO127*-1, Calibración_BAU_USCUSS!AO127) *Emisiones_USCUSS!$M$42</f>
        <v>-9.0499605714706847E-4</v>
      </c>
      <c r="AL127" s="630">
        <f>IF(Calibración_BAU_USCUSS!AP127&lt;0,Calibración_BAU_USCUSS!AP127*-1, Calibración_BAU_USCUSS!AP127) *Emisiones_USCUSS!$M$42</f>
        <v>-9.163308641871573E-4</v>
      </c>
      <c r="AM127" s="630">
        <f>IF(Calibración_BAU_USCUSS!AQ127&lt;0,Calibración_BAU_USCUSS!AQ127*-1, Calibración_BAU_USCUSS!AQ127) *Emisiones_USCUSS!$M$42</f>
        <v>-9.2780763632158831E-4</v>
      </c>
      <c r="AN127" s="630">
        <f>IF(Calibración_BAU_USCUSS!AR127&lt;0,Calibración_BAU_USCUSS!AR127*-1, Calibración_BAU_USCUSS!AR127) *Emisiones_USCUSS!$M$42</f>
        <v>-9.3942815162104186E-4</v>
      </c>
      <c r="AO127" s="630">
        <f>IF(Calibración_BAU_USCUSS!AS127&lt;0,Calibración_BAU_USCUSS!AS127*-1, Calibración_BAU_USCUSS!AS127) *Emisiones_USCUSS!$M$42</f>
        <v>-9.5119421042600912E-4</v>
      </c>
      <c r="AP127" s="630">
        <f>IF(Calibración_BAU_USCUSS!AT127&lt;0,Calibración_BAU_USCUSS!AT127*-1, Calibración_BAU_USCUSS!AT127) *Emisiones_USCUSS!$M$42</f>
        <v>-9.6310763562568625E-4</v>
      </c>
      <c r="AQ127" s="630">
        <f>IF(Calibración_BAU_USCUSS!AU127&lt;0,Calibración_BAU_USCUSS!AU127*-1, Calibración_BAU_USCUSS!AU127) *Emisiones_USCUSS!$M$42</f>
        <v>-9.7517027294044642E-4</v>
      </c>
      <c r="AR127" s="630">
        <f>IF(Calibración_BAU_USCUSS!AV127&lt;0,Calibración_BAU_USCUSS!AV127*-1, Calibración_BAU_USCUSS!AV127) *Emisiones_USCUSS!$M$42</f>
        <v>-9.8738399120773947E-4</v>
      </c>
      <c r="AS127" s="630">
        <f>IF(Calibración_BAU_USCUSS!AW127&lt;0,Calibración_BAU_USCUSS!AW127*-1, Calibración_BAU_USCUSS!AW127) *Emisiones_USCUSS!$M$42</f>
        <v>-9.9975068267166485E-4</v>
      </c>
      <c r="AT127" s="630">
        <f>IF(Calibración_BAU_USCUSS!AX127&lt;0,Calibración_BAU_USCUSS!AX127*-1, Calibración_BAU_USCUSS!AX127) *Emisiones_USCUSS!$M$42</f>
        <v>-1.0122722632761256E-3</v>
      </c>
      <c r="AU127" s="630">
        <f>IF(Calibración_BAU_USCUSS!AY127&lt;0,Calibración_BAU_USCUSS!AY127*-1, Calibración_BAU_USCUSS!AY127) *Emisiones_USCUSS!$M$42</f>
        <v>-1.0249506729616143E-3</v>
      </c>
      <c r="AV127" s="630">
        <f>IF(Calibración_BAU_USCUSS!AZ127&lt;0,Calibración_BAU_USCUSS!AZ127*-1, Calibración_BAU_USCUSS!AZ127) *Emisiones_USCUSS!$M$42</f>
        <v>-1.0377878759658572E-3</v>
      </c>
      <c r="AW127" s="630">
        <f>IF(Calibración_BAU_USCUSS!BA127&lt;0,Calibración_BAU_USCUSS!BA127*-1, Calibración_BAU_USCUSS!BA127) *Emisiones_USCUSS!$M$42</f>
        <v>-1.0507858611280207E-3</v>
      </c>
      <c r="AX127" s="630">
        <f>IF(Calibración_BAU_USCUSS!BB127&lt;0,Calibración_BAU_USCUSS!BB127*-1, Calibración_BAU_USCUSS!BB127) *Emisiones_USCUSS!$M$42</f>
        <v>-1.0639466421969281E-3</v>
      </c>
      <c r="AY127" s="630">
        <f>IF(Calibración_BAU_USCUSS!BC127&lt;0,Calibración_BAU_USCUSS!BC127*-1, Calibración_BAU_USCUSS!BC127) *Emisiones_USCUSS!$M$42</f>
        <v>-1.0772722581429927E-3</v>
      </c>
      <c r="AZ127" s="630">
        <f>IF(Calibración_BAU_USCUSS!BD127&lt;0,Calibración_BAU_USCUSS!BD127*-1, Calibración_BAU_USCUSS!BD127) *Emisiones_USCUSS!$M$42</f>
        <v>-1.0907647734741475E-3</v>
      </c>
      <c r="BA127" s="630">
        <f>IF(Calibración_BAU_USCUSS!BE127&lt;0,Calibración_BAU_USCUSS!BE127*-1, Calibración_BAU_USCUSS!BE127) *Emisiones_USCUSS!$M$42</f>
        <v>-1.1044262785556548E-3</v>
      </c>
      <c r="BB127" s="630">
        <f>IF(Calibración_BAU_USCUSS!BF127&lt;0,Calibración_BAU_USCUSS!BF127*-1, Calibración_BAU_USCUSS!BF127) *Emisiones_USCUSS!$M$42</f>
        <v>-1.1182588899339698E-3</v>
      </c>
      <c r="BC127" s="630">
        <f>IF(Calibración_BAU_USCUSS!BG127&lt;0,Calibración_BAU_USCUSS!BG127*-1, Calibración_BAU_USCUSS!BG127) *Emisiones_USCUSS!$M$42</f>
        <v>-1.1322647506647086E-3</v>
      </c>
      <c r="BD127" s="630">
        <f>IF(Calibración_BAU_USCUSS!BH127&lt;0,Calibración_BAU_USCUSS!BH127*-1, Calibración_BAU_USCUSS!BH127) *Emisiones_USCUSS!$M$42</f>
        <v>-1.146446030644568E-3</v>
      </c>
      <c r="BE127" s="630">
        <f>IF(Calibración_BAU_USCUSS!BI127&lt;0,Calibración_BAU_USCUSS!BI127*-1, Calibración_BAU_USCUSS!BI127) *Emisiones_USCUSS!$M$42</f>
        <v>-1.160804926947603E-3</v>
      </c>
      <c r="BF127" s="630">
        <f>IF(Calibración_BAU_USCUSS!BJ127&lt;0,Calibración_BAU_USCUSS!BJ127*-1, Calibración_BAU_USCUSS!BJ127) *Emisiones_USCUSS!$M$42</f>
        <v>-1.1753436641655515E-3</v>
      </c>
      <c r="BG127" s="630">
        <f>IF(Calibración_BAU_USCUSS!BK127&lt;0,Calibración_BAU_USCUSS!BK127*-1, Calibración_BAU_USCUSS!BK127) *Emisiones_USCUSS!$M$42</f>
        <v>-1.1900644947524766E-3</v>
      </c>
      <c r="BH127" s="630">
        <f>IF(Calibración_BAU_USCUSS!BL127&lt;0,Calibración_BAU_USCUSS!BL127*-1, Calibración_BAU_USCUSS!BL127) *Emisiones_USCUSS!$M$42</f>
        <v>-1.2049696993738155E-3</v>
      </c>
      <c r="BI127" s="630">
        <f>IF(Calibración_BAU_USCUSS!BM127&lt;0,Calibración_BAU_USCUSS!BM127*-1, Calibración_BAU_USCUSS!BM127) *Emisiones_USCUSS!$M$42</f>
        <v>-1.2200615872596074E-3</v>
      </c>
      <c r="BJ127" s="630">
        <f>IF(Calibración_BAU_USCUSS!BN127&lt;0,Calibración_BAU_USCUSS!BN127*-1, Calibración_BAU_USCUSS!BN127) *Emisiones_USCUSS!$M$42</f>
        <v>-1.2353424965623639E-3</v>
      </c>
      <c r="BK127" s="630">
        <f>IF(Calibración_BAU_USCUSS!BO127&lt;0,Calibración_BAU_USCUSS!BO127*-1, Calibración_BAU_USCUSS!BO127) *Emisiones_USCUSS!$M$42</f>
        <v>-1.250814794719215E-3</v>
      </c>
      <c r="BL127" s="630">
        <f>IF(Calibración_BAU_USCUSS!BP127&lt;0,Calibración_BAU_USCUSS!BP127*-1, Calibración_BAU_USCUSS!BP127) *Emisiones_USCUSS!$M$42</f>
        <v>-1.2664808788187705E-3</v>
      </c>
      <c r="BM127" s="630">
        <f>IF(Calibración_BAU_USCUSS!BQ127&lt;0,Calibración_BAU_USCUSS!BQ127*-1, Calibración_BAU_USCUSS!BQ127) *Emisiones_USCUSS!$M$42</f>
        <v>-1.282343175972445E-3</v>
      </c>
    </row>
    <row r="128" spans="1:65" x14ac:dyDescent="0.35">
      <c r="D128" s="93"/>
      <c r="E128" s="112"/>
      <c r="F128" s="112"/>
      <c r="G128" s="112"/>
      <c r="H128" s="112"/>
      <c r="M128" s="373">
        <f t="shared" ref="M128:P128" si="2">SUM(M121:M127)</f>
        <v>0</v>
      </c>
      <c r="N128" s="373">
        <f>SUM(N121:N127)</f>
        <v>26.9774232009702</v>
      </c>
      <c r="O128" s="373">
        <f t="shared" si="2"/>
        <v>27.934083846387686</v>
      </c>
      <c r="P128" s="373">
        <f t="shared" si="2"/>
        <v>27.720999412553535</v>
      </c>
      <c r="Q128" s="373">
        <f>SUM(Q121:Q127)</f>
        <v>27.510741951375099</v>
      </c>
      <c r="R128" s="373">
        <f t="shared" ref="R128:BM128" si="3">SUM(R121:R127)</f>
        <v>27.303243926097359</v>
      </c>
      <c r="S128" s="373">
        <f t="shared" si="3"/>
        <v>27.097022316318359</v>
      </c>
      <c r="T128" s="373">
        <f t="shared" si="3"/>
        <v>26.892246289312716</v>
      </c>
      <c r="U128" s="373">
        <f t="shared" si="3"/>
        <v>26.688964331870491</v>
      </c>
      <c r="V128" s="373">
        <f t="shared" si="3"/>
        <v>26.488002954767136</v>
      </c>
      <c r="W128" s="373">
        <f t="shared" si="3"/>
        <v>26.287832320295283</v>
      </c>
      <c r="X128" s="373">
        <f t="shared" si="3"/>
        <v>26.088992342944533</v>
      </c>
      <c r="Y128" s="373">
        <f t="shared" si="3"/>
        <v>25.892166776973667</v>
      </c>
      <c r="Z128" s="373">
        <f t="shared" si="3"/>
        <v>25.697201285952012</v>
      </c>
      <c r="AA128" s="373">
        <f t="shared" si="3"/>
        <v>25.502820074840418</v>
      </c>
      <c r="AB128" s="373">
        <f t="shared" si="3"/>
        <v>25.310594899893154</v>
      </c>
      <c r="AC128" s="373">
        <f t="shared" si="3"/>
        <v>25.119256781199869</v>
      </c>
      <c r="AD128" s="373">
        <f t="shared" si="3"/>
        <v>24.929687025789743</v>
      </c>
      <c r="AE128" s="373">
        <f t="shared" si="3"/>
        <v>24.741674021869986</v>
      </c>
      <c r="AF128" s="373">
        <f t="shared" si="3"/>
        <v>24.554802964431953</v>
      </c>
      <c r="AG128" s="373">
        <f t="shared" si="3"/>
        <v>24.36956798817916</v>
      </c>
      <c r="AH128" s="373">
        <f t="shared" si="3"/>
        <v>24.185804619311579</v>
      </c>
      <c r="AI128" s="373">
        <f t="shared" si="3"/>
        <v>24.003178553266071</v>
      </c>
      <c r="AJ128" s="373">
        <f t="shared" si="3"/>
        <v>23.822097393838526</v>
      </c>
      <c r="AK128" s="373">
        <f t="shared" si="3"/>
        <v>23.642352432489869</v>
      </c>
      <c r="AL128" s="373">
        <f t="shared" si="3"/>
        <v>23.46371512081296</v>
      </c>
      <c r="AM128" s="373">
        <f t="shared" si="3"/>
        <v>23.286992879786684</v>
      </c>
      <c r="AN128" s="373">
        <f t="shared" si="3"/>
        <v>23.111144489852904</v>
      </c>
      <c r="AO128" s="373">
        <f t="shared" si="3"/>
        <v>22.937092674690067</v>
      </c>
      <c r="AP128" s="373">
        <f t="shared" si="3"/>
        <v>22.763836216637035</v>
      </c>
      <c r="AQ128" s="373">
        <f t="shared" si="3"/>
        <v>22.592132613013401</v>
      </c>
      <c r="AR128" s="373">
        <f t="shared" si="3"/>
        <v>22.421784815789959</v>
      </c>
      <c r="AS128" s="373">
        <f t="shared" si="3"/>
        <v>22.252699542812092</v>
      </c>
      <c r="AT128" s="373">
        <f t="shared" si="3"/>
        <v>22.085037338777486</v>
      </c>
      <c r="AU128" s="373">
        <f t="shared" si="3"/>
        <v>21.918392321295258</v>
      </c>
      <c r="AV128" s="373">
        <f t="shared" si="3"/>
        <v>21.753124941091173</v>
      </c>
      <c r="AW128" s="373">
        <f t="shared" si="3"/>
        <v>21.589147293437968</v>
      </c>
      <c r="AX128" s="373">
        <f t="shared" si="3"/>
        <v>21.42639120103922</v>
      </c>
      <c r="AY128" s="373">
        <f t="shared" si="3"/>
        <v>21.264891409528055</v>
      </c>
      <c r="AZ128" s="373">
        <f t="shared" si="3"/>
        <v>21.10455541970925</v>
      </c>
      <c r="BA128" s="373">
        <f t="shared" si="3"/>
        <v>20.945482632324438</v>
      </c>
      <c r="BB128" s="373">
        <f t="shared" si="3"/>
        <v>20.787618161748231</v>
      </c>
      <c r="BC128" s="373">
        <f t="shared" si="3"/>
        <v>20.630948636635775</v>
      </c>
      <c r="BD128" s="373">
        <f t="shared" si="3"/>
        <v>20.475465550557335</v>
      </c>
      <c r="BE128" s="373">
        <f t="shared" si="3"/>
        <v>20.321166809174834</v>
      </c>
      <c r="BF128" s="373">
        <f t="shared" si="3"/>
        <v>20.168041698705792</v>
      </c>
      <c r="BG128" s="373">
        <f t="shared" si="3"/>
        <v>20.016080417650798</v>
      </c>
      <c r="BH128" s="373">
        <f t="shared" si="3"/>
        <v>19.865271243297105</v>
      </c>
      <c r="BI128" s="373">
        <f t="shared" si="3"/>
        <v>19.715607983578</v>
      </c>
      <c r="BJ128" s="373">
        <f t="shared" si="3"/>
        <v>19.567080858365635</v>
      </c>
      <c r="BK128" s="373">
        <f t="shared" si="3"/>
        <v>19.419684308534059</v>
      </c>
      <c r="BL128" s="373">
        <f t="shared" si="3"/>
        <v>19.27340719597245</v>
      </c>
      <c r="BM128" s="373">
        <f t="shared" si="3"/>
        <v>19.128241066202531</v>
      </c>
    </row>
    <row r="129" spans="1:65" ht="15.5" x14ac:dyDescent="0.3">
      <c r="C129" s="1173" t="s">
        <v>250</v>
      </c>
      <c r="D129" s="1173"/>
      <c r="E129" s="1173"/>
      <c r="F129" s="1173"/>
      <c r="G129" s="1173"/>
      <c r="H129" s="1173"/>
      <c r="I129" s="1173"/>
    </row>
    <row r="130" spans="1:65" ht="14.4" customHeight="1" x14ac:dyDescent="0.35">
      <c r="C130" s="1167" t="s">
        <v>99</v>
      </c>
      <c r="D130" s="1153"/>
      <c r="E130" s="630"/>
      <c r="F130" s="630"/>
      <c r="G130" s="630"/>
      <c r="H130" s="630"/>
      <c r="I130" s="630"/>
      <c r="J130" s="630"/>
      <c r="K130" s="630"/>
      <c r="L130" s="630"/>
      <c r="M130" s="630">
        <f>IF(Calibración_BAU_USCUSS!Q131&lt;0,Calibración_BAU_USCUSS!Q131 *-1, Calibración_BAU_USCUSS!Q131)*Emisiones_USCUSS!$M$45</f>
        <v>0.49099906799999998</v>
      </c>
      <c r="N130" s="630">
        <f>IF(Calibración_BAU_USCUSS!R131&lt;0,Calibración_BAU_USCUSS!R131 *-1, Calibración_BAU_USCUSS!R131)*Emisiones_USCUSS!$M$45</f>
        <v>0.56324849587101078</v>
      </c>
      <c r="O130" s="630">
        <f>IF(Calibración_BAU_USCUSS!S131&lt;0,Calibración_BAU_USCUSS!S131 *-1, Calibración_BAU_USCUSS!S131)*Emisiones_USCUSS!$M$45</f>
        <v>0.58308385490160608</v>
      </c>
      <c r="P130" s="630">
        <f>IF(Calibración_BAU_USCUSS!T131&lt;0,Calibración_BAU_USCUSS!T131 *-1, Calibración_BAU_USCUSS!T131)*Emisiones_USCUSS!$M$45</f>
        <v>0.57865241760434982</v>
      </c>
      <c r="Q130" s="630">
        <f>IF(Calibración_BAU_USCUSS!U131&lt;0,Calibración_BAU_USCUSS!U131 *-1, Calibración_BAU_USCUSS!U131)*Emisiones_USCUSS!$M$45</f>
        <v>0.57425465923056163</v>
      </c>
      <c r="R130" s="630">
        <f>IF(Calibración_BAU_USCUSS!V131&lt;0,Calibración_BAU_USCUSS!V131 *-1, Calibración_BAU_USCUSS!V131)*Emisiones_USCUSS!$M$45</f>
        <v>0.5698903238204025</v>
      </c>
      <c r="S130" s="630">
        <f>IF(Calibración_BAU_USCUSS!W131&lt;0,Calibración_BAU_USCUSS!W131 *-1, Calibración_BAU_USCUSS!W131)*Emisiones_USCUSS!$M$45</f>
        <v>0.56555915735937279</v>
      </c>
      <c r="T130" s="630">
        <f>IF(Calibración_BAU_USCUSS!X131&lt;0,Calibración_BAU_USCUSS!X131 *-1, Calibración_BAU_USCUSS!X131)*Emisiones_USCUSS!$M$45</f>
        <v>0.56126090776344162</v>
      </c>
      <c r="U130" s="630">
        <f>IF(Calibración_BAU_USCUSS!Y131&lt;0,Calibración_BAU_USCUSS!Y131 *-1, Calibración_BAU_USCUSS!Y131)*Emisiones_USCUSS!$M$45</f>
        <v>0.55699532486444181</v>
      </c>
      <c r="V130" s="630">
        <f>IF(Calibración_BAU_USCUSS!Z131&lt;0,Calibración_BAU_USCUSS!Z131 *-1, Calibración_BAU_USCUSS!Z131)*Emisiones_USCUSS!$M$45</f>
        <v>0.55276216039546633</v>
      </c>
      <c r="W130" s="630">
        <f>IF(Calibración_BAU_USCUSS!AA131&lt;0,Calibración_BAU_USCUSS!AA131 *-1, Calibración_BAU_USCUSS!AA131)*Emisiones_USCUSS!$M$45</f>
        <v>0.54856116797646615</v>
      </c>
      <c r="X130" s="630">
        <f>IF(Calibración_BAU_USCUSS!AB131&lt;0,Calibración_BAU_USCUSS!AB131 *-1, Calibración_BAU_USCUSS!AB131)*Emisiones_USCUSS!$M$45</f>
        <v>0.54439210309983788</v>
      </c>
      <c r="Y130" s="630">
        <f>IF(Calibración_BAU_USCUSS!AC131&lt;0,Calibración_BAU_USCUSS!AC131 *-1, Calibración_BAU_USCUSS!AC131)*Emisiones_USCUSS!$M$45</f>
        <v>0.5402547231162883</v>
      </c>
      <c r="Z130" s="630">
        <f>IF(Calibración_BAU_USCUSS!AD131&lt;0,Calibración_BAU_USCUSS!AD131 *-1, Calibración_BAU_USCUSS!AD131)*Emisiones_USCUSS!$M$45</f>
        <v>0.53614878722060344</v>
      </c>
      <c r="AA130" s="630">
        <f>IF(Calibración_BAU_USCUSS!AE131&lt;0,Calibración_BAU_USCUSS!AE131 *-1, Calibración_BAU_USCUSS!AE131)*Emisiones_USCUSS!$M$45</f>
        <v>0.53207405643772621</v>
      </c>
      <c r="AB130" s="630">
        <f>IF(Calibración_BAU_USCUSS!AF131&lt;0,Calibración_BAU_USCUSS!AF131 *-1, Calibración_BAU_USCUSS!AF131)*Emisiones_USCUSS!$M$45</f>
        <v>0.52803029360879206</v>
      </c>
      <c r="AC130" s="630">
        <f>IF(Calibración_BAU_USCUSS!AG131&lt;0,Calibración_BAU_USCUSS!AG131 *-1, Calibración_BAU_USCUSS!AG131)*Emisiones_USCUSS!$M$45</f>
        <v>0.52401726337736609</v>
      </c>
      <c r="AD130" s="630">
        <f>IF(Calibración_BAU_USCUSS!AH131&lt;0,Calibración_BAU_USCUSS!AH131 *-1, Calibración_BAU_USCUSS!AH131)*Emisiones_USCUSS!$M$45</f>
        <v>0.52003473217570306</v>
      </c>
      <c r="AE130" s="630">
        <f>IF(Calibración_BAU_USCUSS!AI131&lt;0,Calibración_BAU_USCUSS!AI131 *-1, Calibración_BAU_USCUSS!AI131)*Emisiones_USCUSS!$M$45</f>
        <v>0.51608246821116577</v>
      </c>
      <c r="AF130" s="630">
        <f>IF(Calibración_BAU_USCUSS!AJ131&lt;0,Calibración_BAU_USCUSS!AJ131 *-1, Calibración_BAU_USCUSS!AJ131)*Emisiones_USCUSS!$M$45</f>
        <v>0.51216024145276184</v>
      </c>
      <c r="AG130" s="630">
        <f>IF(Calibración_BAU_USCUSS!AK131&lt;0,Calibración_BAU_USCUSS!AK131 *-1, Calibración_BAU_USCUSS!AK131)*Emisiones_USCUSS!$M$45</f>
        <v>0.50826782361772227</v>
      </c>
      <c r="AH130" s="630">
        <f>IF(Calibración_BAU_USCUSS!AL131&lt;0,Calibración_BAU_USCUSS!AL131 *-1, Calibración_BAU_USCUSS!AL131)*Emisiones_USCUSS!$M$45</f>
        <v>0.50440498815822954</v>
      </c>
      <c r="AI130" s="630">
        <f>IF(Calibración_BAU_USCUSS!AM131&lt;0,Calibración_BAU_USCUSS!AM131 *-1, Calibración_BAU_USCUSS!AM131)*Emisiones_USCUSS!$M$45</f>
        <v>0.50057151024822111</v>
      </c>
      <c r="AJ130" s="630">
        <f>IF(Calibración_BAU_USCUSS!AN131&lt;0,Calibración_BAU_USCUSS!AN131 *-1, Calibración_BAU_USCUSS!AN131)*Emisiones_USCUSS!$M$45</f>
        <v>0.4967671667703405</v>
      </c>
      <c r="AK130" s="630">
        <f>IF(Calibración_BAU_USCUSS!AO131&lt;0,Calibración_BAU_USCUSS!AO131 *-1, Calibración_BAU_USCUSS!AO131)*Emisiones_USCUSS!$M$45</f>
        <v>0.49299173630287957</v>
      </c>
      <c r="AL130" s="630">
        <f>IF(Calibración_BAU_USCUSS!AP131&lt;0,Calibración_BAU_USCUSS!AP131 *-1, Calibración_BAU_USCUSS!AP131)*Emisiones_USCUSS!$M$45</f>
        <v>0.48924499910697516</v>
      </c>
      <c r="AM130" s="630">
        <f>IF(Calibración_BAU_USCUSS!AQ131&lt;0,Calibración_BAU_USCUSS!AQ131 *-1, Calibración_BAU_USCUSS!AQ131)*Emisiones_USCUSS!$M$45</f>
        <v>0.48552673711376387</v>
      </c>
      <c r="AN130" s="630">
        <f>IF(Calibración_BAU_USCUSS!AR131&lt;0,Calibración_BAU_USCUSS!AR131 *-1, Calibración_BAU_USCUSS!AR131)*Emisiones_USCUSS!$M$45</f>
        <v>0.48183673391170723</v>
      </c>
      <c r="AO130" s="630">
        <f>IF(Calibración_BAU_USCUSS!AS131&lt;0,Calibración_BAU_USCUSS!AS131 *-1, Calibración_BAU_USCUSS!AS131)*Emisiones_USCUSS!$M$45</f>
        <v>0.47817477473397002</v>
      </c>
      <c r="AP130" s="630">
        <f>IF(Calibración_BAU_USCUSS!AT131&lt;0,Calibración_BAU_USCUSS!AT131 *-1, Calibración_BAU_USCUSS!AT131)*Emisiones_USCUSS!$M$45</f>
        <v>0.47454064644599081</v>
      </c>
      <c r="AQ130" s="630">
        <f>IF(Calibración_BAU_USCUSS!AU131&lt;0,Calibración_BAU_USCUSS!AU131 *-1, Calibración_BAU_USCUSS!AU131)*Emisiones_USCUSS!$M$45</f>
        <v>0.4709341375330095</v>
      </c>
      <c r="AR130" s="630">
        <f>IF(Calibración_BAU_USCUSS!AV131&lt;0,Calibración_BAU_USCUSS!AV131 *-1, Calibración_BAU_USCUSS!AV131)*Emisiones_USCUSS!$M$45</f>
        <v>0.46735503808775486</v>
      </c>
      <c r="AS130" s="630">
        <f>IF(Calibración_BAU_USCUSS!AW131&lt;0,Calibración_BAU_USCUSS!AW131 *-1, Calibración_BAU_USCUSS!AW131)*Emisiones_USCUSS!$M$45</f>
        <v>0.4638031397982923</v>
      </c>
      <c r="AT130" s="630">
        <f>IF(Calibración_BAU_USCUSS!AX131&lt;0,Calibración_BAU_USCUSS!AX131 *-1, Calibración_BAU_USCUSS!AX131)*Emisiones_USCUSS!$M$45</f>
        <v>0.46027823593581768</v>
      </c>
      <c r="AU130" s="630">
        <f>IF(Calibración_BAU_USCUSS!AY131&lt;0,Calibración_BAU_USCUSS!AY131 *-1, Calibración_BAU_USCUSS!AY131)*Emisiones_USCUSS!$M$45</f>
        <v>0.45678012134270762</v>
      </c>
      <c r="AV130" s="630">
        <f>IF(Calibración_BAU_USCUSS!AZ131&lt;0,Calibración_BAU_USCUSS!AZ131 *-1, Calibración_BAU_USCUSS!AZ131)*Emisiones_USCUSS!$M$45</f>
        <v>0.45330859242050547</v>
      </c>
      <c r="AW130" s="630">
        <f>IF(Calibración_BAU_USCUSS!BA131&lt;0,Calibración_BAU_USCUSS!BA131 *-1, Calibración_BAU_USCUSS!BA131)*Emisiones_USCUSS!$M$45</f>
        <v>0.44986344711810994</v>
      </c>
      <c r="AX130" s="630">
        <f>IF(Calibración_BAU_USCUSS!BB131&lt;0,Calibración_BAU_USCUSS!BB131 *-1, Calibración_BAU_USCUSS!BB131)*Emisiones_USCUSS!$M$45</f>
        <v>0.44644448492000638</v>
      </c>
      <c r="AY130" s="630">
        <f>IF(Calibración_BAU_USCUSS!BC131&lt;0,Calibración_BAU_USCUSS!BC131 *-1, Calibración_BAU_USCUSS!BC131)*Emisiones_USCUSS!$M$45</f>
        <v>0.44305150683461519</v>
      </c>
      <c r="AZ130" s="630">
        <f>IF(Calibración_BAU_USCUSS!BD131&lt;0,Calibración_BAU_USCUSS!BD131 *-1, Calibración_BAU_USCUSS!BD131)*Emisiones_USCUSS!$M$45</f>
        <v>0.43968431538267255</v>
      </c>
      <c r="BA130" s="630">
        <f>IF(Calibración_BAU_USCUSS!BE131&lt;0,Calibración_BAU_USCUSS!BE131 *-1, Calibración_BAU_USCUSS!BE131)*Emisiones_USCUSS!$M$45</f>
        <v>0.43634271458577056</v>
      </c>
      <c r="BB130" s="630">
        <f>IF(Calibración_BAU_USCUSS!BF131&lt;0,Calibración_BAU_USCUSS!BF131 *-1, Calibración_BAU_USCUSS!BF131)*Emisiones_USCUSS!$M$45</f>
        <v>0.43302650995491904</v>
      </c>
      <c r="BC130" s="630">
        <f>IF(Calibración_BAU_USCUSS!BG131&lt;0,Calibración_BAU_USCUSS!BG131 *-1, Calibración_BAU_USCUSS!BG131)*Emisiones_USCUSS!$M$45</f>
        <v>0.42973550847925657</v>
      </c>
      <c r="BD130" s="630">
        <f>IF(Calibración_BAU_USCUSS!BH131&lt;0,Calibración_BAU_USCUSS!BH131 *-1, Calibración_BAU_USCUSS!BH131)*Emisiones_USCUSS!$M$45</f>
        <v>0.4264695186148148</v>
      </c>
      <c r="BE130" s="630">
        <f>IF(Calibración_BAU_USCUSS!BI131&lt;0,Calibración_BAU_USCUSS!BI131 *-1, Calibración_BAU_USCUSS!BI131)*Emisiones_USCUSS!$M$45</f>
        <v>0.42322835027334632</v>
      </c>
      <c r="BF130" s="630">
        <f>IF(Calibración_BAU_USCUSS!BJ131&lt;0,Calibración_BAU_USCUSS!BJ131 *-1, Calibración_BAU_USCUSS!BJ131)*Emisiones_USCUSS!$M$45</f>
        <v>0.42001181481127065</v>
      </c>
      <c r="BG130" s="630">
        <f>IF(Calibración_BAU_USCUSS!BK131&lt;0,Calibración_BAU_USCUSS!BK131 *-1, Calibración_BAU_USCUSS!BK131)*Emisiones_USCUSS!$M$45</f>
        <v>0.41681972501870462</v>
      </c>
      <c r="BH130" s="630">
        <f>IF(Calibración_BAU_USCUSS!BL131&lt;0,Calibración_BAU_USCUSS!BL131 *-1, Calibración_BAU_USCUSS!BL131)*Emisiones_USCUSS!$M$45</f>
        <v>0.41365189510855715</v>
      </c>
      <c r="BI130" s="630">
        <f>IF(Calibración_BAU_USCUSS!BM131&lt;0,Calibración_BAU_USCUSS!BM131 *-1, Calibración_BAU_USCUSS!BM131)*Emisiones_USCUSS!$M$45</f>
        <v>0.41050814070573083</v>
      </c>
      <c r="BJ130" s="630">
        <f>IF(Calibración_BAU_USCUSS!BN131&lt;0,Calibración_BAU_USCUSS!BN131 *-1, Calibración_BAU_USCUSS!BN131)*Emisiones_USCUSS!$M$45</f>
        <v>0.40738827883636547</v>
      </c>
      <c r="BK130" s="630">
        <f>IF(Calibración_BAU_USCUSS!BO131&lt;0,Calibración_BAU_USCUSS!BO131 *-1, Calibración_BAU_USCUSS!BO131)*Emisiones_USCUSS!$M$45</f>
        <v>0.40429212791721042</v>
      </c>
      <c r="BL130" s="630">
        <f>IF(Calibración_BAU_USCUSS!BP131&lt;0,Calibración_BAU_USCUSS!BP131 *-1, Calibración_BAU_USCUSS!BP131)*Emisiones_USCUSS!$M$45</f>
        <v>0.40121950774503873</v>
      </c>
      <c r="BM130" s="630">
        <f>IF(Calibración_BAU_USCUSS!BQ131&lt;0,Calibración_BAU_USCUSS!BQ131 *-1, Calibración_BAU_USCUSS!BQ131)*Emisiones_USCUSS!$M$45</f>
        <v>0.39817023948617919</v>
      </c>
    </row>
    <row r="131" spans="1:65" x14ac:dyDescent="0.35">
      <c r="C131" s="1167" t="s">
        <v>101</v>
      </c>
      <c r="D131" s="1153"/>
      <c r="E131" s="634"/>
      <c r="F131" s="634"/>
      <c r="G131" s="634"/>
      <c r="H131" s="634"/>
      <c r="I131" s="630"/>
      <c r="J131" s="630"/>
      <c r="K131" s="630"/>
      <c r="L131" s="630"/>
      <c r="M131" s="630">
        <f>IF(Calibración_BAU_USCUSS!Q132&lt;0, Calibración_BAU_USCUSS!Q132*-1, Calibración_BAU_USCUSS!Q132)*Emisiones_USCUSS!$M$46</f>
        <v>1.2646719257000001</v>
      </c>
      <c r="N131" s="630">
        <f>IF(Calibración_BAU_USCUSS!R132&lt;0, Calibración_BAU_USCUSS!R132*-1, Calibración_BAU_USCUSS!R132)*Emisiones_USCUSS!$M$46</f>
        <v>1.4103336135173349E-5</v>
      </c>
      <c r="O131" s="630">
        <f>IF(Calibración_BAU_USCUSS!S132&lt;0, Calibración_BAU_USCUSS!S132*-1, Calibración_BAU_USCUSS!S132)*Emisiones_USCUSS!$M$46</f>
        <v>9.0731466582742136E-3</v>
      </c>
      <c r="P131" s="630">
        <f>IF(Calibración_BAU_USCUSS!T132&lt;0, Calibración_BAU_USCUSS!T132*-1, Calibración_BAU_USCUSS!T132)*Emisiones_USCUSS!$M$46</f>
        <v>4.9305428126198269E-3</v>
      </c>
      <c r="Q131" s="630">
        <f>IF(Calibración_BAU_USCUSS!U132&lt;0, Calibración_BAU_USCUSS!U132*-1, Calibración_BAU_USCUSS!U132)*Emisiones_USCUSS!$M$46</f>
        <v>3.1445841102666081E-3</v>
      </c>
      <c r="R131" s="630">
        <f>IF(Calibración_BAU_USCUSS!V132&lt;0, Calibración_BAU_USCUSS!V132*-1, Calibración_BAU_USCUSS!V132)*Emisiones_USCUSS!$M$46</f>
        <v>3.6114232439723726E-3</v>
      </c>
      <c r="S131" s="630">
        <f>IF(Calibración_BAU_USCUSS!W132&lt;0, Calibración_BAU_USCUSS!W132*-1, Calibración_BAU_USCUSS!W132)*Emisiones_USCUSS!$M$46</f>
        <v>3.4960091469459979E-3</v>
      </c>
      <c r="T131" s="630">
        <f>IF(Calibración_BAU_USCUSS!X132&lt;0, Calibración_BAU_USCUSS!X132*-1, Calibración_BAU_USCUSS!X132)*Emisiones_USCUSS!$M$46</f>
        <v>3.1473521547208481E-3</v>
      </c>
      <c r="U131" s="630">
        <f>IF(Calibración_BAU_USCUSS!Y132&lt;0, Calibración_BAU_USCUSS!Y132*-1, Calibración_BAU_USCUSS!Y132)*Emisiones_USCUSS!$M$46</f>
        <v>2.681801652424016E-3</v>
      </c>
      <c r="V131" s="630">
        <f>IF(Calibración_BAU_USCUSS!Z132&lt;0, Calibración_BAU_USCUSS!Z132*-1, Calibración_BAU_USCUSS!Z132)*Emisiones_USCUSS!$M$46</f>
        <v>3.714359539174364E-3</v>
      </c>
      <c r="W131" s="630">
        <f>IF(Calibración_BAU_USCUSS!AA132&lt;0, Calibración_BAU_USCUSS!AA132*-1, Calibración_BAU_USCUSS!AA132)*Emisiones_USCUSS!$M$46</f>
        <v>3.3204595987556913E-3</v>
      </c>
      <c r="X131" s="630">
        <f>IF(Calibración_BAU_USCUSS!AB132&lt;0, Calibración_BAU_USCUSS!AB132*-1, Calibración_BAU_USCUSS!AB132)*Emisiones_USCUSS!$M$46</f>
        <v>2.5626447509975257E-3</v>
      </c>
      <c r="Y131" s="630">
        <f>IF(Calibración_BAU_USCUSS!AC132&lt;0, Calibración_BAU_USCUSS!AC132*-1, Calibración_BAU_USCUSS!AC132)*Emisiones_USCUSS!$M$46</f>
        <v>2.7803881404719552E-3</v>
      </c>
      <c r="Z131" s="630">
        <f>IF(Calibración_BAU_USCUSS!AD132&lt;0, Calibración_BAU_USCUSS!AD132*-1, Calibración_BAU_USCUSS!AD132)*Emisiones_USCUSS!$M$46</f>
        <v>3.6984513430672944E-3</v>
      </c>
      <c r="AA131" s="630">
        <f>IF(Calibración_BAU_USCUSS!AE132&lt;0, Calibración_BAU_USCUSS!AE132*-1, Calibración_BAU_USCUSS!AE132)*Emisiones_USCUSS!$M$46</f>
        <v>2.8809906013184984E-3</v>
      </c>
      <c r="AB131" s="630">
        <f>IF(Calibración_BAU_USCUSS!AF132&lt;0, Calibración_BAU_USCUSS!AF132*-1, Calibración_BAU_USCUSS!AF132)*Emisiones_USCUSS!$M$46</f>
        <v>3.377670031702933E-3</v>
      </c>
      <c r="AC131" s="630">
        <f>IF(Calibración_BAU_USCUSS!AG132&lt;0, Calibración_BAU_USCUSS!AG132*-1, Calibración_BAU_USCUSS!AG132)*Emisiones_USCUSS!$M$46</f>
        <v>2.7654431677780634E-3</v>
      </c>
      <c r="AD131" s="630">
        <f>IF(Calibración_BAU_USCUSS!AH132&lt;0, Calibración_BAU_USCUSS!AH132*-1, Calibración_BAU_USCUSS!AH132)*Emisiones_USCUSS!$M$46</f>
        <v>2.7635267764361238E-3</v>
      </c>
      <c r="AE131" s="630">
        <f>IF(Calibración_BAU_USCUSS!AI132&lt;0, Calibración_BAU_USCUSS!AI132*-1, Calibración_BAU_USCUSS!AI132)*Emisiones_USCUSS!$M$46</f>
        <v>2.9855179046825299E-3</v>
      </c>
      <c r="AF131" s="630">
        <f>IF(Calibración_BAU_USCUSS!AJ132&lt;0, Calibración_BAU_USCUSS!AJ132*-1, Calibración_BAU_USCUSS!AJ132)*Emisiones_USCUSS!$M$46</f>
        <v>2.6534098778864478E-3</v>
      </c>
      <c r="AG131" s="630">
        <f>IF(Calibración_BAU_USCUSS!AK132&lt;0, Calibración_BAU_USCUSS!AK132*-1, Calibración_BAU_USCUSS!AK132)*Emisiones_USCUSS!$M$46</f>
        <v>2.7400655970662678E-3</v>
      </c>
      <c r="AH131" s="630">
        <f>IF(Calibración_BAU_USCUSS!AL132&lt;0, Calibración_BAU_USCUSS!AL132*-1, Calibración_BAU_USCUSS!AL132)*Emisiones_USCUSS!$M$46</f>
        <v>2.9494104404940292E-3</v>
      </c>
      <c r="AI131" s="630">
        <f>IF(Calibración_BAU_USCUSS!AM132&lt;0, Calibración_BAU_USCUSS!AM132*-1, Calibración_BAU_USCUSS!AM132)*Emisiones_USCUSS!$M$46</f>
        <v>2.6580409287783749E-3</v>
      </c>
      <c r="AJ131" s="630">
        <f>IF(Calibración_BAU_USCUSS!AN132&lt;0, Calibración_BAU_USCUSS!AN132*-1, Calibración_BAU_USCUSS!AN132)*Emisiones_USCUSS!$M$46</f>
        <v>2.6716486941562281E-3</v>
      </c>
      <c r="AK131" s="630">
        <f>IF(Calibración_BAU_USCUSS!AO132&lt;0, Calibración_BAU_USCUSS!AO132*-1, Calibración_BAU_USCUSS!AO132)*Emisiones_USCUSS!$M$46</f>
        <v>2.6084730419599399E-3</v>
      </c>
      <c r="AL131" s="630">
        <f>IF(Calibración_BAU_USCUSS!AP132&lt;0, Calibración_BAU_USCUSS!AP132*-1, Calibración_BAU_USCUSS!AP132)*Emisiones_USCUSS!$M$46</f>
        <v>2.0483784326494931E-3</v>
      </c>
      <c r="AM131" s="630">
        <f>IF(Calibración_BAU_USCUSS!AQ132&lt;0, Calibración_BAU_USCUSS!AQ132*-1, Calibración_BAU_USCUSS!AQ132)*Emisiones_USCUSS!$M$46</f>
        <v>2.5668228029447271E-3</v>
      </c>
      <c r="AN131" s="630">
        <f>IF(Calibración_BAU_USCUSS!AR132&lt;0, Calibración_BAU_USCUSS!AR132*-1, Calibración_BAU_USCUSS!AR132)*Emisiones_USCUSS!$M$46</f>
        <v>2.1777926389033113E-3</v>
      </c>
      <c r="AO131" s="630">
        <f>IF(Calibración_BAU_USCUSS!AS132&lt;0, Calibración_BAU_USCUSS!AS132*-1, Calibración_BAU_USCUSS!AS132)*Emisiones_USCUSS!$M$46</f>
        <v>2.6785684406608378E-3</v>
      </c>
      <c r="AP131" s="630">
        <f>IF(Calibración_BAU_USCUSS!AT132&lt;0, Calibración_BAU_USCUSS!AT132*-1, Calibración_BAU_USCUSS!AT132)*Emisiones_USCUSS!$M$46</f>
        <v>2.1598980820582538E-3</v>
      </c>
      <c r="AQ131" s="630">
        <f>IF(Calibración_BAU_USCUSS!AU132&lt;0, Calibración_BAU_USCUSS!AU132*-1, Calibración_BAU_USCUSS!AU132)*Emisiones_USCUSS!$M$46</f>
        <v>2.1004630999089612E-3</v>
      </c>
      <c r="AR131" s="630">
        <f>IF(Calibración_BAU_USCUSS!AV132&lt;0, Calibración_BAU_USCUSS!AV132*-1, Calibración_BAU_USCUSS!AV132)*Emisiones_USCUSS!$M$46</f>
        <v>2.1399107113445367E-3</v>
      </c>
      <c r="AS131" s="630">
        <f>IF(Calibración_BAU_USCUSS!AW132&lt;0, Calibración_BAU_USCUSS!AW132*-1, Calibración_BAU_USCUSS!AW132)*Emisiones_USCUSS!$M$46</f>
        <v>2.1176419980752132E-3</v>
      </c>
      <c r="AT131" s="630">
        <f>IF(Calibración_BAU_USCUSS!AX132&lt;0, Calibración_BAU_USCUSS!AX132*-1, Calibración_BAU_USCUSS!AX132)*Emisiones_USCUSS!$M$46</f>
        <v>2.3618984806765991E-3</v>
      </c>
      <c r="AU131" s="630">
        <f>IF(Calibración_BAU_USCUSS!AY132&lt;0, Calibración_BAU_USCUSS!AY132*-1, Calibración_BAU_USCUSS!AY132)*Emisiones_USCUSS!$M$46</f>
        <v>2.1095823650717068E-3</v>
      </c>
      <c r="AV131" s="630">
        <f>IF(Calibración_BAU_USCUSS!AZ132&lt;0, Calibración_BAU_USCUSS!AZ132*-1, Calibración_BAU_USCUSS!AZ132)*Emisiones_USCUSS!$M$46</f>
        <v>2.0737578403906623E-3</v>
      </c>
      <c r="AW131" s="630">
        <f>IF(Calibración_BAU_USCUSS!BA132&lt;0, Calibración_BAU_USCUSS!BA132*-1, Calibración_BAU_USCUSS!BA132)*Emisiones_USCUSS!$M$46</f>
        <v>2.1036114500204918E-3</v>
      </c>
      <c r="AX131" s="630">
        <f>IF(Calibración_BAU_USCUSS!BB132&lt;0, Calibración_BAU_USCUSS!BB132*-1, Calibración_BAU_USCUSS!BB132)*Emisiones_USCUSS!$M$46</f>
        <v>2.0861929526384665E-3</v>
      </c>
      <c r="AY131" s="630">
        <f>IF(Calibración_BAU_USCUSS!BC132&lt;0, Calibración_BAU_USCUSS!BC132*-1, Calibración_BAU_USCUSS!BC132)*Emisiones_USCUSS!$M$46</f>
        <v>2.1066886279091654E-3</v>
      </c>
      <c r="AZ131" s="630">
        <f>IF(Calibración_BAU_USCUSS!BD132&lt;0, Calibración_BAU_USCUSS!BD132*-1, Calibración_BAU_USCUSS!BD132)*Emisiones_USCUSS!$M$46</f>
        <v>2.0050149231438117E-3</v>
      </c>
      <c r="BA131" s="630">
        <f>IF(Calibración_BAU_USCUSS!BE132&lt;0, Calibración_BAU_USCUSS!BE132*-1, Calibración_BAU_USCUSS!BE132)*Emisiones_USCUSS!$M$46</f>
        <v>1.9906369667689813E-3</v>
      </c>
      <c r="BB131" s="630">
        <f>IF(Calibración_BAU_USCUSS!BF132&lt;0, Calibración_BAU_USCUSS!BF132*-1, Calibración_BAU_USCUSS!BF132)*Emisiones_USCUSS!$M$46</f>
        <v>1.9756578962635963E-3</v>
      </c>
      <c r="BC131" s="630">
        <f>IF(Calibración_BAU_USCUSS!BG132&lt;0, Calibración_BAU_USCUSS!BG132*-1, Calibración_BAU_USCUSS!BG132)*Emisiones_USCUSS!$M$46</f>
        <v>1.9520206829358221E-3</v>
      </c>
      <c r="BD131" s="630">
        <f>IF(Calibración_BAU_USCUSS!BH132&lt;0, Calibración_BAU_USCUSS!BH132*-1, Calibración_BAU_USCUSS!BH132)*Emisiones_USCUSS!$M$46</f>
        <v>1.9209058745479532E-3</v>
      </c>
      <c r="BE131" s="630">
        <f>IF(Calibración_BAU_USCUSS!BI132&lt;0, Calibración_BAU_USCUSS!BI132*-1, Calibración_BAU_USCUSS!BI132)*Emisiones_USCUSS!$M$46</f>
        <v>1.8957131836380594E-3</v>
      </c>
      <c r="BF131" s="630">
        <f>IF(Calibración_BAU_USCUSS!BJ132&lt;0, Calibración_BAU_USCUSS!BJ132*-1, Calibración_BAU_USCUSS!BJ132)*Emisiones_USCUSS!$M$46</f>
        <v>1.8731049506916151E-3</v>
      </c>
      <c r="BG131" s="630">
        <f>IF(Calibración_BAU_USCUSS!BK132&lt;0, Calibración_BAU_USCUSS!BK132*-1, Calibración_BAU_USCUSS!BK132)*Emisiones_USCUSS!$M$46</f>
        <v>1.851369577710609E-3</v>
      </c>
      <c r="BH131" s="630">
        <f>IF(Calibración_BAU_USCUSS!BL132&lt;0, Calibración_BAU_USCUSS!BL132*-1, Calibración_BAU_USCUSS!BL132)*Emisiones_USCUSS!$M$46</f>
        <v>1.8249639306480816E-3</v>
      </c>
      <c r="BI131" s="630">
        <f>IF(Calibración_BAU_USCUSS!BM132&lt;0, Calibración_BAU_USCUSS!BM132*-1, Calibración_BAU_USCUSS!BM132)*Emisiones_USCUSS!$M$46</f>
        <v>1.7988699887028651E-3</v>
      </c>
      <c r="BJ131" s="630">
        <f>IF(Calibración_BAU_USCUSS!BN132&lt;0, Calibración_BAU_USCUSS!BN132*-1, Calibración_BAU_USCUSS!BN132)*Emisiones_USCUSS!$M$46</f>
        <v>1.7710290684717698E-3</v>
      </c>
      <c r="BK131" s="630">
        <f>IF(Calibración_BAU_USCUSS!BO132&lt;0, Calibración_BAU_USCUSS!BO132*-1, Calibración_BAU_USCUSS!BO132)*Emisiones_USCUSS!$M$46</f>
        <v>1.7473865939360617E-3</v>
      </c>
      <c r="BL131" s="630">
        <f>IF(Calibración_BAU_USCUSS!BP132&lt;0, Calibración_BAU_USCUSS!BP132*-1, Calibración_BAU_USCUSS!BP132)*Emisiones_USCUSS!$M$46</f>
        <v>1.7230138515103711E-3</v>
      </c>
      <c r="BM131" s="630">
        <f>IF(Calibración_BAU_USCUSS!BQ132&lt;0, Calibración_BAU_USCUSS!BQ132*-1, Calibración_BAU_USCUSS!BQ132)*Emisiones_USCUSS!$M$46</f>
        <v>1.6980264967813099E-3</v>
      </c>
    </row>
    <row r="132" spans="1:65" x14ac:dyDescent="0.35">
      <c r="C132" s="1167" t="s">
        <v>106</v>
      </c>
      <c r="D132" s="1153"/>
      <c r="E132" s="634"/>
      <c r="F132" s="634"/>
      <c r="G132" s="634"/>
      <c r="H132" s="634"/>
      <c r="I132" s="630"/>
      <c r="J132" s="630"/>
      <c r="K132" s="630"/>
      <c r="L132" s="630"/>
      <c r="M132" s="630">
        <f>IF(Calibración_BAU_USCUSS!Q133&lt;0,Calibración_BAU_USCUSS!Q133*-1, Calibración_BAU_USCUSS!Q133) *Emisiones_USCUSS!$M$47</f>
        <v>-0.44534063399999996</v>
      </c>
      <c r="N132" s="630">
        <f>IF(Calibración_BAU_USCUSS!R133&lt;0,Calibración_BAU_USCUSS!R133*-1, Calibración_BAU_USCUSS!R133) *Emisiones_USCUSS!$M$47</f>
        <v>-0.18321268949227024</v>
      </c>
      <c r="O132" s="630">
        <f>IF(Calibración_BAU_USCUSS!S133&lt;0,Calibración_BAU_USCUSS!S133*-1, Calibración_BAU_USCUSS!S133) *Emisiones_USCUSS!$M$47</f>
        <v>-4.072549033159973E-2</v>
      </c>
      <c r="P132" s="630">
        <f>IF(Calibración_BAU_USCUSS!T133&lt;0,Calibración_BAU_USCUSS!T133*-1, Calibración_BAU_USCUSS!T133) *Emisiones_USCUSS!$M$47</f>
        <v>-0.38615729649655095</v>
      </c>
      <c r="Q132" s="630">
        <f>IF(Calibración_BAU_USCUSS!U133&lt;0,Calibración_BAU_USCUSS!U133*-1, Calibración_BAU_USCUSS!U133) *Emisiones_USCUSS!$M$47</f>
        <v>-0.39722762242926524</v>
      </c>
      <c r="R132" s="630">
        <f>IF(Calibración_BAU_USCUSS!V133&lt;0,Calibración_BAU_USCUSS!V133*-1, Calibración_BAU_USCUSS!V133) *Emisiones_USCUSS!$M$47</f>
        <v>-0.34326857441468361</v>
      </c>
      <c r="S132" s="630">
        <f>IF(Calibración_BAU_USCUSS!W133&lt;0,Calibración_BAU_USCUSS!W133*-1, Calibración_BAU_USCUSS!W133) *Emisiones_USCUSS!$M$47</f>
        <v>-0.36711469716068534</v>
      </c>
      <c r="T132" s="630">
        <f>IF(Calibración_BAU_USCUSS!X133&lt;0,Calibración_BAU_USCUSS!X133*-1, Calibración_BAU_USCUSS!X133) *Emisiones_USCUSS!$M$47</f>
        <v>-0.28138384659659121</v>
      </c>
      <c r="U132" s="630">
        <f>IF(Calibración_BAU_USCUSS!Y133&lt;0,Calibración_BAU_USCUSS!Y133*-1, Calibración_BAU_USCUSS!Y133) *Emisiones_USCUSS!$M$47</f>
        <v>-0.23412299737613151</v>
      </c>
      <c r="V132" s="630">
        <f>IF(Calibración_BAU_USCUSS!Z133&lt;0,Calibración_BAU_USCUSS!Z133*-1, Calibración_BAU_USCUSS!Z133) *Emisiones_USCUSS!$M$47</f>
        <v>-0.30710332794571993</v>
      </c>
      <c r="W132" s="630">
        <f>IF(Calibración_BAU_USCUSS!AA133&lt;0,Calibración_BAU_USCUSS!AA133*-1, Calibración_BAU_USCUSS!AA133) *Emisiones_USCUSS!$M$47</f>
        <v>-0.26250460083379823</v>
      </c>
      <c r="X132" s="630">
        <f>IF(Calibración_BAU_USCUSS!AB133&lt;0,Calibración_BAU_USCUSS!AB133*-1, Calibración_BAU_USCUSS!AB133) *Emisiones_USCUSS!$M$47</f>
        <v>-0.15348968636518173</v>
      </c>
      <c r="Y132" s="630">
        <f>IF(Calibración_BAU_USCUSS!AC133&lt;0,Calibración_BAU_USCUSS!AC133*-1, Calibración_BAU_USCUSS!AC133) *Emisiones_USCUSS!$M$47</f>
        <v>-0.17910811059481821</v>
      </c>
      <c r="Z132" s="630">
        <f>IF(Calibración_BAU_USCUSS!AD133&lt;0,Calibración_BAU_USCUSS!AD133*-1, Calibración_BAU_USCUSS!AD133) *Emisiones_USCUSS!$M$47</f>
        <v>-0.25911643587380978</v>
      </c>
      <c r="AA132" s="630">
        <f>IF(Calibración_BAU_USCUSS!AE133&lt;0,Calibración_BAU_USCUSS!AE133*-1, Calibración_BAU_USCUSS!AE133) *Emisiones_USCUSS!$M$47</f>
        <v>-0.16835506876790471</v>
      </c>
      <c r="AB132" s="630">
        <f>IF(Calibración_BAU_USCUSS!AF133&lt;0,Calibración_BAU_USCUSS!AF133*-1, Calibración_BAU_USCUSS!AF133) *Emisiones_USCUSS!$M$47</f>
        <v>-0.21562786086010335</v>
      </c>
      <c r="AC132" s="630">
        <f>IF(Calibración_BAU_USCUSS!AG133&lt;0,Calibración_BAU_USCUSS!AG133*-1, Calibración_BAU_USCUSS!AG133) *Emisiones_USCUSS!$M$47</f>
        <v>-0.15096788970763939</v>
      </c>
      <c r="AD132" s="630">
        <f>IF(Calibración_BAU_USCUSS!AH133&lt;0,Calibración_BAU_USCUSS!AH133*-1, Calibración_BAU_USCUSS!AH133) *Emisiones_USCUSS!$M$47</f>
        <v>-0.15728844830413516</v>
      </c>
      <c r="AE132" s="630">
        <f>IF(Calibración_BAU_USCUSS!AI133&lt;0,Calibración_BAU_USCUSS!AI133*-1, Calibración_BAU_USCUSS!AI133) *Emisiones_USCUSS!$M$47</f>
        <v>-0.18885319397880085</v>
      </c>
      <c r="AF132" s="630">
        <f>IF(Calibración_BAU_USCUSS!AJ133&lt;0,Calibración_BAU_USCUSS!AJ133*-1, Calibración_BAU_USCUSS!AJ133) *Emisiones_USCUSS!$M$47</f>
        <v>-0.16906015455405823</v>
      </c>
      <c r="AG132" s="630">
        <f>IF(Calibración_BAU_USCUSS!AK133&lt;0,Calibración_BAU_USCUSS!AK133*-1, Calibración_BAU_USCUSS!AK133) *Emisiones_USCUSS!$M$47</f>
        <v>-0.19254192612107893</v>
      </c>
      <c r="AH132" s="630">
        <f>IF(Calibración_BAU_USCUSS!AL133&lt;0,Calibración_BAU_USCUSS!AL133*-1, Calibración_BAU_USCUSS!AL133) *Emisiones_USCUSS!$M$47</f>
        <v>-0.23745968769597439</v>
      </c>
      <c r="AI132" s="630">
        <f>IF(Calibración_BAU_USCUSS!AM133&lt;0,Calibración_BAU_USCUSS!AM133*-1, Calibración_BAU_USCUSS!AM133) *Emisiones_USCUSS!$M$47</f>
        <v>-0.22336317367402173</v>
      </c>
      <c r="AJ132" s="630">
        <f>IF(Calibración_BAU_USCUSS!AN133&lt;0,Calibración_BAU_USCUSS!AN133*-1, Calibración_BAU_USCUSS!AN133) *Emisiones_USCUSS!$M$47</f>
        <v>-0.24942331232004397</v>
      </c>
      <c r="AK132" s="630">
        <f>IF(Calibración_BAU_USCUSS!AO133&lt;0,Calibración_BAU_USCUSS!AO133*-1, Calibración_BAU_USCUSS!AO133) *Emisiones_USCUSS!$M$47</f>
        <v>-0.26056831685013365</v>
      </c>
      <c r="AL132" s="630">
        <f>IF(Calibración_BAU_USCUSS!AP133&lt;0,Calibración_BAU_USCUSS!AP133*-1, Calibración_BAU_USCUSS!AP133) *Emisiones_USCUSS!$M$47</f>
        <v>-0.22077575311605269</v>
      </c>
      <c r="AM132" s="630">
        <f>IF(Calibración_BAU_USCUSS!AQ133&lt;0,Calibración_BAU_USCUSS!AQ133*-1, Calibración_BAU_USCUSS!AQ133) *Emisiones_USCUSS!$M$47</f>
        <v>-0.29482330597237622</v>
      </c>
      <c r="AN132" s="630">
        <f>IF(Calibración_BAU_USCUSS!AR133&lt;0,Calibración_BAU_USCUSS!AR133*-1, Calibración_BAU_USCUSS!AR133) *Emisiones_USCUSS!$M$47</f>
        <v>-0.26999910822252371</v>
      </c>
      <c r="AO132" s="630">
        <f>IF(Calibración_BAU_USCUSS!AS133&lt;0,Calibración_BAU_USCUSS!AS133*-1, Calibración_BAU_USCUSS!AS133) *Emisiones_USCUSS!$M$47</f>
        <v>-0.33911432554145804</v>
      </c>
      <c r="AP132" s="630">
        <f>IF(Calibración_BAU_USCUSS!AT133&lt;0,Calibración_BAU_USCUSS!AT133*-1, Calibración_BAU_USCUSS!AT133) *Emisiones_USCUSS!$M$47</f>
        <v>-0.29354882522258002</v>
      </c>
      <c r="AQ132" s="630">
        <f>IF(Calibración_BAU_USCUSS!AU133&lt;0,Calibración_BAU_USCUSS!AU133*-1, Calibración_BAU_USCUSS!AU133) *Emisiones_USCUSS!$M$47</f>
        <v>-0.29289595421773912</v>
      </c>
      <c r="AR132" s="630">
        <f>IF(Calibración_BAU_USCUSS!AV133&lt;0,Calibración_BAU_USCUSS!AV133*-1, Calibración_BAU_USCUSS!AV133) *Emisiones_USCUSS!$M$47</f>
        <v>-0.30569462107485695</v>
      </c>
      <c r="AS132" s="630">
        <f>IF(Calibración_BAU_USCUSS!AW133&lt;0,Calibración_BAU_USCUSS!AW133*-1, Calibración_BAU_USCUSS!AW133) *Emisiones_USCUSS!$M$47</f>
        <v>-0.3043311534768649</v>
      </c>
      <c r="AT132" s="630">
        <f>IF(Calibración_BAU_USCUSS!AX133&lt;0,Calibración_BAU_USCUSS!AX133*-1, Calibración_BAU_USCUSS!AX133) *Emisiones_USCUSS!$M$47</f>
        <v>-0.26381997588805867</v>
      </c>
      <c r="AU132" s="630">
        <f>IF(Calibración_BAU_USCUSS!AY133&lt;0,Calibración_BAU_USCUSS!AY133*-1, Calibración_BAU_USCUSS!AY133) *Emisiones_USCUSS!$M$47</f>
        <v>-0.27114585303902305</v>
      </c>
      <c r="AV132" s="630">
        <f>IF(Calibración_BAU_USCUSS!AZ133&lt;0,Calibración_BAU_USCUSS!AZ133*-1, Calibración_BAU_USCUSS!AZ133) *Emisiones_USCUSS!$M$47</f>
        <v>-0.2767896377202258</v>
      </c>
      <c r="AW132" s="630">
        <f>IF(Calibración_BAU_USCUSS!BA133&lt;0,Calibración_BAU_USCUSS!BA133*-1, Calibración_BAU_USCUSS!BA133) *Emisiones_USCUSS!$M$47</f>
        <v>-0.28421593407073942</v>
      </c>
      <c r="AX132" s="630">
        <f>IF(Calibración_BAU_USCUSS!BB133&lt;0,Calibración_BAU_USCUSS!BB133*-1, Calibración_BAU_USCUSS!BB133) *Emisiones_USCUSS!$M$47</f>
        <v>-0.29052655842630498</v>
      </c>
      <c r="AY132" s="630">
        <f>IF(Calibración_BAU_USCUSS!BC133&lt;0,Calibración_BAU_USCUSS!BC133*-1, Calibración_BAU_USCUSS!BC133) *Emisiones_USCUSS!$M$47</f>
        <v>-0.29413181735275434</v>
      </c>
      <c r="AZ132" s="630">
        <f>IF(Calibración_BAU_USCUSS!BD133&lt;0,Calibración_BAU_USCUSS!BD133*-1, Calibración_BAU_USCUSS!BD133) *Emisiones_USCUSS!$M$47</f>
        <v>-0.2989801292731778</v>
      </c>
      <c r="BA132" s="630">
        <f>IF(Calibración_BAU_USCUSS!BE133&lt;0,Calibración_BAU_USCUSS!BE133*-1, Calibración_BAU_USCUSS!BE133) *Emisiones_USCUSS!$M$47</f>
        <v>-0.30233770562416573</v>
      </c>
      <c r="BB132" s="630">
        <f>IF(Calibración_BAU_USCUSS!BF133&lt;0,Calibración_BAU_USCUSS!BF133*-1, Calibración_BAU_USCUSS!BF133) *Emisiones_USCUSS!$M$47</f>
        <v>-0.30514652453001917</v>
      </c>
      <c r="BC132" s="630">
        <f>IF(Calibración_BAU_USCUSS!BG133&lt;0,Calibración_BAU_USCUSS!BG133*-1, Calibración_BAU_USCUSS!BG133) *Emisiones_USCUSS!$M$47</f>
        <v>-0.31095265980211512</v>
      </c>
      <c r="BD132" s="630">
        <f>IF(Calibración_BAU_USCUSS!BH133&lt;0,Calibración_BAU_USCUSS!BH133*-1, Calibración_BAU_USCUSS!BH133) *Emisiones_USCUSS!$M$47</f>
        <v>-0.31195165106674311</v>
      </c>
      <c r="BE132" s="630">
        <f>IF(Calibración_BAU_USCUSS!BI133&lt;0,Calibración_BAU_USCUSS!BI133*-1, Calibración_BAU_USCUSS!BI133) *Emisiones_USCUSS!$M$47</f>
        <v>-0.31476995920520234</v>
      </c>
      <c r="BF132" s="630">
        <f>IF(Calibración_BAU_USCUSS!BJ133&lt;0,Calibración_BAU_USCUSS!BJ133*-1, Calibración_BAU_USCUSS!BJ133) *Emisiones_USCUSS!$M$47</f>
        <v>-0.31291556290290029</v>
      </c>
      <c r="BG132" s="630">
        <f>IF(Calibración_BAU_USCUSS!BK133&lt;0,Calibración_BAU_USCUSS!BK133*-1, Calibración_BAU_USCUSS!BK133) *Emisiones_USCUSS!$M$47</f>
        <v>-0.31414355887401446</v>
      </c>
      <c r="BH132" s="630">
        <f>IF(Calibración_BAU_USCUSS!BL133&lt;0,Calibración_BAU_USCUSS!BL133*-1, Calibración_BAU_USCUSS!BL133) *Emisiones_USCUSS!$M$47</f>
        <v>-0.31550365571670508</v>
      </c>
      <c r="BI132" s="630">
        <f>IF(Calibración_BAU_USCUSS!BM133&lt;0,Calibración_BAU_USCUSS!BM133*-1, Calibración_BAU_USCUSS!BM133) *Emisiones_USCUSS!$M$47</f>
        <v>-0.31605918687998641</v>
      </c>
      <c r="BJ132" s="630">
        <f>IF(Calibración_BAU_USCUSS!BN133&lt;0,Calibración_BAU_USCUSS!BN133*-1, Calibración_BAU_USCUSS!BN133) *Emisiones_USCUSS!$M$47</f>
        <v>-0.31675030940871857</v>
      </c>
      <c r="BK132" s="630">
        <f>IF(Calibración_BAU_USCUSS!BO133&lt;0,Calibración_BAU_USCUSS!BO133*-1, Calibración_BAU_USCUSS!BO133) *Emisiones_USCUSS!$M$47</f>
        <v>-0.32033553685174726</v>
      </c>
      <c r="BL132" s="630">
        <f>IF(Calibración_BAU_USCUSS!BP133&lt;0,Calibración_BAU_USCUSS!BP133*-1, Calibración_BAU_USCUSS!BP133) *Emisiones_USCUSS!$M$47</f>
        <v>-0.32365713664563611</v>
      </c>
      <c r="BM132" s="630">
        <f>IF(Calibración_BAU_USCUSS!BQ133&lt;0,Calibración_BAU_USCUSS!BQ133*-1, Calibración_BAU_USCUSS!BQ133) *Emisiones_USCUSS!$M$47</f>
        <v>-0.32681453807327604</v>
      </c>
    </row>
    <row r="133" spans="1:65" x14ac:dyDescent="0.35">
      <c r="C133" s="1169" t="s">
        <v>141</v>
      </c>
      <c r="D133" s="1159"/>
      <c r="E133" s="634"/>
      <c r="F133" s="634"/>
      <c r="G133" s="634"/>
      <c r="H133" s="634"/>
      <c r="I133" s="630"/>
      <c r="J133" s="630"/>
      <c r="K133" s="630"/>
      <c r="L133" s="630"/>
      <c r="M133" s="630">
        <f>IF(Calibración_BAU_USCUSS!Q134&lt;0,Calibración_BAU_USCUSS!Q134*-1, Calibración_BAU_USCUSS!Q134) *Emisiones_USCUSS!$M$48</f>
        <v>0</v>
      </c>
      <c r="N133" s="630">
        <f>IF(Calibración_BAU_USCUSS!R134&lt;0,Calibración_BAU_USCUSS!R134*-1, Calibración_BAU_USCUSS!R134) *Emisiones_USCUSS!$M$48</f>
        <v>-6.1993676403772902E-2</v>
      </c>
      <c r="O133" s="630">
        <f>IF(Calibración_BAU_USCUSS!S134&lt;0,Calibración_BAU_USCUSS!S134*-1, Calibración_BAU_USCUSS!S134) *Emisiones_USCUSS!$M$48</f>
        <v>-0.14988295565207815</v>
      </c>
      <c r="P133" s="630">
        <f>IF(Calibración_BAU_USCUSS!T134&lt;0,Calibración_BAU_USCUSS!T134*-1, Calibración_BAU_USCUSS!T134) *Emisiones_USCUSS!$M$48</f>
        <v>-8.3221954124109515E-2</v>
      </c>
      <c r="Q133" s="630">
        <f>IF(Calibración_BAU_USCUSS!U134&lt;0,Calibración_BAU_USCUSS!U134*-1, Calibración_BAU_USCUSS!U134) *Emisiones_USCUSS!$M$48</f>
        <v>-7.9995032775119046E-2</v>
      </c>
      <c r="R133" s="630">
        <f>IF(Calibración_BAU_USCUSS!V134&lt;0,Calibración_BAU_USCUSS!V134*-1, Calibración_BAU_USCUSS!V134) *Emisiones_USCUSS!$M$48</f>
        <v>-8.906448268925421E-2</v>
      </c>
      <c r="S133" s="630">
        <f>IF(Calibración_BAU_USCUSS!W134&lt;0,Calibración_BAU_USCUSS!W134*-1, Calibración_BAU_USCUSS!W134) *Emisiones_USCUSS!$M$48</f>
        <v>-8.3444995380041104E-2</v>
      </c>
      <c r="T133" s="630">
        <f>IF(Calibración_BAU_USCUSS!X134&lt;0,Calibración_BAU_USCUSS!X134*-1, Calibración_BAU_USCUSS!X134) *Emisiones_USCUSS!$M$48</f>
        <v>-9.8557320507713042E-2</v>
      </c>
      <c r="U133" s="630">
        <f>IF(Calibración_BAU_USCUSS!Y134&lt;0,Calibración_BAU_USCUSS!Y134*-1, Calibración_BAU_USCUSS!Y134) *Emisiones_USCUSS!$M$48</f>
        <v>-0.10641322352397962</v>
      </c>
      <c r="V133" s="630">
        <f>IF(Calibración_BAU_USCUSS!Z134&lt;0,Calibración_BAU_USCUSS!Z134*-1, Calibración_BAU_USCUSS!Z134) *Emisiones_USCUSS!$M$48</f>
        <v>-9.1519531413530433E-2</v>
      </c>
      <c r="W133" s="630">
        <f>IF(Calibración_BAU_USCUSS!AA134&lt;0,Calibración_BAU_USCUSS!AA134*-1, Calibración_BAU_USCUSS!AA134) *Emisiones_USCUSS!$M$48</f>
        <v>-9.8893965508172019E-2</v>
      </c>
      <c r="X133" s="630">
        <f>IF(Calibración_BAU_USCUSS!AB134&lt;0,Calibración_BAU_USCUSS!AB134*-1, Calibración_BAU_USCUSS!AB134) *Emisiones_USCUSS!$M$48</f>
        <v>-0.11846302248769949</v>
      </c>
      <c r="Y133" s="630">
        <f>IF(Calibración_BAU_USCUSS!AC134&lt;0,Calibración_BAU_USCUSS!AC134*-1, Calibración_BAU_USCUSS!AC134) *Emisiones_USCUSS!$M$48</f>
        <v>-0.11257436828409922</v>
      </c>
      <c r="Z133" s="630">
        <f>IF(Calibración_BAU_USCUSS!AD134&lt;0,Calibración_BAU_USCUSS!AD134*-1, Calibración_BAU_USCUSS!AD134) *Emisiones_USCUSS!$M$48</f>
        <v>-9.6401092703641875E-2</v>
      </c>
      <c r="AA133" s="630">
        <f>IF(Calibración_BAU_USCUSS!AE134&lt;0,Calibración_BAU_USCUSS!AE134*-1, Calibración_BAU_USCUSS!AE134) *Emisiones_USCUSS!$M$48</f>
        <v>-0.11255764791416487</v>
      </c>
      <c r="AB133" s="630">
        <f>IF(Calibración_BAU_USCUSS!AF134&lt;0,Calibración_BAU_USCUSS!AF134*-1, Calibración_BAU_USCUSS!AF134) *Emisiones_USCUSS!$M$48</f>
        <v>-0.10260550384796942</v>
      </c>
      <c r="AC133" s="630">
        <f>IF(Calibración_BAU_USCUSS!AG134&lt;0,Calibración_BAU_USCUSS!AG134*-1, Calibración_BAU_USCUSS!AG134) *Emisiones_USCUSS!$M$48</f>
        <v>-0.11384600416729784</v>
      </c>
      <c r="AD133" s="630">
        <f>IF(Calibración_BAU_USCUSS!AH134&lt;0,Calibración_BAU_USCUSS!AH134*-1, Calibración_BAU_USCUSS!AH134) *Emisiones_USCUSS!$M$48</f>
        <v>-0.11166715992126465</v>
      </c>
      <c r="AE133" s="630">
        <f>IF(Calibración_BAU_USCUSS!AI134&lt;0,Calibración_BAU_USCUSS!AI134*-1, Calibración_BAU_USCUSS!AI134) *Emisiones_USCUSS!$M$48</f>
        <v>-0.10472140999142411</v>
      </c>
      <c r="AF133" s="630">
        <f>IF(Calibración_BAU_USCUSS!AJ134&lt;0,Calibración_BAU_USCUSS!AJ134*-1, Calibración_BAU_USCUSS!AJ134) *Emisiones_USCUSS!$M$48</f>
        <v>-0.10750768638012531</v>
      </c>
      <c r="AG133" s="630">
        <f>IF(Calibración_BAU_USCUSS!AK134&lt;0,Calibración_BAU_USCUSS!AK134*-1, Calibración_BAU_USCUSS!AK134) *Emisiones_USCUSS!$M$48</f>
        <v>-0.10211388979448088</v>
      </c>
      <c r="AH133" s="630">
        <f>IF(Calibración_BAU_USCUSS!AL134&lt;0,Calibración_BAU_USCUSS!AL134*-1, Calibración_BAU_USCUSS!AL134) *Emisiones_USCUSS!$M$48</f>
        <v>-9.2675757457038446E-2</v>
      </c>
      <c r="AI133" s="630">
        <f>IF(Calibración_BAU_USCUSS!AM134&lt;0,Calibración_BAU_USCUSS!AM134*-1, Calibración_BAU_USCUSS!AM134) *Emisiones_USCUSS!$M$48</f>
        <v>-9.4413969170220033E-2</v>
      </c>
      <c r="AJ133" s="630">
        <f>IF(Calibración_BAU_USCUSS!AN134&lt;0,Calibración_BAU_USCUSS!AN134*-1, Calibración_BAU_USCUSS!AN134) *Emisiones_USCUSS!$M$48</f>
        <v>-8.8562216078368297E-2</v>
      </c>
      <c r="AK133" s="630">
        <f>IF(Calibración_BAU_USCUSS!AO134&lt;0,Calibración_BAU_USCUSS!AO134*-1, Calibración_BAU_USCUSS!AO134) *Emisiones_USCUSS!$M$48</f>
        <v>-8.5540691644770586E-2</v>
      </c>
      <c r="AL133" s="630">
        <f>IF(Calibración_BAU_USCUSS!AP134&lt;0,Calibración_BAU_USCUSS!AP134*-1, Calibración_BAU_USCUSS!AP134) *Emisiones_USCUSS!$M$48</f>
        <v>-9.2168691687824142E-2</v>
      </c>
      <c r="AM133" s="630">
        <f>IF(Calibración_BAU_USCUSS!AQ134&lt;0,Calibración_BAU_USCUSS!AQ134*-1, Calibración_BAU_USCUSS!AQ134) *Emisiones_USCUSS!$M$48</f>
        <v>-7.7261613694563663E-2</v>
      </c>
      <c r="AN133" s="630">
        <f>IF(Calibración_BAU_USCUSS!AR134&lt;0,Calibración_BAU_USCUSS!AR134*-1, Calibración_BAU_USCUSS!AR134) *Emisiones_USCUSS!$M$48</f>
        <v>-8.1074097983539026E-2</v>
      </c>
      <c r="AO133" s="630">
        <f>IF(Calibración_BAU_USCUSS!AS134&lt;0,Calibración_BAU_USCUSS!AS134*-1, Calibración_BAU_USCUSS!AS134) *Emisiones_USCUSS!$M$48</f>
        <v>-6.7117460787021757E-2</v>
      </c>
      <c r="AP133" s="630">
        <f>IF(Calibración_BAU_USCUSS!AT134&lt;0,Calibración_BAU_USCUSS!AT134*-1, Calibración_BAU_USCUSS!AT134) *Emisiones_USCUSS!$M$48</f>
        <v>-7.4867656323424028E-2</v>
      </c>
      <c r="AQ133" s="630">
        <f>IF(Calibración_BAU_USCUSS!AU134&lt;0,Calibración_BAU_USCUSS!AU134*-1, Calibración_BAU_USCUSS!AU134) *Emisiones_USCUSS!$M$48</f>
        <v>-7.4128475896416801E-2</v>
      </c>
      <c r="AR133" s="630">
        <f>IF(Calibración_BAU_USCUSS!AV134&lt;0,Calibración_BAU_USCUSS!AV134*-1, Calibración_BAU_USCUSS!AV134) *Emisiones_USCUSS!$M$48</f>
        <v>-7.0849928619823491E-2</v>
      </c>
      <c r="AS133" s="630">
        <f>IF(Calibración_BAU_USCUSS!AW134&lt;0,Calibración_BAU_USCUSS!AW134*-1, Calibración_BAU_USCUSS!AW134) *Emisiones_USCUSS!$M$48</f>
        <v>-7.0255482964021579E-2</v>
      </c>
      <c r="AT133" s="630">
        <f>IF(Calibración_BAU_USCUSS!AX134&lt;0,Calibración_BAU_USCUSS!AX134*-1, Calibración_BAU_USCUSS!AX134) *Emisiones_USCUSS!$M$48</f>
        <v>-7.7067507489607223E-2</v>
      </c>
      <c r="AU133" s="630">
        <f>IF(Calibración_BAU_USCUSS!AY134&lt;0,Calibración_BAU_USCUSS!AY134*-1, Calibración_BAU_USCUSS!AY134) *Emisiones_USCUSS!$M$48</f>
        <v>-7.4852138238159477E-2</v>
      </c>
      <c r="AV133" s="630">
        <f>IF(Calibración_BAU_USCUSS!AZ134&lt;0,Calibración_BAU_USCUSS!AZ134*-1, Calibración_BAU_USCUSS!AZ134) *Emisiones_USCUSS!$M$48</f>
        <v>-7.2959982250543051E-2</v>
      </c>
      <c r="AW133" s="630">
        <f>IF(Calibración_BAU_USCUSS!BA134&lt;0,Calibración_BAU_USCUSS!BA134*-1, Calibración_BAU_USCUSS!BA134) *Emisiones_USCUSS!$M$48</f>
        <v>-7.0738391058503491E-2</v>
      </c>
      <c r="AX133" s="630">
        <f>IF(Calibración_BAU_USCUSS!BB134&lt;0,Calibración_BAU_USCUSS!BB134*-1, Calibración_BAU_USCUSS!BB134) *Emisiones_USCUSS!$M$48</f>
        <v>-6.8737118498027036E-2</v>
      </c>
      <c r="AY133" s="630">
        <f>IF(Calibración_BAU_USCUSS!BC134&lt;0,Calibración_BAU_USCUSS!BC134*-1, Calibración_BAU_USCUSS!BC134) *Emisiones_USCUSS!$M$48</f>
        <v>-6.7255144952528517E-2</v>
      </c>
      <c r="AZ133" s="630">
        <f>IF(Calibración_BAU_USCUSS!BD134&lt;0,Calibración_BAU_USCUSS!BD134*-1, Calibración_BAU_USCUSS!BD134) *Emisiones_USCUSS!$M$48</f>
        <v>-6.5548495472853227E-2</v>
      </c>
      <c r="BA133" s="630">
        <f>IF(Calibración_BAU_USCUSS!BE134&lt;0,Calibración_BAU_USCUSS!BE134*-1, Calibración_BAU_USCUSS!BE134) *Emisiones_USCUSS!$M$48</f>
        <v>-6.4130354508839971E-2</v>
      </c>
      <c r="BB133" s="630">
        <f>IF(Calibración_BAU_USCUSS!BF134&lt;0,Calibración_BAU_USCUSS!BF134*-1, Calibración_BAU_USCUSS!BF134) *Emisiones_USCUSS!$M$48</f>
        <v>-6.2823960831022457E-2</v>
      </c>
      <c r="BC133" s="630">
        <f>IF(Calibración_BAU_USCUSS!BG134&lt;0,Calibración_BAU_USCUSS!BG134*-1, Calibración_BAU_USCUSS!BG134) *Emisiones_USCUSS!$M$48</f>
        <v>-6.0958823334574967E-2</v>
      </c>
      <c r="BD133" s="630">
        <f>IF(Calibración_BAU_USCUSS!BH134&lt;0,Calibración_BAU_USCUSS!BH134*-1, Calibración_BAU_USCUSS!BH134) *Emisiones_USCUSS!$M$48</f>
        <v>-6.0010401574453524E-2</v>
      </c>
      <c r="BE133" s="630">
        <f>IF(Calibración_BAU_USCUSS!BI134&lt;0,Calibración_BAU_USCUSS!BI134*-1, Calibración_BAU_USCUSS!BI134) *Emisiones_USCUSS!$M$48</f>
        <v>-5.8725410252269822E-2</v>
      </c>
      <c r="BF133" s="630">
        <f>IF(Calibración_BAU_USCUSS!BJ134&lt;0,Calibración_BAU_USCUSS!BJ134*-1, Calibración_BAU_USCUSS!BJ134) *Emisiones_USCUSS!$M$48</f>
        <v>-5.833123230359729E-2</v>
      </c>
      <c r="BG133" s="630">
        <f>IF(Calibración_BAU_USCUSS!BK134&lt;0,Calibración_BAU_USCUSS!BK134*-1, Calibración_BAU_USCUSS!BK134) *Emisiones_USCUSS!$M$48</f>
        <v>-5.7361438778007492E-2</v>
      </c>
      <c r="BH133" s="630">
        <f>IF(Calibración_BAU_USCUSS!BL134&lt;0,Calibración_BAU_USCUSS!BL134*-1, Calibración_BAU_USCUSS!BL134) *Emisiones_USCUSS!$M$48</f>
        <v>-5.6373792534600065E-2</v>
      </c>
      <c r="BI133" s="630">
        <f>IF(Calibración_BAU_USCUSS!BM134&lt;0,Calibración_BAU_USCUSS!BM134*-1, Calibración_BAU_USCUSS!BM134) *Emisiones_USCUSS!$M$48</f>
        <v>-5.5545148946203202E-2</v>
      </c>
      <c r="BJ133" s="630">
        <f>IF(Calibración_BAU_USCUSS!BN134&lt;0,Calibración_BAU_USCUSS!BN134*-1, Calibración_BAU_USCUSS!BN134) *Emisiones_USCUSS!$M$48</f>
        <v>-5.4697620356062862E-2</v>
      </c>
      <c r="BK133" s="630">
        <f>IF(Calibración_BAU_USCUSS!BO134&lt;0,Calibración_BAU_USCUSS!BO134*-1, Calibración_BAU_USCUSS!BO134) *Emisiones_USCUSS!$M$48</f>
        <v>-5.3309375186187655E-2</v>
      </c>
      <c r="BL133" s="630">
        <f>IF(Calibración_BAU_USCUSS!BP134&lt;0,Calibración_BAU_USCUSS!BP134*-1, Calibración_BAU_USCUSS!BP134) *Emisiones_USCUSS!$M$48</f>
        <v>-5.1977383786855617E-2</v>
      </c>
      <c r="BM133" s="630">
        <f>IF(Calibración_BAU_USCUSS!BQ134&lt;0,Calibración_BAU_USCUSS!BQ134*-1, Calibración_BAU_USCUSS!BQ134) *Emisiones_USCUSS!$M$48</f>
        <v>-5.0682680104974259E-2</v>
      </c>
    </row>
    <row r="134" spans="1:65" x14ac:dyDescent="0.35">
      <c r="C134" s="1167" t="s">
        <v>103</v>
      </c>
      <c r="D134" s="1153"/>
      <c r="E134" s="634"/>
      <c r="F134" s="634"/>
      <c r="G134" s="634"/>
      <c r="H134" s="634"/>
      <c r="I134" s="630"/>
      <c r="J134" s="630"/>
      <c r="K134" s="630"/>
      <c r="L134" s="630"/>
      <c r="M134" s="630">
        <f>IF(Calibración_BAU_USCUSS!Q135&lt;0,Calibración_BAU_USCUSS!Q135*-1, Calibración_BAU_USCUSS!Q135) *Emisiones_USCUSS!$M$49</f>
        <v>-1.97222877E-2</v>
      </c>
      <c r="N134" s="630">
        <f>IF(Calibración_BAU_USCUSS!R135&lt;0,Calibración_BAU_USCUSS!R135*-1, Calibración_BAU_USCUSS!R135) *Emisiones_USCUSS!$M$49</f>
        <v>-1.1033088864483504E-3</v>
      </c>
      <c r="O134" s="630">
        <f>IF(Calibración_BAU_USCUSS!S135&lt;0,Calibración_BAU_USCUSS!S135*-1, Calibración_BAU_USCUSS!S135) *Emisiones_USCUSS!$M$49</f>
        <v>-1.1017863201850926E-3</v>
      </c>
      <c r="P134" s="630">
        <f>IF(Calibración_BAU_USCUSS!T135&lt;0,Calibración_BAU_USCUSS!T135*-1, Calibración_BAU_USCUSS!T135) *Emisiones_USCUSS!$M$49</f>
        <v>-1.1002658550632578E-3</v>
      </c>
      <c r="Q134" s="630">
        <f>IF(Calibración_BAU_USCUSS!U135&lt;0,Calibración_BAU_USCUSS!U135*-1, Calibración_BAU_USCUSS!U135) *Emisiones_USCUSS!$M$49</f>
        <v>-1.0987474881832663E-3</v>
      </c>
      <c r="R134" s="630">
        <f>IF(Calibración_BAU_USCUSS!V135&lt;0,Calibración_BAU_USCUSS!V135*-1, Calibración_BAU_USCUSS!V135) *Emisiones_USCUSS!$M$49</f>
        <v>-1.0972312166495088E-3</v>
      </c>
      <c r="S134" s="630">
        <f>IF(Calibración_BAU_USCUSS!W135&lt;0,Calibración_BAU_USCUSS!W135*-1, Calibración_BAU_USCUSS!W135) *Emisiones_USCUSS!$M$49</f>
        <v>-1.0957170375705241E-3</v>
      </c>
      <c r="T134" s="630">
        <f>IF(Calibración_BAU_USCUSS!X135&lt;0,Calibración_BAU_USCUSS!X135*-1, Calibración_BAU_USCUSS!X135) *Emisiones_USCUSS!$M$49</f>
        <v>-1.094204948058731E-3</v>
      </c>
      <c r="U134" s="630">
        <f>IF(Calibración_BAU_USCUSS!Y135&lt;0,Calibración_BAU_USCUSS!Y135*-1, Calibración_BAU_USCUSS!Y135) *Emisiones_USCUSS!$M$49</f>
        <v>-1.0926949452304262E-3</v>
      </c>
      <c r="V134" s="630">
        <f>IF(Calibración_BAU_USCUSS!Z135&lt;0,Calibración_BAU_USCUSS!Z135*-1, Calibración_BAU_USCUSS!Z135) *Emisiones_USCUSS!$M$49</f>
        <v>-1.0911870262059664E-3</v>
      </c>
      <c r="W134" s="630">
        <f>IF(Calibración_BAU_USCUSS!AA135&lt;0,Calibración_BAU_USCUSS!AA135*-1, Calibración_BAU_USCUSS!AA135) *Emisiones_USCUSS!$M$49</f>
        <v>-1.0896811881098572E-3</v>
      </c>
      <c r="X134" s="630">
        <f>IF(Calibración_BAU_USCUSS!AB135&lt;0,Calibración_BAU_USCUSS!AB135*-1, Calibración_BAU_USCUSS!AB135) *Emisiones_USCUSS!$M$49</f>
        <v>-1.088177428070213E-3</v>
      </c>
      <c r="Y134" s="630">
        <f>IF(Calibración_BAU_USCUSS!AC135&lt;0,Calibración_BAU_USCUSS!AC135*-1, Calibración_BAU_USCUSS!AC135) *Emisiones_USCUSS!$M$49</f>
        <v>-1.0866757432194778E-3</v>
      </c>
      <c r="Z134" s="630">
        <f>IF(Calibración_BAU_USCUSS!AD135&lt;0,Calibración_BAU_USCUSS!AD135*-1, Calibración_BAU_USCUSS!AD135) *Emisiones_USCUSS!$M$49</f>
        <v>-1.0851761306938839E-3</v>
      </c>
      <c r="AA134" s="630">
        <f>IF(Calibración_BAU_USCUSS!AE135&lt;0,Calibración_BAU_USCUSS!AE135*-1, Calibración_BAU_USCUSS!AE135) *Emisiones_USCUSS!$M$49</f>
        <v>-1.0836785876334528E-3</v>
      </c>
      <c r="AB134" s="630">
        <f>IF(Calibración_BAU_USCUSS!AF135&lt;0,Calibración_BAU_USCUSS!AF135*-1, Calibración_BAU_USCUSS!AF135) *Emisiones_USCUSS!$M$49</f>
        <v>-1.0821831111825359E-3</v>
      </c>
      <c r="AC134" s="630">
        <f>IF(Calibración_BAU_USCUSS!AG135&lt;0,Calibración_BAU_USCUSS!AG135*-1, Calibración_BAU_USCUSS!AG135) *Emisiones_USCUSS!$M$49</f>
        <v>-1.0806896984890922E-3</v>
      </c>
      <c r="AD134" s="630">
        <f>IF(Calibración_BAU_USCUSS!AH135&lt;0,Calibración_BAU_USCUSS!AH135*-1, Calibración_BAU_USCUSS!AH135) *Emisiones_USCUSS!$M$49</f>
        <v>-1.0791983467052311E-3</v>
      </c>
      <c r="AE134" s="630">
        <f>IF(Calibración_BAU_USCUSS!AI135&lt;0,Calibración_BAU_USCUSS!AI135*-1, Calibración_BAU_USCUSS!AI135) *Emisiones_USCUSS!$M$49</f>
        <v>-1.0777090529867596E-3</v>
      </c>
      <c r="AF134" s="630">
        <f>IF(Calibración_BAU_USCUSS!AJ135&lt;0,Calibración_BAU_USCUSS!AJ135*-1, Calibración_BAU_USCUSS!AJ135) *Emisiones_USCUSS!$M$49</f>
        <v>-1.0762218144936347E-3</v>
      </c>
      <c r="AG134" s="630">
        <f>IF(Calibración_BAU_USCUSS!AK135&lt;0,Calibración_BAU_USCUSS!AK135*-1, Calibración_BAU_USCUSS!AK135) *Emisiones_USCUSS!$M$49</f>
        <v>-1.0747366283896014E-3</v>
      </c>
      <c r="AH134" s="630">
        <f>IF(Calibración_BAU_USCUSS!AL135&lt;0,Calibración_BAU_USCUSS!AL135*-1, Calibración_BAU_USCUSS!AL135) *Emisiones_USCUSS!$M$49</f>
        <v>-1.0732534918424649E-3</v>
      </c>
      <c r="AI134" s="630">
        <f>IF(Calibración_BAU_USCUSS!AM135&lt;0,Calibración_BAU_USCUSS!AM135*-1, Calibración_BAU_USCUSS!AM135) *Emisiones_USCUSS!$M$49</f>
        <v>-1.0717724020237282E-3</v>
      </c>
      <c r="AJ134" s="630">
        <f>IF(Calibración_BAU_USCUSS!AN135&lt;0,Calibración_BAU_USCUSS!AN135*-1, Calibración_BAU_USCUSS!AN135) *Emisiones_USCUSS!$M$49</f>
        <v>-1.0702933561089539E-3</v>
      </c>
      <c r="AK134" s="630">
        <f>IF(Calibración_BAU_USCUSS!AO135&lt;0,Calibración_BAU_USCUSS!AO135*-1, Calibración_BAU_USCUSS!AO135) *Emisiones_USCUSS!$M$49</f>
        <v>-1.0688163512774925E-3</v>
      </c>
      <c r="AL134" s="630">
        <f>IF(Calibración_BAU_USCUSS!AP135&lt;0,Calibración_BAU_USCUSS!AP135*-1, Calibración_BAU_USCUSS!AP135) *Emisiones_USCUSS!$M$49</f>
        <v>-1.0673413847127552E-3</v>
      </c>
      <c r="AM134" s="630">
        <f>IF(Calibración_BAU_USCUSS!AQ135&lt;0,Calibración_BAU_USCUSS!AQ135*-1, Calibración_BAU_USCUSS!AQ135) *Emisiones_USCUSS!$M$49</f>
        <v>-1.0658684536018503E-3</v>
      </c>
      <c r="AN134" s="630">
        <f>IF(Calibración_BAU_USCUSS!AR135&lt;0,Calibración_BAU_USCUSS!AR135*-1, Calibración_BAU_USCUSS!AR135) *Emisiones_USCUSS!$M$49</f>
        <v>-1.0643975551358556E-3</v>
      </c>
      <c r="AO134" s="630">
        <f>IF(Calibración_BAU_USCUSS!AS135&lt;0,Calibración_BAU_USCUSS!AS135*-1, Calibración_BAU_USCUSS!AS135) *Emisiones_USCUSS!$M$49</f>
        <v>-1.0629286865097278E-3</v>
      </c>
      <c r="AP134" s="630">
        <f>IF(Calibración_BAU_USCUSS!AT135&lt;0,Calibración_BAU_USCUSS!AT135*-1, Calibración_BAU_USCUSS!AT135) *Emisiones_USCUSS!$M$49</f>
        <v>-1.061461844922393E-3</v>
      </c>
      <c r="AQ134" s="630">
        <f>IF(Calibración_BAU_USCUSS!AU135&lt;0,Calibración_BAU_USCUSS!AU135*-1, Calibración_BAU_USCUSS!AU135) *Emisiones_USCUSS!$M$49</f>
        <v>-1.0599970275763848E-3</v>
      </c>
      <c r="AR134" s="630">
        <f>IF(Calibración_BAU_USCUSS!AV135&lt;0,Calibración_BAU_USCUSS!AV135*-1, Calibración_BAU_USCUSS!AV135) *Emisiones_USCUSS!$M$49</f>
        <v>-1.0585342316782969E-3</v>
      </c>
      <c r="AS134" s="630">
        <f>IF(Calibración_BAU_USCUSS!AW135&lt;0,Calibración_BAU_USCUSS!AW135*-1, Calibración_BAU_USCUSS!AW135) *Emisiones_USCUSS!$M$49</f>
        <v>-1.0570734544386011E-3</v>
      </c>
      <c r="AT134" s="630">
        <f>IF(Calibración_BAU_USCUSS!AX135&lt;0,Calibración_BAU_USCUSS!AX135*-1, Calibración_BAU_USCUSS!AX135) *Emisiones_USCUSS!$M$49</f>
        <v>-1.0556146930714679E-3</v>
      </c>
      <c r="AU134" s="630">
        <f>IF(Calibración_BAU_USCUSS!AY135&lt;0,Calibración_BAU_USCUSS!AY135*-1, Calibración_BAU_USCUSS!AY135) *Emisiones_USCUSS!$M$49</f>
        <v>-1.0541579447950371E-3</v>
      </c>
      <c r="AV134" s="630">
        <f>IF(Calibración_BAU_USCUSS!AZ135&lt;0,Calibración_BAU_USCUSS!AZ135*-1, Calibración_BAU_USCUSS!AZ135) *Emisiones_USCUSS!$M$49</f>
        <v>-1.0527032068312371E-3</v>
      </c>
      <c r="AW134" s="630">
        <f>IF(Calibración_BAU_USCUSS!BA135&lt;0,Calibración_BAU_USCUSS!BA135*-1, Calibración_BAU_USCUSS!BA135) *Emisiones_USCUSS!$M$49</f>
        <v>-1.0512504764057845E-3</v>
      </c>
      <c r="AX134" s="630">
        <f>IF(Calibración_BAU_USCUSS!BB135&lt;0,Calibración_BAU_USCUSS!BB135*-1, Calibración_BAU_USCUSS!BB135) *Emisiones_USCUSS!$M$49</f>
        <v>-1.0497997507483653E-3</v>
      </c>
      <c r="AY134" s="630">
        <f>IF(Calibración_BAU_USCUSS!BC135&lt;0,Calibración_BAU_USCUSS!BC135*-1, Calibración_BAU_USCUSS!BC135) *Emisiones_USCUSS!$M$49</f>
        <v>-1.0483510270923645E-3</v>
      </c>
      <c r="AZ134" s="630">
        <f>IF(Calibración_BAU_USCUSS!BD135&lt;0,Calibración_BAU_USCUSS!BD135*-1, Calibración_BAU_USCUSS!BD135) *Emisiones_USCUSS!$M$49</f>
        <v>-1.0469043026749545E-3</v>
      </c>
      <c r="BA134" s="630">
        <f>IF(Calibración_BAU_USCUSS!BE135&lt;0,Calibración_BAU_USCUSS!BE135*-1, Calibración_BAU_USCUSS!BE135) *Emisiones_USCUSS!$M$49</f>
        <v>-1.0454595747372776E-3</v>
      </c>
      <c r="BB134" s="630">
        <f>IF(Calibración_BAU_USCUSS!BF135&lt;0,Calibración_BAU_USCUSS!BF135*-1, Calibración_BAU_USCUSS!BF135) *Emisiones_USCUSS!$M$49</f>
        <v>-1.0440168405240844E-3</v>
      </c>
      <c r="BC134" s="630">
        <f>IF(Calibración_BAU_USCUSS!BG135&lt;0,Calibración_BAU_USCUSS!BG135*-1, Calibración_BAU_USCUSS!BG135) *Emisiones_USCUSS!$M$49</f>
        <v>-1.0425760972841843E-3</v>
      </c>
      <c r="BD134" s="630">
        <f>IF(Calibración_BAU_USCUSS!BH135&lt;0,Calibración_BAU_USCUSS!BH135*-1, Calibración_BAU_USCUSS!BH135) *Emisiones_USCUSS!$M$49</f>
        <v>-1.041137342269905E-3</v>
      </c>
      <c r="BE134" s="630">
        <f>IF(Calibración_BAU_USCUSS!BI135&lt;0,Calibración_BAU_USCUSS!BI135*-1, Calibración_BAU_USCUSS!BI135) *Emisiones_USCUSS!$M$49</f>
        <v>-1.0397005727376335E-3</v>
      </c>
      <c r="BF134" s="630">
        <f>IF(Calibración_BAU_USCUSS!BJ135&lt;0,Calibración_BAU_USCUSS!BJ135*-1, Calibración_BAU_USCUSS!BJ135) *Emisiones_USCUSS!$M$49</f>
        <v>-1.0382657859472752E-3</v>
      </c>
      <c r="BG134" s="630">
        <f>IF(Calibración_BAU_USCUSS!BK135&lt;0,Calibración_BAU_USCUSS!BK135*-1, Calibración_BAU_USCUSS!BK135) *Emisiones_USCUSS!$M$49</f>
        <v>-1.0368329791626131E-3</v>
      </c>
      <c r="BH134" s="630">
        <f>IF(Calibración_BAU_USCUSS!BL135&lt;0,Calibración_BAU_USCUSS!BL135*-1, Calibración_BAU_USCUSS!BL135) *Emisiones_USCUSS!$M$49</f>
        <v>-1.0354021496514004E-3</v>
      </c>
      <c r="BI134" s="630">
        <f>IF(Calibración_BAU_USCUSS!BM135&lt;0,Calibración_BAU_USCUSS!BM135*-1, Calibración_BAU_USCUSS!BM135) *Emisiones_USCUSS!$M$49</f>
        <v>-1.0339732946848181E-3</v>
      </c>
      <c r="BJ134" s="630">
        <f>IF(Calibración_BAU_USCUSS!BN135&lt;0,Calibración_BAU_USCUSS!BN135*-1, Calibración_BAU_USCUSS!BN135) *Emisiones_USCUSS!$M$49</f>
        <v>-1.0325464115381962E-3</v>
      </c>
      <c r="BK134" s="630">
        <f>IF(Calibración_BAU_USCUSS!BO135&lt;0,Calibración_BAU_USCUSS!BO135*-1, Calibración_BAU_USCUSS!BO135) *Emisiones_USCUSS!$M$49</f>
        <v>-1.0311214974902923E-3</v>
      </c>
      <c r="BL134" s="630">
        <f>IF(Calibración_BAU_USCUSS!BP135&lt;0,Calibración_BAU_USCUSS!BP135*-1, Calibración_BAU_USCUSS!BP135) *Emisiones_USCUSS!$M$49</f>
        <v>-1.0296985498237439E-3</v>
      </c>
      <c r="BM134" s="630">
        <f>IF(Calibración_BAU_USCUSS!BQ135&lt;0,Calibración_BAU_USCUSS!BQ135*-1, Calibración_BAU_USCUSS!BQ135) *Emisiones_USCUSS!$M$49</f>
        <v>-1.0282775658249762E-3</v>
      </c>
    </row>
    <row r="135" spans="1:65" x14ac:dyDescent="0.35">
      <c r="C135" s="1167" t="s">
        <v>57</v>
      </c>
      <c r="D135" s="1153"/>
      <c r="E135" s="634"/>
      <c r="F135" s="634"/>
      <c r="G135" s="634"/>
      <c r="H135" s="634"/>
      <c r="I135" s="630"/>
      <c r="J135" s="630"/>
      <c r="K135" s="630"/>
      <c r="L135" s="630"/>
      <c r="M135" s="630">
        <f>IF(Calibración_BAU_USCUSS!Q136&lt;0,Calibración_BAU_USCUSS!Q136 *-1, Calibración_BAU_USCUSS!Q136)*Emisiones_USCUSS!$M$51</f>
        <v>-9.1583447999999998E-2</v>
      </c>
      <c r="N135" s="630">
        <f>IF(Calibración_BAU_USCUSS!R136&lt;0,Calibración_BAU_USCUSS!R136 *-1, Calibración_BAU_USCUSS!R136)*Emisiones_USCUSS!$M$51</f>
        <v>-1.686695378020759E-2</v>
      </c>
      <c r="O135" s="630">
        <f>IF(Calibración_BAU_USCUSS!S136&lt;0,Calibración_BAU_USCUSS!S136 *-1, Calibración_BAU_USCUSS!S136)*Emisiones_USCUSS!$M$51</f>
        <v>-1.7078426641097929E-2</v>
      </c>
      <c r="P135" s="630">
        <f>IF(Calibración_BAU_USCUSS!T136&lt;0,Calibración_BAU_USCUSS!T136 *-1, Calibración_BAU_USCUSS!T136)*Emisiones_USCUSS!$M$51</f>
        <v>-1.7292550885959383E-2</v>
      </c>
      <c r="Q135" s="630">
        <f>IF(Calibración_BAU_USCUSS!U136&lt;0,Calibración_BAU_USCUSS!U136 *-1, Calibración_BAU_USCUSS!U136)*Emisiones_USCUSS!$M$51</f>
        <v>-1.7491204783002836E-2</v>
      </c>
      <c r="R135" s="630">
        <f>IF(Calibración_BAU_USCUSS!V136&lt;0,Calibración_BAU_USCUSS!V136 *-1, Calibración_BAU_USCUSS!V136)*Emisiones_USCUSS!$M$51</f>
        <v>-1.7710276932045042E-2</v>
      </c>
      <c r="S135" s="630">
        <f>IF(Calibración_BAU_USCUSS!W136&lt;0,Calibración_BAU_USCUSS!W136 *-1, Calibración_BAU_USCUSS!W136)*Emisiones_USCUSS!$M$51</f>
        <v>-1.7932092894739918E-2</v>
      </c>
      <c r="T135" s="630">
        <f>IF(Calibración_BAU_USCUSS!X136&lt;0,Calibración_BAU_USCUSS!X136 *-1, Calibración_BAU_USCUSS!X136)*Emisiones_USCUSS!$M$51</f>
        <v>-1.8156687036539471E-2</v>
      </c>
      <c r="U135" s="630">
        <f>IF(Calibración_BAU_USCUSS!Y136&lt;0,Calibración_BAU_USCUSS!Y136 *-1, Calibración_BAU_USCUSS!Y136)*Emisiones_USCUSS!$M$51</f>
        <v>-1.8384094153312117E-2</v>
      </c>
      <c r="V135" s="630">
        <f>IF(Calibración_BAU_USCUSS!Z136&lt;0,Calibración_BAU_USCUSS!Z136 *-1, Calibración_BAU_USCUSS!Z136)*Emisiones_USCUSS!$M$51</f>
        <v>-1.861434947673471E-2</v>
      </c>
      <c r="W135" s="630">
        <f>IF(Calibración_BAU_USCUSS!AA136&lt;0,Calibración_BAU_USCUSS!AA136 *-1, Calibración_BAU_USCUSS!AA136)*Emisiones_USCUSS!$M$51</f>
        <v>-1.8847488679750245E-2</v>
      </c>
      <c r="X135" s="630">
        <f>IF(Calibración_BAU_USCUSS!AB136&lt;0,Calibración_BAU_USCUSS!AB136 *-1, Calibración_BAU_USCUSS!AB136)*Emisiones_USCUSS!$M$51</f>
        <v>-1.908354788209498E-2</v>
      </c>
      <c r="Y135" s="630">
        <f>IF(Calibración_BAU_USCUSS!AC136&lt;0,Calibración_BAU_USCUSS!AC136 *-1, Calibración_BAU_USCUSS!AC136)*Emisiones_USCUSS!$M$51</f>
        <v>-1.9322563655893701E-2</v>
      </c>
      <c r="Z135" s="630">
        <f>IF(Calibración_BAU_USCUSS!AD136&lt;0,Calibración_BAU_USCUSS!AD136 *-1, Calibración_BAU_USCUSS!AD136)*Emisiones_USCUSS!$M$51</f>
        <v>-1.9564573031326467E-2</v>
      </c>
      <c r="AA135" s="630">
        <f>IF(Calibración_BAU_USCUSS!AE136&lt;0,Calibración_BAU_USCUSS!AE136 *-1, Calibración_BAU_USCUSS!AE136)*Emisiones_USCUSS!$M$51</f>
        <v>-1.9809613502365517E-2</v>
      </c>
      <c r="AB135" s="630">
        <f>IF(Calibración_BAU_USCUSS!AF136&lt;0,Calibración_BAU_USCUSS!AF136 *-1, Calibración_BAU_USCUSS!AF136)*Emisiones_USCUSS!$M$51</f>
        <v>-2.0057723032583696E-2</v>
      </c>
      <c r="AC135" s="630">
        <f>IF(Calibración_BAU_USCUSS!AG136&lt;0,Calibración_BAU_USCUSS!AG136 *-1, Calibración_BAU_USCUSS!AG136)*Emisiones_USCUSS!$M$51</f>
        <v>-2.0308940061036472E-2</v>
      </c>
      <c r="AD135" s="630">
        <f>IF(Calibración_BAU_USCUSS!AH136&lt;0,Calibración_BAU_USCUSS!AH136 *-1, Calibración_BAU_USCUSS!AH136)*Emisiones_USCUSS!$M$51</f>
        <v>-2.0563303508216498E-2</v>
      </c>
      <c r="AE135" s="630">
        <f>IF(Calibración_BAU_USCUSS!AI136&lt;0,Calibración_BAU_USCUSS!AI136 *-1, Calibración_BAU_USCUSS!AI136)*Emisiones_USCUSS!$M$51</f>
        <v>-2.0820852782085543E-2</v>
      </c>
      <c r="AF135" s="630">
        <f>IF(Calibración_BAU_USCUSS!AJ136&lt;0,Calibración_BAU_USCUSS!AJ136 *-1, Calibración_BAU_USCUSS!AJ136)*Emisiones_USCUSS!$M$51</f>
        <v>-2.108162778417659E-2</v>
      </c>
      <c r="AG135" s="630">
        <f>IF(Calibración_BAU_USCUSS!AK136&lt;0,Calibración_BAU_USCUSS!AK136 *-1, Calibración_BAU_USCUSS!AK136)*Emisiones_USCUSS!$M$51</f>
        <v>-2.1345668915778753E-2</v>
      </c>
      <c r="AH135" s="630">
        <f>IF(Calibración_BAU_USCUSS!AL136&lt;0,Calibración_BAU_USCUSS!AL136 *-1, Calibración_BAU_USCUSS!AL136)*Emisiones_USCUSS!$M$51</f>
        <v>-2.1613017084194823E-2</v>
      </c>
      <c r="AI135" s="630">
        <f>IF(Calibración_BAU_USCUSS!AM136&lt;0,Calibración_BAU_USCUSS!AM136 *-1, Calibración_BAU_USCUSS!AM136)*Emisiones_USCUSS!$M$51</f>
        <v>-2.1883713709079194E-2</v>
      </c>
      <c r="AJ135" s="630">
        <f>IF(Calibración_BAU_USCUSS!AN136&lt;0,Calibración_BAU_USCUSS!AN136 *-1, Calibración_BAU_USCUSS!AN136)*Emisiones_USCUSS!$M$51</f>
        <v>-2.215780072885563E-2</v>
      </c>
      <c r="AK135" s="630">
        <f>IF(Calibración_BAU_USCUSS!AO136&lt;0,Calibración_BAU_USCUSS!AO136 *-1, Calibración_BAU_USCUSS!AO136)*Emisiones_USCUSS!$M$51</f>
        <v>-2.2435320607214093E-2</v>
      </c>
      <c r="AL135" s="630">
        <f>IF(Calibración_BAU_USCUSS!AP136&lt;0,Calibración_BAU_USCUSS!AP136 *-1, Calibración_BAU_USCUSS!AP136)*Emisiones_USCUSS!$M$51</f>
        <v>-2.2716316339689395E-2</v>
      </c>
      <c r="AM135" s="630">
        <f>IF(Calibración_BAU_USCUSS!AQ136&lt;0,Calibración_BAU_USCUSS!AQ136 *-1, Calibración_BAU_USCUSS!AQ136)*Emisiones_USCUSS!$M$51</f>
        <v>-2.3000831460322741E-2</v>
      </c>
      <c r="AN135" s="630">
        <f>IF(Calibración_BAU_USCUSS!AR136&lt;0,Calibración_BAU_USCUSS!AR136 *-1, Calibración_BAU_USCUSS!AR136)*Emisiones_USCUSS!$M$51</f>
        <v>-2.3288910048406476E-2</v>
      </c>
      <c r="AO135" s="630">
        <f>IF(Calibración_BAU_USCUSS!AS136&lt;0,Calibración_BAU_USCUSS!AS136 *-1, Calibración_BAU_USCUSS!AS136)*Emisiones_USCUSS!$M$51</f>
        <v>-2.3580596735313087E-2</v>
      </c>
      <c r="AP135" s="630">
        <f>IF(Calibración_BAU_USCUSS!AT136&lt;0,Calibración_BAU_USCUSS!AT136 *-1, Calibración_BAU_USCUSS!AT136)*Emisiones_USCUSS!$M$51</f>
        <v>-2.3875936711409116E-2</v>
      </c>
      <c r="AQ135" s="630">
        <f>IF(Calibración_BAU_USCUSS!AU136&lt;0,Calibración_BAU_USCUSS!AU136 *-1, Calibración_BAU_USCUSS!AU136)*Emisiones_USCUSS!$M$51</f>
        <v>-2.4174975733057821E-2</v>
      </c>
      <c r="AR135" s="630">
        <f>IF(Calibración_BAU_USCUSS!AV136&lt;0,Calibración_BAU_USCUSS!AV136 *-1, Calibración_BAU_USCUSS!AV136)*Emisiones_USCUSS!$M$51</f>
        <v>-2.4477760129706719E-2</v>
      </c>
      <c r="AS135" s="630">
        <f>IF(Calibración_BAU_USCUSS!AW136&lt;0,Calibración_BAU_USCUSS!AW136 *-1, Calibración_BAU_USCUSS!AW136)*Emisiones_USCUSS!$M$51</f>
        <v>-2.4784336811066308E-2</v>
      </c>
      <c r="AT135" s="630">
        <f>IF(Calibración_BAU_USCUSS!AX136&lt;0,Calibración_BAU_USCUSS!AX136 *-1, Calibración_BAU_USCUSS!AX136)*Emisiones_USCUSS!$M$51</f>
        <v>-2.509475327437748E-2</v>
      </c>
      <c r="AU135" s="630">
        <f>IF(Calibración_BAU_USCUSS!AY136&lt;0,Calibración_BAU_USCUSS!AY136 *-1, Calibración_BAU_USCUSS!AY136)*Emisiones_USCUSS!$M$51</f>
        <v>-2.5409057611769006E-2</v>
      </c>
      <c r="AV135" s="630">
        <f>IF(Calibración_BAU_USCUSS!AZ136&lt;0,Calibración_BAU_USCUSS!AZ136 *-1, Calibración_BAU_USCUSS!AZ136)*Emisiones_USCUSS!$M$51</f>
        <v>-2.5727298517710627E-2</v>
      </c>
      <c r="AW135" s="630">
        <f>IF(Calibración_BAU_USCUSS!BA136&lt;0,Calibración_BAU_USCUSS!BA136 *-1, Calibración_BAU_USCUSS!BA136)*Emisiones_USCUSS!$M$51</f>
        <v>-2.6049525296554549E-2</v>
      </c>
      <c r="AX135" s="630">
        <f>IF(Calibración_BAU_USCUSS!BB136&lt;0,Calibración_BAU_USCUSS!BB136 *-1, Calibración_BAU_USCUSS!BB136)*Emisiones_USCUSS!$M$51</f>
        <v>-2.6375787870176245E-2</v>
      </c>
      <c r="AY135" s="630">
        <f>IF(Calibración_BAU_USCUSS!BC136&lt;0,Calibración_BAU_USCUSS!BC136 *-1, Calibración_BAU_USCUSS!BC136)*Emisiones_USCUSS!$M$51</f>
        <v>-2.670613678570747E-2</v>
      </c>
      <c r="AZ135" s="630">
        <f>IF(Calibración_BAU_USCUSS!BD136&lt;0,Calibración_BAU_USCUSS!BD136 *-1, Calibración_BAU_USCUSS!BD136)*Emisiones_USCUSS!$M$51</f>
        <v>-2.7040623223368282E-2</v>
      </c>
      <c r="BA135" s="630">
        <f>IF(Calibración_BAU_USCUSS!BE136&lt;0,Calibración_BAU_USCUSS!BE136 *-1, Calibración_BAU_USCUSS!BE136)*Emisiones_USCUSS!$M$51</f>
        <v>-2.7379299004395351E-2</v>
      </c>
      <c r="BB135" s="630">
        <f>IF(Calibración_BAU_USCUSS!BF136&lt;0,Calibración_BAU_USCUSS!BF136 *-1, Calibración_BAU_USCUSS!BF136)*Emisiones_USCUSS!$M$51</f>
        <v>-2.7722216599070645E-2</v>
      </c>
      <c r="BC135" s="630">
        <f>IF(Calibración_BAU_USCUSS!BG136&lt;0,Calibración_BAU_USCUSS!BG136 *-1, Calibración_BAU_USCUSS!BG136)*Emisiones_USCUSS!$M$51</f>
        <v>-2.8069429134851949E-2</v>
      </c>
      <c r="BD135" s="630">
        <f>IF(Calibración_BAU_USCUSS!BH136&lt;0,Calibración_BAU_USCUSS!BH136 *-1, Calibración_BAU_USCUSS!BH136)*Emisiones_USCUSS!$M$51</f>
        <v>-2.8420990404601332E-2</v>
      </c>
      <c r="BE135" s="630">
        <f>IF(Calibración_BAU_USCUSS!BI136&lt;0,Calibración_BAU_USCUSS!BI136 *-1, Calibración_BAU_USCUSS!BI136)*Emisiones_USCUSS!$M$51</f>
        <v>-2.8776954874921643E-2</v>
      </c>
      <c r="BF135" s="630">
        <f>IF(Calibración_BAU_USCUSS!BJ136&lt;0,Calibración_BAU_USCUSS!BJ136 *-1, Calibración_BAU_USCUSS!BJ136)*Emisiones_USCUSS!$M$51</f>
        <v>-2.9137377694593344E-2</v>
      </c>
      <c r="BG135" s="630">
        <f>IF(Calibración_BAU_USCUSS!BK136&lt;0,Calibración_BAU_USCUSS!BK136 *-1, Calibración_BAU_USCUSS!BK136)*Emisiones_USCUSS!$M$51</f>
        <v>-2.9502314703118315E-2</v>
      </c>
      <c r="BH135" s="630">
        <f>IF(Calibración_BAU_USCUSS!BL136&lt;0,Calibración_BAU_USCUSS!BL136 *-1, Calibración_BAU_USCUSS!BL136)*Emisiones_USCUSS!$M$51</f>
        <v>-2.9871822439373051E-2</v>
      </c>
      <c r="BI135" s="630">
        <f>IF(Calibración_BAU_USCUSS!BM136&lt;0,Calibración_BAU_USCUSS!BM136 *-1, Calibración_BAU_USCUSS!BM136)*Emisiones_USCUSS!$M$51</f>
        <v>-3.0245958150365265E-2</v>
      </c>
      <c r="BJ135" s="630">
        <f>IF(Calibración_BAU_USCUSS!BN136&lt;0,Calibración_BAU_USCUSS!BN136 *-1, Calibración_BAU_USCUSS!BN136)*Emisiones_USCUSS!$M$51</f>
        <v>-3.0624779800105764E-2</v>
      </c>
      <c r="BK135" s="630">
        <f>IF(Calibración_BAU_USCUSS!BO136&lt;0,Calibración_BAU_USCUSS!BO136 *-1, Calibración_BAU_USCUSS!BO136)*Emisiones_USCUSS!$M$51</f>
        <v>-3.1008346078586199E-2</v>
      </c>
      <c r="BL135" s="630">
        <f>IF(Calibración_BAU_USCUSS!BP136&lt;0,Calibración_BAU_USCUSS!BP136 *-1, Calibración_BAU_USCUSS!BP136)*Emisiones_USCUSS!$M$51</f>
        <v>-3.1396716410873722E-2</v>
      </c>
      <c r="BM135" s="630">
        <f>IF(Calibración_BAU_USCUSS!BQ136&lt;0,Calibración_BAU_USCUSS!BQ136 *-1, Calibración_BAU_USCUSS!BQ136)*Emisiones_USCUSS!$M$51</f>
        <v>-3.1789950966316385E-2</v>
      </c>
    </row>
    <row r="136" spans="1:65" x14ac:dyDescent="0.35">
      <c r="D136" s="93"/>
      <c r="E136" s="112"/>
      <c r="F136" s="112"/>
      <c r="G136" s="112"/>
      <c r="H136" s="112"/>
      <c r="M136" s="373">
        <f>SUM(M130:M135)</f>
        <v>1.1990246240000002</v>
      </c>
      <c r="N136" s="373">
        <f>SUM(N130:N135)</f>
        <v>0.30008597064444692</v>
      </c>
      <c r="O136" s="373">
        <f t="shared" ref="O136:Q136" si="4">SUM(O130:O135)</f>
        <v>0.38336834261491931</v>
      </c>
      <c r="P136" s="373">
        <f t="shared" si="4"/>
        <v>9.5810893055286561E-2</v>
      </c>
      <c r="Q136" s="373">
        <f t="shared" si="4"/>
        <v>8.158663586525787E-2</v>
      </c>
      <c r="R136" s="719">
        <f>SUM(R130:R135)</f>
        <v>0.12236118181174246</v>
      </c>
      <c r="S136" s="373">
        <f t="shared" ref="S136:BM136" si="5">SUM(S130:S135)</f>
        <v>9.946766403328193E-2</v>
      </c>
      <c r="T136" s="373">
        <f t="shared" si="5"/>
        <v>0.16521620082926</v>
      </c>
      <c r="U136" s="373">
        <f t="shared" si="5"/>
        <v>0.19966411651821214</v>
      </c>
      <c r="V136" s="373">
        <f t="shared" si="5"/>
        <v>0.13814812407244961</v>
      </c>
      <c r="W136" s="373">
        <f t="shared" si="5"/>
        <v>0.17054589136539147</v>
      </c>
      <c r="X136" s="373">
        <f t="shared" si="5"/>
        <v>0.25483031368778897</v>
      </c>
      <c r="Y136" s="373">
        <f t="shared" si="5"/>
        <v>0.23094339297872968</v>
      </c>
      <c r="Z136" s="373">
        <f t="shared" si="5"/>
        <v>0.16367996082419875</v>
      </c>
      <c r="AA136" s="373">
        <f t="shared" si="5"/>
        <v>0.23314903826697611</v>
      </c>
      <c r="AB136" s="373">
        <f t="shared" si="5"/>
        <v>0.19203469278865609</v>
      </c>
      <c r="AC136" s="373">
        <f t="shared" si="5"/>
        <v>0.24057918291068134</v>
      </c>
      <c r="AD136" s="373">
        <f t="shared" si="5"/>
        <v>0.23220014887181767</v>
      </c>
      <c r="AE136" s="373">
        <f t="shared" si="5"/>
        <v>0.20359482031055101</v>
      </c>
      <c r="AF136" s="373">
        <f t="shared" si="5"/>
        <v>0.21608796079779452</v>
      </c>
      <c r="AG136" s="373">
        <f t="shared" si="5"/>
        <v>0.19393166775506043</v>
      </c>
      <c r="AH136" s="373">
        <f t="shared" si="5"/>
        <v>0.15453268286967348</v>
      </c>
      <c r="AI136" s="373">
        <f t="shared" si="5"/>
        <v>0.16249692222165488</v>
      </c>
      <c r="AJ136" s="373">
        <f t="shared" si="5"/>
        <v>0.1382251929811199</v>
      </c>
      <c r="AK136" s="373">
        <f t="shared" si="5"/>
        <v>0.12598706389144371</v>
      </c>
      <c r="AL136" s="373">
        <f t="shared" si="5"/>
        <v>0.15456527501134565</v>
      </c>
      <c r="AM136" s="373">
        <f t="shared" si="5"/>
        <v>9.1941940335844144E-2</v>
      </c>
      <c r="AN136" s="373">
        <f t="shared" si="5"/>
        <v>0.10858801274100549</v>
      </c>
      <c r="AO136" s="373">
        <f t="shared" si="5"/>
        <v>4.9978031424328245E-2</v>
      </c>
      <c r="AP136" s="373">
        <f t="shared" si="5"/>
        <v>8.3346664425713493E-2</v>
      </c>
      <c r="AQ136" s="373">
        <f t="shared" si="5"/>
        <v>8.0775197758128345E-2</v>
      </c>
      <c r="AR136" s="373">
        <f t="shared" si="5"/>
        <v>6.7414104743033956E-2</v>
      </c>
      <c r="AS136" s="373">
        <f t="shared" si="5"/>
        <v>6.5492735089976134E-2</v>
      </c>
      <c r="AT136" s="373">
        <f t="shared" si="5"/>
        <v>9.5602283071379426E-2</v>
      </c>
      <c r="AU136" s="373">
        <f t="shared" si="5"/>
        <v>8.6428496874032743E-2</v>
      </c>
      <c r="AV136" s="373">
        <f t="shared" si="5"/>
        <v>7.8852728565585423E-2</v>
      </c>
      <c r="AW136" s="373">
        <f t="shared" si="5"/>
        <v>6.9911957665927171E-2</v>
      </c>
      <c r="AX136" s="373">
        <f t="shared" si="5"/>
        <v>6.1841413327388198E-2</v>
      </c>
      <c r="AY136" s="373">
        <f t="shared" si="5"/>
        <v>5.6016745344441697E-2</v>
      </c>
      <c r="AZ136" s="373">
        <f t="shared" si="5"/>
        <v>4.9073178033742101E-2</v>
      </c>
      <c r="BA136" s="373">
        <f t="shared" si="5"/>
        <v>4.3440532840401211E-2</v>
      </c>
      <c r="BB136" s="373">
        <f t="shared" si="5"/>
        <v>3.8265449050546255E-2</v>
      </c>
      <c r="BC136" s="373">
        <f t="shared" si="5"/>
        <v>3.0664040793366168E-2</v>
      </c>
      <c r="BD136" s="373">
        <f t="shared" si="5"/>
        <v>2.6966244101294896E-2</v>
      </c>
      <c r="BE136" s="373">
        <f t="shared" si="5"/>
        <v>2.1812038551852951E-2</v>
      </c>
      <c r="BF136" s="373">
        <f t="shared" si="5"/>
        <v>2.046248107492404E-2</v>
      </c>
      <c r="BG136" s="373">
        <f t="shared" si="5"/>
        <v>1.6626949262112334E-2</v>
      </c>
      <c r="BH136" s="373">
        <f t="shared" si="5"/>
        <v>1.2692186198875632E-2</v>
      </c>
      <c r="BI136" s="373">
        <f t="shared" si="5"/>
        <v>9.4227434231940119E-3</v>
      </c>
      <c r="BJ136" s="373">
        <f t="shared" si="5"/>
        <v>6.0540519284118452E-3</v>
      </c>
      <c r="BK136" s="373">
        <f t="shared" si="5"/>
        <v>3.5513489713509538E-4</v>
      </c>
      <c r="BL136" s="373">
        <f t="shared" si="5"/>
        <v>-5.1184137966401103E-3</v>
      </c>
      <c r="BM136" s="373">
        <f t="shared" si="5"/>
        <v>-1.0447180727431168E-2</v>
      </c>
    </row>
    <row r="137" spans="1:65" x14ac:dyDescent="0.35">
      <c r="D137" s="93"/>
      <c r="E137" s="112"/>
      <c r="F137" s="112"/>
      <c r="G137" s="112"/>
      <c r="H137" s="112"/>
    </row>
    <row r="138" spans="1:65" ht="15.5" x14ac:dyDescent="0.3">
      <c r="C138" s="1173" t="s">
        <v>251</v>
      </c>
      <c r="D138" s="1173"/>
      <c r="E138" s="1173"/>
      <c r="F138" s="1173"/>
      <c r="G138" s="1173"/>
      <c r="H138" s="1173"/>
      <c r="I138" s="1173"/>
    </row>
    <row r="139" spans="1:65" ht="15" customHeight="1" x14ac:dyDescent="0.35">
      <c r="C139" s="1167" t="s">
        <v>99</v>
      </c>
      <c r="D139" s="1153"/>
      <c r="E139" s="630"/>
      <c r="F139" s="630"/>
      <c r="G139" s="630"/>
      <c r="H139" s="630"/>
      <c r="I139" s="630"/>
      <c r="J139" s="630"/>
      <c r="K139" s="630"/>
      <c r="L139" s="630"/>
      <c r="M139" s="630">
        <f>IF(Calibración_BAU_USCUSS!Q140&lt;0,Calibración_BAU_USCUSS!Q140*-1, Calibración_BAU_USCUSS!Q140) *Emisiones_USCUSS!$M$54</f>
        <v>0.34000051469999998</v>
      </c>
      <c r="N139" s="630">
        <f>IF(Calibración_BAU_USCUSS!R140&lt;0,Calibración_BAU_USCUSS!R140*-1, Calibración_BAU_USCUSS!R140) *Emisiones_USCUSS!$M$54</f>
        <v>0.37373962471146854</v>
      </c>
      <c r="O139" s="630">
        <f>IF(Calibración_BAU_USCUSS!S140&lt;0,Calibración_BAU_USCUSS!S140*-1, Calibración_BAU_USCUSS!S140) *Emisiones_USCUSS!$M$54</f>
        <v>0.38690123933530884</v>
      </c>
      <c r="P139" s="630">
        <f>IF(Calibración_BAU_USCUSS!T140&lt;0,Calibración_BAU_USCUSS!T140*-1, Calibración_BAU_USCUSS!T140) *Emisiones_USCUSS!$M$54</f>
        <v>0.38396078991635779</v>
      </c>
      <c r="Q139" s="630">
        <f>IF(Calibración_BAU_USCUSS!U140&lt;0,Calibración_BAU_USCUSS!U140*-1, Calibración_BAU_USCUSS!U140) *Emisiones_USCUSS!$M$54</f>
        <v>0.38104268791299667</v>
      </c>
      <c r="R139" s="630">
        <f>IF(Calibración_BAU_USCUSS!V140&lt;0,Calibración_BAU_USCUSS!V140*-1, Calibración_BAU_USCUSS!V140) *Emisiones_USCUSS!$M$54</f>
        <v>0.37814676348485338</v>
      </c>
      <c r="S139" s="630">
        <f>IF(Calibración_BAU_USCUSS!W140&lt;0,Calibración_BAU_USCUSS!W140*-1, Calibración_BAU_USCUSS!W140) *Emisiones_USCUSS!$M$54</f>
        <v>0.37527284808237205</v>
      </c>
      <c r="T139" s="630">
        <f>IF(Calibración_BAU_USCUSS!X140&lt;0,Calibración_BAU_USCUSS!X140*-1, Calibración_BAU_USCUSS!X140) *Emisiones_USCUSS!$M$54</f>
        <v>0.37242077443694599</v>
      </c>
      <c r="U139" s="630">
        <f>IF(Calibración_BAU_USCUSS!Y140&lt;0,Calibración_BAU_USCUSS!Y140*-1, Calibración_BAU_USCUSS!Y140) *Emisiones_USCUSS!$M$54</f>
        <v>0.36959037655122678</v>
      </c>
      <c r="V139" s="630">
        <f>IF(Calibración_BAU_USCUSS!Z140&lt;0,Calibración_BAU_USCUSS!Z140*-1, Calibración_BAU_USCUSS!Z140) *Emisiones_USCUSS!$M$54</f>
        <v>0.36678148968943369</v>
      </c>
      <c r="W139" s="630">
        <f>IF(Calibración_BAU_USCUSS!AA140&lt;0,Calibración_BAU_USCUSS!AA140*-1, Calibración_BAU_USCUSS!AA140) *Emisiones_USCUSS!$M$54</f>
        <v>0.36399395036779758</v>
      </c>
      <c r="X139" s="630">
        <f>IF(Calibración_BAU_USCUSS!AB140&lt;0,Calibración_BAU_USCUSS!AB140*-1, Calibración_BAU_USCUSS!AB140) *Emisiones_USCUSS!$M$54</f>
        <v>0.36122759634499757</v>
      </c>
      <c r="Y139" s="630">
        <f>IF(Calibración_BAU_USCUSS!AC140&lt;0,Calibración_BAU_USCUSS!AC140*-1, Calibración_BAU_USCUSS!AC140) *Emisiones_USCUSS!$M$54</f>
        <v>0.35848226661278165</v>
      </c>
      <c r="Z139" s="630">
        <f>IF(Calibración_BAU_USCUSS!AD140&lt;0,Calibración_BAU_USCUSS!AD140*-1, Calibración_BAU_USCUSS!AD140) *Emisiones_USCUSS!$M$54</f>
        <v>0.35575780138652385</v>
      </c>
      <c r="AA139" s="630">
        <f>IF(Calibración_BAU_USCUSS!AE140&lt;0,Calibración_BAU_USCUSS!AE140*-1, Calibración_BAU_USCUSS!AE140) *Emisiones_USCUSS!$M$54</f>
        <v>0.35305404209598584</v>
      </c>
      <c r="AB139" s="630">
        <f>IF(Calibración_BAU_USCUSS!AF140&lt;0,Calibración_BAU_USCUSS!AF140*-1, Calibración_BAU_USCUSS!AF140) *Emisiones_USCUSS!$M$54</f>
        <v>0.35037083137605141</v>
      </c>
      <c r="AC139" s="630">
        <f>IF(Calibración_BAU_USCUSS!AG140&lt;0,Calibración_BAU_USCUSS!AG140*-1, Calibración_BAU_USCUSS!AG140) *Emisiones_USCUSS!$M$54</f>
        <v>0.34770801305759397</v>
      </c>
      <c r="AD139" s="630">
        <f>IF(Calibración_BAU_USCUSS!AH140&lt;0,Calibración_BAU_USCUSS!AH140*-1, Calibración_BAU_USCUSS!AH140) *Emisiones_USCUSS!$M$54</f>
        <v>0.34506543215835955</v>
      </c>
      <c r="AE139" s="630">
        <f>IF(Calibración_BAU_USCUSS!AI140&lt;0,Calibración_BAU_USCUSS!AI140*-1, Calibración_BAU_USCUSS!AI140) *Emisiones_USCUSS!$M$54</f>
        <v>0.34244293487395477</v>
      </c>
      <c r="AF139" s="630">
        <f>IF(Calibración_BAU_USCUSS!AJ140&lt;0,Calibración_BAU_USCUSS!AJ140*-1, Calibración_BAU_USCUSS!AJ140) *Emisiones_USCUSS!$M$54</f>
        <v>0.33984036856891331</v>
      </c>
      <c r="AG139" s="630">
        <f>IF(Calibración_BAU_USCUSS!AK140&lt;0,Calibración_BAU_USCUSS!AK140*-1, Calibración_BAU_USCUSS!AK140) *Emisiones_USCUSS!$M$54</f>
        <v>0.33725758176779047</v>
      </c>
      <c r="AH139" s="630">
        <f>IF(Calibración_BAU_USCUSS!AL140&lt;0,Calibración_BAU_USCUSS!AL140*-1, Calibración_BAU_USCUSS!AL140) *Emisiones_USCUSS!$M$54</f>
        <v>0.33469442414635658</v>
      </c>
      <c r="AI139" s="630">
        <f>IF(Calibración_BAU_USCUSS!AM140&lt;0,Calibración_BAU_USCUSS!AM140*-1, Calibración_BAU_USCUSS!AM140) *Emisiones_USCUSS!$M$54</f>
        <v>0.33215074652284038</v>
      </c>
      <c r="AJ139" s="630">
        <f>IF(Calibración_BAU_USCUSS!AN140&lt;0,Calibración_BAU_USCUSS!AN140*-1, Calibración_BAU_USCUSS!AN140) *Emisiones_USCUSS!$M$54</f>
        <v>0.3296264008492707</v>
      </c>
      <c r="AK139" s="630">
        <f>IF(Calibración_BAU_USCUSS!AO140&lt;0,Calibración_BAU_USCUSS!AO140*-1, Calibración_BAU_USCUSS!AO140) *Emisiones_USCUSS!$M$54</f>
        <v>0.32712124020281202</v>
      </c>
      <c r="AL139" s="630">
        <f>IF(Calibración_BAU_USCUSS!AP140&lt;0,Calibración_BAU_USCUSS!AP140*-1, Calibración_BAU_USCUSS!AP140) *Emisiones_USCUSS!$M$54</f>
        <v>0.32463511877726903</v>
      </c>
      <c r="AM139" s="630">
        <f>IF(Calibración_BAU_USCUSS!AQ140&lt;0,Calibración_BAU_USCUSS!AQ140*-1, Calibración_BAU_USCUSS!AQ140) *Emisiones_USCUSS!$M$54</f>
        <v>0.32216789187456291</v>
      </c>
      <c r="AN139" s="630">
        <f>IF(Calibración_BAU_USCUSS!AR140&lt;0,Calibración_BAU_USCUSS!AR140*-1, Calibración_BAU_USCUSS!AR140) *Emisiones_USCUSS!$M$54</f>
        <v>0.31971941589632141</v>
      </c>
      <c r="AO139" s="630">
        <f>IF(Calibración_BAU_USCUSS!AS140&lt;0,Calibración_BAU_USCUSS!AS140*-1, Calibración_BAU_USCUSS!AS140) *Emisiones_USCUSS!$M$54</f>
        <v>0.31728954833550399</v>
      </c>
      <c r="AP139" s="630">
        <f>IF(Calibración_BAU_USCUSS!AT140&lt;0,Calibración_BAU_USCUSS!AT140*-1, Calibración_BAU_USCUSS!AT140) *Emisiones_USCUSS!$M$54</f>
        <v>0.31487814776815343</v>
      </c>
      <c r="AQ139" s="630">
        <f>IF(Calibración_BAU_USCUSS!AU140&lt;0,Calibración_BAU_USCUSS!AU140*-1, Calibración_BAU_USCUSS!AU140) *Emisiones_USCUSS!$M$54</f>
        <v>0.31248507384512092</v>
      </c>
      <c r="AR139" s="630">
        <f>IF(Calibración_BAU_USCUSS!AV140&lt;0,Calibración_BAU_USCUSS!AV140*-1, Calibración_BAU_USCUSS!AV140) *Emisiones_USCUSS!$M$54</f>
        <v>0.3101101872838955</v>
      </c>
      <c r="AS139" s="630">
        <f>IF(Calibración_BAU_USCUSS!AW140&lt;0,Calibración_BAU_USCUSS!AW140*-1, Calibración_BAU_USCUSS!AW140) *Emisiones_USCUSS!$M$54</f>
        <v>0.30775334986054081</v>
      </c>
      <c r="AT139" s="630">
        <f>IF(Calibración_BAU_USCUSS!AX140&lt;0,Calibración_BAU_USCUSS!AX140*-1, Calibración_BAU_USCUSS!AX140) *Emisiones_USCUSS!$M$54</f>
        <v>0.30541442440159566</v>
      </c>
      <c r="AU139" s="630">
        <f>IF(Calibración_BAU_USCUSS!AY140&lt;0,Calibración_BAU_USCUSS!AY140*-1, Calibración_BAU_USCUSS!AY140) *Emisiones_USCUSS!$M$54</f>
        <v>0.30309327477614501</v>
      </c>
      <c r="AV139" s="630">
        <f>IF(Calibración_BAU_USCUSS!AZ140&lt;0,Calibración_BAU_USCUSS!AZ140*-1, Calibración_BAU_USCUSS!AZ140) *Emisiones_USCUSS!$M$54</f>
        <v>0.30078976588784784</v>
      </c>
      <c r="AW139" s="630">
        <f>IF(Calibración_BAU_USCUSS!BA140&lt;0,Calibración_BAU_USCUSS!BA140*-1, Calibración_BAU_USCUSS!BA140) *Emisiones_USCUSS!$M$54</f>
        <v>0.29850376366710046</v>
      </c>
      <c r="AX139" s="630">
        <f>IF(Calibración_BAU_USCUSS!BB140&lt;0,Calibración_BAU_USCUSS!BB140*-1, Calibración_BAU_USCUSS!BB140) *Emisiones_USCUSS!$M$54</f>
        <v>0.29623513506322652</v>
      </c>
      <c r="AY139" s="630">
        <f>IF(Calibración_BAU_USCUSS!BC140&lt;0,Calibración_BAU_USCUSS!BC140*-1, Calibración_BAU_USCUSS!BC140) *Emisiones_USCUSS!$M$54</f>
        <v>0.29398374803674659</v>
      </c>
      <c r="AZ139" s="630">
        <f>IF(Calibración_BAU_USCUSS!BD140&lt;0,Calibración_BAU_USCUSS!BD140*-1, Calibración_BAU_USCUSS!BD140) *Emisiones_USCUSS!$M$54</f>
        <v>0.29174947155166758</v>
      </c>
      <c r="BA139" s="630">
        <f>IF(Calibración_BAU_USCUSS!BE140&lt;0,Calibración_BAU_USCUSS!BE140*-1, Calibración_BAU_USCUSS!BE140) *Emisiones_USCUSS!$M$54</f>
        <v>0.28953217556787914</v>
      </c>
      <c r="BB139" s="630">
        <f>IF(Calibración_BAU_USCUSS!BF140&lt;0,Calibración_BAU_USCUSS!BF140*-1, Calibración_BAU_USCUSS!BF140) *Emisiones_USCUSS!$M$54</f>
        <v>0.28733173103356346</v>
      </c>
      <c r="BC139" s="630">
        <f>IF(Calibración_BAU_USCUSS!BG140&lt;0,Calibración_BAU_USCUSS!BG140*-1, Calibración_BAU_USCUSS!BG140) *Emisiones_USCUSS!$M$54</f>
        <v>0.285148009877705</v>
      </c>
      <c r="BD139" s="630">
        <f>IF(Calibración_BAU_USCUSS!BH140&lt;0,Calibración_BAU_USCUSS!BH140*-1, Calibración_BAU_USCUSS!BH140) *Emisiones_USCUSS!$M$54</f>
        <v>0.28298088500263485</v>
      </c>
      <c r="BE139" s="630">
        <f>IF(Calibración_BAU_USCUSS!BI140&lt;0,Calibración_BAU_USCUSS!BI140*-1, Calibración_BAU_USCUSS!BI140) *Emisiones_USCUSS!$M$54</f>
        <v>0.28083023027661758</v>
      </c>
      <c r="BF139" s="630">
        <f>IF(Calibración_BAU_USCUSS!BJ140&lt;0,Calibración_BAU_USCUSS!BJ140*-1, Calibración_BAU_USCUSS!BJ140) *Emisiones_USCUSS!$M$54</f>
        <v>0.27869592052651643</v>
      </c>
      <c r="BG139" s="630">
        <f>IF(Calibración_BAU_USCUSS!BK140&lt;0,Calibración_BAU_USCUSS!BK140*-1, Calibración_BAU_USCUSS!BK140) *Emisiones_USCUSS!$M$54</f>
        <v>0.27657783153051463</v>
      </c>
      <c r="BH139" s="630">
        <f>IF(Calibración_BAU_USCUSS!BL140&lt;0,Calibración_BAU_USCUSS!BL140*-1, Calibración_BAU_USCUSS!BL140) *Emisiones_USCUSS!$M$54</f>
        <v>0.27447584001087921</v>
      </c>
      <c r="BI139" s="630">
        <f>IF(Calibración_BAU_USCUSS!BM140&lt;0,Calibración_BAU_USCUSS!BM140*-1, Calibración_BAU_USCUSS!BM140) *Emisiones_USCUSS!$M$54</f>
        <v>0.27238982362679565</v>
      </c>
      <c r="BJ139" s="630">
        <f>IF(Calibración_BAU_USCUSS!BN140&lt;0,Calibración_BAU_USCUSS!BN140*-1, Calibración_BAU_USCUSS!BN140) *Emisiones_USCUSS!$M$54</f>
        <v>0.27031966096723081</v>
      </c>
      <c r="BK139" s="630">
        <f>IF(Calibración_BAU_USCUSS!BO140&lt;0,Calibración_BAU_USCUSS!BO140*-1, Calibración_BAU_USCUSS!BO140) *Emisiones_USCUSS!$M$54</f>
        <v>0.26826523154388071</v>
      </c>
      <c r="BL139" s="630">
        <f>IF(Calibración_BAU_USCUSS!BP140&lt;0,Calibración_BAU_USCUSS!BP140*-1, Calibración_BAU_USCUSS!BP140) *Emisiones_USCUSS!$M$54</f>
        <v>0.26622641578414669</v>
      </c>
      <c r="BM139" s="630">
        <f>IF(Calibración_BAU_USCUSS!BQ140&lt;0,Calibración_BAU_USCUSS!BQ140*-1, Calibración_BAU_USCUSS!BQ140) *Emisiones_USCUSS!$M$54</f>
        <v>0.26420309502418898</v>
      </c>
    </row>
    <row r="140" spans="1:65" ht="15" customHeight="1" x14ac:dyDescent="0.35">
      <c r="C140" s="1167" t="s">
        <v>101</v>
      </c>
      <c r="D140" s="1153"/>
      <c r="E140" s="634"/>
      <c r="F140" s="634"/>
      <c r="G140" s="634"/>
      <c r="H140" s="634"/>
      <c r="I140" s="630"/>
      <c r="J140" s="630"/>
      <c r="K140" s="630"/>
      <c r="L140" s="630"/>
      <c r="M140" s="630">
        <f>IF(Calibración_BAU_USCUSS!Q141&lt;0,Calibración_BAU_USCUSS!Q141*-1, Calibración_BAU_USCUSS!Q141) *Emisiones_USCUSS!$M$55</f>
        <v>6.3470366000000005E-3</v>
      </c>
      <c r="N140" s="630">
        <f>IF(Calibración_BAU_USCUSS!R141&lt;0,Calibración_BAU_USCUSS!R141*-1, Calibración_BAU_USCUSS!R141) *Emisiones_USCUSS!$M$55</f>
        <v>7.0298125098464604E-8</v>
      </c>
      <c r="O140" s="630">
        <f>IF(Calibración_BAU_USCUSS!S141&lt;0,Calibración_BAU_USCUSS!S141*-1, Calibración_BAU_USCUSS!S141) *Emisiones_USCUSS!$M$55</f>
        <v>4.5225129196868354E-5</v>
      </c>
      <c r="P140" s="630">
        <f>IF(Calibración_BAU_USCUSS!T141&lt;0,Calibración_BAU_USCUSS!T141*-1, Calibración_BAU_USCUSS!T141) *Emisiones_USCUSS!$M$55</f>
        <v>2.4576306777546986E-5</v>
      </c>
      <c r="Q140" s="630">
        <f>IF(Calibración_BAU_USCUSS!U141&lt;0,Calibración_BAU_USCUSS!U141*-1, Calibración_BAU_USCUSS!U141) *Emisiones_USCUSS!$M$55</f>
        <v>1.5674189783710272E-5</v>
      </c>
      <c r="R140" s="630">
        <f>IF(Calibración_BAU_USCUSS!V141&lt;0,Calibración_BAU_USCUSS!V141*-1, Calibración_BAU_USCUSS!V141) *Emisiones_USCUSS!$M$55</f>
        <v>1.8001150972719992E-5</v>
      </c>
      <c r="S140" s="630">
        <f>IF(Calibración_BAU_USCUSS!W141&lt;0,Calibración_BAU_USCUSS!W141*-1, Calibración_BAU_USCUSS!W141) *Emisiones_USCUSS!$M$55</f>
        <v>1.7425869028566946E-5</v>
      </c>
      <c r="T140" s="630">
        <f>IF(Calibración_BAU_USCUSS!X141&lt;0,Calibración_BAU_USCUSS!X141*-1, Calibración_BAU_USCUSS!X141) *Emisiones_USCUSS!$M$55</f>
        <v>1.5687987110346838E-5</v>
      </c>
      <c r="U140" s="630">
        <f>IF(Calibración_BAU_USCUSS!Y141&lt;0,Calibración_BAU_USCUSS!Y141*-1, Calibración_BAU_USCUSS!Y141) *Emisiones_USCUSS!$M$55</f>
        <v>1.3367449108810123E-5</v>
      </c>
      <c r="V140" s="630">
        <f>IF(Calibración_BAU_USCUSS!Z141&lt;0,Calibración_BAU_USCUSS!Z141*-1, Calibración_BAU_USCUSS!Z141) *Emisiones_USCUSS!$M$55</f>
        <v>1.8514237272863906E-5</v>
      </c>
      <c r="W140" s="630">
        <f>IF(Calibración_BAU_USCUSS!AA141&lt;0,Calibración_BAU_USCUSS!AA141*-1, Calibración_BAU_USCUSS!AA141) *Emisiones_USCUSS!$M$55</f>
        <v>1.6550841731381318E-5</v>
      </c>
      <c r="X140" s="630">
        <f>IF(Calibración_BAU_USCUSS!AB141&lt;0,Calibración_BAU_USCUSS!AB141*-1, Calibración_BAU_USCUSS!AB141) *Emisiones_USCUSS!$M$55</f>
        <v>1.2773511143881805E-5</v>
      </c>
      <c r="Y140" s="630">
        <f>IF(Calibración_BAU_USCUSS!AC141&lt;0,Calibración_BAU_USCUSS!AC141*-1, Calibración_BAU_USCUSS!AC141) *Emisiones_USCUSS!$M$55</f>
        <v>1.3858853780966236E-5</v>
      </c>
      <c r="Z140" s="630">
        <f>IF(Calibración_BAU_USCUSS!AD141&lt;0,Calibración_BAU_USCUSS!AD141*-1, Calibración_BAU_USCUSS!AD141) *Emisiones_USCUSS!$M$55</f>
        <v>1.8434942817331737E-5</v>
      </c>
      <c r="AA140" s="630">
        <f>IF(Calibración_BAU_USCUSS!AE141&lt;0,Calibración_BAU_USCUSS!AE141*-1, Calibración_BAU_USCUSS!AE141) *Emisiones_USCUSS!$M$55</f>
        <v>1.4360307076131336E-5</v>
      </c>
      <c r="AB140" s="630">
        <f>IF(Calibración_BAU_USCUSS!AF141&lt;0,Calibración_BAU_USCUSS!AF141*-1, Calibración_BAU_USCUSS!AF141) *Emisiones_USCUSS!$M$55</f>
        <v>1.683600732154493E-5</v>
      </c>
      <c r="AC140" s="630">
        <f>IF(Calibración_BAU_USCUSS!AG141&lt;0,Calibración_BAU_USCUSS!AG141*-1, Calibración_BAU_USCUSS!AG141) *Emisiones_USCUSS!$M$55</f>
        <v>1.3784360515687804E-5</v>
      </c>
      <c r="AD140" s="630">
        <f>IF(Calibración_BAU_USCUSS!AH141&lt;0,Calibración_BAU_USCUSS!AH141*-1, Calibración_BAU_USCUSS!AH141) *Emisiones_USCUSS!$M$55</f>
        <v>1.3774808256775298E-5</v>
      </c>
      <c r="AE140" s="630">
        <f>IF(Calibración_BAU_USCUSS!AI141&lt;0,Calibración_BAU_USCUSS!AI141*-1, Calibración_BAU_USCUSS!AI141) *Emisiones_USCUSS!$M$55</f>
        <v>1.4881323761663202E-5</v>
      </c>
      <c r="AF140" s="630">
        <f>IF(Calibración_BAU_USCUSS!AJ141&lt;0,Calibración_BAU_USCUSS!AJ141*-1, Calibración_BAU_USCUSS!AJ141) *Emisiones_USCUSS!$M$55</f>
        <v>1.3225930215756748E-5</v>
      </c>
      <c r="AG140" s="630">
        <f>IF(Calibración_BAU_USCUSS!AK141&lt;0,Calibración_BAU_USCUSS!AK141*-1, Calibración_BAU_USCUSS!AK141) *Emisiones_USCUSS!$M$55</f>
        <v>1.36578659314636E-5</v>
      </c>
      <c r="AH140" s="630">
        <f>IF(Calibración_BAU_USCUSS!AL141&lt;0,Calibración_BAU_USCUSS!AL141*-1, Calibración_BAU_USCUSS!AL141) *Emisiones_USCUSS!$M$55</f>
        <v>1.4701345988306361E-5</v>
      </c>
      <c r="AI140" s="630">
        <f>IF(Calibración_BAU_USCUSS!AM141&lt;0,Calibración_BAU_USCUSS!AM141*-1, Calibración_BAU_USCUSS!AM141) *Emisiones_USCUSS!$M$55</f>
        <v>1.3249013704075949E-5</v>
      </c>
      <c r="AJ140" s="630">
        <f>IF(Calibración_BAU_USCUSS!AN141&lt;0,Calibración_BAU_USCUSS!AN141*-1, Calibración_BAU_USCUSS!AN141) *Emisiones_USCUSS!$M$55</f>
        <v>1.3316841655113516E-5</v>
      </c>
      <c r="AK140" s="630">
        <f>IF(Calibración_BAU_USCUSS!AO141&lt;0,Calibración_BAU_USCUSS!AO141*-1, Calibración_BAU_USCUSS!AO141) *Emisiones_USCUSS!$M$55</f>
        <v>1.300194241009051E-5</v>
      </c>
      <c r="AL140" s="630">
        <f>IF(Calibración_BAU_USCUSS!AP141&lt;0,Calibración_BAU_USCUSS!AP141*-1, Calibración_BAU_USCUSS!AP141) *Emisiones_USCUSS!$M$55</f>
        <v>1.0210148997886095E-5</v>
      </c>
      <c r="AM140" s="630">
        <f>IF(Calibración_BAU_USCUSS!AQ141&lt;0,Calibración_BAU_USCUSS!AQ141*-1, Calibración_BAU_USCUSS!AQ141) *Emisiones_USCUSS!$M$55</f>
        <v>1.2794336657479239E-5</v>
      </c>
      <c r="AN140" s="630">
        <f>IF(Calibración_BAU_USCUSS!AR141&lt;0,Calibración_BAU_USCUSS!AR141*-1, Calibración_BAU_USCUSS!AR141) *Emisiones_USCUSS!$M$55</f>
        <v>1.0855214532278366E-5</v>
      </c>
      <c r="AO140" s="630">
        <f>IF(Calibración_BAU_USCUSS!AS141&lt;0,Calibración_BAU_USCUSS!AS141*-1, Calibración_BAU_USCUSS!AS141) *Emisiones_USCUSS!$M$55</f>
        <v>1.3351333154200568E-5</v>
      </c>
      <c r="AP140" s="630">
        <f>IF(Calibración_BAU_USCUSS!AT141&lt;0,Calibración_BAU_USCUSS!AT141*-1, Calibración_BAU_USCUSS!AT141) *Emisiones_USCUSS!$M$55</f>
        <v>1.0766019055150214E-5</v>
      </c>
      <c r="AQ140" s="630">
        <f>IF(Calibración_BAU_USCUSS!AU141&lt;0,Calibración_BAU_USCUSS!AU141*-1, Calibración_BAU_USCUSS!AU141) *Emisiones_USCUSS!$M$55</f>
        <v>1.0469765192212374E-5</v>
      </c>
      <c r="AR140" s="630">
        <f>IF(Calibración_BAU_USCUSS!AV141&lt;0,Calibración_BAU_USCUSS!AV141*-1, Calibración_BAU_USCUSS!AV141) *Emisiones_USCUSS!$M$55</f>
        <v>1.0666391940448041E-5</v>
      </c>
      <c r="AS140" s="630">
        <f>IF(Calibración_BAU_USCUSS!AW141&lt;0,Calibración_BAU_USCUSS!AW141*-1, Calibración_BAU_USCUSS!AW141) *Emisiones_USCUSS!$M$55</f>
        <v>1.0555393466315059E-5</v>
      </c>
      <c r="AT140" s="630">
        <f>IF(Calibración_BAU_USCUSS!AX141&lt;0,Calibración_BAU_USCUSS!AX141*-1, Calibración_BAU_USCUSS!AX141) *Emisiones_USCUSS!$M$55</f>
        <v>1.1772890702816413E-5</v>
      </c>
      <c r="AU140" s="630">
        <f>IF(Calibración_BAU_USCUSS!AY141&lt;0,Calibración_BAU_USCUSS!AY141*-1, Calibración_BAU_USCUSS!AY141) *Emisiones_USCUSS!$M$55</f>
        <v>1.0515220199245636E-5</v>
      </c>
      <c r="AV140" s="630">
        <f>IF(Calibración_BAU_USCUSS!AZ141&lt;0,Calibración_BAU_USCUSS!AZ141*-1, Calibración_BAU_USCUSS!AZ141) *Emisiones_USCUSS!$M$55</f>
        <v>1.033665273878922E-5</v>
      </c>
      <c r="AW140" s="630">
        <f>IF(Calibración_BAU_USCUSS!BA141&lt;0,Calibración_BAU_USCUSS!BA141*-1, Calibración_BAU_USCUSS!BA141) *Emisiones_USCUSS!$M$55</f>
        <v>1.0485458153641702E-5</v>
      </c>
      <c r="AX140" s="630">
        <f>IF(Calibración_BAU_USCUSS!BB141&lt;0,Calibración_BAU_USCUSS!BB141*-1, Calibración_BAU_USCUSS!BB141) *Emisiones_USCUSS!$M$55</f>
        <v>1.0398635596464253E-5</v>
      </c>
      <c r="AY140" s="630">
        <f>IF(Calibración_BAU_USCUSS!BC141&lt;0,Calibración_BAU_USCUSS!BC141*-1, Calibración_BAU_USCUSS!BC141) *Emisiones_USCUSS!$M$55</f>
        <v>1.0500796356893396E-5</v>
      </c>
      <c r="AZ140" s="630">
        <f>IF(Calibración_BAU_USCUSS!BD141&lt;0,Calibración_BAU_USCUSS!BD141*-1, Calibración_BAU_USCUSS!BD141) *Emisiones_USCUSS!$M$55</f>
        <v>9.9940034429108949E-6</v>
      </c>
      <c r="BA140" s="630">
        <f>IF(Calibración_BAU_USCUSS!BE141&lt;0,Calibración_BAU_USCUSS!BE141*-1, Calibración_BAU_USCUSS!BE141) *Emisiones_USCUSS!$M$55</f>
        <v>9.9223364723295627E-6</v>
      </c>
      <c r="BB140" s="630">
        <f>IF(Calibración_BAU_USCUSS!BF141&lt;0,Calibración_BAU_USCUSS!BF141*-1, Calibración_BAU_USCUSS!BF141) *Emisiones_USCUSS!$M$55</f>
        <v>9.8476732463982083E-6</v>
      </c>
      <c r="BC140" s="630">
        <f>IF(Calibración_BAU_USCUSS!BG141&lt;0,Calibración_BAU_USCUSS!BG141*-1, Calibración_BAU_USCUSS!BG141) *Emisiones_USCUSS!$M$55</f>
        <v>9.7298534792474515E-6</v>
      </c>
      <c r="BD140" s="630">
        <f>IF(Calibración_BAU_USCUSS!BH141&lt;0,Calibración_BAU_USCUSS!BH141*-1, Calibración_BAU_USCUSS!BH141) *Emisiones_USCUSS!$M$55</f>
        <v>9.5747616150600796E-6</v>
      </c>
      <c r="BE140" s="630">
        <f>IF(Calibración_BAU_USCUSS!BI141&lt;0,Calibración_BAU_USCUSS!BI141*-1, Calibración_BAU_USCUSS!BI141) *Emisiones_USCUSS!$M$55</f>
        <v>9.4491885648132072E-6</v>
      </c>
      <c r="BF140" s="630">
        <f>IF(Calibración_BAU_USCUSS!BJ141&lt;0,Calibración_BAU_USCUSS!BJ141*-1, Calibración_BAU_USCUSS!BJ141) *Emisiones_USCUSS!$M$55</f>
        <v>9.3364977537390338E-6</v>
      </c>
      <c r="BG140" s="630">
        <f>IF(Calibración_BAU_USCUSS!BK141&lt;0,Calibración_BAU_USCUSS!BK141*-1, Calibración_BAU_USCUSS!BK141) *Emisiones_USCUSS!$M$55</f>
        <v>9.2281577160177567E-6</v>
      </c>
      <c r="BH140" s="630">
        <f>IF(Calibración_BAU_USCUSS!BL141&lt;0,Calibración_BAU_USCUSS!BL141*-1, Calibración_BAU_USCUSS!BL141) *Emisiones_USCUSS!$M$55</f>
        <v>9.0965386818604424E-6</v>
      </c>
      <c r="BI140" s="630">
        <f>IF(Calibración_BAU_USCUSS!BM141&lt;0,Calibración_BAU_USCUSS!BM141*-1, Calibración_BAU_USCUSS!BM141) *Emisiones_USCUSS!$M$55</f>
        <v>8.9664733428799678E-6</v>
      </c>
      <c r="BJ140" s="630">
        <f>IF(Calibración_BAU_USCUSS!BN141&lt;0,Calibración_BAU_USCUSS!BN141*-1, Calibración_BAU_USCUSS!BN141) *Emisiones_USCUSS!$M$55</f>
        <v>8.8277001849190799E-6</v>
      </c>
      <c r="BK140" s="630">
        <f>IF(Calibración_BAU_USCUSS!BO141&lt;0,Calibración_BAU_USCUSS!BO141*-1, Calibración_BAU_USCUSS!BO141) *Emisiones_USCUSS!$M$55</f>
        <v>8.7098541932601674E-6</v>
      </c>
      <c r="BL140" s="630">
        <f>IF(Calibración_BAU_USCUSS!BP141&lt;0,Calibración_BAU_USCUSS!BP141*-1, Calibración_BAU_USCUSS!BP141) *Emisiones_USCUSS!$M$55</f>
        <v>8.5883681789148966E-6</v>
      </c>
      <c r="BM140" s="630">
        <f>IF(Calibración_BAU_USCUSS!BQ141&lt;0,Calibración_BAU_USCUSS!BQ141*-1, Calibración_BAU_USCUSS!BQ141) *Emisiones_USCUSS!$M$55</f>
        <v>8.4638186275330489E-6</v>
      </c>
    </row>
    <row r="141" spans="1:65" ht="15" customHeight="1" x14ac:dyDescent="0.35">
      <c r="C141" s="1167" t="s">
        <v>106</v>
      </c>
      <c r="D141" s="1153"/>
      <c r="E141" s="634"/>
      <c r="F141" s="634"/>
      <c r="G141" s="634"/>
      <c r="H141" s="634"/>
      <c r="I141" s="630"/>
      <c r="J141" s="630"/>
      <c r="K141" s="630"/>
      <c r="L141" s="630"/>
      <c r="M141" s="630">
        <f>IF(Calibración_BAU_USCUSS!Q142&lt;0,Calibración_BAU_USCUSS!Q142 *-1, Calibración_BAU_USCUSS!Q142)*Emisiones_USCUSS!$M$56</f>
        <v>0.64217999999999997</v>
      </c>
      <c r="N141" s="630">
        <f>IF(Calibración_BAU_USCUSS!R142&lt;0,Calibración_BAU_USCUSS!R142 *-1, Calibración_BAU_USCUSS!R142)*Emisiones_USCUSS!$M$56</f>
        <v>0.16629882934646448</v>
      </c>
      <c r="O141" s="630">
        <f>IF(Calibración_BAU_USCUSS!S142&lt;0,Calibración_BAU_USCUSS!S142 *-1, Calibración_BAU_USCUSS!S142)*Emisiones_USCUSS!$M$56</f>
        <v>3.6965787607148949E-2</v>
      </c>
      <c r="P141" s="630">
        <f>IF(Calibración_BAU_USCUSS!T142&lt;0,Calibración_BAU_USCUSS!T142 *-1, Calibración_BAU_USCUSS!T142)*Emisiones_USCUSS!$M$56</f>
        <v>0.35050796169706</v>
      </c>
      <c r="Q141" s="630">
        <f>IF(Calibración_BAU_USCUSS!U142&lt;0,Calibración_BAU_USCUSS!U142 *-1, Calibración_BAU_USCUSS!U142)*Emisiones_USCUSS!$M$56</f>
        <v>0.36055629540252565</v>
      </c>
      <c r="R141" s="630">
        <f>IF(Calibración_BAU_USCUSS!V142&lt;0,Calibración_BAU_USCUSS!V142 *-1, Calibración_BAU_USCUSS!V142)*Emisiones_USCUSS!$M$56</f>
        <v>0.3115786479353006</v>
      </c>
      <c r="S141" s="630">
        <f>IF(Calibración_BAU_USCUSS!W142&lt;0,Calibración_BAU_USCUSS!W142 *-1, Calibración_BAU_USCUSS!W142)*Emisiones_USCUSS!$M$56</f>
        <v>0.33322334027676359</v>
      </c>
      <c r="T141" s="630">
        <f>IF(Calibración_BAU_USCUSS!X142&lt;0,Calibración_BAU_USCUSS!X142 *-1, Calibración_BAU_USCUSS!X142)*Emisiones_USCUSS!$M$56</f>
        <v>0.25540700491705021</v>
      </c>
      <c r="U141" s="630">
        <f>IF(Calibración_BAU_USCUSS!Y142&lt;0,Calibración_BAU_USCUSS!Y142 *-1, Calibración_BAU_USCUSS!Y142)*Emisiones_USCUSS!$M$56</f>
        <v>0.21250919079149641</v>
      </c>
      <c r="V141" s="630">
        <f>IF(Calibración_BAU_USCUSS!Z142&lt;0,Calibración_BAU_USCUSS!Z142 *-1, Calibración_BAU_USCUSS!Z142)*Emisiones_USCUSS!$M$56</f>
        <v>0.27875211082435031</v>
      </c>
      <c r="W141" s="630">
        <f>IF(Calibración_BAU_USCUSS!AA142&lt;0,Calibración_BAU_USCUSS!AA142 *-1, Calibración_BAU_USCUSS!AA142)*Emisiones_USCUSS!$M$56</f>
        <v>0.23827065656695878</v>
      </c>
      <c r="X141" s="630">
        <f>IF(Calibración_BAU_USCUSS!AB142&lt;0,Calibración_BAU_USCUSS!AB142 *-1, Calibración_BAU_USCUSS!AB142)*Emisiones_USCUSS!$M$56</f>
        <v>0.13931979946379544</v>
      </c>
      <c r="Y141" s="630">
        <f>IF(Calibración_BAU_USCUSS!AC142&lt;0,Calibración_BAU_USCUSS!AC142 *-1, Calibración_BAU_USCUSS!AC142)*Emisiones_USCUSS!$M$56</f>
        <v>0.16257317765990223</v>
      </c>
      <c r="Z141" s="630">
        <f>IF(Calibración_BAU_USCUSS!AD142&lt;0,Calibración_BAU_USCUSS!AD142 *-1, Calibración_BAU_USCUSS!AD142)*Emisiones_USCUSS!$M$56</f>
        <v>0.23519528079446048</v>
      </c>
      <c r="AA141" s="630">
        <f>IF(Calibración_BAU_USCUSS!AE142&lt;0,Calibración_BAU_USCUSS!AE142 *-1, Calibración_BAU_USCUSS!AE142)*Emisiones_USCUSS!$M$56</f>
        <v>0.15281283697233908</v>
      </c>
      <c r="AB141" s="630">
        <f>IF(Calibración_BAU_USCUSS!AF142&lt;0,Calibración_BAU_USCUSS!AF142 *-1, Calibración_BAU_USCUSS!AF142)*Emisiones_USCUSS!$M$56</f>
        <v>0.19572149142557285</v>
      </c>
      <c r="AC141" s="630">
        <f>IF(Calibración_BAU_USCUSS!AG142&lt;0,Calibración_BAU_USCUSS!AG142 *-1, Calibración_BAU_USCUSS!AG142)*Emisiones_USCUSS!$M$56</f>
        <v>0.13703081045784118</v>
      </c>
      <c r="AD141" s="630">
        <f>IF(Calibración_BAU_USCUSS!AH142&lt;0,Calibración_BAU_USCUSS!AH142 *-1, Calibración_BAU_USCUSS!AH142)*Emisiones_USCUSS!$M$56</f>
        <v>0.14276786665370758</v>
      </c>
      <c r="AE141" s="630">
        <f>IF(Calibración_BAU_USCUSS!AI142&lt;0,Calibración_BAU_USCUSS!AI142 *-1, Calibración_BAU_USCUSS!AI142)*Emisiones_USCUSS!$M$56</f>
        <v>0.17141861278304293</v>
      </c>
      <c r="AF141" s="630">
        <f>IF(Calibración_BAU_USCUSS!AJ142&lt;0,Calibración_BAU_USCUSS!AJ142 *-1, Calibración_BAU_USCUSS!AJ142)*Emisiones_USCUSS!$M$56</f>
        <v>0.15345283052928707</v>
      </c>
      <c r="AG141" s="630">
        <f>IF(Calibración_BAU_USCUSS!AK142&lt;0,Calibración_BAU_USCUSS!AK142 *-1, Calibración_BAU_USCUSS!AK142)*Emisiones_USCUSS!$M$56</f>
        <v>0.17476680792571289</v>
      </c>
      <c r="AH141" s="630">
        <f>IF(Calibración_BAU_USCUSS!AL142&lt;0,Calibración_BAU_USCUSS!AL142 *-1, Calibración_BAU_USCUSS!AL142)*Emisiones_USCUSS!$M$56</f>
        <v>0.21553784396840947</v>
      </c>
      <c r="AI141" s="630">
        <f>IF(Calibración_BAU_USCUSS!AM142&lt;0,Calibración_BAU_USCUSS!AM142 *-1, Calibración_BAU_USCUSS!AM142)*Emisiones_USCUSS!$M$56</f>
        <v>0.20274269431904168</v>
      </c>
      <c r="AJ141" s="630">
        <f>IF(Calibración_BAU_USCUSS!AN142&lt;0,Calibración_BAU_USCUSS!AN142 *-1, Calibración_BAU_USCUSS!AN142)*Emisiones_USCUSS!$M$56</f>
        <v>0.22639700866511703</v>
      </c>
      <c r="AK141" s="630">
        <f>IF(Calibración_BAU_USCUSS!AO142&lt;0,Calibración_BAU_USCUSS!AO142 *-1, Calibración_BAU_USCUSS!AO142)*Emisiones_USCUSS!$M$56</f>
        <v>0.23651312677653827</v>
      </c>
      <c r="AL141" s="630">
        <f>IF(Calibración_BAU_USCUSS!AP142&lt;0,Calibración_BAU_USCUSS!AP142 *-1, Calibración_BAU_USCUSS!AP142)*Emisiones_USCUSS!$M$56</f>
        <v>0.20039413969103168</v>
      </c>
      <c r="AM141" s="630">
        <f>IF(Calibración_BAU_USCUSS!AQ142&lt;0,Calibración_BAU_USCUSS!AQ142 *-1, Calibración_BAU_USCUSS!AQ142)*Emisiones_USCUSS!$M$56</f>
        <v>0.26760575800252745</v>
      </c>
      <c r="AN141" s="630">
        <f>IF(Calibración_BAU_USCUSS!AR142&lt;0,Calibración_BAU_USCUSS!AR142 *-1, Calibración_BAU_USCUSS!AR142)*Emisiones_USCUSS!$M$56</f>
        <v>0.24507328475132406</v>
      </c>
      <c r="AO141" s="630">
        <f>IF(Calibración_BAU_USCUSS!AS142&lt;0,Calibración_BAU_USCUSS!AS142 *-1, Calibración_BAU_USCUSS!AS142)*Emisiones_USCUSS!$M$56</f>
        <v>0.30780791171421351</v>
      </c>
      <c r="AP141" s="630">
        <f>IF(Calibración_BAU_USCUSS!AT142&lt;0,Calibración_BAU_USCUSS!AT142 *-1, Calibración_BAU_USCUSS!AT142)*Emisiones_USCUSS!$M$56</f>
        <v>0.26644893498277339</v>
      </c>
      <c r="AQ141" s="630">
        <f>IF(Calibración_BAU_USCUSS!AU142&lt;0,Calibración_BAU_USCUSS!AU142 *-1, Calibración_BAU_USCUSS!AU142)*Emisiones_USCUSS!$M$56</f>
        <v>0.2658563358340999</v>
      </c>
      <c r="AR141" s="630">
        <f>IF(Calibración_BAU_USCUSS!AV142&lt;0,Calibración_BAU_USCUSS!AV142 *-1, Calibración_BAU_USCUSS!AV142)*Emisiones_USCUSS!$M$56</f>
        <v>0.27747345319334205</v>
      </c>
      <c r="AS141" s="630">
        <f>IF(Calibración_BAU_USCUSS!AW142&lt;0,Calibración_BAU_USCUSS!AW142 *-1, Calibración_BAU_USCUSS!AW142)*Emisiones_USCUSS!$M$56</f>
        <v>0.2762358584283382</v>
      </c>
      <c r="AT141" s="630">
        <f>IF(Calibración_BAU_USCUSS!AX142&lt;0,Calibración_BAU_USCUSS!AX142 *-1, Calibración_BAU_USCUSS!AX142)*Emisiones_USCUSS!$M$56</f>
        <v>0.23946459860384092</v>
      </c>
      <c r="AU141" s="630">
        <f>IF(Calibración_BAU_USCUSS!AY142&lt;0,Calibración_BAU_USCUSS!AY142 *-1, Calibración_BAU_USCUSS!AY142)*Emisiones_USCUSS!$M$56</f>
        <v>0.24611416418533844</v>
      </c>
      <c r="AV141" s="630">
        <f>IF(Calibración_BAU_USCUSS!AZ142&lt;0,Calibración_BAU_USCUSS!AZ142 *-1, Calibración_BAU_USCUSS!AZ142)*Emisiones_USCUSS!$M$56</f>
        <v>0.25123692499502093</v>
      </c>
      <c r="AW141" s="630">
        <f>IF(Calibración_BAU_USCUSS!BA142&lt;0,Calibración_BAU_USCUSS!BA142 *-1, Calibración_BAU_USCUSS!BA142)*Emisiones_USCUSS!$M$56</f>
        <v>0.25797763925937017</v>
      </c>
      <c r="AX141" s="630">
        <f>IF(Calibración_BAU_USCUSS!BB142&lt;0,Calibración_BAU_USCUSS!BB142 *-1, Calibración_BAU_USCUSS!BB142)*Emisiones_USCUSS!$M$56</f>
        <v>0.26370567832524566</v>
      </c>
      <c r="AY141" s="630">
        <f>IF(Calibración_BAU_USCUSS!BC142&lt;0,Calibración_BAU_USCUSS!BC142 *-1, Calibración_BAU_USCUSS!BC142)*Emisiones_USCUSS!$M$56</f>
        <v>0.26697810634658481</v>
      </c>
      <c r="AZ141" s="630">
        <f>IF(Calibración_BAU_USCUSS!BD142&lt;0,Calibración_BAU_USCUSS!BD142 *-1, Calibración_BAU_USCUSS!BD142)*Emisiones_USCUSS!$M$56</f>
        <v>0.27137883098474885</v>
      </c>
      <c r="BA141" s="630">
        <f>IF(Calibración_BAU_USCUSS!BE142&lt;0,Calibración_BAU_USCUSS!BE142 *-1, Calibración_BAU_USCUSS!BE142)*Emisiones_USCUSS!$M$56</f>
        <v>0.27442644203264094</v>
      </c>
      <c r="BB141" s="630">
        <f>IF(Calibración_BAU_USCUSS!BF142&lt;0,Calibración_BAU_USCUSS!BF142 *-1, Calibración_BAU_USCUSS!BF142)*Emisiones_USCUSS!$M$56</f>
        <v>0.27697595591830088</v>
      </c>
      <c r="BC141" s="630">
        <f>IF(Calibración_BAU_USCUSS!BG142&lt;0,Calibración_BAU_USCUSS!BG142 *-1, Calibración_BAU_USCUSS!BG142)*Emisiones_USCUSS!$M$56</f>
        <v>0.28224607940948793</v>
      </c>
      <c r="BD141" s="630">
        <f>IF(Calibración_BAU_USCUSS!BH142&lt;0,Calibración_BAU_USCUSS!BH142 *-1, Calibración_BAU_USCUSS!BH142)*Emisiones_USCUSS!$M$56</f>
        <v>0.28315284562909521</v>
      </c>
      <c r="BE141" s="630">
        <f>IF(Calibración_BAU_USCUSS!BI142&lt;0,Calibración_BAU_USCUSS!BI142 *-1, Calibración_BAU_USCUSS!BI142)*Emisiones_USCUSS!$M$56</f>
        <v>0.2857109727187756</v>
      </c>
      <c r="BF141" s="630">
        <f>IF(Calibración_BAU_USCUSS!BJ142&lt;0,Calibración_BAU_USCUSS!BJ142 *-1, Calibración_BAU_USCUSS!BJ142)*Emisiones_USCUSS!$M$56</f>
        <v>0.28402777088885944</v>
      </c>
      <c r="BG141" s="630">
        <f>IF(Calibración_BAU_USCUSS!BK142&lt;0,Calibración_BAU_USCUSS!BK142 *-1, Calibración_BAU_USCUSS!BK142)*Emisiones_USCUSS!$M$56</f>
        <v>0.28514240051961481</v>
      </c>
      <c r="BH141" s="630">
        <f>IF(Calibración_BAU_USCUSS!BL142&lt;0,Calibración_BAU_USCUSS!BL142 *-1, Calibración_BAU_USCUSS!BL142)*Emisiones_USCUSS!$M$56</f>
        <v>0.28637693571127693</v>
      </c>
      <c r="BI141" s="630">
        <f>IF(Calibración_BAU_USCUSS!BM142&lt;0,Calibración_BAU_USCUSS!BM142 *-1, Calibración_BAU_USCUSS!BM142)*Emisiones_USCUSS!$M$56</f>
        <v>0.28688118125439505</v>
      </c>
      <c r="BJ141" s="630">
        <f>IF(Calibración_BAU_USCUSS!BN142&lt;0,Calibración_BAU_USCUSS!BN142 *-1, Calibración_BAU_USCUSS!BN142)*Emisiones_USCUSS!$M$56</f>
        <v>0.2875085006162888</v>
      </c>
      <c r="BK141" s="630">
        <f>IF(Calibración_BAU_USCUSS!BO142&lt;0,Calibración_BAU_USCUSS!BO142 *-1, Calibración_BAU_USCUSS!BO142)*Emisiones_USCUSS!$M$56</f>
        <v>0.29076274642409161</v>
      </c>
      <c r="BL141" s="630">
        <f>IF(Calibración_BAU_USCUSS!BP142&lt;0,Calibración_BAU_USCUSS!BP142 *-1, Calibración_BAU_USCUSS!BP142)*Emisiones_USCUSS!$M$56</f>
        <v>0.29377770220478533</v>
      </c>
      <c r="BM141" s="630">
        <f>IF(Calibración_BAU_USCUSS!BQ142&lt;0,Calibración_BAU_USCUSS!BQ142 *-1, Calibración_BAU_USCUSS!BQ142)*Emisiones_USCUSS!$M$56</f>
        <v>0.29664361811185752</v>
      </c>
    </row>
    <row r="142" spans="1:65" ht="15" customHeight="1" x14ac:dyDescent="0.35">
      <c r="C142" s="1169" t="s">
        <v>146</v>
      </c>
      <c r="D142" s="1159"/>
      <c r="E142" s="634"/>
      <c r="F142" s="634"/>
      <c r="G142" s="634"/>
      <c r="H142" s="634"/>
      <c r="I142" s="630"/>
      <c r="J142" s="630"/>
      <c r="K142" s="630"/>
      <c r="L142" s="630"/>
      <c r="M142" s="630">
        <f>IF(Calibración_BAU_USCUSS!Q143&lt;0, Calibración_BAU_USCUSS!Q143*-1, Calibración_BAU_USCUSS!Q143)*Emisiones_USCUSS!$M$57</f>
        <v>0</v>
      </c>
      <c r="N142" s="630">
        <f>IF(Calibración_BAU_USCUSS!R143&lt;0, Calibración_BAU_USCUSS!R143*-1, Calibración_BAU_USCUSS!R143)*Emisiones_USCUSS!$M$57</f>
        <v>0.150539370052265</v>
      </c>
      <c r="O142" s="630">
        <f>IF(Calibración_BAU_USCUSS!S143&lt;0, Calibración_BAU_USCUSS!S143*-1, Calibración_BAU_USCUSS!S143)*Emisiones_USCUSS!$M$57</f>
        <v>0.3639610849738576</v>
      </c>
      <c r="P142" s="630">
        <f>IF(Calibración_BAU_USCUSS!T143&lt;0, Calibración_BAU_USCUSS!T143*-1, Calibración_BAU_USCUSS!T143)*Emisiones_USCUSS!$M$57</f>
        <v>0.20208803986336074</v>
      </c>
      <c r="Q142" s="630">
        <f>IF(Calibración_BAU_USCUSS!U143&lt;0, Calibración_BAU_USCUSS!U143*-1, Calibración_BAU_USCUSS!U143)*Emisiones_USCUSS!$M$57</f>
        <v>0.19425210021168898</v>
      </c>
      <c r="R142" s="630">
        <f>IF(Calibración_BAU_USCUSS!V143&lt;0, Calibración_BAU_USCUSS!V143*-1, Calibración_BAU_USCUSS!V143)*Emisiones_USCUSS!$M$57</f>
        <v>0.21627546381900339</v>
      </c>
      <c r="S142" s="630">
        <f>IF(Calibración_BAU_USCUSS!W143&lt;0, Calibración_BAU_USCUSS!W143*-1, Calibración_BAU_USCUSS!W143)*Emisiones_USCUSS!$M$57</f>
        <v>0.20262965139717135</v>
      </c>
      <c r="T142" s="630">
        <f>IF(Calibración_BAU_USCUSS!X143&lt;0, Calibración_BAU_USCUSS!X143*-1, Calibración_BAU_USCUSS!X143)*Emisiones_USCUSS!$M$57</f>
        <v>0.23932694113245626</v>
      </c>
      <c r="U142" s="630">
        <f>IF(Calibración_BAU_USCUSS!Y143&lt;0, Calibración_BAU_USCUSS!Y143*-1, Calibración_BAU_USCUSS!Y143)*Emisiones_USCUSS!$M$57</f>
        <v>0.25840344634821216</v>
      </c>
      <c r="V142" s="630">
        <f>IF(Calibración_BAU_USCUSS!Z143&lt;0, Calibración_BAU_USCUSS!Z143*-1, Calibración_BAU_USCUSS!Z143)*Emisiones_USCUSS!$M$57</f>
        <v>0.22223706361174719</v>
      </c>
      <c r="W142" s="630">
        <f>IF(Calibración_BAU_USCUSS!AA143&lt;0, Calibración_BAU_USCUSS!AA143*-1, Calibración_BAU_USCUSS!AA143)*Emisiones_USCUSS!$M$57</f>
        <v>0.24014441686934054</v>
      </c>
      <c r="X142" s="630">
        <f>IF(Calibración_BAU_USCUSS!AB143&lt;0, Calibración_BAU_USCUSS!AB143*-1, Calibración_BAU_USCUSS!AB143)*Emisiones_USCUSS!$M$57</f>
        <v>0.28766399759282957</v>
      </c>
      <c r="Y142" s="630">
        <f>IF(Calibración_BAU_USCUSS!AC143&lt;0, Calibración_BAU_USCUSS!AC143*-1, Calibración_BAU_USCUSS!AC143)*Emisiones_USCUSS!$M$57</f>
        <v>0.27336456665584363</v>
      </c>
      <c r="Z142" s="630">
        <f>IF(Calibración_BAU_USCUSS!AD143&lt;0, Calibración_BAU_USCUSS!AD143*-1, Calibración_BAU_USCUSS!AD143)*Emisiones_USCUSS!$M$57</f>
        <v>0.23409096878585903</v>
      </c>
      <c r="AA142" s="630">
        <f>IF(Calibración_BAU_USCUSS!AE143&lt;0, Calibración_BAU_USCUSS!AE143*-1, Calibración_BAU_USCUSS!AE143)*Emisiones_USCUSS!$M$57</f>
        <v>0.27332396454764529</v>
      </c>
      <c r="AB142" s="630">
        <f>IF(Calibración_BAU_USCUSS!AF143&lt;0, Calibración_BAU_USCUSS!AF143*-1, Calibración_BAU_USCUSS!AF143)*Emisiones_USCUSS!$M$57</f>
        <v>0.24915715294194948</v>
      </c>
      <c r="AC142" s="630">
        <f>IF(Calibración_BAU_USCUSS!AG143&lt;0, Calibración_BAU_USCUSS!AG143*-1, Calibración_BAU_USCUSS!AG143)*Emisiones_USCUSS!$M$57</f>
        <v>0.27645248264820643</v>
      </c>
      <c r="AD142" s="630">
        <f>IF(Calibración_BAU_USCUSS!AH143&lt;0, Calibración_BAU_USCUSS!AH143*-1, Calibración_BAU_USCUSS!AH143)*Emisiones_USCUSS!$M$57</f>
        <v>0.27116159074975665</v>
      </c>
      <c r="AE142" s="630">
        <f>IF(Calibración_BAU_USCUSS!AI143&lt;0, Calibración_BAU_USCUSS!AI143*-1, Calibración_BAU_USCUSS!AI143)*Emisiones_USCUSS!$M$57</f>
        <v>0.25429521211835282</v>
      </c>
      <c r="AF142" s="630">
        <f>IF(Calibración_BAU_USCUSS!AJ143&lt;0, Calibración_BAU_USCUSS!AJ143*-1, Calibración_BAU_USCUSS!AJ143)*Emisiones_USCUSS!$M$57</f>
        <v>0.26106113271991038</v>
      </c>
      <c r="AG142" s="630">
        <f>IF(Calibración_BAU_USCUSS!AK143&lt;0, Calibración_BAU_USCUSS!AK143*-1, Calibración_BAU_USCUSS!AK143)*Emisiones_USCUSS!$M$57</f>
        <v>0.24796336553952175</v>
      </c>
      <c r="AH142" s="630">
        <f>IF(Calibración_BAU_USCUSS!AL143&lt;0, Calibración_BAU_USCUSS!AL143*-1, Calibración_BAU_USCUSS!AL143)*Emisiones_USCUSS!$M$57</f>
        <v>0.22504472965649119</v>
      </c>
      <c r="AI142" s="630">
        <f>IF(Calibración_BAU_USCUSS!AM143&lt;0, Calibración_BAU_USCUSS!AM143*-1, Calibración_BAU_USCUSS!AM143)*Emisiones_USCUSS!$M$57</f>
        <v>0.2292656326823988</v>
      </c>
      <c r="AJ142" s="630">
        <f>IF(Calibración_BAU_USCUSS!AN143&lt;0, Calibración_BAU_USCUSS!AN143*-1, Calibración_BAU_USCUSS!AN143)*Emisiones_USCUSS!$M$57</f>
        <v>0.21505580878985836</v>
      </c>
      <c r="AK142" s="630">
        <f>IF(Calibración_BAU_USCUSS!AO143&lt;0, Calibración_BAU_USCUSS!AO143*-1, Calibración_BAU_USCUSS!AO143)*Emisiones_USCUSS!$M$57</f>
        <v>0.20771863488410747</v>
      </c>
      <c r="AL142" s="630">
        <f>IF(Calibración_BAU_USCUSS!AP143&lt;0, Calibración_BAU_USCUSS!AP143*-1, Calibración_BAU_USCUSS!AP143)*Emisiones_USCUSS!$M$57</f>
        <v>0.22381342082145098</v>
      </c>
      <c r="AM142" s="630">
        <f>IF(Calibración_BAU_USCUSS!AQ143&lt;0, Calibración_BAU_USCUSS!AQ143*-1, Calibración_BAU_USCUSS!AQ143)*Emisiones_USCUSS!$M$57</f>
        <v>0.18761453311862647</v>
      </c>
      <c r="AN142" s="630">
        <f>IF(Calibración_BAU_USCUSS!AR143&lt;0, Calibración_BAU_USCUSS!AR143*-1, Calibración_BAU_USCUSS!AR143)*Emisiones_USCUSS!$M$57</f>
        <v>0.19687239644420884</v>
      </c>
      <c r="AO142" s="630">
        <f>IF(Calibración_BAU_USCUSS!AS143&lt;0, Calibración_BAU_USCUSS!AS143*-1, Calibración_BAU_USCUSS!AS143)*Emisiones_USCUSS!$M$57</f>
        <v>0.16298146605434971</v>
      </c>
      <c r="AP142" s="630">
        <f>IF(Calibración_BAU_USCUSS!AT143&lt;0, Calibración_BAU_USCUSS!AT143*-1, Calibración_BAU_USCUSS!AT143)*Emisiones_USCUSS!$M$57</f>
        <v>0.18180128158251654</v>
      </c>
      <c r="AQ142" s="630">
        <f>IF(Calibración_BAU_USCUSS!AU143&lt;0, Calibración_BAU_USCUSS!AU143*-1, Calibración_BAU_USCUSS!AU143)*Emisiones_USCUSS!$M$57</f>
        <v>0.18000632825353699</v>
      </c>
      <c r="AR142" s="630">
        <f>IF(Calibración_BAU_USCUSS!AV143&lt;0, Calibración_BAU_USCUSS!AV143*-1, Calibración_BAU_USCUSS!AV143)*Emisiones_USCUSS!$M$57</f>
        <v>0.1720450252572383</v>
      </c>
      <c r="AS142" s="630">
        <f>IF(Calibración_BAU_USCUSS!AW143&lt;0, Calibración_BAU_USCUSS!AW143*-1, Calibración_BAU_USCUSS!AW143)*Emisiones_USCUSS!$M$57</f>
        <v>0.17060153166650688</v>
      </c>
      <c r="AT142" s="630">
        <f>IF(Calibración_BAU_USCUSS!AX143&lt;0, Calibración_BAU_USCUSS!AX143*-1, Calibración_BAU_USCUSS!AX143)*Emisiones_USCUSS!$M$57</f>
        <v>0.18714318462774071</v>
      </c>
      <c r="AU142" s="630">
        <f>IF(Calibración_BAU_USCUSS!AY143&lt;0, Calibración_BAU_USCUSS!AY143*-1, Calibración_BAU_USCUSS!AY143)*Emisiones_USCUSS!$M$57</f>
        <v>0.1817635989846185</v>
      </c>
      <c r="AV142" s="630">
        <f>IF(Calibración_BAU_USCUSS!AZ143&lt;0, Calibración_BAU_USCUSS!AZ143*-1, Calibración_BAU_USCUSS!AZ143)*Emisiones_USCUSS!$M$57</f>
        <v>0.17716887276510584</v>
      </c>
      <c r="AW142" s="630">
        <f>IF(Calibración_BAU_USCUSS!BA143&lt;0, Calibración_BAU_USCUSS!BA143*-1, Calibración_BAU_USCUSS!BA143)*Emisiones_USCUSS!$M$57</f>
        <v>0.17177417837103467</v>
      </c>
      <c r="AX142" s="630">
        <f>IF(Calibración_BAU_USCUSS!BB143&lt;0, Calibración_BAU_USCUSS!BB143*-1, Calibración_BAU_USCUSS!BB143)*Emisiones_USCUSS!$M$57</f>
        <v>0.16691448415650229</v>
      </c>
      <c r="AY142" s="630">
        <f>IF(Calibración_BAU_USCUSS!BC143&lt;0, Calibración_BAU_USCUSS!BC143*-1, Calibración_BAU_USCUSS!BC143)*Emisiones_USCUSS!$M$57</f>
        <v>0.16331580479249072</v>
      </c>
      <c r="AZ142" s="630">
        <f>IF(Calibración_BAU_USCUSS!BD143&lt;0, Calibración_BAU_USCUSS!BD143*-1, Calibración_BAU_USCUSS!BD143)*Emisiones_USCUSS!$M$57</f>
        <v>0.15917154440217279</v>
      </c>
      <c r="BA142" s="630">
        <f>IF(Calibración_BAU_USCUSS!BE143&lt;0, Calibración_BAU_USCUSS!BE143*-1, Calibración_BAU_USCUSS!BE143)*Emisiones_USCUSS!$M$57</f>
        <v>0.15572786982514975</v>
      </c>
      <c r="BB142" s="630">
        <f>IF(Calibración_BAU_USCUSS!BF143&lt;0, Calibración_BAU_USCUSS!BF143*-1, Calibración_BAU_USCUSS!BF143)*Emisiones_USCUSS!$M$57</f>
        <v>0.15255555140967111</v>
      </c>
      <c r="BC142" s="630">
        <f>IF(Calibración_BAU_USCUSS!BG143&lt;0, Calibración_BAU_USCUSS!BG143*-1, Calibración_BAU_USCUSS!BG143)*Emisiones_USCUSS!$M$57</f>
        <v>0.14802643424702164</v>
      </c>
      <c r="BD142" s="630">
        <f>IF(Calibración_BAU_USCUSS!BH143&lt;0, Calibración_BAU_USCUSS!BH143*-1, Calibración_BAU_USCUSS!BH143)*Emisiones_USCUSS!$M$57</f>
        <v>0.14572337976477687</v>
      </c>
      <c r="BE142" s="630">
        <f>IF(Calibración_BAU_USCUSS!BI143&lt;0, Calibración_BAU_USCUSS!BI143*-1, Calibración_BAU_USCUSS!BI143)*Emisiones_USCUSS!$M$57</f>
        <v>0.14260303273285946</v>
      </c>
      <c r="BF142" s="630">
        <f>IF(Calibración_BAU_USCUSS!BJ143&lt;0, Calibración_BAU_USCUSS!BJ143*-1, Calibración_BAU_USCUSS!BJ143)*Emisiones_USCUSS!$M$57</f>
        <v>0.14164584962122767</v>
      </c>
      <c r="BG142" s="630">
        <f>IF(Calibración_BAU_USCUSS!BK143&lt;0, Calibración_BAU_USCUSS!BK143*-1, Calibración_BAU_USCUSS!BK143)*Emisiones_USCUSS!$M$57</f>
        <v>0.13929089803758249</v>
      </c>
      <c r="BH142" s="630">
        <f>IF(Calibración_BAU_USCUSS!BL143&lt;0, Calibración_BAU_USCUSS!BL143*-1, Calibración_BAU_USCUSS!BL143)*Emisiones_USCUSS!$M$57</f>
        <v>0.1368925946630791</v>
      </c>
      <c r="BI142" s="630">
        <f>IF(Calibración_BAU_USCUSS!BM143&lt;0, Calibración_BAU_USCUSS!BM143*-1, Calibración_BAU_USCUSS!BM143)*Emisiones_USCUSS!$M$57</f>
        <v>0.13488039775798441</v>
      </c>
      <c r="BJ142" s="630">
        <f>IF(Calibración_BAU_USCUSS!BN143&lt;0, Calibración_BAU_USCUSS!BN143*-1, Calibración_BAU_USCUSS!BN143)*Emisiones_USCUSS!$M$57</f>
        <v>0.1328223423648823</v>
      </c>
      <c r="BK142" s="630">
        <f>IF(Calibración_BAU_USCUSS!BO143&lt;0, Calibración_BAU_USCUSS!BO143*-1, Calibración_BAU_USCUSS!BO143)*Emisiones_USCUSS!$M$57</f>
        <v>0.12945126380535371</v>
      </c>
      <c r="BL142" s="630">
        <f>IF(Calibración_BAU_USCUSS!BP143&lt;0, Calibración_BAU_USCUSS!BP143*-1, Calibración_BAU_USCUSS!BP143)*Emisiones_USCUSS!$M$57</f>
        <v>0.12621678639084313</v>
      </c>
      <c r="BM142" s="630">
        <f>IF(Calibración_BAU_USCUSS!BQ143&lt;0, Calibración_BAU_USCUSS!BQ143*-1, Calibración_BAU_USCUSS!BQ143)*Emisiones_USCUSS!$M$57</f>
        <v>0.12307285481618811</v>
      </c>
    </row>
    <row r="143" spans="1:65" s="939" customFormat="1" ht="15" customHeight="1" x14ac:dyDescent="0.35">
      <c r="A143" s="937"/>
      <c r="B143" s="938"/>
      <c r="C143" s="1166" t="s">
        <v>102</v>
      </c>
      <c r="D143" s="1157"/>
      <c r="M143" s="939">
        <f>IF(Calibración_BAU_USCUSS!Q144&lt;0,Calibración_BAU_USCUSS!Q144 *-1, Calibración_BAU_USCUSS!Q144)*Emisiones_USCUSS!$M$58</f>
        <v>2.3437333900000003E-2</v>
      </c>
      <c r="N143" s="939">
        <f>IF(Calibración_BAU_USCUSS!R144&lt;0,Calibración_BAU_USCUSS!R144 *-1, Calibración_BAU_USCUSS!R144)*Emisiones_USCUSS!$M$58</f>
        <v>8.3160462573314154E-3</v>
      </c>
      <c r="O143" s="939">
        <f>IF(Calibración_BAU_USCUSS!S144&lt;0,Calibración_BAU_USCUSS!S144 *-1, Calibración_BAU_USCUSS!S144)*Emisiones_USCUSS!$M$58</f>
        <v>8.7007517570329481E-3</v>
      </c>
      <c r="P143" s="939">
        <f>IF(Calibración_BAU_USCUSS!T144&lt;0,Calibración_BAU_USCUSS!T144 *-1, Calibración_BAU_USCUSS!T144)*Emisiones_USCUSS!$M$58</f>
        <v>8.7007517570329481E-3</v>
      </c>
      <c r="Q143" s="939">
        <f>IF(Calibración_BAU_USCUSS!U144&lt;0,Calibración_BAU_USCUSS!U144 *-1, Calibración_BAU_USCUSS!U144)*Emisiones_USCUSS!$M$58</f>
        <v>8.7007517570329481E-3</v>
      </c>
      <c r="R143" s="939">
        <f>IF(Calibración_BAU_USCUSS!V144&lt;0,Calibración_BAU_USCUSS!V144 *-1, Calibración_BAU_USCUSS!V144)*Emisiones_USCUSS!$M$58</f>
        <v>8.7007517570329481E-3</v>
      </c>
      <c r="S143" s="939">
        <f>IF(Calibración_BAU_USCUSS!W144&lt;0,Calibración_BAU_USCUSS!W144 *-1, Calibración_BAU_USCUSS!W144)*Emisiones_USCUSS!$M$58</f>
        <v>8.7007517570334945E-3</v>
      </c>
      <c r="T143" s="939">
        <f>IF(Calibración_BAU_USCUSS!X144&lt;0,Calibración_BAU_USCUSS!X144 *-1, Calibración_BAU_USCUSS!X144)*Emisiones_USCUSS!$M$58</f>
        <v>8.7007517570329481E-3</v>
      </c>
      <c r="U143" s="939">
        <f>IF(Calibración_BAU_USCUSS!Y144&lt;0,Calibración_BAU_USCUSS!Y144 *-1, Calibración_BAU_USCUSS!Y144)*Emisiones_USCUSS!$M$58</f>
        <v>8.7007517570329481E-3</v>
      </c>
      <c r="V143" s="939">
        <f>IF(Calibración_BAU_USCUSS!Z144&lt;0,Calibración_BAU_USCUSS!Z144 *-1, Calibración_BAU_USCUSS!Z144)*Emisiones_USCUSS!$M$58</f>
        <v>8.7007517570329481E-3</v>
      </c>
      <c r="W143" s="939">
        <f>IF(Calibración_BAU_USCUSS!AA144&lt;0,Calibración_BAU_USCUSS!AA144 *-1, Calibración_BAU_USCUSS!AA144)*Emisiones_USCUSS!$M$58</f>
        <v>8.7007517570329481E-3</v>
      </c>
      <c r="X143" s="939">
        <f>IF(Calibración_BAU_USCUSS!AB144&lt;0,Calibración_BAU_USCUSS!AB144 *-1, Calibración_BAU_USCUSS!AB144)*Emisiones_USCUSS!$M$58</f>
        <v>8.7007517570329481E-3</v>
      </c>
      <c r="Y143" s="939">
        <f>IF(Calibración_BAU_USCUSS!AC144&lt;0,Calibración_BAU_USCUSS!AC144 *-1, Calibración_BAU_USCUSS!AC144)*Emisiones_USCUSS!$M$58</f>
        <v>8.7007517570329481E-3</v>
      </c>
      <c r="Z143" s="939">
        <f>IF(Calibración_BAU_USCUSS!AD144&lt;0,Calibración_BAU_USCUSS!AD144 *-1, Calibración_BAU_USCUSS!AD144)*Emisiones_USCUSS!$M$58</f>
        <v>8.7007517570329481E-3</v>
      </c>
      <c r="AA143" s="939">
        <f>IF(Calibración_BAU_USCUSS!AE144&lt;0,Calibración_BAU_USCUSS!AE144 *-1, Calibración_BAU_USCUSS!AE144)*Emisiones_USCUSS!$M$58</f>
        <v>8.7007517570329481E-3</v>
      </c>
      <c r="AB143" s="939">
        <f>IF(Calibración_BAU_USCUSS!AF144&lt;0,Calibración_BAU_USCUSS!AF144 *-1, Calibración_BAU_USCUSS!AF144)*Emisiones_USCUSS!$M$58</f>
        <v>8.7007517570329481E-3</v>
      </c>
      <c r="AC143" s="939">
        <f>IF(Calibración_BAU_USCUSS!AG144&lt;0,Calibración_BAU_USCUSS!AG144 *-1, Calibración_BAU_USCUSS!AG144)*Emisiones_USCUSS!$M$58</f>
        <v>8.7007517570329481E-3</v>
      </c>
      <c r="AD143" s="939">
        <f>IF(Calibración_BAU_USCUSS!AH144&lt;0,Calibración_BAU_USCUSS!AH144 *-1, Calibración_BAU_USCUSS!AH144)*Emisiones_USCUSS!$M$58</f>
        <v>8.7007517570334945E-3</v>
      </c>
      <c r="AE143" s="939">
        <f>IF(Calibración_BAU_USCUSS!AI144&lt;0,Calibración_BAU_USCUSS!AI144 *-1, Calibración_BAU_USCUSS!AI144)*Emisiones_USCUSS!$M$58</f>
        <v>8.7007517570329481E-3</v>
      </c>
      <c r="AF143" s="939">
        <f>IF(Calibración_BAU_USCUSS!AJ144&lt;0,Calibración_BAU_USCUSS!AJ144 *-1, Calibración_BAU_USCUSS!AJ144)*Emisiones_USCUSS!$M$58</f>
        <v>8.7007517570329481E-3</v>
      </c>
      <c r="AG143" s="939">
        <f>IF(Calibración_BAU_USCUSS!AK144&lt;0,Calibración_BAU_USCUSS!AK144 *-1, Calibración_BAU_USCUSS!AK144)*Emisiones_USCUSS!$M$58</f>
        <v>8.7007517570329481E-3</v>
      </c>
      <c r="AH143" s="939">
        <f>IF(Calibración_BAU_USCUSS!AL144&lt;0,Calibración_BAU_USCUSS!AL144 *-1, Calibración_BAU_USCUSS!AL144)*Emisiones_USCUSS!$M$58</f>
        <v>8.7007517570329481E-3</v>
      </c>
      <c r="AI143" s="939">
        <f>IF(Calibración_BAU_USCUSS!AM144&lt;0,Calibración_BAU_USCUSS!AM144 *-1, Calibración_BAU_USCUSS!AM144)*Emisiones_USCUSS!$M$58</f>
        <v>8.7007517570329481E-3</v>
      </c>
      <c r="AJ143" s="939">
        <f>IF(Calibración_BAU_USCUSS!AN144&lt;0,Calibración_BAU_USCUSS!AN144 *-1, Calibración_BAU_USCUSS!AN144)*Emisiones_USCUSS!$M$58</f>
        <v>8.7007517570329481E-3</v>
      </c>
      <c r="AK143" s="939">
        <f>IF(Calibración_BAU_USCUSS!AO144&lt;0,Calibración_BAU_USCUSS!AO144 *-1, Calibración_BAU_USCUSS!AO144)*Emisiones_USCUSS!$M$58</f>
        <v>8.7007517570329481E-3</v>
      </c>
      <c r="AL143" s="939">
        <f>IF(Calibración_BAU_USCUSS!AP144&lt;0,Calibración_BAU_USCUSS!AP144 *-1, Calibración_BAU_USCUSS!AP144)*Emisiones_USCUSS!$M$58</f>
        <v>8.7007517570329481E-3</v>
      </c>
      <c r="AM143" s="939">
        <f>IF(Calibración_BAU_USCUSS!AQ144&lt;0,Calibración_BAU_USCUSS!AQ144 *-1, Calibración_BAU_USCUSS!AQ144)*Emisiones_USCUSS!$M$58</f>
        <v>8.7007517570329481E-3</v>
      </c>
      <c r="AN143" s="939">
        <f>IF(Calibración_BAU_USCUSS!AR144&lt;0,Calibración_BAU_USCUSS!AR144 *-1, Calibración_BAU_USCUSS!AR144)*Emisiones_USCUSS!$M$58</f>
        <v>8.7007517570329481E-3</v>
      </c>
      <c r="AO143" s="939">
        <f>IF(Calibración_BAU_USCUSS!AS144&lt;0,Calibración_BAU_USCUSS!AS144 *-1, Calibración_BAU_USCUSS!AS144)*Emisiones_USCUSS!$M$58</f>
        <v>8.7007517570334945E-3</v>
      </c>
      <c r="AP143" s="939">
        <f>IF(Calibración_BAU_USCUSS!AT144&lt;0,Calibración_BAU_USCUSS!AT144 *-1, Calibración_BAU_USCUSS!AT144)*Emisiones_USCUSS!$M$58</f>
        <v>8.7007517570329481E-3</v>
      </c>
      <c r="AQ143" s="939">
        <f>IF(Calibración_BAU_USCUSS!AU144&lt;0,Calibración_BAU_USCUSS!AU144 *-1, Calibración_BAU_USCUSS!AU144)*Emisiones_USCUSS!$M$58</f>
        <v>8.7007517570329481E-3</v>
      </c>
      <c r="AR143" s="939">
        <f>IF(Calibración_BAU_USCUSS!AV144&lt;0,Calibración_BAU_USCUSS!AV144 *-1, Calibración_BAU_USCUSS!AV144)*Emisiones_USCUSS!$M$58</f>
        <v>8.7007517570329481E-3</v>
      </c>
      <c r="AS143" s="939">
        <f>IF(Calibración_BAU_USCUSS!AW144&lt;0,Calibración_BAU_USCUSS!AW144 *-1, Calibración_BAU_USCUSS!AW144)*Emisiones_USCUSS!$M$58</f>
        <v>8.7007517570329481E-3</v>
      </c>
      <c r="AT143" s="939">
        <f>IF(Calibración_BAU_USCUSS!AX144&lt;0,Calibración_BAU_USCUSS!AX144 *-1, Calibración_BAU_USCUSS!AX144)*Emisiones_USCUSS!$M$58</f>
        <v>8.7007517570329481E-3</v>
      </c>
      <c r="AU143" s="939">
        <f>IF(Calibración_BAU_USCUSS!AY144&lt;0,Calibración_BAU_USCUSS!AY144 *-1, Calibración_BAU_USCUSS!AY144)*Emisiones_USCUSS!$M$58</f>
        <v>8.7007517570329481E-3</v>
      </c>
      <c r="AV143" s="939">
        <f>IF(Calibración_BAU_USCUSS!AZ144&lt;0,Calibración_BAU_USCUSS!AZ144 *-1, Calibración_BAU_USCUSS!AZ144)*Emisiones_USCUSS!$M$58</f>
        <v>8.7007517570329481E-3</v>
      </c>
      <c r="AW143" s="939">
        <f>IF(Calibración_BAU_USCUSS!BA144&lt;0,Calibración_BAU_USCUSS!BA144 *-1, Calibración_BAU_USCUSS!BA144)*Emisiones_USCUSS!$M$58</f>
        <v>8.7007517570329481E-3</v>
      </c>
      <c r="AX143" s="939">
        <f>IF(Calibración_BAU_USCUSS!BB144&lt;0,Calibración_BAU_USCUSS!BB144 *-1, Calibración_BAU_USCUSS!BB144)*Emisiones_USCUSS!$M$58</f>
        <v>8.7007517570329481E-3</v>
      </c>
      <c r="AY143" s="939">
        <f>IF(Calibración_BAU_USCUSS!BC144&lt;0,Calibración_BAU_USCUSS!BC144 *-1, Calibración_BAU_USCUSS!BC144)*Emisiones_USCUSS!$M$58</f>
        <v>8.7007517570334945E-3</v>
      </c>
      <c r="AZ143" s="939">
        <f>IF(Calibración_BAU_USCUSS!BD144&lt;0,Calibración_BAU_USCUSS!BD144 *-1, Calibración_BAU_USCUSS!BD144)*Emisiones_USCUSS!$M$58</f>
        <v>8.7007517570329481E-3</v>
      </c>
      <c r="BA143" s="939">
        <f>IF(Calibración_BAU_USCUSS!BE144&lt;0,Calibración_BAU_USCUSS!BE144 *-1, Calibración_BAU_USCUSS!BE144)*Emisiones_USCUSS!$M$58</f>
        <v>8.7007517570329481E-3</v>
      </c>
      <c r="BB143" s="939">
        <f>IF(Calibración_BAU_USCUSS!BF144&lt;0,Calibración_BAU_USCUSS!BF144 *-1, Calibración_BAU_USCUSS!BF144)*Emisiones_USCUSS!$M$58</f>
        <v>8.7007517570329481E-3</v>
      </c>
      <c r="BC143" s="939">
        <f>IF(Calibración_BAU_USCUSS!BG144&lt;0,Calibración_BAU_USCUSS!BG144 *-1, Calibración_BAU_USCUSS!BG144)*Emisiones_USCUSS!$M$58</f>
        <v>8.7007517570329481E-3</v>
      </c>
      <c r="BD143" s="939">
        <f>IF(Calibración_BAU_USCUSS!BH144&lt;0,Calibración_BAU_USCUSS!BH144 *-1, Calibración_BAU_USCUSS!BH144)*Emisiones_USCUSS!$M$58</f>
        <v>8.7007517570329481E-3</v>
      </c>
      <c r="BE143" s="939">
        <f>IF(Calibración_BAU_USCUSS!BI144&lt;0,Calibración_BAU_USCUSS!BI144 *-1, Calibración_BAU_USCUSS!BI144)*Emisiones_USCUSS!$M$58</f>
        <v>8.7007517570329481E-3</v>
      </c>
      <c r="BF143" s="939">
        <f>IF(Calibración_BAU_USCUSS!BJ144&lt;0,Calibración_BAU_USCUSS!BJ144 *-1, Calibración_BAU_USCUSS!BJ144)*Emisiones_USCUSS!$M$58</f>
        <v>8.7007517570329481E-3</v>
      </c>
      <c r="BG143" s="939">
        <f>IF(Calibración_BAU_USCUSS!BK144&lt;0,Calibración_BAU_USCUSS!BK144 *-1, Calibración_BAU_USCUSS!BK144)*Emisiones_USCUSS!$M$58</f>
        <v>8.7007517570329481E-3</v>
      </c>
      <c r="BH143" s="939">
        <f>IF(Calibración_BAU_USCUSS!BL144&lt;0,Calibración_BAU_USCUSS!BL144 *-1, Calibración_BAU_USCUSS!BL144)*Emisiones_USCUSS!$M$58</f>
        <v>8.7007517570329481E-3</v>
      </c>
      <c r="BI143" s="939">
        <f>IF(Calibración_BAU_USCUSS!BM144&lt;0,Calibración_BAU_USCUSS!BM144 *-1, Calibración_BAU_USCUSS!BM144)*Emisiones_USCUSS!$M$58</f>
        <v>8.7007517570329481E-3</v>
      </c>
      <c r="BJ143" s="939">
        <f>IF(Calibración_BAU_USCUSS!BN144&lt;0,Calibración_BAU_USCUSS!BN144 *-1, Calibración_BAU_USCUSS!BN144)*Emisiones_USCUSS!$M$58</f>
        <v>8.7007517570334945E-3</v>
      </c>
      <c r="BK143" s="939">
        <f>IF(Calibración_BAU_USCUSS!BO144&lt;0,Calibración_BAU_USCUSS!BO144 *-1, Calibración_BAU_USCUSS!BO144)*Emisiones_USCUSS!$M$58</f>
        <v>8.7007517570329481E-3</v>
      </c>
      <c r="BL143" s="939">
        <f>IF(Calibración_BAU_USCUSS!BP144&lt;0,Calibración_BAU_USCUSS!BP144 *-1, Calibración_BAU_USCUSS!BP144)*Emisiones_USCUSS!$M$58</f>
        <v>8.7007517570329481E-3</v>
      </c>
      <c r="BM143" s="939">
        <f>IF(Calibración_BAU_USCUSS!BQ144&lt;0,Calibración_BAU_USCUSS!BQ144 *-1, Calibración_BAU_USCUSS!BQ144)*Emisiones_USCUSS!$M$58</f>
        <v>8.7007517570329481E-3</v>
      </c>
    </row>
    <row r="144" spans="1:65" x14ac:dyDescent="0.35">
      <c r="C144" s="1167" t="s">
        <v>57</v>
      </c>
      <c r="D144" s="1153"/>
      <c r="E144" s="634"/>
      <c r="F144" s="634"/>
      <c r="G144" s="634"/>
      <c r="H144" s="634"/>
      <c r="I144" s="630"/>
      <c r="J144" s="630"/>
      <c r="K144" s="630"/>
      <c r="L144" s="630"/>
      <c r="M144" s="630"/>
      <c r="N144" s="630"/>
      <c r="O144" s="630"/>
      <c r="P144" s="630"/>
      <c r="Q144" s="630"/>
      <c r="R144" s="630"/>
      <c r="S144" s="630"/>
      <c r="T144" s="630"/>
      <c r="U144" s="630"/>
      <c r="V144" s="630"/>
      <c r="W144" s="630"/>
      <c r="X144" s="630"/>
      <c r="Y144" s="630"/>
      <c r="Z144" s="630"/>
      <c r="AA144" s="630"/>
      <c r="AB144" s="630"/>
      <c r="AC144" s="630"/>
      <c r="AD144" s="630"/>
      <c r="AE144" s="630"/>
      <c r="AF144" s="630"/>
      <c r="AG144" s="630"/>
      <c r="AH144" s="630"/>
      <c r="AI144" s="630"/>
      <c r="AJ144" s="630"/>
      <c r="AK144" s="630"/>
      <c r="AL144" s="630"/>
      <c r="AM144" s="630"/>
      <c r="AN144" s="630"/>
      <c r="AO144" s="630"/>
      <c r="AP144" s="630"/>
      <c r="AQ144" s="630"/>
      <c r="AR144" s="630"/>
      <c r="AS144" s="630"/>
      <c r="AT144" s="630"/>
      <c r="AU144" s="630"/>
      <c r="AV144" s="630"/>
      <c r="AW144" s="630"/>
      <c r="AX144" s="630"/>
      <c r="AY144" s="630"/>
      <c r="AZ144" s="630"/>
      <c r="BA144" s="630"/>
      <c r="BB144" s="630"/>
      <c r="BC144" s="630"/>
      <c r="BD144" s="630"/>
      <c r="BE144" s="630"/>
      <c r="BF144" s="630"/>
      <c r="BG144" s="630"/>
      <c r="BH144" s="630"/>
      <c r="BI144" s="630"/>
      <c r="BJ144" s="630"/>
      <c r="BK144" s="630"/>
      <c r="BL144" s="630"/>
      <c r="BM144" s="630"/>
    </row>
    <row r="145" spans="1:65" x14ac:dyDescent="0.35">
      <c r="D145" s="93"/>
      <c r="E145" s="112"/>
      <c r="F145" s="112"/>
      <c r="G145" s="112"/>
      <c r="H145" s="112"/>
      <c r="M145" s="373">
        <f>SUM(M139:M144)</f>
        <v>1.0119648852000001</v>
      </c>
      <c r="N145" s="373">
        <f t="shared" ref="N145:BM145" si="6">SUM(N139:N144)</f>
        <v>0.69889394066565458</v>
      </c>
      <c r="O145" s="373">
        <f t="shared" si="6"/>
        <v>0.79657408880254521</v>
      </c>
      <c r="P145" s="373">
        <f t="shared" si="6"/>
        <v>0.94528211954058905</v>
      </c>
      <c r="Q145" s="373">
        <f t="shared" si="6"/>
        <v>0.94456750947402801</v>
      </c>
      <c r="R145" s="373">
        <f t="shared" si="6"/>
        <v>0.91471962814716312</v>
      </c>
      <c r="S145" s="373">
        <f t="shared" si="6"/>
        <v>0.91984401738236909</v>
      </c>
      <c r="T145" s="373">
        <f t="shared" si="6"/>
        <v>0.87587116023059575</v>
      </c>
      <c r="U145" s="373">
        <f t="shared" si="6"/>
        <v>0.84921713289707723</v>
      </c>
      <c r="V145" s="373">
        <f t="shared" si="6"/>
        <v>0.876489930119837</v>
      </c>
      <c r="W145" s="373">
        <f t="shared" si="6"/>
        <v>0.85112632640286123</v>
      </c>
      <c r="X145" s="373">
        <f t="shared" si="6"/>
        <v>0.79692491866979942</v>
      </c>
      <c r="Y145" s="373">
        <f t="shared" si="6"/>
        <v>0.80313462153934145</v>
      </c>
      <c r="Z145" s="373">
        <f t="shared" si="6"/>
        <v>0.83376323766669369</v>
      </c>
      <c r="AA145" s="373">
        <f t="shared" si="6"/>
        <v>0.78790595568007937</v>
      </c>
      <c r="AB145" s="373">
        <f t="shared" si="6"/>
        <v>0.80396706350792835</v>
      </c>
      <c r="AC145" s="373">
        <f t="shared" si="6"/>
        <v>0.7699058422811903</v>
      </c>
      <c r="AD145" s="373">
        <f t="shared" si="6"/>
        <v>0.76770941612711396</v>
      </c>
      <c r="AE145" s="373">
        <f t="shared" si="6"/>
        <v>0.77687239285614518</v>
      </c>
      <c r="AF145" s="373">
        <f t="shared" si="6"/>
        <v>0.76306830950535953</v>
      </c>
      <c r="AG145" s="373">
        <f t="shared" si="6"/>
        <v>0.76870216485598952</v>
      </c>
      <c r="AH145" s="373">
        <f t="shared" si="6"/>
        <v>0.7839924508742786</v>
      </c>
      <c r="AI145" s="373">
        <f t="shared" si="6"/>
        <v>0.77287307429501784</v>
      </c>
      <c r="AJ145" s="373">
        <f t="shared" si="6"/>
        <v>0.77979328690293426</v>
      </c>
      <c r="AK145" s="373">
        <f t="shared" si="6"/>
        <v>0.78006675556290084</v>
      </c>
      <c r="AL145" s="373">
        <f t="shared" si="6"/>
        <v>0.7575536411957825</v>
      </c>
      <c r="AM145" s="373">
        <f t="shared" si="6"/>
        <v>0.78610172908940723</v>
      </c>
      <c r="AN145" s="373">
        <f t="shared" si="6"/>
        <v>0.77037670406341963</v>
      </c>
      <c r="AO145" s="373">
        <f t="shared" si="6"/>
        <v>0.79679302919425488</v>
      </c>
      <c r="AP145" s="373">
        <f t="shared" si="6"/>
        <v>0.77183988210953147</v>
      </c>
      <c r="AQ145" s="373">
        <f t="shared" si="6"/>
        <v>0.76705895945498304</v>
      </c>
      <c r="AR145" s="373">
        <f t="shared" si="6"/>
        <v>0.76834008388344932</v>
      </c>
      <c r="AS145" s="373">
        <f t="shared" si="6"/>
        <v>0.76330204710588512</v>
      </c>
      <c r="AT145" s="373">
        <f t="shared" si="6"/>
        <v>0.74073473228091313</v>
      </c>
      <c r="AU145" s="373">
        <f t="shared" si="6"/>
        <v>0.73968230492333409</v>
      </c>
      <c r="AV145" s="373">
        <f t="shared" si="6"/>
        <v>0.73790665205774641</v>
      </c>
      <c r="AW145" s="373">
        <f t="shared" si="6"/>
        <v>0.73696681851269197</v>
      </c>
      <c r="AX145" s="373">
        <f t="shared" si="6"/>
        <v>0.73556644793760384</v>
      </c>
      <c r="AY145" s="373">
        <f t="shared" si="6"/>
        <v>0.73298891172921254</v>
      </c>
      <c r="AZ145" s="373">
        <f t="shared" si="6"/>
        <v>0.7310105926990651</v>
      </c>
      <c r="BA145" s="373">
        <f t="shared" si="6"/>
        <v>0.72839716151917522</v>
      </c>
      <c r="BB145" s="373">
        <f t="shared" si="6"/>
        <v>0.72557383779181495</v>
      </c>
      <c r="BC145" s="373">
        <f t="shared" si="6"/>
        <v>0.72413100514472684</v>
      </c>
      <c r="BD145" s="373">
        <f t="shared" si="6"/>
        <v>0.72056743691515501</v>
      </c>
      <c r="BE145" s="373">
        <f t="shared" si="6"/>
        <v>0.71785443667385052</v>
      </c>
      <c r="BF145" s="373">
        <f t="shared" si="6"/>
        <v>0.71307962929139035</v>
      </c>
      <c r="BG145" s="373">
        <f t="shared" si="6"/>
        <v>0.70972111000246096</v>
      </c>
      <c r="BH145" s="373">
        <f t="shared" si="6"/>
        <v>0.70645521868095018</v>
      </c>
      <c r="BI145" s="373">
        <f t="shared" si="6"/>
        <v>0.70286112086955099</v>
      </c>
      <c r="BJ145" s="373">
        <f t="shared" si="6"/>
        <v>0.69936008340562028</v>
      </c>
      <c r="BK145" s="373">
        <f t="shared" si="6"/>
        <v>0.6971887033845523</v>
      </c>
      <c r="BL145" s="373">
        <f t="shared" si="6"/>
        <v>0.69493024450498708</v>
      </c>
      <c r="BM145" s="373">
        <f t="shared" si="6"/>
        <v>0.69262878352789514</v>
      </c>
    </row>
    <row r="146" spans="1:65" x14ac:dyDescent="0.35">
      <c r="D146" s="93"/>
      <c r="E146" s="112"/>
      <c r="F146" s="112"/>
      <c r="G146" s="112"/>
      <c r="H146" s="112"/>
    </row>
    <row r="147" spans="1:65" ht="15.5" x14ac:dyDescent="0.3">
      <c r="C147" s="1168" t="s">
        <v>252</v>
      </c>
      <c r="D147" s="1168"/>
      <c r="E147" s="1168"/>
      <c r="F147" s="1168"/>
      <c r="G147" s="1168"/>
      <c r="H147" s="1168"/>
      <c r="I147" s="1168"/>
      <c r="J147" s="1168"/>
      <c r="K147" s="1168"/>
      <c r="L147" s="1168"/>
      <c r="M147" s="1168"/>
      <c r="N147" s="1168"/>
    </row>
    <row r="148" spans="1:65" x14ac:dyDescent="0.35">
      <c r="C148" s="554" t="s">
        <v>99</v>
      </c>
      <c r="D148" s="553"/>
      <c r="E148" s="634"/>
      <c r="F148" s="634"/>
      <c r="G148" s="634"/>
      <c r="H148" s="634"/>
      <c r="I148" s="630"/>
      <c r="J148" s="630"/>
      <c r="K148" s="630"/>
      <c r="L148" s="630"/>
      <c r="M148" s="630">
        <f>IF(Calibración_BAU_USCUSS!Q149&lt;0,Calibración_BAU_USCUSS!Q149*-1, Calibración_BAU_USCUSS!Q149) *Emisiones_USCUSS!$M$65</f>
        <v>0.24720189200000006</v>
      </c>
      <c r="N148" s="630">
        <f>IF(Calibración_BAU_USCUSS!R149&lt;0,Calibración_BAU_USCUSS!R149*-1, Calibración_BAU_USCUSS!R149) *Emisiones_USCUSS!$M$65</f>
        <v>0.29002203833872481</v>
      </c>
      <c r="O148" s="630">
        <f>IF(Calibración_BAU_USCUSS!S149&lt;0,Calibración_BAU_USCUSS!S149*-1, Calibración_BAU_USCUSS!S149) *Emisiones_USCUSS!$M$65</f>
        <v>0.30023545444086225</v>
      </c>
      <c r="P148" s="630">
        <f>IF(Calibración_BAU_USCUSS!T149&lt;0,Calibración_BAU_USCUSS!T149*-1, Calibración_BAU_USCUSS!T149) *Emisiones_USCUSS!$M$65</f>
        <v>0.29795366498710962</v>
      </c>
      <c r="Q148" s="630">
        <f>IF(Calibración_BAU_USCUSS!U149&lt;0,Calibración_BAU_USCUSS!U149*-1, Calibración_BAU_USCUSS!U149) *Emisiones_USCUSS!$M$65</f>
        <v>0.29568921713321006</v>
      </c>
      <c r="R148" s="630">
        <f>IF(Calibración_BAU_USCUSS!V149&lt;0,Calibración_BAU_USCUSS!V149*-1, Calibración_BAU_USCUSS!V149) *Emisiones_USCUSS!$M$65</f>
        <v>0.29344197908299413</v>
      </c>
      <c r="S148" s="630">
        <f>IF(Calibración_BAU_USCUSS!W149&lt;0,Calibración_BAU_USCUSS!W149*-1, Calibración_BAU_USCUSS!W149) *Emisiones_USCUSS!$M$65</f>
        <v>0.29121182004196616</v>
      </c>
      <c r="T148" s="630">
        <f>IF(Calibración_BAU_USCUSS!X149&lt;0,Calibración_BAU_USCUSS!X149*-1, Calibración_BAU_USCUSS!X149) *Emisiones_USCUSS!$M$65</f>
        <v>0.28899861020964718</v>
      </c>
      <c r="U148" s="630">
        <f>IF(Calibración_BAU_USCUSS!Y149&lt;0,Calibración_BAU_USCUSS!Y149*-1, Calibración_BAU_USCUSS!Y149) *Emisiones_USCUSS!$M$65</f>
        <v>0.28680222077205508</v>
      </c>
      <c r="V148" s="630">
        <f>IF(Calibración_BAU_USCUSS!Z149&lt;0,Calibración_BAU_USCUSS!Z149*-1, Calibración_BAU_USCUSS!Z149) *Emisiones_USCUSS!$M$65</f>
        <v>0.28462252389418452</v>
      </c>
      <c r="W148" s="630">
        <f>IF(Calibración_BAU_USCUSS!AA149&lt;0,Calibración_BAU_USCUSS!AA149*-1, Calibración_BAU_USCUSS!AA149) *Emisiones_USCUSS!$M$65</f>
        <v>0.28245939271259152</v>
      </c>
      <c r="X148" s="630">
        <f>IF(Calibración_BAU_USCUSS!AB149&lt;0,Calibración_BAU_USCUSS!AB149*-1, Calibración_BAU_USCUSS!AB149) *Emisiones_USCUSS!$M$65</f>
        <v>0.28031270132797215</v>
      </c>
      <c r="Y148" s="630">
        <f>IF(Calibración_BAU_USCUSS!AC149&lt;0,Calibración_BAU_USCUSS!AC149*-1, Calibración_BAU_USCUSS!AC149) *Emisiones_USCUSS!$M$65</f>
        <v>0.2781823247978843</v>
      </c>
      <c r="Z148" s="630">
        <f>IF(Calibración_BAU_USCUSS!AD149&lt;0,Calibración_BAU_USCUSS!AD149*-1, Calibración_BAU_USCUSS!AD149) *Emisiones_USCUSS!$M$65</f>
        <v>0.2760681391294198</v>
      </c>
      <c r="AA148" s="630">
        <f>IF(Calibración_BAU_USCUSS!AE149&lt;0,Calibración_BAU_USCUSS!AE149*-1, Calibración_BAU_USCUSS!AE149) *Emisiones_USCUSS!$M$65</f>
        <v>0.2739700212720359</v>
      </c>
      <c r="AB148" s="630">
        <f>IF(Calibración_BAU_USCUSS!AF149&lt;0,Calibración_BAU_USCUSS!AF149*-1, Calibración_BAU_USCUSS!AF149) *Emisiones_USCUSS!$M$65</f>
        <v>0.27188784911036457</v>
      </c>
      <c r="AC148" s="630">
        <f>IF(Calibración_BAU_USCUSS!AG149&lt;0,Calibración_BAU_USCUSS!AG149*-1, Calibración_BAU_USCUSS!AG149) *Emisiones_USCUSS!$M$65</f>
        <v>0.26982150145712624</v>
      </c>
      <c r="AD148" s="630">
        <f>IF(Calibración_BAU_USCUSS!AH149&lt;0,Calibración_BAU_USCUSS!AH149*-1, Calibración_BAU_USCUSS!AH149) *Emisiones_USCUSS!$M$65</f>
        <v>0.26777085804605466</v>
      </c>
      <c r="AE148" s="630">
        <f>IF(Calibración_BAU_USCUSS!AI149&lt;0,Calibración_BAU_USCUSS!AI149*-1, Calibración_BAU_USCUSS!AI149) *Emisiones_USCUSS!$M$65</f>
        <v>0.26573579952490367</v>
      </c>
      <c r="AF148" s="630">
        <f>IF(Calibración_BAU_USCUSS!AJ149&lt;0,Calibración_BAU_USCUSS!AJ149*-1, Calibración_BAU_USCUSS!AJ149) *Emisiones_USCUSS!$M$65</f>
        <v>0.26371620744851487</v>
      </c>
      <c r="AG148" s="630">
        <f>IF(Calibración_BAU_USCUSS!AK149&lt;0,Calibración_BAU_USCUSS!AK149*-1, Calibración_BAU_USCUSS!AK149) *Emisiones_USCUSS!$M$65</f>
        <v>0.26171196427190685</v>
      </c>
      <c r="AH148" s="630">
        <f>IF(Calibración_BAU_USCUSS!AL149&lt;0,Calibración_BAU_USCUSS!AL149*-1, Calibración_BAU_USCUSS!AL149) *Emisiones_USCUSS!$M$65</f>
        <v>0.25972295334344142</v>
      </c>
      <c r="AI148" s="630">
        <f>IF(Calibración_BAU_USCUSS!AM149&lt;0,Calibración_BAU_USCUSS!AM149*-1, Calibración_BAU_USCUSS!AM149) *Emisiones_USCUSS!$M$65</f>
        <v>0.25774905889802818</v>
      </c>
      <c r="AJ148" s="630">
        <f>IF(Calibración_BAU_USCUSS!AN149&lt;0,Calibración_BAU_USCUSS!AN149*-1, Calibración_BAU_USCUSS!AN149) *Emisiones_USCUSS!$M$65</f>
        <v>0.25579016605040622</v>
      </c>
      <c r="AK148" s="630">
        <f>IF(Calibración_BAU_USCUSS!AO149&lt;0,Calibración_BAU_USCUSS!AO149*-1, Calibración_BAU_USCUSS!AO149) *Emisiones_USCUSS!$M$65</f>
        <v>0.25384616078841987</v>
      </c>
      <c r="AL148" s="630">
        <f>IF(Calibración_BAU_USCUSS!AP149&lt;0,Calibración_BAU_USCUSS!AP149*-1, Calibración_BAU_USCUSS!AP149) *Emisiones_USCUSS!$M$65</f>
        <v>0.25191692996642662</v>
      </c>
      <c r="AM148" s="630">
        <f>IF(Calibración_BAU_USCUSS!AQ149&lt;0,Calibración_BAU_USCUSS!AQ149*-1, Calibración_BAU_USCUSS!AQ149) *Emisiones_USCUSS!$M$65</f>
        <v>0.25000236129868258</v>
      </c>
      <c r="AN148" s="630">
        <f>IF(Calibración_BAU_USCUSS!AR149&lt;0,Calibración_BAU_USCUSS!AR149*-1, Calibración_BAU_USCUSS!AR149) *Emisiones_USCUSS!$M$65</f>
        <v>0.2481023433528167</v>
      </c>
      <c r="AO148" s="630">
        <f>IF(Calibración_BAU_USCUSS!AS149&lt;0,Calibración_BAU_USCUSS!AS149*-1, Calibración_BAU_USCUSS!AS149) *Emisiones_USCUSS!$M$65</f>
        <v>0.24621676554333105</v>
      </c>
      <c r="AP148" s="630">
        <f>IF(Calibración_BAU_USCUSS!AT149&lt;0,Calibración_BAU_USCUSS!AT149*-1, Calibración_BAU_USCUSS!AT149) *Emisiones_USCUSS!$M$65</f>
        <v>0.24434551812520119</v>
      </c>
      <c r="AQ148" s="630">
        <f>IF(Calibración_BAU_USCUSS!AU149&lt;0,Calibración_BAU_USCUSS!AU149*-1, Calibración_BAU_USCUSS!AU149) *Emisiones_USCUSS!$M$65</f>
        <v>0.24248849218745391</v>
      </c>
      <c r="AR148" s="630">
        <f>IF(Calibración_BAU_USCUSS!AV149&lt;0,Calibración_BAU_USCUSS!AV149*-1, Calibración_BAU_USCUSS!AV149) *Emisiones_USCUSS!$M$65</f>
        <v>0.24064557964682737</v>
      </c>
      <c r="AS148" s="630">
        <f>IF(Calibración_BAU_USCUSS!AW149&lt;0,Calibración_BAU_USCUSS!AW149*-1, Calibración_BAU_USCUSS!AW149) *Emisiones_USCUSS!$M$65</f>
        <v>0.23881667324151371</v>
      </c>
      <c r="AT148" s="630">
        <f>IF(Calibración_BAU_USCUSS!AX149&lt;0,Calibración_BAU_USCUSS!AX149*-1, Calibración_BAU_USCUSS!AX149) *Emisiones_USCUSS!$M$65</f>
        <v>0.23700166652487428</v>
      </c>
      <c r="AU148" s="630">
        <f>IF(Calibración_BAU_USCUSS!AY149&lt;0,Calibración_BAU_USCUSS!AY149*-1, Calibración_BAU_USCUSS!AY149) *Emisiones_USCUSS!$M$65</f>
        <v>0.23520045385928637</v>
      </c>
      <c r="AV148" s="630">
        <f>IF(Calibración_BAU_USCUSS!AZ149&lt;0,Calibración_BAU_USCUSS!AZ149*-1, Calibración_BAU_USCUSS!AZ149) *Emisiones_USCUSS!$M$65</f>
        <v>0.23341293040995703</v>
      </c>
      <c r="AW148" s="630">
        <f>IF(Calibración_BAU_USCUSS!BA149&lt;0,Calibración_BAU_USCUSS!BA149*-1, Calibración_BAU_USCUSS!BA149) *Emisiones_USCUSS!$M$65</f>
        <v>0.23163899213884154</v>
      </c>
      <c r="AX148" s="630">
        <f>IF(Calibración_BAU_USCUSS!BB149&lt;0,Calibración_BAU_USCUSS!BB149*-1, Calibración_BAU_USCUSS!BB149) *Emisiones_USCUSS!$M$65</f>
        <v>0.22987853579858325</v>
      </c>
      <c r="AY148" s="630">
        <f>IF(Calibración_BAU_USCUSS!BC149&lt;0,Calibración_BAU_USCUSS!BC149*-1, Calibración_BAU_USCUSS!BC149) *Emisiones_USCUSS!$M$65</f>
        <v>0.22813145892651449</v>
      </c>
      <c r="AZ148" s="630">
        <f>IF(Calibración_BAU_USCUSS!BD149&lt;0,Calibración_BAU_USCUSS!BD149*-1, Calibración_BAU_USCUSS!BD149) *Emisiones_USCUSS!$M$65</f>
        <v>0.22639765983867319</v>
      </c>
      <c r="BA148" s="630">
        <f>IF(Calibración_BAU_USCUSS!BE149&lt;0,Calibración_BAU_USCUSS!BE149*-1, Calibración_BAU_USCUSS!BE149) *Emisiones_USCUSS!$M$65</f>
        <v>0.22467703762390254</v>
      </c>
      <c r="BB148" s="630">
        <f>IF(Calibración_BAU_USCUSS!BF149&lt;0,Calibración_BAU_USCUSS!BF149*-1, Calibración_BAU_USCUSS!BF149) *Emisiones_USCUSS!$M$65</f>
        <v>0.22296949213796105</v>
      </c>
      <c r="BC148" s="630">
        <f>IF(Calibración_BAU_USCUSS!BG149&lt;0,Calibración_BAU_USCUSS!BG149*-1, Calibración_BAU_USCUSS!BG149) *Emisiones_USCUSS!$M$65</f>
        <v>0.22127492399770995</v>
      </c>
      <c r="BD148" s="630">
        <f>IF(Calibración_BAU_USCUSS!BH149&lt;0,Calibración_BAU_USCUSS!BH149*-1, Calibración_BAU_USCUSS!BH149) *Emisiones_USCUSS!$M$65</f>
        <v>0.21959323457532764</v>
      </c>
      <c r="BE148" s="630">
        <f>IF(Calibración_BAU_USCUSS!BI149&lt;0,Calibración_BAU_USCUSS!BI149*-1, Calibración_BAU_USCUSS!BI149) *Emisiones_USCUSS!$M$65</f>
        <v>0.21792432599255723</v>
      </c>
      <c r="BF148" s="630">
        <f>IF(Calibración_BAU_USCUSS!BJ149&lt;0,Calibración_BAU_USCUSS!BJ149*-1, Calibración_BAU_USCUSS!BJ149) *Emisiones_USCUSS!$M$65</f>
        <v>0.21626810111501474</v>
      </c>
      <c r="BG148" s="630">
        <f>IF(Calibración_BAU_USCUSS!BK149&lt;0,Calibración_BAU_USCUSS!BK149*-1, Calibración_BAU_USCUSS!BK149) *Emisiones_USCUSS!$M$65</f>
        <v>0.21462446354654044</v>
      </c>
      <c r="BH148" s="630">
        <f>IF(Calibración_BAU_USCUSS!BL149&lt;0,Calibración_BAU_USCUSS!BL149*-1, Calibración_BAU_USCUSS!BL149) *Emisiones_USCUSS!$M$65</f>
        <v>0.21299331762358398</v>
      </c>
      <c r="BI148" s="630">
        <f>IF(Calibración_BAU_USCUSS!BM149&lt;0,Calibración_BAU_USCUSS!BM149*-1, Calibración_BAU_USCUSS!BM149) *Emisiones_USCUSS!$M$65</f>
        <v>0.21137456840964405</v>
      </c>
      <c r="BJ148" s="630">
        <f>IF(Calibración_BAU_USCUSS!BN149&lt;0,Calibración_BAU_USCUSS!BN149*-1, Calibración_BAU_USCUSS!BN149) *Emisiones_USCUSS!$M$65</f>
        <v>0.20976812168972983</v>
      </c>
      <c r="BK148" s="630">
        <f>IF(Calibración_BAU_USCUSS!BO149&lt;0,Calibración_BAU_USCUSS!BO149*-1, Calibración_BAU_USCUSS!BO149) *Emisiones_USCUSS!$M$65</f>
        <v>0.20817388396488856</v>
      </c>
      <c r="BL148" s="630">
        <f>IF(Calibración_BAU_USCUSS!BP149&lt;0,Calibración_BAU_USCUSS!BP149*-1, Calibración_BAU_USCUSS!BP149) *Emisiones_USCUSS!$M$65</f>
        <v>0.20659176244675498</v>
      </c>
      <c r="BM148" s="630">
        <f>IF(Calibración_BAU_USCUSS!BQ149&lt;0,Calibración_BAU_USCUSS!BQ149*-1, Calibración_BAU_USCUSS!BQ149) *Emisiones_USCUSS!$M$65</f>
        <v>0.20502166505216107</v>
      </c>
    </row>
    <row r="149" spans="1:65" x14ac:dyDescent="0.35">
      <c r="C149" s="1167" t="s">
        <v>101</v>
      </c>
      <c r="D149" s="1153"/>
      <c r="E149" s="634"/>
      <c r="F149" s="634"/>
      <c r="G149" s="634"/>
      <c r="H149" s="634"/>
      <c r="I149" s="630"/>
      <c r="J149" s="630"/>
      <c r="K149" s="630"/>
      <c r="L149" s="630"/>
      <c r="M149" s="630">
        <f>IF(Calibración_BAU_USCUSS!Q150&lt;0,Calibración_BAU_USCUSS!Q150*-1, Calibración_BAU_USCUSS!Q150) *Emisiones_USCUSS!$M$66</f>
        <v>5.7123329400000006E-2</v>
      </c>
      <c r="N149" s="630">
        <f>IF(Calibración_BAU_USCUSS!R150&lt;0,Calibración_BAU_USCUSS!R150*-1, Calibración_BAU_USCUSS!R150) *Emisiones_USCUSS!$M$66</f>
        <v>6.3268312588618141E-7</v>
      </c>
      <c r="O149" s="630">
        <f>IF(Calibración_BAU_USCUSS!S150&lt;0,Calibración_BAU_USCUSS!S150*-1, Calibración_BAU_USCUSS!S150) *Emisiones_USCUSS!$M$66</f>
        <v>4.0702616277181518E-4</v>
      </c>
      <c r="P149" s="630">
        <f>IF(Calibración_BAU_USCUSS!T150&lt;0,Calibración_BAU_USCUSS!T150*-1, Calibración_BAU_USCUSS!T150) *Emisiones_USCUSS!$M$66</f>
        <v>2.2118676099792286E-4</v>
      </c>
      <c r="Q149" s="630">
        <f>IF(Calibración_BAU_USCUSS!U150&lt;0,Calibración_BAU_USCUSS!U150*-1, Calibración_BAU_USCUSS!U150) *Emisiones_USCUSS!$M$66</f>
        <v>1.4106770805339246E-4</v>
      </c>
      <c r="R149" s="630">
        <f>IF(Calibración_BAU_USCUSS!V150&lt;0,Calibración_BAU_USCUSS!V150*-1, Calibración_BAU_USCUSS!V150) *Emisiones_USCUSS!$M$66</f>
        <v>1.620103587544799E-4</v>
      </c>
      <c r="S149" s="630">
        <f>IF(Calibración_BAU_USCUSS!W150&lt;0,Calibración_BAU_USCUSS!W150*-1, Calibración_BAU_USCUSS!W150) *Emisiones_USCUSS!$M$66</f>
        <v>1.568328212571025E-4</v>
      </c>
      <c r="T149" s="630">
        <f>IF(Calibración_BAU_USCUSS!X150&lt;0,Calibración_BAU_USCUSS!X150*-1, Calibración_BAU_USCUSS!X150) *Emisiones_USCUSS!$M$66</f>
        <v>1.4119188399312153E-4</v>
      </c>
      <c r="U149" s="630">
        <f>IF(Calibración_BAU_USCUSS!Y150&lt;0,Calibración_BAU_USCUSS!Y150*-1, Calibración_BAU_USCUSS!Y150) *Emisiones_USCUSS!$M$66</f>
        <v>1.2030704197929109E-4</v>
      </c>
      <c r="V149" s="630">
        <f>IF(Calibración_BAU_USCUSS!Z150&lt;0,Calibración_BAU_USCUSS!Z150*-1, Calibración_BAU_USCUSS!Z150) *Emisiones_USCUSS!$M$66</f>
        <v>1.6662813545577514E-4</v>
      </c>
      <c r="W149" s="630">
        <f>IF(Calibración_BAU_USCUSS!AA150&lt;0,Calibración_BAU_USCUSS!AA150*-1, Calibración_BAU_USCUSS!AA150) *Emisiones_USCUSS!$M$66</f>
        <v>1.4895757558243186E-4</v>
      </c>
      <c r="X149" s="630">
        <f>IF(Calibración_BAU_USCUSS!AB150&lt;0,Calibración_BAU_USCUSS!AB150*-1, Calibración_BAU_USCUSS!AB150) *Emisiones_USCUSS!$M$66</f>
        <v>1.1496160029493624E-4</v>
      </c>
      <c r="Y149" s="630">
        <f>IF(Calibración_BAU_USCUSS!AC150&lt;0,Calibración_BAU_USCUSS!AC150*-1, Calibración_BAU_USCUSS!AC150) *Emisiones_USCUSS!$M$66</f>
        <v>1.2472968402869612E-4</v>
      </c>
      <c r="Z149" s="630">
        <f>IF(Calibración_BAU_USCUSS!AD150&lt;0,Calibración_BAU_USCUSS!AD150*-1, Calibración_BAU_USCUSS!AD150) *Emisiones_USCUSS!$M$66</f>
        <v>1.6591448535598562E-4</v>
      </c>
      <c r="AA149" s="630">
        <f>IF(Calibración_BAU_USCUSS!AE150&lt;0,Calibración_BAU_USCUSS!AE150*-1, Calibración_BAU_USCUSS!AE150) *Emisiones_USCUSS!$M$66</f>
        <v>1.2924276368518202E-4</v>
      </c>
      <c r="AB149" s="630">
        <f>IF(Calibración_BAU_USCUSS!AF150&lt;0,Calibración_BAU_USCUSS!AF150*-1, Calibración_BAU_USCUSS!AF150) *Emisiones_USCUSS!$M$66</f>
        <v>1.5152406589390437E-4</v>
      </c>
      <c r="AC149" s="630">
        <f>IF(Calibración_BAU_USCUSS!AG150&lt;0,Calibración_BAU_USCUSS!AG150*-1, Calibración_BAU_USCUSS!AG150) *Emisiones_USCUSS!$M$66</f>
        <v>1.2405924464119024E-4</v>
      </c>
      <c r="AD149" s="630">
        <f>IF(Calibración_BAU_USCUSS!AH150&lt;0,Calibración_BAU_USCUSS!AH150*-1, Calibración_BAU_USCUSS!AH150) *Emisiones_USCUSS!$M$66</f>
        <v>1.2397327431097767E-4</v>
      </c>
      <c r="AE149" s="630">
        <f>IF(Calibración_BAU_USCUSS!AI150&lt;0,Calibración_BAU_USCUSS!AI150*-1, Calibración_BAU_USCUSS!AI150) *Emisiones_USCUSS!$M$66</f>
        <v>1.3393191385496883E-4</v>
      </c>
      <c r="AF149" s="630">
        <f>IF(Calibración_BAU_USCUSS!AJ150&lt;0,Calibración_BAU_USCUSS!AJ150*-1, Calibración_BAU_USCUSS!AJ150) *Emisiones_USCUSS!$M$66</f>
        <v>1.1903337194181074E-4</v>
      </c>
      <c r="AG149" s="630">
        <f>IF(Calibración_BAU_USCUSS!AK150&lt;0,Calibración_BAU_USCUSS!AK150*-1, Calibración_BAU_USCUSS!AK150) *Emisiones_USCUSS!$M$66</f>
        <v>1.2292079338317241E-4</v>
      </c>
      <c r="AH149" s="630">
        <f>IF(Calibración_BAU_USCUSS!AL150&lt;0,Calibración_BAU_USCUSS!AL150*-1, Calibración_BAU_USCUSS!AL150) *Emisiones_USCUSS!$M$66</f>
        <v>1.3231211389475725E-4</v>
      </c>
      <c r="AI149" s="630">
        <f>IF(Calibración_BAU_USCUSS!AM150&lt;0,Calibración_BAU_USCUSS!AM150*-1, Calibración_BAU_USCUSS!AM150) *Emisiones_USCUSS!$M$66</f>
        <v>1.1924112333668356E-4</v>
      </c>
      <c r="AJ149" s="630">
        <f>IF(Calibración_BAU_USCUSS!AN150&lt;0,Calibración_BAU_USCUSS!AN150*-1, Calibración_BAU_USCUSS!AN150) *Emisiones_USCUSS!$M$66</f>
        <v>1.1985157489602165E-4</v>
      </c>
      <c r="AK149" s="630">
        <f>IF(Calibración_BAU_USCUSS!AO150&lt;0,Calibración_BAU_USCUSS!AO150*-1, Calibración_BAU_USCUSS!AO150) *Emisiones_USCUSS!$M$66</f>
        <v>1.1701748169081459E-4</v>
      </c>
      <c r="AL149" s="630">
        <f>IF(Calibración_BAU_USCUSS!AP150&lt;0,Calibración_BAU_USCUSS!AP150*-1, Calibración_BAU_USCUSS!AP150) *Emisiones_USCUSS!$M$66</f>
        <v>9.1891340980974852E-5</v>
      </c>
      <c r="AM149" s="630">
        <f>IF(Calibración_BAU_USCUSS!AQ150&lt;0,Calibración_BAU_USCUSS!AQ150*-1, Calibración_BAU_USCUSS!AQ150) *Emisiones_USCUSS!$M$66</f>
        <v>1.1514902991731315E-4</v>
      </c>
      <c r="AN149" s="630">
        <f>IF(Calibración_BAU_USCUSS!AR150&lt;0,Calibración_BAU_USCUSS!AR150*-1, Calibración_BAU_USCUSS!AR150) *Emisiones_USCUSS!$M$66</f>
        <v>9.7696930790505307E-5</v>
      </c>
      <c r="AO149" s="630">
        <f>IF(Calibración_BAU_USCUSS!AS150&lt;0,Calibración_BAU_USCUSS!AS150*-1, Calibración_BAU_USCUSS!AS150) *Emisiones_USCUSS!$M$66</f>
        <v>1.201619983878051E-4</v>
      </c>
      <c r="AP149" s="630">
        <f>IF(Calibración_BAU_USCUSS!AT150&lt;0,Calibración_BAU_USCUSS!AT150*-1, Calibración_BAU_USCUSS!AT150) *Emisiones_USCUSS!$M$66</f>
        <v>9.6894171496351934E-5</v>
      </c>
      <c r="AQ149" s="630">
        <f>IF(Calibración_BAU_USCUSS!AU150&lt;0,Calibración_BAU_USCUSS!AU150*-1, Calibración_BAU_USCUSS!AU150) *Emisiones_USCUSS!$M$66</f>
        <v>9.4227886729911372E-5</v>
      </c>
      <c r="AR149" s="630">
        <f>IF(Calibración_BAU_USCUSS!AV150&lt;0,Calibración_BAU_USCUSS!AV150*-1, Calibración_BAU_USCUSS!AV150) *Emisiones_USCUSS!$M$66</f>
        <v>9.5997527464032368E-5</v>
      </c>
      <c r="AS149" s="630">
        <f>IF(Calibración_BAU_USCUSS!AW150&lt;0,Calibración_BAU_USCUSS!AW150*-1, Calibración_BAU_USCUSS!AW150) *Emisiones_USCUSS!$M$66</f>
        <v>9.4998541196835543E-5</v>
      </c>
      <c r="AT149" s="630">
        <f>IF(Calibración_BAU_USCUSS!AX150&lt;0,Calibración_BAU_USCUSS!AX150*-1, Calibración_BAU_USCUSS!AX150) *Emisiones_USCUSS!$M$66</f>
        <v>1.059560163253477E-4</v>
      </c>
      <c r="AU149" s="630">
        <f>IF(Calibración_BAU_USCUSS!AY150&lt;0,Calibración_BAU_USCUSS!AY150*-1, Calibración_BAU_USCUSS!AY150) *Emisiones_USCUSS!$M$66</f>
        <v>9.4636981793210715E-5</v>
      </c>
      <c r="AV149" s="630">
        <f>IF(Calibración_BAU_USCUSS!AZ150&lt;0,Calibración_BAU_USCUSS!AZ150*-1, Calibración_BAU_USCUSS!AZ150) *Emisiones_USCUSS!$M$66</f>
        <v>9.3029874649102975E-5</v>
      </c>
      <c r="AW149" s="630">
        <f>IF(Calibración_BAU_USCUSS!BA150&lt;0,Calibración_BAU_USCUSS!BA150*-1, Calibración_BAU_USCUSS!BA150) *Emisiones_USCUSS!$M$66</f>
        <v>9.4369123382775314E-5</v>
      </c>
      <c r="AX149" s="630">
        <f>IF(Calibración_BAU_USCUSS!BB150&lt;0,Calibración_BAU_USCUSS!BB150*-1, Calibración_BAU_USCUSS!BB150) *Emisiones_USCUSS!$M$66</f>
        <v>9.3587720368178259E-5</v>
      </c>
      <c r="AY149" s="630">
        <f>IF(Calibración_BAU_USCUSS!BC150&lt;0,Calibración_BAU_USCUSS!BC150*-1, Calibración_BAU_USCUSS!BC150) *Emisiones_USCUSS!$M$66</f>
        <v>9.4507167212040555E-5</v>
      </c>
      <c r="AZ149" s="630">
        <f>IF(Calibración_BAU_USCUSS!BD150&lt;0,Calibración_BAU_USCUSS!BD150*-1, Calibración_BAU_USCUSS!BD150) *Emisiones_USCUSS!$M$66</f>
        <v>8.9946030986198046E-5</v>
      </c>
      <c r="BA149" s="630">
        <f>IF(Calibración_BAU_USCUSS!BE150&lt;0,Calibración_BAU_USCUSS!BE150*-1, Calibración_BAU_USCUSS!BE150) *Emisiones_USCUSS!$M$66</f>
        <v>8.9301028250966051E-5</v>
      </c>
      <c r="BB149" s="630">
        <f>IF(Calibración_BAU_USCUSS!BF150&lt;0,Calibración_BAU_USCUSS!BF150*-1, Calibración_BAU_USCUSS!BF150) *Emisiones_USCUSS!$M$66</f>
        <v>8.8629059217583875E-5</v>
      </c>
      <c r="BC149" s="630">
        <f>IF(Calibración_BAU_USCUSS!BG150&lt;0,Calibración_BAU_USCUSS!BG150*-1, Calibración_BAU_USCUSS!BG150) *Emisiones_USCUSS!$M$66</f>
        <v>8.756868131322708E-5</v>
      </c>
      <c r="BD149" s="630">
        <f>IF(Calibración_BAU_USCUSS!BH150&lt;0,Calibración_BAU_USCUSS!BH150*-1, Calibración_BAU_USCUSS!BH150) *Emisiones_USCUSS!$M$66</f>
        <v>8.6172854535540718E-5</v>
      </c>
      <c r="BE149" s="630">
        <f>IF(Calibración_BAU_USCUSS!BI150&lt;0,Calibración_BAU_USCUSS!BI150*-1, Calibración_BAU_USCUSS!BI150) *Emisiones_USCUSS!$M$66</f>
        <v>8.5042697083318873E-5</v>
      </c>
      <c r="BF149" s="630">
        <f>IF(Calibración_BAU_USCUSS!BJ150&lt;0,Calibración_BAU_USCUSS!BJ150*-1, Calibración_BAU_USCUSS!BJ150) *Emisiones_USCUSS!$M$66</f>
        <v>8.4028479783651314E-5</v>
      </c>
      <c r="BG149" s="630">
        <f>IF(Calibración_BAU_USCUSS!BK150&lt;0,Calibración_BAU_USCUSS!BK150*-1, Calibración_BAU_USCUSS!BK150) *Emisiones_USCUSS!$M$66</f>
        <v>8.3053419444159804E-5</v>
      </c>
      <c r="BH149" s="630">
        <f>IF(Calibración_BAU_USCUSS!BL150&lt;0,Calibración_BAU_USCUSS!BL150*-1, Calibración_BAU_USCUSS!BL150) *Emisiones_USCUSS!$M$66</f>
        <v>8.1868848136743978E-5</v>
      </c>
      <c r="BI149" s="630">
        <f>IF(Calibración_BAU_USCUSS!BM150&lt;0,Calibración_BAU_USCUSS!BM150*-1, Calibración_BAU_USCUSS!BM150) *Emisiones_USCUSS!$M$66</f>
        <v>8.0698260085919712E-5</v>
      </c>
      <c r="BJ149" s="630">
        <f>IF(Calibración_BAU_USCUSS!BN150&lt;0,Calibración_BAU_USCUSS!BN150*-1, Calibración_BAU_USCUSS!BN150) *Emisiones_USCUSS!$M$66</f>
        <v>7.9449301664271719E-5</v>
      </c>
      <c r="BK149" s="630">
        <f>IF(Calibración_BAU_USCUSS!BO150&lt;0,Calibración_BAU_USCUSS!BO150*-1, Calibración_BAU_USCUSS!BO150) *Emisiones_USCUSS!$M$66</f>
        <v>7.8388687739341492E-5</v>
      </c>
      <c r="BL149" s="630">
        <f>IF(Calibración_BAU_USCUSS!BP150&lt;0,Calibración_BAU_USCUSS!BP150*-1, Calibración_BAU_USCUSS!BP150) *Emisiones_USCUSS!$M$66</f>
        <v>7.7295313610234052E-5</v>
      </c>
      <c r="BM149" s="630">
        <f>IF(Calibración_BAU_USCUSS!BQ150&lt;0,Calibración_BAU_USCUSS!BQ150*-1, Calibración_BAU_USCUSS!BQ150) *Emisiones_USCUSS!$M$66</f>
        <v>7.6174367647797425E-5</v>
      </c>
    </row>
    <row r="150" spans="1:65" x14ac:dyDescent="0.35">
      <c r="C150" s="1167" t="s">
        <v>106</v>
      </c>
      <c r="D150" s="1153"/>
      <c r="E150" s="634"/>
      <c r="F150" s="634"/>
      <c r="G150" s="634"/>
      <c r="H150" s="634"/>
      <c r="I150" s="630"/>
      <c r="J150" s="630"/>
      <c r="K150" s="630"/>
      <c r="L150" s="630"/>
      <c r="M150" s="630">
        <f>IF(Calibración_BAU_USCUSS!Q151&lt;0,Calibración_BAU_USCUSS!Q151*-1, Calibración_BAU_USCUSS!Q151) *Emisiones_USCUSS!$M$67</f>
        <v>1.09494</v>
      </c>
      <c r="N150" s="630">
        <f>IF(Calibración_BAU_USCUSS!R151&lt;0,Calibración_BAU_USCUSS!R151*-1, Calibración_BAU_USCUSS!R151) *Emisiones_USCUSS!$M$67</f>
        <v>0.4796373746012455</v>
      </c>
      <c r="O150" s="630">
        <f>IF(Calibración_BAU_USCUSS!S151&lt;0,Calibración_BAU_USCUSS!S151*-1, Calibración_BAU_USCUSS!S151) *Emisiones_USCUSS!$M$67</f>
        <v>0.10661634473097466</v>
      </c>
      <c r="P150" s="630">
        <f>IF(Calibración_BAU_USCUSS!T151&lt;0,Calibración_BAU_USCUSS!T151*-1, Calibración_BAU_USCUSS!T151) *Emisiones_USCUSS!$M$67</f>
        <v>1.010931461068556</v>
      </c>
      <c r="Q150" s="630">
        <f>IF(Calibración_BAU_USCUSS!U151&lt;0,Calibración_BAU_USCUSS!U151*-1, Calibración_BAU_USCUSS!U151) *Emisiones_USCUSS!$M$67</f>
        <v>1.0399127618783517</v>
      </c>
      <c r="R150" s="630">
        <f>IF(Calibración_BAU_USCUSS!V151&lt;0,Calibración_BAU_USCUSS!V151*-1, Calibración_BAU_USCUSS!V151) *Emisiones_USCUSS!$M$67</f>
        <v>0.89865193438098345</v>
      </c>
      <c r="S150" s="630">
        <f>IF(Calibración_BAU_USCUSS!W151&lt;0,Calibración_BAU_USCUSS!W151*-1, Calibración_BAU_USCUSS!W151) *Emisiones_USCUSS!$M$67</f>
        <v>0.96107933359665765</v>
      </c>
      <c r="T150" s="630">
        <f>IF(Calibración_BAU_USCUSS!X151&lt;0,Calibración_BAU_USCUSS!X151*-1, Calibración_BAU_USCUSS!X151) *Emisiones_USCUSS!$M$67</f>
        <v>0.7366422588457372</v>
      </c>
      <c r="U150" s="630">
        <f>IF(Calibración_BAU_USCUSS!Y151&lt;0,Calibración_BAU_USCUSS!Y151*-1, Calibración_BAU_USCUSS!Y151) *Emisiones_USCUSS!$M$67</f>
        <v>0.61291682419191662</v>
      </c>
      <c r="V150" s="630">
        <f>IF(Calibración_BAU_USCUSS!Z151&lt;0,Calibración_BAU_USCUSS!Z151*-1, Calibración_BAU_USCUSS!Z151) *Emisiones_USCUSS!$M$67</f>
        <v>0.80397397339339294</v>
      </c>
      <c r="W150" s="630">
        <f>IF(Calibración_BAU_USCUSS!AA151&lt;0,Calibración_BAU_USCUSS!AA151*-1, Calibración_BAU_USCUSS!AA151) *Emisiones_USCUSS!$M$67</f>
        <v>0.68721777903916936</v>
      </c>
      <c r="X150" s="630">
        <f>IF(Calibración_BAU_USCUSS!AB151&lt;0,Calibración_BAU_USCUSS!AB151*-1, Calibración_BAU_USCUSS!AB151) *Emisiones_USCUSS!$M$67</f>
        <v>0.40182473386850409</v>
      </c>
      <c r="Y150" s="630">
        <f>IF(Calibración_BAU_USCUSS!AC151&lt;0,Calibración_BAU_USCUSS!AC151*-1, Calibración_BAU_USCUSS!AC151) *Emisiones_USCUSS!$M$67</f>
        <v>0.46889188829419232</v>
      </c>
      <c r="Z150" s="630">
        <f>IF(Calibración_BAU_USCUSS!AD151&lt;0,Calibración_BAU_USCUSS!AD151*-1, Calibración_BAU_USCUSS!AD151) *Emisiones_USCUSS!$M$67</f>
        <v>0.67834781184078186</v>
      </c>
      <c r="AA150" s="630">
        <f>IF(Calibración_BAU_USCUSS!AE151&lt;0,Calibración_BAU_USCUSS!AE151*-1, Calibración_BAU_USCUSS!AE151) *Emisiones_USCUSS!$M$67</f>
        <v>0.44074121398701904</v>
      </c>
      <c r="AB150" s="630">
        <f>IF(Calibración_BAU_USCUSS!AF151&lt;0,Calibración_BAU_USCUSS!AF151*-1, Calibración_BAU_USCUSS!AF151) *Emisiones_USCUSS!$M$67</f>
        <v>0.5644979142025317</v>
      </c>
      <c r="AC150" s="630">
        <f>IF(Calibración_BAU_USCUSS!AG151&lt;0,Calibración_BAU_USCUSS!AG151*-1, Calibración_BAU_USCUSS!AG151) *Emisiones_USCUSS!$M$67</f>
        <v>0.39522285530073792</v>
      </c>
      <c r="AD150" s="630">
        <f>IF(Calibración_BAU_USCUSS!AH151&lt;0,Calibración_BAU_USCUSS!AH151*-1, Calibración_BAU_USCUSS!AH151) *Emisiones_USCUSS!$M$67</f>
        <v>0.41176961382296606</v>
      </c>
      <c r="AE150" s="630">
        <f>IF(Calibración_BAU_USCUSS!AI151&lt;0,Calibración_BAU_USCUSS!AI151*-1, Calibración_BAU_USCUSS!AI151) *Emisiones_USCUSS!$M$67</f>
        <v>0.4944038013746499</v>
      </c>
      <c r="AF150" s="630">
        <f>IF(Calibración_BAU_USCUSS!AJ151&lt;0,Calibración_BAU_USCUSS!AJ151*-1, Calibración_BAU_USCUSS!AJ151) *Emisiones_USCUSS!$M$67</f>
        <v>0.44258707682695952</v>
      </c>
      <c r="AG150" s="630">
        <f>IF(Calibración_BAU_USCUSS!AK151&lt;0,Calibración_BAU_USCUSS!AK151*-1, Calibración_BAU_USCUSS!AK151) *Emisiones_USCUSS!$M$67</f>
        <v>0.50406063139680912</v>
      </c>
      <c r="AH150" s="630">
        <f>IF(Calibración_BAU_USCUSS!AL151&lt;0,Calibración_BAU_USCUSS!AL151*-1, Calibración_BAU_USCUSS!AL151) *Emisiones_USCUSS!$M$67</f>
        <v>0.62165203456027029</v>
      </c>
      <c r="AI150" s="630">
        <f>IF(Calibración_BAU_USCUSS!AM151&lt;0,Calibración_BAU_USCUSS!AM151*-1, Calibración_BAU_USCUSS!AM151) *Emisiones_USCUSS!$M$67</f>
        <v>0.5847483954332201</v>
      </c>
      <c r="AJ150" s="630">
        <f>IF(Calibración_BAU_USCUSS!AN151&lt;0,Calibración_BAU_USCUSS!AN151*-1, Calibración_BAU_USCUSS!AN151) *Emisiones_USCUSS!$M$67</f>
        <v>0.6529719257823553</v>
      </c>
      <c r="AK150" s="630">
        <f>IF(Calibración_BAU_USCUSS!AO151&lt;0,Calibración_BAU_USCUSS!AO151*-1, Calibración_BAU_USCUSS!AO151) *Emisiones_USCUSS!$M$67</f>
        <v>0.68214872967920936</v>
      </c>
      <c r="AL150" s="630">
        <f>IF(Calibración_BAU_USCUSS!AP151&lt;0,Calibración_BAU_USCUSS!AP151*-1, Calibración_BAU_USCUSS!AP151) *Emisiones_USCUSS!$M$67</f>
        <v>0.57797471831045777</v>
      </c>
      <c r="AM150" s="630">
        <f>IF(Calibración_BAU_USCUSS!AQ151&lt;0,Calibración_BAU_USCUSS!AQ151*-1, Calibración_BAU_USCUSS!AQ151) *Emisiones_USCUSS!$M$67</f>
        <v>0.77182577713219069</v>
      </c>
      <c r="AN150" s="630">
        <f>IF(Calibración_BAU_USCUSS!AR151&lt;0,Calibración_BAU_USCUSS!AR151*-1, Calibración_BAU_USCUSS!AR151) *Emisiones_USCUSS!$M$67</f>
        <v>0.70683784934008353</v>
      </c>
      <c r="AO150" s="630">
        <f>IF(Calibración_BAU_USCUSS!AS151&lt;0,Calibración_BAU_USCUSS!AS151*-1, Calibración_BAU_USCUSS!AS151) *Emisiones_USCUSS!$M$67</f>
        <v>0.88777641572277299</v>
      </c>
      <c r="AP150" s="630">
        <f>IF(Calibración_BAU_USCUSS!AT151&lt;0,Calibración_BAU_USCUSS!AT151*-1, Calibración_BAU_USCUSS!AT151) *Emisiones_USCUSS!$M$67</f>
        <v>0.76848928006691586</v>
      </c>
      <c r="AQ150" s="630">
        <f>IF(Calibración_BAU_USCUSS!AU151&lt;0,Calibración_BAU_USCUSS!AU151*-1, Calibración_BAU_USCUSS!AU151) *Emisiones_USCUSS!$M$67</f>
        <v>0.76678011169226357</v>
      </c>
      <c r="AR150" s="630">
        <f>IF(Calibración_BAU_USCUSS!AV151&lt;0,Calibración_BAU_USCUSS!AV151*-1, Calibración_BAU_USCUSS!AV151) *Emisiones_USCUSS!$M$67</f>
        <v>0.80028608219439401</v>
      </c>
      <c r="AS150" s="630">
        <f>IF(Calibración_BAU_USCUSS!AW151&lt;0,Calibración_BAU_USCUSS!AW151*-1, Calibración_BAU_USCUSS!AW151) *Emisiones_USCUSS!$M$67</f>
        <v>0.7967166240915351</v>
      </c>
      <c r="AT150" s="630">
        <f>IF(Calibración_BAU_USCUSS!AX151&lt;0,Calibración_BAU_USCUSS!AX151*-1, Calibración_BAU_USCUSS!AX151) *Emisiones_USCUSS!$M$67</f>
        <v>0.69066133439218458</v>
      </c>
      <c r="AU150" s="630">
        <f>IF(Calibración_BAU_USCUSS!AY151&lt;0,Calibración_BAU_USCUSS!AY151*-1, Calibración_BAU_USCUSS!AY151) *Emisiones_USCUSS!$M$67</f>
        <v>0.70983994310688314</v>
      </c>
      <c r="AV150" s="630">
        <f>IF(Calibración_BAU_USCUSS!AZ151&lt;0,Calibración_BAU_USCUSS!AZ151*-1, Calibración_BAU_USCUSS!AZ151) *Emisiones_USCUSS!$M$67</f>
        <v>0.72461495718919655</v>
      </c>
      <c r="AW150" s="630">
        <f>IF(Calibración_BAU_USCUSS!BA151&lt;0,Calibración_BAU_USCUSS!BA151*-1, Calibración_BAU_USCUSS!BA151) *Emisiones_USCUSS!$M$67</f>
        <v>0.74405645599827031</v>
      </c>
      <c r="AX150" s="630">
        <f>IF(Calibración_BAU_USCUSS!BB151&lt;0,Calibración_BAU_USCUSS!BB151*-1, Calibración_BAU_USCUSS!BB151) *Emisiones_USCUSS!$M$67</f>
        <v>0.76057720740684476</v>
      </c>
      <c r="AY150" s="630">
        <f>IF(Calibración_BAU_USCUSS!BC151&lt;0,Calibración_BAU_USCUSS!BC151*-1, Calibración_BAU_USCUSS!BC151) *Emisiones_USCUSS!$M$67</f>
        <v>0.77001551067629626</v>
      </c>
      <c r="AZ150" s="630">
        <f>IF(Calibración_BAU_USCUSS!BD151&lt;0,Calibración_BAU_USCUSS!BD151*-1, Calibración_BAU_USCUSS!BD151) *Emisiones_USCUSS!$M$67</f>
        <v>0.78270803545285061</v>
      </c>
      <c r="BA150" s="630">
        <f>IF(Calibración_BAU_USCUSS!BE151&lt;0,Calibración_BAU_USCUSS!BE151*-1, Calibración_BAU_USCUSS!BE151) *Emisiones_USCUSS!$M$67</f>
        <v>0.791497923917858</v>
      </c>
      <c r="BB150" s="630">
        <f>IF(Calibración_BAU_USCUSS!BF151&lt;0,Calibración_BAU_USCUSS!BF151*-1, Calibración_BAU_USCUSS!BF151) *Emisiones_USCUSS!$M$67</f>
        <v>0.79885120566634038</v>
      </c>
      <c r="BC150" s="630">
        <f>IF(Calibración_BAU_USCUSS!BG151&lt;0,Calibración_BAU_USCUSS!BG151*-1, Calibración_BAU_USCUSS!BG151) *Emisiones_USCUSS!$M$67</f>
        <v>0.81405124168025034</v>
      </c>
      <c r="BD150" s="630">
        <f>IF(Calibración_BAU_USCUSS!BH151&lt;0,Calibración_BAU_USCUSS!BH151*-1, Calibración_BAU_USCUSS!BH151) *Emisiones_USCUSS!$M$67</f>
        <v>0.8166665274922954</v>
      </c>
      <c r="BE150" s="630">
        <f>IF(Calibración_BAU_USCUSS!BI151&lt;0,Calibración_BAU_USCUSS!BI151*-1, Calibración_BAU_USCUSS!BI151) *Emisiones_USCUSS!$M$67</f>
        <v>0.82404465135529859</v>
      </c>
      <c r="BF150" s="630">
        <f>IF(Calibración_BAU_USCUSS!BJ151&lt;0,Calibración_BAU_USCUSS!BJ151*-1, Calibración_BAU_USCUSS!BJ151) *Emisiones_USCUSS!$M$67</f>
        <v>0.81918997793518089</v>
      </c>
      <c r="BG150" s="630">
        <f>IF(Calibración_BAU_USCUSS!BK151&lt;0,Calibración_BAU_USCUSS!BK151*-1, Calibración_BAU_USCUSS!BK151) *Emisiones_USCUSS!$M$67</f>
        <v>0.8224047812615134</v>
      </c>
      <c r="BH150" s="630">
        <f>IF(Calibración_BAU_USCUSS!BL151&lt;0,Calibración_BAU_USCUSS!BL151*-1, Calibración_BAU_USCUSS!BL151) *Emisiones_USCUSS!$M$67</f>
        <v>0.82596541497438236</v>
      </c>
      <c r="BI150" s="630">
        <f>IF(Calibración_BAU_USCUSS!BM151&lt;0,Calibración_BAU_USCUSS!BM151*-1, Calibración_BAU_USCUSS!BM151) *Emisiones_USCUSS!$M$67</f>
        <v>0.82741975478787377</v>
      </c>
      <c r="BJ150" s="630">
        <f>IF(Calibración_BAU_USCUSS!BN151&lt;0,Calibración_BAU_USCUSS!BN151*-1, Calibración_BAU_USCUSS!BN151) *Emisiones_USCUSS!$M$67</f>
        <v>0.82922906284468734</v>
      </c>
      <c r="BK150" s="630">
        <f>IF(Calibración_BAU_USCUSS!BO151&lt;0,Calibración_BAU_USCUSS!BO151*-1, Calibración_BAU_USCUSS!BO151) *Emisiones_USCUSS!$M$67</f>
        <v>0.8386149251607099</v>
      </c>
      <c r="BL150" s="630">
        <f>IF(Calibración_BAU_USCUSS!BP151&lt;0,Calibración_BAU_USCUSS!BP151*-1, Calibración_BAU_USCUSS!BP151) *Emisiones_USCUSS!$M$67</f>
        <v>0.84731062963965154</v>
      </c>
      <c r="BM150" s="630">
        <f>IF(Calibración_BAU_USCUSS!BQ151&lt;0,Calibración_BAU_USCUSS!BQ151*-1, Calibración_BAU_USCUSS!BQ151) *Emisiones_USCUSS!$M$67</f>
        <v>0.85557647484672883</v>
      </c>
    </row>
    <row r="151" spans="1:65" x14ac:dyDescent="0.35">
      <c r="C151" s="1169" t="s">
        <v>146</v>
      </c>
      <c r="D151" s="1159"/>
      <c r="E151" s="634"/>
      <c r="F151" s="634"/>
      <c r="G151" s="634"/>
      <c r="H151" s="634"/>
      <c r="I151" s="630"/>
      <c r="J151" s="630"/>
      <c r="K151" s="630"/>
      <c r="L151" s="630"/>
      <c r="M151" s="630">
        <f>IF(Calibración_BAU_USCUSS!Q152&lt;0,Calibración_BAU_USCUSS!Q152*-1, Calibración_BAU_USCUSS!Q152) *Emisiones_USCUSS!$M$68</f>
        <v>0</v>
      </c>
      <c r="N151" s="630">
        <f>IF(Calibración_BAU_USCUSS!R152&lt;0,Calibración_BAU_USCUSS!R152*-1, Calibración_BAU_USCUSS!R152) *Emisiones_USCUSS!$M$68</f>
        <v>0.44664816416366493</v>
      </c>
      <c r="O151" s="630">
        <f>IF(Calibración_BAU_USCUSS!S152&lt;0,Calibración_BAU_USCUSS!S152*-1, Calibración_BAU_USCUSS!S152) *Emisiones_USCUSS!$M$68</f>
        <v>1.0798673488147974</v>
      </c>
      <c r="P151" s="630">
        <f>IF(Calibración_BAU_USCUSS!T152&lt;0,Calibración_BAU_USCUSS!T152*-1, Calibración_BAU_USCUSS!T152) *Emisiones_USCUSS!$M$68</f>
        <v>0.59959233237833998</v>
      </c>
      <c r="Q151" s="630">
        <f>IF(Calibración_BAU_USCUSS!U152&lt;0,Calibración_BAU_USCUSS!U152*-1, Calibración_BAU_USCUSS!U152) *Emisiones_USCUSS!$M$68</f>
        <v>0.57634321117701348</v>
      </c>
      <c r="R151" s="630">
        <f>IF(Calibración_BAU_USCUSS!V152&lt;0,Calibración_BAU_USCUSS!V152*-1, Calibración_BAU_USCUSS!V152) *Emisiones_USCUSS!$M$68</f>
        <v>0.6416862169335853</v>
      </c>
      <c r="S151" s="630">
        <f>IF(Calibración_BAU_USCUSS!W152&lt;0,Calibración_BAU_USCUSS!W152*-1, Calibración_BAU_USCUSS!W152) *Emisiones_USCUSS!$M$68</f>
        <v>0.60119928607545192</v>
      </c>
      <c r="T151" s="630">
        <f>IF(Calibración_BAU_USCUSS!X152&lt;0,Calibración_BAU_USCUSS!X152*-1, Calibración_BAU_USCUSS!X152) *Emisiones_USCUSS!$M$68</f>
        <v>0.710079621394754</v>
      </c>
      <c r="U151" s="630">
        <f>IF(Calibración_BAU_USCUSS!Y152&lt;0,Calibración_BAU_USCUSS!Y152*-1, Calibración_BAU_USCUSS!Y152) *Emisiones_USCUSS!$M$68</f>
        <v>0.76667934032753393</v>
      </c>
      <c r="V151" s="630">
        <f>IF(Calibración_BAU_USCUSS!Z152&lt;0,Calibración_BAU_USCUSS!Z152*-1, Calibración_BAU_USCUSS!Z152) *Emisiones_USCUSS!$M$68</f>
        <v>0.65937419850267942</v>
      </c>
      <c r="W151" s="630">
        <f>IF(Calibración_BAU_USCUSS!AA152&lt;0,Calibración_BAU_USCUSS!AA152*-1, Calibración_BAU_USCUSS!AA152) *Emisiones_USCUSS!$M$68</f>
        <v>0.71250506024839688</v>
      </c>
      <c r="X151" s="630">
        <f>IF(Calibración_BAU_USCUSS!AB152&lt;0,Calibración_BAU_USCUSS!AB152*-1, Calibración_BAU_USCUSS!AB152) *Emisiones_USCUSS!$M$68</f>
        <v>0.85349497859736179</v>
      </c>
      <c r="Y151" s="630">
        <f>IF(Calibración_BAU_USCUSS!AC152&lt;0,Calibración_BAU_USCUSS!AC152*-1, Calibración_BAU_USCUSS!AC152) *Emisiones_USCUSS!$M$68</f>
        <v>0.81106877092575758</v>
      </c>
      <c r="Z151" s="630">
        <f>IF(Calibración_BAU_USCUSS!AD152&lt;0,Calibración_BAU_USCUSS!AD152*-1, Calibración_BAU_USCUSS!AD152) *Emisiones_USCUSS!$M$68</f>
        <v>0.69454456611049553</v>
      </c>
      <c r="AA151" s="630">
        <f>IF(Calibración_BAU_USCUSS!AE152&lt;0,Calibración_BAU_USCUSS!AE152*-1, Calibración_BAU_USCUSS!AE152) *Emisiones_USCUSS!$M$68</f>
        <v>0.81094830504974336</v>
      </c>
      <c r="AB151" s="630">
        <f>IF(Calibración_BAU_USCUSS!AF152&lt;0,Calibración_BAU_USCUSS!AF152*-1, Calibración_BAU_USCUSS!AF152) *Emisiones_USCUSS!$M$68</f>
        <v>0.73924571964882368</v>
      </c>
      <c r="AC151" s="630">
        <f>IF(Calibración_BAU_USCUSS!AG152&lt;0,Calibración_BAU_USCUSS!AG152*-1, Calibración_BAU_USCUSS!AG152) *Emisiones_USCUSS!$M$68</f>
        <v>0.82023057363957008</v>
      </c>
      <c r="AD151" s="630">
        <f>IF(Calibración_BAU_USCUSS!AH152&lt;0,Calibración_BAU_USCUSS!AH152*-1, Calibración_BAU_USCUSS!AH152) *Emisiones_USCUSS!$M$68</f>
        <v>0.80453257282815072</v>
      </c>
      <c r="AE151" s="630">
        <f>IF(Calibración_BAU_USCUSS!AI152&lt;0,Calibración_BAU_USCUSS!AI152*-1, Calibración_BAU_USCUSS!AI152) *Emisiones_USCUSS!$M$68</f>
        <v>0.75449026795341712</v>
      </c>
      <c r="AF151" s="630">
        <f>IF(Calibración_BAU_USCUSS!AJ152&lt;0,Calibración_BAU_USCUSS!AJ152*-1, Calibración_BAU_USCUSS!AJ152) *Emisiones_USCUSS!$M$68</f>
        <v>0.77456465789216622</v>
      </c>
      <c r="AG151" s="630">
        <f>IF(Calibración_BAU_USCUSS!AK152&lt;0,Calibración_BAU_USCUSS!AK152*-1, Calibración_BAU_USCUSS!AK152) *Emisiones_USCUSS!$M$68</f>
        <v>0.73570376944994254</v>
      </c>
      <c r="AH151" s="630">
        <f>IF(Calibración_BAU_USCUSS!AL152&lt;0,Calibración_BAU_USCUSS!AL152*-1, Calibración_BAU_USCUSS!AL152) *Emisiones_USCUSS!$M$68</f>
        <v>0.6677045036184388</v>
      </c>
      <c r="AI151" s="630">
        <f>IF(Calibración_BAU_USCUSS!AM152&lt;0,Calibración_BAU_USCUSS!AM152*-1, Calibración_BAU_USCUSS!AM152) *Emisiones_USCUSS!$M$68</f>
        <v>0.68022786270370628</v>
      </c>
      <c r="AJ151" s="630">
        <f>IF(Calibración_BAU_USCUSS!AN152&lt;0,Calibración_BAU_USCUSS!AN152*-1, Calibración_BAU_USCUSS!AN152) *Emisiones_USCUSS!$M$68</f>
        <v>0.63806751785512172</v>
      </c>
      <c r="AK151" s="630">
        <f>IF(Calibración_BAU_USCUSS!AO152&lt;0,Calibración_BAU_USCUSS!AO152*-1, Calibración_BAU_USCUSS!AO152) *Emisiones_USCUSS!$M$68</f>
        <v>0.61629822750924468</v>
      </c>
      <c r="AL151" s="630">
        <f>IF(Calibración_BAU_USCUSS!AP152&lt;0,Calibración_BAU_USCUSS!AP152*-1, Calibración_BAU_USCUSS!AP152) *Emisiones_USCUSS!$M$68</f>
        <v>0.66405122786407444</v>
      </c>
      <c r="AM151" s="630">
        <f>IF(Calibración_BAU_USCUSS!AQ152&lt;0,Calibración_BAU_USCUSS!AQ152*-1, Calibración_BAU_USCUSS!AQ152) *Emisiones_USCUSS!$M$68</f>
        <v>0.55664964426757158</v>
      </c>
      <c r="AN151" s="630">
        <f>IF(Calibración_BAU_USCUSS!AR152&lt;0,Calibración_BAU_USCUSS!AR152*-1, Calibración_BAU_USCUSS!AR152) *Emisiones_USCUSS!$M$68</f>
        <v>0.58411759273190933</v>
      </c>
      <c r="AO151" s="630">
        <f>IF(Calibración_BAU_USCUSS!AS152&lt;0,Calibración_BAU_USCUSS!AS152*-1, Calibración_BAU_USCUSS!AS152) *Emisiones_USCUSS!$M$68</f>
        <v>0.48356368557012364</v>
      </c>
      <c r="AP151" s="630">
        <f>IF(Calibración_BAU_USCUSS!AT152&lt;0,Calibración_BAU_USCUSS!AT152*-1, Calibración_BAU_USCUSS!AT152) *Emisiones_USCUSS!$M$68</f>
        <v>0.53940180986037523</v>
      </c>
      <c r="AQ151" s="630">
        <f>IF(Calibración_BAU_USCUSS!AU152&lt;0,Calibración_BAU_USCUSS!AU152*-1, Calibración_BAU_USCUSS!AU152) *Emisiones_USCUSS!$M$68</f>
        <v>0.53407620893040042</v>
      </c>
      <c r="AR151" s="630">
        <f>IF(Calibración_BAU_USCUSS!AV152&lt;0,Calibración_BAU_USCUSS!AV152*-1, Calibración_BAU_USCUSS!AV152) *Emisiones_USCUSS!$M$68</f>
        <v>0.51045513647332197</v>
      </c>
      <c r="AS151" s="630">
        <f>IF(Calibración_BAU_USCUSS!AW152&lt;0,Calibración_BAU_USCUSS!AW152*-1, Calibración_BAU_USCUSS!AW152) *Emisiones_USCUSS!$M$68</f>
        <v>0.50617231157470333</v>
      </c>
      <c r="AT151" s="630">
        <f>IF(Calibración_BAU_USCUSS!AX152&lt;0,Calibración_BAU_USCUSS!AX152*-1, Calibración_BAU_USCUSS!AX152) *Emisiones_USCUSS!$M$68</f>
        <v>0.55525116001682473</v>
      </c>
      <c r="AU151" s="630">
        <f>IF(Calibración_BAU_USCUSS!AY152&lt;0,Calibración_BAU_USCUSS!AY152*-1, Calibración_BAU_USCUSS!AY152) *Emisiones_USCUSS!$M$68</f>
        <v>0.53929000612978817</v>
      </c>
      <c r="AV151" s="630">
        <f>IF(Calibración_BAU_USCUSS!AZ152&lt;0,Calibración_BAU_USCUSS!AZ152*-1, Calibración_BAU_USCUSS!AZ152) *Emisiones_USCUSS!$M$68</f>
        <v>0.52565751896003665</v>
      </c>
      <c r="AW151" s="630">
        <f>IF(Calibración_BAU_USCUSS!BA152&lt;0,Calibración_BAU_USCUSS!BA152*-1, Calibración_BAU_USCUSS!BA152) *Emisiones_USCUSS!$M$68</f>
        <v>0.5096515376243943</v>
      </c>
      <c r="AX151" s="630">
        <f>IF(Calibración_BAU_USCUSS!BB152&lt;0,Calibración_BAU_USCUSS!BB152*-1, Calibración_BAU_USCUSS!BB152) *Emisiones_USCUSS!$M$68</f>
        <v>0.49523289419202116</v>
      </c>
      <c r="AY151" s="630">
        <f>IF(Calibración_BAU_USCUSS!BC152&lt;0,Calibración_BAU_USCUSS!BC152*-1, Calibración_BAU_USCUSS!BC152) *Emisiones_USCUSS!$M$68</f>
        <v>0.48455566383831783</v>
      </c>
      <c r="AZ151" s="630">
        <f>IF(Calibración_BAU_USCUSS!BD152&lt;0,Calibración_BAU_USCUSS!BD152*-1, Calibración_BAU_USCUSS!BD152) *Emisiones_USCUSS!$M$68</f>
        <v>0.47225970235987497</v>
      </c>
      <c r="BA151" s="630">
        <f>IF(Calibración_BAU_USCUSS!BE152&lt;0,Calibración_BAU_USCUSS!BE152*-1, Calibración_BAU_USCUSS!BE152) *Emisiones_USCUSS!$M$68</f>
        <v>0.4620423689987056</v>
      </c>
      <c r="BB151" s="630">
        <f>IF(Calibración_BAU_USCUSS!BF152&lt;0,Calibración_BAU_USCUSS!BF152*-1, Calibración_BAU_USCUSS!BF152) *Emisiones_USCUSS!$M$68</f>
        <v>0.45263014549913744</v>
      </c>
      <c r="BC151" s="630">
        <f>IF(Calibración_BAU_USCUSS!BG152&lt;0,Calibración_BAU_USCUSS!BG152*-1, Calibración_BAU_USCUSS!BG152) *Emisiones_USCUSS!$M$68</f>
        <v>0.43919231946547466</v>
      </c>
      <c r="BD151" s="630">
        <f>IF(Calibración_BAU_USCUSS!BH152&lt;0,Calibración_BAU_USCUSS!BH152*-1, Calibración_BAU_USCUSS!BH152) *Emisiones_USCUSS!$M$68</f>
        <v>0.43235918965958797</v>
      </c>
      <c r="BE151" s="630">
        <f>IF(Calibración_BAU_USCUSS!BI152&lt;0,Calibración_BAU_USCUSS!BI152*-1, Calibración_BAU_USCUSS!BI152) *Emisiones_USCUSS!$M$68</f>
        <v>0.42310116451390289</v>
      </c>
      <c r="BF151" s="630">
        <f>IF(Calibración_BAU_USCUSS!BJ152&lt;0,Calibración_BAU_USCUSS!BJ152*-1, Calibración_BAU_USCUSS!BJ152) *Emisiones_USCUSS!$M$68</f>
        <v>0.42026121587169479</v>
      </c>
      <c r="BG151" s="630">
        <f>IF(Calibración_BAU_USCUSS!BK152&lt;0,Calibración_BAU_USCUSS!BK152*-1, Calibración_BAU_USCUSS!BK152) *Emisiones_USCUSS!$M$68</f>
        <v>0.41327410810603687</v>
      </c>
      <c r="BH151" s="630">
        <f>IF(Calibración_BAU_USCUSS!BL152&lt;0,Calibración_BAU_USCUSS!BL152*-1, Calibración_BAU_USCUSS!BL152) *Emisiones_USCUSS!$M$68</f>
        <v>0.40615837619512501</v>
      </c>
      <c r="BI151" s="630">
        <f>IF(Calibración_BAU_USCUSS!BM152&lt;0,Calibración_BAU_USCUSS!BM152*-1, Calibración_BAU_USCUSS!BM152) *Emisiones_USCUSS!$M$68</f>
        <v>0.40018821667283982</v>
      </c>
      <c r="BJ151" s="630">
        <f>IF(Calibración_BAU_USCUSS!BN152&lt;0,Calibración_BAU_USCUSS!BN152*-1, Calibración_BAU_USCUSS!BN152) *Emisiones_USCUSS!$M$68</f>
        <v>0.39408199567060609</v>
      </c>
      <c r="BK151" s="630">
        <f>IF(Calibración_BAU_USCUSS!BO152&lt;0,Calibración_BAU_USCUSS!BO152*-1, Calibración_BAU_USCUSS!BO152) *Emisiones_USCUSS!$M$68</f>
        <v>0.38408005365808012</v>
      </c>
      <c r="BL151" s="630">
        <f>IF(Calibración_BAU_USCUSS!BP152&lt;0,Calibración_BAU_USCUSS!BP152*-1, Calibración_BAU_USCUSS!BP152) *Emisiones_USCUSS!$M$68</f>
        <v>0.37448340529480861</v>
      </c>
      <c r="BM151" s="630">
        <f>IF(Calibración_BAU_USCUSS!BQ152&lt;0,Calibración_BAU_USCUSS!BQ152*-1, Calibración_BAU_USCUSS!BQ152) *Emisiones_USCUSS!$M$68</f>
        <v>0.36515540514715084</v>
      </c>
    </row>
    <row r="152" spans="1:65" s="939" customFormat="1" x14ac:dyDescent="0.35">
      <c r="A152" s="937"/>
      <c r="B152" s="938"/>
      <c r="C152" s="1166" t="s">
        <v>102</v>
      </c>
      <c r="D152" s="1157"/>
      <c r="E152" s="940"/>
      <c r="F152" s="940"/>
      <c r="G152" s="940"/>
      <c r="H152" s="940"/>
      <c r="M152" s="939">
        <f>IF(Calibración_BAU_USCUSS!Q153&lt;0,Calibración_BAU_USCUSS!Q153*-1,Calibración_BAU_USCUSS!Q153) *Emisiones_USCUSS!$M$69</f>
        <v>3.8602667599999994E-2</v>
      </c>
      <c r="N152" s="939">
        <f>IF(Calibración_BAU_USCUSS!R153&lt;0,Calibración_BAU_USCUSS!R153*-1,Calibración_BAU_USCUSS!R153) *Emisiones_USCUSS!$M$69</f>
        <v>1.3735492132895709E-2</v>
      </c>
      <c r="O152" s="939">
        <f>IF(Calibración_BAU_USCUSS!S153&lt;0,Calibración_BAU_USCUSS!S153*-1,Calibración_BAU_USCUSS!S153) *Emisiones_USCUSS!$M$69</f>
        <v>1.4370904587458915E-2</v>
      </c>
      <c r="P152" s="939">
        <f>IF(Calibración_BAU_USCUSS!T153&lt;0,Calibración_BAU_USCUSS!T153*-1,Calibración_BAU_USCUSS!T153) *Emisiones_USCUSS!$M$69</f>
        <v>1.4370904587458915E-2</v>
      </c>
      <c r="Q152" s="939">
        <f>IF(Calibración_BAU_USCUSS!U153&lt;0,Calibración_BAU_USCUSS!U153*-1,Calibración_BAU_USCUSS!U153) *Emisiones_USCUSS!$M$69</f>
        <v>1.4370904587458915E-2</v>
      </c>
      <c r="R152" s="939">
        <f>IF(Calibración_BAU_USCUSS!V153&lt;0,Calibración_BAU_USCUSS!V153*-1,Calibración_BAU_USCUSS!V153) *Emisiones_USCUSS!$M$69</f>
        <v>1.4370904587458915E-2</v>
      </c>
      <c r="S152" s="939">
        <f>IF(Calibración_BAU_USCUSS!W153&lt;0,Calibración_BAU_USCUSS!W153*-1,Calibración_BAU_USCUSS!W153) *Emisiones_USCUSS!$M$69</f>
        <v>1.4370904587459815E-2</v>
      </c>
      <c r="T152" s="939">
        <f>IF(Calibración_BAU_USCUSS!X153&lt;0,Calibración_BAU_USCUSS!X153*-1,Calibración_BAU_USCUSS!X153) *Emisiones_USCUSS!$M$69</f>
        <v>1.4370904587458915E-2</v>
      </c>
      <c r="U152" s="939">
        <f>IF(Calibración_BAU_USCUSS!Y153&lt;0,Calibración_BAU_USCUSS!Y153*-1,Calibración_BAU_USCUSS!Y153) *Emisiones_USCUSS!$M$69</f>
        <v>1.4370904587458915E-2</v>
      </c>
      <c r="V152" s="939">
        <f>IF(Calibración_BAU_USCUSS!Z153&lt;0,Calibración_BAU_USCUSS!Z153*-1,Calibración_BAU_USCUSS!Z153) *Emisiones_USCUSS!$M$69</f>
        <v>1.4370904587458915E-2</v>
      </c>
      <c r="W152" s="939">
        <f>IF(Calibración_BAU_USCUSS!AA153&lt;0,Calibración_BAU_USCUSS!AA153*-1,Calibración_BAU_USCUSS!AA153) *Emisiones_USCUSS!$M$69</f>
        <v>1.4370904587458915E-2</v>
      </c>
      <c r="X152" s="939">
        <f>IF(Calibración_BAU_USCUSS!AB153&lt;0,Calibración_BAU_USCUSS!AB153*-1,Calibración_BAU_USCUSS!AB153) *Emisiones_USCUSS!$M$69</f>
        <v>1.4370904587458915E-2</v>
      </c>
      <c r="Y152" s="939">
        <f>IF(Calibración_BAU_USCUSS!AC153&lt;0,Calibración_BAU_USCUSS!AC153*-1,Calibración_BAU_USCUSS!AC153) *Emisiones_USCUSS!$M$69</f>
        <v>1.4370904587458915E-2</v>
      </c>
      <c r="Z152" s="939">
        <f>IF(Calibración_BAU_USCUSS!AD153&lt;0,Calibración_BAU_USCUSS!AD153*-1,Calibración_BAU_USCUSS!AD153) *Emisiones_USCUSS!$M$69</f>
        <v>1.4370904587458915E-2</v>
      </c>
      <c r="AA152" s="939">
        <f>IF(Calibración_BAU_USCUSS!AE153&lt;0,Calibración_BAU_USCUSS!AE153*-1,Calibración_BAU_USCUSS!AE153) *Emisiones_USCUSS!$M$69</f>
        <v>1.4370904587458915E-2</v>
      </c>
      <c r="AB152" s="939">
        <f>IF(Calibración_BAU_USCUSS!AF153&lt;0,Calibración_BAU_USCUSS!AF153*-1,Calibración_BAU_USCUSS!AF153) *Emisiones_USCUSS!$M$69</f>
        <v>1.4370904587458915E-2</v>
      </c>
      <c r="AC152" s="939">
        <f>IF(Calibración_BAU_USCUSS!AG153&lt;0,Calibración_BAU_USCUSS!AG153*-1,Calibración_BAU_USCUSS!AG153) *Emisiones_USCUSS!$M$69</f>
        <v>1.4370904587458915E-2</v>
      </c>
      <c r="AD152" s="939">
        <f>IF(Calibración_BAU_USCUSS!AH153&lt;0,Calibración_BAU_USCUSS!AH153*-1,Calibración_BAU_USCUSS!AH153) *Emisiones_USCUSS!$M$69</f>
        <v>1.4370904587459815E-2</v>
      </c>
      <c r="AE152" s="939">
        <f>IF(Calibración_BAU_USCUSS!AI153&lt;0,Calibración_BAU_USCUSS!AI153*-1,Calibración_BAU_USCUSS!AI153) *Emisiones_USCUSS!$M$69</f>
        <v>1.4370904587458915E-2</v>
      </c>
      <c r="AF152" s="939">
        <f>IF(Calibración_BAU_USCUSS!AJ153&lt;0,Calibración_BAU_USCUSS!AJ153*-1,Calibración_BAU_USCUSS!AJ153) *Emisiones_USCUSS!$M$69</f>
        <v>1.4370904587458915E-2</v>
      </c>
      <c r="AG152" s="939">
        <f>IF(Calibración_BAU_USCUSS!AK153&lt;0,Calibración_BAU_USCUSS!AK153*-1,Calibración_BAU_USCUSS!AK153) *Emisiones_USCUSS!$M$69</f>
        <v>1.4370904587458915E-2</v>
      </c>
      <c r="AH152" s="939">
        <f>IF(Calibración_BAU_USCUSS!AL153&lt;0,Calibración_BAU_USCUSS!AL153*-1,Calibración_BAU_USCUSS!AL153) *Emisiones_USCUSS!$M$69</f>
        <v>1.4370904587458915E-2</v>
      </c>
      <c r="AI152" s="939">
        <f>IF(Calibración_BAU_USCUSS!AM153&lt;0,Calibración_BAU_USCUSS!AM153*-1,Calibración_BAU_USCUSS!AM153) *Emisiones_USCUSS!$M$69</f>
        <v>1.4370904587458915E-2</v>
      </c>
      <c r="AJ152" s="939">
        <f>IF(Calibración_BAU_USCUSS!AN153&lt;0,Calibración_BAU_USCUSS!AN153*-1,Calibración_BAU_USCUSS!AN153) *Emisiones_USCUSS!$M$69</f>
        <v>1.4370904587458915E-2</v>
      </c>
      <c r="AK152" s="939">
        <f>IF(Calibración_BAU_USCUSS!AO153&lt;0,Calibración_BAU_USCUSS!AO153*-1,Calibración_BAU_USCUSS!AO153) *Emisiones_USCUSS!$M$69</f>
        <v>1.4370904587458915E-2</v>
      </c>
      <c r="AL152" s="939">
        <f>IF(Calibración_BAU_USCUSS!AP153&lt;0,Calibración_BAU_USCUSS!AP153*-1,Calibración_BAU_USCUSS!AP153) *Emisiones_USCUSS!$M$69</f>
        <v>1.4370904587458915E-2</v>
      </c>
      <c r="AM152" s="939">
        <f>IF(Calibración_BAU_USCUSS!AQ153&lt;0,Calibración_BAU_USCUSS!AQ153*-1,Calibración_BAU_USCUSS!AQ153) *Emisiones_USCUSS!$M$69</f>
        <v>1.4370904587458915E-2</v>
      </c>
      <c r="AN152" s="939">
        <f>IF(Calibración_BAU_USCUSS!AR153&lt;0,Calibración_BAU_USCUSS!AR153*-1,Calibración_BAU_USCUSS!AR153) *Emisiones_USCUSS!$M$69</f>
        <v>1.4370904587458915E-2</v>
      </c>
      <c r="AO152" s="939">
        <f>IF(Calibración_BAU_USCUSS!AS153&lt;0,Calibración_BAU_USCUSS!AS153*-1,Calibración_BAU_USCUSS!AS153) *Emisiones_USCUSS!$M$69</f>
        <v>1.4370904587459815E-2</v>
      </c>
      <c r="AP152" s="939">
        <f>IF(Calibración_BAU_USCUSS!AT153&lt;0,Calibración_BAU_USCUSS!AT153*-1,Calibración_BAU_USCUSS!AT153) *Emisiones_USCUSS!$M$69</f>
        <v>1.4370904587458915E-2</v>
      </c>
      <c r="AQ152" s="939">
        <f>IF(Calibración_BAU_USCUSS!AU153&lt;0,Calibración_BAU_USCUSS!AU153*-1,Calibración_BAU_USCUSS!AU153) *Emisiones_USCUSS!$M$69</f>
        <v>1.4370904587458915E-2</v>
      </c>
      <c r="AR152" s="939">
        <f>IF(Calibración_BAU_USCUSS!AV153&lt;0,Calibración_BAU_USCUSS!AV153*-1,Calibración_BAU_USCUSS!AV153) *Emisiones_USCUSS!$M$69</f>
        <v>1.4370904587458915E-2</v>
      </c>
      <c r="AS152" s="939">
        <f>IF(Calibración_BAU_USCUSS!AW153&lt;0,Calibración_BAU_USCUSS!AW153*-1,Calibración_BAU_USCUSS!AW153) *Emisiones_USCUSS!$M$69</f>
        <v>1.4370904587458915E-2</v>
      </c>
      <c r="AT152" s="939">
        <f>IF(Calibración_BAU_USCUSS!AX153&lt;0,Calibración_BAU_USCUSS!AX153*-1,Calibración_BAU_USCUSS!AX153) *Emisiones_USCUSS!$M$69</f>
        <v>1.4370904587458915E-2</v>
      </c>
      <c r="AU152" s="939">
        <f>IF(Calibración_BAU_USCUSS!AY153&lt;0,Calibración_BAU_USCUSS!AY153*-1,Calibración_BAU_USCUSS!AY153) *Emisiones_USCUSS!$M$69</f>
        <v>1.4370904587458915E-2</v>
      </c>
      <c r="AV152" s="939">
        <f>IF(Calibración_BAU_USCUSS!AZ153&lt;0,Calibración_BAU_USCUSS!AZ153*-1,Calibración_BAU_USCUSS!AZ153) *Emisiones_USCUSS!$M$69</f>
        <v>1.4370904587458915E-2</v>
      </c>
      <c r="AW152" s="939">
        <f>IF(Calibración_BAU_USCUSS!BA153&lt;0,Calibración_BAU_USCUSS!BA153*-1,Calibración_BAU_USCUSS!BA153) *Emisiones_USCUSS!$M$69</f>
        <v>1.4370904587458915E-2</v>
      </c>
      <c r="AX152" s="939">
        <f>IF(Calibración_BAU_USCUSS!BB153&lt;0,Calibración_BAU_USCUSS!BB153*-1,Calibración_BAU_USCUSS!BB153) *Emisiones_USCUSS!$M$69</f>
        <v>1.4370904587458915E-2</v>
      </c>
      <c r="AY152" s="939">
        <f>IF(Calibración_BAU_USCUSS!BC153&lt;0,Calibración_BAU_USCUSS!BC153*-1,Calibración_BAU_USCUSS!BC153) *Emisiones_USCUSS!$M$69</f>
        <v>1.4370904587459815E-2</v>
      </c>
      <c r="AZ152" s="939">
        <f>IF(Calibración_BAU_USCUSS!BD153&lt;0,Calibración_BAU_USCUSS!BD153*-1,Calibración_BAU_USCUSS!BD153) *Emisiones_USCUSS!$M$69</f>
        <v>1.4370904587458915E-2</v>
      </c>
      <c r="BA152" s="939">
        <f>IF(Calibración_BAU_USCUSS!BE153&lt;0,Calibración_BAU_USCUSS!BE153*-1,Calibración_BAU_USCUSS!BE153) *Emisiones_USCUSS!$M$69</f>
        <v>1.4370904587458915E-2</v>
      </c>
      <c r="BB152" s="939">
        <f>IF(Calibración_BAU_USCUSS!BF153&lt;0,Calibración_BAU_USCUSS!BF153*-1,Calibración_BAU_USCUSS!BF153) *Emisiones_USCUSS!$M$69</f>
        <v>1.4370904587458915E-2</v>
      </c>
      <c r="BC152" s="939">
        <f>IF(Calibración_BAU_USCUSS!BG153&lt;0,Calibración_BAU_USCUSS!BG153*-1,Calibración_BAU_USCUSS!BG153) *Emisiones_USCUSS!$M$69</f>
        <v>1.4370904587458915E-2</v>
      </c>
      <c r="BD152" s="939">
        <f>IF(Calibración_BAU_USCUSS!BH153&lt;0,Calibración_BAU_USCUSS!BH153*-1,Calibración_BAU_USCUSS!BH153) *Emisiones_USCUSS!$M$69</f>
        <v>1.4370904587458915E-2</v>
      </c>
      <c r="BE152" s="939">
        <f>IF(Calibración_BAU_USCUSS!BI153&lt;0,Calibración_BAU_USCUSS!BI153*-1,Calibración_BAU_USCUSS!BI153) *Emisiones_USCUSS!$M$69</f>
        <v>1.4370904587458915E-2</v>
      </c>
      <c r="BF152" s="939">
        <f>IF(Calibración_BAU_USCUSS!BJ153&lt;0,Calibración_BAU_USCUSS!BJ153*-1,Calibración_BAU_USCUSS!BJ153) *Emisiones_USCUSS!$M$69</f>
        <v>1.4370904587458915E-2</v>
      </c>
      <c r="BG152" s="939">
        <f>IF(Calibración_BAU_USCUSS!BK153&lt;0,Calibración_BAU_USCUSS!BK153*-1,Calibración_BAU_USCUSS!BK153) *Emisiones_USCUSS!$M$69</f>
        <v>1.4370904587458915E-2</v>
      </c>
      <c r="BH152" s="939">
        <f>IF(Calibración_BAU_USCUSS!BL153&lt;0,Calibración_BAU_USCUSS!BL153*-1,Calibración_BAU_USCUSS!BL153) *Emisiones_USCUSS!$M$69</f>
        <v>1.4370904587458915E-2</v>
      </c>
      <c r="BI152" s="939">
        <f>IF(Calibración_BAU_USCUSS!BM153&lt;0,Calibración_BAU_USCUSS!BM153*-1,Calibración_BAU_USCUSS!BM153) *Emisiones_USCUSS!$M$69</f>
        <v>1.4370904587458915E-2</v>
      </c>
      <c r="BJ152" s="939">
        <f>IF(Calibración_BAU_USCUSS!BN153&lt;0,Calibración_BAU_USCUSS!BN153*-1,Calibración_BAU_USCUSS!BN153) *Emisiones_USCUSS!$M$69</f>
        <v>1.4370904587459815E-2</v>
      </c>
      <c r="BK152" s="939">
        <f>IF(Calibración_BAU_USCUSS!BO153&lt;0,Calibración_BAU_USCUSS!BO153*-1,Calibración_BAU_USCUSS!BO153) *Emisiones_USCUSS!$M$69</f>
        <v>1.4370904587458915E-2</v>
      </c>
      <c r="BL152" s="939">
        <f>IF(Calibración_BAU_USCUSS!BP153&lt;0,Calibración_BAU_USCUSS!BP153*-1,Calibración_BAU_USCUSS!BP153) *Emisiones_USCUSS!$M$69</f>
        <v>1.4370904587458915E-2</v>
      </c>
      <c r="BM152" s="939">
        <f>IF(Calibración_BAU_USCUSS!BQ153&lt;0,Calibración_BAU_USCUSS!BQ153*-1,Calibración_BAU_USCUSS!BQ153) *Emisiones_USCUSS!$M$69</f>
        <v>1.4370904587458915E-2</v>
      </c>
    </row>
    <row r="153" spans="1:65" x14ac:dyDescent="0.35">
      <c r="C153" s="1167" t="s">
        <v>103</v>
      </c>
      <c r="D153" s="1153"/>
      <c r="E153" s="634"/>
      <c r="F153" s="634"/>
      <c r="G153" s="634"/>
      <c r="H153" s="634"/>
      <c r="I153" s="630"/>
      <c r="J153" s="630"/>
      <c r="K153" s="630"/>
      <c r="L153" s="630"/>
      <c r="M153" s="630"/>
      <c r="N153" s="630"/>
      <c r="O153" s="630"/>
      <c r="P153" s="630"/>
      <c r="Q153" s="630"/>
      <c r="R153" s="630"/>
      <c r="S153" s="630"/>
      <c r="T153" s="630"/>
      <c r="U153" s="630"/>
      <c r="V153" s="630"/>
      <c r="W153" s="630"/>
      <c r="X153" s="630"/>
      <c r="Y153" s="630"/>
      <c r="Z153" s="630"/>
      <c r="AA153" s="630"/>
      <c r="AB153" s="630"/>
      <c r="AC153" s="630"/>
      <c r="AD153" s="630"/>
      <c r="AE153" s="630"/>
      <c r="AF153" s="630"/>
      <c r="AG153" s="630"/>
      <c r="AH153" s="630"/>
      <c r="AI153" s="630"/>
      <c r="AJ153" s="630"/>
      <c r="AK153" s="630"/>
      <c r="AL153" s="630"/>
      <c r="AM153" s="630"/>
      <c r="AN153" s="630"/>
      <c r="AO153" s="630"/>
      <c r="AP153" s="630"/>
      <c r="AQ153" s="630"/>
      <c r="AR153" s="630"/>
      <c r="AS153" s="630"/>
      <c r="AT153" s="630"/>
      <c r="AU153" s="630"/>
      <c r="AV153" s="630"/>
      <c r="AW153" s="630"/>
      <c r="AX153" s="630"/>
      <c r="AY153" s="630"/>
      <c r="AZ153" s="630"/>
      <c r="BA153" s="630"/>
      <c r="BB153" s="630"/>
      <c r="BC153" s="630"/>
      <c r="BD153" s="630"/>
      <c r="BE153" s="630"/>
      <c r="BF153" s="630"/>
      <c r="BG153" s="630"/>
      <c r="BH153" s="630"/>
      <c r="BI153" s="630"/>
      <c r="BJ153" s="630"/>
      <c r="BK153" s="630"/>
      <c r="BL153" s="630"/>
      <c r="BM153" s="630"/>
    </row>
    <row r="154" spans="1:65" x14ac:dyDescent="0.35">
      <c r="C154" s="1167" t="s">
        <v>57</v>
      </c>
      <c r="D154" s="1153"/>
      <c r="E154" s="634"/>
      <c r="F154" s="634"/>
      <c r="G154" s="634"/>
      <c r="H154" s="634"/>
      <c r="I154" s="630"/>
      <c r="J154" s="630"/>
      <c r="K154" s="630"/>
      <c r="L154" s="630"/>
      <c r="M154" s="630"/>
      <c r="N154" s="630"/>
      <c r="O154" s="630"/>
      <c r="P154" s="630"/>
      <c r="Q154" s="630"/>
      <c r="R154" s="630"/>
      <c r="S154" s="630"/>
      <c r="T154" s="630"/>
      <c r="U154" s="630"/>
      <c r="V154" s="630"/>
      <c r="W154" s="630"/>
      <c r="X154" s="630"/>
      <c r="Y154" s="630"/>
      <c r="Z154" s="630"/>
      <c r="AA154" s="630"/>
      <c r="AB154" s="630"/>
      <c r="AC154" s="630"/>
      <c r="AD154" s="630"/>
      <c r="AE154" s="630"/>
      <c r="AF154" s="630"/>
      <c r="AG154" s="630"/>
      <c r="AH154" s="630"/>
      <c r="AI154" s="630"/>
      <c r="AJ154" s="630"/>
      <c r="AK154" s="630"/>
      <c r="AL154" s="630"/>
      <c r="AM154" s="630"/>
      <c r="AN154" s="630"/>
      <c r="AO154" s="630"/>
      <c r="AP154" s="630"/>
      <c r="AQ154" s="630"/>
      <c r="AR154" s="630"/>
      <c r="AS154" s="630"/>
      <c r="AT154" s="630"/>
      <c r="AU154" s="630"/>
      <c r="AV154" s="630"/>
      <c r="AW154" s="630"/>
      <c r="AX154" s="630"/>
      <c r="AY154" s="630"/>
      <c r="AZ154" s="630"/>
      <c r="BA154" s="630"/>
      <c r="BB154" s="630"/>
      <c r="BC154" s="630"/>
      <c r="BD154" s="630"/>
      <c r="BE154" s="630"/>
      <c r="BF154" s="630"/>
      <c r="BG154" s="630"/>
      <c r="BH154" s="630"/>
      <c r="BI154" s="630"/>
      <c r="BJ154" s="630"/>
      <c r="BK154" s="630"/>
      <c r="BL154" s="630"/>
      <c r="BM154" s="630"/>
    </row>
    <row r="155" spans="1:65" x14ac:dyDescent="0.35">
      <c r="D155" s="93"/>
      <c r="E155" s="112"/>
      <c r="F155" s="112"/>
      <c r="G155" s="112"/>
      <c r="H155" s="112"/>
      <c r="M155" s="373">
        <f>SUM(M148:M154)</f>
        <v>1.4378678890000001</v>
      </c>
      <c r="N155" s="373">
        <f t="shared" ref="N155:P155" si="7">SUM(N148:N154)</f>
        <v>1.2300437019196566</v>
      </c>
      <c r="O155" s="373">
        <f t="shared" si="7"/>
        <v>1.5014970787368651</v>
      </c>
      <c r="P155" s="373">
        <f t="shared" si="7"/>
        <v>1.9230695497824624</v>
      </c>
      <c r="Q155" s="373">
        <f>SUM(Q148:Q154)</f>
        <v>1.9264571624840876</v>
      </c>
      <c r="R155" s="373">
        <f t="shared" ref="R155:BM155" si="8">SUM(R148:R154)</f>
        <v>1.8483130453437762</v>
      </c>
      <c r="S155" s="373">
        <f t="shared" si="8"/>
        <v>1.8680181771227928</v>
      </c>
      <c r="T155" s="373">
        <f t="shared" si="8"/>
        <v>1.7502325869215904</v>
      </c>
      <c r="U155" s="373">
        <f t="shared" si="8"/>
        <v>1.6808895969209439</v>
      </c>
      <c r="V155" s="373">
        <f t="shared" si="8"/>
        <v>1.7625082285131717</v>
      </c>
      <c r="W155" s="373">
        <f t="shared" si="8"/>
        <v>1.6967020941631992</v>
      </c>
      <c r="X155" s="373">
        <f t="shared" si="8"/>
        <v>1.5501182799815918</v>
      </c>
      <c r="Y155" s="373">
        <f t="shared" si="8"/>
        <v>1.5726386182893217</v>
      </c>
      <c r="Z155" s="373">
        <f t="shared" si="8"/>
        <v>1.6634973361535119</v>
      </c>
      <c r="AA155" s="373">
        <f t="shared" si="8"/>
        <v>1.5401596876599426</v>
      </c>
      <c r="AB155" s="373">
        <f t="shared" si="8"/>
        <v>1.5901539116150729</v>
      </c>
      <c r="AC155" s="373">
        <f t="shared" si="8"/>
        <v>1.4997698942295343</v>
      </c>
      <c r="AD155" s="373">
        <f t="shared" si="8"/>
        <v>1.4985679225589423</v>
      </c>
      <c r="AE155" s="373">
        <f t="shared" si="8"/>
        <v>1.5291347053542845</v>
      </c>
      <c r="AF155" s="373">
        <f t="shared" si="8"/>
        <v>1.4953578801270415</v>
      </c>
      <c r="AG155" s="373">
        <f t="shared" si="8"/>
        <v>1.5159701904995007</v>
      </c>
      <c r="AH155" s="373">
        <f t="shared" si="8"/>
        <v>1.5635827082235043</v>
      </c>
      <c r="AI155" s="373">
        <f t="shared" si="8"/>
        <v>1.5372154627457502</v>
      </c>
      <c r="AJ155" s="373">
        <f t="shared" si="8"/>
        <v>1.5613203658502381</v>
      </c>
      <c r="AK155" s="373">
        <f t="shared" si="8"/>
        <v>1.5667810400460238</v>
      </c>
      <c r="AL155" s="373">
        <f t="shared" si="8"/>
        <v>1.5084056720693988</v>
      </c>
      <c r="AM155" s="373">
        <f t="shared" si="8"/>
        <v>1.5929638363158209</v>
      </c>
      <c r="AN155" s="373">
        <f t="shared" si="8"/>
        <v>1.5535263869430589</v>
      </c>
      <c r="AO155" s="373">
        <f t="shared" si="8"/>
        <v>1.6320479334220754</v>
      </c>
      <c r="AP155" s="373">
        <f t="shared" si="8"/>
        <v>1.5667044068114475</v>
      </c>
      <c r="AQ155" s="373">
        <f t="shared" si="8"/>
        <v>1.5578099452843068</v>
      </c>
      <c r="AR155" s="373">
        <f t="shared" si="8"/>
        <v>1.5658537004294664</v>
      </c>
      <c r="AS155" s="373">
        <f t="shared" si="8"/>
        <v>1.5561715120364077</v>
      </c>
      <c r="AT155" s="373">
        <f t="shared" si="8"/>
        <v>1.4973910215376678</v>
      </c>
      <c r="AU155" s="373">
        <f t="shared" si="8"/>
        <v>1.4987959446652097</v>
      </c>
      <c r="AV155" s="373">
        <f t="shared" si="8"/>
        <v>1.4981493410212983</v>
      </c>
      <c r="AW155" s="373">
        <f t="shared" si="8"/>
        <v>1.4998122594723478</v>
      </c>
      <c r="AX155" s="373">
        <f t="shared" si="8"/>
        <v>1.5001531297052764</v>
      </c>
      <c r="AY155" s="373">
        <f t="shared" si="8"/>
        <v>1.4971680451958005</v>
      </c>
      <c r="AZ155" s="373">
        <f t="shared" si="8"/>
        <v>1.4958262482698439</v>
      </c>
      <c r="BA155" s="373">
        <f t="shared" si="8"/>
        <v>1.4926775361561762</v>
      </c>
      <c r="BB155" s="373">
        <f t="shared" si="8"/>
        <v>1.4889103769501155</v>
      </c>
      <c r="BC155" s="373">
        <f t="shared" si="8"/>
        <v>1.4889769584122072</v>
      </c>
      <c r="BD155" s="373">
        <f t="shared" si="8"/>
        <v>1.4830760291692056</v>
      </c>
      <c r="BE155" s="373">
        <f t="shared" si="8"/>
        <v>1.4795260891463009</v>
      </c>
      <c r="BF155" s="373">
        <f t="shared" si="8"/>
        <v>1.470174227989133</v>
      </c>
      <c r="BG155" s="373">
        <f t="shared" si="8"/>
        <v>1.4647573109209939</v>
      </c>
      <c r="BH155" s="373">
        <f t="shared" si="8"/>
        <v>1.4595698822286871</v>
      </c>
      <c r="BI155" s="373">
        <f t="shared" si="8"/>
        <v>1.4534341427179025</v>
      </c>
      <c r="BJ155" s="373">
        <f t="shared" si="8"/>
        <v>1.4475295340941474</v>
      </c>
      <c r="BK155" s="373">
        <f t="shared" si="8"/>
        <v>1.445318156058877</v>
      </c>
      <c r="BL155" s="373">
        <f t="shared" si="8"/>
        <v>1.4428339972822843</v>
      </c>
      <c r="BM155" s="373">
        <f t="shared" si="8"/>
        <v>1.4402006240011476</v>
      </c>
    </row>
    <row r="156" spans="1:65" x14ac:dyDescent="0.35">
      <c r="D156" s="93"/>
      <c r="E156" s="112"/>
      <c r="F156" s="112"/>
      <c r="G156" s="112"/>
      <c r="H156" s="112"/>
    </row>
    <row r="157" spans="1:65" ht="15.5" x14ac:dyDescent="0.3">
      <c r="C157" s="1168" t="s">
        <v>253</v>
      </c>
      <c r="D157" s="1168"/>
      <c r="E157" s="1168"/>
      <c r="F157" s="1168"/>
      <c r="G157" s="1168"/>
      <c r="H157" s="1168"/>
      <c r="I157" s="1168"/>
      <c r="J157" s="1168"/>
      <c r="K157" s="1168"/>
      <c r="L157" s="1168"/>
      <c r="M157" s="1168"/>
      <c r="N157" s="1168"/>
    </row>
    <row r="158" spans="1:65" x14ac:dyDescent="0.35">
      <c r="C158" s="1167" t="s">
        <v>106</v>
      </c>
      <c r="D158" s="1153"/>
      <c r="E158" s="634"/>
      <c r="F158" s="634"/>
      <c r="G158" s="634"/>
      <c r="H158" s="634"/>
      <c r="I158" s="630"/>
      <c r="J158" s="630"/>
      <c r="K158" s="630"/>
      <c r="L158" s="630"/>
      <c r="M158" s="630">
        <f>IF(Calibración_BAU_USCUSS!Q160&lt;0,Calibración_BAU_USCUSS!Q160*-1, Calibración_BAU_USCUSS!Q160) *Emisiones_USCUSS!$M$88</f>
        <v>-9.7110553010667983E-2</v>
      </c>
      <c r="N158" s="630">
        <f>IF(Calibración_BAU_USCUSS!R160&lt;0,Calibración_BAU_USCUSS!R160*-1, Calibración_BAU_USCUSS!R160) *Emisiones_USCUSS!$M$88</f>
        <v>-4.2538725639469831E-2</v>
      </c>
      <c r="O158" s="630">
        <f>IF(Calibración_BAU_USCUSS!S160&lt;0,Calibración_BAU_USCUSS!S160*-1, Calibración_BAU_USCUSS!S160) *Emisiones_USCUSS!$M$88</f>
        <v>-9.455734013565106E-3</v>
      </c>
      <c r="P158" s="630">
        <f>IF(Calibración_BAU_USCUSS!T160&lt;0,Calibración_BAU_USCUSS!T160*-1, Calibración_BAU_USCUSS!T160) *Emisiones_USCUSS!$M$88</f>
        <v>-8.9658851332124714E-2</v>
      </c>
      <c r="Q158" s="630">
        <f>IF(Calibración_BAU_USCUSS!U160&lt;0,Calibración_BAU_USCUSS!U160*-1, Calibración_BAU_USCUSS!U160) *Emisiones_USCUSS!$M$88</f>
        <v>-9.2229183981551319E-2</v>
      </c>
      <c r="R158" s="630">
        <f>IF(Calibración_BAU_USCUSS!V160&lt;0,Calibración_BAU_USCUSS!V160*-1, Calibración_BAU_USCUSS!V160) *Emisiones_USCUSS!$M$88</f>
        <v>-7.9700853407832478E-2</v>
      </c>
      <c r="S158" s="630">
        <f>IF(Calibración_BAU_USCUSS!W160&lt;0,Calibración_BAU_USCUSS!W160*-1, Calibración_BAU_USCUSS!W160) *Emisiones_USCUSS!$M$88</f>
        <v>-8.5237498690800634E-2</v>
      </c>
      <c r="T158" s="630">
        <f>IF(Calibración_BAU_USCUSS!X160&lt;0,Calibración_BAU_USCUSS!X160*-1, Calibración_BAU_USCUSS!X160) *Emisiones_USCUSS!$M$88</f>
        <v>-6.5332321046769323E-2</v>
      </c>
      <c r="U158" s="630">
        <f>IF(Calibración_BAU_USCUSS!Y160&lt;0,Calibración_BAU_USCUSS!Y160*-1, Calibración_BAU_USCUSS!Y160) *Emisiones_USCUSS!$M$88</f>
        <v>-5.4359193016997646E-2</v>
      </c>
      <c r="V158" s="630">
        <f>IF(Calibración_BAU_USCUSS!Z160&lt;0,Calibración_BAU_USCUSS!Z160*-1, Calibración_BAU_USCUSS!Z160) *Emisiones_USCUSS!$M$88</f>
        <v>-7.1303926854926022E-2</v>
      </c>
      <c r="W158" s="630">
        <f>IF(Calibración_BAU_USCUSS!AA160&lt;0,Calibración_BAU_USCUSS!AA160*-1, Calibración_BAU_USCUSS!AA160) *Emisiones_USCUSS!$M$88</f>
        <v>-6.0948896197709088E-2</v>
      </c>
      <c r="X158" s="630">
        <f>IF(Calibración_BAU_USCUSS!AB160&lt;0,Calibración_BAU_USCUSS!AB160*-1, Calibración_BAU_USCUSS!AB160) *Emisiones_USCUSS!$M$88</f>
        <v>-3.5637573330051513E-2</v>
      </c>
      <c r="Y158" s="630">
        <f>IF(Calibración_BAU_USCUSS!AC160&lt;0,Calibración_BAU_USCUSS!AC160*-1, Calibración_BAU_USCUSS!AC160) *Emisiones_USCUSS!$M$88</f>
        <v>-4.1585715473699429E-2</v>
      </c>
      <c r="Z158" s="630">
        <f>IF(Calibración_BAU_USCUSS!AD160&lt;0,Calibración_BAU_USCUSS!AD160*-1, Calibración_BAU_USCUSS!AD160) *Emisiones_USCUSS!$M$88</f>
        <v>-6.0162224597321422E-2</v>
      </c>
      <c r="AA158" s="630">
        <f>IF(Calibración_BAU_USCUSS!AE160&lt;0,Calibración_BAU_USCUSS!AE160*-1, Calibración_BAU_USCUSS!AE160) *Emisiones_USCUSS!$M$88</f>
        <v>-3.908905054654592E-2</v>
      </c>
      <c r="AB158" s="630">
        <f>IF(Calibración_BAU_USCUSS!AF160&lt;0,Calibración_BAU_USCUSS!AF160*-1, Calibración_BAU_USCUSS!AF160) *Emisiones_USCUSS!$M$88</f>
        <v>-5.0064951498573478E-2</v>
      </c>
      <c r="AC158" s="630">
        <f>IF(Calibración_BAU_USCUSS!AG160&lt;0,Calibración_BAU_USCUSS!AG160*-1, Calibración_BAU_USCUSS!AG160) *Emisiones_USCUSS!$M$88</f>
        <v>-3.5052057029674011E-2</v>
      </c>
      <c r="AD158" s="630">
        <f>IF(Calibración_BAU_USCUSS!AH160&lt;0,Calibración_BAU_USCUSS!AH160*-1, Calibración_BAU_USCUSS!AH160) *Emisiones_USCUSS!$M$88</f>
        <v>-3.6519578241057518E-2</v>
      </c>
      <c r="AE158" s="630">
        <f>IF(Calibración_BAU_USCUSS!AI160&lt;0,Calibración_BAU_USCUSS!AI160*-1, Calibración_BAU_USCUSS!AI160) *Emisiones_USCUSS!$M$88</f>
        <v>-4.3848350390275355E-2</v>
      </c>
      <c r="AF158" s="630">
        <f>IF(Calibración_BAU_USCUSS!AJ160&lt;0,Calibración_BAU_USCUSS!AJ160*-1, Calibración_BAU_USCUSS!AJ160) *Emisiones_USCUSS!$M$88</f>
        <v>-3.9252758916815442E-2</v>
      </c>
      <c r="AG158" s="630">
        <f>IF(Calibración_BAU_USCUSS!AK160&lt;0,Calibración_BAU_USCUSS!AK160*-1, Calibración_BAU_USCUSS!AK160) *Emisiones_USCUSS!$M$88</f>
        <v>-4.4704808340828399E-2</v>
      </c>
      <c r="AH158" s="630">
        <f>IF(Calibración_BAU_USCUSS!AL160&lt;0,Calibración_BAU_USCUSS!AL160*-1, Calibración_BAU_USCUSS!AL160) *Emisiones_USCUSS!$M$88</f>
        <v>-5.5133913122100725E-2</v>
      </c>
      <c r="AI158" s="630">
        <f>IF(Calibración_BAU_USCUSS!AM160&lt;0,Calibración_BAU_USCUSS!AM160*-1, Calibración_BAU_USCUSS!AM160) *Emisiones_USCUSS!$M$88</f>
        <v>-5.1860953459128889E-2</v>
      </c>
      <c r="AJ158" s="630">
        <f>IF(Calibración_BAU_USCUSS!AN160&lt;0,Calibración_BAU_USCUSS!AN160*-1, Calibración_BAU_USCUSS!AN160) *Emisiones_USCUSS!$M$88</f>
        <v>-5.7911653828529107E-2</v>
      </c>
      <c r="AK158" s="630">
        <f>IF(Calibración_BAU_USCUSS!AO160&lt;0,Calibración_BAU_USCUSS!AO160*-1, Calibración_BAU_USCUSS!AO160) *Emisiones_USCUSS!$M$88</f>
        <v>-6.0499325519119809E-2</v>
      </c>
      <c r="AL158" s="630">
        <f>IF(Calibración_BAU_USCUSS!AP160&lt;0,Calibración_BAU_USCUSS!AP160*-1, Calibración_BAU_USCUSS!AP160) *Emisiones_USCUSS!$M$88</f>
        <v>-5.1260200457061249E-2</v>
      </c>
      <c r="AM158" s="630">
        <f>IF(Calibración_BAU_USCUSS!AQ160&lt;0,Calibración_BAU_USCUSS!AQ160*-1, Calibración_BAU_USCUSS!AQ160) *Emisiones_USCUSS!$M$88</f>
        <v>-6.8452724315307328E-2</v>
      </c>
      <c r="AN158" s="630">
        <f>IF(Calibración_BAU_USCUSS!AR160&lt;0,Calibración_BAU_USCUSS!AR160*-1, Calibración_BAU_USCUSS!AR160) *Emisiones_USCUSS!$M$88</f>
        <v>-6.2688987424443815E-2</v>
      </c>
      <c r="AO158" s="630">
        <f>IF(Calibración_BAU_USCUSS!AS160&lt;0,Calibración_BAU_USCUSS!AS160*-1, Calibración_BAU_USCUSS!AS160) *Emisiones_USCUSS!$M$88</f>
        <v>-7.8736310757724859E-2</v>
      </c>
      <c r="AP158" s="630">
        <f>IF(Calibración_BAU_USCUSS!AT160&lt;0,Calibración_BAU_USCUSS!AT160*-1, Calibración_BAU_USCUSS!AT160) *Emisiones_USCUSS!$M$88</f>
        <v>-6.8156812568699557E-2</v>
      </c>
      <c r="AQ158" s="630">
        <f>IF(Calibración_BAU_USCUSS!AU160&lt;0,Calibración_BAU_USCUSS!AU160*-1, Calibración_BAU_USCUSS!AU160) *Emisiones_USCUSS!$M$88</f>
        <v>-6.800522754132042E-2</v>
      </c>
      <c r="AR158" s="630">
        <f>IF(Calibración_BAU_USCUSS!AV160&lt;0,Calibración_BAU_USCUSS!AV160*-1, Calibración_BAU_USCUSS!AV160) *Emisiones_USCUSS!$M$88</f>
        <v>-7.0976850191993193E-2</v>
      </c>
      <c r="AS158" s="630">
        <f>IF(Calibración_BAU_USCUSS!AW160&lt;0,Calibración_BAU_USCUSS!AW160*-1, Calibración_BAU_USCUSS!AW160) *Emisiones_USCUSS!$M$88</f>
        <v>-7.0660277283042278E-2</v>
      </c>
      <c r="AT158" s="630">
        <f>IF(Calibración_BAU_USCUSS!AX160&lt;0,Calibración_BAU_USCUSS!AX160*-1, Calibración_BAU_USCUSS!AX160) *Emisiones_USCUSS!$M$88</f>
        <v>-6.1254302873967444E-2</v>
      </c>
      <c r="AU158" s="630">
        <f>IF(Calibración_BAU_USCUSS!AY160&lt;0,Calibración_BAU_USCUSS!AY160*-1, Calibración_BAU_USCUSS!AY160) *Emisiones_USCUSS!$M$88</f>
        <v>-6.2955241160812914E-2</v>
      </c>
      <c r="AV158" s="630">
        <f>IF(Calibración_BAU_USCUSS!AZ160&lt;0,Calibración_BAU_USCUSS!AZ160*-1, Calibración_BAU_USCUSS!AZ160) *Emisiones_USCUSS!$M$88</f>
        <v>-6.4265627514439677E-2</v>
      </c>
      <c r="AW158" s="630">
        <f>IF(Calibración_BAU_USCUSS!BA160&lt;0,Calibración_BAU_USCUSS!BA160*-1, Calibración_BAU_USCUSS!BA160) *Emisiones_USCUSS!$M$88</f>
        <v>-6.5989881352136986E-2</v>
      </c>
      <c r="AX158" s="630">
        <f>IF(Calibración_BAU_USCUSS!BB160&lt;0,Calibración_BAU_USCUSS!BB160*-1, Calibración_BAU_USCUSS!BB160) *Emisiones_USCUSS!$M$88</f>
        <v>-6.7455096009588364E-2</v>
      </c>
      <c r="AY158" s="630">
        <f>IF(Calibración_BAU_USCUSS!BC160&lt;0,Calibración_BAU_USCUSS!BC160*-1, Calibración_BAU_USCUSS!BC160) *Emisiones_USCUSS!$M$88</f>
        <v>-6.8292172965101039E-2</v>
      </c>
      <c r="AZ158" s="630">
        <f>IF(Calibración_BAU_USCUSS!BD160&lt;0,Calibración_BAU_USCUSS!BD160*-1, Calibración_BAU_USCUSS!BD160) *Emisiones_USCUSS!$M$88</f>
        <v>-6.9417864701677851E-2</v>
      </c>
      <c r="BA158" s="630">
        <f>IF(Calibración_BAU_USCUSS!BE160&lt;0,Calibración_BAU_USCUSS!BE160*-1, Calibración_BAU_USCUSS!BE160) *Emisiones_USCUSS!$M$88</f>
        <v>-7.0197434171478557E-2</v>
      </c>
      <c r="BB158" s="630">
        <f>IF(Calibración_BAU_USCUSS!BF160&lt;0,Calibración_BAU_USCUSS!BF160*-1, Calibración_BAU_USCUSS!BF160) *Emisiones_USCUSS!$M$88</f>
        <v>-7.0849591929427386E-2</v>
      </c>
      <c r="BC158" s="630">
        <f>IF(Calibración_BAU_USCUSS!BG160&lt;0,Calibración_BAU_USCUSS!BG160*-1, Calibración_BAU_USCUSS!BG160) *Emisiones_USCUSS!$M$88</f>
        <v>-7.2197673200707219E-2</v>
      </c>
      <c r="BD158" s="630">
        <f>IF(Calibración_BAU_USCUSS!BH160&lt;0,Calibración_BAU_USCUSS!BH160*-1, Calibración_BAU_USCUSS!BH160) *Emisiones_USCUSS!$M$88</f>
        <v>-7.2429621192082738E-2</v>
      </c>
      <c r="BE158" s="630">
        <f>IF(Calibración_BAU_USCUSS!BI160&lt;0,Calibración_BAU_USCUSS!BI160*-1, Calibración_BAU_USCUSS!BI160) *Emisiones_USCUSS!$M$88</f>
        <v>-7.3083982180951149E-2</v>
      </c>
      <c r="BF158" s="630">
        <f>IF(Calibración_BAU_USCUSS!BJ160&lt;0,Calibración_BAU_USCUSS!BJ160*-1, Calibración_BAU_USCUSS!BJ160) *Emisiones_USCUSS!$M$88</f>
        <v>-7.2653424364518882E-2</v>
      </c>
      <c r="BG158" s="630">
        <f>IF(Calibración_BAU_USCUSS!BK160&lt;0,Calibración_BAU_USCUSS!BK160*-1, Calibración_BAU_USCUSS!BK160) *Emisiones_USCUSS!$M$88</f>
        <v>-7.2938543172863232E-2</v>
      </c>
      <c r="BH158" s="630">
        <f>IF(Calibración_BAU_USCUSS!BL160&lt;0,Calibración_BAU_USCUSS!BL160*-1, Calibración_BAU_USCUSS!BL160) *Emisiones_USCUSS!$M$88</f>
        <v>-7.3254333452426629E-2</v>
      </c>
      <c r="BI158" s="630">
        <f>IF(Calibración_BAU_USCUSS!BM160&lt;0,Calibración_BAU_USCUSS!BM160*-1, Calibración_BAU_USCUSS!BM160) *Emisiones_USCUSS!$M$88</f>
        <v>-7.3383317901072026E-2</v>
      </c>
      <c r="BJ158" s="630">
        <f>IF(Calibración_BAU_USCUSS!BN160&lt;0,Calibración_BAU_USCUSS!BN160*-1, Calibración_BAU_USCUSS!BN160) *Emisiones_USCUSS!$M$88</f>
        <v>-7.3543784251489483E-2</v>
      </c>
      <c r="BK158" s="630">
        <f>IF(Calibración_BAU_USCUSS!BO160&lt;0,Calibración_BAU_USCUSS!BO160*-1, Calibración_BAU_USCUSS!BO160) *Emisiones_USCUSS!$M$88</f>
        <v>-7.4376210253076738E-2</v>
      </c>
      <c r="BL158" s="630">
        <f>IF(Calibración_BAU_USCUSS!BP160&lt;0,Calibración_BAU_USCUSS!BP160*-1, Calibración_BAU_USCUSS!BP160) *Emisiones_USCUSS!$M$88</f>
        <v>-7.5147426606637868E-2</v>
      </c>
      <c r="BM158" s="630">
        <f>IF(Calibración_BAU_USCUSS!BQ160&lt;0,Calibración_BAU_USCUSS!BQ160*-1, Calibración_BAU_USCUSS!BQ160) *Emisiones_USCUSS!$M$88</f>
        <v>-7.5880519021995441E-2</v>
      </c>
    </row>
    <row r="159" spans="1:65" x14ac:dyDescent="0.35">
      <c r="C159" s="1169" t="s">
        <v>146</v>
      </c>
      <c r="D159" s="1159"/>
      <c r="E159" s="634"/>
      <c r="F159" s="634"/>
      <c r="G159" s="634"/>
      <c r="H159" s="634"/>
      <c r="I159" s="630"/>
      <c r="J159" s="630"/>
      <c r="K159" s="630"/>
      <c r="L159" s="630"/>
      <c r="M159" s="630">
        <f>IF(Calibración_BAU_USCUSS!Q161&lt;0, Calibración_BAU_USCUSS!Q161*-1, Calibración_BAU_USCUSS!Q161)*Emisiones_USCUSS!$M$89</f>
        <v>0</v>
      </c>
      <c r="N159" s="630">
        <f>IF(Calibración_BAU_USCUSS!R161&lt;0, Calibración_BAU_USCUSS!R161*-1, Calibración_BAU_USCUSS!R161)*Emisiones_USCUSS!$M$89</f>
        <v>-4.5146644884070282E-2</v>
      </c>
      <c r="O159" s="630">
        <f>IF(Calibración_BAU_USCUSS!S161&lt;0, Calibración_BAU_USCUSS!S161*-1, Calibración_BAU_USCUSS!S161)*Emisiones_USCUSS!$M$89</f>
        <v>-0.10915165812923798</v>
      </c>
      <c r="P159" s="630">
        <f>IF(Calibración_BAU_USCUSS!T161&lt;0, Calibración_BAU_USCUSS!T161*-1, Calibración_BAU_USCUSS!T161)*Emisiones_USCUSS!$M$89</f>
        <v>-6.0606052542012165E-2</v>
      </c>
      <c r="Q159" s="630">
        <f>IF(Calibración_BAU_USCUSS!U161&lt;0, Calibración_BAU_USCUSS!U161*-1, Calibración_BAU_USCUSS!U161)*Emisiones_USCUSS!$M$89</f>
        <v>-5.8256060080477304E-2</v>
      </c>
      <c r="R159" s="630">
        <f>IF(Calibración_BAU_USCUSS!V161&lt;0, Calibración_BAU_USCUSS!V161*-1, Calibración_BAU_USCUSS!V161)*Emisiones_USCUSS!$M$89</f>
        <v>-6.4860850412647428E-2</v>
      </c>
      <c r="S159" s="630">
        <f>IF(Calibración_BAU_USCUSS!W161&lt;0, Calibración_BAU_USCUSS!W161*-1, Calibración_BAU_USCUSS!W161)*Emisiones_USCUSS!$M$89</f>
        <v>-6.0768481437347491E-2</v>
      </c>
      <c r="T159" s="630">
        <f>IF(Calibración_BAU_USCUSS!X161&lt;0, Calibración_BAU_USCUSS!X161*-1, Calibración_BAU_USCUSS!X161)*Emisiones_USCUSS!$M$89</f>
        <v>-7.1773971279051649E-2</v>
      </c>
      <c r="U159" s="630">
        <f>IF(Calibración_BAU_USCUSS!Y161&lt;0, Calibración_BAU_USCUSS!Y161*-1, Calibración_BAU_USCUSS!Y161)*Emisiones_USCUSS!$M$89</f>
        <v>-7.7495000975840181E-2</v>
      </c>
      <c r="V159" s="630">
        <f>IF(Calibración_BAU_USCUSS!Z161&lt;0, Calibración_BAU_USCUSS!Z161*-1, Calibración_BAU_USCUSS!Z161)*Emisiones_USCUSS!$M$89</f>
        <v>-6.6648729747405558E-2</v>
      </c>
      <c r="W159" s="630">
        <f>IF(Calibración_BAU_USCUSS!AA161&lt;0, Calibración_BAU_USCUSS!AA161*-1, Calibración_BAU_USCUSS!AA161)*Emisiones_USCUSS!$M$89</f>
        <v>-7.2019131643291545E-2</v>
      </c>
      <c r="X159" s="630">
        <f>IF(Calibración_BAU_USCUSS!AB161&lt;0, Calibración_BAU_USCUSS!AB161*-1, Calibración_BAU_USCUSS!AB161)*Emisiones_USCUSS!$M$89</f>
        <v>-8.6270218486676348E-2</v>
      </c>
      <c r="Y159" s="630">
        <f>IF(Calibración_BAU_USCUSS!AC161&lt;0, Calibración_BAU_USCUSS!AC161*-1, Calibración_BAU_USCUSS!AC161)*Emisiones_USCUSS!$M$89</f>
        <v>-8.1981829805813269E-2</v>
      </c>
      <c r="Z159" s="630">
        <f>IF(Calibración_BAU_USCUSS!AD161&lt;0, Calibración_BAU_USCUSS!AD161*-1, Calibración_BAU_USCUSS!AD161)*Emisiones_USCUSS!$M$89</f>
        <v>-7.0203707074594252E-2</v>
      </c>
      <c r="AA159" s="630">
        <f>IF(Calibración_BAU_USCUSS!AE161&lt;0, Calibración_BAU_USCUSS!AE161*-1, Calibración_BAU_USCUSS!AE161)*Emisiones_USCUSS!$M$89</f>
        <v>-8.1969653263824688E-2</v>
      </c>
      <c r="AB159" s="630">
        <f>IF(Calibración_BAU_USCUSS!AF161&lt;0, Calibración_BAU_USCUSS!AF161*-1, Calibración_BAU_USCUSS!AF161)*Emisiones_USCUSS!$M$89</f>
        <v>-7.472204447441777E-2</v>
      </c>
      <c r="AC159" s="630">
        <f>IF(Calibración_BAU_USCUSS!AG161&lt;0, Calibración_BAU_USCUSS!AG161*-1, Calibración_BAU_USCUSS!AG161)*Emisiones_USCUSS!$M$89</f>
        <v>-8.2907893510548072E-2</v>
      </c>
      <c r="AD159" s="630">
        <f>IF(Calibración_BAU_USCUSS!AH161&lt;0, Calibración_BAU_USCUSS!AH161*-1, Calibración_BAU_USCUSS!AH161)*Emisiones_USCUSS!$M$89</f>
        <v>-8.1321158973420779E-2</v>
      </c>
      <c r="AE159" s="630">
        <f>IF(Calibración_BAU_USCUSS!AI161&lt;0, Calibración_BAU_USCUSS!AI161*-1, Calibración_BAU_USCUSS!AI161)*Emisiones_USCUSS!$M$89</f>
        <v>-7.6262944592107154E-2</v>
      </c>
      <c r="AF159" s="630">
        <f>IF(Calibración_BAU_USCUSS!AJ161&lt;0, Calibración_BAU_USCUSS!AJ161*-1, Calibración_BAU_USCUSS!AJ161)*Emisiones_USCUSS!$M$89</f>
        <v>-7.8292039137980995E-2</v>
      </c>
      <c r="AG159" s="630">
        <f>IF(Calibración_BAU_USCUSS!AK161&lt;0, Calibración_BAU_USCUSS!AK161*-1, Calibración_BAU_USCUSS!AK161)*Emisiones_USCUSS!$M$89</f>
        <v>-7.436402852214051E-2</v>
      </c>
      <c r="AH159" s="630">
        <f>IF(Calibración_BAU_USCUSS!AL161&lt;0, Calibración_BAU_USCUSS!AL161*-1, Calibración_BAU_USCUSS!AL161)*Emisiones_USCUSS!$M$89</f>
        <v>-6.7490746701715329E-2</v>
      </c>
      <c r="AI159" s="630">
        <f>IF(Calibración_BAU_USCUSS!AM161&lt;0, Calibración_BAU_USCUSS!AM161*-1, Calibración_BAU_USCUSS!AM161)*Emisiones_USCUSS!$M$89</f>
        <v>-6.8756592373412959E-2</v>
      </c>
      <c r="AJ159" s="630">
        <f>IF(Calibración_BAU_USCUSS!AN161&lt;0, Calibración_BAU_USCUSS!AN161*-1, Calibración_BAU_USCUSS!AN161)*Emisiones_USCUSS!$M$89</f>
        <v>-6.4495076778396374E-2</v>
      </c>
      <c r="AK159" s="630">
        <f>IF(Calibración_BAU_USCUSS!AO161&lt;0, Calibración_BAU_USCUSS!AO161*-1, Calibración_BAU_USCUSS!AO161)*Emisiones_USCUSS!$M$89</f>
        <v>-6.2294663792340978E-2</v>
      </c>
      <c r="AL159" s="630">
        <f>IF(Calibración_BAU_USCUSS!AP161&lt;0, Calibración_BAU_USCUSS!AP161*-1, Calibración_BAU_USCUSS!AP161)*Emisiones_USCUSS!$M$89</f>
        <v>-6.7121478099761697E-2</v>
      </c>
      <c r="AM159" s="630">
        <f>IF(Calibración_BAU_USCUSS!AQ161&lt;0, Calibración_BAU_USCUSS!AQ161*-1, Calibración_BAU_USCUSS!AQ161)*Emisiones_USCUSS!$M$89</f>
        <v>-5.6265458656141291E-2</v>
      </c>
      <c r="AN159" s="630">
        <f>IF(Calibración_BAU_USCUSS!AR161&lt;0, Calibración_BAU_USCUSS!AR161*-1, Calibración_BAU_USCUSS!AR161)*Emisiones_USCUSS!$M$89</f>
        <v>-5.9041884967744797E-2</v>
      </c>
      <c r="AO159" s="630">
        <f>IF(Calibración_BAU_USCUSS!AS161&lt;0, Calibración_BAU_USCUSS!AS161*-1, Calibración_BAU_USCUSS!AS161)*Emisiones_USCUSS!$M$89</f>
        <v>-4.8878020202198738E-2</v>
      </c>
      <c r="AP159" s="630">
        <f>IF(Calibración_BAU_USCUSS!AT161&lt;0, Calibración_BAU_USCUSS!AT161*-1, Calibración_BAU_USCUSS!AT161)*Emisiones_USCUSS!$M$89</f>
        <v>-5.4522068852986064E-2</v>
      </c>
      <c r="AQ159" s="630">
        <f>IF(Calibración_BAU_USCUSS!AU161&lt;0, Calibración_BAU_USCUSS!AU161*-1, Calibración_BAU_USCUSS!AU161)*Emisiones_USCUSS!$M$89</f>
        <v>-5.3983763687375327E-2</v>
      </c>
      <c r="AR159" s="630">
        <f>IF(Calibración_BAU_USCUSS!AV161&lt;0, Calibración_BAU_USCUSS!AV161*-1, Calibración_BAU_USCUSS!AV161)*Emisiones_USCUSS!$M$89</f>
        <v>-5.1596174852218166E-2</v>
      </c>
      <c r="AS159" s="630">
        <f>IF(Calibración_BAU_USCUSS!AW161&lt;0, Calibración_BAU_USCUSS!AW161*-1, Calibración_BAU_USCUSS!AW161)*Emisiones_USCUSS!$M$89</f>
        <v>-5.1163272200170681E-2</v>
      </c>
      <c r="AT159" s="630">
        <f>IF(Calibración_BAU_USCUSS!AX161&lt;0, Calibración_BAU_USCUSS!AX161*-1, Calibración_BAU_USCUSS!AX161)*Emisiones_USCUSS!$M$89</f>
        <v>-5.6124101595013215E-2</v>
      </c>
      <c r="AU159" s="630">
        <f>IF(Calibración_BAU_USCUSS!AY161&lt;0, Calibración_BAU_USCUSS!AY161*-1, Calibración_BAU_USCUSS!AY161)*Emisiones_USCUSS!$M$89</f>
        <v>-5.4510767869960682E-2</v>
      </c>
      <c r="AV159" s="630">
        <f>IF(Calibración_BAU_USCUSS!AZ161&lt;0, Calibración_BAU_USCUSS!AZ161*-1, Calibración_BAU_USCUSS!AZ161)*Emisiones_USCUSS!$M$89</f>
        <v>-5.3132812901105393E-2</v>
      </c>
      <c r="AW159" s="630">
        <f>IF(Calibración_BAU_USCUSS!BA161&lt;0, Calibración_BAU_USCUSS!BA161*-1, Calibración_BAU_USCUSS!BA161)*Emisiones_USCUSS!$M$89</f>
        <v>-5.1514948072903584E-2</v>
      </c>
      <c r="AX159" s="630">
        <f>IF(Calibración_BAU_USCUSS!BB161&lt;0, Calibración_BAU_USCUSS!BB161*-1, Calibración_BAU_USCUSS!BB161)*Emisiones_USCUSS!$M$89</f>
        <v>-5.0057529399818314E-2</v>
      </c>
      <c r="AY159" s="630">
        <f>IF(Calibración_BAU_USCUSS!BC161&lt;0, Calibración_BAU_USCUSS!BC161*-1, Calibración_BAU_USCUSS!BC161)*Emisiones_USCUSS!$M$89</f>
        <v>-4.8978288140589882E-2</v>
      </c>
      <c r="AZ159" s="630">
        <f>IF(Calibración_BAU_USCUSS!BD161&lt;0, Calibración_BAU_USCUSS!BD161*-1, Calibración_BAU_USCUSS!BD161)*Emisiones_USCUSS!$M$89</f>
        <v>-4.7735427538185035E-2</v>
      </c>
      <c r="BA159" s="630">
        <f>IF(Calibración_BAU_USCUSS!BE161&lt;0, Calibración_BAU_USCUSS!BE161*-1, Calibración_BAU_USCUSS!BE161)*Emisiones_USCUSS!$M$89</f>
        <v>-4.6702672099051858E-2</v>
      </c>
      <c r="BB159" s="630">
        <f>IF(Calibración_BAU_USCUSS!BF161&lt;0, Calibración_BAU_USCUSS!BF161*-1, Calibración_BAU_USCUSS!BF161)*Emisiones_USCUSS!$M$89</f>
        <v>-4.5751296170528394E-2</v>
      </c>
      <c r="BC159" s="630">
        <f>IF(Calibración_BAU_USCUSS!BG161&lt;0, Calibración_BAU_USCUSS!BG161*-1, Calibración_BAU_USCUSS!BG161)*Emisiones_USCUSS!$M$89</f>
        <v>-4.439301730892898E-2</v>
      </c>
      <c r="BD159" s="630">
        <f>IF(Calibración_BAU_USCUSS!BH161&lt;0, Calibración_BAU_USCUSS!BH161*-1, Calibración_BAU_USCUSS!BH161)*Emisiones_USCUSS!$M$89</f>
        <v>-4.3702332986133734E-2</v>
      </c>
      <c r="BE159" s="630">
        <f>IF(Calibración_BAU_USCUSS!BI161&lt;0, Calibración_BAU_USCUSS!BI161*-1, Calibración_BAU_USCUSS!BI161)*Emisiones_USCUSS!$M$89</f>
        <v>-4.2766543236806842E-2</v>
      </c>
      <c r="BF159" s="630">
        <f>IF(Calibración_BAU_USCUSS!BJ161&lt;0, Calibración_BAU_USCUSS!BJ161*-1, Calibración_BAU_USCUSS!BJ161)*Emisiones_USCUSS!$M$89</f>
        <v>-4.2479484735001856E-2</v>
      </c>
      <c r="BG159" s="630">
        <f>IF(Calibración_BAU_USCUSS!BK161&lt;0, Calibración_BAU_USCUSS!BK161*-1, Calibración_BAU_USCUSS!BK161)*Emisiones_USCUSS!$M$89</f>
        <v>-4.1773236510174706E-2</v>
      </c>
      <c r="BH159" s="630">
        <f>IF(Calibración_BAU_USCUSS!BL161&lt;0, Calibración_BAU_USCUSS!BL161*-1, Calibración_BAU_USCUSS!BL161)*Emisiones_USCUSS!$M$89</f>
        <v>-4.1053987115578595E-2</v>
      </c>
      <c r="BI159" s="630">
        <f>IF(Calibración_BAU_USCUSS!BM161&lt;0, Calibración_BAU_USCUSS!BM161*-1, Calibración_BAU_USCUSS!BM161)*Emisiones_USCUSS!$M$89</f>
        <v>-4.0450530763399127E-2</v>
      </c>
      <c r="BJ159" s="630">
        <f>IF(Calibración_BAU_USCUSS!BN161&lt;0, Calibración_BAU_USCUSS!BN161*-1, Calibración_BAU_USCUSS!BN161)*Emisiones_USCUSS!$M$89</f>
        <v>-3.9833321484843844E-2</v>
      </c>
      <c r="BK159" s="630">
        <f>IF(Calibración_BAU_USCUSS!BO161&lt;0, Calibración_BAU_USCUSS!BO161*-1, Calibración_BAU_USCUSS!BO161)*Emisiones_USCUSS!$M$89</f>
        <v>-3.8822337537252581E-2</v>
      </c>
      <c r="BL159" s="630">
        <f>IF(Calibración_BAU_USCUSS!BP161&lt;0, Calibración_BAU_USCUSS!BP161*-1, Calibración_BAU_USCUSS!BP161)*Emisiones_USCUSS!$M$89</f>
        <v>-3.7852320171245554E-2</v>
      </c>
      <c r="BM159" s="630">
        <f>IF(Calibración_BAU_USCUSS!BQ161&lt;0, Calibración_BAU_USCUSS!BQ161*-1, Calibración_BAU_USCUSS!BQ161)*Emisiones_USCUSS!$M$89</f>
        <v>-3.6909457435128835E-2</v>
      </c>
    </row>
    <row r="160" spans="1:65" s="939" customFormat="1" x14ac:dyDescent="0.35">
      <c r="A160" s="937"/>
      <c r="B160" s="938"/>
      <c r="C160" s="1166" t="s">
        <v>102</v>
      </c>
      <c r="D160" s="1157"/>
      <c r="E160" s="940"/>
      <c r="F160" s="940"/>
      <c r="G160" s="940"/>
      <c r="H160" s="940"/>
      <c r="M160" s="939">
        <f>IF(Calibración_BAU_USCUSS!Q162&lt;0,Calibración_BAU_USCUSS!Q162*-1, Calibración_BAU_USCUSS!Q162) *Emisiones_USCUSS!$M$90</f>
        <v>-5.6154536491689902E-2</v>
      </c>
      <c r="N160" s="939">
        <f>IF(Calibración_BAU_USCUSS!R162&lt;0,Calibración_BAU_USCUSS!R162*-1, Calibración_BAU_USCUSS!R162) *Emisiones_USCUSS!$M$90</f>
        <v>-1.9984311765434686E-2</v>
      </c>
      <c r="O160" s="939">
        <f>IF(Calibración_BAU_USCUSS!S162&lt;0,Calibración_BAU_USCUSS!S162*-1, Calibración_BAU_USCUSS!S162) *Emisiones_USCUSS!$M$90</f>
        <v>-2.0908798523446043E-2</v>
      </c>
      <c r="P160" s="939">
        <f>IF(Calibración_BAU_USCUSS!T162&lt;0,Calibración_BAU_USCUSS!T162*-1, Calibración_BAU_USCUSS!T162) *Emisiones_USCUSS!$M$90</f>
        <v>-2.0908798523446043E-2</v>
      </c>
      <c r="Q160" s="939">
        <f>IF(Calibración_BAU_USCUSS!U162&lt;0,Calibración_BAU_USCUSS!U162*-1, Calibración_BAU_USCUSS!U162) *Emisiones_USCUSS!$M$90</f>
        <v>-2.0908798523446043E-2</v>
      </c>
      <c r="R160" s="939">
        <f>IF(Calibración_BAU_USCUSS!V162&lt;0,Calibración_BAU_USCUSS!V162*-1, Calibración_BAU_USCUSS!V162) *Emisiones_USCUSS!$M$90</f>
        <v>-2.0908798523446043E-2</v>
      </c>
      <c r="S160" s="939">
        <f>IF(Calibración_BAU_USCUSS!W162&lt;0,Calibración_BAU_USCUSS!W162*-1, Calibración_BAU_USCUSS!W162) *Emisiones_USCUSS!$M$90</f>
        <v>-2.0908798523447354E-2</v>
      </c>
      <c r="T160" s="939">
        <f>IF(Calibración_BAU_USCUSS!X162&lt;0,Calibración_BAU_USCUSS!X162*-1, Calibración_BAU_USCUSS!X162) *Emisiones_USCUSS!$M$90</f>
        <v>-2.0908798523446043E-2</v>
      </c>
      <c r="U160" s="939">
        <f>IF(Calibración_BAU_USCUSS!Y162&lt;0,Calibración_BAU_USCUSS!Y162*-1, Calibración_BAU_USCUSS!Y162) *Emisiones_USCUSS!$M$90</f>
        <v>-2.0908798523446043E-2</v>
      </c>
      <c r="V160" s="939">
        <f>IF(Calibración_BAU_USCUSS!Z162&lt;0,Calibración_BAU_USCUSS!Z162*-1, Calibración_BAU_USCUSS!Z162) *Emisiones_USCUSS!$M$90</f>
        <v>-2.0908798523446043E-2</v>
      </c>
      <c r="W160" s="939">
        <f>IF(Calibración_BAU_USCUSS!AA162&lt;0,Calibración_BAU_USCUSS!AA162*-1, Calibración_BAU_USCUSS!AA162) *Emisiones_USCUSS!$M$90</f>
        <v>-2.0908798523446043E-2</v>
      </c>
      <c r="X160" s="939">
        <f>IF(Calibración_BAU_USCUSS!AB162&lt;0,Calibración_BAU_USCUSS!AB162*-1, Calibración_BAU_USCUSS!AB162) *Emisiones_USCUSS!$M$90</f>
        <v>-2.0908798523446043E-2</v>
      </c>
      <c r="Y160" s="939">
        <f>IF(Calibración_BAU_USCUSS!AC162&lt;0,Calibración_BAU_USCUSS!AC162*-1, Calibración_BAU_USCUSS!AC162) *Emisiones_USCUSS!$M$90</f>
        <v>-2.0908798523446043E-2</v>
      </c>
      <c r="Z160" s="939">
        <f>IF(Calibración_BAU_USCUSS!AD162&lt;0,Calibración_BAU_USCUSS!AD162*-1, Calibración_BAU_USCUSS!AD162) *Emisiones_USCUSS!$M$90</f>
        <v>-2.0908798523446043E-2</v>
      </c>
      <c r="AA160" s="939">
        <f>IF(Calibración_BAU_USCUSS!AE162&lt;0,Calibración_BAU_USCUSS!AE162*-1, Calibración_BAU_USCUSS!AE162) *Emisiones_USCUSS!$M$90</f>
        <v>-2.0908798523446043E-2</v>
      </c>
      <c r="AB160" s="939">
        <f>IF(Calibración_BAU_USCUSS!AF162&lt;0,Calibración_BAU_USCUSS!AF162*-1, Calibración_BAU_USCUSS!AF162) *Emisiones_USCUSS!$M$90</f>
        <v>-2.0908798523446043E-2</v>
      </c>
      <c r="AC160" s="939">
        <f>IF(Calibración_BAU_USCUSS!AG162&lt;0,Calibración_BAU_USCUSS!AG162*-1, Calibración_BAU_USCUSS!AG162) *Emisiones_USCUSS!$M$90</f>
        <v>-2.0908798523446043E-2</v>
      </c>
      <c r="AD160" s="939">
        <f>IF(Calibración_BAU_USCUSS!AH162&lt;0,Calibración_BAU_USCUSS!AH162*-1, Calibración_BAU_USCUSS!AH162) *Emisiones_USCUSS!$M$90</f>
        <v>-2.0908798523447354E-2</v>
      </c>
      <c r="AE160" s="939">
        <f>IF(Calibración_BAU_USCUSS!AI162&lt;0,Calibración_BAU_USCUSS!AI162*-1, Calibración_BAU_USCUSS!AI162) *Emisiones_USCUSS!$M$90</f>
        <v>-2.0908798523446043E-2</v>
      </c>
      <c r="AF160" s="939">
        <f>IF(Calibración_BAU_USCUSS!AJ162&lt;0,Calibración_BAU_USCUSS!AJ162*-1, Calibración_BAU_USCUSS!AJ162) *Emisiones_USCUSS!$M$90</f>
        <v>-2.0908798523446043E-2</v>
      </c>
      <c r="AG160" s="939">
        <f>IF(Calibración_BAU_USCUSS!AK162&lt;0,Calibración_BAU_USCUSS!AK162*-1, Calibración_BAU_USCUSS!AK162) *Emisiones_USCUSS!$M$90</f>
        <v>-2.0908798523446043E-2</v>
      </c>
      <c r="AH160" s="939">
        <f>IF(Calibración_BAU_USCUSS!AL162&lt;0,Calibración_BAU_USCUSS!AL162*-1, Calibración_BAU_USCUSS!AL162) *Emisiones_USCUSS!$M$90</f>
        <v>-2.0908798523446043E-2</v>
      </c>
      <c r="AI160" s="939">
        <f>IF(Calibración_BAU_USCUSS!AM162&lt;0,Calibración_BAU_USCUSS!AM162*-1, Calibración_BAU_USCUSS!AM162) *Emisiones_USCUSS!$M$90</f>
        <v>-2.0908798523446043E-2</v>
      </c>
      <c r="AJ160" s="939">
        <f>IF(Calibración_BAU_USCUSS!AN162&lt;0,Calibración_BAU_USCUSS!AN162*-1, Calibración_BAU_USCUSS!AN162) *Emisiones_USCUSS!$M$90</f>
        <v>-2.0908798523446043E-2</v>
      </c>
      <c r="AK160" s="939">
        <f>IF(Calibración_BAU_USCUSS!AO162&lt;0,Calibración_BAU_USCUSS!AO162*-1, Calibración_BAU_USCUSS!AO162) *Emisiones_USCUSS!$M$90</f>
        <v>-2.0908798523446043E-2</v>
      </c>
      <c r="AL160" s="939">
        <f>IF(Calibración_BAU_USCUSS!AP162&lt;0,Calibración_BAU_USCUSS!AP162*-1, Calibración_BAU_USCUSS!AP162) *Emisiones_USCUSS!$M$90</f>
        <v>-2.0908798523446043E-2</v>
      </c>
      <c r="AM160" s="939">
        <f>IF(Calibración_BAU_USCUSS!AQ162&lt;0,Calibración_BAU_USCUSS!AQ162*-1, Calibración_BAU_USCUSS!AQ162) *Emisiones_USCUSS!$M$90</f>
        <v>-2.0908798523446043E-2</v>
      </c>
      <c r="AN160" s="939">
        <f>IF(Calibración_BAU_USCUSS!AR162&lt;0,Calibración_BAU_USCUSS!AR162*-1, Calibración_BAU_USCUSS!AR162) *Emisiones_USCUSS!$M$90</f>
        <v>-2.0908798523446043E-2</v>
      </c>
      <c r="AO160" s="939">
        <f>IF(Calibración_BAU_USCUSS!AS162&lt;0,Calibración_BAU_USCUSS!AS162*-1, Calibración_BAU_USCUSS!AS162) *Emisiones_USCUSS!$M$90</f>
        <v>-2.0908798523447354E-2</v>
      </c>
      <c r="AP160" s="939">
        <f>IF(Calibración_BAU_USCUSS!AT162&lt;0,Calibración_BAU_USCUSS!AT162*-1, Calibración_BAU_USCUSS!AT162) *Emisiones_USCUSS!$M$90</f>
        <v>-2.0908798523446043E-2</v>
      </c>
      <c r="AQ160" s="939">
        <f>IF(Calibración_BAU_USCUSS!AU162&lt;0,Calibración_BAU_USCUSS!AU162*-1, Calibración_BAU_USCUSS!AU162) *Emisiones_USCUSS!$M$90</f>
        <v>-2.0908798523446043E-2</v>
      </c>
      <c r="AR160" s="939">
        <f>IF(Calibración_BAU_USCUSS!AV162&lt;0,Calibración_BAU_USCUSS!AV162*-1, Calibración_BAU_USCUSS!AV162) *Emisiones_USCUSS!$M$90</f>
        <v>-2.0908798523446043E-2</v>
      </c>
      <c r="AS160" s="939">
        <f>IF(Calibración_BAU_USCUSS!AW162&lt;0,Calibración_BAU_USCUSS!AW162*-1, Calibración_BAU_USCUSS!AW162) *Emisiones_USCUSS!$M$90</f>
        <v>-2.0908798523446043E-2</v>
      </c>
      <c r="AT160" s="939">
        <f>IF(Calibración_BAU_USCUSS!AX162&lt;0,Calibración_BAU_USCUSS!AX162*-1, Calibración_BAU_USCUSS!AX162) *Emisiones_USCUSS!$M$90</f>
        <v>-2.0908798523446043E-2</v>
      </c>
      <c r="AU160" s="939">
        <f>IF(Calibración_BAU_USCUSS!AY162&lt;0,Calibración_BAU_USCUSS!AY162*-1, Calibración_BAU_USCUSS!AY162) *Emisiones_USCUSS!$M$90</f>
        <v>-2.0908798523446043E-2</v>
      </c>
      <c r="AV160" s="939">
        <f>IF(Calibración_BAU_USCUSS!AZ162&lt;0,Calibración_BAU_USCUSS!AZ162*-1, Calibración_BAU_USCUSS!AZ162) *Emisiones_USCUSS!$M$90</f>
        <v>-2.0908798523446043E-2</v>
      </c>
      <c r="AW160" s="939">
        <f>IF(Calibración_BAU_USCUSS!BA162&lt;0,Calibración_BAU_USCUSS!BA162*-1, Calibración_BAU_USCUSS!BA162) *Emisiones_USCUSS!$M$90</f>
        <v>-2.0908798523446043E-2</v>
      </c>
      <c r="AX160" s="939">
        <f>IF(Calibración_BAU_USCUSS!BB162&lt;0,Calibración_BAU_USCUSS!BB162*-1, Calibración_BAU_USCUSS!BB162) *Emisiones_USCUSS!$M$90</f>
        <v>-2.0908798523446043E-2</v>
      </c>
      <c r="AY160" s="939">
        <f>IF(Calibración_BAU_USCUSS!BC162&lt;0,Calibración_BAU_USCUSS!BC162*-1, Calibración_BAU_USCUSS!BC162) *Emisiones_USCUSS!$M$90</f>
        <v>-2.0908798523447354E-2</v>
      </c>
      <c r="AZ160" s="939">
        <f>IF(Calibración_BAU_USCUSS!BD162&lt;0,Calibración_BAU_USCUSS!BD162*-1, Calibración_BAU_USCUSS!BD162) *Emisiones_USCUSS!$M$90</f>
        <v>-2.0908798523446043E-2</v>
      </c>
      <c r="BA160" s="939">
        <f>IF(Calibración_BAU_USCUSS!BE162&lt;0,Calibración_BAU_USCUSS!BE162*-1, Calibración_BAU_USCUSS!BE162) *Emisiones_USCUSS!$M$90</f>
        <v>-2.0908798523446043E-2</v>
      </c>
      <c r="BB160" s="939">
        <f>IF(Calibración_BAU_USCUSS!BF162&lt;0,Calibración_BAU_USCUSS!BF162*-1, Calibración_BAU_USCUSS!BF162) *Emisiones_USCUSS!$M$90</f>
        <v>-2.0908798523446043E-2</v>
      </c>
      <c r="BC160" s="939">
        <f>IF(Calibración_BAU_USCUSS!BG162&lt;0,Calibración_BAU_USCUSS!BG162*-1, Calibración_BAU_USCUSS!BG162) *Emisiones_USCUSS!$M$90</f>
        <v>-2.0908798523446043E-2</v>
      </c>
      <c r="BD160" s="939">
        <f>IF(Calibración_BAU_USCUSS!BH162&lt;0,Calibración_BAU_USCUSS!BH162*-1, Calibración_BAU_USCUSS!BH162) *Emisiones_USCUSS!$M$90</f>
        <v>-2.0908798523446043E-2</v>
      </c>
      <c r="BE160" s="939">
        <f>IF(Calibración_BAU_USCUSS!BI162&lt;0,Calibración_BAU_USCUSS!BI162*-1, Calibración_BAU_USCUSS!BI162) *Emisiones_USCUSS!$M$90</f>
        <v>-2.0908798523446043E-2</v>
      </c>
      <c r="BF160" s="939">
        <f>IF(Calibración_BAU_USCUSS!BJ162&lt;0,Calibración_BAU_USCUSS!BJ162*-1, Calibración_BAU_USCUSS!BJ162) *Emisiones_USCUSS!$M$90</f>
        <v>-2.0908798523446043E-2</v>
      </c>
      <c r="BG160" s="939">
        <f>IF(Calibración_BAU_USCUSS!BK162&lt;0,Calibración_BAU_USCUSS!BK162*-1, Calibración_BAU_USCUSS!BK162) *Emisiones_USCUSS!$M$90</f>
        <v>-2.0908798523446043E-2</v>
      </c>
      <c r="BH160" s="939">
        <f>IF(Calibración_BAU_USCUSS!BL162&lt;0,Calibración_BAU_USCUSS!BL162*-1, Calibración_BAU_USCUSS!BL162) *Emisiones_USCUSS!$M$90</f>
        <v>-2.0908798523446043E-2</v>
      </c>
      <c r="BI160" s="939">
        <f>IF(Calibración_BAU_USCUSS!BM162&lt;0,Calibración_BAU_USCUSS!BM162*-1, Calibración_BAU_USCUSS!BM162) *Emisiones_USCUSS!$M$90</f>
        <v>-2.0908798523446043E-2</v>
      </c>
      <c r="BJ160" s="939">
        <f>IF(Calibración_BAU_USCUSS!BN162&lt;0,Calibración_BAU_USCUSS!BN162*-1, Calibración_BAU_USCUSS!BN162) *Emisiones_USCUSS!$M$90</f>
        <v>-2.0908798523447354E-2</v>
      </c>
      <c r="BK160" s="939">
        <f>IF(Calibración_BAU_USCUSS!BO162&lt;0,Calibración_BAU_USCUSS!BO162*-1, Calibración_BAU_USCUSS!BO162) *Emisiones_USCUSS!$M$90</f>
        <v>-2.0908798523446043E-2</v>
      </c>
      <c r="BL160" s="939">
        <f>IF(Calibración_BAU_USCUSS!BP162&lt;0,Calibración_BAU_USCUSS!BP162*-1, Calibración_BAU_USCUSS!BP162) *Emisiones_USCUSS!$M$90</f>
        <v>-2.0908798523446043E-2</v>
      </c>
      <c r="BM160" s="939">
        <f>IF(Calibración_BAU_USCUSS!BQ162&lt;0,Calibración_BAU_USCUSS!BQ162*-1, Calibración_BAU_USCUSS!BQ162) *Emisiones_USCUSS!$M$90</f>
        <v>-2.0908798523446043E-2</v>
      </c>
    </row>
    <row r="161" spans="1:65" x14ac:dyDescent="0.35">
      <c r="C161" s="1167" t="s">
        <v>103</v>
      </c>
      <c r="D161" s="1153"/>
      <c r="E161" s="634"/>
      <c r="F161" s="634"/>
      <c r="G161" s="634"/>
      <c r="H161" s="634"/>
      <c r="I161" s="630"/>
      <c r="J161" s="630"/>
      <c r="K161" s="630"/>
      <c r="L161" s="630"/>
      <c r="M161" s="630">
        <f>IF(Calibración_BAU_USCUSS!Q163&lt;0,Calibración_BAU_USCUSS!Q163*-1, Calibración_BAU_USCUSS!Q163) *Emisiones_USCUSS!$M$91</f>
        <v>-8.2770768352395012E-4</v>
      </c>
      <c r="N161" s="630">
        <f>IF(Calibración_BAU_USCUSS!R163&lt;0,Calibración_BAU_USCUSS!R163*-1, Calibración_BAU_USCUSS!R163) *Emisiones_USCUSS!$M$91</f>
        <v>-4.6814286851916334E-5</v>
      </c>
      <c r="O161" s="630">
        <f>IF(Calibración_BAU_USCUSS!S163&lt;0,Calibración_BAU_USCUSS!S163*-1, Calibración_BAU_USCUSS!S163) *Emisiones_USCUSS!$M$91</f>
        <v>-4.674968313606243E-5</v>
      </c>
      <c r="P161" s="630">
        <f>IF(Calibración_BAU_USCUSS!T163&lt;0,Calibración_BAU_USCUSS!T163*-1, Calibración_BAU_USCUSS!T163) *Emisiones_USCUSS!$M$91</f>
        <v>-4.6685168573335539E-5</v>
      </c>
      <c r="Q161" s="630">
        <f>IF(Calibración_BAU_USCUSS!U163&lt;0,Calibración_BAU_USCUSS!U163*-1, Calibración_BAU_USCUSS!U163) *Emisiones_USCUSS!$M$91</f>
        <v>-4.6620743040704165E-5</v>
      </c>
      <c r="R161" s="630">
        <f>IF(Calibración_BAU_USCUSS!V163&lt;0,Calibración_BAU_USCUSS!V163*-1, Calibración_BAU_USCUSS!V163) *Emisiones_USCUSS!$M$91</f>
        <v>-4.6556406415305245E-5</v>
      </c>
      <c r="S161" s="630">
        <f>IF(Calibración_BAU_USCUSS!W163&lt;0,Calibración_BAU_USCUSS!W163*-1, Calibración_BAU_USCUSS!W163) *Emisiones_USCUSS!$M$91</f>
        <v>-4.6492158574451775E-5</v>
      </c>
      <c r="T161" s="630">
        <f>IF(Calibración_BAU_USCUSS!X163&lt;0,Calibración_BAU_USCUSS!X163*-1, Calibración_BAU_USCUSS!X163) *Emisiones_USCUSS!$M$91</f>
        <v>-4.6427999395621328E-5</v>
      </c>
      <c r="U161" s="630">
        <f>IF(Calibración_BAU_USCUSS!Y163&lt;0,Calibración_BAU_USCUSS!Y163*-1, Calibración_BAU_USCUSS!Y163) *Emisiones_USCUSS!$M$91</f>
        <v>-4.6363928756456063E-5</v>
      </c>
      <c r="V161" s="630">
        <f>IF(Calibración_BAU_USCUSS!Z163&lt;0,Calibración_BAU_USCUSS!Z163*-1, Calibración_BAU_USCUSS!Z163) *Emisiones_USCUSS!$M$91</f>
        <v>-4.6299946534770375E-5</v>
      </c>
      <c r="W161" s="630">
        <f>IF(Calibración_BAU_USCUSS!AA163&lt;0,Calibración_BAU_USCUSS!AA163*-1, Calibración_BAU_USCUSS!AA163) *Emisiones_USCUSS!$M$91</f>
        <v>-4.6236052608554736E-5</v>
      </c>
      <c r="X161" s="630">
        <f>IF(Calibración_BAU_USCUSS!AB163&lt;0,Calibración_BAU_USCUSS!AB163*-1, Calibración_BAU_USCUSS!AB163) *Emisiones_USCUSS!$M$91</f>
        <v>-4.6172246855952689E-5</v>
      </c>
      <c r="Y161" s="630">
        <f>IF(Calibración_BAU_USCUSS!AC163&lt;0,Calibración_BAU_USCUSS!AC163*-1, Calibración_BAU_USCUSS!AC163) *Emisiones_USCUSS!$M$91</f>
        <v>-4.6108529155291544E-5</v>
      </c>
      <c r="Z161" s="630">
        <f>IF(Calibración_BAU_USCUSS!AD163&lt;0,Calibración_BAU_USCUSS!AD163*-1, Calibración_BAU_USCUSS!AD163) *Emisiones_USCUSS!$M$91</f>
        <v>-4.6044899385059322E-5</v>
      </c>
      <c r="AA161" s="630">
        <f>IF(Calibración_BAU_USCUSS!AE163&lt;0,Calibración_BAU_USCUSS!AE163*-1, Calibración_BAU_USCUSS!AE163) *Emisiones_USCUSS!$M$91</f>
        <v>-4.5981357423904824E-5</v>
      </c>
      <c r="AB161" s="630">
        <f>IF(Calibración_BAU_USCUSS!AF163&lt;0,Calibración_BAU_USCUSS!AF163*-1, Calibración_BAU_USCUSS!AF163) *Emisiones_USCUSS!$M$91</f>
        <v>-4.5917903150660569E-5</v>
      </c>
      <c r="AC161" s="630">
        <f>IF(Calibración_BAU_USCUSS!AG163&lt;0,Calibración_BAU_USCUSS!AG163*-1, Calibración_BAU_USCUSS!AG163) *Emisiones_USCUSS!$M$91</f>
        <v>-4.585453644431216E-5</v>
      </c>
      <c r="AD161" s="630">
        <f>IF(Calibración_BAU_USCUSS!AH163&lt;0,Calibración_BAU_USCUSS!AH163*-1, Calibración_BAU_USCUSS!AH163) *Emisiones_USCUSS!$M$91</f>
        <v>-4.5791257184021288E-5</v>
      </c>
      <c r="AE161" s="630">
        <f>IF(Calibración_BAU_USCUSS!AI163&lt;0,Calibración_BAU_USCUSS!AI163*-1, Calibración_BAU_USCUSS!AI163) *Emisiones_USCUSS!$M$91</f>
        <v>-4.5728065249106567E-5</v>
      </c>
      <c r="AF161" s="630">
        <f>IF(Calibración_BAU_USCUSS!AJ163&lt;0,Calibración_BAU_USCUSS!AJ163*-1, Calibración_BAU_USCUSS!AJ163) *Emisiones_USCUSS!$M$91</f>
        <v>-4.5664960519062659E-5</v>
      </c>
      <c r="AG161" s="630">
        <f>IF(Calibración_BAU_USCUSS!AK163&lt;0,Calibración_BAU_USCUSS!AK163*-1, Calibración_BAU_USCUSS!AK163) *Emisiones_USCUSS!$M$91</f>
        <v>-4.5601942873544993E-5</v>
      </c>
      <c r="AH161" s="630">
        <f>IF(Calibración_BAU_USCUSS!AL163&lt;0,Calibración_BAU_USCUSS!AL163*-1, Calibración_BAU_USCUSS!AL163) *Emisiones_USCUSS!$M$91</f>
        <v>-4.5539012192381252E-5</v>
      </c>
      <c r="AI161" s="630">
        <f>IF(Calibración_BAU_USCUSS!AM163&lt;0,Calibración_BAU_USCUSS!AM163*-1, Calibración_BAU_USCUSS!AM163) *Emisiones_USCUSS!$M$91</f>
        <v>-4.5476168355556007E-5</v>
      </c>
      <c r="AJ161" s="630">
        <f>IF(Calibración_BAU_USCUSS!AN163&lt;0,Calibración_BAU_USCUSS!AN163*-1, Calibración_BAU_USCUSS!AN163) *Emisiones_USCUSS!$M$91</f>
        <v>-4.5413411243226125E-5</v>
      </c>
      <c r="AK161" s="630">
        <f>IF(Calibración_BAU_USCUSS!AO163&lt;0,Calibración_BAU_USCUSS!AO163*-1, Calibración_BAU_USCUSS!AO163) *Emisiones_USCUSS!$M$91</f>
        <v>-4.5350740735709164E-5</v>
      </c>
      <c r="AL161" s="630">
        <f>IF(Calibración_BAU_USCUSS!AP163&lt;0,Calibración_BAU_USCUSS!AP163*-1, Calibración_BAU_USCUSS!AP163) *Emisiones_USCUSS!$M$91</f>
        <v>-4.5288156713494968E-5</v>
      </c>
      <c r="AM161" s="630">
        <f>IF(Calibración_BAU_USCUSS!AQ163&lt;0,Calibración_BAU_USCUSS!AQ163*-1, Calibración_BAU_USCUSS!AQ163) *Emisiones_USCUSS!$M$91</f>
        <v>-4.5225659057230287E-5</v>
      </c>
      <c r="AN161" s="630">
        <f>IF(Calibración_BAU_USCUSS!AR163&lt;0,Calibración_BAU_USCUSS!AR163*-1, Calibración_BAU_USCUSS!AR163) *Emisiones_USCUSS!$M$91</f>
        <v>-4.5163247647730279E-5</v>
      </c>
      <c r="AO161" s="630">
        <f>IF(Calibración_BAU_USCUSS!AS163&lt;0,Calibración_BAU_USCUSS!AS163*-1, Calibración_BAU_USCUSS!AS163) *Emisiones_USCUSS!$M$91</f>
        <v>-4.5100922365974714E-5</v>
      </c>
      <c r="AP161" s="630">
        <f>IF(Calibración_BAU_USCUSS!AT163&lt;0,Calibración_BAU_USCUSS!AT163*-1, Calibración_BAU_USCUSS!AT163) *Emisiones_USCUSS!$M$91</f>
        <v>-4.503868309311173E-5</v>
      </c>
      <c r="AQ161" s="630">
        <f>IF(Calibración_BAU_USCUSS!AU163&lt;0,Calibración_BAU_USCUSS!AU163*-1, Calibración_BAU_USCUSS!AU163) *Emisiones_USCUSS!$M$91</f>
        <v>-4.4976529710442594E-5</v>
      </c>
      <c r="AR161" s="630">
        <f>IF(Calibración_BAU_USCUSS!AV163&lt;0,Calibración_BAU_USCUSS!AV163*-1, Calibración_BAU_USCUSS!AV163) *Emisiones_USCUSS!$M$91</f>
        <v>-4.4914462099440795E-5</v>
      </c>
      <c r="AS161" s="630">
        <f>IF(Calibración_BAU_USCUSS!AW163&lt;0,Calibración_BAU_USCUSS!AW163*-1, Calibración_BAU_USCUSS!AW163) *Emisiones_USCUSS!$M$91</f>
        <v>-4.4852480141744428E-5</v>
      </c>
      <c r="AT161" s="630">
        <f>IF(Calibración_BAU_USCUSS!AX163&lt;0,Calibración_BAU_USCUSS!AX163*-1, Calibración_BAU_USCUSS!AX163) *Emisiones_USCUSS!$M$91</f>
        <v>-4.479058371914848E-5</v>
      </c>
      <c r="AU161" s="630">
        <f>IF(Calibración_BAU_USCUSS!AY163&lt;0,Calibración_BAU_USCUSS!AY163*-1, Calibración_BAU_USCUSS!AY163) *Emisiones_USCUSS!$M$91</f>
        <v>-4.4728772713616389E-5</v>
      </c>
      <c r="AV161" s="630">
        <f>IF(Calibración_BAU_USCUSS!AZ163&lt;0,Calibración_BAU_USCUSS!AZ163*-1, Calibración_BAU_USCUSS!AZ163) *Emisiones_USCUSS!$M$91</f>
        <v>-4.4667047007272326E-5</v>
      </c>
      <c r="AW161" s="630">
        <f>IF(Calibración_BAU_USCUSS!BA163&lt;0,Calibración_BAU_USCUSS!BA163*-1, Calibración_BAU_USCUSS!BA163) *Emisiones_USCUSS!$M$91</f>
        <v>-4.4605406482401203E-5</v>
      </c>
      <c r="AX161" s="630">
        <f>IF(Calibración_BAU_USCUSS!BB163&lt;0,Calibración_BAU_USCUSS!BB163*-1, Calibración_BAU_USCUSS!BB163) *Emisiones_USCUSS!$M$91</f>
        <v>-4.4543851021456386E-5</v>
      </c>
      <c r="AY161" s="630">
        <f>IF(Calibración_BAU_USCUSS!BC163&lt;0,Calibración_BAU_USCUSS!BC163*-1, Calibración_BAU_USCUSS!BC163) *Emisiones_USCUSS!$M$91</f>
        <v>-4.4482380507048117E-5</v>
      </c>
      <c r="AZ161" s="630">
        <f>IF(Calibración_BAU_USCUSS!BD163&lt;0,Calibración_BAU_USCUSS!BD163*-1, Calibración_BAU_USCUSS!BD163) *Emisiones_USCUSS!$M$91</f>
        <v>-4.442099482194744E-5</v>
      </c>
      <c r="BA161" s="630">
        <f>IF(Calibración_BAU_USCUSS!BE163&lt;0,Calibración_BAU_USCUSS!BE163*-1, Calibración_BAU_USCUSS!BE163) *Emisiones_USCUSS!$M$91</f>
        <v>-4.4359693849093767E-5</v>
      </c>
      <c r="BB161" s="630">
        <f>IF(Calibración_BAU_USCUSS!BF163&lt;0,Calibración_BAU_USCUSS!BF163*-1, Calibración_BAU_USCUSS!BF163) *Emisiones_USCUSS!$M$91</f>
        <v>-4.4298477471579657E-5</v>
      </c>
      <c r="BC161" s="630">
        <f>IF(Calibración_BAU_USCUSS!BG163&lt;0,Calibración_BAU_USCUSS!BG163*-1, Calibración_BAU_USCUSS!BG163) *Emisiones_USCUSS!$M$91</f>
        <v>-4.4237345572669855E-5</v>
      </c>
      <c r="BD161" s="630">
        <f>IF(Calibración_BAU_USCUSS!BH163&lt;0,Calibración_BAU_USCUSS!BH163*-1, Calibración_BAU_USCUSS!BH163) *Emisiones_USCUSS!$M$91</f>
        <v>-4.4176298035778428E-5</v>
      </c>
      <c r="BE161" s="630">
        <f>IF(Calibración_BAU_USCUSS!BI163&lt;0,Calibración_BAU_USCUSS!BI163*-1, Calibración_BAU_USCUSS!BI163) *Emisiones_USCUSS!$M$91</f>
        <v>-4.4115334744491641E-5</v>
      </c>
      <c r="BF161" s="630">
        <f>IF(Calibración_BAU_USCUSS!BJ163&lt;0,Calibración_BAU_USCUSS!BJ163*-1, Calibración_BAU_USCUSS!BJ163) *Emisiones_USCUSS!$M$91</f>
        <v>-4.4054455582545066E-5</v>
      </c>
      <c r="BG161" s="630">
        <f>IF(Calibración_BAU_USCUSS!BK163&lt;0,Calibración_BAU_USCUSS!BK163*-1, Calibración_BAU_USCUSS!BK163) *Emisiones_USCUSS!$M$91</f>
        <v>-4.3993660433838826E-5</v>
      </c>
      <c r="BH161" s="630">
        <f>IF(Calibración_BAU_USCUSS!BL163&lt;0,Calibración_BAU_USCUSS!BL163*-1, Calibración_BAU_USCUSS!BL163) *Emisiones_USCUSS!$M$91</f>
        <v>-4.3932949182441479E-5</v>
      </c>
      <c r="BI161" s="630">
        <f>IF(Calibración_BAU_USCUSS!BM163&lt;0,Calibración_BAU_USCUSS!BM163*-1, Calibración_BAU_USCUSS!BM163) *Emisiones_USCUSS!$M$91</f>
        <v>-4.3872321712567017E-5</v>
      </c>
      <c r="BJ161" s="630">
        <f>IF(Calibración_BAU_USCUSS!BN163&lt;0,Calibración_BAU_USCUSS!BN163*-1, Calibración_BAU_USCUSS!BN163) *Emisiones_USCUSS!$M$91</f>
        <v>-4.3811777908605497E-5</v>
      </c>
      <c r="BK161" s="630">
        <f>IF(Calibración_BAU_USCUSS!BO163&lt;0,Calibración_BAU_USCUSS!BO163*-1, Calibración_BAU_USCUSS!BO163) *Emisiones_USCUSS!$M$91</f>
        <v>-4.3751317655092431E-5</v>
      </c>
      <c r="BL161" s="630">
        <f>IF(Calibración_BAU_USCUSS!BP163&lt;0,Calibración_BAU_USCUSS!BP163*-1, Calibración_BAU_USCUSS!BP163) *Emisiones_USCUSS!$M$91</f>
        <v>-4.3690940836727898E-5</v>
      </c>
      <c r="BM161" s="630">
        <f>IF(Calibración_BAU_USCUSS!BQ163&lt;0,Calibración_BAU_USCUSS!BQ163*-1, Calibración_BAU_USCUSS!BQ163) *Emisiones_USCUSS!$M$91</f>
        <v>-4.3630647338372753E-5</v>
      </c>
    </row>
    <row r="162" spans="1:65" x14ac:dyDescent="0.35">
      <c r="C162" s="1167" t="s">
        <v>57</v>
      </c>
      <c r="D162" s="1153"/>
      <c r="E162" s="634"/>
      <c r="F162" s="634"/>
      <c r="G162" s="634"/>
      <c r="H162" s="634"/>
      <c r="I162" s="630"/>
      <c r="J162" s="630"/>
      <c r="K162" s="630"/>
      <c r="L162" s="630"/>
      <c r="M162" s="630">
        <f>IF(Calibración_BAU_USCUSS!Q164&lt;0,Calibración_BAU_USCUSS!Q164*-1, Calibración_BAU_USCUSS!Q164) *Emisiones_USCUSS!$M$93</f>
        <v>-2.0788512712983003E-3</v>
      </c>
      <c r="N162" s="630">
        <f>IF(Calibración_BAU_USCUSS!R164&lt;0,Calibración_BAU_USCUSS!R164*-1, Calibración_BAU_USCUSS!R164) *Emisiones_USCUSS!$M$93</f>
        <v>-3.8377917490051665E-4</v>
      </c>
      <c r="O162" s="630">
        <f>IF(Calibración_BAU_USCUSS!S164&lt;0,Calibración_BAU_USCUSS!S164*-1, Calibración_BAU_USCUSS!S164) *Emisiones_USCUSS!$M$93</f>
        <v>-3.8859088430127296E-4</v>
      </c>
      <c r="P162" s="630">
        <f>IF(Calibración_BAU_USCUSS!T164&lt;0,Calibración_BAU_USCUSS!T164*-1, Calibración_BAU_USCUSS!T164) *Emisiones_USCUSS!$M$93</f>
        <v>-3.9346292148652648E-4</v>
      </c>
      <c r="Q162" s="630">
        <f>IF(Calibración_BAU_USCUSS!U164&lt;0,Calibración_BAU_USCUSS!U164*-1, Calibración_BAU_USCUSS!U164) *Emisiones_USCUSS!$M$93</f>
        <v>-3.979829569174394E-4</v>
      </c>
      <c r="R162" s="630">
        <f>IF(Calibración_BAU_USCUSS!V164&lt;0,Calibración_BAU_USCUSS!V164*-1, Calibración_BAU_USCUSS!V164) *Emisiones_USCUSS!$M$93</f>
        <v>-4.0296757534342688E-4</v>
      </c>
      <c r="S162" s="630">
        <f>IF(Calibración_BAU_USCUSS!W164&lt;0,Calibración_BAU_USCUSS!W164*-1, Calibración_BAU_USCUSS!W164) *Emisiones_USCUSS!$M$93</f>
        <v>-4.0801462463591358E-4</v>
      </c>
      <c r="T162" s="630">
        <f>IF(Calibración_BAU_USCUSS!X164&lt;0,Calibración_BAU_USCUSS!X164*-1, Calibración_BAU_USCUSS!X164) *Emisiones_USCUSS!$M$93</f>
        <v>-4.1312488672298146E-4</v>
      </c>
      <c r="U162" s="630">
        <f>IF(Calibración_BAU_USCUSS!Y164&lt;0,Calibración_BAU_USCUSS!Y164*-1, Calibración_BAU_USCUSS!Y164) *Emisiones_USCUSS!$M$93</f>
        <v>-4.1829915332611424E-4</v>
      </c>
      <c r="V162" s="630">
        <f>IF(Calibración_BAU_USCUSS!Z164&lt;0,Calibración_BAU_USCUSS!Z164*-1, Calibración_BAU_USCUSS!Z164) *Emisiones_USCUSS!$M$93</f>
        <v>-4.2353822608288369E-4</v>
      </c>
      <c r="W162" s="630">
        <f>IF(Calibración_BAU_USCUSS!AA164&lt;0,Calibración_BAU_USCUSS!AA164*-1, Calibración_BAU_USCUSS!AA164) *Emisiones_USCUSS!$M$93</f>
        <v>-4.2884291667113074E-4</v>
      </c>
      <c r="X162" s="630">
        <f>IF(Calibración_BAU_USCUSS!AB164&lt;0,Calibración_BAU_USCUSS!AB164*-1, Calibración_BAU_USCUSS!AB164) *Emisiones_USCUSS!$M$93</f>
        <v>-4.3421404693472606E-4</v>
      </c>
      <c r="Y162" s="630">
        <f>IF(Calibración_BAU_USCUSS!AC164&lt;0,Calibración_BAU_USCUSS!AC164*-1, Calibración_BAU_USCUSS!AC164) *Emisiones_USCUSS!$M$93</f>
        <v>-4.3965244901088046E-4</v>
      </c>
      <c r="Z162" s="630">
        <f>IF(Calibración_BAU_USCUSS!AD164&lt;0,Calibración_BAU_USCUSS!AD164*-1, Calibración_BAU_USCUSS!AD164) *Emisiones_USCUSS!$M$93</f>
        <v>-4.4515896545908249E-4</v>
      </c>
      <c r="AA162" s="630">
        <f>IF(Calibración_BAU_USCUSS!AE164&lt;0,Calibración_BAU_USCUSS!AE164*-1, Calibración_BAU_USCUSS!AE164) *Emisiones_USCUSS!$M$93</f>
        <v>-4.5073444939163192E-4</v>
      </c>
      <c r="AB162" s="630">
        <f>IF(Calibración_BAU_USCUSS!AF164&lt;0,Calibración_BAU_USCUSS!AF164*-1, Calibración_BAU_USCUSS!AF164) *Emisiones_USCUSS!$M$93</f>
        <v>-4.5637976460580063E-4</v>
      </c>
      <c r="AC162" s="630">
        <f>IF(Calibración_BAU_USCUSS!AG164&lt;0,Calibración_BAU_USCUSS!AG164*-1, Calibración_BAU_USCUSS!AG164) *Emisiones_USCUSS!$M$93</f>
        <v>-4.6209578571766849E-4</v>
      </c>
      <c r="AD162" s="630">
        <f>IF(Calibración_BAU_USCUSS!AH164&lt;0,Calibración_BAU_USCUSS!AH164*-1, Calibración_BAU_USCUSS!AH164) *Emisiones_USCUSS!$M$93</f>
        <v>-4.6788339829760886E-4</v>
      </c>
      <c r="AE162" s="630">
        <f>IF(Calibración_BAU_USCUSS!AI164&lt;0,Calibración_BAU_USCUSS!AI164*-1, Calibración_BAU_USCUSS!AI164) *Emisiones_USCUSS!$M$93</f>
        <v>-4.7374349900753527E-4</v>
      </c>
      <c r="AF162" s="630">
        <f>IF(Calibración_BAU_USCUSS!AJ164&lt;0,Calibración_BAU_USCUSS!AJ164*-1, Calibración_BAU_USCUSS!AJ164) *Emisiones_USCUSS!$M$93</f>
        <v>-4.7967699573974425E-4</v>
      </c>
      <c r="AG162" s="630">
        <f>IF(Calibración_BAU_USCUSS!AK164&lt;0,Calibración_BAU_USCUSS!AK164*-1, Calibración_BAU_USCUSS!AK164) *Emisiones_USCUSS!$M$93</f>
        <v>-4.8568480775764317E-4</v>
      </c>
      <c r="AH162" s="630">
        <f>IF(Calibración_BAU_USCUSS!AL164&lt;0,Calibración_BAU_USCUSS!AL164*-1, Calibración_BAU_USCUSS!AL164) *Emisiones_USCUSS!$M$93</f>
        <v>-4.9176786583812965E-4</v>
      </c>
      <c r="AI162" s="630">
        <f>IF(Calibración_BAU_USCUSS!AM164&lt;0,Calibración_BAU_USCUSS!AM164*-1, Calibración_BAU_USCUSS!AM164) *Emisiones_USCUSS!$M$93</f>
        <v>-4.9792711241580063E-4</v>
      </c>
      <c r="AJ162" s="630">
        <f>IF(Calibración_BAU_USCUSS!AN164&lt;0,Calibración_BAU_USCUSS!AN164*-1, Calibración_BAU_USCUSS!AN164) *Emisiones_USCUSS!$M$93</f>
        <v>-5.0416350172897799E-4</v>
      </c>
      <c r="AK162" s="630">
        <f>IF(Calibración_BAU_USCUSS!AO164&lt;0,Calibración_BAU_USCUSS!AO164*-1, Calibración_BAU_USCUSS!AO164) *Emisiones_USCUSS!$M$93</f>
        <v>-5.1047799996753256E-4</v>
      </c>
      <c r="AL162" s="630">
        <f>IF(Calibración_BAU_USCUSS!AP164&lt;0,Calibración_BAU_USCUSS!AP164*-1, Calibración_BAU_USCUSS!AP164) *Emisiones_USCUSS!$M$93</f>
        <v>-5.1687158542257079E-4</v>
      </c>
      <c r="AM162" s="630">
        <f>IF(Calibración_BAU_USCUSS!AQ164&lt;0,Calibración_BAU_USCUSS!AQ164*-1, Calibración_BAU_USCUSS!AQ164) *Emisiones_USCUSS!$M$93</f>
        <v>-5.233452486380066E-4</v>
      </c>
      <c r="AN162" s="630">
        <f>IF(Calibración_BAU_USCUSS!AR164&lt;0,Calibración_BAU_USCUSS!AR164*-1, Calibración_BAU_USCUSS!AR164) *Emisiones_USCUSS!$M$93</f>
        <v>-5.2989999256402697E-4</v>
      </c>
      <c r="AO162" s="630">
        <f>IF(Calibración_BAU_USCUSS!AS164&lt;0,Calibración_BAU_USCUSS!AS164*-1, Calibración_BAU_USCUSS!AS164) *Emisiones_USCUSS!$M$93</f>
        <v>-5.3653683271247417E-4</v>
      </c>
      <c r="AP162" s="630">
        <f>IF(Calibración_BAU_USCUSS!AT164&lt;0,Calibración_BAU_USCUSS!AT164*-1, Calibración_BAU_USCUSS!AT164) *Emisiones_USCUSS!$M$93</f>
        <v>-5.4325679731416043E-4</v>
      </c>
      <c r="AQ162" s="630">
        <f>IF(Calibración_BAU_USCUSS!AU164&lt;0,Calibración_BAU_USCUSS!AU164*-1, Calibración_BAU_USCUSS!AU164) *Emisiones_USCUSS!$M$93</f>
        <v>-5.5006092747820145E-4</v>
      </c>
      <c r="AR162" s="630">
        <f>IF(Calibración_BAU_USCUSS!AV164&lt;0,Calibración_BAU_USCUSS!AV164*-1, Calibración_BAU_USCUSS!AV164) *Emisiones_USCUSS!$M$93</f>
        <v>-5.5695027735328212E-4</v>
      </c>
      <c r="AS162" s="630">
        <f>IF(Calibración_BAU_USCUSS!AW164&lt;0,Calibración_BAU_USCUSS!AW164*-1, Calibración_BAU_USCUSS!AW164) *Emisiones_USCUSS!$M$93</f>
        <v>-5.6392591429099562E-4</v>
      </c>
      <c r="AT162" s="630">
        <f>IF(Calibración_BAU_USCUSS!AX164&lt;0,Calibración_BAU_USCUSS!AX164*-1, Calibración_BAU_USCUSS!AX164) *Emisiones_USCUSS!$M$93</f>
        <v>-5.7098891901120148E-4</v>
      </c>
      <c r="AU162" s="630">
        <f>IF(Calibración_BAU_USCUSS!AY164&lt;0,Calibración_BAU_USCUSS!AY164*-1, Calibración_BAU_USCUSS!AY164) *Emisiones_USCUSS!$M$93</f>
        <v>-5.7814038576943234E-4</v>
      </c>
      <c r="AV162" s="630">
        <f>IF(Calibración_BAU_USCUSS!AZ164&lt;0,Calibración_BAU_USCUSS!AZ164*-1, Calibración_BAU_USCUSS!AZ164) *Emisiones_USCUSS!$M$93</f>
        <v>-5.8538142252647773E-4</v>
      </c>
      <c r="AW162" s="630">
        <f>IF(Calibración_BAU_USCUSS!BA164&lt;0,Calibración_BAU_USCUSS!BA164*-1, Calibración_BAU_USCUSS!BA164) *Emisiones_USCUSS!$M$93</f>
        <v>-5.9271315111997659E-4</v>
      </c>
      <c r="AX162" s="630">
        <f>IF(Calibración_BAU_USCUSS!BB164&lt;0,Calibración_BAU_USCUSS!BB164*-1, Calibración_BAU_USCUSS!BB164) *Emisiones_USCUSS!$M$93</f>
        <v>-6.0013670743827173E-4</v>
      </c>
      <c r="AY162" s="630">
        <f>IF(Calibración_BAU_USCUSS!BC164&lt;0,Calibración_BAU_USCUSS!BC164*-1, Calibración_BAU_USCUSS!BC164) *Emisiones_USCUSS!$M$93</f>
        <v>-6.0765324159636172E-4</v>
      </c>
      <c r="AZ162" s="630">
        <f>IF(Calibración_BAU_USCUSS!BD164&lt;0,Calibración_BAU_USCUSS!BD164*-1, Calibración_BAU_USCUSS!BD164) *Emisiones_USCUSS!$M$93</f>
        <v>-6.1526391811410461E-4</v>
      </c>
      <c r="BA162" s="630">
        <f>IF(Calibración_BAU_USCUSS!BE164&lt;0,Calibración_BAU_USCUSS!BE164*-1, Calibración_BAU_USCUSS!BE164) *Emisiones_USCUSS!$M$93</f>
        <v>-6.2296991609661384E-4</v>
      </c>
      <c r="BB162" s="630">
        <f>IF(Calibración_BAU_USCUSS!BF164&lt;0,Calibración_BAU_USCUSS!BF164*-1, Calibración_BAU_USCUSS!BF164) *Emisiones_USCUSS!$M$93</f>
        <v>-6.3077242941693749E-4</v>
      </c>
      <c r="BC162" s="630">
        <f>IF(Calibración_BAU_USCUSS!BG164&lt;0,Calibración_BAU_USCUSS!BG164*-1, Calibración_BAU_USCUSS!BG164) *Emisiones_USCUSS!$M$93</f>
        <v>-6.3867266690105441E-4</v>
      </c>
      <c r="BD162" s="630">
        <f>IF(Calibración_BAU_USCUSS!BH164&lt;0,Calibración_BAU_USCUSS!BH164*-1, Calibración_BAU_USCUSS!BH164) *Emisiones_USCUSS!$M$93</f>
        <v>-6.4667185251509956E-4</v>
      </c>
      <c r="BE162" s="630">
        <f>IF(Calibración_BAU_USCUSS!BI164&lt;0,Calibración_BAU_USCUSS!BI164*-1, Calibración_BAU_USCUSS!BI164) *Emisiones_USCUSS!$M$93</f>
        <v>-6.5477122555504552E-4</v>
      </c>
      <c r="BF162" s="630">
        <f>IF(Calibración_BAU_USCUSS!BJ164&lt;0,Calibración_BAU_USCUSS!BJ164*-1, Calibración_BAU_USCUSS!BJ164) *Emisiones_USCUSS!$M$93</f>
        <v>-6.629720408386704E-4</v>
      </c>
      <c r="BG162" s="630">
        <f>IF(Calibración_BAU_USCUSS!BK164&lt;0,Calibración_BAU_USCUSS!BK164*-1, Calibración_BAU_USCUSS!BK164) *Emisiones_USCUSS!$M$93</f>
        <v>-6.7127556889995702E-4</v>
      </c>
      <c r="BH162" s="630">
        <f>IF(Calibración_BAU_USCUSS!BL164&lt;0,Calibración_BAU_USCUSS!BL164*-1, Calibración_BAU_USCUSS!BL164) *Emisiones_USCUSS!$M$93</f>
        <v>-6.7968309618598088E-4</v>
      </c>
      <c r="BI162" s="630">
        <f>IF(Calibración_BAU_USCUSS!BM164&lt;0,Calibración_BAU_USCUSS!BM164*-1, Calibración_BAU_USCUSS!BM164) *Emisiones_USCUSS!$M$93</f>
        <v>-6.8819592525615355E-4</v>
      </c>
      <c r="BJ162" s="630">
        <f>IF(Calibración_BAU_USCUSS!BN164&lt;0,Calibración_BAU_USCUSS!BN164*-1, Calibración_BAU_USCUSS!BN164) *Emisiones_USCUSS!$M$93</f>
        <v>-6.9681537498408614E-4</v>
      </c>
      <c r="BK162" s="630">
        <f>IF(Calibración_BAU_USCUSS!BO164&lt;0,Calibración_BAU_USCUSS!BO164*-1, Calibración_BAU_USCUSS!BO164) *Emisiones_USCUSS!$M$93</f>
        <v>-7.0554278076186312E-4</v>
      </c>
      <c r="BL162" s="630">
        <f>IF(Calibración_BAU_USCUSS!BP164&lt;0,Calibración_BAU_USCUSS!BP164*-1, Calibración_BAU_USCUSS!BP164) *Emisiones_USCUSS!$M$93</f>
        <v>-7.1437949470697657E-4</v>
      </c>
      <c r="BM162" s="630">
        <f>IF(Calibración_BAU_USCUSS!BQ164&lt;0,Calibración_BAU_USCUSS!BQ164*-1, Calibración_BAU_USCUSS!BQ164) *Emisiones_USCUSS!$M$93</f>
        <v>-7.2332688587177887E-4</v>
      </c>
    </row>
    <row r="163" spans="1:65" x14ac:dyDescent="0.35">
      <c r="D163" s="93"/>
      <c r="E163" s="112"/>
      <c r="F163" s="112"/>
      <c r="G163" s="112"/>
      <c r="H163" s="112"/>
      <c r="M163" s="373">
        <f>SUM(M158:M162)</f>
        <v>-0.15617164845718015</v>
      </c>
      <c r="N163" s="373">
        <f t="shared" ref="N163:P163" si="9">SUM(N158:N162)</f>
        <v>-0.10810027575072723</v>
      </c>
      <c r="O163" s="373">
        <f t="shared" si="9"/>
        <v>-0.13995153123368645</v>
      </c>
      <c r="P163" s="373">
        <f t="shared" si="9"/>
        <v>-0.1716138504876428</v>
      </c>
      <c r="Q163" s="373">
        <f>SUM(Q158:Q162)</f>
        <v>-0.17183864628543283</v>
      </c>
      <c r="R163" s="373">
        <f t="shared" ref="R163:BM163" si="10">SUM(R158:R162)</f>
        <v>-0.16592002632568464</v>
      </c>
      <c r="S163" s="373">
        <f t="shared" si="10"/>
        <v>-0.16736928543480584</v>
      </c>
      <c r="T163" s="373">
        <f t="shared" si="10"/>
        <v>-0.15847464373538561</v>
      </c>
      <c r="U163" s="373">
        <f t="shared" si="10"/>
        <v>-0.15322765559836643</v>
      </c>
      <c r="V163" s="373">
        <f t="shared" si="10"/>
        <v>-0.15933129329839527</v>
      </c>
      <c r="W163" s="373">
        <f t="shared" si="10"/>
        <v>-0.15435190533372639</v>
      </c>
      <c r="X163" s="373">
        <f t="shared" si="10"/>
        <v>-0.1432969766339646</v>
      </c>
      <c r="Y163" s="373">
        <f t="shared" si="10"/>
        <v>-0.1449621047811249</v>
      </c>
      <c r="Z163" s="373">
        <f t="shared" si="10"/>
        <v>-0.15176593406020586</v>
      </c>
      <c r="AA163" s="373">
        <f t="shared" si="10"/>
        <v>-0.1424642181406322</v>
      </c>
      <c r="AB163" s="373">
        <f t="shared" si="10"/>
        <v>-0.14619809216419377</v>
      </c>
      <c r="AC163" s="373">
        <f t="shared" si="10"/>
        <v>-0.13937669938583014</v>
      </c>
      <c r="AD163" s="373">
        <f t="shared" si="10"/>
        <v>-0.13926321039340728</v>
      </c>
      <c r="AE163" s="373">
        <f t="shared" si="10"/>
        <v>-0.14153956507008519</v>
      </c>
      <c r="AF163" s="373">
        <f t="shared" si="10"/>
        <v>-0.13897893853450127</v>
      </c>
      <c r="AG163" s="373">
        <f t="shared" si="10"/>
        <v>-0.14050892213704613</v>
      </c>
      <c r="AH163" s="373">
        <f t="shared" si="10"/>
        <v>-0.14407076522529261</v>
      </c>
      <c r="AI163" s="373">
        <f t="shared" si="10"/>
        <v>-0.14206974763675925</v>
      </c>
      <c r="AJ163" s="373">
        <f t="shared" si="10"/>
        <v>-0.14386510604334371</v>
      </c>
      <c r="AK163" s="373">
        <f t="shared" si="10"/>
        <v>-0.14425861657561009</v>
      </c>
      <c r="AL163" s="373">
        <f t="shared" si="10"/>
        <v>-0.13985263682240506</v>
      </c>
      <c r="AM163" s="373">
        <f t="shared" si="10"/>
        <v>-0.14619555240258991</v>
      </c>
      <c r="AN163" s="373">
        <f t="shared" si="10"/>
        <v>-0.1432147341558464</v>
      </c>
      <c r="AO163" s="373">
        <f t="shared" si="10"/>
        <v>-0.1491047672384494</v>
      </c>
      <c r="AP163" s="373">
        <f t="shared" si="10"/>
        <v>-0.14417597542553892</v>
      </c>
      <c r="AQ163" s="373">
        <f t="shared" si="10"/>
        <v>-0.14349282720933043</v>
      </c>
      <c r="AR163" s="373">
        <f t="shared" si="10"/>
        <v>-0.14408368830711013</v>
      </c>
      <c r="AS163" s="373">
        <f t="shared" si="10"/>
        <v>-0.14334112640109176</v>
      </c>
      <c r="AT163" s="373">
        <f t="shared" si="10"/>
        <v>-0.13890298249515703</v>
      </c>
      <c r="AU163" s="373">
        <f t="shared" si="10"/>
        <v>-0.13899767671270266</v>
      </c>
      <c r="AV163" s="373">
        <f t="shared" si="10"/>
        <v>-0.13893728740852487</v>
      </c>
      <c r="AW163" s="373">
        <f t="shared" si="10"/>
        <v>-0.13905094650608898</v>
      </c>
      <c r="AX163" s="373">
        <f t="shared" si="10"/>
        <v>-0.13906610449131246</v>
      </c>
      <c r="AY163" s="373">
        <f t="shared" si="10"/>
        <v>-0.13883139525124169</v>
      </c>
      <c r="AZ163" s="373">
        <f t="shared" si="10"/>
        <v>-0.138721775676245</v>
      </c>
      <c r="BA163" s="373">
        <f t="shared" si="10"/>
        <v>-0.13847623440392215</v>
      </c>
      <c r="BB163" s="373">
        <f t="shared" si="10"/>
        <v>-0.13818475753029036</v>
      </c>
      <c r="BC163" s="373">
        <f t="shared" si="10"/>
        <v>-0.13818239904555593</v>
      </c>
      <c r="BD163" s="373">
        <f t="shared" si="10"/>
        <v>-0.13773160085221339</v>
      </c>
      <c r="BE163" s="373">
        <f t="shared" si="10"/>
        <v>-0.13745821050150359</v>
      </c>
      <c r="BF163" s="373">
        <f t="shared" si="10"/>
        <v>-0.13674873411938798</v>
      </c>
      <c r="BG163" s="373">
        <f t="shared" si="10"/>
        <v>-0.13633584743581778</v>
      </c>
      <c r="BH163" s="373">
        <f t="shared" si="10"/>
        <v>-0.1359407351368197</v>
      </c>
      <c r="BI163" s="373">
        <f t="shared" si="10"/>
        <v>-0.13547471543488593</v>
      </c>
      <c r="BJ163" s="373">
        <f t="shared" si="10"/>
        <v>-0.13502653141267337</v>
      </c>
      <c r="BK163" s="373">
        <f t="shared" si="10"/>
        <v>-0.13485664041219234</v>
      </c>
      <c r="BL163" s="373">
        <f t="shared" si="10"/>
        <v>-0.13466661573687316</v>
      </c>
      <c r="BM163" s="373">
        <f t="shared" si="10"/>
        <v>-0.13446573251378047</v>
      </c>
    </row>
    <row r="164" spans="1:65" x14ac:dyDescent="0.35">
      <c r="D164" s="93"/>
      <c r="E164" s="112"/>
      <c r="F164" s="112"/>
      <c r="G164" s="112"/>
      <c r="H164" s="112"/>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3"/>
      <c r="AX164" s="373"/>
      <c r="AY164" s="373"/>
      <c r="AZ164" s="373"/>
      <c r="BA164" s="373"/>
      <c r="BB164" s="373"/>
      <c r="BC164" s="373"/>
      <c r="BD164" s="373"/>
      <c r="BE164" s="373"/>
      <c r="BF164" s="373"/>
      <c r="BG164" s="373"/>
      <c r="BH164" s="373"/>
      <c r="BI164" s="373"/>
      <c r="BJ164" s="373"/>
      <c r="BK164" s="373"/>
      <c r="BL164" s="373"/>
      <c r="BM164" s="373"/>
    </row>
    <row r="165" spans="1:65" ht="15.5" x14ac:dyDescent="0.3">
      <c r="C165" s="1168" t="s">
        <v>254</v>
      </c>
      <c r="D165" s="1168"/>
      <c r="E165" s="1168"/>
      <c r="F165" s="1168"/>
      <c r="G165" s="1168"/>
      <c r="H165" s="1168"/>
      <c r="I165" s="1168"/>
      <c r="J165" s="1168"/>
      <c r="K165" s="1168"/>
      <c r="L165" s="1168"/>
      <c r="M165" s="1168"/>
      <c r="N165" s="1168"/>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c r="BB165" s="373"/>
      <c r="BC165" s="373"/>
      <c r="BD165" s="373"/>
      <c r="BE165" s="373"/>
      <c r="BF165" s="373"/>
      <c r="BG165" s="373"/>
      <c r="BH165" s="373"/>
      <c r="BI165" s="373"/>
      <c r="BJ165" s="373"/>
      <c r="BK165" s="373"/>
      <c r="BL165" s="373"/>
      <c r="BM165" s="373"/>
    </row>
    <row r="166" spans="1:65" x14ac:dyDescent="0.35">
      <c r="C166" s="1167" t="s">
        <v>99</v>
      </c>
      <c r="D166" s="1153"/>
      <c r="E166" s="634"/>
      <c r="F166" s="634"/>
      <c r="G166" s="634"/>
      <c r="H166" s="634"/>
      <c r="I166" s="630"/>
      <c r="J166" s="630"/>
      <c r="K166" s="630"/>
      <c r="L166" s="630"/>
      <c r="M166" s="630">
        <f>IF(Calibración_BAU_USCUSS!Q168&lt;0, Calibración_BAU_USCUSS!Q168*-1, Calibración_BAU_USCUSS!Q168)*Emisiones_USCUSS!$M$75</f>
        <v>0.73245336780000003</v>
      </c>
      <c r="N166" s="630">
        <f>IF(Calibración_BAU_USCUSS!R168&lt;0, Calibración_BAU_USCUSS!R168*-1, Calibración_BAU_USCUSS!R168)*Emisiones_USCUSS!$M$75</f>
        <v>0.85399100632371339</v>
      </c>
      <c r="O166" s="630">
        <f>IF(Calibración_BAU_USCUSS!S168&lt;0, Calibración_BAU_USCUSS!S168*-1, Calibración_BAU_USCUSS!S168)*Emisiones_USCUSS!$M$75</f>
        <v>0.884065153602412</v>
      </c>
      <c r="P166" s="630">
        <f>IF(Calibración_BAU_USCUSS!T168&lt;0, Calibración_BAU_USCUSS!T168*-1, Calibración_BAU_USCUSS!T168)*Emisiones_USCUSS!$M$75</f>
        <v>0.87734625843502756</v>
      </c>
      <c r="Q166" s="630">
        <f>IF(Calibración_BAU_USCUSS!U168&lt;0, Calibración_BAU_USCUSS!U168*-1, Calibración_BAU_USCUSS!U168)*Emisiones_USCUSS!$M$75</f>
        <v>0.87067842687092856</v>
      </c>
      <c r="R166" s="630">
        <f>IF(Calibración_BAU_USCUSS!V168&lt;0, Calibración_BAU_USCUSS!V168*-1, Calibración_BAU_USCUSS!V168)*Emisiones_USCUSS!$M$75</f>
        <v>0.86406127082669915</v>
      </c>
      <c r="S166" s="630">
        <f>IF(Calibración_BAU_USCUSS!W168&lt;0, Calibración_BAU_USCUSS!W168*-1, Calibración_BAU_USCUSS!W168)*Emisiones_USCUSS!$M$75</f>
        <v>0.85749440516842446</v>
      </c>
      <c r="T166" s="630">
        <f>IF(Calibración_BAU_USCUSS!X168&lt;0, Calibración_BAU_USCUSS!X168*-1, Calibración_BAU_USCUSS!X168)*Emisiones_USCUSS!$M$75</f>
        <v>0.85097744768914441</v>
      </c>
      <c r="U166" s="630">
        <f>IF(Calibración_BAU_USCUSS!Y168&lt;0, Calibración_BAU_USCUSS!Y168*-1, Calibración_BAU_USCUSS!Y168)*Emisiones_USCUSS!$M$75</f>
        <v>0.84451001908671042</v>
      </c>
      <c r="V166" s="630">
        <f>IF(Calibración_BAU_USCUSS!Z168&lt;0, Calibración_BAU_USCUSS!Z168*-1, Calibración_BAU_USCUSS!Z168)*Emisiones_USCUSS!$M$75</f>
        <v>0.83809174294164279</v>
      </c>
      <c r="W166" s="630">
        <f>IF(Calibración_BAU_USCUSS!AA168&lt;0, Calibración_BAU_USCUSS!AA168*-1, Calibración_BAU_USCUSS!AA168)*Emisiones_USCUSS!$M$75</f>
        <v>0.83172224569529452</v>
      </c>
      <c r="X166" s="630">
        <f>IF(Calibración_BAU_USCUSS!AB168&lt;0, Calibración_BAU_USCUSS!AB168*-1, Calibración_BAU_USCUSS!AB168)*Emisiones_USCUSS!$M$75</f>
        <v>0.8254011566279994</v>
      </c>
      <c r="Y166" s="630">
        <f>IF(Calibración_BAU_USCUSS!AC168&lt;0, Calibración_BAU_USCUSS!AC168*-1, Calibración_BAU_USCUSS!AC168)*Emisiones_USCUSS!$M$75</f>
        <v>0.81912810783764056</v>
      </c>
      <c r="Z166" s="630">
        <f>IF(Calibración_BAU_USCUSS!AD168&lt;0, Calibración_BAU_USCUSS!AD168*-1, Calibración_BAU_USCUSS!AD168)*Emisiones_USCUSS!$M$75</f>
        <v>0.81290273421807291</v>
      </c>
      <c r="AA166" s="630">
        <f>IF(Calibración_BAU_USCUSS!AE168&lt;0, Calibración_BAU_USCUSS!AE168*-1, Calibración_BAU_USCUSS!AE168)*Emisiones_USCUSS!$M$75</f>
        <v>0.80672467343801468</v>
      </c>
      <c r="AB166" s="630">
        <f>IF(Calibración_BAU_USCUSS!AF168&lt;0, Calibración_BAU_USCUSS!AF168*-1, Calibración_BAU_USCUSS!AF168)*Emisiones_USCUSS!$M$75</f>
        <v>0.80059356591987429</v>
      </c>
      <c r="AC166" s="630">
        <f>IF(Calibración_BAU_USCUSS!AG168&lt;0, Calibración_BAU_USCUSS!AG168*-1, Calibración_BAU_USCUSS!AG168)*Emisiones_USCUSS!$M$75</f>
        <v>0.79450905481888456</v>
      </c>
      <c r="AD166" s="630">
        <f>IF(Calibración_BAU_USCUSS!AH168&lt;0, Calibración_BAU_USCUSS!AH168*-1, Calibración_BAU_USCUSS!AH168)*Emisiones_USCUSS!$M$75</f>
        <v>0.78847078600226861</v>
      </c>
      <c r="AE166" s="630">
        <f>IF(Calibración_BAU_USCUSS!AI168&lt;0, Calibración_BAU_USCUSS!AI168*-1, Calibración_BAU_USCUSS!AI168)*Emisiones_USCUSS!$M$75</f>
        <v>0.78247840802864854</v>
      </c>
      <c r="AF166" s="630">
        <f>IF(Calibración_BAU_USCUSS!AJ168&lt;0, Calibración_BAU_USCUSS!AJ168*-1, Calibración_BAU_USCUSS!AJ168)*Emisiones_USCUSS!$M$75</f>
        <v>0.77653157212763224</v>
      </c>
      <c r="AG166" s="630">
        <f>IF(Calibración_BAU_USCUSS!AK168&lt;0, Calibración_BAU_USCUSS!AK168*-1, Calibración_BAU_USCUSS!AK168)*Emisiones_USCUSS!$M$75</f>
        <v>0.77062993217946429</v>
      </c>
      <c r="AH166" s="630">
        <f>IF(Calibración_BAU_USCUSS!AL168&lt;0, Calibración_BAU_USCUSS!AL168*-1, Calibración_BAU_USCUSS!AL168)*Emisiones_USCUSS!$M$75</f>
        <v>0.76477314469490343</v>
      </c>
      <c r="AI166" s="630">
        <f>IF(Calibración_BAU_USCUSS!AM168&lt;0, Calibración_BAU_USCUSS!AM168*-1, Calibración_BAU_USCUSS!AM168)*Emisiones_USCUSS!$M$75</f>
        <v>0.75896086879521307</v>
      </c>
      <c r="AJ166" s="630">
        <f>IF(Calibración_BAU_USCUSS!AN168&lt;0, Calibración_BAU_USCUSS!AN168*-1, Calibración_BAU_USCUSS!AN168)*Emisiones_USCUSS!$M$75</f>
        <v>0.7531927661923784</v>
      </c>
      <c r="AK166" s="630">
        <f>IF(Calibración_BAU_USCUSS!AO168&lt;0, Calibración_BAU_USCUSS!AO168*-1, Calibración_BAU_USCUSS!AO168)*Emisiones_USCUSS!$M$75</f>
        <v>0.74746850116930674</v>
      </c>
      <c r="AL166" s="630">
        <f>IF(Calibración_BAU_USCUSS!AP168&lt;0, Calibración_BAU_USCUSS!AP168*-1, Calibración_BAU_USCUSS!AP168)*Emisiones_USCUSS!$M$75</f>
        <v>0.74178774056041619</v>
      </c>
      <c r="AM166" s="630">
        <f>IF(Calibración_BAU_USCUSS!AQ168&lt;0, Calibración_BAU_USCUSS!AQ168*-1, Calibración_BAU_USCUSS!AQ168)*Emisiones_USCUSS!$M$75</f>
        <v>0.73615015373215964</v>
      </c>
      <c r="AN166" s="630">
        <f>IF(Calibración_BAU_USCUSS!AR168&lt;0, Calibración_BAU_USCUSS!AR168*-1, Calibración_BAU_USCUSS!AR168)*Emisiones_USCUSS!$M$75</f>
        <v>0.73055541256380729</v>
      </c>
      <c r="AO166" s="630">
        <f>IF(Calibración_BAU_USCUSS!AS168&lt;0, Calibración_BAU_USCUSS!AS168*-1, Calibración_BAU_USCUSS!AS168)*Emisiones_USCUSS!$M$75</f>
        <v>0.72500319142830982</v>
      </c>
      <c r="AP166" s="630">
        <f>IF(Calibración_BAU_USCUSS!AT168&lt;0, Calibración_BAU_USCUSS!AT168*-1, Calibración_BAU_USCUSS!AT168)*Emisiones_USCUSS!$M$75</f>
        <v>0.71949316717345313</v>
      </c>
      <c r="AQ166" s="630">
        <f>IF(Calibración_BAU_USCUSS!AU168&lt;0, Calibración_BAU_USCUSS!AU168*-1, Calibración_BAU_USCUSS!AU168)*Emisiones_USCUSS!$M$75</f>
        <v>0.71402501910294724</v>
      </c>
      <c r="AR166" s="630">
        <f>IF(Calibración_BAU_USCUSS!AV168&lt;0, Calibración_BAU_USCUSS!AV168*-1, Calibración_BAU_USCUSS!AV168)*Emisiones_USCUSS!$M$75</f>
        <v>0.70859842895775926</v>
      </c>
      <c r="AS166" s="630">
        <f>IF(Calibración_BAU_USCUSS!AW168&lt;0, Calibración_BAU_USCUSS!AW168*-1, Calibración_BAU_USCUSS!AW168)*Emisiones_USCUSS!$M$75</f>
        <v>0.70321308089768686</v>
      </c>
      <c r="AT166" s="630">
        <f>IF(Calibración_BAU_USCUSS!AX168&lt;0, Calibración_BAU_USCUSS!AX168*-1, Calibración_BAU_USCUSS!AX168)*Emisiones_USCUSS!$M$75</f>
        <v>0.69786866148285298</v>
      </c>
      <c r="AU166" s="630">
        <f>IF(Calibración_BAU_USCUSS!AY168&lt;0, Calibración_BAU_USCUSS!AY168*-1, Calibración_BAU_USCUSS!AY168)*Emisiones_USCUSS!$M$75</f>
        <v>0.69256485965558656</v>
      </c>
      <c r="AV166" s="630">
        <f>IF(Calibración_BAU_USCUSS!AZ168&lt;0, Calibración_BAU_USCUSS!AZ168*-1, Calibración_BAU_USCUSS!AZ168)*Emisiones_USCUSS!$M$75</f>
        <v>0.68730136672220776</v>
      </c>
      <c r="AW166" s="630">
        <f>IF(Calibración_BAU_USCUSS!BA168&lt;0, Calibración_BAU_USCUSS!BA168*-1, Calibración_BAU_USCUSS!BA168)*Emisiones_USCUSS!$M$75</f>
        <v>0.68207787633511952</v>
      </c>
      <c r="AX166" s="630">
        <f>IF(Calibración_BAU_USCUSS!BB168&lt;0, Calibración_BAU_USCUSS!BB168*-1, Calibración_BAU_USCUSS!BB168)*Emisiones_USCUSS!$M$75</f>
        <v>0.67689408447496358</v>
      </c>
      <c r="AY166" s="630">
        <f>IF(Calibración_BAU_USCUSS!BC168&lt;0, Calibración_BAU_USCUSS!BC168*-1, Calibración_BAU_USCUSS!BC168)*Emisiones_USCUSS!$M$75</f>
        <v>0.67174968943295521</v>
      </c>
      <c r="AZ166" s="630">
        <f>IF(Calibración_BAU_USCUSS!BD168&lt;0, Calibración_BAU_USCUSS!BD168*-1, Calibración_BAU_USCUSS!BD168)*Emisiones_USCUSS!$M$75</f>
        <v>0.6666443917932654</v>
      </c>
      <c r="BA166" s="630">
        <f>IF(Calibración_BAU_USCUSS!BE168&lt;0, Calibración_BAU_USCUSS!BE168*-1, Calibración_BAU_USCUSS!BE168)*Emisiones_USCUSS!$M$75</f>
        <v>0.66157789441564607</v>
      </c>
      <c r="BB166" s="630">
        <f>IF(Calibración_BAU_USCUSS!BF168&lt;0, Calibración_BAU_USCUSS!BF168*-1, Calibración_BAU_USCUSS!BF168)*Emisiones_USCUSS!$M$75</f>
        <v>0.65654990241808775</v>
      </c>
      <c r="BC166" s="630">
        <f>IF(Calibración_BAU_USCUSS!BG168&lt;0, Calibración_BAU_USCUSS!BG168*-1, Calibración_BAU_USCUSS!BG168)*Emisiones_USCUSS!$M$75</f>
        <v>0.65156012315970258</v>
      </c>
      <c r="BD166" s="630">
        <f>IF(Calibración_BAU_USCUSS!BH168&lt;0, Calibración_BAU_USCUSS!BH168*-1, Calibración_BAU_USCUSS!BH168)*Emisiones_USCUSS!$M$75</f>
        <v>0.64660826622368961</v>
      </c>
      <c r="BE166" s="630">
        <f>IF(Calibración_BAU_USCUSS!BI168&lt;0, Calibración_BAU_USCUSS!BI168*-1, Calibración_BAU_USCUSS!BI168)*Emisiones_USCUSS!$M$75</f>
        <v>0.64169404340039593</v>
      </c>
      <c r="BF166" s="630">
        <f>IF(Calibración_BAU_USCUSS!BJ168&lt;0, Calibración_BAU_USCUSS!BJ168*-1, Calibración_BAU_USCUSS!BJ168)*Emisiones_USCUSS!$M$75</f>
        <v>0.63681716867055549</v>
      </c>
      <c r="BG166" s="630">
        <f>IF(Calibración_BAU_USCUSS!BK168&lt;0, Calibración_BAU_USCUSS!BK168*-1, Calibración_BAU_USCUSS!BK168)*Emisiones_USCUSS!$M$75</f>
        <v>0.63197735818865863</v>
      </c>
      <c r="BH166" s="630">
        <f>IF(Calibración_BAU_USCUSS!BL168&lt;0, Calibración_BAU_USCUSS!BL168*-1, Calibración_BAU_USCUSS!BL168)*Emisiones_USCUSS!$M$75</f>
        <v>0.62717433026641689</v>
      </c>
      <c r="BI166" s="630">
        <f>IF(Calibración_BAU_USCUSS!BM168&lt;0, Calibración_BAU_USCUSS!BM168*-1, Calibración_BAU_USCUSS!BM168)*Emisiones_USCUSS!$M$75</f>
        <v>0.62240780535639006</v>
      </c>
      <c r="BJ166" s="630">
        <f>IF(Calibración_BAU_USCUSS!BN168&lt;0, Calibración_BAU_USCUSS!BN168*-1, Calibración_BAU_USCUSS!BN168)*Emisiones_USCUSS!$M$75</f>
        <v>0.61767750603567884</v>
      </c>
      <c r="BK166" s="630">
        <f>IF(Calibración_BAU_USCUSS!BO168&lt;0, Calibración_BAU_USCUSS!BO168*-1, Calibración_BAU_USCUSS!BO168)*Emisiones_USCUSS!$M$75</f>
        <v>0.61298315698980965</v>
      </c>
      <c r="BL166" s="630">
        <f>IF(Calibración_BAU_USCUSS!BP168&lt;0, Calibración_BAU_USCUSS!BP168*-1, Calibración_BAU_USCUSS!BP168)*Emisiones_USCUSS!$M$75</f>
        <v>0.60832448499668579</v>
      </c>
      <c r="BM166" s="630">
        <f>IF(Calibración_BAU_USCUSS!BQ168&lt;0, Calibración_BAU_USCUSS!BQ168*-1, Calibración_BAU_USCUSS!BQ168)*Emisiones_USCUSS!$M$75</f>
        <v>0.60370121891071515</v>
      </c>
    </row>
    <row r="167" spans="1:65" x14ac:dyDescent="0.35">
      <c r="C167" s="1167" t="s">
        <v>101</v>
      </c>
      <c r="D167" s="1153"/>
      <c r="E167" s="634"/>
      <c r="F167" s="634"/>
      <c r="G167" s="634"/>
      <c r="H167" s="634"/>
      <c r="I167" s="630"/>
      <c r="J167" s="630"/>
      <c r="K167" s="630"/>
      <c r="L167" s="630"/>
      <c r="M167" s="630">
        <f>IF(Calibración_BAU_USCUSS!Q169&lt;0,Calibración_BAU_USCUSS!Q169*-1, Calibración_BAU_USCUSS!Q169) *Emisiones_USCUSS!$M$76</f>
        <v>5.7123329400000006E-2</v>
      </c>
      <c r="N167" s="630">
        <f>IF(Calibración_BAU_USCUSS!R169&lt;0,Calibración_BAU_USCUSS!R169*-1, Calibración_BAU_USCUSS!R169) *Emisiones_USCUSS!$M$76</f>
        <v>6.3268312588618141E-7</v>
      </c>
      <c r="O167" s="630">
        <f>IF(Calibración_BAU_USCUSS!S169&lt;0,Calibración_BAU_USCUSS!S169*-1, Calibración_BAU_USCUSS!S169) *Emisiones_USCUSS!$M$76</f>
        <v>4.0702616277181518E-4</v>
      </c>
      <c r="P167" s="630">
        <f>IF(Calibración_BAU_USCUSS!T169&lt;0,Calibración_BAU_USCUSS!T169*-1, Calibración_BAU_USCUSS!T169) *Emisiones_USCUSS!$M$76</f>
        <v>2.2118676099792286E-4</v>
      </c>
      <c r="Q167" s="630">
        <f>IF(Calibración_BAU_USCUSS!U169&lt;0,Calibración_BAU_USCUSS!U169*-1, Calibración_BAU_USCUSS!U169) *Emisiones_USCUSS!$M$76</f>
        <v>1.4106770805339246E-4</v>
      </c>
      <c r="R167" s="630">
        <f>IF(Calibración_BAU_USCUSS!V169&lt;0,Calibración_BAU_USCUSS!V169*-1, Calibración_BAU_USCUSS!V169) *Emisiones_USCUSS!$M$76</f>
        <v>1.620103587544799E-4</v>
      </c>
      <c r="S167" s="630">
        <f>IF(Calibración_BAU_USCUSS!W169&lt;0,Calibración_BAU_USCUSS!W169*-1, Calibración_BAU_USCUSS!W169) *Emisiones_USCUSS!$M$76</f>
        <v>1.568328212571025E-4</v>
      </c>
      <c r="T167" s="630">
        <f>IF(Calibración_BAU_USCUSS!X169&lt;0,Calibración_BAU_USCUSS!X169*-1, Calibración_BAU_USCUSS!X169) *Emisiones_USCUSS!$M$76</f>
        <v>1.4119188399312153E-4</v>
      </c>
      <c r="U167" s="630">
        <f>IF(Calibración_BAU_USCUSS!Y169&lt;0,Calibración_BAU_USCUSS!Y169*-1, Calibración_BAU_USCUSS!Y169) *Emisiones_USCUSS!$M$76</f>
        <v>1.2030704197929109E-4</v>
      </c>
      <c r="V167" s="630">
        <f>IF(Calibración_BAU_USCUSS!Z169&lt;0,Calibración_BAU_USCUSS!Z169*-1, Calibración_BAU_USCUSS!Z169) *Emisiones_USCUSS!$M$76</f>
        <v>1.6662813545577514E-4</v>
      </c>
      <c r="W167" s="630">
        <f>IF(Calibración_BAU_USCUSS!AA169&lt;0,Calibración_BAU_USCUSS!AA169*-1, Calibración_BAU_USCUSS!AA169) *Emisiones_USCUSS!$M$76</f>
        <v>1.4895757558243186E-4</v>
      </c>
      <c r="X167" s="630">
        <f>IF(Calibración_BAU_USCUSS!AB169&lt;0,Calibración_BAU_USCUSS!AB169*-1, Calibración_BAU_USCUSS!AB169) *Emisiones_USCUSS!$M$76</f>
        <v>1.1496160029493624E-4</v>
      </c>
      <c r="Y167" s="630">
        <f>IF(Calibración_BAU_USCUSS!AC169&lt;0,Calibración_BAU_USCUSS!AC169*-1, Calibración_BAU_USCUSS!AC169) *Emisiones_USCUSS!$M$76</f>
        <v>1.2472968402869612E-4</v>
      </c>
      <c r="Z167" s="630">
        <f>IF(Calibración_BAU_USCUSS!AD169&lt;0,Calibración_BAU_USCUSS!AD169*-1, Calibración_BAU_USCUSS!AD169) *Emisiones_USCUSS!$M$76</f>
        <v>1.6591448535598562E-4</v>
      </c>
      <c r="AA167" s="630">
        <f>IF(Calibración_BAU_USCUSS!AE169&lt;0,Calibración_BAU_USCUSS!AE169*-1, Calibración_BAU_USCUSS!AE169) *Emisiones_USCUSS!$M$76</f>
        <v>1.2924276368518202E-4</v>
      </c>
      <c r="AB167" s="630">
        <f>IF(Calibración_BAU_USCUSS!AF169&lt;0,Calibración_BAU_USCUSS!AF169*-1, Calibración_BAU_USCUSS!AF169) *Emisiones_USCUSS!$M$76</f>
        <v>1.5152406589390437E-4</v>
      </c>
      <c r="AC167" s="630">
        <f>IF(Calibración_BAU_USCUSS!AG169&lt;0,Calibración_BAU_USCUSS!AG169*-1, Calibración_BAU_USCUSS!AG169) *Emisiones_USCUSS!$M$76</f>
        <v>1.2405924464119024E-4</v>
      </c>
      <c r="AD167" s="630">
        <f>IF(Calibración_BAU_USCUSS!AH169&lt;0,Calibración_BAU_USCUSS!AH169*-1, Calibración_BAU_USCUSS!AH169) *Emisiones_USCUSS!$M$76</f>
        <v>1.2397327431097767E-4</v>
      </c>
      <c r="AE167" s="630">
        <f>IF(Calibración_BAU_USCUSS!AI169&lt;0,Calibración_BAU_USCUSS!AI169*-1, Calibración_BAU_USCUSS!AI169) *Emisiones_USCUSS!$M$76</f>
        <v>1.3393191385496883E-4</v>
      </c>
      <c r="AF167" s="630">
        <f>IF(Calibración_BAU_USCUSS!AJ169&lt;0,Calibración_BAU_USCUSS!AJ169*-1, Calibración_BAU_USCUSS!AJ169) *Emisiones_USCUSS!$M$76</f>
        <v>1.1903337194181074E-4</v>
      </c>
      <c r="AG167" s="630">
        <f>IF(Calibración_BAU_USCUSS!AK169&lt;0,Calibración_BAU_USCUSS!AK169*-1, Calibración_BAU_USCUSS!AK169) *Emisiones_USCUSS!$M$76</f>
        <v>1.2292079338317241E-4</v>
      </c>
      <c r="AH167" s="630">
        <f>IF(Calibración_BAU_USCUSS!AL169&lt;0,Calibración_BAU_USCUSS!AL169*-1, Calibración_BAU_USCUSS!AL169) *Emisiones_USCUSS!$M$76</f>
        <v>1.3231211389475725E-4</v>
      </c>
      <c r="AI167" s="630">
        <f>IF(Calibración_BAU_USCUSS!AM169&lt;0,Calibración_BAU_USCUSS!AM169*-1, Calibración_BAU_USCUSS!AM169) *Emisiones_USCUSS!$M$76</f>
        <v>1.1924112333668356E-4</v>
      </c>
      <c r="AJ167" s="630">
        <f>IF(Calibración_BAU_USCUSS!AN169&lt;0,Calibración_BAU_USCUSS!AN169*-1, Calibración_BAU_USCUSS!AN169) *Emisiones_USCUSS!$M$76</f>
        <v>1.1985157489602165E-4</v>
      </c>
      <c r="AK167" s="630">
        <f>IF(Calibración_BAU_USCUSS!AO169&lt;0,Calibración_BAU_USCUSS!AO169*-1, Calibración_BAU_USCUSS!AO169) *Emisiones_USCUSS!$M$76</f>
        <v>1.1701748169081459E-4</v>
      </c>
      <c r="AL167" s="630">
        <f>IF(Calibración_BAU_USCUSS!AP169&lt;0,Calibración_BAU_USCUSS!AP169*-1, Calibración_BAU_USCUSS!AP169) *Emisiones_USCUSS!$M$76</f>
        <v>9.1891340980974852E-5</v>
      </c>
      <c r="AM167" s="630">
        <f>IF(Calibración_BAU_USCUSS!AQ169&lt;0,Calibración_BAU_USCUSS!AQ169*-1, Calibración_BAU_USCUSS!AQ169) *Emisiones_USCUSS!$M$76</f>
        <v>1.1514902991731315E-4</v>
      </c>
      <c r="AN167" s="630">
        <f>IF(Calibración_BAU_USCUSS!AR169&lt;0,Calibración_BAU_USCUSS!AR169*-1, Calibración_BAU_USCUSS!AR169) *Emisiones_USCUSS!$M$76</f>
        <v>9.7696930790505307E-5</v>
      </c>
      <c r="AO167" s="630">
        <f>IF(Calibración_BAU_USCUSS!AS169&lt;0,Calibración_BAU_USCUSS!AS169*-1, Calibración_BAU_USCUSS!AS169) *Emisiones_USCUSS!$M$76</f>
        <v>1.201619983878051E-4</v>
      </c>
      <c r="AP167" s="630">
        <f>IF(Calibración_BAU_USCUSS!AT169&lt;0,Calibración_BAU_USCUSS!AT169*-1, Calibración_BAU_USCUSS!AT169) *Emisiones_USCUSS!$M$76</f>
        <v>9.6894171496351934E-5</v>
      </c>
      <c r="AQ167" s="630">
        <f>IF(Calibración_BAU_USCUSS!AU169&lt;0,Calibración_BAU_USCUSS!AU169*-1, Calibración_BAU_USCUSS!AU169) *Emisiones_USCUSS!$M$76</f>
        <v>9.4227886729911372E-5</v>
      </c>
      <c r="AR167" s="630">
        <f>IF(Calibración_BAU_USCUSS!AV169&lt;0,Calibración_BAU_USCUSS!AV169*-1, Calibración_BAU_USCUSS!AV169) *Emisiones_USCUSS!$M$76</f>
        <v>9.5997527464032368E-5</v>
      </c>
      <c r="AS167" s="630">
        <f>IF(Calibración_BAU_USCUSS!AW169&lt;0,Calibración_BAU_USCUSS!AW169*-1, Calibración_BAU_USCUSS!AW169) *Emisiones_USCUSS!$M$76</f>
        <v>9.4998541196835543E-5</v>
      </c>
      <c r="AT167" s="630">
        <f>IF(Calibración_BAU_USCUSS!AX169&lt;0,Calibración_BAU_USCUSS!AX169*-1, Calibración_BAU_USCUSS!AX169) *Emisiones_USCUSS!$M$76</f>
        <v>1.059560163253477E-4</v>
      </c>
      <c r="AU167" s="630">
        <f>IF(Calibración_BAU_USCUSS!AY169&lt;0,Calibración_BAU_USCUSS!AY169*-1, Calibración_BAU_USCUSS!AY169) *Emisiones_USCUSS!$M$76</f>
        <v>9.4636981793210715E-5</v>
      </c>
      <c r="AV167" s="630">
        <f>IF(Calibración_BAU_USCUSS!AZ169&lt;0,Calibración_BAU_USCUSS!AZ169*-1, Calibración_BAU_USCUSS!AZ169) *Emisiones_USCUSS!$M$76</f>
        <v>9.3029874649102975E-5</v>
      </c>
      <c r="AW167" s="630">
        <f>IF(Calibración_BAU_USCUSS!BA169&lt;0,Calibración_BAU_USCUSS!BA169*-1, Calibración_BAU_USCUSS!BA169) *Emisiones_USCUSS!$M$76</f>
        <v>9.4369123382775314E-5</v>
      </c>
      <c r="AX167" s="630">
        <f>IF(Calibración_BAU_USCUSS!BB169&lt;0,Calibración_BAU_USCUSS!BB169*-1, Calibración_BAU_USCUSS!BB169) *Emisiones_USCUSS!$M$76</f>
        <v>9.3587720368178259E-5</v>
      </c>
      <c r="AY167" s="630">
        <f>IF(Calibración_BAU_USCUSS!BC169&lt;0,Calibración_BAU_USCUSS!BC169*-1, Calibración_BAU_USCUSS!BC169) *Emisiones_USCUSS!$M$76</f>
        <v>9.4507167212040555E-5</v>
      </c>
      <c r="AZ167" s="630">
        <f>IF(Calibración_BAU_USCUSS!BD169&lt;0,Calibración_BAU_USCUSS!BD169*-1, Calibración_BAU_USCUSS!BD169) *Emisiones_USCUSS!$M$76</f>
        <v>8.9946030986198046E-5</v>
      </c>
      <c r="BA167" s="630">
        <f>IF(Calibración_BAU_USCUSS!BE169&lt;0,Calibración_BAU_USCUSS!BE169*-1, Calibración_BAU_USCUSS!BE169) *Emisiones_USCUSS!$M$76</f>
        <v>8.9301028250966051E-5</v>
      </c>
      <c r="BB167" s="630">
        <f>IF(Calibración_BAU_USCUSS!BF169&lt;0,Calibración_BAU_USCUSS!BF169*-1, Calibración_BAU_USCUSS!BF169) *Emisiones_USCUSS!$M$76</f>
        <v>8.8629059217583875E-5</v>
      </c>
      <c r="BC167" s="630">
        <f>IF(Calibración_BAU_USCUSS!BG169&lt;0,Calibración_BAU_USCUSS!BG169*-1, Calibración_BAU_USCUSS!BG169) *Emisiones_USCUSS!$M$76</f>
        <v>8.756868131322708E-5</v>
      </c>
      <c r="BD167" s="630">
        <f>IF(Calibración_BAU_USCUSS!BH169&lt;0,Calibración_BAU_USCUSS!BH169*-1, Calibración_BAU_USCUSS!BH169) *Emisiones_USCUSS!$M$76</f>
        <v>8.6172854535540718E-5</v>
      </c>
      <c r="BE167" s="630">
        <f>IF(Calibración_BAU_USCUSS!BI169&lt;0,Calibración_BAU_USCUSS!BI169*-1, Calibración_BAU_USCUSS!BI169) *Emisiones_USCUSS!$M$76</f>
        <v>8.5042697083318873E-5</v>
      </c>
      <c r="BF167" s="630">
        <f>IF(Calibración_BAU_USCUSS!BJ169&lt;0,Calibración_BAU_USCUSS!BJ169*-1, Calibración_BAU_USCUSS!BJ169) *Emisiones_USCUSS!$M$76</f>
        <v>8.4028479783651314E-5</v>
      </c>
      <c r="BG167" s="630">
        <f>IF(Calibración_BAU_USCUSS!BK169&lt;0,Calibración_BAU_USCUSS!BK169*-1, Calibración_BAU_USCUSS!BK169) *Emisiones_USCUSS!$M$76</f>
        <v>8.3053419444159804E-5</v>
      </c>
      <c r="BH167" s="630">
        <f>IF(Calibración_BAU_USCUSS!BL169&lt;0,Calibración_BAU_USCUSS!BL169*-1, Calibración_BAU_USCUSS!BL169) *Emisiones_USCUSS!$M$76</f>
        <v>8.1868848136743978E-5</v>
      </c>
      <c r="BI167" s="630">
        <f>IF(Calibración_BAU_USCUSS!BM169&lt;0,Calibración_BAU_USCUSS!BM169*-1, Calibración_BAU_USCUSS!BM169) *Emisiones_USCUSS!$M$76</f>
        <v>8.0698260085919712E-5</v>
      </c>
      <c r="BJ167" s="630">
        <f>IF(Calibración_BAU_USCUSS!BN169&lt;0,Calibración_BAU_USCUSS!BN169*-1, Calibración_BAU_USCUSS!BN169) *Emisiones_USCUSS!$M$76</f>
        <v>7.9449301664271719E-5</v>
      </c>
      <c r="BK167" s="630">
        <f>IF(Calibración_BAU_USCUSS!BO169&lt;0,Calibración_BAU_USCUSS!BO169*-1, Calibración_BAU_USCUSS!BO169) *Emisiones_USCUSS!$M$76</f>
        <v>7.8388687739341492E-5</v>
      </c>
      <c r="BL167" s="630">
        <f>IF(Calibración_BAU_USCUSS!BP169&lt;0,Calibración_BAU_USCUSS!BP169*-1, Calibración_BAU_USCUSS!BP169) *Emisiones_USCUSS!$M$76</f>
        <v>7.7295313610234052E-5</v>
      </c>
      <c r="BM167" s="630">
        <f>IF(Calibración_BAU_USCUSS!BQ169&lt;0,Calibración_BAU_USCUSS!BQ169*-1, Calibración_BAU_USCUSS!BQ169) *Emisiones_USCUSS!$M$76</f>
        <v>7.6174367647797425E-5</v>
      </c>
    </row>
    <row r="168" spans="1:65" x14ac:dyDescent="0.35">
      <c r="C168" s="1167" t="s">
        <v>106</v>
      </c>
      <c r="D168" s="1153"/>
      <c r="E168" s="634"/>
      <c r="F168" s="634"/>
      <c r="G168" s="634"/>
      <c r="H168" s="634"/>
      <c r="I168" s="630"/>
      <c r="J168" s="630"/>
      <c r="K168" s="630"/>
      <c r="L168" s="630"/>
      <c r="M168" s="630">
        <f>IF(Calibración_BAU_USCUSS!Q170&lt;0,Calibración_BAU_USCUSS!Q170*-1, Calibración_BAU_USCUSS!Q170) *Emisiones_USCUSS!$M$77</f>
        <v>0.40964</v>
      </c>
      <c r="N168" s="630">
        <f>IF(Calibración_BAU_USCUSS!R170&lt;0,Calibración_BAU_USCUSS!R170*-1, Calibración_BAU_USCUSS!R170) *Emisiones_USCUSS!$M$77</f>
        <v>0.17944498186397156</v>
      </c>
      <c r="O168" s="630">
        <f>IF(Calibración_BAU_USCUSS!S170&lt;0,Calibración_BAU_USCUSS!S170*-1, Calibración_BAU_USCUSS!S170) *Emisiones_USCUSS!$M$77</f>
        <v>3.9887984255935434E-2</v>
      </c>
      <c r="P168" s="630">
        <f>IF(Calibración_BAU_USCUSS!T170&lt;0,Calibración_BAU_USCUSS!T170*-1, Calibración_BAU_USCUSS!T170) *Emisiones_USCUSS!$M$77</f>
        <v>0.37821610096164976</v>
      </c>
      <c r="Q168" s="630">
        <f>IF(Calibración_BAU_USCUSS!U170&lt;0,Calibración_BAU_USCUSS!U170*-1, Calibración_BAU_USCUSS!U170) *Emisiones_USCUSS!$M$77</f>
        <v>0.38905876934738937</v>
      </c>
      <c r="R168" s="630">
        <f>IF(Calibración_BAU_USCUSS!V170&lt;0,Calibración_BAU_USCUSS!V170*-1, Calibración_BAU_USCUSS!V170) *Emisiones_USCUSS!$M$77</f>
        <v>0.33620937109224136</v>
      </c>
      <c r="S168" s="630">
        <f>IF(Calibración_BAU_USCUSS!W170&lt;0,Calibración_BAU_USCUSS!W170*-1, Calibración_BAU_USCUSS!W170) *Emisiones_USCUSS!$M$77</f>
        <v>0.35956510630654737</v>
      </c>
      <c r="T168" s="630">
        <f>IF(Calibración_BAU_USCUSS!X170&lt;0,Calibración_BAU_USCUSS!X170*-1, Calibración_BAU_USCUSS!X170) *Emisiones_USCUSS!$M$77</f>
        <v>0.27559728198559175</v>
      </c>
      <c r="U168" s="630">
        <f>IF(Calibración_BAU_USCUSS!Y170&lt;0,Calibración_BAU_USCUSS!Y170*-1, Calibración_BAU_USCUSS!Y170) *Emisiones_USCUSS!$M$77</f>
        <v>0.22930833630861075</v>
      </c>
      <c r="V168" s="630">
        <f>IF(Calibración_BAU_USCUSS!Z170&lt;0,Calibración_BAU_USCUSS!Z170*-1, Calibración_BAU_USCUSS!Z170) *Emisiones_USCUSS!$M$77</f>
        <v>0.30078785081046494</v>
      </c>
      <c r="W168" s="630">
        <f>IF(Calibración_BAU_USCUSS!AA170&lt;0,Calibración_BAU_USCUSS!AA170*-1, Calibración_BAU_USCUSS!AA170) *Emisiones_USCUSS!$M$77</f>
        <v>0.25710628159201487</v>
      </c>
      <c r="X168" s="630">
        <f>IF(Calibración_BAU_USCUSS!AB170&lt;0,Calibración_BAU_USCUSS!AB170*-1, Calibración_BAU_USCUSS!AB170) *Emisiones_USCUSS!$M$77</f>
        <v>0.15033322234630894</v>
      </c>
      <c r="Y168" s="630">
        <f>IF(Calibración_BAU_USCUSS!AC170&lt;0,Calibración_BAU_USCUSS!AC170*-1, Calibración_BAU_USCUSS!AC170) *Emisiones_USCUSS!$M$77</f>
        <v>0.17542481225752299</v>
      </c>
      <c r="Z168" s="630">
        <f>IF(Calibración_BAU_USCUSS!AD170&lt;0,Calibración_BAU_USCUSS!AD170*-1, Calibración_BAU_USCUSS!AD170) *Emisiones_USCUSS!$M$77</f>
        <v>0.25378779311022814</v>
      </c>
      <c r="AA168" s="630">
        <f>IF(Calibración_BAU_USCUSS!AE170&lt;0,Calibración_BAU_USCUSS!AE170*-1, Calibración_BAU_USCUSS!AE170) *Emisiones_USCUSS!$M$77</f>
        <v>0.16489290313616037</v>
      </c>
      <c r="AB168" s="630">
        <f>IF(Calibración_BAU_USCUSS!AF170&lt;0,Calibración_BAU_USCUSS!AF170*-1, Calibración_BAU_USCUSS!AF170) *Emisiones_USCUSS!$M$77</f>
        <v>0.21119354608372093</v>
      </c>
      <c r="AC168" s="630">
        <f>IF(Calibración_BAU_USCUSS!AG170&lt;0,Calibración_BAU_USCUSS!AG170*-1, Calibración_BAU_USCUSS!AG170) *Emisiones_USCUSS!$M$77</f>
        <v>0.14786328559284839</v>
      </c>
      <c r="AD168" s="630">
        <f>IF(Calibración_BAU_USCUSS!AH170&lt;0,Calibración_BAU_USCUSS!AH170*-1, Calibración_BAU_USCUSS!AH170) *Emisiones_USCUSS!$M$77</f>
        <v>0.15405386401763704</v>
      </c>
      <c r="AE168" s="630">
        <f>IF(Calibración_BAU_USCUSS!AI170&lt;0,Calibración_BAU_USCUSS!AI170*-1, Calibración_BAU_USCUSS!AI170) *Emisiones_USCUSS!$M$77</f>
        <v>0.18496949126391593</v>
      </c>
      <c r="AF168" s="630">
        <f>IF(Calibración_BAU_USCUSS!AJ170&lt;0,Calibración_BAU_USCUSS!AJ170*-1, Calibración_BAU_USCUSS!AJ170) *Emisiones_USCUSS!$M$77</f>
        <v>0.16558348906915166</v>
      </c>
      <c r="AG168" s="630">
        <f>IF(Calibración_BAU_USCUSS!AK170&lt;0,Calibración_BAU_USCUSS!AK170*-1, Calibración_BAU_USCUSS!AK170) *Emisiones_USCUSS!$M$77</f>
        <v>0.18858236586450447</v>
      </c>
      <c r="AH168" s="630">
        <f>IF(Calibración_BAU_USCUSS!AL170&lt;0,Calibración_BAU_USCUSS!AL170*-1, Calibración_BAU_USCUSS!AL170) *Emisiones_USCUSS!$M$77</f>
        <v>0.23257640870899521</v>
      </c>
      <c r="AI168" s="630">
        <f>IF(Calibración_BAU_USCUSS!AM170&lt;0,Calibración_BAU_USCUSS!AM170*-1, Calibración_BAU_USCUSS!AM170) *Emisiones_USCUSS!$M$77</f>
        <v>0.21876978477904496</v>
      </c>
      <c r="AJ168" s="630">
        <f>IF(Calibración_BAU_USCUSS!AN170&lt;0,Calibración_BAU_USCUSS!AN170*-1, Calibración_BAU_USCUSS!AN170) *Emisiones_USCUSS!$M$77</f>
        <v>0.24429400539753737</v>
      </c>
      <c r="AK168" s="630">
        <f>IF(Calibración_BAU_USCUSS!AO170&lt;0,Calibración_BAU_USCUSS!AO170*-1, Calibración_BAU_USCUSS!AO170) *Emisiones_USCUSS!$M$77</f>
        <v>0.25520981664029629</v>
      </c>
      <c r="AL168" s="630">
        <f>IF(Calibración_BAU_USCUSS!AP170&lt;0,Calibración_BAU_USCUSS!AP170*-1, Calibración_BAU_USCUSS!AP170) *Emisiones_USCUSS!$M$77</f>
        <v>0.21623557365870219</v>
      </c>
      <c r="AM168" s="630">
        <f>IF(Calibración_BAU_USCUSS!AQ170&lt;0,Calibración_BAU_USCUSS!AQ170*-1, Calibración_BAU_USCUSS!AQ170) *Emisiones_USCUSS!$M$77</f>
        <v>0.28876036337822136</v>
      </c>
      <c r="AN168" s="630">
        <f>IF(Calibración_BAU_USCUSS!AR170&lt;0,Calibración_BAU_USCUSS!AR170*-1, Calibración_BAU_USCUSS!AR170) *Emisiones_USCUSS!$M$77</f>
        <v>0.2644466669451046</v>
      </c>
      <c r="AO168" s="630">
        <f>IF(Calibración_BAU_USCUSS!AS170&lt;0,Calibración_BAU_USCUSS!AS170*-1, Calibración_BAU_USCUSS!AS170) *Emisiones_USCUSS!$M$77</f>
        <v>0.33214055295644379</v>
      </c>
      <c r="AP168" s="630">
        <f>IF(Calibración_BAU_USCUSS!AT170&lt;0,Calibración_BAU_USCUSS!AT170*-1, Calibración_BAU_USCUSS!AT170) *Emisiones_USCUSS!$M$77</f>
        <v>0.28751209189840765</v>
      </c>
      <c r="AQ168" s="630">
        <f>IF(Calibración_BAU_USCUSS!AU170&lt;0,Calibración_BAU_USCUSS!AU170*-1, Calibración_BAU_USCUSS!AU170) *Emisiones_USCUSS!$M$77</f>
        <v>0.28687264696723036</v>
      </c>
      <c r="AR168" s="630">
        <f>IF(Calibración_BAU_USCUSS!AV170&lt;0,Calibración_BAU_USCUSS!AV170*-1, Calibración_BAU_USCUSS!AV170) *Emisiones_USCUSS!$M$77</f>
        <v>0.29940811352483154</v>
      </c>
      <c r="AS168" s="630">
        <f>IF(Calibración_BAU_USCUSS!AW170&lt;0,Calibración_BAU_USCUSS!AW170*-1, Calibración_BAU_USCUSS!AW170) *Emisiones_USCUSS!$M$77</f>
        <v>0.29807268518156654</v>
      </c>
      <c r="AT168" s="630">
        <f>IF(Calibración_BAU_USCUSS!AX170&lt;0,Calibración_BAU_USCUSS!AX170*-1, Calibración_BAU_USCUSS!AX170) *Emisiones_USCUSS!$M$77</f>
        <v>0.258394606398611</v>
      </c>
      <c r="AU168" s="630">
        <f>IF(Calibración_BAU_USCUSS!AY170&lt;0,Calibración_BAU_USCUSS!AY170*-1, Calibración_BAU_USCUSS!AY170) *Emisiones_USCUSS!$M$77</f>
        <v>0.26556982933832962</v>
      </c>
      <c r="AV168" s="630">
        <f>IF(Calibración_BAU_USCUSS!AZ170&lt;0,Calibración_BAU_USCUSS!AZ170*-1, Calibración_BAU_USCUSS!AZ170) *Emisiones_USCUSS!$M$77</f>
        <v>0.27109755147684078</v>
      </c>
      <c r="AW168" s="630">
        <f>IF(Calibración_BAU_USCUSS!BA170&lt;0,Calibración_BAU_USCUSS!BA170*-1, Calibración_BAU_USCUSS!BA170) *Emisiones_USCUSS!$M$77</f>
        <v>0.27837112852888557</v>
      </c>
      <c r="AX168" s="630">
        <f>IF(Calibración_BAU_USCUSS!BB170&lt;0,Calibración_BAU_USCUSS!BB170*-1, Calibración_BAU_USCUSS!BB170) *Emisiones_USCUSS!$M$77</f>
        <v>0.28455197700708329</v>
      </c>
      <c r="AY168" s="630">
        <f>IF(Calibración_BAU_USCUSS!BC170&lt;0,Calibración_BAU_USCUSS!BC170*-1, Calibración_BAU_USCUSS!BC170) *Emisiones_USCUSS!$M$77</f>
        <v>0.28808309499058365</v>
      </c>
      <c r="AZ168" s="630">
        <f>IF(Calibración_BAU_USCUSS!BD170&lt;0,Calibración_BAU_USCUSS!BD170*-1, Calibración_BAU_USCUSS!BD170) *Emisiones_USCUSS!$M$77</f>
        <v>0.29283170299935352</v>
      </c>
      <c r="BA168" s="630">
        <f>IF(Calibración_BAU_USCUSS!BE170&lt;0,Calibración_BAU_USCUSS!BE170*-1, Calibración_BAU_USCUSS!BE170) *Emisiones_USCUSS!$M$77</f>
        <v>0.29612023191664422</v>
      </c>
      <c r="BB168" s="630">
        <f>IF(Calibración_BAU_USCUSS!BF170&lt;0,Calibración_BAU_USCUSS!BF170*-1, Calibración_BAU_USCUSS!BF170) *Emisiones_USCUSS!$M$77</f>
        <v>0.29887128840196103</v>
      </c>
      <c r="BC168" s="630">
        <f>IF(Calibración_BAU_USCUSS!BG170&lt;0,Calibración_BAU_USCUSS!BG170*-1, Calibración_BAU_USCUSS!BG170) *Emisiones_USCUSS!$M$77</f>
        <v>0.30455802244581109</v>
      </c>
      <c r="BD168" s="630">
        <f>IF(Calibración_BAU_USCUSS!BH170&lt;0,Calibración_BAU_USCUSS!BH170*-1, Calibración_BAU_USCUSS!BH170) *Emisiones_USCUSS!$M$77</f>
        <v>0.305536469789498</v>
      </c>
      <c r="BE168" s="630">
        <f>IF(Calibración_BAU_USCUSS!BI170&lt;0,Calibración_BAU_USCUSS!BI170*-1, Calibración_BAU_USCUSS!BI170) *Emisiones_USCUSS!$M$77</f>
        <v>0.30829682036452866</v>
      </c>
      <c r="BF168" s="630">
        <f>IF(Calibración_BAU_USCUSS!BJ170&lt;0,Calibración_BAU_USCUSS!BJ170*-1, Calibración_BAU_USCUSS!BJ170) *Emisiones_USCUSS!$M$77</f>
        <v>0.30648055910141758</v>
      </c>
      <c r="BG168" s="630">
        <f>IF(Calibración_BAU_USCUSS!BK170&lt;0,Calibración_BAU_USCUSS!BK170*-1, Calibración_BAU_USCUSS!BK170) *Emisiones_USCUSS!$M$77</f>
        <v>0.30768330174646186</v>
      </c>
      <c r="BH168" s="630">
        <f>IF(Calibración_BAU_USCUSS!BL170&lt;0,Calibración_BAU_USCUSS!BL170*-1, Calibración_BAU_USCUSS!BL170) *Emisiones_USCUSS!$M$77</f>
        <v>0.30901542865287984</v>
      </c>
      <c r="BI168" s="630">
        <f>IF(Calibración_BAU_USCUSS!BM170&lt;0,Calibración_BAU_USCUSS!BM170*-1, Calibración_BAU_USCUSS!BM170) *Emisiones_USCUSS!$M$77</f>
        <v>0.30955953550375437</v>
      </c>
      <c r="BJ168" s="630">
        <f>IF(Calibración_BAU_USCUSS!BN170&lt;0,Calibración_BAU_USCUSS!BN170*-1, Calibración_BAU_USCUSS!BN170) *Emisiones_USCUSS!$M$77</f>
        <v>0.31023644532903888</v>
      </c>
      <c r="BK168" s="630">
        <f>IF(Calibración_BAU_USCUSS!BO170&lt;0,Calibración_BAU_USCUSS!BO170*-1, Calibración_BAU_USCUSS!BO170) *Emisiones_USCUSS!$M$77</f>
        <v>0.31374794376986959</v>
      </c>
      <c r="BL168" s="630">
        <f>IF(Calibración_BAU_USCUSS!BP170&lt;0,Calibración_BAU_USCUSS!BP170*-1, Calibración_BAU_USCUSS!BP170) *Emisiones_USCUSS!$M$77</f>
        <v>0.31700123597591462</v>
      </c>
      <c r="BM168" s="630">
        <f>IF(Calibración_BAU_USCUSS!BQ170&lt;0,Calibración_BAU_USCUSS!BQ170*-1, Calibración_BAU_USCUSS!BQ170) *Emisiones_USCUSS!$M$77</f>
        <v>0.32009370650014668</v>
      </c>
    </row>
    <row r="169" spans="1:65" x14ac:dyDescent="0.35">
      <c r="C169" s="1169" t="s">
        <v>146</v>
      </c>
      <c r="D169" s="1159"/>
      <c r="E169" s="634"/>
      <c r="F169" s="634"/>
      <c r="G169" s="634"/>
      <c r="H169" s="634"/>
      <c r="I169" s="630"/>
      <c r="J169" s="630"/>
      <c r="K169" s="630"/>
      <c r="L169" s="630"/>
      <c r="M169" s="630">
        <f>IF(Calibración_BAU_USCUSS!Q171&lt;0,Calibración_BAU_USCUSS!Q171*-1, Calibración_BAU_USCUSS!Q171) *Emisiones_USCUSS!$M$78</f>
        <v>0</v>
      </c>
      <c r="N169" s="630">
        <f>IF(Calibración_BAU_USCUSS!R171&lt;0,Calibración_BAU_USCUSS!R171*-1, Calibración_BAU_USCUSS!R171) *Emisiones_USCUSS!$M$78</f>
        <v>0.32113497186378864</v>
      </c>
      <c r="O169" s="630">
        <f>IF(Calibración_BAU_USCUSS!S171&lt;0,Calibración_BAU_USCUSS!S171*-1, Calibración_BAU_USCUSS!S171) *Emisiones_USCUSS!$M$78</f>
        <v>0.77641239459162426</v>
      </c>
      <c r="P169" s="630">
        <f>IF(Calibración_BAU_USCUSS!T171&lt;0,Calibración_BAU_USCUSS!T171*-1, Calibración_BAU_USCUSS!T171) *Emisiones_USCUSS!$M$78</f>
        <v>0.43110009675872224</v>
      </c>
      <c r="Q169" s="630">
        <f>IF(Calibración_BAU_USCUSS!U171&lt;0,Calibración_BAU_USCUSS!U171*-1, Calibración_BAU_USCUSS!U171) *Emisiones_USCUSS!$M$78</f>
        <v>0.41438424190499001</v>
      </c>
      <c r="R169" s="630">
        <f>IF(Calibración_BAU_USCUSS!V171&lt;0,Calibración_BAU_USCUSS!V171*-1, Calibración_BAU_USCUSS!V171) *Emisiones_USCUSS!$M$78</f>
        <v>0.46136512305206429</v>
      </c>
      <c r="S169" s="630">
        <f>IF(Calibración_BAU_USCUSS!W171&lt;0,Calibración_BAU_USCUSS!W171*-1, Calibración_BAU_USCUSS!W171) *Emisiones_USCUSS!$M$78</f>
        <v>0.43225547826862892</v>
      </c>
      <c r="T169" s="630">
        <f>IF(Calibración_BAU_USCUSS!X171&lt;0,Calibración_BAU_USCUSS!X171*-1, Calibración_BAU_USCUSS!X171) *Emisiones_USCUSS!$M$78</f>
        <v>0.51053920632280181</v>
      </c>
      <c r="U169" s="630">
        <f>IF(Calibración_BAU_USCUSS!Y171&lt;0,Calibración_BAU_USCUSS!Y171*-1, Calibración_BAU_USCUSS!Y171) *Emisiones_USCUSS!$M$78</f>
        <v>0.55123376325893281</v>
      </c>
      <c r="V169" s="630">
        <f>IF(Calibración_BAU_USCUSS!Z171&lt;0,Calibración_BAU_USCUSS!Z171*-1, Calibración_BAU_USCUSS!Z171) *Emisiones_USCUSS!$M$78</f>
        <v>0.47408258148862659</v>
      </c>
      <c r="W169" s="630">
        <f>IF(Calibración_BAU_USCUSS!AA171&lt;0,Calibración_BAU_USCUSS!AA171*-1, Calibración_BAU_USCUSS!AA171) *Emisiones_USCUSS!$M$78</f>
        <v>0.51228306939113089</v>
      </c>
      <c r="X169" s="630">
        <f>IF(Calibración_BAU_USCUSS!AB171&lt;0,Calibración_BAU_USCUSS!AB171*-1, Calibración_BAU_USCUSS!AB171) *Emisiones_USCUSS!$M$78</f>
        <v>0.61365322401127154</v>
      </c>
      <c r="Y169" s="630">
        <f>IF(Calibración_BAU_USCUSS!AC171&lt;0,Calibración_BAU_USCUSS!AC171*-1, Calibración_BAU_USCUSS!AC171) *Emisiones_USCUSS!$M$78</f>
        <v>0.58314926116073695</v>
      </c>
      <c r="Z169" s="630">
        <f>IF(Calibración_BAU_USCUSS!AD171&lt;0,Calibración_BAU_USCUSS!AD171*-1, Calibración_BAU_USCUSS!AD171) *Emisiones_USCUSS!$M$78</f>
        <v>0.49936967750372746</v>
      </c>
      <c r="AA169" s="630">
        <f>IF(Calibración_BAU_USCUSS!AE171&lt;0,Calibración_BAU_USCUSS!AE171*-1, Calibración_BAU_USCUSS!AE171) *Emisiones_USCUSS!$M$78</f>
        <v>0.58306264756012638</v>
      </c>
      <c r="AB169" s="630">
        <f>IF(Calibración_BAU_USCUSS!AF171&lt;0,Calibración_BAU_USCUSS!AF171*-1, Calibración_BAU_USCUSS!AF171) *Emisiones_USCUSS!$M$78</f>
        <v>0.53150930066928859</v>
      </c>
      <c r="AC169" s="630">
        <f>IF(Calibración_BAU_USCUSS!AG171&lt;0,Calibración_BAU_USCUSS!AG171*-1, Calibración_BAU_USCUSS!AG171) *Emisiones_USCUSS!$M$78</f>
        <v>0.58973649355702573</v>
      </c>
      <c r="AD169" s="630">
        <f>IF(Calibración_BAU_USCUSS!AH171&lt;0,Calibración_BAU_USCUSS!AH171*-1, Calibración_BAU_USCUSS!AH171) *Emisiones_USCUSS!$M$78</f>
        <v>0.57844980874923668</v>
      </c>
      <c r="AE169" s="630">
        <f>IF(Calibración_BAU_USCUSS!AI171&lt;0,Calibración_BAU_USCUSS!AI171*-1, Calibración_BAU_USCUSS!AI171) *Emisiones_USCUSS!$M$78</f>
        <v>0.54246995825989708</v>
      </c>
      <c r="AF169" s="630">
        <f>IF(Calibración_BAU_USCUSS!AJ171&lt;0,Calibración_BAU_USCUSS!AJ171*-1, Calibración_BAU_USCUSS!AJ171) *Emisiones_USCUSS!$M$78</f>
        <v>0.55690321728881065</v>
      </c>
      <c r="AG169" s="630">
        <f>IF(Calibración_BAU_USCUSS!AK171&lt;0,Calibración_BAU_USCUSS!AK171*-1, Calibración_BAU_USCUSS!AK171) *Emisiones_USCUSS!$M$78</f>
        <v>0.52896267858792301</v>
      </c>
      <c r="AH169" s="630">
        <f>IF(Calibración_BAU_USCUSS!AL171&lt;0,Calibración_BAU_USCUSS!AL171*-1, Calibración_BAU_USCUSS!AL171) *Emisiones_USCUSS!$M$78</f>
        <v>0.48007197652840083</v>
      </c>
      <c r="AI169" s="630">
        <f>IF(Calibración_BAU_USCUSS!AM171&lt;0,Calibración_BAU_USCUSS!AM171*-1, Calibración_BAU_USCUSS!AM171) *Emisiones_USCUSS!$M$78</f>
        <v>0.4890761298870473</v>
      </c>
      <c r="AJ169" s="630">
        <f>IF(Calibración_BAU_USCUSS!AN171&lt;0,Calibración_BAU_USCUSS!AN171*-1, Calibración_BAU_USCUSS!AN171) *Emisiones_USCUSS!$M$78</f>
        <v>0.45876331939543924</v>
      </c>
      <c r="AK169" s="630">
        <f>IF(Calibración_BAU_USCUSS!AO171&lt;0,Calibración_BAU_USCUSS!AO171*-1, Calibración_BAU_USCUSS!AO171) *Emisiones_USCUSS!$M$78</f>
        <v>0.44311144616809023</v>
      </c>
      <c r="AL169" s="630">
        <f>IF(Calibración_BAU_USCUSS!AP171&lt;0,Calibración_BAU_USCUSS!AP171*-1, Calibración_BAU_USCUSS!AP171) *Emisiones_USCUSS!$M$78</f>
        <v>0.47744531263337459</v>
      </c>
      <c r="AM169" s="630">
        <f>IF(Calibración_BAU_USCUSS!AQ171&lt;0,Calibración_BAU_USCUSS!AQ171*-1, Calibración_BAU_USCUSS!AQ171) *Emisiones_USCUSS!$M$78</f>
        <v>0.40022479032143021</v>
      </c>
      <c r="AN169" s="630">
        <f>IF(Calibración_BAU_USCUSS!AR171&lt;0,Calibración_BAU_USCUSS!AR171*-1, Calibración_BAU_USCUSS!AR171) *Emisiones_USCUSS!$M$78</f>
        <v>0.41997393420018764</v>
      </c>
      <c r="AO169" s="630">
        <f>IF(Calibración_BAU_USCUSS!AS171&lt;0,Calibración_BAU_USCUSS!AS171*-1, Calibración_BAU_USCUSS!AS171) *Emisiones_USCUSS!$M$78</f>
        <v>0.34767681369671788</v>
      </c>
      <c r="AP169" s="630">
        <f>IF(Calibración_BAU_USCUSS!AT171&lt;0,Calibración_BAU_USCUSS!AT171*-1, Calibración_BAU_USCUSS!AT171) *Emisiones_USCUSS!$M$78</f>
        <v>0.38782379270972467</v>
      </c>
      <c r="AQ169" s="630">
        <f>IF(Calibración_BAU_USCUSS!AU171&lt;0,Calibración_BAU_USCUSS!AU171*-1, Calibración_BAU_USCUSS!AU171) *Emisiones_USCUSS!$M$78</f>
        <v>0.38399474595206562</v>
      </c>
      <c r="AR169" s="630">
        <f>IF(Calibración_BAU_USCUSS!AV171&lt;0,Calibración_BAU_USCUSS!AV171*-1, Calibración_BAU_USCUSS!AV171) *Emisiones_USCUSS!$M$78</f>
        <v>0.36701146235769538</v>
      </c>
      <c r="AS169" s="630">
        <f>IF(Calibración_BAU_USCUSS!AW171&lt;0,Calibración_BAU_USCUSS!AW171*-1, Calibración_BAU_USCUSS!AW171) *Emisiones_USCUSS!$M$78</f>
        <v>0.36393215975742432</v>
      </c>
      <c r="AT169" s="630">
        <f>IF(Calibración_BAU_USCUSS!AX171&lt;0,Calibración_BAU_USCUSS!AX171*-1, Calibración_BAU_USCUSS!AX171) *Emisiones_USCUSS!$M$78</f>
        <v>0.39921929598259992</v>
      </c>
      <c r="AU169" s="630">
        <f>IF(Calibración_BAU_USCUSS!AY171&lt;0,Calibración_BAU_USCUSS!AY171*-1, Calibración_BAU_USCUSS!AY171) *Emisiones_USCUSS!$M$78</f>
        <v>0.38774340709357963</v>
      </c>
      <c r="AV169" s="630">
        <f>IF(Calibración_BAU_USCUSS!AZ171&lt;0,Calibración_BAU_USCUSS!AZ171*-1, Calibración_BAU_USCUSS!AZ171) *Emisiones_USCUSS!$M$78</f>
        <v>0.37794180320276538</v>
      </c>
      <c r="AW169" s="630">
        <f>IF(Calibración_BAU_USCUSS!BA171&lt;0,Calibración_BAU_USCUSS!BA171*-1, Calibración_BAU_USCUSS!BA171) *Emisiones_USCUSS!$M$78</f>
        <v>0.3664336838858564</v>
      </c>
      <c r="AX169" s="630">
        <f>IF(Calibración_BAU_USCUSS!BB171&lt;0,Calibración_BAU_USCUSS!BB171*-1, Calibración_BAU_USCUSS!BB171) *Emisiones_USCUSS!$M$78</f>
        <v>0.35606684254522469</v>
      </c>
      <c r="AY169" s="630">
        <f>IF(Calibración_BAU_USCUSS!BC171&lt;0,Calibración_BAU_USCUSS!BC171*-1, Calibración_BAU_USCUSS!BC171) *Emisiones_USCUSS!$M$78</f>
        <v>0.3483900348376634</v>
      </c>
      <c r="AZ169" s="630">
        <f>IF(Calibración_BAU_USCUSS!BD171&lt;0,Calibración_BAU_USCUSS!BD171*-1, Calibración_BAU_USCUSS!BD171) *Emisiones_USCUSS!$M$78</f>
        <v>0.3395493777831074</v>
      </c>
      <c r="BA169" s="630">
        <f>IF(Calibración_BAU_USCUSS!BE171&lt;0,Calibración_BAU_USCUSS!BE171*-1, Calibración_BAU_USCUSS!BE171) *Emisiones_USCUSS!$M$78</f>
        <v>0.33220323080496877</v>
      </c>
      <c r="BB169" s="630">
        <f>IF(Calibración_BAU_USCUSS!BF171&lt;0,Calibración_BAU_USCUSS!BF171*-1, Calibración_BAU_USCUSS!BF171) *Emisiones_USCUSS!$M$78</f>
        <v>0.32543594869966957</v>
      </c>
      <c r="BC169" s="630">
        <f>IF(Calibración_BAU_USCUSS!BG171&lt;0,Calibración_BAU_USCUSS!BG171*-1, Calibración_BAU_USCUSS!BG171) *Emisiones_USCUSS!$M$78</f>
        <v>0.31577430396121831</v>
      </c>
      <c r="BD169" s="630">
        <f>IF(Calibración_BAU_USCUSS!BH171&lt;0,Calibración_BAU_USCUSS!BH171*-1, Calibración_BAU_USCUSS!BH171) *Emisiones_USCUSS!$M$78</f>
        <v>0.31086136101413625</v>
      </c>
      <c r="BE169" s="630">
        <f>IF(Calibración_BAU_USCUSS!BI171&lt;0,Calibración_BAU_USCUSS!BI171*-1, Calibración_BAU_USCUSS!BI171) *Emisiones_USCUSS!$M$78</f>
        <v>0.30420494577902424</v>
      </c>
      <c r="BF169" s="630">
        <f>IF(Calibración_BAU_USCUSS!BJ171&lt;0,Calibración_BAU_USCUSS!BJ171*-1, Calibración_BAU_USCUSS!BJ171) *Emisiones_USCUSS!$M$78</f>
        <v>0.3021630548669284</v>
      </c>
      <c r="BG169" s="630">
        <f>IF(Calibración_BAU_USCUSS!BK171&lt;0,Calibración_BAU_USCUSS!BK171*-1, Calibración_BAU_USCUSS!BK171) *Emisiones_USCUSS!$M$78</f>
        <v>0.29713940351052953</v>
      </c>
      <c r="BH169" s="630">
        <f>IF(Calibración_BAU_USCUSS!BL171&lt;0,Calibración_BAU_USCUSS!BL171*-1, Calibración_BAU_USCUSS!BL171) *Emisiones_USCUSS!$M$78</f>
        <v>0.29202327285032698</v>
      </c>
      <c r="BI169" s="630">
        <f>IF(Calibración_BAU_USCUSS!BM171&lt;0,Calibración_BAU_USCUSS!BM171*-1, Calibración_BAU_USCUSS!BM171) *Emisiones_USCUSS!$M$78</f>
        <v>0.28773079576424881</v>
      </c>
      <c r="BJ169" s="630">
        <f>IF(Calibración_BAU_USCUSS!BN171&lt;0,Calibración_BAU_USCUSS!BN171*-1, Calibración_BAU_USCUSS!BN171) *Emisiones_USCUSS!$M$78</f>
        <v>0.28334049201494726</v>
      </c>
      <c r="BK169" s="630">
        <f>IF(Calibración_BAU_USCUSS!BO171&lt;0,Calibración_BAU_USCUSS!BO171*-1, Calibración_BAU_USCUSS!BO171) *Emisiones_USCUSS!$M$78</f>
        <v>0.27614920897723433</v>
      </c>
      <c r="BL169" s="630">
        <f>IF(Calibración_BAU_USCUSS!BP171&lt;0,Calibración_BAU_USCUSS!BP171*-1, Calibración_BAU_USCUSS!BP171) *Emisiones_USCUSS!$M$78</f>
        <v>0.26924932748349423</v>
      </c>
      <c r="BM169" s="630">
        <f>IF(Calibración_BAU_USCUSS!BQ171&lt;0,Calibración_BAU_USCUSS!BQ171*-1, Calibración_BAU_USCUSS!BQ171) *Emisiones_USCUSS!$M$78</f>
        <v>0.2625426010144119</v>
      </c>
    </row>
    <row r="170" spans="1:65" s="939" customFormat="1" x14ac:dyDescent="0.35">
      <c r="A170" s="937"/>
      <c r="B170" s="938"/>
      <c r="C170" s="1166" t="s">
        <v>102</v>
      </c>
      <c r="D170" s="1157"/>
      <c r="E170" s="940"/>
      <c r="F170" s="940"/>
      <c r="G170" s="940"/>
      <c r="H170" s="940"/>
      <c r="M170" s="939">
        <f>IF(Calibración_BAU_USCUSS!Q172&lt;0,Calibración_BAU_USCUSS!Q172*-1, Calibración_BAU_USCUSS!Q172) *Emisiones_USCUSS!$M$79</f>
        <v>0.13373066990000002</v>
      </c>
      <c r="N170" s="939">
        <f>IF(Calibración_BAU_USCUSS!R172&lt;0,Calibración_BAU_USCUSS!R172*-1, Calibración_BAU_USCUSS!R172) *Emisiones_USCUSS!$M$79</f>
        <v>4.7560309494176299E-2</v>
      </c>
      <c r="O170" s="939">
        <f>IF(Calibración_BAU_USCUSS!S172&lt;0,Calibración_BAU_USCUSS!S172*-1, Calibración_BAU_USCUSS!S172) *Emisiones_USCUSS!$M$79</f>
        <v>4.9760479149772711E-2</v>
      </c>
      <c r="P170" s="939">
        <f>IF(Calibración_BAU_USCUSS!T172&lt;0,Calibración_BAU_USCUSS!T172*-1, Calibración_BAU_USCUSS!T172) *Emisiones_USCUSS!$M$79</f>
        <v>4.9760479149772711E-2</v>
      </c>
      <c r="Q170" s="939">
        <f>IF(Calibración_BAU_USCUSS!U172&lt;0,Calibración_BAU_USCUSS!U172*-1, Calibración_BAU_USCUSS!U172) *Emisiones_USCUSS!$M$79</f>
        <v>4.9760479149772711E-2</v>
      </c>
      <c r="R170" s="939">
        <f>IF(Calibración_BAU_USCUSS!V172&lt;0,Calibración_BAU_USCUSS!V172*-1, Calibración_BAU_USCUSS!V172) *Emisiones_USCUSS!$M$79</f>
        <v>4.9760479149772711E-2</v>
      </c>
      <c r="S170" s="939">
        <f>IF(Calibración_BAU_USCUSS!W172&lt;0,Calibración_BAU_USCUSS!W172*-1, Calibración_BAU_USCUSS!W172) *Emisiones_USCUSS!$M$79</f>
        <v>4.9760479149775827E-2</v>
      </c>
      <c r="T170" s="939">
        <f>IF(Calibración_BAU_USCUSS!X172&lt;0,Calibración_BAU_USCUSS!X172*-1, Calibración_BAU_USCUSS!X172) *Emisiones_USCUSS!$M$79</f>
        <v>4.9760479149772711E-2</v>
      </c>
      <c r="U170" s="939">
        <f>IF(Calibración_BAU_USCUSS!Y172&lt;0,Calibración_BAU_USCUSS!Y172*-1, Calibración_BAU_USCUSS!Y172) *Emisiones_USCUSS!$M$79</f>
        <v>4.9760479149772711E-2</v>
      </c>
      <c r="V170" s="939">
        <f>IF(Calibración_BAU_USCUSS!Z172&lt;0,Calibración_BAU_USCUSS!Z172*-1, Calibración_BAU_USCUSS!Z172) *Emisiones_USCUSS!$M$79</f>
        <v>4.9760479149772711E-2</v>
      </c>
      <c r="W170" s="939">
        <f>IF(Calibración_BAU_USCUSS!AA172&lt;0,Calibración_BAU_USCUSS!AA172*-1, Calibración_BAU_USCUSS!AA172) *Emisiones_USCUSS!$M$79</f>
        <v>4.9760479149772711E-2</v>
      </c>
      <c r="X170" s="939">
        <f>IF(Calibración_BAU_USCUSS!AB172&lt;0,Calibración_BAU_USCUSS!AB172*-1, Calibración_BAU_USCUSS!AB172) *Emisiones_USCUSS!$M$79</f>
        <v>4.9760479149772711E-2</v>
      </c>
      <c r="Y170" s="939">
        <f>IF(Calibración_BAU_USCUSS!AC172&lt;0,Calibración_BAU_USCUSS!AC172*-1, Calibración_BAU_USCUSS!AC172) *Emisiones_USCUSS!$M$79</f>
        <v>4.9760479149772711E-2</v>
      </c>
      <c r="Z170" s="939">
        <f>IF(Calibración_BAU_USCUSS!AD172&lt;0,Calibración_BAU_USCUSS!AD172*-1, Calibración_BAU_USCUSS!AD172) *Emisiones_USCUSS!$M$79</f>
        <v>4.9760479149772711E-2</v>
      </c>
      <c r="AA170" s="939">
        <f>IF(Calibración_BAU_USCUSS!AE172&lt;0,Calibración_BAU_USCUSS!AE172*-1, Calibración_BAU_USCUSS!AE172) *Emisiones_USCUSS!$M$79</f>
        <v>4.9760479149772711E-2</v>
      </c>
      <c r="AB170" s="939">
        <f>IF(Calibración_BAU_USCUSS!AF172&lt;0,Calibración_BAU_USCUSS!AF172*-1, Calibración_BAU_USCUSS!AF172) *Emisiones_USCUSS!$M$79</f>
        <v>4.9760479149772711E-2</v>
      </c>
      <c r="AC170" s="939">
        <f>IF(Calibración_BAU_USCUSS!AG172&lt;0,Calibración_BAU_USCUSS!AG172*-1, Calibración_BAU_USCUSS!AG172) *Emisiones_USCUSS!$M$79</f>
        <v>4.9760479149772711E-2</v>
      </c>
      <c r="AD170" s="939">
        <f>IF(Calibración_BAU_USCUSS!AH172&lt;0,Calibración_BAU_USCUSS!AH172*-1, Calibración_BAU_USCUSS!AH172) *Emisiones_USCUSS!$M$79</f>
        <v>4.9760479149775827E-2</v>
      </c>
      <c r="AE170" s="939">
        <f>IF(Calibración_BAU_USCUSS!AI172&lt;0,Calibración_BAU_USCUSS!AI172*-1, Calibración_BAU_USCUSS!AI172) *Emisiones_USCUSS!$M$79</f>
        <v>4.9760479149772711E-2</v>
      </c>
      <c r="AF170" s="939">
        <f>IF(Calibración_BAU_USCUSS!AJ172&lt;0,Calibración_BAU_USCUSS!AJ172*-1, Calibración_BAU_USCUSS!AJ172) *Emisiones_USCUSS!$M$79</f>
        <v>4.9760479149772711E-2</v>
      </c>
      <c r="AG170" s="939">
        <f>IF(Calibración_BAU_USCUSS!AK172&lt;0,Calibración_BAU_USCUSS!AK172*-1, Calibración_BAU_USCUSS!AK172) *Emisiones_USCUSS!$M$79</f>
        <v>4.9760479149772711E-2</v>
      </c>
      <c r="AH170" s="939">
        <f>IF(Calibración_BAU_USCUSS!AL172&lt;0,Calibración_BAU_USCUSS!AL172*-1, Calibración_BAU_USCUSS!AL172) *Emisiones_USCUSS!$M$79</f>
        <v>4.9760479149772711E-2</v>
      </c>
      <c r="AI170" s="939">
        <f>IF(Calibración_BAU_USCUSS!AM172&lt;0,Calibración_BAU_USCUSS!AM172*-1, Calibración_BAU_USCUSS!AM172) *Emisiones_USCUSS!$M$79</f>
        <v>4.9760479149772711E-2</v>
      </c>
      <c r="AJ170" s="939">
        <f>IF(Calibración_BAU_USCUSS!AN172&lt;0,Calibración_BAU_USCUSS!AN172*-1, Calibración_BAU_USCUSS!AN172) *Emisiones_USCUSS!$M$79</f>
        <v>4.9760479149772711E-2</v>
      </c>
      <c r="AK170" s="939">
        <f>IF(Calibración_BAU_USCUSS!AO172&lt;0,Calibración_BAU_USCUSS!AO172*-1, Calibración_BAU_USCUSS!AO172) *Emisiones_USCUSS!$M$79</f>
        <v>4.9760479149772711E-2</v>
      </c>
      <c r="AL170" s="939">
        <f>IF(Calibración_BAU_USCUSS!AP172&lt;0,Calibración_BAU_USCUSS!AP172*-1, Calibración_BAU_USCUSS!AP172) *Emisiones_USCUSS!$M$79</f>
        <v>4.9760479149772711E-2</v>
      </c>
      <c r="AM170" s="939">
        <f>IF(Calibración_BAU_USCUSS!AQ172&lt;0,Calibración_BAU_USCUSS!AQ172*-1, Calibración_BAU_USCUSS!AQ172) *Emisiones_USCUSS!$M$79</f>
        <v>4.9760479149772711E-2</v>
      </c>
      <c r="AN170" s="939">
        <f>IF(Calibración_BAU_USCUSS!AR172&lt;0,Calibración_BAU_USCUSS!AR172*-1, Calibración_BAU_USCUSS!AR172) *Emisiones_USCUSS!$M$79</f>
        <v>4.9760479149772711E-2</v>
      </c>
      <c r="AO170" s="939">
        <f>IF(Calibración_BAU_USCUSS!AS172&lt;0,Calibración_BAU_USCUSS!AS172*-1, Calibración_BAU_USCUSS!AS172) *Emisiones_USCUSS!$M$79</f>
        <v>4.9760479149775827E-2</v>
      </c>
      <c r="AP170" s="939">
        <f>IF(Calibración_BAU_USCUSS!AT172&lt;0,Calibración_BAU_USCUSS!AT172*-1, Calibración_BAU_USCUSS!AT172) *Emisiones_USCUSS!$M$79</f>
        <v>4.9760479149772711E-2</v>
      </c>
      <c r="AQ170" s="939">
        <f>IF(Calibración_BAU_USCUSS!AU172&lt;0,Calibración_BAU_USCUSS!AU172*-1, Calibración_BAU_USCUSS!AU172) *Emisiones_USCUSS!$M$79</f>
        <v>4.9760479149772711E-2</v>
      </c>
      <c r="AR170" s="939">
        <f>IF(Calibración_BAU_USCUSS!AV172&lt;0,Calibración_BAU_USCUSS!AV172*-1, Calibración_BAU_USCUSS!AV172) *Emisiones_USCUSS!$M$79</f>
        <v>4.9760479149772711E-2</v>
      </c>
      <c r="AS170" s="939">
        <f>IF(Calibración_BAU_USCUSS!AW172&lt;0,Calibración_BAU_USCUSS!AW172*-1, Calibración_BAU_USCUSS!AW172) *Emisiones_USCUSS!$M$79</f>
        <v>4.9760479149772711E-2</v>
      </c>
      <c r="AT170" s="939">
        <f>IF(Calibración_BAU_USCUSS!AX172&lt;0,Calibración_BAU_USCUSS!AX172*-1, Calibración_BAU_USCUSS!AX172) *Emisiones_USCUSS!$M$79</f>
        <v>4.9760479149772711E-2</v>
      </c>
      <c r="AU170" s="939">
        <f>IF(Calibración_BAU_USCUSS!AY172&lt;0,Calibración_BAU_USCUSS!AY172*-1, Calibración_BAU_USCUSS!AY172) *Emisiones_USCUSS!$M$79</f>
        <v>4.9760479149772711E-2</v>
      </c>
      <c r="AV170" s="939">
        <f>IF(Calibración_BAU_USCUSS!AZ172&lt;0,Calibración_BAU_USCUSS!AZ172*-1, Calibración_BAU_USCUSS!AZ172) *Emisiones_USCUSS!$M$79</f>
        <v>4.9760479149772711E-2</v>
      </c>
      <c r="AW170" s="939">
        <f>IF(Calibración_BAU_USCUSS!BA172&lt;0,Calibración_BAU_USCUSS!BA172*-1, Calibración_BAU_USCUSS!BA172) *Emisiones_USCUSS!$M$79</f>
        <v>4.9760479149772711E-2</v>
      </c>
      <c r="AX170" s="939">
        <f>IF(Calibración_BAU_USCUSS!BB172&lt;0,Calibración_BAU_USCUSS!BB172*-1, Calibración_BAU_USCUSS!BB172) *Emisiones_USCUSS!$M$79</f>
        <v>4.9760479149772711E-2</v>
      </c>
      <c r="AY170" s="939">
        <f>IF(Calibración_BAU_USCUSS!BC172&lt;0,Calibración_BAU_USCUSS!BC172*-1, Calibración_BAU_USCUSS!BC172) *Emisiones_USCUSS!$M$79</f>
        <v>4.9760479149775827E-2</v>
      </c>
      <c r="AZ170" s="939">
        <f>IF(Calibración_BAU_USCUSS!BD172&lt;0,Calibración_BAU_USCUSS!BD172*-1, Calibración_BAU_USCUSS!BD172) *Emisiones_USCUSS!$M$79</f>
        <v>4.9760479149772711E-2</v>
      </c>
      <c r="BA170" s="939">
        <f>IF(Calibración_BAU_USCUSS!BE172&lt;0,Calibración_BAU_USCUSS!BE172*-1, Calibración_BAU_USCUSS!BE172) *Emisiones_USCUSS!$M$79</f>
        <v>4.9760479149772711E-2</v>
      </c>
      <c r="BB170" s="939">
        <f>IF(Calibración_BAU_USCUSS!BF172&lt;0,Calibración_BAU_USCUSS!BF172*-1, Calibración_BAU_USCUSS!BF172) *Emisiones_USCUSS!$M$79</f>
        <v>4.9760479149772711E-2</v>
      </c>
      <c r="BC170" s="939">
        <f>IF(Calibración_BAU_USCUSS!BG172&lt;0,Calibración_BAU_USCUSS!BG172*-1, Calibración_BAU_USCUSS!BG172) *Emisiones_USCUSS!$M$79</f>
        <v>4.9760479149772711E-2</v>
      </c>
      <c r="BD170" s="939">
        <f>IF(Calibración_BAU_USCUSS!BH172&lt;0,Calibración_BAU_USCUSS!BH172*-1, Calibración_BAU_USCUSS!BH172) *Emisiones_USCUSS!$M$79</f>
        <v>4.9760479149772711E-2</v>
      </c>
      <c r="BE170" s="939">
        <f>IF(Calibración_BAU_USCUSS!BI172&lt;0,Calibración_BAU_USCUSS!BI172*-1, Calibración_BAU_USCUSS!BI172) *Emisiones_USCUSS!$M$79</f>
        <v>4.9760479149772711E-2</v>
      </c>
      <c r="BF170" s="939">
        <f>IF(Calibración_BAU_USCUSS!BJ172&lt;0,Calibración_BAU_USCUSS!BJ172*-1, Calibración_BAU_USCUSS!BJ172) *Emisiones_USCUSS!$M$79</f>
        <v>4.9760479149772711E-2</v>
      </c>
      <c r="BG170" s="939">
        <f>IF(Calibración_BAU_USCUSS!BK172&lt;0,Calibración_BAU_USCUSS!BK172*-1, Calibración_BAU_USCUSS!BK172) *Emisiones_USCUSS!$M$79</f>
        <v>4.9760479149772711E-2</v>
      </c>
      <c r="BH170" s="939">
        <f>IF(Calibración_BAU_USCUSS!BL172&lt;0,Calibración_BAU_USCUSS!BL172*-1, Calibración_BAU_USCUSS!BL172) *Emisiones_USCUSS!$M$79</f>
        <v>4.9760479149772711E-2</v>
      </c>
      <c r="BI170" s="939">
        <f>IF(Calibración_BAU_USCUSS!BM172&lt;0,Calibración_BAU_USCUSS!BM172*-1, Calibración_BAU_USCUSS!BM172) *Emisiones_USCUSS!$M$79</f>
        <v>4.9760479149772711E-2</v>
      </c>
      <c r="BJ170" s="939">
        <f>IF(Calibración_BAU_USCUSS!BN172&lt;0,Calibración_BAU_USCUSS!BN172*-1, Calibración_BAU_USCUSS!BN172) *Emisiones_USCUSS!$M$79</f>
        <v>4.9760479149775827E-2</v>
      </c>
      <c r="BK170" s="939">
        <f>IF(Calibración_BAU_USCUSS!BO172&lt;0,Calibración_BAU_USCUSS!BO172*-1, Calibración_BAU_USCUSS!BO172) *Emisiones_USCUSS!$M$79</f>
        <v>4.9760479149772711E-2</v>
      </c>
      <c r="BL170" s="939">
        <f>IF(Calibración_BAU_USCUSS!BP172&lt;0,Calibración_BAU_USCUSS!BP172*-1, Calibración_BAU_USCUSS!BP172) *Emisiones_USCUSS!$M$79</f>
        <v>4.9760479149772711E-2</v>
      </c>
      <c r="BM170" s="939">
        <f>IF(Calibración_BAU_USCUSS!BQ172&lt;0,Calibración_BAU_USCUSS!BQ172*-1, Calibración_BAU_USCUSS!BQ172) *Emisiones_USCUSS!$M$79</f>
        <v>4.9760479149772711E-2</v>
      </c>
    </row>
    <row r="171" spans="1:65" x14ac:dyDescent="0.35">
      <c r="C171" s="1167" t="s">
        <v>103</v>
      </c>
      <c r="D171" s="1153"/>
      <c r="E171" s="634"/>
      <c r="F171" s="634"/>
      <c r="G171" s="634"/>
      <c r="H171" s="634"/>
      <c r="I171" s="630"/>
      <c r="J171" s="630"/>
      <c r="K171" s="630"/>
      <c r="L171" s="630"/>
      <c r="M171" s="630"/>
      <c r="N171" s="630"/>
      <c r="O171" s="630"/>
      <c r="P171" s="630"/>
      <c r="Q171" s="636"/>
      <c r="R171" s="636"/>
      <c r="S171" s="636"/>
      <c r="T171" s="636"/>
      <c r="U171" s="636"/>
      <c r="V171" s="636"/>
      <c r="W171" s="636"/>
      <c r="X171" s="636"/>
      <c r="Y171" s="636"/>
      <c r="Z171" s="636"/>
      <c r="AA171" s="636"/>
      <c r="AB171" s="636"/>
      <c r="AC171" s="636"/>
      <c r="AD171" s="636"/>
      <c r="AE171" s="636"/>
      <c r="AF171" s="636"/>
      <c r="AG171" s="636"/>
      <c r="AH171" s="636"/>
      <c r="AI171" s="636"/>
      <c r="AJ171" s="636"/>
      <c r="AK171" s="636"/>
      <c r="AL171" s="636"/>
      <c r="AM171" s="636"/>
      <c r="AN171" s="636"/>
      <c r="AO171" s="636"/>
      <c r="AP171" s="636"/>
      <c r="AQ171" s="636"/>
      <c r="AR171" s="636"/>
      <c r="AS171" s="636"/>
      <c r="AT171" s="636"/>
      <c r="AU171" s="636"/>
      <c r="AV171" s="636"/>
      <c r="AW171" s="636"/>
      <c r="AX171" s="636"/>
      <c r="AY171" s="636"/>
      <c r="AZ171" s="636"/>
      <c r="BA171" s="636"/>
      <c r="BB171" s="636"/>
      <c r="BC171" s="636"/>
      <c r="BD171" s="636"/>
      <c r="BE171" s="636"/>
      <c r="BF171" s="636"/>
      <c r="BG171" s="636"/>
      <c r="BH171" s="636"/>
      <c r="BI171" s="636"/>
      <c r="BJ171" s="636"/>
      <c r="BK171" s="636"/>
      <c r="BL171" s="636"/>
      <c r="BM171" s="636"/>
    </row>
    <row r="172" spans="1:65" x14ac:dyDescent="0.35">
      <c r="D172" s="93"/>
      <c r="E172" s="112"/>
      <c r="F172" s="112"/>
      <c r="G172" s="112"/>
      <c r="H172" s="112"/>
      <c r="M172" s="373">
        <f>SUM(M166:M171)</f>
        <v>1.3329473671000001</v>
      </c>
      <c r="N172" s="373">
        <f>SUM(N166:N171)</f>
        <v>1.4021319022287757</v>
      </c>
      <c r="O172" s="373">
        <f t="shared" ref="O172:BM172" si="11">SUM(O166:O171)</f>
        <v>1.7505330377625161</v>
      </c>
      <c r="P172" s="373">
        <f t="shared" si="11"/>
        <v>1.7366441220661701</v>
      </c>
      <c r="Q172" s="373">
        <f>SUM(Q166:Q171)</f>
        <v>1.7240229849811342</v>
      </c>
      <c r="R172" s="373">
        <f t="shared" si="11"/>
        <v>1.7115582544795322</v>
      </c>
      <c r="S172" s="373">
        <f t="shared" si="11"/>
        <v>1.6992323017146338</v>
      </c>
      <c r="T172" s="373">
        <f t="shared" si="11"/>
        <v>1.6870156070313038</v>
      </c>
      <c r="U172" s="373">
        <f t="shared" si="11"/>
        <v>1.674932904846006</v>
      </c>
      <c r="V172" s="373">
        <f t="shared" si="11"/>
        <v>1.6628892825259629</v>
      </c>
      <c r="W172" s="373">
        <f t="shared" si="11"/>
        <v>1.6510210334037956</v>
      </c>
      <c r="X172" s="373">
        <f t="shared" si="11"/>
        <v>1.6392630437356477</v>
      </c>
      <c r="Y172" s="373">
        <f t="shared" si="11"/>
        <v>1.627587390089702</v>
      </c>
      <c r="Z172" s="373">
        <f t="shared" si="11"/>
        <v>1.6159865984671573</v>
      </c>
      <c r="AA172" s="373">
        <f t="shared" si="11"/>
        <v>1.6045699460477594</v>
      </c>
      <c r="AB172" s="373">
        <f t="shared" si="11"/>
        <v>1.5932084158885504</v>
      </c>
      <c r="AC172" s="373">
        <f t="shared" si="11"/>
        <v>1.5819933723631727</v>
      </c>
      <c r="AD172" s="373">
        <f t="shared" si="11"/>
        <v>1.5708589111932292</v>
      </c>
      <c r="AE172" s="373">
        <f t="shared" si="11"/>
        <v>1.5598122686160893</v>
      </c>
      <c r="AF172" s="373">
        <f t="shared" si="11"/>
        <v>1.5488977910073092</v>
      </c>
      <c r="AG172" s="373">
        <f t="shared" si="11"/>
        <v>1.5380583765750477</v>
      </c>
      <c r="AH172" s="373">
        <f t="shared" si="11"/>
        <v>1.527314321195967</v>
      </c>
      <c r="AI172" s="373">
        <f t="shared" si="11"/>
        <v>1.5166865037344148</v>
      </c>
      <c r="AJ172" s="373">
        <f t="shared" si="11"/>
        <v>1.5061304217100238</v>
      </c>
      <c r="AK172" s="373">
        <f t="shared" si="11"/>
        <v>1.4956672606091568</v>
      </c>
      <c r="AL172" s="373">
        <f t="shared" si="11"/>
        <v>1.4853209973432466</v>
      </c>
      <c r="AM172" s="373">
        <f t="shared" si="11"/>
        <v>1.4750109356115013</v>
      </c>
      <c r="AN172" s="373">
        <f t="shared" si="11"/>
        <v>1.4648341897896628</v>
      </c>
      <c r="AO172" s="373">
        <f t="shared" si="11"/>
        <v>1.4547011992296353</v>
      </c>
      <c r="AP172" s="373">
        <f t="shared" si="11"/>
        <v>1.4446864251028546</v>
      </c>
      <c r="AQ172" s="373">
        <f t="shared" si="11"/>
        <v>1.434747119058746</v>
      </c>
      <c r="AR172" s="373">
        <f t="shared" si="11"/>
        <v>1.4248744815175232</v>
      </c>
      <c r="AS172" s="373">
        <f t="shared" si="11"/>
        <v>1.4150734035276473</v>
      </c>
      <c r="AT172" s="373">
        <f t="shared" si="11"/>
        <v>1.405348999030162</v>
      </c>
      <c r="AU172" s="373">
        <f t="shared" si="11"/>
        <v>1.3957332122190618</v>
      </c>
      <c r="AV172" s="373">
        <f t="shared" si="11"/>
        <v>1.3861942304262358</v>
      </c>
      <c r="AW172" s="373">
        <f t="shared" si="11"/>
        <v>1.376737537023017</v>
      </c>
      <c r="AX172" s="373">
        <f t="shared" si="11"/>
        <v>1.3673669708974125</v>
      </c>
      <c r="AY172" s="373">
        <f t="shared" si="11"/>
        <v>1.3580778055781901</v>
      </c>
      <c r="AZ172" s="373">
        <f t="shared" si="11"/>
        <v>1.3488758977564852</v>
      </c>
      <c r="BA172" s="373">
        <f t="shared" si="11"/>
        <v>1.3397511373152828</v>
      </c>
      <c r="BB172" s="373">
        <f t="shared" si="11"/>
        <v>1.3307062477287088</v>
      </c>
      <c r="BC172" s="373">
        <f t="shared" si="11"/>
        <v>1.321740497397818</v>
      </c>
      <c r="BD172" s="373">
        <f t="shared" si="11"/>
        <v>1.3128527490316322</v>
      </c>
      <c r="BE172" s="373">
        <f t="shared" si="11"/>
        <v>1.3040413313908048</v>
      </c>
      <c r="BF172" s="373">
        <f t="shared" si="11"/>
        <v>1.2953052902684579</v>
      </c>
      <c r="BG172" s="373">
        <f t="shared" si="11"/>
        <v>1.286643596014867</v>
      </c>
      <c r="BH172" s="373">
        <f t="shared" si="11"/>
        <v>1.2780553797675331</v>
      </c>
      <c r="BI172" s="373">
        <f t="shared" si="11"/>
        <v>1.2695393140342519</v>
      </c>
      <c r="BJ172" s="373">
        <f t="shared" si="11"/>
        <v>1.261094371831105</v>
      </c>
      <c r="BK172" s="373">
        <f t="shared" si="11"/>
        <v>1.2527191775744257</v>
      </c>
      <c r="BL172" s="373">
        <f t="shared" si="11"/>
        <v>1.2444128229194775</v>
      </c>
      <c r="BM172" s="373">
        <f t="shared" si="11"/>
        <v>1.2361741799426944</v>
      </c>
    </row>
    <row r="173" spans="1:65" x14ac:dyDescent="0.35">
      <c r="D173" s="93"/>
      <c r="E173" s="112"/>
      <c r="F173" s="112"/>
      <c r="G173" s="112"/>
      <c r="H173" s="112"/>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3"/>
      <c r="AX173" s="373"/>
      <c r="AY173" s="373"/>
      <c r="AZ173" s="373"/>
      <c r="BA173" s="373"/>
      <c r="BB173" s="373"/>
      <c r="BC173" s="373"/>
      <c r="BD173" s="373"/>
      <c r="BE173" s="373"/>
      <c r="BF173" s="373"/>
      <c r="BG173" s="373"/>
      <c r="BH173" s="373"/>
      <c r="BI173" s="373"/>
      <c r="BJ173" s="373"/>
      <c r="BK173" s="373"/>
      <c r="BL173" s="373"/>
      <c r="BM173" s="373"/>
    </row>
    <row r="174" spans="1:65" x14ac:dyDescent="0.35">
      <c r="D174" s="93"/>
      <c r="E174" s="112"/>
      <c r="F174" s="112"/>
      <c r="G174" s="112"/>
      <c r="H174" s="112"/>
    </row>
    <row r="175" spans="1:65" ht="15.5" x14ac:dyDescent="0.3">
      <c r="C175" s="1168" t="s">
        <v>255</v>
      </c>
      <c r="D175" s="1168"/>
      <c r="E175" s="1168"/>
      <c r="F175" s="1168"/>
      <c r="G175" s="1168"/>
      <c r="H175" s="1168"/>
      <c r="I175" s="1168"/>
      <c r="J175" s="1168"/>
      <c r="K175" s="1168"/>
      <c r="L175" s="1168"/>
      <c r="M175" s="1168"/>
      <c r="N175" s="1168"/>
    </row>
    <row r="176" spans="1:65" ht="27" customHeight="1" x14ac:dyDescent="0.35">
      <c r="C176" s="1171" t="s">
        <v>256</v>
      </c>
      <c r="D176" s="1171"/>
      <c r="E176" s="636"/>
      <c r="F176" s="636"/>
      <c r="G176" s="636"/>
      <c r="H176" s="636"/>
      <c r="I176" s="636"/>
      <c r="J176" s="636"/>
      <c r="K176" s="636"/>
      <c r="L176" s="636"/>
      <c r="M176" s="636">
        <f>IF(Calibración_BAU_USCUSS!Q69&lt;0,Calibración_BAU_USCUSS!Q69*-1, Calibración_BAU_USCUSS!Q69) *Emisiones_USCUSS!$M$86</f>
        <v>-25.997769119912522</v>
      </c>
      <c r="N176" s="636">
        <f>IF(Calibración_BAU_USCUSS!R69&lt;0,Calibración_BAU_USCUSS!R69*-1, Calibración_BAU_USCUSS!R69) *Emisiones_USCUSS!$M$86</f>
        <v>-25.997769119912522</v>
      </c>
      <c r="O176" s="636">
        <f>IF(Calibración_BAU_USCUSS!S69&lt;0,Calibración_BAU_USCUSS!S69*-1, Calibración_BAU_USCUSS!S69) *Emisiones_USCUSS!$M$86</f>
        <v>-25.997769119912522</v>
      </c>
      <c r="P176" s="636">
        <f>IF(Calibración_BAU_USCUSS!T69&lt;0,Calibración_BAU_USCUSS!T69*-1, Calibración_BAU_USCUSS!T69) *Emisiones_USCUSS!$M$86</f>
        <v>-25.997769119912522</v>
      </c>
      <c r="Q176" s="636">
        <f>IF(Calibración_BAU_USCUSS!U69&lt;0,Calibración_BAU_USCUSS!U69*-1, Calibración_BAU_USCUSS!U69) *Emisiones_USCUSS!$M$86</f>
        <v>-25.997769119912522</v>
      </c>
      <c r="R176" s="636">
        <f>IF(Calibración_BAU_USCUSS!V69&lt;0,Calibración_BAU_USCUSS!V69*-1, Calibración_BAU_USCUSS!V69) *Emisiones_USCUSS!$M$86</f>
        <v>-25.997769119912522</v>
      </c>
      <c r="S176" s="636">
        <f>IF(Calibración_BAU_USCUSS!W69&lt;0,Calibración_BAU_USCUSS!W69*-1, Calibración_BAU_USCUSS!W69) *Emisiones_USCUSS!$M$86</f>
        <v>-25.997769119912522</v>
      </c>
      <c r="T176" s="636">
        <f>IF(Calibración_BAU_USCUSS!X69&lt;0,Calibración_BAU_USCUSS!X69*-1, Calibración_BAU_USCUSS!X69) *Emisiones_USCUSS!$M$86</f>
        <v>-25.997769119912522</v>
      </c>
      <c r="U176" s="636">
        <f>IF(Calibración_BAU_USCUSS!Y69&lt;0,Calibración_BAU_USCUSS!Y69*-1, Calibración_BAU_USCUSS!Y69) *Emisiones_USCUSS!$M$86</f>
        <v>-25.997769119912522</v>
      </c>
      <c r="V176" s="636">
        <f>IF(Calibración_BAU_USCUSS!Z69&lt;0,Calibración_BAU_USCUSS!Z69*-1, Calibración_BAU_USCUSS!Z69) *Emisiones_USCUSS!$M$86</f>
        <v>-25.997769119912522</v>
      </c>
      <c r="W176" s="636">
        <f>IF(Calibración_BAU_USCUSS!AA69&lt;0,Calibración_BAU_USCUSS!AA69*-1, Calibración_BAU_USCUSS!AA69) *Emisiones_USCUSS!$M$86</f>
        <v>-25.997769119912522</v>
      </c>
      <c r="X176" s="636">
        <f>IF(Calibración_BAU_USCUSS!AB69&lt;0,Calibración_BAU_USCUSS!AB69*-1, Calibración_BAU_USCUSS!AB69) *Emisiones_USCUSS!$M$86</f>
        <v>-25.997769119912522</v>
      </c>
      <c r="Y176" s="636">
        <f>IF(Calibración_BAU_USCUSS!AC69&lt;0,Calibración_BAU_USCUSS!AC69*-1, Calibración_BAU_USCUSS!AC69) *Emisiones_USCUSS!$M$86</f>
        <v>-25.997769119912522</v>
      </c>
      <c r="Z176" s="636">
        <f>IF(Calibración_BAU_USCUSS!AD69&lt;0,Calibración_BAU_USCUSS!AD69*-1, Calibración_BAU_USCUSS!AD69) *Emisiones_USCUSS!$M$86</f>
        <v>-25.997769119912522</v>
      </c>
      <c r="AA176" s="636">
        <f>IF(Calibración_BAU_USCUSS!AE69&lt;0,Calibración_BAU_USCUSS!AE69*-1, Calibración_BAU_USCUSS!AE69) *Emisiones_USCUSS!$M$86</f>
        <v>-25.997769119912522</v>
      </c>
      <c r="AB176" s="636">
        <f>IF(Calibración_BAU_USCUSS!AF69&lt;0,Calibración_BAU_USCUSS!AF69*-1, Calibración_BAU_USCUSS!AF69) *Emisiones_USCUSS!$M$86</f>
        <v>-25.997769119912522</v>
      </c>
      <c r="AC176" s="636">
        <f>IF(Calibración_BAU_USCUSS!AG69&lt;0,Calibración_BAU_USCUSS!AG69*-1, Calibración_BAU_USCUSS!AG69) *Emisiones_USCUSS!$M$86</f>
        <v>-25.997769119912522</v>
      </c>
      <c r="AD176" s="636">
        <f>IF(Calibración_BAU_USCUSS!AH69&lt;0,Calibración_BAU_USCUSS!AH69*-1, Calibración_BAU_USCUSS!AH69) *Emisiones_USCUSS!$M$86</f>
        <v>-25.997769119912522</v>
      </c>
      <c r="AE176" s="636">
        <f>IF(Calibración_BAU_USCUSS!AI69&lt;0,Calibración_BAU_USCUSS!AI69*-1, Calibración_BAU_USCUSS!AI69) *Emisiones_USCUSS!$M$86</f>
        <v>-25.997769119912522</v>
      </c>
      <c r="AF176" s="636">
        <f>IF(Calibración_BAU_USCUSS!AJ69&lt;0,Calibración_BAU_USCUSS!AJ69*-1, Calibración_BAU_USCUSS!AJ69) *Emisiones_USCUSS!$M$86</f>
        <v>-25.997769119912522</v>
      </c>
      <c r="AG176" s="636">
        <f>IF(Calibración_BAU_USCUSS!AK69&lt;0,Calibración_BAU_USCUSS!AK69*-1, Calibración_BAU_USCUSS!AK69) *Emisiones_USCUSS!$M$86</f>
        <v>-25.997769119912522</v>
      </c>
      <c r="AH176" s="636">
        <f>IF(Calibración_BAU_USCUSS!AL69&lt;0,Calibración_BAU_USCUSS!AL69*-1, Calibración_BAU_USCUSS!AL69) *Emisiones_USCUSS!$M$86</f>
        <v>-25.997769119912522</v>
      </c>
      <c r="AI176" s="636">
        <f>IF(Calibración_BAU_USCUSS!AM69&lt;0,Calibración_BAU_USCUSS!AM69*-1, Calibración_BAU_USCUSS!AM69) *Emisiones_USCUSS!$M$86</f>
        <v>-25.997769119912522</v>
      </c>
      <c r="AJ176" s="636">
        <f>IF(Calibración_BAU_USCUSS!AN69&lt;0,Calibración_BAU_USCUSS!AN69*-1, Calibración_BAU_USCUSS!AN69) *Emisiones_USCUSS!$M$86</f>
        <v>-25.997769119912522</v>
      </c>
      <c r="AK176" s="636">
        <f>IF(Calibración_BAU_USCUSS!AO69&lt;0,Calibración_BAU_USCUSS!AO69*-1, Calibración_BAU_USCUSS!AO69) *Emisiones_USCUSS!$M$86</f>
        <v>-25.997769119912522</v>
      </c>
      <c r="AL176" s="636">
        <f>IF(Calibración_BAU_USCUSS!AP69&lt;0,Calibración_BAU_USCUSS!AP69*-1, Calibración_BAU_USCUSS!AP69) *Emisiones_USCUSS!$M$86</f>
        <v>-25.997769119912522</v>
      </c>
      <c r="AM176" s="636">
        <f>IF(Calibración_BAU_USCUSS!AQ69&lt;0,Calibración_BAU_USCUSS!AQ69*-1, Calibración_BAU_USCUSS!AQ69) *Emisiones_USCUSS!$M$86</f>
        <v>-25.997769119912522</v>
      </c>
      <c r="AN176" s="636">
        <f>IF(Calibración_BAU_USCUSS!AR69&lt;0,Calibración_BAU_USCUSS!AR69*-1, Calibración_BAU_USCUSS!AR69) *Emisiones_USCUSS!$M$86</f>
        <v>-25.997769119912522</v>
      </c>
      <c r="AO176" s="636">
        <f>IF(Calibración_BAU_USCUSS!AS69&lt;0,Calibración_BAU_USCUSS!AS69*-1, Calibración_BAU_USCUSS!AS69) *Emisiones_USCUSS!$M$86</f>
        <v>-25.997769119912522</v>
      </c>
      <c r="AP176" s="636">
        <f>IF(Calibración_BAU_USCUSS!AT69&lt;0,Calibración_BAU_USCUSS!AT69*-1, Calibración_BAU_USCUSS!AT69) *Emisiones_USCUSS!$M$86</f>
        <v>-25.997769119912522</v>
      </c>
      <c r="AQ176" s="636">
        <f>IF(Calibración_BAU_USCUSS!AU69&lt;0,Calibración_BAU_USCUSS!AU69*-1, Calibración_BAU_USCUSS!AU69) *Emisiones_USCUSS!$M$86</f>
        <v>-25.997769119912522</v>
      </c>
      <c r="AR176" s="636">
        <f>IF(Calibración_BAU_USCUSS!AV69&lt;0,Calibración_BAU_USCUSS!AV69*-1, Calibración_BAU_USCUSS!AV69) *Emisiones_USCUSS!$M$86</f>
        <v>-25.997769119912522</v>
      </c>
      <c r="AS176" s="636">
        <f>IF(Calibración_BAU_USCUSS!AW69&lt;0,Calibración_BAU_USCUSS!AW69*-1, Calibración_BAU_USCUSS!AW69) *Emisiones_USCUSS!$M$86</f>
        <v>-25.997769119912522</v>
      </c>
      <c r="AT176" s="636">
        <f>IF(Calibración_BAU_USCUSS!AX69&lt;0,Calibración_BAU_USCUSS!AX69*-1, Calibración_BAU_USCUSS!AX69) *Emisiones_USCUSS!$M$86</f>
        <v>-25.997769119912522</v>
      </c>
      <c r="AU176" s="636">
        <f>IF(Calibración_BAU_USCUSS!AY69&lt;0,Calibración_BAU_USCUSS!AY69*-1, Calibración_BAU_USCUSS!AY69) *Emisiones_USCUSS!$M$86</f>
        <v>-25.997769119912522</v>
      </c>
      <c r="AV176" s="636">
        <f>IF(Calibración_BAU_USCUSS!AZ69&lt;0,Calibración_BAU_USCUSS!AZ69*-1, Calibración_BAU_USCUSS!AZ69) *Emisiones_USCUSS!$M$86</f>
        <v>-25.997769119912522</v>
      </c>
      <c r="AW176" s="636">
        <f>IF(Calibración_BAU_USCUSS!BA69&lt;0,Calibración_BAU_USCUSS!BA69*-1, Calibración_BAU_USCUSS!BA69) *Emisiones_USCUSS!$M$86</f>
        <v>-25.997769119912522</v>
      </c>
      <c r="AX176" s="636">
        <f>IF(Calibración_BAU_USCUSS!BB69&lt;0,Calibración_BAU_USCUSS!BB69*-1, Calibración_BAU_USCUSS!BB69) *Emisiones_USCUSS!$M$86</f>
        <v>-25.997769119912522</v>
      </c>
      <c r="AY176" s="636">
        <f>IF(Calibración_BAU_USCUSS!BC69&lt;0,Calibración_BAU_USCUSS!BC69*-1, Calibración_BAU_USCUSS!BC69) *Emisiones_USCUSS!$M$86</f>
        <v>-25.997769119912522</v>
      </c>
      <c r="AZ176" s="636">
        <f>IF(Calibración_BAU_USCUSS!BD69&lt;0,Calibración_BAU_USCUSS!BD69*-1, Calibración_BAU_USCUSS!BD69) *Emisiones_USCUSS!$M$86</f>
        <v>-25.997769119912522</v>
      </c>
      <c r="BA176" s="636">
        <f>IF(Calibración_BAU_USCUSS!BE69&lt;0,Calibración_BAU_USCUSS!BE69*-1, Calibración_BAU_USCUSS!BE69) *Emisiones_USCUSS!$M$86</f>
        <v>-25.997769119912522</v>
      </c>
      <c r="BB176" s="636">
        <f>IF(Calibración_BAU_USCUSS!BF69&lt;0,Calibración_BAU_USCUSS!BF69*-1, Calibración_BAU_USCUSS!BF69) *Emisiones_USCUSS!$M$86</f>
        <v>-25.997769119912522</v>
      </c>
      <c r="BC176" s="636">
        <f>IF(Calibración_BAU_USCUSS!BG69&lt;0,Calibración_BAU_USCUSS!BG69*-1, Calibración_BAU_USCUSS!BG69) *Emisiones_USCUSS!$M$86</f>
        <v>-25.997769119912522</v>
      </c>
      <c r="BD176" s="636">
        <f>IF(Calibración_BAU_USCUSS!BH69&lt;0,Calibración_BAU_USCUSS!BH69*-1, Calibración_BAU_USCUSS!BH69) *Emisiones_USCUSS!$M$86</f>
        <v>-25.997769119912522</v>
      </c>
      <c r="BE176" s="636">
        <f>IF(Calibración_BAU_USCUSS!BI69&lt;0,Calibración_BAU_USCUSS!BI69*-1, Calibración_BAU_USCUSS!BI69) *Emisiones_USCUSS!$M$86</f>
        <v>-25.997769119912522</v>
      </c>
      <c r="BF176" s="636">
        <f>IF(Calibración_BAU_USCUSS!BJ69&lt;0,Calibración_BAU_USCUSS!BJ69*-1, Calibración_BAU_USCUSS!BJ69) *Emisiones_USCUSS!$M$86</f>
        <v>-25.997769119912522</v>
      </c>
      <c r="BG176" s="636">
        <f>IF(Calibración_BAU_USCUSS!BK69&lt;0,Calibración_BAU_USCUSS!BK69*-1, Calibración_BAU_USCUSS!BK69) *Emisiones_USCUSS!$M$86</f>
        <v>-25.997769119912522</v>
      </c>
      <c r="BH176" s="636">
        <f>IF(Calibración_BAU_USCUSS!BL69&lt;0,Calibración_BAU_USCUSS!BL69*-1, Calibración_BAU_USCUSS!BL69) *Emisiones_USCUSS!$M$86</f>
        <v>-25.997769119912522</v>
      </c>
      <c r="BI176" s="636">
        <f>IF(Calibración_BAU_USCUSS!BM69&lt;0,Calibración_BAU_USCUSS!BM69*-1, Calibración_BAU_USCUSS!BM69) *Emisiones_USCUSS!$M$86</f>
        <v>-25.997769119912522</v>
      </c>
      <c r="BJ176" s="636">
        <f>IF(Calibración_BAU_USCUSS!BN69&lt;0,Calibración_BAU_USCUSS!BN69*-1, Calibración_BAU_USCUSS!BN69) *Emisiones_USCUSS!$M$86</f>
        <v>-25.997769119912522</v>
      </c>
      <c r="BK176" s="636">
        <f>IF(Calibración_BAU_USCUSS!BO69&lt;0,Calibración_BAU_USCUSS!BO69*-1, Calibración_BAU_USCUSS!BO69) *Emisiones_USCUSS!$M$86</f>
        <v>-25.997769119912522</v>
      </c>
      <c r="BL176" s="636">
        <f>IF(Calibración_BAU_USCUSS!BP69&lt;0,Calibración_BAU_USCUSS!BP69*-1, Calibración_BAU_USCUSS!BP69) *Emisiones_USCUSS!$M$86</f>
        <v>-25.997769119912522</v>
      </c>
      <c r="BM176" s="636">
        <f>IF(Calibración_BAU_USCUSS!BQ69&lt;0,Calibración_BAU_USCUSS!BQ69*-1, Calibración_BAU_USCUSS!BQ69) *Emisiones_USCUSS!$M$86</f>
        <v>-25.997769119912522</v>
      </c>
    </row>
    <row r="177" spans="3:65" ht="19.5" customHeight="1" x14ac:dyDescent="0.35">
      <c r="C177" s="1171" t="s">
        <v>257</v>
      </c>
      <c r="D177" s="1171"/>
      <c r="E177" s="636"/>
      <c r="F177" s="636"/>
      <c r="G177" s="636"/>
      <c r="H177" s="636"/>
      <c r="I177" s="636"/>
      <c r="J177" s="636"/>
      <c r="K177" s="636"/>
      <c r="L177" s="636"/>
      <c r="M177" s="636">
        <v>0</v>
      </c>
      <c r="N177" s="636">
        <v>0</v>
      </c>
      <c r="O177" s="636">
        <v>0</v>
      </c>
      <c r="P177" s="636">
        <v>0</v>
      </c>
      <c r="Q177" s="636">
        <v>0</v>
      </c>
      <c r="R177" s="636">
        <v>0</v>
      </c>
      <c r="S177" s="636">
        <v>0</v>
      </c>
      <c r="T177" s="636">
        <v>0</v>
      </c>
      <c r="U177" s="636">
        <v>0</v>
      </c>
      <c r="V177" s="636">
        <v>0</v>
      </c>
      <c r="W177" s="636">
        <v>0</v>
      </c>
      <c r="X177" s="636">
        <v>0</v>
      </c>
      <c r="Y177" s="636">
        <v>0</v>
      </c>
      <c r="Z177" s="636">
        <v>0</v>
      </c>
      <c r="AA177" s="636">
        <v>0</v>
      </c>
      <c r="AB177" s="636">
        <v>0</v>
      </c>
      <c r="AC177" s="636">
        <v>0</v>
      </c>
      <c r="AD177" s="636">
        <v>0</v>
      </c>
      <c r="AE177" s="636">
        <v>0</v>
      </c>
      <c r="AF177" s="636">
        <v>0</v>
      </c>
      <c r="AG177" s="636">
        <v>0</v>
      </c>
      <c r="AH177" s="636">
        <v>0</v>
      </c>
      <c r="AI177" s="636">
        <v>0</v>
      </c>
      <c r="AJ177" s="636">
        <v>0</v>
      </c>
      <c r="AK177" s="636">
        <v>0</v>
      </c>
      <c r="AL177" s="636">
        <v>0</v>
      </c>
      <c r="AM177" s="636">
        <v>0</v>
      </c>
      <c r="AN177" s="636">
        <v>0</v>
      </c>
      <c r="AO177" s="636">
        <v>0</v>
      </c>
      <c r="AP177" s="636">
        <v>0</v>
      </c>
      <c r="AQ177" s="636">
        <v>0</v>
      </c>
      <c r="AR177" s="636">
        <v>0</v>
      </c>
      <c r="AS177" s="636">
        <v>0</v>
      </c>
      <c r="AT177" s="636">
        <v>0</v>
      </c>
      <c r="AU177" s="636">
        <v>0</v>
      </c>
      <c r="AV177" s="636">
        <v>0</v>
      </c>
      <c r="AW177" s="636">
        <v>0</v>
      </c>
      <c r="AX177" s="636">
        <v>0</v>
      </c>
      <c r="AY177" s="636">
        <v>0</v>
      </c>
      <c r="AZ177" s="636">
        <v>0</v>
      </c>
      <c r="BA177" s="636">
        <v>0</v>
      </c>
      <c r="BB177" s="636">
        <v>0</v>
      </c>
      <c r="BC177" s="636">
        <v>0</v>
      </c>
      <c r="BD177" s="636">
        <v>0</v>
      </c>
      <c r="BE177" s="636">
        <v>0</v>
      </c>
      <c r="BF177" s="636">
        <v>0</v>
      </c>
      <c r="BG177" s="636">
        <v>0</v>
      </c>
      <c r="BH177" s="636">
        <v>0</v>
      </c>
      <c r="BI177" s="636">
        <v>0</v>
      </c>
      <c r="BJ177" s="636">
        <v>0</v>
      </c>
      <c r="BK177" s="636">
        <v>0</v>
      </c>
      <c r="BL177" s="636">
        <v>0</v>
      </c>
      <c r="BM177" s="636">
        <v>0</v>
      </c>
    </row>
    <row r="178" spans="3:65" ht="19.5" customHeight="1" x14ac:dyDescent="0.35">
      <c r="C178" s="1171" t="s">
        <v>258</v>
      </c>
      <c r="D178" s="1171"/>
      <c r="E178" s="636"/>
      <c r="F178" s="636"/>
      <c r="G178" s="636"/>
      <c r="H178" s="636"/>
      <c r="I178" s="636"/>
      <c r="J178" s="636"/>
      <c r="K178" s="636"/>
      <c r="L178" s="636"/>
      <c r="M178" s="636">
        <f>SUM(M176:M177)</f>
        <v>-25.997769119912522</v>
      </c>
      <c r="N178" s="636">
        <f>SUM(N176:N177)</f>
        <v>-25.997769119912522</v>
      </c>
      <c r="O178" s="636">
        <f t="shared" ref="O178:BM178" si="12">SUM(O176:O177)</f>
        <v>-25.997769119912522</v>
      </c>
      <c r="P178" s="636">
        <f t="shared" si="12"/>
        <v>-25.997769119912522</v>
      </c>
      <c r="Q178" s="636">
        <f t="shared" si="12"/>
        <v>-25.997769119912522</v>
      </c>
      <c r="R178" s="636">
        <f t="shared" si="12"/>
        <v>-25.997769119912522</v>
      </c>
      <c r="S178" s="636">
        <f t="shared" si="12"/>
        <v>-25.997769119912522</v>
      </c>
      <c r="T178" s="636">
        <f t="shared" si="12"/>
        <v>-25.997769119912522</v>
      </c>
      <c r="U178" s="636">
        <f t="shared" si="12"/>
        <v>-25.997769119912522</v>
      </c>
      <c r="V178" s="636">
        <f t="shared" si="12"/>
        <v>-25.997769119912522</v>
      </c>
      <c r="W178" s="636">
        <f t="shared" si="12"/>
        <v>-25.997769119912522</v>
      </c>
      <c r="X178" s="636">
        <f t="shared" si="12"/>
        <v>-25.997769119912522</v>
      </c>
      <c r="Y178" s="636">
        <f t="shared" si="12"/>
        <v>-25.997769119912522</v>
      </c>
      <c r="Z178" s="636">
        <f t="shared" si="12"/>
        <v>-25.997769119912522</v>
      </c>
      <c r="AA178" s="636">
        <f t="shared" si="12"/>
        <v>-25.997769119912522</v>
      </c>
      <c r="AB178" s="636">
        <f t="shared" si="12"/>
        <v>-25.997769119912522</v>
      </c>
      <c r="AC178" s="636">
        <f t="shared" si="12"/>
        <v>-25.997769119912522</v>
      </c>
      <c r="AD178" s="636">
        <f t="shared" si="12"/>
        <v>-25.997769119912522</v>
      </c>
      <c r="AE178" s="636">
        <f t="shared" si="12"/>
        <v>-25.997769119912522</v>
      </c>
      <c r="AF178" s="636">
        <f t="shared" si="12"/>
        <v>-25.997769119912522</v>
      </c>
      <c r="AG178" s="636">
        <f t="shared" si="12"/>
        <v>-25.997769119912522</v>
      </c>
      <c r="AH178" s="636">
        <f t="shared" si="12"/>
        <v>-25.997769119912522</v>
      </c>
      <c r="AI178" s="636">
        <f t="shared" si="12"/>
        <v>-25.997769119912522</v>
      </c>
      <c r="AJ178" s="636">
        <f t="shared" si="12"/>
        <v>-25.997769119912522</v>
      </c>
      <c r="AK178" s="636">
        <f t="shared" si="12"/>
        <v>-25.997769119912522</v>
      </c>
      <c r="AL178" s="636">
        <f t="shared" si="12"/>
        <v>-25.997769119912522</v>
      </c>
      <c r="AM178" s="636">
        <f t="shared" si="12"/>
        <v>-25.997769119912522</v>
      </c>
      <c r="AN178" s="636">
        <f t="shared" si="12"/>
        <v>-25.997769119912522</v>
      </c>
      <c r="AO178" s="636">
        <f t="shared" si="12"/>
        <v>-25.997769119912522</v>
      </c>
      <c r="AP178" s="636">
        <f t="shared" si="12"/>
        <v>-25.997769119912522</v>
      </c>
      <c r="AQ178" s="636">
        <f t="shared" si="12"/>
        <v>-25.997769119912522</v>
      </c>
      <c r="AR178" s="636">
        <f t="shared" si="12"/>
        <v>-25.997769119912522</v>
      </c>
      <c r="AS178" s="636">
        <f t="shared" si="12"/>
        <v>-25.997769119912522</v>
      </c>
      <c r="AT178" s="636">
        <f t="shared" si="12"/>
        <v>-25.997769119912522</v>
      </c>
      <c r="AU178" s="636">
        <f t="shared" si="12"/>
        <v>-25.997769119912522</v>
      </c>
      <c r="AV178" s="636">
        <f t="shared" si="12"/>
        <v>-25.997769119912522</v>
      </c>
      <c r="AW178" s="636">
        <f t="shared" si="12"/>
        <v>-25.997769119912522</v>
      </c>
      <c r="AX178" s="636">
        <f t="shared" si="12"/>
        <v>-25.997769119912522</v>
      </c>
      <c r="AY178" s="636">
        <f t="shared" si="12"/>
        <v>-25.997769119912522</v>
      </c>
      <c r="AZ178" s="636">
        <f t="shared" si="12"/>
        <v>-25.997769119912522</v>
      </c>
      <c r="BA178" s="636">
        <f t="shared" si="12"/>
        <v>-25.997769119912522</v>
      </c>
      <c r="BB178" s="636">
        <f t="shared" si="12"/>
        <v>-25.997769119912522</v>
      </c>
      <c r="BC178" s="636">
        <f t="shared" si="12"/>
        <v>-25.997769119912522</v>
      </c>
      <c r="BD178" s="636">
        <f t="shared" si="12"/>
        <v>-25.997769119912522</v>
      </c>
      <c r="BE178" s="636">
        <f t="shared" si="12"/>
        <v>-25.997769119912522</v>
      </c>
      <c r="BF178" s="636">
        <f t="shared" si="12"/>
        <v>-25.997769119912522</v>
      </c>
      <c r="BG178" s="636">
        <f t="shared" si="12"/>
        <v>-25.997769119912522</v>
      </c>
      <c r="BH178" s="636">
        <f t="shared" si="12"/>
        <v>-25.997769119912522</v>
      </c>
      <c r="BI178" s="636">
        <f t="shared" si="12"/>
        <v>-25.997769119912522</v>
      </c>
      <c r="BJ178" s="636">
        <f t="shared" si="12"/>
        <v>-25.997769119912522</v>
      </c>
      <c r="BK178" s="636">
        <f t="shared" si="12"/>
        <v>-25.997769119912522</v>
      </c>
      <c r="BL178" s="636">
        <f t="shared" si="12"/>
        <v>-25.997769119912522</v>
      </c>
      <c r="BM178" s="636">
        <f t="shared" si="12"/>
        <v>-25.997769119912522</v>
      </c>
    </row>
    <row r="179" spans="3:65" ht="54.75" customHeight="1" x14ac:dyDescent="0.35">
      <c r="D179" s="93"/>
      <c r="E179" s="112"/>
      <c r="F179" s="112"/>
      <c r="G179" s="112"/>
      <c r="H179" s="1170" t="s">
        <v>259</v>
      </c>
      <c r="I179" s="1170"/>
      <c r="J179" s="1170"/>
      <c r="K179" s="1170"/>
      <c r="M179" s="373">
        <f t="shared" ref="M179:AR179" si="13">M184+M178</f>
        <v>14.910128200987476</v>
      </c>
      <c r="N179" s="373">
        <f t="shared" si="13"/>
        <v>14.05146474178542</v>
      </c>
      <c r="O179" s="373">
        <f t="shared" si="13"/>
        <v>16.161276633581391</v>
      </c>
      <c r="P179" s="373">
        <f t="shared" si="13"/>
        <v>16.140244108363515</v>
      </c>
      <c r="Q179" s="373">
        <f t="shared" si="13"/>
        <v>15.833238165866543</v>
      </c>
      <c r="R179" s="373">
        <f t="shared" si="13"/>
        <v>15.477517883083255</v>
      </c>
      <c r="S179" s="373">
        <f>S184+S178</f>
        <v>15.191985445240565</v>
      </c>
      <c r="T179" s="373">
        <f t="shared" si="13"/>
        <v>14.810220628617326</v>
      </c>
      <c r="U179" s="373">
        <f t="shared" si="13"/>
        <v>14.464880590703647</v>
      </c>
      <c r="V179" s="373">
        <f t="shared" si="13"/>
        <v>14.233671702958109</v>
      </c>
      <c r="W179" s="373">
        <f t="shared" si="13"/>
        <v>13.895570235118878</v>
      </c>
      <c r="X179" s="373">
        <f t="shared" si="13"/>
        <v>13.501120344453415</v>
      </c>
      <c r="Y179" s="373">
        <f t="shared" si="13"/>
        <v>13.232132672301066</v>
      </c>
      <c r="Z179" s="373">
        <f t="shared" si="13"/>
        <v>13.016049825041744</v>
      </c>
      <c r="AA179" s="373">
        <f t="shared" si="13"/>
        <v>12.64457769595111</v>
      </c>
      <c r="AB179" s="373">
        <f t="shared" si="13"/>
        <v>12.402520989290988</v>
      </c>
      <c r="AC179" s="373">
        <f t="shared" si="13"/>
        <v>12.05941644884987</v>
      </c>
      <c r="AD179" s="373">
        <f t="shared" si="13"/>
        <v>11.783718096047156</v>
      </c>
      <c r="AE179" s="373">
        <f t="shared" si="13"/>
        <v>11.533394686998466</v>
      </c>
      <c r="AF179" s="373">
        <f t="shared" si="13"/>
        <v>11.23774648341254</v>
      </c>
      <c r="AG179" s="373">
        <f t="shared" si="13"/>
        <v>10.984111737487506</v>
      </c>
      <c r="AH179" s="373">
        <f t="shared" si="13"/>
        <v>10.752117910443037</v>
      </c>
      <c r="AI179" s="373">
        <f t="shared" si="13"/>
        <v>10.46803705175223</v>
      </c>
      <c r="AJ179" s="373">
        <f t="shared" si="13"/>
        <v>10.222785364575149</v>
      </c>
      <c r="AK179" s="373">
        <f t="shared" si="13"/>
        <v>9.9660441628528851</v>
      </c>
      <c r="AL179" s="373">
        <f t="shared" si="13"/>
        <v>9.6644022084785668</v>
      </c>
      <c r="AM179" s="373">
        <f t="shared" si="13"/>
        <v>9.4696356416709229</v>
      </c>
      <c r="AN179" s="373">
        <f t="shared" si="13"/>
        <v>9.1859116589921008</v>
      </c>
      <c r="AO179" s="373">
        <f t="shared" si="13"/>
        <v>8.9907024660601742</v>
      </c>
      <c r="AP179" s="373">
        <f t="shared" si="13"/>
        <v>8.692004482755312</v>
      </c>
      <c r="AQ179" s="373">
        <f t="shared" si="13"/>
        <v>8.4367689178669458</v>
      </c>
      <c r="AR179" s="373">
        <f t="shared" si="13"/>
        <v>8.195754870256895</v>
      </c>
      <c r="AS179" s="373">
        <f t="shared" ref="AS179:BM179" si="14">AS184+AS178</f>
        <v>7.9438045240684794</v>
      </c>
      <c r="AT179" s="373">
        <f t="shared" si="14"/>
        <v>7.6596001304575871</v>
      </c>
      <c r="AU179" s="373">
        <f t="shared" si="14"/>
        <v>7.4185897736228306</v>
      </c>
      <c r="AV179" s="373">
        <f t="shared" si="14"/>
        <v>7.178615584727094</v>
      </c>
      <c r="AW179" s="373">
        <f t="shared" si="14"/>
        <v>6.9423141472790384</v>
      </c>
      <c r="AX179" s="373">
        <f t="shared" si="14"/>
        <v>6.7067493443931276</v>
      </c>
      <c r="AY179" s="373">
        <f t="shared" si="14"/>
        <v>6.4707358042917242</v>
      </c>
      <c r="AZ179" s="373">
        <f t="shared" si="14"/>
        <v>6.2373153018789758</v>
      </c>
      <c r="BA179" s="373">
        <f t="shared" si="14"/>
        <v>6.0046454943902852</v>
      </c>
      <c r="BB179" s="373">
        <f t="shared" si="14"/>
        <v>5.7732945757737504</v>
      </c>
      <c r="BC179" s="373">
        <f t="shared" si="14"/>
        <v>5.546391512945295</v>
      </c>
      <c r="BD179" s="373">
        <f t="shared" si="14"/>
        <v>5.3169529130791418</v>
      </c>
      <c r="BE179" s="373">
        <f t="shared" si="14"/>
        <v>5.0909226380738346</v>
      </c>
      <c r="BF179" s="373">
        <f t="shared" si="14"/>
        <v>4.8624765940875037</v>
      </c>
      <c r="BG179" s="373">
        <f t="shared" si="14"/>
        <v>4.6385226455955682</v>
      </c>
      <c r="BH179" s="373">
        <f t="shared" si="14"/>
        <v>4.4163942416125437</v>
      </c>
      <c r="BI179" s="373">
        <f t="shared" si="14"/>
        <v>4.1952546065267633</v>
      </c>
      <c r="BJ179" s="373">
        <f t="shared" si="14"/>
        <v>3.9759229567846646</v>
      </c>
      <c r="BK179" s="373">
        <f t="shared" si="14"/>
        <v>3.7608664481771825</v>
      </c>
      <c r="BL179" s="373">
        <f t="shared" si="14"/>
        <v>3.5472353388951845</v>
      </c>
      <c r="BM179" s="373">
        <f t="shared" si="14"/>
        <v>3.3351044384270097</v>
      </c>
    </row>
    <row r="180" spans="3:65" x14ac:dyDescent="0.35">
      <c r="D180" s="93"/>
      <c r="E180" s="112"/>
      <c r="F180" s="112"/>
      <c r="G180" s="112"/>
      <c r="H180" s="112"/>
    </row>
    <row r="181" spans="3:65" x14ac:dyDescent="0.35">
      <c r="D181" s="93"/>
      <c r="E181" s="112"/>
      <c r="F181" s="112"/>
      <c r="G181" s="112"/>
      <c r="H181" s="112"/>
    </row>
    <row r="182" spans="3:65" x14ac:dyDescent="0.35">
      <c r="D182" s="93"/>
      <c r="E182" s="112"/>
      <c r="F182" s="112"/>
      <c r="G182" s="112"/>
      <c r="H182" s="112"/>
    </row>
    <row r="183" spans="3:65" x14ac:dyDescent="0.35">
      <c r="D183" s="93"/>
      <c r="E183" s="112"/>
      <c r="F183" s="112"/>
      <c r="G183" s="112"/>
      <c r="H183" s="112"/>
    </row>
    <row r="184" spans="3:65" x14ac:dyDescent="0.35">
      <c r="D184" s="93"/>
      <c r="E184" s="112"/>
      <c r="F184" s="112"/>
      <c r="G184" s="112"/>
      <c r="H184" s="1165" t="s">
        <v>260</v>
      </c>
      <c r="I184" s="1165"/>
      <c r="J184" s="1165"/>
      <c r="K184" s="1165"/>
      <c r="M184" s="373">
        <f>M119+M136+M145+M155+M172</f>
        <v>40.907897320899998</v>
      </c>
      <c r="N184" s="373">
        <f>N119+N128+N136+N145+N155+N172</f>
        <v>40.049233861697942</v>
      </c>
      <c r="O184" s="373">
        <f t="shared" ref="O184:BM184" si="15">O119+O128+O136+O145+O155+O172</f>
        <v>42.159045753493913</v>
      </c>
      <c r="P184" s="373">
        <f t="shared" si="15"/>
        <v>42.138013228276037</v>
      </c>
      <c r="Q184" s="373">
        <f t="shared" si="15"/>
        <v>41.831007285779066</v>
      </c>
      <c r="R184" s="373">
        <f t="shared" si="15"/>
        <v>41.475287002995778</v>
      </c>
      <c r="S184" s="373">
        <f t="shared" si="15"/>
        <v>41.189754565153088</v>
      </c>
      <c r="T184" s="373">
        <f t="shared" si="15"/>
        <v>40.807989748529849</v>
      </c>
      <c r="U184" s="373">
        <f t="shared" si="15"/>
        <v>40.462649710616169</v>
      </c>
      <c r="V184" s="373">
        <f t="shared" si="15"/>
        <v>40.231440822870631</v>
      </c>
      <c r="W184" s="373">
        <f t="shared" si="15"/>
        <v>39.893339355031401</v>
      </c>
      <c r="X184" s="373">
        <f t="shared" si="15"/>
        <v>39.498889464365938</v>
      </c>
      <c r="Y184" s="373">
        <f t="shared" si="15"/>
        <v>39.229901792213589</v>
      </c>
      <c r="Z184" s="373">
        <f t="shared" si="15"/>
        <v>39.013818944954266</v>
      </c>
      <c r="AA184" s="373">
        <f t="shared" si="15"/>
        <v>38.642346815863633</v>
      </c>
      <c r="AB184" s="373">
        <f t="shared" si="15"/>
        <v>38.40029010920351</v>
      </c>
      <c r="AC184" s="373">
        <f t="shared" si="15"/>
        <v>38.057185568762392</v>
      </c>
      <c r="AD184" s="373">
        <f t="shared" si="15"/>
        <v>37.781487215959679</v>
      </c>
      <c r="AE184" s="373">
        <f t="shared" si="15"/>
        <v>37.531163806910989</v>
      </c>
      <c r="AF184" s="373">
        <f t="shared" si="15"/>
        <v>37.235515603325062</v>
      </c>
      <c r="AG184" s="373">
        <f t="shared" si="15"/>
        <v>36.981880857400029</v>
      </c>
      <c r="AH184" s="373">
        <f t="shared" si="15"/>
        <v>36.749887030355559</v>
      </c>
      <c r="AI184" s="373">
        <f t="shared" si="15"/>
        <v>36.465806171664752</v>
      </c>
      <c r="AJ184" s="373">
        <f t="shared" si="15"/>
        <v>36.220554484487671</v>
      </c>
      <c r="AK184" s="373">
        <f t="shared" si="15"/>
        <v>35.963813282765408</v>
      </c>
      <c r="AL184" s="373">
        <f t="shared" si="15"/>
        <v>35.662171328391089</v>
      </c>
      <c r="AM184" s="373">
        <f t="shared" si="15"/>
        <v>35.467404761583445</v>
      </c>
      <c r="AN184" s="373">
        <f t="shared" si="15"/>
        <v>35.183680778904623</v>
      </c>
      <c r="AO184" s="373">
        <f t="shared" si="15"/>
        <v>34.988471585972697</v>
      </c>
      <c r="AP184" s="373">
        <f t="shared" si="15"/>
        <v>34.689773602667834</v>
      </c>
      <c r="AQ184" s="373">
        <f t="shared" si="15"/>
        <v>34.434538037779468</v>
      </c>
      <c r="AR184" s="373">
        <f t="shared" si="15"/>
        <v>34.193523990169417</v>
      </c>
      <c r="AS184" s="373">
        <f t="shared" si="15"/>
        <v>33.941573643981002</v>
      </c>
      <c r="AT184" s="373">
        <f t="shared" si="15"/>
        <v>33.65736925037011</v>
      </c>
      <c r="AU184" s="373">
        <f t="shared" si="15"/>
        <v>33.416358893535353</v>
      </c>
      <c r="AV184" s="373">
        <f t="shared" si="15"/>
        <v>33.176384704639617</v>
      </c>
      <c r="AW184" s="373">
        <f t="shared" si="15"/>
        <v>32.940083267191561</v>
      </c>
      <c r="AX184" s="373">
        <f t="shared" si="15"/>
        <v>32.70451846430565</v>
      </c>
      <c r="AY184" s="373">
        <f t="shared" si="15"/>
        <v>32.468504924204247</v>
      </c>
      <c r="AZ184" s="373">
        <f t="shared" si="15"/>
        <v>32.235084421791498</v>
      </c>
      <c r="BA184" s="373">
        <f t="shared" si="15"/>
        <v>32.002414614302808</v>
      </c>
      <c r="BB184" s="373">
        <f t="shared" si="15"/>
        <v>31.771063695686273</v>
      </c>
      <c r="BC184" s="373">
        <f t="shared" si="15"/>
        <v>31.544160632857817</v>
      </c>
      <c r="BD184" s="373">
        <f t="shared" si="15"/>
        <v>31.314722032991664</v>
      </c>
      <c r="BE184" s="373">
        <f t="shared" si="15"/>
        <v>31.088691757986357</v>
      </c>
      <c r="BF184" s="373">
        <f t="shared" si="15"/>
        <v>30.860245714000026</v>
      </c>
      <c r="BG184" s="373">
        <f t="shared" si="15"/>
        <v>30.636291765508091</v>
      </c>
      <c r="BH184" s="373">
        <f t="shared" si="15"/>
        <v>30.414163361525066</v>
      </c>
      <c r="BI184" s="373">
        <f t="shared" si="15"/>
        <v>30.193023726439286</v>
      </c>
      <c r="BJ184" s="373">
        <f t="shared" si="15"/>
        <v>29.973692076697187</v>
      </c>
      <c r="BK184" s="373">
        <f t="shared" si="15"/>
        <v>29.758635568089705</v>
      </c>
      <c r="BL184" s="373">
        <f t="shared" si="15"/>
        <v>29.545004458807707</v>
      </c>
      <c r="BM184" s="373">
        <f t="shared" si="15"/>
        <v>29.332873558339532</v>
      </c>
    </row>
    <row r="185" spans="3:65" x14ac:dyDescent="0.35">
      <c r="D185" s="93"/>
      <c r="E185" s="112"/>
      <c r="F185" s="112"/>
      <c r="G185" s="112"/>
      <c r="H185" s="1165"/>
      <c r="I185" s="1165"/>
      <c r="J185" s="1165"/>
      <c r="K185" s="1165"/>
    </row>
    <row r="186" spans="3:65" x14ac:dyDescent="0.35">
      <c r="D186" s="93"/>
      <c r="E186" s="112"/>
      <c r="F186" s="112"/>
      <c r="G186" s="112"/>
      <c r="H186" s="1165"/>
      <c r="I186" s="1165"/>
      <c r="J186" s="1165"/>
      <c r="K186" s="1165"/>
    </row>
    <row r="187" spans="3:65" x14ac:dyDescent="0.35">
      <c r="D187" s="93"/>
      <c r="E187" s="112"/>
      <c r="F187" s="112"/>
      <c r="G187" s="112"/>
      <c r="H187" s="112"/>
    </row>
    <row r="188" spans="3:65" x14ac:dyDescent="0.35">
      <c r="D188" s="93"/>
      <c r="E188" s="112"/>
      <c r="F188" s="112"/>
      <c r="G188" s="112"/>
      <c r="H188" s="112"/>
    </row>
    <row r="189" spans="3:65" x14ac:dyDescent="0.35">
      <c r="D189" s="93"/>
      <c r="E189" s="112"/>
      <c r="F189" s="112"/>
      <c r="G189" s="112"/>
      <c r="H189" s="112"/>
    </row>
    <row r="190" spans="3:65" x14ac:dyDescent="0.35">
      <c r="D190" s="93"/>
      <c r="E190" s="112"/>
      <c r="F190" s="112"/>
      <c r="G190" s="112"/>
      <c r="H190" s="112"/>
    </row>
    <row r="191" spans="3:65" x14ac:dyDescent="0.35">
      <c r="D191" s="93"/>
      <c r="E191" s="112"/>
      <c r="F191" s="112"/>
      <c r="G191" s="112"/>
      <c r="H191" s="112"/>
    </row>
    <row r="192" spans="3:65" x14ac:dyDescent="0.35">
      <c r="D192" s="93"/>
      <c r="E192" s="112"/>
      <c r="F192" s="112"/>
      <c r="G192" s="112"/>
      <c r="H192" s="112"/>
    </row>
    <row r="193" spans="4:8" x14ac:dyDescent="0.35">
      <c r="D193" s="93"/>
      <c r="E193" s="112"/>
      <c r="F193" s="112"/>
      <c r="G193" s="112"/>
      <c r="H193" s="112"/>
    </row>
    <row r="194" spans="4:8" x14ac:dyDescent="0.35">
      <c r="D194" s="93"/>
      <c r="E194" s="112"/>
      <c r="F194" s="112"/>
      <c r="G194" s="112"/>
      <c r="H194" s="112"/>
    </row>
    <row r="195" spans="4:8" x14ac:dyDescent="0.35">
      <c r="D195" s="93"/>
      <c r="E195" s="112"/>
      <c r="F195" s="112"/>
      <c r="G195" s="112"/>
      <c r="H195" s="112"/>
    </row>
    <row r="196" spans="4:8" x14ac:dyDescent="0.35">
      <c r="D196" s="93"/>
      <c r="E196" s="112"/>
      <c r="F196" s="112"/>
      <c r="G196" s="112"/>
      <c r="H196" s="112"/>
    </row>
    <row r="197" spans="4:8" x14ac:dyDescent="0.35">
      <c r="D197" s="93"/>
      <c r="E197" s="112"/>
      <c r="F197" s="112"/>
      <c r="G197" s="112"/>
      <c r="H197" s="112"/>
    </row>
    <row r="198" spans="4:8" x14ac:dyDescent="0.35">
      <c r="D198" s="93"/>
      <c r="E198" s="112"/>
      <c r="F198" s="112"/>
      <c r="G198" s="112"/>
      <c r="H198" s="112"/>
    </row>
    <row r="199" spans="4:8" x14ac:dyDescent="0.35">
      <c r="D199" s="93"/>
      <c r="E199" s="112"/>
      <c r="F199" s="112"/>
      <c r="G199" s="112"/>
      <c r="H199" s="112"/>
    </row>
    <row r="200" spans="4:8" x14ac:dyDescent="0.35">
      <c r="D200" s="93"/>
      <c r="E200" s="112"/>
      <c r="F200" s="112"/>
      <c r="G200" s="112"/>
      <c r="H200" s="112"/>
    </row>
    <row r="201" spans="4:8" x14ac:dyDescent="0.35">
      <c r="D201" s="93"/>
      <c r="E201" s="112"/>
      <c r="F201" s="112"/>
      <c r="G201" s="112"/>
      <c r="H201" s="112"/>
    </row>
    <row r="202" spans="4:8" x14ac:dyDescent="0.35">
      <c r="D202" s="93"/>
      <c r="E202" s="112"/>
      <c r="F202" s="112"/>
      <c r="G202" s="112"/>
      <c r="H202" s="112"/>
    </row>
    <row r="203" spans="4:8" x14ac:dyDescent="0.35">
      <c r="D203" s="93"/>
      <c r="E203" s="112"/>
      <c r="F203" s="112"/>
      <c r="G203" s="112"/>
      <c r="H203" s="112"/>
    </row>
    <row r="204" spans="4:8" x14ac:dyDescent="0.35">
      <c r="D204" s="93"/>
      <c r="E204" s="112"/>
      <c r="F204" s="112"/>
      <c r="G204" s="112"/>
      <c r="H204" s="112"/>
    </row>
    <row r="205" spans="4:8" x14ac:dyDescent="0.35">
      <c r="D205" s="93"/>
      <c r="E205" s="112"/>
      <c r="F205" s="112"/>
      <c r="G205" s="112"/>
      <c r="H205" s="112"/>
    </row>
    <row r="206" spans="4:8" x14ac:dyDescent="0.35">
      <c r="D206" s="93"/>
      <c r="E206" s="112"/>
      <c r="F206" s="112"/>
      <c r="G206" s="112"/>
      <c r="H206" s="112"/>
    </row>
    <row r="207" spans="4:8" x14ac:dyDescent="0.35">
      <c r="D207" s="93"/>
      <c r="E207" s="112"/>
      <c r="F207" s="112"/>
      <c r="G207" s="112"/>
      <c r="H207" s="112"/>
    </row>
    <row r="208" spans="4:8" x14ac:dyDescent="0.35">
      <c r="D208" s="93"/>
      <c r="E208" s="112"/>
      <c r="F208" s="112"/>
      <c r="G208" s="112"/>
      <c r="H208" s="112"/>
    </row>
    <row r="209" spans="4:8" x14ac:dyDescent="0.35">
      <c r="D209" s="93"/>
      <c r="E209" s="112"/>
      <c r="F209" s="112"/>
      <c r="G209" s="112"/>
      <c r="H209" s="112"/>
    </row>
    <row r="210" spans="4:8" x14ac:dyDescent="0.35">
      <c r="D210" s="93"/>
      <c r="E210" s="112"/>
      <c r="F210" s="112"/>
      <c r="G210" s="112"/>
      <c r="H210" s="112"/>
    </row>
    <row r="211" spans="4:8" x14ac:dyDescent="0.35">
      <c r="D211" s="93"/>
      <c r="E211" s="112"/>
      <c r="F211" s="112"/>
      <c r="G211" s="112"/>
      <c r="H211" s="112"/>
    </row>
    <row r="212" spans="4:8" x14ac:dyDescent="0.35">
      <c r="D212" s="93"/>
      <c r="E212" s="112"/>
      <c r="F212" s="112"/>
      <c r="G212" s="112"/>
      <c r="H212" s="112"/>
    </row>
    <row r="213" spans="4:8" x14ac:dyDescent="0.35">
      <c r="D213" s="93"/>
      <c r="E213" s="112"/>
      <c r="F213" s="112"/>
      <c r="G213" s="112"/>
      <c r="H213" s="112"/>
    </row>
    <row r="214" spans="4:8" x14ac:dyDescent="0.35">
      <c r="D214" s="93"/>
      <c r="E214" s="112"/>
      <c r="F214" s="112"/>
      <c r="G214" s="112"/>
      <c r="H214" s="112"/>
    </row>
    <row r="215" spans="4:8" x14ac:dyDescent="0.35">
      <c r="D215" s="93"/>
      <c r="E215" s="112"/>
      <c r="F215" s="112"/>
      <c r="G215" s="112"/>
      <c r="H215" s="112"/>
    </row>
    <row r="216" spans="4:8" x14ac:dyDescent="0.35">
      <c r="D216" s="93"/>
      <c r="E216" s="112"/>
      <c r="F216" s="112"/>
      <c r="G216" s="112"/>
      <c r="H216" s="112"/>
    </row>
    <row r="217" spans="4:8" x14ac:dyDescent="0.35">
      <c r="D217" s="93"/>
      <c r="E217" s="112"/>
      <c r="F217" s="112"/>
      <c r="G217" s="112"/>
      <c r="H217" s="112"/>
    </row>
    <row r="218" spans="4:8" x14ac:dyDescent="0.35">
      <c r="D218" s="93"/>
      <c r="E218" s="112"/>
      <c r="F218" s="112"/>
      <c r="G218" s="112"/>
      <c r="H218" s="112"/>
    </row>
    <row r="219" spans="4:8" x14ac:dyDescent="0.35">
      <c r="D219" s="93"/>
      <c r="E219" s="112"/>
      <c r="F219" s="112"/>
      <c r="G219" s="112"/>
      <c r="H219" s="112"/>
    </row>
    <row r="220" spans="4:8" x14ac:dyDescent="0.35">
      <c r="D220" s="93"/>
      <c r="E220" s="112"/>
      <c r="F220" s="112"/>
      <c r="G220" s="112"/>
      <c r="H220" s="112"/>
    </row>
    <row r="221" spans="4:8" x14ac:dyDescent="0.35">
      <c r="D221" s="93"/>
      <c r="E221" s="112"/>
      <c r="F221" s="112"/>
      <c r="G221" s="112"/>
      <c r="H221" s="112"/>
    </row>
    <row r="222" spans="4:8" x14ac:dyDescent="0.35">
      <c r="D222" s="93"/>
      <c r="E222" s="112"/>
      <c r="F222" s="112"/>
      <c r="G222" s="112"/>
      <c r="H222" s="112"/>
    </row>
    <row r="223" spans="4:8" x14ac:dyDescent="0.35">
      <c r="D223" s="93"/>
      <c r="E223" s="112"/>
      <c r="F223" s="112"/>
      <c r="G223" s="112"/>
      <c r="H223" s="112"/>
    </row>
    <row r="224" spans="4:8" x14ac:dyDescent="0.35">
      <c r="D224" s="93"/>
      <c r="E224" s="112"/>
      <c r="F224" s="112"/>
      <c r="G224" s="112"/>
      <c r="H224" s="112"/>
    </row>
    <row r="225" spans="4:8" x14ac:dyDescent="0.35">
      <c r="D225" s="93"/>
      <c r="E225" s="112"/>
      <c r="F225" s="112"/>
      <c r="G225" s="112"/>
      <c r="H225" s="112"/>
    </row>
    <row r="226" spans="4:8" x14ac:dyDescent="0.35">
      <c r="D226" s="93"/>
      <c r="E226" s="112"/>
      <c r="F226" s="112"/>
      <c r="G226" s="112"/>
      <c r="H226" s="112"/>
    </row>
    <row r="227" spans="4:8" x14ac:dyDescent="0.35">
      <c r="D227" s="93"/>
      <c r="E227" s="112"/>
      <c r="F227" s="112"/>
      <c r="G227" s="112"/>
      <c r="H227" s="112"/>
    </row>
    <row r="228" spans="4:8" x14ac:dyDescent="0.35">
      <c r="D228" s="93"/>
      <c r="E228" s="112"/>
      <c r="F228" s="112"/>
      <c r="G228" s="112"/>
      <c r="H228" s="112"/>
    </row>
    <row r="229" spans="4:8" x14ac:dyDescent="0.35">
      <c r="D229" s="93"/>
      <c r="E229" s="112"/>
      <c r="F229" s="112"/>
      <c r="G229" s="112"/>
      <c r="H229" s="112"/>
    </row>
    <row r="230" spans="4:8" x14ac:dyDescent="0.35">
      <c r="D230" s="93"/>
      <c r="E230" s="112"/>
      <c r="F230" s="112"/>
      <c r="G230" s="112"/>
      <c r="H230" s="112"/>
    </row>
    <row r="231" spans="4:8" x14ac:dyDescent="0.35">
      <c r="D231" s="93"/>
      <c r="E231" s="112"/>
      <c r="F231" s="112"/>
      <c r="G231" s="112"/>
      <c r="H231" s="112"/>
    </row>
    <row r="232" spans="4:8" x14ac:dyDescent="0.35">
      <c r="D232" s="93"/>
      <c r="E232" s="112"/>
      <c r="F232" s="112"/>
      <c r="G232" s="112"/>
      <c r="H232" s="112"/>
    </row>
    <row r="233" spans="4:8" x14ac:dyDescent="0.35">
      <c r="D233" s="93"/>
      <c r="E233" s="112"/>
      <c r="F233" s="112"/>
      <c r="G233" s="112"/>
      <c r="H233" s="112"/>
    </row>
    <row r="234" spans="4:8" x14ac:dyDescent="0.35">
      <c r="D234" s="93"/>
      <c r="E234" s="112"/>
      <c r="F234" s="112"/>
      <c r="G234" s="112"/>
      <c r="H234" s="112"/>
    </row>
    <row r="235" spans="4:8" x14ac:dyDescent="0.35">
      <c r="D235" s="93"/>
      <c r="E235" s="112"/>
      <c r="F235" s="112"/>
      <c r="G235" s="112"/>
      <c r="H235" s="112"/>
    </row>
    <row r="236" spans="4:8" x14ac:dyDescent="0.35">
      <c r="D236" s="93"/>
      <c r="E236" s="112"/>
      <c r="F236" s="112"/>
      <c r="G236" s="112"/>
      <c r="H236" s="112"/>
    </row>
    <row r="237" spans="4:8" x14ac:dyDescent="0.35">
      <c r="D237" s="93"/>
      <c r="E237" s="112"/>
      <c r="F237" s="112"/>
      <c r="G237" s="112"/>
      <c r="H237" s="112"/>
    </row>
    <row r="238" spans="4:8" x14ac:dyDescent="0.35">
      <c r="D238" s="93"/>
      <c r="E238" s="112"/>
      <c r="F238" s="112"/>
      <c r="G238" s="112"/>
      <c r="H238" s="112"/>
    </row>
    <row r="239" spans="4:8" x14ac:dyDescent="0.35">
      <c r="D239" s="93"/>
      <c r="E239" s="112"/>
      <c r="F239" s="112"/>
      <c r="G239" s="112"/>
      <c r="H239" s="112"/>
    </row>
    <row r="240" spans="4:8" x14ac:dyDescent="0.35">
      <c r="D240" s="93"/>
      <c r="E240" s="112"/>
      <c r="F240" s="112"/>
      <c r="G240" s="112"/>
      <c r="H240" s="112"/>
    </row>
    <row r="241" spans="4:8" x14ac:dyDescent="0.35">
      <c r="D241" s="93"/>
      <c r="E241" s="112"/>
      <c r="F241" s="112"/>
      <c r="G241" s="112"/>
      <c r="H241" s="112"/>
    </row>
    <row r="242" spans="4:8" x14ac:dyDescent="0.35">
      <c r="D242" s="93"/>
      <c r="E242" s="112"/>
      <c r="F242" s="112"/>
      <c r="G242" s="112"/>
      <c r="H242" s="112"/>
    </row>
    <row r="243" spans="4:8" x14ac:dyDescent="0.35">
      <c r="D243" s="93"/>
      <c r="E243" s="112"/>
      <c r="F243" s="112"/>
      <c r="G243" s="112"/>
      <c r="H243" s="112"/>
    </row>
    <row r="244" spans="4:8" x14ac:dyDescent="0.35">
      <c r="D244" s="93"/>
      <c r="E244" s="112"/>
      <c r="F244" s="112"/>
      <c r="G244" s="112"/>
      <c r="H244" s="112"/>
    </row>
    <row r="245" spans="4:8" x14ac:dyDescent="0.35">
      <c r="D245" s="93"/>
      <c r="E245" s="112"/>
      <c r="F245" s="112"/>
      <c r="G245" s="112"/>
      <c r="H245" s="112"/>
    </row>
    <row r="246" spans="4:8" x14ac:dyDescent="0.35">
      <c r="D246" s="93"/>
      <c r="E246" s="112"/>
      <c r="F246" s="112"/>
      <c r="G246" s="112"/>
      <c r="H246" s="112"/>
    </row>
    <row r="247" spans="4:8" x14ac:dyDescent="0.35">
      <c r="D247" s="93"/>
      <c r="E247" s="112"/>
      <c r="F247" s="112"/>
      <c r="G247" s="112"/>
      <c r="H247" s="112"/>
    </row>
    <row r="248" spans="4:8" x14ac:dyDescent="0.35">
      <c r="D248" s="93"/>
      <c r="E248" s="112"/>
      <c r="F248" s="112"/>
      <c r="G248" s="112"/>
      <c r="H248" s="112"/>
    </row>
    <row r="249" spans="4:8" x14ac:dyDescent="0.35">
      <c r="D249" s="93"/>
      <c r="E249" s="112"/>
      <c r="F249" s="112"/>
      <c r="G249" s="112"/>
      <c r="H249" s="112"/>
    </row>
    <row r="250" spans="4:8" x14ac:dyDescent="0.35">
      <c r="D250" s="93"/>
      <c r="E250" s="112"/>
      <c r="F250" s="112"/>
      <c r="G250" s="112"/>
      <c r="H250" s="112"/>
    </row>
    <row r="251" spans="4:8" x14ac:dyDescent="0.35">
      <c r="D251" s="93"/>
      <c r="E251" s="112"/>
      <c r="F251" s="112"/>
      <c r="G251" s="112"/>
      <c r="H251" s="112"/>
    </row>
    <row r="252" spans="4:8" x14ac:dyDescent="0.35">
      <c r="D252" s="93"/>
      <c r="E252" s="112"/>
      <c r="F252" s="112"/>
      <c r="G252" s="112"/>
      <c r="H252" s="112"/>
    </row>
    <row r="253" spans="4:8" x14ac:dyDescent="0.35">
      <c r="D253" s="93"/>
      <c r="E253" s="112"/>
      <c r="F253" s="112"/>
      <c r="G253" s="112"/>
      <c r="H253" s="112"/>
    </row>
    <row r="254" spans="4:8" x14ac:dyDescent="0.35">
      <c r="D254" s="93"/>
      <c r="E254" s="112"/>
      <c r="F254" s="112"/>
      <c r="G254" s="112"/>
      <c r="H254" s="112"/>
    </row>
    <row r="255" spans="4:8" x14ac:dyDescent="0.35">
      <c r="D255" s="93"/>
      <c r="E255" s="112"/>
      <c r="F255" s="112"/>
      <c r="G255" s="112"/>
      <c r="H255" s="112"/>
    </row>
    <row r="256" spans="4:8" x14ac:dyDescent="0.35">
      <c r="D256" s="93"/>
      <c r="E256" s="112"/>
      <c r="F256" s="112"/>
      <c r="G256" s="112"/>
      <c r="H256" s="112"/>
    </row>
    <row r="257" spans="4:8" x14ac:dyDescent="0.35">
      <c r="D257" s="93"/>
      <c r="E257" s="112"/>
      <c r="F257" s="112"/>
      <c r="G257" s="112"/>
      <c r="H257" s="112"/>
    </row>
    <row r="258" spans="4:8" x14ac:dyDescent="0.35">
      <c r="D258" s="93"/>
      <c r="E258" s="112"/>
      <c r="F258" s="112"/>
      <c r="G258" s="112"/>
      <c r="H258" s="112"/>
    </row>
    <row r="259" spans="4:8" x14ac:dyDescent="0.35">
      <c r="D259" s="93"/>
      <c r="E259" s="112"/>
      <c r="F259" s="112"/>
      <c r="G259" s="112"/>
      <c r="H259" s="112"/>
    </row>
    <row r="260" spans="4:8" x14ac:dyDescent="0.35">
      <c r="D260" s="93"/>
      <c r="E260" s="112"/>
      <c r="F260" s="112"/>
      <c r="G260" s="112"/>
      <c r="H260" s="112"/>
    </row>
    <row r="261" spans="4:8" x14ac:dyDescent="0.35">
      <c r="D261" s="93"/>
      <c r="E261" s="112"/>
      <c r="F261" s="112"/>
      <c r="G261" s="112"/>
      <c r="H261" s="112"/>
    </row>
    <row r="262" spans="4:8" x14ac:dyDescent="0.35">
      <c r="D262" s="93"/>
      <c r="E262" s="112"/>
      <c r="F262" s="112"/>
      <c r="G262" s="112"/>
      <c r="H262" s="112"/>
    </row>
    <row r="263" spans="4:8" x14ac:dyDescent="0.35">
      <c r="D263" s="93"/>
      <c r="E263" s="112"/>
      <c r="F263" s="112"/>
      <c r="G263" s="112"/>
      <c r="H263" s="112"/>
    </row>
    <row r="264" spans="4:8" x14ac:dyDescent="0.35">
      <c r="D264" s="93"/>
      <c r="E264" s="112"/>
      <c r="F264" s="112"/>
      <c r="G264" s="112"/>
      <c r="H264" s="112"/>
    </row>
    <row r="265" spans="4:8" x14ac:dyDescent="0.35">
      <c r="D265" s="93"/>
      <c r="E265" s="112"/>
      <c r="F265" s="112"/>
      <c r="G265" s="112"/>
      <c r="H265" s="112"/>
    </row>
    <row r="266" spans="4:8" x14ac:dyDescent="0.35">
      <c r="D266" s="93"/>
      <c r="E266" s="112"/>
      <c r="F266" s="112"/>
      <c r="G266" s="112"/>
      <c r="H266" s="112"/>
    </row>
    <row r="267" spans="4:8" x14ac:dyDescent="0.35">
      <c r="D267" s="93"/>
      <c r="E267" s="112"/>
      <c r="F267" s="112"/>
      <c r="G267" s="112"/>
      <c r="H267" s="112"/>
    </row>
    <row r="268" spans="4:8" x14ac:dyDescent="0.35">
      <c r="D268" s="93"/>
      <c r="E268" s="112"/>
      <c r="F268" s="112"/>
      <c r="G268" s="112"/>
      <c r="H268" s="112"/>
    </row>
    <row r="269" spans="4:8" x14ac:dyDescent="0.35">
      <c r="D269" s="93"/>
      <c r="E269" s="112"/>
      <c r="F269" s="112"/>
      <c r="G269" s="112"/>
      <c r="H269" s="112"/>
    </row>
    <row r="270" spans="4:8" x14ac:dyDescent="0.35">
      <c r="D270" s="93"/>
      <c r="E270" s="112"/>
      <c r="F270" s="112"/>
      <c r="G270" s="112"/>
      <c r="H270" s="112"/>
    </row>
    <row r="271" spans="4:8" x14ac:dyDescent="0.35">
      <c r="D271" s="93"/>
      <c r="E271" s="112"/>
      <c r="F271" s="112"/>
      <c r="G271" s="112"/>
      <c r="H271" s="112"/>
    </row>
    <row r="272" spans="4:8" x14ac:dyDescent="0.35">
      <c r="D272" s="93"/>
      <c r="E272" s="112"/>
      <c r="F272" s="112"/>
      <c r="G272" s="112"/>
      <c r="H272" s="112"/>
    </row>
    <row r="273" spans="4:8" x14ac:dyDescent="0.35">
      <c r="D273" s="93"/>
      <c r="E273" s="112"/>
      <c r="F273" s="112"/>
      <c r="G273" s="112"/>
      <c r="H273" s="112"/>
    </row>
    <row r="274" spans="4:8" x14ac:dyDescent="0.35">
      <c r="D274" s="93"/>
      <c r="E274" s="112"/>
      <c r="F274" s="112"/>
      <c r="G274" s="112"/>
      <c r="H274" s="112"/>
    </row>
    <row r="275" spans="4:8" x14ac:dyDescent="0.35">
      <c r="D275" s="93"/>
      <c r="E275" s="112"/>
      <c r="F275" s="112"/>
      <c r="G275" s="112"/>
      <c r="H275" s="112"/>
    </row>
    <row r="276" spans="4:8" x14ac:dyDescent="0.35">
      <c r="D276" s="93"/>
      <c r="E276" s="112"/>
      <c r="F276" s="112"/>
      <c r="G276" s="112"/>
      <c r="H276" s="112"/>
    </row>
    <row r="277" spans="4:8" x14ac:dyDescent="0.35">
      <c r="D277" s="93"/>
      <c r="E277" s="112"/>
      <c r="F277" s="112"/>
      <c r="G277" s="112"/>
      <c r="H277" s="112"/>
    </row>
    <row r="278" spans="4:8" x14ac:dyDescent="0.35">
      <c r="D278" s="93"/>
      <c r="E278" s="112"/>
      <c r="F278" s="112"/>
      <c r="G278" s="112"/>
      <c r="H278" s="112"/>
    </row>
    <row r="279" spans="4:8" x14ac:dyDescent="0.35">
      <c r="D279" s="93"/>
      <c r="E279" s="112"/>
      <c r="F279" s="112"/>
      <c r="G279" s="112"/>
      <c r="H279" s="112"/>
    </row>
    <row r="280" spans="4:8" x14ac:dyDescent="0.35">
      <c r="D280" s="93"/>
      <c r="E280" s="112"/>
      <c r="F280" s="112"/>
      <c r="G280" s="112"/>
      <c r="H280" s="112"/>
    </row>
    <row r="281" spans="4:8" x14ac:dyDescent="0.35">
      <c r="D281" s="93"/>
      <c r="E281" s="112"/>
      <c r="F281" s="112"/>
      <c r="G281" s="112"/>
      <c r="H281" s="112"/>
    </row>
    <row r="282" spans="4:8" x14ac:dyDescent="0.35">
      <c r="D282" s="93"/>
      <c r="E282" s="112"/>
      <c r="F282" s="112"/>
      <c r="G282" s="112"/>
      <c r="H282" s="112"/>
    </row>
    <row r="283" spans="4:8" x14ac:dyDescent="0.35">
      <c r="D283" s="93"/>
      <c r="E283" s="112"/>
      <c r="F283" s="112"/>
      <c r="G283" s="112"/>
      <c r="H283" s="112"/>
    </row>
    <row r="284" spans="4:8" x14ac:dyDescent="0.35">
      <c r="D284" s="93"/>
      <c r="E284" s="112"/>
      <c r="F284" s="112"/>
      <c r="G284" s="112"/>
      <c r="H284" s="112"/>
    </row>
    <row r="285" spans="4:8" x14ac:dyDescent="0.35">
      <c r="D285" s="93"/>
      <c r="E285" s="112"/>
      <c r="F285" s="112"/>
      <c r="G285" s="112"/>
      <c r="H285" s="112"/>
    </row>
    <row r="286" spans="4:8" x14ac:dyDescent="0.35">
      <c r="D286" s="93"/>
      <c r="E286" s="112"/>
      <c r="F286" s="112"/>
      <c r="G286" s="112"/>
      <c r="H286" s="112"/>
    </row>
    <row r="287" spans="4:8" x14ac:dyDescent="0.35">
      <c r="D287" s="93"/>
      <c r="E287" s="112"/>
      <c r="F287" s="112"/>
      <c r="G287" s="112"/>
      <c r="H287" s="112"/>
    </row>
    <row r="288" spans="4:8" x14ac:dyDescent="0.35">
      <c r="D288" s="93"/>
      <c r="E288" s="112"/>
      <c r="F288" s="112"/>
      <c r="G288" s="112"/>
      <c r="H288" s="112"/>
    </row>
    <row r="289" spans="4:8" x14ac:dyDescent="0.35">
      <c r="D289" s="93"/>
      <c r="E289" s="112"/>
      <c r="F289" s="112"/>
      <c r="G289" s="112"/>
      <c r="H289" s="112"/>
    </row>
    <row r="290" spans="4:8" x14ac:dyDescent="0.35">
      <c r="D290" s="93"/>
      <c r="E290" s="112"/>
      <c r="F290" s="112"/>
      <c r="G290" s="112"/>
      <c r="H290" s="112"/>
    </row>
    <row r="291" spans="4:8" x14ac:dyDescent="0.35">
      <c r="D291" s="93"/>
      <c r="E291" s="112"/>
      <c r="F291" s="112"/>
      <c r="G291" s="112"/>
      <c r="H291" s="112"/>
    </row>
    <row r="292" spans="4:8" x14ac:dyDescent="0.35">
      <c r="D292" s="93"/>
      <c r="E292" s="112"/>
      <c r="F292" s="112"/>
      <c r="G292" s="112"/>
      <c r="H292" s="112"/>
    </row>
    <row r="293" spans="4:8" x14ac:dyDescent="0.35">
      <c r="D293" s="93"/>
      <c r="E293" s="112"/>
      <c r="F293" s="112"/>
      <c r="G293" s="112"/>
      <c r="H293" s="112"/>
    </row>
    <row r="294" spans="4:8" x14ac:dyDescent="0.35">
      <c r="D294" s="93"/>
      <c r="E294" s="112"/>
      <c r="F294" s="112"/>
      <c r="G294" s="112"/>
      <c r="H294" s="112"/>
    </row>
    <row r="295" spans="4:8" x14ac:dyDescent="0.35">
      <c r="D295" s="93"/>
      <c r="E295" s="112"/>
      <c r="F295" s="112"/>
      <c r="G295" s="112"/>
      <c r="H295" s="112"/>
    </row>
    <row r="296" spans="4:8" x14ac:dyDescent="0.35">
      <c r="D296" s="93"/>
      <c r="E296" s="112"/>
      <c r="F296" s="112"/>
      <c r="G296" s="112"/>
      <c r="H296" s="112"/>
    </row>
    <row r="297" spans="4:8" x14ac:dyDescent="0.35">
      <c r="D297" s="93"/>
      <c r="E297" s="112"/>
      <c r="F297" s="112"/>
      <c r="G297" s="112"/>
      <c r="H297" s="112"/>
    </row>
    <row r="298" spans="4:8" x14ac:dyDescent="0.35">
      <c r="D298" s="93"/>
      <c r="E298" s="112"/>
      <c r="F298" s="112"/>
      <c r="G298" s="112"/>
      <c r="H298" s="112"/>
    </row>
    <row r="299" spans="4:8" x14ac:dyDescent="0.35">
      <c r="D299" s="93"/>
      <c r="E299" s="112"/>
      <c r="F299" s="112"/>
      <c r="G299" s="112"/>
      <c r="H299" s="112"/>
    </row>
    <row r="300" spans="4:8" x14ac:dyDescent="0.35">
      <c r="D300" s="93"/>
      <c r="E300" s="112"/>
      <c r="F300" s="112"/>
      <c r="G300" s="112"/>
      <c r="H300" s="112"/>
    </row>
    <row r="301" spans="4:8" x14ac:dyDescent="0.35">
      <c r="D301" s="93"/>
      <c r="E301" s="112"/>
      <c r="F301" s="112"/>
      <c r="G301" s="112"/>
      <c r="H301" s="112"/>
    </row>
    <row r="302" spans="4:8" x14ac:dyDescent="0.35">
      <c r="D302" s="93"/>
      <c r="E302" s="112"/>
      <c r="F302" s="112"/>
      <c r="G302" s="112"/>
      <c r="H302" s="112"/>
    </row>
    <row r="303" spans="4:8" x14ac:dyDescent="0.35">
      <c r="D303" s="93"/>
      <c r="E303" s="112"/>
      <c r="F303" s="112"/>
      <c r="G303" s="112"/>
      <c r="H303" s="112"/>
    </row>
    <row r="304" spans="4:8" x14ac:dyDescent="0.35">
      <c r="D304" s="93"/>
      <c r="E304" s="112"/>
      <c r="F304" s="112"/>
      <c r="G304" s="112"/>
      <c r="H304" s="112"/>
    </row>
    <row r="305" spans="4:8" x14ac:dyDescent="0.35">
      <c r="D305" s="93"/>
      <c r="E305" s="112"/>
      <c r="F305" s="112"/>
      <c r="G305" s="112"/>
      <c r="H305" s="112"/>
    </row>
    <row r="306" spans="4:8" x14ac:dyDescent="0.35">
      <c r="D306" s="93"/>
      <c r="E306" s="112"/>
      <c r="F306" s="112"/>
      <c r="G306" s="112"/>
      <c r="H306" s="112"/>
    </row>
    <row r="307" spans="4:8" x14ac:dyDescent="0.35">
      <c r="D307" s="93"/>
      <c r="E307" s="112"/>
      <c r="F307" s="112"/>
      <c r="G307" s="112"/>
      <c r="H307" s="112"/>
    </row>
    <row r="308" spans="4:8" x14ac:dyDescent="0.35">
      <c r="D308" s="93"/>
      <c r="E308" s="112"/>
      <c r="F308" s="112"/>
      <c r="G308" s="112"/>
      <c r="H308" s="112"/>
    </row>
    <row r="309" spans="4:8" x14ac:dyDescent="0.35">
      <c r="D309" s="93"/>
      <c r="E309" s="112"/>
      <c r="F309" s="112"/>
      <c r="G309" s="112"/>
      <c r="H309" s="112"/>
    </row>
    <row r="310" spans="4:8" x14ac:dyDescent="0.35">
      <c r="D310" s="93"/>
      <c r="E310" s="112"/>
      <c r="F310" s="112"/>
      <c r="G310" s="112"/>
      <c r="H310" s="112"/>
    </row>
    <row r="311" spans="4:8" x14ac:dyDescent="0.35">
      <c r="D311" s="93"/>
      <c r="E311" s="112"/>
      <c r="F311" s="112"/>
      <c r="G311" s="112"/>
      <c r="H311" s="112"/>
    </row>
    <row r="312" spans="4:8" x14ac:dyDescent="0.35">
      <c r="D312" s="93"/>
      <c r="E312" s="112"/>
      <c r="F312" s="112"/>
      <c r="G312" s="112"/>
      <c r="H312" s="112"/>
    </row>
    <row r="313" spans="4:8" x14ac:dyDescent="0.35">
      <c r="D313" s="93"/>
      <c r="E313" s="112"/>
      <c r="F313" s="112"/>
      <c r="G313" s="112"/>
      <c r="H313" s="112"/>
    </row>
    <row r="314" spans="4:8" x14ac:dyDescent="0.35">
      <c r="D314" s="93"/>
      <c r="E314" s="112"/>
      <c r="F314" s="112"/>
      <c r="G314" s="112"/>
      <c r="H314" s="112"/>
    </row>
    <row r="315" spans="4:8" x14ac:dyDescent="0.35">
      <c r="D315" s="93"/>
      <c r="E315" s="112"/>
      <c r="F315" s="112"/>
      <c r="G315" s="112"/>
      <c r="H315" s="112"/>
    </row>
    <row r="316" spans="4:8" x14ac:dyDescent="0.35">
      <c r="D316" s="93"/>
      <c r="E316" s="112"/>
      <c r="F316" s="112"/>
      <c r="G316" s="112"/>
      <c r="H316" s="112"/>
    </row>
    <row r="317" spans="4:8" x14ac:dyDescent="0.35">
      <c r="D317" s="93"/>
      <c r="E317" s="112"/>
      <c r="F317" s="112"/>
      <c r="G317" s="112"/>
      <c r="H317" s="112"/>
    </row>
    <row r="318" spans="4:8" x14ac:dyDescent="0.35">
      <c r="D318" s="93"/>
      <c r="E318" s="112"/>
      <c r="F318" s="112"/>
      <c r="G318" s="112"/>
      <c r="H318" s="112"/>
    </row>
    <row r="319" spans="4:8" x14ac:dyDescent="0.35">
      <c r="D319" s="93"/>
      <c r="E319" s="112"/>
      <c r="F319" s="112"/>
      <c r="G319" s="112"/>
      <c r="H319" s="112"/>
    </row>
    <row r="320" spans="4:8" x14ac:dyDescent="0.35">
      <c r="D320" s="93"/>
      <c r="E320" s="112"/>
      <c r="F320" s="112"/>
      <c r="G320" s="112"/>
      <c r="H320" s="112"/>
    </row>
    <row r="321" spans="4:8" x14ac:dyDescent="0.35">
      <c r="D321" s="93"/>
      <c r="E321" s="112"/>
      <c r="F321" s="112"/>
      <c r="G321" s="112"/>
      <c r="H321" s="112"/>
    </row>
    <row r="322" spans="4:8" x14ac:dyDescent="0.35">
      <c r="D322" s="93"/>
      <c r="E322" s="112"/>
      <c r="F322" s="112"/>
      <c r="G322" s="112"/>
      <c r="H322" s="112"/>
    </row>
    <row r="323" spans="4:8" x14ac:dyDescent="0.35">
      <c r="D323" s="93"/>
      <c r="E323" s="112"/>
      <c r="F323" s="112"/>
      <c r="G323" s="112"/>
      <c r="H323" s="112"/>
    </row>
    <row r="324" spans="4:8" x14ac:dyDescent="0.35">
      <c r="D324" s="93"/>
      <c r="E324" s="112"/>
      <c r="F324" s="112"/>
      <c r="G324" s="112"/>
      <c r="H324" s="112"/>
    </row>
    <row r="325" spans="4:8" x14ac:dyDescent="0.35">
      <c r="D325" s="93"/>
      <c r="E325" s="112"/>
      <c r="F325" s="112"/>
      <c r="G325" s="112"/>
      <c r="H325" s="112"/>
    </row>
    <row r="326" spans="4:8" x14ac:dyDescent="0.35">
      <c r="D326" s="93"/>
      <c r="E326" s="112"/>
      <c r="F326" s="112"/>
      <c r="G326" s="112"/>
      <c r="H326" s="112"/>
    </row>
    <row r="327" spans="4:8" x14ac:dyDescent="0.35">
      <c r="D327" s="93"/>
      <c r="E327" s="112"/>
      <c r="F327" s="112"/>
      <c r="G327" s="112"/>
      <c r="H327" s="112"/>
    </row>
    <row r="328" spans="4:8" x14ac:dyDescent="0.35">
      <c r="D328" s="93"/>
      <c r="E328" s="112"/>
      <c r="F328" s="112"/>
      <c r="G328" s="112"/>
      <c r="H328" s="112"/>
    </row>
    <row r="329" spans="4:8" x14ac:dyDescent="0.35">
      <c r="D329" s="93"/>
      <c r="E329" s="112"/>
      <c r="F329" s="112"/>
      <c r="G329" s="112"/>
      <c r="H329" s="112"/>
    </row>
    <row r="330" spans="4:8" x14ac:dyDescent="0.35">
      <c r="D330" s="93"/>
      <c r="E330" s="112"/>
      <c r="F330" s="112"/>
      <c r="G330" s="112"/>
      <c r="H330" s="112"/>
    </row>
    <row r="331" spans="4:8" x14ac:dyDescent="0.35">
      <c r="D331" s="93"/>
      <c r="E331" s="112"/>
      <c r="F331" s="112"/>
      <c r="G331" s="112"/>
      <c r="H331" s="112"/>
    </row>
    <row r="332" spans="4:8" x14ac:dyDescent="0.35">
      <c r="D332" s="93"/>
      <c r="E332" s="112"/>
      <c r="F332" s="112"/>
      <c r="G332" s="112"/>
      <c r="H332" s="112"/>
    </row>
    <row r="333" spans="4:8" x14ac:dyDescent="0.35">
      <c r="D333" s="93"/>
      <c r="E333" s="112"/>
      <c r="F333" s="112"/>
      <c r="G333" s="112"/>
      <c r="H333" s="112"/>
    </row>
    <row r="334" spans="4:8" x14ac:dyDescent="0.35">
      <c r="D334" s="93"/>
      <c r="E334" s="112"/>
      <c r="F334" s="112"/>
      <c r="G334" s="112"/>
      <c r="H334" s="112"/>
    </row>
    <row r="335" spans="4:8" x14ac:dyDescent="0.35">
      <c r="D335" s="93"/>
      <c r="E335" s="112"/>
      <c r="F335" s="112"/>
      <c r="G335" s="112"/>
      <c r="H335" s="112"/>
    </row>
    <row r="336" spans="4:8" x14ac:dyDescent="0.35">
      <c r="D336" s="93"/>
      <c r="E336" s="112"/>
      <c r="F336" s="112"/>
      <c r="G336" s="112"/>
      <c r="H336" s="112"/>
    </row>
    <row r="337" spans="4:8" x14ac:dyDescent="0.35">
      <c r="D337" s="93"/>
      <c r="E337" s="112"/>
      <c r="F337" s="112"/>
      <c r="G337" s="112"/>
      <c r="H337" s="112"/>
    </row>
    <row r="338" spans="4:8" x14ac:dyDescent="0.35">
      <c r="D338" s="93"/>
      <c r="E338" s="112"/>
      <c r="F338" s="112"/>
      <c r="G338" s="112"/>
      <c r="H338" s="112"/>
    </row>
    <row r="339" spans="4:8" x14ac:dyDescent="0.35">
      <c r="D339" s="93"/>
      <c r="E339" s="112"/>
      <c r="F339" s="112"/>
      <c r="G339" s="112"/>
      <c r="H339" s="112"/>
    </row>
    <row r="340" spans="4:8" x14ac:dyDescent="0.35">
      <c r="D340" s="93"/>
      <c r="E340" s="112"/>
      <c r="F340" s="112"/>
      <c r="G340" s="112"/>
      <c r="H340" s="112"/>
    </row>
    <row r="341" spans="4:8" x14ac:dyDescent="0.35">
      <c r="D341" s="93"/>
      <c r="E341" s="112"/>
      <c r="F341" s="112"/>
      <c r="G341" s="112"/>
      <c r="H341" s="112"/>
    </row>
    <row r="342" spans="4:8" x14ac:dyDescent="0.35">
      <c r="D342" s="93"/>
      <c r="E342" s="112"/>
      <c r="F342" s="112"/>
      <c r="G342" s="112"/>
      <c r="H342" s="112"/>
    </row>
    <row r="343" spans="4:8" x14ac:dyDescent="0.35">
      <c r="D343" s="93"/>
      <c r="E343" s="112"/>
      <c r="F343" s="112"/>
      <c r="G343" s="112"/>
      <c r="H343" s="112"/>
    </row>
    <row r="344" spans="4:8" x14ac:dyDescent="0.35">
      <c r="D344" s="93"/>
      <c r="E344" s="112"/>
      <c r="F344" s="112"/>
      <c r="G344" s="112"/>
      <c r="H344" s="112"/>
    </row>
    <row r="345" spans="4:8" x14ac:dyDescent="0.35">
      <c r="D345" s="93"/>
      <c r="E345" s="112"/>
      <c r="F345" s="112"/>
      <c r="G345" s="112"/>
      <c r="H345" s="112"/>
    </row>
    <row r="346" spans="4:8" x14ac:dyDescent="0.35">
      <c r="D346" s="93"/>
      <c r="E346" s="112"/>
      <c r="F346" s="112"/>
      <c r="G346" s="112"/>
      <c r="H346" s="112"/>
    </row>
    <row r="347" spans="4:8" x14ac:dyDescent="0.35">
      <c r="D347" s="93"/>
      <c r="E347" s="112"/>
      <c r="F347" s="112"/>
      <c r="G347" s="112"/>
      <c r="H347" s="112"/>
    </row>
    <row r="348" spans="4:8" x14ac:dyDescent="0.35">
      <c r="D348" s="93"/>
      <c r="E348" s="112"/>
      <c r="F348" s="112"/>
      <c r="G348" s="112"/>
      <c r="H348" s="112"/>
    </row>
    <row r="349" spans="4:8" x14ac:dyDescent="0.35">
      <c r="D349" s="93"/>
      <c r="E349" s="112"/>
      <c r="F349" s="112"/>
      <c r="G349" s="112"/>
      <c r="H349" s="112"/>
    </row>
    <row r="350" spans="4:8" x14ac:dyDescent="0.35">
      <c r="D350" s="93"/>
      <c r="E350" s="112"/>
      <c r="F350" s="112"/>
      <c r="G350" s="112"/>
      <c r="H350" s="112"/>
    </row>
    <row r="351" spans="4:8" x14ac:dyDescent="0.35">
      <c r="D351" s="93"/>
      <c r="E351" s="112"/>
      <c r="F351" s="112"/>
      <c r="G351" s="112"/>
      <c r="H351" s="112"/>
    </row>
    <row r="352" spans="4:8" x14ac:dyDescent="0.35">
      <c r="D352" s="93"/>
      <c r="E352" s="112"/>
      <c r="F352" s="112"/>
      <c r="G352" s="112"/>
      <c r="H352" s="112"/>
    </row>
    <row r="353" spans="4:8" x14ac:dyDescent="0.35">
      <c r="D353" s="93"/>
      <c r="E353" s="112"/>
      <c r="F353" s="112"/>
      <c r="G353" s="112"/>
      <c r="H353" s="112"/>
    </row>
    <row r="354" spans="4:8" x14ac:dyDescent="0.35">
      <c r="D354" s="93"/>
      <c r="E354" s="112"/>
      <c r="F354" s="112"/>
      <c r="G354" s="112"/>
      <c r="H354" s="112"/>
    </row>
    <row r="355" spans="4:8" x14ac:dyDescent="0.35">
      <c r="D355" s="93"/>
      <c r="E355" s="112"/>
      <c r="F355" s="112"/>
      <c r="G355" s="112"/>
      <c r="H355" s="112"/>
    </row>
    <row r="356" spans="4:8" x14ac:dyDescent="0.35">
      <c r="D356" s="93"/>
      <c r="E356" s="112"/>
      <c r="F356" s="112"/>
      <c r="G356" s="112"/>
      <c r="H356" s="112"/>
    </row>
    <row r="357" spans="4:8" x14ac:dyDescent="0.35">
      <c r="D357" s="93"/>
      <c r="E357" s="112"/>
      <c r="F357" s="112"/>
      <c r="G357" s="112"/>
      <c r="H357" s="112"/>
    </row>
    <row r="358" spans="4:8" x14ac:dyDescent="0.35">
      <c r="D358" s="93"/>
      <c r="E358" s="112"/>
      <c r="F358" s="112"/>
      <c r="G358" s="112"/>
      <c r="H358" s="112"/>
    </row>
    <row r="359" spans="4:8" x14ac:dyDescent="0.35">
      <c r="D359" s="93"/>
      <c r="E359" s="112"/>
      <c r="F359" s="112"/>
      <c r="G359" s="112"/>
      <c r="H359" s="112"/>
    </row>
    <row r="360" spans="4:8" x14ac:dyDescent="0.35">
      <c r="D360" s="93"/>
      <c r="E360" s="112"/>
      <c r="F360" s="112"/>
      <c r="G360" s="112"/>
      <c r="H360" s="112"/>
    </row>
    <row r="361" spans="4:8" x14ac:dyDescent="0.35">
      <c r="D361" s="93"/>
      <c r="E361" s="112"/>
      <c r="F361" s="112"/>
      <c r="G361" s="112"/>
      <c r="H361" s="112"/>
    </row>
    <row r="362" spans="4:8" x14ac:dyDescent="0.35">
      <c r="D362" s="93"/>
      <c r="E362" s="112"/>
      <c r="F362" s="112"/>
      <c r="G362" s="112"/>
      <c r="H362" s="112"/>
    </row>
    <row r="363" spans="4:8" x14ac:dyDescent="0.35">
      <c r="D363" s="93"/>
      <c r="E363" s="112"/>
      <c r="F363" s="112"/>
      <c r="G363" s="112"/>
      <c r="H363" s="112"/>
    </row>
    <row r="364" spans="4:8" x14ac:dyDescent="0.35">
      <c r="D364" s="93"/>
      <c r="E364" s="112"/>
      <c r="F364" s="112"/>
      <c r="G364" s="112"/>
      <c r="H364" s="112"/>
    </row>
    <row r="365" spans="4:8" x14ac:dyDescent="0.35">
      <c r="D365" s="93"/>
      <c r="E365" s="112"/>
      <c r="F365" s="112"/>
      <c r="G365" s="112"/>
      <c r="H365" s="112"/>
    </row>
    <row r="366" spans="4:8" x14ac:dyDescent="0.35">
      <c r="D366" s="93"/>
      <c r="E366" s="112"/>
      <c r="F366" s="112"/>
      <c r="G366" s="112"/>
      <c r="H366" s="112"/>
    </row>
    <row r="367" spans="4:8" x14ac:dyDescent="0.35">
      <c r="D367" s="93"/>
      <c r="E367" s="112"/>
      <c r="F367" s="112"/>
      <c r="G367" s="112"/>
      <c r="H367" s="112"/>
    </row>
    <row r="368" spans="4:8" x14ac:dyDescent="0.35">
      <c r="D368" s="93"/>
      <c r="E368" s="112"/>
      <c r="F368" s="112"/>
      <c r="G368" s="112"/>
      <c r="H368" s="112"/>
    </row>
    <row r="369" spans="4:8" x14ac:dyDescent="0.35">
      <c r="D369" s="93"/>
      <c r="E369" s="112"/>
      <c r="F369" s="112"/>
      <c r="G369" s="112"/>
      <c r="H369" s="112"/>
    </row>
    <row r="370" spans="4:8" x14ac:dyDescent="0.35">
      <c r="D370" s="93"/>
      <c r="E370" s="112"/>
      <c r="F370" s="112"/>
      <c r="G370" s="112"/>
      <c r="H370" s="112"/>
    </row>
    <row r="371" spans="4:8" x14ac:dyDescent="0.35">
      <c r="D371" s="93"/>
      <c r="E371" s="112"/>
      <c r="F371" s="112"/>
      <c r="G371" s="112"/>
      <c r="H371" s="112"/>
    </row>
    <row r="372" spans="4:8" x14ac:dyDescent="0.35">
      <c r="D372" s="93"/>
      <c r="E372" s="112"/>
      <c r="F372" s="112"/>
      <c r="G372" s="112"/>
      <c r="H372" s="112"/>
    </row>
    <row r="373" spans="4:8" x14ac:dyDescent="0.35">
      <c r="D373" s="93"/>
      <c r="E373" s="112"/>
      <c r="F373" s="112"/>
      <c r="G373" s="112"/>
      <c r="H373" s="112"/>
    </row>
    <row r="374" spans="4:8" x14ac:dyDescent="0.35">
      <c r="D374" s="93"/>
      <c r="E374" s="112"/>
      <c r="F374" s="112"/>
      <c r="G374" s="112"/>
      <c r="H374" s="112"/>
    </row>
    <row r="375" spans="4:8" x14ac:dyDescent="0.35">
      <c r="D375" s="93"/>
      <c r="E375" s="112"/>
      <c r="F375" s="112"/>
      <c r="G375" s="112"/>
      <c r="H375" s="112"/>
    </row>
    <row r="376" spans="4:8" x14ac:dyDescent="0.35">
      <c r="D376" s="93"/>
      <c r="E376" s="112"/>
      <c r="F376" s="112"/>
      <c r="G376" s="112"/>
      <c r="H376" s="112"/>
    </row>
    <row r="377" spans="4:8" x14ac:dyDescent="0.35">
      <c r="D377" s="93"/>
      <c r="E377" s="112"/>
      <c r="F377" s="112"/>
      <c r="G377" s="112"/>
      <c r="H377" s="112"/>
    </row>
    <row r="378" spans="4:8" x14ac:dyDescent="0.35">
      <c r="D378" s="93"/>
      <c r="E378" s="112"/>
      <c r="F378" s="112"/>
      <c r="G378" s="112"/>
      <c r="H378" s="112"/>
    </row>
    <row r="379" spans="4:8" x14ac:dyDescent="0.35">
      <c r="D379" s="93"/>
      <c r="E379" s="112"/>
      <c r="F379" s="112"/>
      <c r="G379" s="112"/>
      <c r="H379" s="112"/>
    </row>
    <row r="380" spans="4:8" x14ac:dyDescent="0.35">
      <c r="D380" s="93"/>
      <c r="E380" s="112"/>
      <c r="F380" s="112"/>
      <c r="G380" s="112"/>
      <c r="H380" s="112"/>
    </row>
    <row r="381" spans="4:8" x14ac:dyDescent="0.35">
      <c r="D381" s="93"/>
      <c r="E381" s="112"/>
      <c r="F381" s="112"/>
      <c r="G381" s="112"/>
      <c r="H381" s="112"/>
    </row>
    <row r="382" spans="4:8" x14ac:dyDescent="0.35">
      <c r="D382" s="93"/>
      <c r="E382" s="112"/>
      <c r="F382" s="112"/>
      <c r="G382" s="112"/>
      <c r="H382" s="112"/>
    </row>
    <row r="383" spans="4:8" x14ac:dyDescent="0.35">
      <c r="D383" s="93"/>
      <c r="E383" s="112"/>
      <c r="F383" s="112"/>
      <c r="G383" s="112"/>
      <c r="H383" s="112"/>
    </row>
    <row r="384" spans="4:8" x14ac:dyDescent="0.35">
      <c r="D384" s="93"/>
      <c r="E384" s="112"/>
      <c r="F384" s="112"/>
      <c r="G384" s="112"/>
      <c r="H384" s="112"/>
    </row>
    <row r="385" spans="4:8" x14ac:dyDescent="0.35">
      <c r="D385" s="93"/>
      <c r="E385" s="112"/>
      <c r="F385" s="112"/>
      <c r="G385" s="112"/>
      <c r="H385" s="112"/>
    </row>
    <row r="386" spans="4:8" x14ac:dyDescent="0.35">
      <c r="D386" s="93"/>
      <c r="E386" s="112"/>
      <c r="F386" s="112"/>
      <c r="G386" s="112"/>
      <c r="H386" s="112"/>
    </row>
    <row r="387" spans="4:8" x14ac:dyDescent="0.35">
      <c r="D387" s="93"/>
      <c r="E387" s="112"/>
      <c r="F387" s="112"/>
      <c r="G387" s="112"/>
      <c r="H387" s="112"/>
    </row>
    <row r="388" spans="4:8" x14ac:dyDescent="0.35">
      <c r="D388" s="93"/>
      <c r="E388" s="112"/>
      <c r="F388" s="112"/>
      <c r="G388" s="112"/>
      <c r="H388" s="112"/>
    </row>
    <row r="389" spans="4:8" x14ac:dyDescent="0.35">
      <c r="D389" s="93"/>
      <c r="E389" s="112"/>
      <c r="F389" s="112"/>
      <c r="G389" s="112"/>
      <c r="H389" s="112"/>
    </row>
    <row r="390" spans="4:8" x14ac:dyDescent="0.35">
      <c r="D390" s="93"/>
      <c r="E390" s="112"/>
      <c r="F390" s="112"/>
      <c r="G390" s="112"/>
      <c r="H390" s="112"/>
    </row>
    <row r="391" spans="4:8" x14ac:dyDescent="0.35">
      <c r="D391" s="93"/>
      <c r="E391" s="112"/>
      <c r="F391" s="112"/>
      <c r="G391" s="112"/>
      <c r="H391" s="112"/>
    </row>
    <row r="392" spans="4:8" x14ac:dyDescent="0.35">
      <c r="D392" s="93"/>
      <c r="E392" s="112"/>
      <c r="F392" s="112"/>
      <c r="G392" s="112"/>
      <c r="H392" s="112"/>
    </row>
    <row r="393" spans="4:8" x14ac:dyDescent="0.35">
      <c r="D393" s="93"/>
      <c r="E393" s="112"/>
      <c r="F393" s="112"/>
      <c r="G393" s="112"/>
      <c r="H393" s="112"/>
    </row>
    <row r="394" spans="4:8" x14ac:dyDescent="0.35">
      <c r="D394" s="93"/>
      <c r="E394" s="112"/>
      <c r="F394" s="112"/>
      <c r="G394" s="112"/>
      <c r="H394" s="112"/>
    </row>
    <row r="395" spans="4:8" x14ac:dyDescent="0.35">
      <c r="D395" s="93"/>
      <c r="E395" s="112"/>
      <c r="F395" s="112"/>
      <c r="G395" s="112"/>
      <c r="H395" s="112"/>
    </row>
    <row r="396" spans="4:8" x14ac:dyDescent="0.35">
      <c r="D396" s="93"/>
      <c r="E396" s="112"/>
      <c r="F396" s="112"/>
      <c r="G396" s="112"/>
      <c r="H396" s="112"/>
    </row>
    <row r="397" spans="4:8" x14ac:dyDescent="0.35">
      <c r="D397" s="93"/>
      <c r="E397" s="112"/>
      <c r="F397" s="112"/>
      <c r="G397" s="112"/>
      <c r="H397" s="112"/>
    </row>
    <row r="398" spans="4:8" x14ac:dyDescent="0.35">
      <c r="D398" s="93"/>
      <c r="E398" s="112"/>
      <c r="F398" s="112"/>
      <c r="G398" s="112"/>
      <c r="H398" s="112"/>
    </row>
    <row r="399" spans="4:8" x14ac:dyDescent="0.35">
      <c r="D399" s="93"/>
      <c r="E399" s="112"/>
      <c r="F399" s="112"/>
      <c r="G399" s="112"/>
      <c r="H399" s="112"/>
    </row>
    <row r="400" spans="4:8" x14ac:dyDescent="0.35">
      <c r="D400" s="93"/>
      <c r="E400" s="112"/>
      <c r="F400" s="112"/>
      <c r="G400" s="112"/>
      <c r="H400" s="112"/>
    </row>
    <row r="401" spans="4:8" x14ac:dyDescent="0.35">
      <c r="D401" s="93"/>
      <c r="E401" s="112"/>
      <c r="F401" s="112"/>
      <c r="G401" s="112"/>
      <c r="H401" s="112"/>
    </row>
    <row r="402" spans="4:8" x14ac:dyDescent="0.35">
      <c r="D402" s="93"/>
      <c r="E402" s="112"/>
      <c r="F402" s="112"/>
      <c r="G402" s="112"/>
      <c r="H402" s="112"/>
    </row>
    <row r="403" spans="4:8" x14ac:dyDescent="0.35">
      <c r="D403" s="93"/>
      <c r="E403" s="112"/>
      <c r="F403" s="112"/>
      <c r="G403" s="112"/>
      <c r="H403" s="112"/>
    </row>
    <row r="404" spans="4:8" x14ac:dyDescent="0.35">
      <c r="D404" s="93"/>
      <c r="E404" s="112"/>
      <c r="F404" s="112"/>
      <c r="G404" s="112"/>
      <c r="H404" s="112"/>
    </row>
    <row r="405" spans="4:8" x14ac:dyDescent="0.35">
      <c r="D405" s="93"/>
      <c r="E405" s="112"/>
      <c r="F405" s="112"/>
      <c r="G405" s="112"/>
      <c r="H405" s="112"/>
    </row>
    <row r="406" spans="4:8" x14ac:dyDescent="0.35">
      <c r="D406" s="93"/>
      <c r="E406" s="112"/>
      <c r="F406" s="112"/>
      <c r="G406" s="112"/>
      <c r="H406" s="112"/>
    </row>
    <row r="407" spans="4:8" x14ac:dyDescent="0.35">
      <c r="D407" s="93"/>
      <c r="E407" s="112"/>
      <c r="F407" s="112"/>
      <c r="G407" s="112"/>
      <c r="H407" s="112"/>
    </row>
    <row r="408" spans="4:8" x14ac:dyDescent="0.35">
      <c r="D408" s="93"/>
      <c r="E408" s="112"/>
      <c r="F408" s="112"/>
      <c r="G408" s="112"/>
      <c r="H408" s="112"/>
    </row>
    <row r="409" spans="4:8" x14ac:dyDescent="0.35">
      <c r="D409" s="93"/>
      <c r="E409" s="112"/>
      <c r="F409" s="112"/>
      <c r="G409" s="112"/>
      <c r="H409" s="112"/>
    </row>
    <row r="410" spans="4:8" x14ac:dyDescent="0.35">
      <c r="D410" s="93"/>
      <c r="E410" s="112"/>
      <c r="F410" s="112"/>
      <c r="G410" s="112"/>
      <c r="H410" s="112"/>
    </row>
    <row r="411" spans="4:8" x14ac:dyDescent="0.35">
      <c r="D411" s="93"/>
      <c r="E411" s="112"/>
      <c r="F411" s="112"/>
      <c r="G411" s="112"/>
      <c r="H411" s="112"/>
    </row>
    <row r="412" spans="4:8" x14ac:dyDescent="0.35">
      <c r="D412" s="93"/>
      <c r="E412" s="112"/>
      <c r="F412" s="112"/>
      <c r="G412" s="112"/>
      <c r="H412" s="112"/>
    </row>
    <row r="413" spans="4:8" x14ac:dyDescent="0.35">
      <c r="D413" s="93"/>
      <c r="E413" s="112"/>
      <c r="F413" s="112"/>
      <c r="G413" s="112"/>
      <c r="H413" s="112"/>
    </row>
    <row r="414" spans="4:8" x14ac:dyDescent="0.35">
      <c r="D414" s="93"/>
      <c r="E414" s="112"/>
      <c r="F414" s="112"/>
      <c r="G414" s="112"/>
      <c r="H414" s="112"/>
    </row>
    <row r="415" spans="4:8" x14ac:dyDescent="0.35">
      <c r="D415" s="93"/>
      <c r="E415" s="112"/>
      <c r="F415" s="112"/>
      <c r="G415" s="112"/>
      <c r="H415" s="112"/>
    </row>
    <row r="416" spans="4:8" x14ac:dyDescent="0.35">
      <c r="D416" s="93"/>
      <c r="E416" s="112"/>
      <c r="F416" s="112"/>
      <c r="G416" s="112"/>
      <c r="H416" s="112"/>
    </row>
    <row r="417" spans="4:8" x14ac:dyDescent="0.35">
      <c r="D417" s="93"/>
      <c r="E417" s="112"/>
      <c r="F417" s="112"/>
      <c r="G417" s="112"/>
      <c r="H417" s="112"/>
    </row>
    <row r="418" spans="4:8" x14ac:dyDescent="0.35">
      <c r="D418" s="93"/>
      <c r="E418" s="112"/>
      <c r="F418" s="112"/>
      <c r="G418" s="112"/>
      <c r="H418" s="112"/>
    </row>
    <row r="419" spans="4:8" x14ac:dyDescent="0.35">
      <c r="D419" s="93"/>
      <c r="E419" s="112"/>
      <c r="F419" s="112"/>
      <c r="G419" s="112"/>
      <c r="H419" s="112"/>
    </row>
    <row r="420" spans="4:8" x14ac:dyDescent="0.35">
      <c r="D420" s="93"/>
      <c r="E420" s="112"/>
      <c r="F420" s="112"/>
      <c r="G420" s="112"/>
      <c r="H420" s="112"/>
    </row>
    <row r="421" spans="4:8" x14ac:dyDescent="0.35">
      <c r="D421" s="93"/>
      <c r="E421" s="112"/>
      <c r="F421" s="112"/>
      <c r="G421" s="112"/>
      <c r="H421" s="112"/>
    </row>
    <row r="422" spans="4:8" x14ac:dyDescent="0.35">
      <c r="D422" s="93"/>
      <c r="E422" s="112"/>
      <c r="F422" s="112"/>
      <c r="G422" s="112"/>
      <c r="H422" s="112"/>
    </row>
    <row r="423" spans="4:8" x14ac:dyDescent="0.35">
      <c r="D423" s="93"/>
      <c r="E423" s="112"/>
      <c r="F423" s="112"/>
      <c r="G423" s="112"/>
      <c r="H423" s="112"/>
    </row>
    <row r="424" spans="4:8" x14ac:dyDescent="0.35">
      <c r="D424" s="93"/>
      <c r="E424" s="112"/>
      <c r="F424" s="112"/>
      <c r="G424" s="112"/>
      <c r="H424" s="112"/>
    </row>
    <row r="425" spans="4:8" x14ac:dyDescent="0.35">
      <c r="D425" s="93"/>
      <c r="E425" s="112"/>
      <c r="F425" s="112"/>
      <c r="G425" s="112"/>
      <c r="H425" s="112"/>
    </row>
    <row r="426" spans="4:8" x14ac:dyDescent="0.35">
      <c r="D426" s="93"/>
      <c r="E426" s="112"/>
      <c r="F426" s="112"/>
      <c r="G426" s="112"/>
      <c r="H426" s="112"/>
    </row>
    <row r="427" spans="4:8" x14ac:dyDescent="0.35">
      <c r="D427" s="93"/>
      <c r="E427" s="112"/>
      <c r="F427" s="112"/>
      <c r="G427" s="112"/>
      <c r="H427" s="112"/>
    </row>
    <row r="428" spans="4:8" x14ac:dyDescent="0.35">
      <c r="D428" s="93"/>
      <c r="E428" s="112"/>
      <c r="F428" s="112"/>
      <c r="G428" s="112"/>
      <c r="H428" s="112"/>
    </row>
    <row r="429" spans="4:8" x14ac:dyDescent="0.35">
      <c r="D429" s="93"/>
      <c r="E429" s="112"/>
      <c r="F429" s="112"/>
      <c r="G429" s="112"/>
      <c r="H429" s="112"/>
    </row>
    <row r="430" spans="4:8" x14ac:dyDescent="0.35">
      <c r="D430" s="93"/>
      <c r="E430" s="112"/>
      <c r="F430" s="112"/>
      <c r="G430" s="112"/>
      <c r="H430" s="112"/>
    </row>
    <row r="431" spans="4:8" x14ac:dyDescent="0.35">
      <c r="D431" s="93"/>
      <c r="E431" s="112"/>
      <c r="F431" s="112"/>
      <c r="G431" s="112"/>
      <c r="H431" s="112"/>
    </row>
    <row r="432" spans="4:8" x14ac:dyDescent="0.35">
      <c r="D432" s="93"/>
      <c r="E432" s="112"/>
      <c r="F432" s="112"/>
      <c r="G432" s="112"/>
      <c r="H432" s="112"/>
    </row>
    <row r="433" spans="4:8" x14ac:dyDescent="0.35">
      <c r="D433" s="93"/>
      <c r="E433" s="112"/>
      <c r="F433" s="112"/>
      <c r="G433" s="112"/>
      <c r="H433" s="112"/>
    </row>
    <row r="434" spans="4:8" x14ac:dyDescent="0.35">
      <c r="D434" s="93"/>
      <c r="E434" s="112"/>
      <c r="F434" s="112"/>
      <c r="G434" s="112"/>
      <c r="H434" s="112"/>
    </row>
    <row r="435" spans="4:8" x14ac:dyDescent="0.35">
      <c r="D435" s="93"/>
      <c r="E435" s="112"/>
      <c r="F435" s="112"/>
      <c r="G435" s="112"/>
      <c r="H435" s="112"/>
    </row>
    <row r="436" spans="4:8" x14ac:dyDescent="0.35">
      <c r="D436" s="93"/>
      <c r="E436" s="112"/>
      <c r="F436" s="112"/>
      <c r="G436" s="112"/>
      <c r="H436" s="112"/>
    </row>
    <row r="437" spans="4:8" x14ac:dyDescent="0.35">
      <c r="D437" s="93"/>
      <c r="E437" s="112"/>
      <c r="F437" s="112"/>
      <c r="G437" s="112"/>
      <c r="H437" s="112"/>
    </row>
    <row r="438" spans="4:8" x14ac:dyDescent="0.35">
      <c r="D438" s="93"/>
      <c r="E438" s="112"/>
      <c r="F438" s="112"/>
      <c r="G438" s="112"/>
      <c r="H438" s="112"/>
    </row>
    <row r="439" spans="4:8" x14ac:dyDescent="0.35">
      <c r="D439" s="93"/>
      <c r="E439" s="112"/>
      <c r="F439" s="112"/>
      <c r="G439" s="112"/>
      <c r="H439" s="112"/>
    </row>
    <row r="440" spans="4:8" x14ac:dyDescent="0.35">
      <c r="D440" s="93"/>
      <c r="E440" s="112"/>
      <c r="F440" s="112"/>
      <c r="G440" s="112"/>
      <c r="H440" s="112"/>
    </row>
    <row r="441" spans="4:8" x14ac:dyDescent="0.35">
      <c r="D441" s="93"/>
      <c r="E441" s="112"/>
      <c r="F441" s="112"/>
      <c r="G441" s="112"/>
      <c r="H441" s="112"/>
    </row>
    <row r="442" spans="4:8" x14ac:dyDescent="0.35">
      <c r="D442" s="93"/>
      <c r="E442" s="112"/>
      <c r="F442" s="112"/>
      <c r="G442" s="112"/>
      <c r="H442" s="112"/>
    </row>
    <row r="443" spans="4:8" x14ac:dyDescent="0.35">
      <c r="D443" s="93"/>
      <c r="E443" s="112"/>
      <c r="F443" s="112"/>
      <c r="G443" s="112"/>
      <c r="H443" s="112"/>
    </row>
    <row r="444" spans="4:8" x14ac:dyDescent="0.35">
      <c r="D444" s="93"/>
      <c r="E444" s="112"/>
      <c r="F444" s="112"/>
      <c r="G444" s="112"/>
      <c r="H444" s="112"/>
    </row>
    <row r="445" spans="4:8" x14ac:dyDescent="0.35">
      <c r="D445" s="93"/>
      <c r="E445" s="112"/>
      <c r="F445" s="112"/>
      <c r="G445" s="112"/>
      <c r="H445" s="112"/>
    </row>
    <row r="446" spans="4:8" x14ac:dyDescent="0.35">
      <c r="D446" s="93"/>
      <c r="E446" s="112"/>
      <c r="F446" s="112"/>
      <c r="G446" s="112"/>
      <c r="H446" s="112"/>
    </row>
    <row r="447" spans="4:8" x14ac:dyDescent="0.35">
      <c r="D447" s="93"/>
      <c r="E447" s="112"/>
      <c r="F447" s="112"/>
      <c r="G447" s="112"/>
      <c r="H447" s="112"/>
    </row>
    <row r="448" spans="4:8" x14ac:dyDescent="0.35">
      <c r="D448" s="93"/>
      <c r="E448" s="112"/>
      <c r="F448" s="112"/>
      <c r="G448" s="112"/>
      <c r="H448" s="112"/>
    </row>
    <row r="449" spans="4:8" x14ac:dyDescent="0.35">
      <c r="D449" s="93"/>
      <c r="E449" s="112"/>
      <c r="F449" s="112"/>
      <c r="G449" s="112"/>
      <c r="H449" s="112"/>
    </row>
    <row r="450" spans="4:8" x14ac:dyDescent="0.35">
      <c r="D450" s="93"/>
      <c r="E450" s="112"/>
      <c r="F450" s="112"/>
      <c r="G450" s="112"/>
      <c r="H450" s="112"/>
    </row>
    <row r="451" spans="4:8" x14ac:dyDescent="0.35">
      <c r="D451" s="93"/>
      <c r="E451" s="112"/>
      <c r="F451" s="112"/>
      <c r="G451" s="112"/>
      <c r="H451" s="112"/>
    </row>
    <row r="452" spans="4:8" x14ac:dyDescent="0.35">
      <c r="D452" s="93"/>
      <c r="E452" s="112"/>
      <c r="F452" s="112"/>
      <c r="G452" s="112"/>
      <c r="H452" s="112"/>
    </row>
    <row r="453" spans="4:8" x14ac:dyDescent="0.35">
      <c r="D453" s="93"/>
      <c r="E453" s="112"/>
      <c r="F453" s="112"/>
      <c r="G453" s="112"/>
      <c r="H453" s="112"/>
    </row>
    <row r="454" spans="4:8" x14ac:dyDescent="0.35">
      <c r="D454" s="93"/>
      <c r="E454" s="112"/>
      <c r="F454" s="112"/>
      <c r="G454" s="112"/>
      <c r="H454" s="112"/>
    </row>
    <row r="455" spans="4:8" x14ac:dyDescent="0.35">
      <c r="D455" s="93"/>
      <c r="E455" s="112"/>
      <c r="F455" s="112"/>
      <c r="G455" s="112"/>
      <c r="H455" s="112"/>
    </row>
    <row r="456" spans="4:8" x14ac:dyDescent="0.35">
      <c r="D456" s="93"/>
      <c r="E456" s="112"/>
      <c r="F456" s="112"/>
      <c r="G456" s="112"/>
      <c r="H456" s="112"/>
    </row>
    <row r="457" spans="4:8" x14ac:dyDescent="0.35">
      <c r="D457" s="93"/>
      <c r="E457" s="112"/>
      <c r="F457" s="112"/>
      <c r="G457" s="112"/>
      <c r="H457" s="112"/>
    </row>
    <row r="458" spans="4:8" x14ac:dyDescent="0.35">
      <c r="D458" s="93"/>
      <c r="E458" s="112"/>
      <c r="F458" s="112"/>
      <c r="G458" s="112"/>
      <c r="H458" s="112"/>
    </row>
    <row r="459" spans="4:8" x14ac:dyDescent="0.35">
      <c r="D459" s="93"/>
      <c r="E459" s="112"/>
      <c r="F459" s="112"/>
      <c r="G459" s="112"/>
      <c r="H459" s="112"/>
    </row>
    <row r="460" spans="4:8" x14ac:dyDescent="0.35">
      <c r="D460" s="93"/>
      <c r="E460" s="112"/>
      <c r="F460" s="112"/>
      <c r="G460" s="112"/>
      <c r="H460" s="112"/>
    </row>
    <row r="461" spans="4:8" x14ac:dyDescent="0.35">
      <c r="D461" s="93"/>
      <c r="E461" s="112"/>
      <c r="F461" s="112"/>
      <c r="G461" s="112"/>
      <c r="H461" s="112"/>
    </row>
    <row r="462" spans="4:8" x14ac:dyDescent="0.35">
      <c r="D462" s="93"/>
      <c r="E462" s="112"/>
      <c r="F462" s="112"/>
      <c r="G462" s="112"/>
      <c r="H462" s="112"/>
    </row>
    <row r="463" spans="4:8" x14ac:dyDescent="0.35">
      <c r="D463" s="93"/>
      <c r="E463" s="112"/>
      <c r="F463" s="112"/>
      <c r="G463" s="112"/>
      <c r="H463" s="112"/>
    </row>
    <row r="464" spans="4:8" x14ac:dyDescent="0.35">
      <c r="D464" s="93"/>
      <c r="E464" s="112"/>
      <c r="F464" s="112"/>
      <c r="G464" s="112"/>
      <c r="H464" s="112"/>
    </row>
    <row r="465" spans="4:8" x14ac:dyDescent="0.35">
      <c r="D465" s="93"/>
      <c r="E465" s="112"/>
      <c r="F465" s="112"/>
      <c r="G465" s="112"/>
      <c r="H465" s="112"/>
    </row>
    <row r="466" spans="4:8" x14ac:dyDescent="0.35">
      <c r="D466" s="93"/>
      <c r="E466" s="112"/>
      <c r="F466" s="112"/>
      <c r="G466" s="112"/>
      <c r="H466" s="112"/>
    </row>
    <row r="467" spans="4:8" x14ac:dyDescent="0.35">
      <c r="D467" s="93"/>
      <c r="E467" s="112"/>
      <c r="F467" s="112"/>
      <c r="G467" s="112"/>
      <c r="H467" s="112"/>
    </row>
    <row r="468" spans="4:8" x14ac:dyDescent="0.35">
      <c r="D468" s="93"/>
      <c r="E468" s="112"/>
      <c r="F468" s="112"/>
      <c r="G468" s="112"/>
      <c r="H468" s="112"/>
    </row>
    <row r="469" spans="4:8" x14ac:dyDescent="0.35">
      <c r="D469" s="93"/>
      <c r="E469" s="112"/>
      <c r="F469" s="112"/>
      <c r="G469" s="112"/>
      <c r="H469" s="112"/>
    </row>
    <row r="470" spans="4:8" x14ac:dyDescent="0.35">
      <c r="D470" s="93"/>
      <c r="E470" s="112"/>
      <c r="F470" s="112"/>
      <c r="G470" s="112"/>
      <c r="H470" s="112"/>
    </row>
    <row r="471" spans="4:8" x14ac:dyDescent="0.35">
      <c r="D471" s="93"/>
      <c r="E471" s="112"/>
      <c r="F471" s="112"/>
      <c r="G471" s="112"/>
      <c r="H471" s="112"/>
    </row>
    <row r="472" spans="4:8" x14ac:dyDescent="0.35">
      <c r="D472" s="93"/>
      <c r="E472" s="112"/>
      <c r="F472" s="112"/>
      <c r="G472" s="112"/>
      <c r="H472" s="112"/>
    </row>
    <row r="473" spans="4:8" x14ac:dyDescent="0.35">
      <c r="D473" s="93"/>
      <c r="E473" s="112"/>
      <c r="F473" s="112"/>
      <c r="G473" s="112"/>
      <c r="H473" s="112"/>
    </row>
    <row r="474" spans="4:8" x14ac:dyDescent="0.35">
      <c r="D474" s="93"/>
      <c r="E474" s="112"/>
      <c r="F474" s="112"/>
      <c r="G474" s="112"/>
      <c r="H474" s="112"/>
    </row>
    <row r="475" spans="4:8" x14ac:dyDescent="0.35">
      <c r="D475" s="93"/>
      <c r="E475" s="112"/>
      <c r="F475" s="112"/>
      <c r="G475" s="112"/>
      <c r="H475" s="112"/>
    </row>
    <row r="476" spans="4:8" x14ac:dyDescent="0.35">
      <c r="D476" s="93"/>
      <c r="E476" s="112"/>
      <c r="F476" s="112"/>
      <c r="G476" s="112"/>
      <c r="H476" s="112"/>
    </row>
    <row r="477" spans="4:8" x14ac:dyDescent="0.35">
      <c r="D477" s="93"/>
      <c r="E477" s="112"/>
      <c r="F477" s="112"/>
      <c r="G477" s="112"/>
      <c r="H477" s="112"/>
    </row>
    <row r="478" spans="4:8" x14ac:dyDescent="0.35">
      <c r="D478" s="93"/>
      <c r="E478" s="112"/>
      <c r="F478" s="112"/>
      <c r="G478" s="112"/>
      <c r="H478" s="112"/>
    </row>
    <row r="479" spans="4:8" x14ac:dyDescent="0.35">
      <c r="D479" s="93"/>
      <c r="E479" s="112"/>
      <c r="F479" s="112"/>
      <c r="G479" s="112"/>
      <c r="H479" s="112"/>
    </row>
    <row r="480" spans="4:8" x14ac:dyDescent="0.35">
      <c r="D480" s="93"/>
      <c r="E480" s="112"/>
      <c r="F480" s="112"/>
      <c r="G480" s="112"/>
      <c r="H480" s="112"/>
    </row>
    <row r="481" spans="4:8" x14ac:dyDescent="0.35">
      <c r="D481" s="93"/>
      <c r="E481" s="112"/>
      <c r="F481" s="112"/>
      <c r="G481" s="112"/>
      <c r="H481" s="112"/>
    </row>
    <row r="482" spans="4:8" x14ac:dyDescent="0.35">
      <c r="D482" s="93"/>
      <c r="E482" s="112"/>
      <c r="F482" s="112"/>
      <c r="G482" s="112"/>
      <c r="H482" s="112"/>
    </row>
    <row r="483" spans="4:8" x14ac:dyDescent="0.35">
      <c r="D483" s="93"/>
      <c r="E483" s="112"/>
      <c r="F483" s="112"/>
      <c r="G483" s="112"/>
      <c r="H483" s="112"/>
    </row>
    <row r="484" spans="4:8" x14ac:dyDescent="0.35">
      <c r="D484" s="93"/>
      <c r="E484" s="112"/>
      <c r="F484" s="112"/>
      <c r="G484" s="112"/>
      <c r="H484" s="112"/>
    </row>
    <row r="485" spans="4:8" x14ac:dyDescent="0.35">
      <c r="D485" s="93"/>
      <c r="E485" s="112"/>
      <c r="F485" s="112"/>
      <c r="G485" s="112"/>
      <c r="H485" s="112"/>
    </row>
    <row r="486" spans="4:8" x14ac:dyDescent="0.35">
      <c r="D486" s="93"/>
      <c r="E486" s="112"/>
      <c r="F486" s="112"/>
      <c r="G486" s="112"/>
      <c r="H486" s="112"/>
    </row>
    <row r="487" spans="4:8" x14ac:dyDescent="0.35">
      <c r="D487" s="93"/>
      <c r="E487" s="112"/>
      <c r="F487" s="112"/>
      <c r="G487" s="112"/>
      <c r="H487" s="112"/>
    </row>
    <row r="488" spans="4:8" x14ac:dyDescent="0.35">
      <c r="D488" s="93"/>
      <c r="E488" s="112"/>
      <c r="F488" s="112"/>
      <c r="G488" s="112"/>
      <c r="H488" s="112"/>
    </row>
    <row r="489" spans="4:8" x14ac:dyDescent="0.35">
      <c r="D489" s="93"/>
      <c r="E489" s="112"/>
      <c r="F489" s="112"/>
      <c r="G489" s="112"/>
      <c r="H489" s="112"/>
    </row>
    <row r="490" spans="4:8" x14ac:dyDescent="0.35">
      <c r="D490" s="93"/>
      <c r="E490" s="112"/>
      <c r="F490" s="112"/>
      <c r="G490" s="112"/>
      <c r="H490" s="112"/>
    </row>
    <row r="491" spans="4:8" x14ac:dyDescent="0.35">
      <c r="D491" s="93"/>
      <c r="E491" s="112"/>
      <c r="F491" s="112"/>
      <c r="G491" s="112"/>
      <c r="H491" s="112"/>
    </row>
    <row r="492" spans="4:8" x14ac:dyDescent="0.35">
      <c r="D492" s="93"/>
      <c r="E492" s="112"/>
      <c r="F492" s="112"/>
      <c r="G492" s="112"/>
      <c r="H492" s="112"/>
    </row>
    <row r="493" spans="4:8" x14ac:dyDescent="0.35">
      <c r="D493" s="93"/>
      <c r="E493" s="112"/>
      <c r="F493" s="112"/>
      <c r="G493" s="112"/>
      <c r="H493" s="112"/>
    </row>
    <row r="494" spans="4:8" x14ac:dyDescent="0.35">
      <c r="D494" s="93"/>
      <c r="E494" s="112"/>
      <c r="F494" s="112"/>
      <c r="G494" s="112"/>
      <c r="H494" s="112"/>
    </row>
    <row r="495" spans="4:8" x14ac:dyDescent="0.35">
      <c r="D495" s="93"/>
      <c r="E495" s="112"/>
      <c r="F495" s="112"/>
      <c r="G495" s="112"/>
      <c r="H495" s="112"/>
    </row>
    <row r="496" spans="4:8" x14ac:dyDescent="0.35">
      <c r="D496" s="93"/>
      <c r="E496" s="112"/>
      <c r="F496" s="112"/>
      <c r="G496" s="112"/>
      <c r="H496" s="112"/>
    </row>
    <row r="497" spans="4:8" x14ac:dyDescent="0.35">
      <c r="D497" s="93"/>
      <c r="E497" s="112"/>
      <c r="F497" s="112"/>
      <c r="G497" s="112"/>
      <c r="H497" s="112"/>
    </row>
    <row r="498" spans="4:8" x14ac:dyDescent="0.35">
      <c r="D498" s="93"/>
      <c r="E498" s="112"/>
      <c r="F498" s="112"/>
      <c r="G498" s="112"/>
      <c r="H498" s="112"/>
    </row>
    <row r="499" spans="4:8" x14ac:dyDescent="0.35">
      <c r="D499" s="93"/>
      <c r="E499" s="112"/>
      <c r="F499" s="112"/>
      <c r="G499" s="112"/>
      <c r="H499" s="112"/>
    </row>
    <row r="500" spans="4:8" x14ac:dyDescent="0.35">
      <c r="D500" s="93"/>
      <c r="E500" s="112"/>
      <c r="F500" s="112"/>
      <c r="G500" s="112"/>
      <c r="H500" s="112"/>
    </row>
    <row r="501" spans="4:8" x14ac:dyDescent="0.35">
      <c r="D501" s="93"/>
      <c r="E501" s="112"/>
      <c r="F501" s="112"/>
      <c r="G501" s="112"/>
      <c r="H501" s="112"/>
    </row>
    <row r="502" spans="4:8" x14ac:dyDescent="0.35">
      <c r="D502" s="93"/>
      <c r="E502" s="112"/>
      <c r="F502" s="112"/>
      <c r="G502" s="112"/>
      <c r="H502" s="112"/>
    </row>
    <row r="503" spans="4:8" x14ac:dyDescent="0.35">
      <c r="D503" s="93"/>
      <c r="E503" s="112"/>
      <c r="F503" s="112"/>
      <c r="G503" s="112"/>
      <c r="H503" s="112"/>
    </row>
    <row r="504" spans="4:8" x14ac:dyDescent="0.35">
      <c r="D504" s="93"/>
      <c r="E504" s="112"/>
      <c r="F504" s="112"/>
      <c r="G504" s="112"/>
      <c r="H504" s="112"/>
    </row>
    <row r="505" spans="4:8" x14ac:dyDescent="0.35">
      <c r="D505" s="93"/>
      <c r="E505" s="112"/>
      <c r="F505" s="112"/>
      <c r="G505" s="112"/>
      <c r="H505" s="112"/>
    </row>
    <row r="506" spans="4:8" x14ac:dyDescent="0.35">
      <c r="D506" s="93"/>
      <c r="E506" s="112"/>
      <c r="F506" s="112"/>
      <c r="G506" s="112"/>
      <c r="H506" s="112"/>
    </row>
    <row r="507" spans="4:8" x14ac:dyDescent="0.35">
      <c r="D507" s="93"/>
      <c r="E507" s="112"/>
      <c r="F507" s="112"/>
      <c r="G507" s="112"/>
      <c r="H507" s="112"/>
    </row>
    <row r="508" spans="4:8" x14ac:dyDescent="0.35">
      <c r="D508" s="93"/>
      <c r="E508" s="112"/>
      <c r="F508" s="112"/>
      <c r="G508" s="112"/>
      <c r="H508" s="112"/>
    </row>
    <row r="509" spans="4:8" x14ac:dyDescent="0.35">
      <c r="D509" s="93"/>
      <c r="E509" s="112"/>
      <c r="F509" s="112"/>
      <c r="G509" s="112"/>
      <c r="H509" s="112"/>
    </row>
    <row r="510" spans="4:8" x14ac:dyDescent="0.35">
      <c r="D510" s="93"/>
      <c r="E510" s="112"/>
      <c r="F510" s="112"/>
      <c r="G510" s="112"/>
      <c r="H510" s="112"/>
    </row>
    <row r="511" spans="4:8" x14ac:dyDescent="0.35">
      <c r="D511" s="93"/>
      <c r="E511" s="112"/>
      <c r="F511" s="112"/>
      <c r="G511" s="112"/>
      <c r="H511" s="112"/>
    </row>
    <row r="512" spans="4:8" x14ac:dyDescent="0.35">
      <c r="D512" s="93"/>
      <c r="E512" s="112"/>
      <c r="F512" s="112"/>
      <c r="G512" s="112"/>
      <c r="H512" s="112"/>
    </row>
    <row r="513" spans="4:8" x14ac:dyDescent="0.35">
      <c r="D513" s="93"/>
      <c r="E513" s="112"/>
      <c r="F513" s="112"/>
      <c r="G513" s="112"/>
      <c r="H513" s="112"/>
    </row>
    <row r="514" spans="4:8" x14ac:dyDescent="0.35">
      <c r="D514" s="93"/>
      <c r="E514" s="112"/>
      <c r="F514" s="112"/>
      <c r="G514" s="112"/>
      <c r="H514" s="112"/>
    </row>
    <row r="515" spans="4:8" x14ac:dyDescent="0.35">
      <c r="D515" s="93"/>
      <c r="E515" s="112"/>
      <c r="F515" s="112"/>
      <c r="G515" s="112"/>
      <c r="H515" s="112"/>
    </row>
    <row r="516" spans="4:8" x14ac:dyDescent="0.35">
      <c r="D516" s="93"/>
      <c r="E516" s="112"/>
      <c r="F516" s="112"/>
      <c r="G516" s="112"/>
      <c r="H516" s="112"/>
    </row>
    <row r="517" spans="4:8" x14ac:dyDescent="0.35">
      <c r="D517" s="93"/>
      <c r="E517" s="112"/>
      <c r="F517" s="112"/>
      <c r="G517" s="112"/>
      <c r="H517" s="112"/>
    </row>
    <row r="518" spans="4:8" x14ac:dyDescent="0.35">
      <c r="D518" s="93"/>
      <c r="E518" s="112"/>
      <c r="F518" s="112"/>
      <c r="G518" s="112"/>
      <c r="H518" s="112"/>
    </row>
    <row r="519" spans="4:8" x14ac:dyDescent="0.35">
      <c r="D519" s="93"/>
      <c r="E519" s="112"/>
      <c r="F519" s="112"/>
      <c r="G519" s="112"/>
      <c r="H519" s="112"/>
    </row>
    <row r="520" spans="4:8" x14ac:dyDescent="0.35">
      <c r="D520" s="93"/>
      <c r="E520" s="112"/>
      <c r="F520" s="112"/>
      <c r="G520" s="112"/>
      <c r="H520" s="112"/>
    </row>
    <row r="521" spans="4:8" x14ac:dyDescent="0.35">
      <c r="D521" s="93"/>
      <c r="E521" s="112"/>
      <c r="F521" s="112"/>
      <c r="G521" s="112"/>
      <c r="H521" s="112"/>
    </row>
    <row r="522" spans="4:8" x14ac:dyDescent="0.35">
      <c r="D522" s="93"/>
      <c r="E522" s="112"/>
      <c r="F522" s="112"/>
      <c r="G522" s="112"/>
      <c r="H522" s="112"/>
    </row>
    <row r="523" spans="4:8" x14ac:dyDescent="0.35">
      <c r="D523" s="93"/>
      <c r="E523" s="112"/>
      <c r="F523" s="112"/>
      <c r="G523" s="112"/>
      <c r="H523" s="112"/>
    </row>
    <row r="524" spans="4:8" x14ac:dyDescent="0.35">
      <c r="D524" s="93"/>
      <c r="E524" s="112"/>
      <c r="F524" s="112"/>
      <c r="G524" s="112"/>
      <c r="H524" s="112"/>
    </row>
    <row r="525" spans="4:8" x14ac:dyDescent="0.35">
      <c r="D525" s="93"/>
      <c r="E525" s="112"/>
      <c r="F525" s="112"/>
      <c r="G525" s="112"/>
      <c r="H525" s="112"/>
    </row>
    <row r="526" spans="4:8" x14ac:dyDescent="0.35">
      <c r="D526" s="93"/>
      <c r="E526" s="112"/>
      <c r="F526" s="112"/>
      <c r="G526" s="112"/>
      <c r="H526" s="112"/>
    </row>
    <row r="527" spans="4:8" x14ac:dyDescent="0.35">
      <c r="D527" s="93"/>
      <c r="E527" s="112"/>
      <c r="F527" s="112"/>
      <c r="G527" s="112"/>
      <c r="H527" s="112"/>
    </row>
    <row r="528" spans="4:8" x14ac:dyDescent="0.35">
      <c r="D528" s="93"/>
      <c r="E528" s="112"/>
      <c r="F528" s="112"/>
      <c r="G528" s="112"/>
      <c r="H528" s="112"/>
    </row>
    <row r="529" spans="4:8" x14ac:dyDescent="0.35">
      <c r="D529" s="93"/>
      <c r="E529" s="112"/>
      <c r="F529" s="112"/>
      <c r="G529" s="112"/>
      <c r="H529" s="112"/>
    </row>
    <row r="530" spans="4:8" x14ac:dyDescent="0.35">
      <c r="D530" s="93"/>
      <c r="E530" s="112"/>
      <c r="F530" s="112"/>
      <c r="G530" s="112"/>
      <c r="H530" s="112"/>
    </row>
    <row r="531" spans="4:8" x14ac:dyDescent="0.35">
      <c r="D531" s="93"/>
      <c r="E531" s="112"/>
      <c r="F531" s="112"/>
      <c r="G531" s="112"/>
      <c r="H531" s="112"/>
    </row>
    <row r="532" spans="4:8" x14ac:dyDescent="0.35">
      <c r="D532" s="93"/>
      <c r="E532" s="112"/>
      <c r="F532" s="112"/>
      <c r="G532" s="112"/>
      <c r="H532" s="112"/>
    </row>
    <row r="533" spans="4:8" x14ac:dyDescent="0.35">
      <c r="D533" s="93"/>
      <c r="E533" s="112"/>
      <c r="F533" s="112"/>
      <c r="G533" s="112"/>
      <c r="H533" s="112"/>
    </row>
    <row r="534" spans="4:8" x14ac:dyDescent="0.35">
      <c r="D534" s="93"/>
      <c r="E534" s="112"/>
      <c r="F534" s="112"/>
      <c r="G534" s="112"/>
      <c r="H534" s="112"/>
    </row>
    <row r="535" spans="4:8" x14ac:dyDescent="0.35">
      <c r="D535" s="93"/>
      <c r="E535" s="112"/>
      <c r="F535" s="112"/>
      <c r="G535" s="112"/>
      <c r="H535" s="112"/>
    </row>
    <row r="536" spans="4:8" x14ac:dyDescent="0.35">
      <c r="D536" s="93"/>
      <c r="E536" s="112"/>
      <c r="F536" s="112"/>
      <c r="G536" s="112"/>
      <c r="H536" s="112"/>
    </row>
    <row r="537" spans="4:8" x14ac:dyDescent="0.35">
      <c r="D537" s="93"/>
      <c r="E537" s="112"/>
      <c r="F537" s="112"/>
      <c r="G537" s="112"/>
      <c r="H537" s="112"/>
    </row>
    <row r="538" spans="4:8" x14ac:dyDescent="0.35">
      <c r="D538" s="93"/>
      <c r="E538" s="112"/>
      <c r="F538" s="112"/>
      <c r="G538" s="112"/>
      <c r="H538" s="112"/>
    </row>
    <row r="539" spans="4:8" x14ac:dyDescent="0.35">
      <c r="D539" s="93"/>
      <c r="E539" s="112"/>
      <c r="F539" s="112"/>
      <c r="G539" s="112"/>
      <c r="H539" s="112"/>
    </row>
    <row r="540" spans="4:8" x14ac:dyDescent="0.35">
      <c r="D540" s="93"/>
      <c r="E540" s="112"/>
      <c r="F540" s="112"/>
      <c r="G540" s="112"/>
      <c r="H540" s="112"/>
    </row>
    <row r="541" spans="4:8" x14ac:dyDescent="0.35">
      <c r="D541" s="93"/>
      <c r="E541" s="112"/>
      <c r="F541" s="112"/>
      <c r="G541" s="112"/>
      <c r="H541" s="112"/>
    </row>
    <row r="542" spans="4:8" x14ac:dyDescent="0.35">
      <c r="D542" s="93"/>
      <c r="E542" s="112"/>
      <c r="F542" s="112"/>
      <c r="G542" s="112"/>
      <c r="H542" s="112"/>
    </row>
    <row r="543" spans="4:8" x14ac:dyDescent="0.35">
      <c r="D543" s="93"/>
      <c r="E543" s="112"/>
      <c r="F543" s="112"/>
      <c r="G543" s="112"/>
      <c r="H543" s="112"/>
    </row>
    <row r="544" spans="4:8" x14ac:dyDescent="0.35">
      <c r="D544" s="93"/>
      <c r="E544" s="112"/>
      <c r="F544" s="112"/>
      <c r="G544" s="112"/>
      <c r="H544" s="112"/>
    </row>
    <row r="545" spans="4:8" x14ac:dyDescent="0.35">
      <c r="D545" s="93"/>
      <c r="E545" s="112"/>
      <c r="F545" s="112"/>
      <c r="G545" s="112"/>
      <c r="H545" s="112"/>
    </row>
    <row r="546" spans="4:8" x14ac:dyDescent="0.35">
      <c r="D546" s="93"/>
      <c r="E546" s="112"/>
      <c r="F546" s="112"/>
      <c r="G546" s="112"/>
      <c r="H546" s="112"/>
    </row>
    <row r="547" spans="4:8" x14ac:dyDescent="0.35">
      <c r="D547" s="93"/>
      <c r="E547" s="112"/>
      <c r="F547" s="112"/>
      <c r="G547" s="112"/>
      <c r="H547" s="112"/>
    </row>
    <row r="548" spans="4:8" x14ac:dyDescent="0.35">
      <c r="D548" s="93"/>
      <c r="E548" s="112"/>
      <c r="F548" s="112"/>
      <c r="G548" s="112"/>
      <c r="H548" s="112"/>
    </row>
    <row r="549" spans="4:8" x14ac:dyDescent="0.35">
      <c r="D549" s="93"/>
      <c r="E549" s="112"/>
      <c r="F549" s="112"/>
      <c r="G549" s="112"/>
      <c r="H549" s="112"/>
    </row>
    <row r="550" spans="4:8" x14ac:dyDescent="0.35">
      <c r="D550" s="93"/>
      <c r="E550" s="112"/>
      <c r="F550" s="112"/>
      <c r="G550" s="112"/>
      <c r="H550" s="112"/>
    </row>
    <row r="551" spans="4:8" x14ac:dyDescent="0.35">
      <c r="D551" s="93"/>
      <c r="E551" s="112"/>
      <c r="F551" s="112"/>
      <c r="G551" s="112"/>
      <c r="H551" s="112"/>
    </row>
    <row r="552" spans="4:8" x14ac:dyDescent="0.35">
      <c r="D552" s="93"/>
      <c r="E552" s="112"/>
      <c r="F552" s="112"/>
      <c r="G552" s="112"/>
      <c r="H552" s="112"/>
    </row>
    <row r="553" spans="4:8" x14ac:dyDescent="0.35">
      <c r="D553" s="93"/>
      <c r="E553" s="112"/>
      <c r="F553" s="112"/>
      <c r="G553" s="112"/>
      <c r="H553" s="112"/>
    </row>
    <row r="554" spans="4:8" x14ac:dyDescent="0.35">
      <c r="D554" s="93"/>
      <c r="E554" s="112"/>
      <c r="F554" s="112"/>
      <c r="G554" s="112"/>
      <c r="H554" s="112"/>
    </row>
    <row r="555" spans="4:8" x14ac:dyDescent="0.35">
      <c r="D555" s="93"/>
      <c r="E555" s="112"/>
      <c r="F555" s="112"/>
      <c r="G555" s="112"/>
      <c r="H555" s="112"/>
    </row>
    <row r="556" spans="4:8" x14ac:dyDescent="0.35">
      <c r="D556" s="93"/>
      <c r="E556" s="112"/>
      <c r="F556" s="112"/>
      <c r="G556" s="112"/>
      <c r="H556" s="112"/>
    </row>
    <row r="557" spans="4:8" x14ac:dyDescent="0.35">
      <c r="D557" s="93"/>
      <c r="E557" s="112"/>
      <c r="F557" s="112"/>
      <c r="G557" s="112"/>
      <c r="H557" s="112"/>
    </row>
    <row r="558" spans="4:8" x14ac:dyDescent="0.35">
      <c r="D558" s="93"/>
      <c r="E558" s="112"/>
      <c r="F558" s="112"/>
      <c r="G558" s="112"/>
      <c r="H558" s="112"/>
    </row>
    <row r="559" spans="4:8" x14ac:dyDescent="0.35">
      <c r="D559" s="93"/>
      <c r="E559" s="112"/>
      <c r="F559" s="112"/>
      <c r="G559" s="112"/>
      <c r="H559" s="112"/>
    </row>
    <row r="560" spans="4:8" x14ac:dyDescent="0.35">
      <c r="D560" s="93"/>
      <c r="E560" s="112"/>
      <c r="F560" s="112"/>
      <c r="G560" s="112"/>
      <c r="H560" s="112"/>
    </row>
    <row r="561" spans="4:8" x14ac:dyDescent="0.35">
      <c r="D561" s="93"/>
      <c r="E561" s="112"/>
      <c r="F561" s="112"/>
      <c r="G561" s="112"/>
      <c r="H561" s="112"/>
    </row>
    <row r="562" spans="4:8" x14ac:dyDescent="0.35">
      <c r="D562" s="93"/>
      <c r="E562" s="112"/>
      <c r="F562" s="112"/>
      <c r="G562" s="112"/>
      <c r="H562" s="112"/>
    </row>
    <row r="563" spans="4:8" x14ac:dyDescent="0.35">
      <c r="D563" s="93"/>
      <c r="E563" s="112"/>
      <c r="F563" s="112"/>
      <c r="G563" s="112"/>
      <c r="H563" s="112"/>
    </row>
    <row r="564" spans="4:8" x14ac:dyDescent="0.35">
      <c r="D564" s="93"/>
      <c r="E564" s="112"/>
      <c r="F564" s="112"/>
      <c r="G564" s="112"/>
      <c r="H564" s="112"/>
    </row>
    <row r="565" spans="4:8" x14ac:dyDescent="0.35">
      <c r="D565" s="93"/>
      <c r="E565" s="112"/>
      <c r="F565" s="112"/>
      <c r="G565" s="112"/>
      <c r="H565" s="112"/>
    </row>
    <row r="566" spans="4:8" x14ac:dyDescent="0.35">
      <c r="D566" s="93"/>
      <c r="E566" s="112"/>
      <c r="F566" s="112"/>
      <c r="G566" s="112"/>
      <c r="H566" s="112"/>
    </row>
    <row r="567" spans="4:8" x14ac:dyDescent="0.35">
      <c r="D567" s="93"/>
      <c r="E567" s="112"/>
      <c r="F567" s="112"/>
      <c r="G567" s="112"/>
      <c r="H567" s="112"/>
    </row>
    <row r="568" spans="4:8" x14ac:dyDescent="0.35">
      <c r="D568" s="93"/>
      <c r="E568" s="112"/>
      <c r="F568" s="112"/>
      <c r="G568" s="112"/>
      <c r="H568" s="112"/>
    </row>
    <row r="569" spans="4:8" x14ac:dyDescent="0.35">
      <c r="D569" s="93"/>
      <c r="E569" s="112"/>
      <c r="F569" s="112"/>
      <c r="G569" s="112"/>
      <c r="H569" s="112"/>
    </row>
    <row r="570" spans="4:8" x14ac:dyDescent="0.35">
      <c r="D570" s="93"/>
      <c r="E570" s="112"/>
      <c r="F570" s="112"/>
      <c r="G570" s="112"/>
      <c r="H570" s="112"/>
    </row>
    <row r="571" spans="4:8" x14ac:dyDescent="0.35">
      <c r="D571" s="93"/>
      <c r="E571" s="112"/>
      <c r="F571" s="112"/>
      <c r="G571" s="112"/>
      <c r="H571" s="112"/>
    </row>
    <row r="572" spans="4:8" x14ac:dyDescent="0.35">
      <c r="D572" s="93"/>
      <c r="E572" s="112"/>
      <c r="F572" s="112"/>
      <c r="G572" s="112"/>
      <c r="H572" s="112"/>
    </row>
    <row r="573" spans="4:8" x14ac:dyDescent="0.35">
      <c r="D573" s="93"/>
      <c r="E573" s="112"/>
      <c r="F573" s="112"/>
      <c r="G573" s="112"/>
      <c r="H573" s="112"/>
    </row>
    <row r="574" spans="4:8" x14ac:dyDescent="0.35">
      <c r="D574" s="93"/>
      <c r="E574" s="112"/>
      <c r="F574" s="112"/>
      <c r="G574" s="112"/>
      <c r="H574" s="112"/>
    </row>
    <row r="575" spans="4:8" x14ac:dyDescent="0.35">
      <c r="D575" s="93"/>
      <c r="E575" s="112"/>
      <c r="F575" s="112"/>
      <c r="G575" s="112"/>
      <c r="H575" s="112"/>
    </row>
    <row r="576" spans="4:8" x14ac:dyDescent="0.35">
      <c r="D576" s="93"/>
      <c r="E576" s="112"/>
      <c r="F576" s="112"/>
      <c r="G576" s="112"/>
      <c r="H576" s="112"/>
    </row>
    <row r="577" spans="4:8" x14ac:dyDescent="0.35">
      <c r="D577" s="93"/>
      <c r="E577" s="112"/>
      <c r="F577" s="112"/>
      <c r="G577" s="112"/>
      <c r="H577" s="112"/>
    </row>
    <row r="578" spans="4:8" x14ac:dyDescent="0.35">
      <c r="D578" s="93"/>
      <c r="E578" s="112"/>
      <c r="F578" s="112"/>
      <c r="G578" s="112"/>
      <c r="H578" s="112"/>
    </row>
    <row r="579" spans="4:8" x14ac:dyDescent="0.35">
      <c r="D579" s="93"/>
      <c r="E579" s="112"/>
      <c r="F579" s="112"/>
      <c r="G579" s="112"/>
      <c r="H579" s="112"/>
    </row>
    <row r="580" spans="4:8" x14ac:dyDescent="0.35">
      <c r="D580" s="93"/>
      <c r="E580" s="112"/>
      <c r="F580" s="112"/>
      <c r="G580" s="112"/>
      <c r="H580" s="112"/>
    </row>
    <row r="581" spans="4:8" x14ac:dyDescent="0.35">
      <c r="D581" s="93"/>
      <c r="E581" s="112"/>
      <c r="F581" s="112"/>
      <c r="G581" s="112"/>
      <c r="H581" s="112"/>
    </row>
    <row r="582" spans="4:8" x14ac:dyDescent="0.35">
      <c r="D582" s="93"/>
      <c r="E582" s="112"/>
      <c r="F582" s="112"/>
      <c r="G582" s="112"/>
      <c r="H582" s="112"/>
    </row>
    <row r="583" spans="4:8" x14ac:dyDescent="0.35">
      <c r="D583" s="93"/>
      <c r="E583" s="112"/>
      <c r="F583" s="112"/>
      <c r="G583" s="112"/>
      <c r="H583" s="112"/>
    </row>
    <row r="584" spans="4:8" x14ac:dyDescent="0.35">
      <c r="D584" s="93"/>
      <c r="E584" s="112"/>
      <c r="F584" s="112"/>
      <c r="G584" s="112"/>
      <c r="H584" s="112"/>
    </row>
    <row r="585" spans="4:8" x14ac:dyDescent="0.35">
      <c r="D585" s="93"/>
      <c r="E585" s="112"/>
      <c r="F585" s="112"/>
      <c r="G585" s="112"/>
      <c r="H585" s="112"/>
    </row>
    <row r="586" spans="4:8" x14ac:dyDescent="0.35">
      <c r="D586" s="93"/>
      <c r="E586" s="112"/>
      <c r="F586" s="112"/>
      <c r="G586" s="112"/>
      <c r="H586" s="112"/>
    </row>
    <row r="587" spans="4:8" x14ac:dyDescent="0.35">
      <c r="D587" s="93"/>
      <c r="E587" s="112"/>
      <c r="F587" s="112"/>
      <c r="G587" s="112"/>
      <c r="H587" s="112"/>
    </row>
    <row r="588" spans="4:8" x14ac:dyDescent="0.35">
      <c r="D588" s="93"/>
      <c r="E588" s="112"/>
      <c r="F588" s="112"/>
      <c r="G588" s="112"/>
      <c r="H588" s="112"/>
    </row>
    <row r="589" spans="4:8" x14ac:dyDescent="0.35">
      <c r="D589" s="93"/>
      <c r="E589" s="112"/>
      <c r="F589" s="112"/>
      <c r="G589" s="112"/>
      <c r="H589" s="112"/>
    </row>
    <row r="590" spans="4:8" x14ac:dyDescent="0.35">
      <c r="D590" s="93"/>
      <c r="E590" s="112"/>
      <c r="F590" s="112"/>
      <c r="G590" s="112"/>
      <c r="H590" s="112"/>
    </row>
    <row r="591" spans="4:8" x14ac:dyDescent="0.35">
      <c r="D591" s="93"/>
      <c r="E591" s="112"/>
      <c r="F591" s="112"/>
      <c r="G591" s="112"/>
      <c r="H591" s="112"/>
    </row>
    <row r="592" spans="4:8" x14ac:dyDescent="0.35">
      <c r="D592" s="93"/>
      <c r="E592" s="112"/>
      <c r="F592" s="112"/>
      <c r="G592" s="112"/>
      <c r="H592" s="112"/>
    </row>
    <row r="593" spans="4:8" x14ac:dyDescent="0.35">
      <c r="D593" s="93"/>
      <c r="E593" s="112"/>
      <c r="F593" s="112"/>
      <c r="G593" s="112"/>
      <c r="H593" s="112"/>
    </row>
    <row r="594" spans="4:8" x14ac:dyDescent="0.35">
      <c r="D594" s="93"/>
      <c r="E594" s="112"/>
      <c r="F594" s="112"/>
      <c r="G594" s="112"/>
      <c r="H594" s="112"/>
    </row>
    <row r="595" spans="4:8" x14ac:dyDescent="0.35">
      <c r="D595" s="93"/>
      <c r="E595" s="112"/>
      <c r="F595" s="112"/>
      <c r="G595" s="112"/>
      <c r="H595" s="112"/>
    </row>
    <row r="596" spans="4:8" x14ac:dyDescent="0.35">
      <c r="D596" s="93"/>
      <c r="E596" s="112"/>
      <c r="F596" s="112"/>
      <c r="G596" s="112"/>
      <c r="H596" s="112"/>
    </row>
    <row r="597" spans="4:8" x14ac:dyDescent="0.35">
      <c r="D597" s="93"/>
      <c r="E597" s="112"/>
      <c r="F597" s="112"/>
      <c r="G597" s="112"/>
      <c r="H597" s="112"/>
    </row>
    <row r="598" spans="4:8" x14ac:dyDescent="0.35">
      <c r="D598" s="93"/>
      <c r="E598" s="112"/>
      <c r="F598" s="112"/>
      <c r="G598" s="112"/>
      <c r="H598" s="112"/>
    </row>
    <row r="599" spans="4:8" x14ac:dyDescent="0.35">
      <c r="D599" s="93"/>
      <c r="E599" s="112"/>
      <c r="F599" s="112"/>
      <c r="G599" s="112"/>
      <c r="H599" s="112"/>
    </row>
    <row r="600" spans="4:8" x14ac:dyDescent="0.35">
      <c r="D600" s="93"/>
      <c r="E600" s="112"/>
      <c r="F600" s="112"/>
      <c r="G600" s="112"/>
      <c r="H600" s="112"/>
    </row>
    <row r="601" spans="4:8" x14ac:dyDescent="0.35">
      <c r="D601" s="93"/>
      <c r="E601" s="112"/>
      <c r="F601" s="112"/>
      <c r="G601" s="112"/>
      <c r="H601" s="112"/>
    </row>
    <row r="602" spans="4:8" x14ac:dyDescent="0.35">
      <c r="D602" s="93"/>
      <c r="E602" s="112"/>
      <c r="F602" s="112"/>
      <c r="G602" s="112"/>
      <c r="H602" s="112"/>
    </row>
    <row r="603" spans="4:8" x14ac:dyDescent="0.35">
      <c r="D603" s="93"/>
      <c r="E603" s="112"/>
      <c r="F603" s="112"/>
      <c r="G603" s="112"/>
      <c r="H603" s="112"/>
    </row>
    <row r="604" spans="4:8" x14ac:dyDescent="0.35">
      <c r="D604" s="93"/>
      <c r="E604" s="112"/>
      <c r="F604" s="112"/>
      <c r="G604" s="112"/>
      <c r="H604" s="112"/>
    </row>
    <row r="605" spans="4:8" x14ac:dyDescent="0.35">
      <c r="D605" s="93"/>
      <c r="E605" s="112"/>
      <c r="F605" s="112"/>
      <c r="G605" s="112"/>
      <c r="H605" s="112"/>
    </row>
    <row r="606" spans="4:8" x14ac:dyDescent="0.35">
      <c r="D606" s="93"/>
      <c r="E606" s="112"/>
      <c r="F606" s="112"/>
      <c r="G606" s="112"/>
      <c r="H606" s="112"/>
    </row>
    <row r="607" spans="4:8" x14ac:dyDescent="0.35">
      <c r="D607" s="93"/>
      <c r="E607" s="112"/>
      <c r="F607" s="112"/>
      <c r="G607" s="112"/>
      <c r="H607" s="112"/>
    </row>
    <row r="608" spans="4:8" x14ac:dyDescent="0.35">
      <c r="D608" s="93"/>
      <c r="E608" s="112"/>
      <c r="F608" s="112"/>
      <c r="G608" s="112"/>
      <c r="H608" s="112"/>
    </row>
    <row r="609" spans="4:8" x14ac:dyDescent="0.35">
      <c r="D609" s="93"/>
      <c r="E609" s="112"/>
      <c r="F609" s="112"/>
      <c r="G609" s="112"/>
      <c r="H609" s="112"/>
    </row>
    <row r="610" spans="4:8" x14ac:dyDescent="0.35">
      <c r="D610" s="93"/>
      <c r="E610" s="112"/>
      <c r="F610" s="112"/>
      <c r="G610" s="112"/>
      <c r="H610" s="112"/>
    </row>
    <row r="611" spans="4:8" x14ac:dyDescent="0.35">
      <c r="D611" s="93"/>
      <c r="E611" s="112"/>
      <c r="F611" s="112"/>
      <c r="G611" s="112"/>
      <c r="H611" s="112"/>
    </row>
    <row r="612" spans="4:8" x14ac:dyDescent="0.35">
      <c r="D612" s="93"/>
      <c r="E612" s="112"/>
      <c r="F612" s="112"/>
      <c r="G612" s="112"/>
      <c r="H612" s="112"/>
    </row>
    <row r="613" spans="4:8" x14ac:dyDescent="0.35">
      <c r="D613" s="93"/>
      <c r="E613" s="112"/>
      <c r="F613" s="112"/>
      <c r="G613" s="112"/>
      <c r="H613" s="112"/>
    </row>
    <row r="614" spans="4:8" x14ac:dyDescent="0.35">
      <c r="D614" s="93"/>
      <c r="E614" s="112"/>
      <c r="F614" s="112"/>
      <c r="G614" s="112"/>
      <c r="H614" s="112"/>
    </row>
    <row r="615" spans="4:8" x14ac:dyDescent="0.35">
      <c r="D615" s="93"/>
      <c r="E615" s="112"/>
      <c r="F615" s="112"/>
      <c r="G615" s="112"/>
      <c r="H615" s="112"/>
    </row>
    <row r="616" spans="4:8" x14ac:dyDescent="0.35">
      <c r="D616" s="93"/>
      <c r="E616" s="112"/>
      <c r="F616" s="112"/>
      <c r="G616" s="112"/>
      <c r="H616" s="112"/>
    </row>
    <row r="617" spans="4:8" x14ac:dyDescent="0.35">
      <c r="D617" s="93"/>
      <c r="E617" s="112"/>
      <c r="F617" s="112"/>
      <c r="G617" s="112"/>
      <c r="H617" s="112"/>
    </row>
    <row r="618" spans="4:8" x14ac:dyDescent="0.35">
      <c r="D618" s="93"/>
      <c r="E618" s="112"/>
      <c r="F618" s="112"/>
      <c r="G618" s="112"/>
      <c r="H618" s="112"/>
    </row>
    <row r="619" spans="4:8" x14ac:dyDescent="0.35">
      <c r="D619" s="93"/>
      <c r="E619" s="112"/>
      <c r="F619" s="112"/>
      <c r="G619" s="112"/>
      <c r="H619" s="112"/>
    </row>
    <row r="620" spans="4:8" x14ac:dyDescent="0.35">
      <c r="D620" s="93"/>
      <c r="E620" s="112"/>
      <c r="F620" s="112"/>
      <c r="G620" s="112"/>
      <c r="H620" s="112"/>
    </row>
    <row r="621" spans="4:8" x14ac:dyDescent="0.35">
      <c r="D621" s="93"/>
      <c r="E621" s="112"/>
      <c r="F621" s="112"/>
      <c r="G621" s="112"/>
      <c r="H621" s="112"/>
    </row>
    <row r="622" spans="4:8" x14ac:dyDescent="0.35">
      <c r="D622" s="93"/>
      <c r="E622" s="112"/>
      <c r="F622" s="112"/>
      <c r="G622" s="112"/>
      <c r="H622" s="112"/>
    </row>
    <row r="623" spans="4:8" x14ac:dyDescent="0.35">
      <c r="D623" s="93"/>
      <c r="E623" s="112"/>
      <c r="F623" s="112"/>
      <c r="G623" s="112"/>
      <c r="H623" s="112"/>
    </row>
    <row r="624" spans="4:8" x14ac:dyDescent="0.35">
      <c r="D624" s="93"/>
      <c r="E624" s="112"/>
      <c r="F624" s="112"/>
      <c r="G624" s="112"/>
      <c r="H624" s="112"/>
    </row>
    <row r="625" spans="4:8" x14ac:dyDescent="0.35">
      <c r="D625" s="93"/>
      <c r="E625" s="112"/>
      <c r="F625" s="112"/>
      <c r="G625" s="112"/>
      <c r="H625" s="112"/>
    </row>
    <row r="626" spans="4:8" x14ac:dyDescent="0.35">
      <c r="D626" s="93"/>
      <c r="E626" s="112"/>
      <c r="F626" s="112"/>
      <c r="G626" s="112"/>
      <c r="H626" s="112"/>
    </row>
    <row r="627" spans="4:8" x14ac:dyDescent="0.35">
      <c r="D627" s="93"/>
      <c r="E627" s="112"/>
      <c r="F627" s="112"/>
      <c r="G627" s="112"/>
      <c r="H627" s="112"/>
    </row>
    <row r="628" spans="4:8" x14ac:dyDescent="0.35">
      <c r="D628" s="93"/>
      <c r="E628" s="112"/>
      <c r="F628" s="112"/>
      <c r="G628" s="112"/>
      <c r="H628" s="112"/>
    </row>
    <row r="629" spans="4:8" x14ac:dyDescent="0.35">
      <c r="D629" s="93"/>
      <c r="E629" s="112"/>
      <c r="F629" s="112"/>
      <c r="G629" s="112"/>
      <c r="H629" s="112"/>
    </row>
    <row r="630" spans="4:8" x14ac:dyDescent="0.35">
      <c r="D630" s="93"/>
      <c r="E630" s="112"/>
      <c r="F630" s="112"/>
      <c r="G630" s="112"/>
      <c r="H630" s="112"/>
    </row>
    <row r="631" spans="4:8" x14ac:dyDescent="0.35">
      <c r="D631" s="93"/>
      <c r="E631" s="112"/>
      <c r="F631" s="112"/>
      <c r="G631" s="112"/>
      <c r="H631" s="112"/>
    </row>
    <row r="632" spans="4:8" x14ac:dyDescent="0.35">
      <c r="D632" s="93"/>
      <c r="E632" s="112"/>
      <c r="F632" s="112"/>
      <c r="G632" s="112"/>
      <c r="H632" s="112"/>
    </row>
    <row r="633" spans="4:8" x14ac:dyDescent="0.35">
      <c r="D633" s="93"/>
      <c r="E633" s="112"/>
      <c r="F633" s="112"/>
      <c r="G633" s="112"/>
      <c r="H633" s="112"/>
    </row>
    <row r="634" spans="4:8" x14ac:dyDescent="0.35">
      <c r="D634" s="93"/>
      <c r="E634" s="112"/>
      <c r="F634" s="112"/>
      <c r="G634" s="112"/>
      <c r="H634" s="112"/>
    </row>
    <row r="635" spans="4:8" x14ac:dyDescent="0.35">
      <c r="D635" s="93"/>
      <c r="E635" s="112"/>
      <c r="F635" s="112"/>
      <c r="G635" s="112"/>
      <c r="H635" s="112"/>
    </row>
    <row r="636" spans="4:8" x14ac:dyDescent="0.35">
      <c r="D636" s="93"/>
      <c r="E636" s="112"/>
      <c r="F636" s="112"/>
      <c r="G636" s="112"/>
      <c r="H636" s="112"/>
    </row>
    <row r="637" spans="4:8" x14ac:dyDescent="0.35">
      <c r="D637" s="93"/>
      <c r="E637" s="112"/>
      <c r="F637" s="112"/>
      <c r="G637" s="112"/>
      <c r="H637" s="112"/>
    </row>
    <row r="638" spans="4:8" x14ac:dyDescent="0.35">
      <c r="D638" s="93"/>
      <c r="E638" s="112"/>
      <c r="F638" s="112"/>
      <c r="G638" s="112"/>
      <c r="H638" s="112"/>
    </row>
    <row r="639" spans="4:8" x14ac:dyDescent="0.35">
      <c r="D639" s="93"/>
      <c r="E639" s="112"/>
      <c r="F639" s="112"/>
      <c r="G639" s="112"/>
      <c r="H639" s="112"/>
    </row>
    <row r="640" spans="4:8" x14ac:dyDescent="0.35">
      <c r="D640" s="93"/>
      <c r="E640" s="112"/>
      <c r="F640" s="112"/>
      <c r="G640" s="112"/>
      <c r="H640" s="112"/>
    </row>
    <row r="641" spans="4:8" x14ac:dyDescent="0.35">
      <c r="D641" s="93"/>
      <c r="E641" s="112"/>
      <c r="F641" s="112"/>
      <c r="G641" s="112"/>
      <c r="H641" s="112"/>
    </row>
    <row r="642" spans="4:8" x14ac:dyDescent="0.35">
      <c r="D642" s="93"/>
      <c r="E642" s="112"/>
      <c r="F642" s="112"/>
      <c r="G642" s="112"/>
      <c r="H642" s="112"/>
    </row>
    <row r="643" spans="4:8" x14ac:dyDescent="0.35">
      <c r="D643" s="93"/>
      <c r="E643" s="112"/>
      <c r="F643" s="112"/>
      <c r="G643" s="112"/>
      <c r="H643" s="112"/>
    </row>
    <row r="644" spans="4:8" x14ac:dyDescent="0.35">
      <c r="D644" s="93"/>
      <c r="E644" s="112"/>
      <c r="F644" s="112"/>
      <c r="G644" s="112"/>
      <c r="H644" s="112"/>
    </row>
    <row r="645" spans="4:8" x14ac:dyDescent="0.35">
      <c r="D645" s="93"/>
      <c r="E645" s="112"/>
      <c r="F645" s="112"/>
      <c r="G645" s="112"/>
      <c r="H645" s="112"/>
    </row>
    <row r="646" spans="4:8" x14ac:dyDescent="0.35">
      <c r="D646" s="93"/>
      <c r="E646" s="112"/>
      <c r="F646" s="112"/>
      <c r="G646" s="112"/>
      <c r="H646" s="112"/>
    </row>
    <row r="647" spans="4:8" x14ac:dyDescent="0.35">
      <c r="D647" s="93"/>
      <c r="E647" s="112"/>
      <c r="F647" s="112"/>
      <c r="G647" s="112"/>
      <c r="H647" s="112"/>
    </row>
    <row r="648" spans="4:8" x14ac:dyDescent="0.35">
      <c r="D648" s="93"/>
      <c r="E648" s="112"/>
      <c r="F648" s="112"/>
      <c r="G648" s="112"/>
      <c r="H648" s="112"/>
    </row>
    <row r="649" spans="4:8" x14ac:dyDescent="0.35">
      <c r="D649" s="93"/>
      <c r="E649" s="112"/>
      <c r="F649" s="112"/>
      <c r="G649" s="112"/>
      <c r="H649" s="112"/>
    </row>
    <row r="650" spans="4:8" x14ac:dyDescent="0.35">
      <c r="D650" s="93"/>
      <c r="E650" s="112"/>
      <c r="F650" s="112"/>
      <c r="G650" s="112"/>
      <c r="H650" s="112"/>
    </row>
    <row r="651" spans="4:8" x14ac:dyDescent="0.35">
      <c r="D651" s="93"/>
      <c r="E651" s="112"/>
      <c r="F651" s="112"/>
      <c r="G651" s="112"/>
      <c r="H651" s="112"/>
    </row>
    <row r="652" spans="4:8" x14ac:dyDescent="0.35">
      <c r="D652" s="93"/>
      <c r="E652" s="112"/>
      <c r="F652" s="112"/>
      <c r="G652" s="112"/>
      <c r="H652" s="112"/>
    </row>
    <row r="653" spans="4:8" x14ac:dyDescent="0.35">
      <c r="D653" s="93"/>
      <c r="E653" s="112"/>
      <c r="F653" s="112"/>
      <c r="G653" s="112"/>
      <c r="H653" s="112"/>
    </row>
    <row r="654" spans="4:8" x14ac:dyDescent="0.35">
      <c r="D654" s="93"/>
      <c r="E654" s="112"/>
      <c r="F654" s="112"/>
      <c r="G654" s="112"/>
      <c r="H654" s="112"/>
    </row>
    <row r="655" spans="4:8" x14ac:dyDescent="0.35">
      <c r="D655" s="93"/>
      <c r="E655" s="112"/>
      <c r="F655" s="112"/>
      <c r="G655" s="112"/>
      <c r="H655" s="112"/>
    </row>
    <row r="656" spans="4:8" x14ac:dyDescent="0.35">
      <c r="D656" s="93"/>
      <c r="E656" s="112"/>
      <c r="F656" s="112"/>
      <c r="G656" s="112"/>
      <c r="H656" s="112"/>
    </row>
    <row r="657" spans="4:8" x14ac:dyDescent="0.35">
      <c r="D657" s="93"/>
      <c r="E657" s="112"/>
      <c r="F657" s="112"/>
      <c r="G657" s="112"/>
      <c r="H657" s="112"/>
    </row>
    <row r="658" spans="4:8" x14ac:dyDescent="0.35">
      <c r="D658" s="93"/>
      <c r="E658" s="112"/>
      <c r="F658" s="112"/>
      <c r="G658" s="112"/>
      <c r="H658" s="112"/>
    </row>
    <row r="659" spans="4:8" x14ac:dyDescent="0.35">
      <c r="D659" s="93"/>
      <c r="E659" s="112"/>
      <c r="F659" s="112"/>
      <c r="G659" s="112"/>
      <c r="H659" s="112"/>
    </row>
    <row r="660" spans="4:8" x14ac:dyDescent="0.35">
      <c r="D660" s="93"/>
      <c r="E660" s="112"/>
      <c r="F660" s="112"/>
      <c r="G660" s="112"/>
      <c r="H660" s="112"/>
    </row>
    <row r="661" spans="4:8" x14ac:dyDescent="0.35">
      <c r="D661" s="93"/>
      <c r="E661" s="112"/>
      <c r="F661" s="112"/>
      <c r="G661" s="112"/>
      <c r="H661" s="112"/>
    </row>
    <row r="662" spans="4:8" x14ac:dyDescent="0.35">
      <c r="D662" s="93"/>
      <c r="E662" s="112"/>
      <c r="F662" s="112"/>
      <c r="G662" s="112"/>
      <c r="H662" s="112"/>
    </row>
    <row r="663" spans="4:8" x14ac:dyDescent="0.35">
      <c r="D663" s="93"/>
      <c r="E663" s="112"/>
      <c r="F663" s="112"/>
      <c r="G663" s="112"/>
      <c r="H663" s="112"/>
    </row>
    <row r="664" spans="4:8" x14ac:dyDescent="0.35">
      <c r="D664" s="93"/>
      <c r="E664" s="112"/>
      <c r="F664" s="112"/>
      <c r="G664" s="112"/>
      <c r="H664" s="112"/>
    </row>
    <row r="665" spans="4:8" x14ac:dyDescent="0.35">
      <c r="D665" s="93"/>
      <c r="E665" s="112"/>
      <c r="F665" s="112"/>
      <c r="G665" s="112"/>
      <c r="H665" s="112"/>
    </row>
    <row r="666" spans="4:8" x14ac:dyDescent="0.35">
      <c r="D666" s="93"/>
      <c r="E666" s="112"/>
      <c r="F666" s="112"/>
      <c r="G666" s="112"/>
      <c r="H666" s="112"/>
    </row>
    <row r="667" spans="4:8" x14ac:dyDescent="0.35">
      <c r="D667" s="93"/>
      <c r="E667" s="112"/>
      <c r="F667" s="112"/>
      <c r="G667" s="112"/>
      <c r="H667" s="112"/>
    </row>
    <row r="668" spans="4:8" x14ac:dyDescent="0.35">
      <c r="D668" s="93"/>
      <c r="E668" s="112"/>
      <c r="F668" s="112"/>
      <c r="G668" s="112"/>
      <c r="H668" s="112"/>
    </row>
    <row r="669" spans="4:8" x14ac:dyDescent="0.35">
      <c r="D669" s="93"/>
      <c r="E669" s="112"/>
      <c r="F669" s="112"/>
      <c r="G669" s="112"/>
      <c r="H669" s="112"/>
    </row>
    <row r="670" spans="4:8" x14ac:dyDescent="0.35">
      <c r="D670" s="93"/>
      <c r="E670" s="112"/>
      <c r="F670" s="112"/>
      <c r="G670" s="112"/>
      <c r="H670" s="112"/>
    </row>
    <row r="671" spans="4:8" x14ac:dyDescent="0.35">
      <c r="D671" s="93"/>
      <c r="E671" s="112"/>
      <c r="F671" s="112"/>
      <c r="G671" s="112"/>
      <c r="H671" s="112"/>
    </row>
    <row r="672" spans="4:8" x14ac:dyDescent="0.35">
      <c r="D672" s="93"/>
      <c r="E672" s="112"/>
      <c r="F672" s="112"/>
      <c r="G672" s="112"/>
      <c r="H672" s="112"/>
    </row>
    <row r="673" spans="4:8" x14ac:dyDescent="0.35">
      <c r="D673" s="93"/>
      <c r="E673" s="112"/>
      <c r="F673" s="112"/>
      <c r="G673" s="112"/>
      <c r="H673" s="112"/>
    </row>
    <row r="674" spans="4:8" x14ac:dyDescent="0.35">
      <c r="D674" s="93"/>
      <c r="E674" s="112"/>
      <c r="F674" s="112"/>
      <c r="G674" s="112"/>
      <c r="H674" s="112"/>
    </row>
    <row r="675" spans="4:8" x14ac:dyDescent="0.35">
      <c r="D675" s="93"/>
      <c r="E675" s="112"/>
      <c r="F675" s="112"/>
      <c r="G675" s="112"/>
      <c r="H675" s="112"/>
    </row>
    <row r="676" spans="4:8" x14ac:dyDescent="0.35">
      <c r="D676" s="93"/>
      <c r="E676" s="112"/>
      <c r="F676" s="112"/>
      <c r="G676" s="112"/>
      <c r="H676" s="112"/>
    </row>
    <row r="677" spans="4:8" x14ac:dyDescent="0.35">
      <c r="D677" s="93"/>
      <c r="E677" s="112"/>
      <c r="F677" s="112"/>
      <c r="G677" s="112"/>
      <c r="H677" s="112"/>
    </row>
    <row r="678" spans="4:8" x14ac:dyDescent="0.35">
      <c r="D678" s="93"/>
      <c r="E678" s="112"/>
      <c r="F678" s="112"/>
      <c r="G678" s="112"/>
      <c r="H678" s="112"/>
    </row>
    <row r="679" spans="4:8" x14ac:dyDescent="0.35">
      <c r="D679" s="93"/>
      <c r="E679" s="112"/>
      <c r="F679" s="112"/>
      <c r="G679" s="112"/>
      <c r="H679" s="112"/>
    </row>
    <row r="680" spans="4:8" x14ac:dyDescent="0.35">
      <c r="D680" s="93"/>
      <c r="E680" s="112"/>
      <c r="F680" s="112"/>
      <c r="G680" s="112"/>
      <c r="H680" s="112"/>
    </row>
    <row r="681" spans="4:8" x14ac:dyDescent="0.35">
      <c r="D681" s="93"/>
      <c r="E681" s="112"/>
      <c r="F681" s="112"/>
      <c r="G681" s="112"/>
      <c r="H681" s="112"/>
    </row>
    <row r="682" spans="4:8" x14ac:dyDescent="0.35">
      <c r="D682" s="93"/>
      <c r="E682" s="112"/>
      <c r="F682" s="112"/>
      <c r="G682" s="112"/>
      <c r="H682" s="112"/>
    </row>
    <row r="683" spans="4:8" x14ac:dyDescent="0.35">
      <c r="D683" s="93"/>
      <c r="E683" s="112"/>
      <c r="F683" s="112"/>
      <c r="G683" s="112"/>
      <c r="H683" s="112"/>
    </row>
    <row r="684" spans="4:8" x14ac:dyDescent="0.35">
      <c r="D684" s="93"/>
      <c r="E684" s="112"/>
      <c r="F684" s="112"/>
      <c r="G684" s="112"/>
      <c r="H684" s="112"/>
    </row>
    <row r="685" spans="4:8" x14ac:dyDescent="0.35">
      <c r="D685" s="93"/>
      <c r="E685" s="112"/>
      <c r="F685" s="112"/>
      <c r="G685" s="112"/>
      <c r="H685" s="112"/>
    </row>
    <row r="686" spans="4:8" x14ac:dyDescent="0.35">
      <c r="D686" s="93"/>
      <c r="E686" s="112"/>
      <c r="F686" s="112"/>
      <c r="G686" s="112"/>
      <c r="H686" s="112"/>
    </row>
    <row r="687" spans="4:8" x14ac:dyDescent="0.35">
      <c r="D687" s="93"/>
      <c r="E687" s="112"/>
      <c r="F687" s="112"/>
      <c r="G687" s="112"/>
      <c r="H687" s="112"/>
    </row>
    <row r="688" spans="4:8" x14ac:dyDescent="0.35">
      <c r="D688" s="93"/>
      <c r="E688" s="112"/>
      <c r="F688" s="112"/>
      <c r="G688" s="112"/>
      <c r="H688" s="112"/>
    </row>
    <row r="689" spans="4:8" x14ac:dyDescent="0.35">
      <c r="D689" s="93"/>
      <c r="E689" s="112"/>
      <c r="F689" s="112"/>
      <c r="G689" s="112"/>
      <c r="H689" s="112"/>
    </row>
    <row r="690" spans="4:8" x14ac:dyDescent="0.35">
      <c r="D690" s="93"/>
      <c r="E690" s="112"/>
      <c r="F690" s="112"/>
      <c r="G690" s="112"/>
      <c r="H690" s="112"/>
    </row>
    <row r="691" spans="4:8" x14ac:dyDescent="0.35">
      <c r="D691" s="93"/>
      <c r="E691" s="112"/>
      <c r="F691" s="112"/>
      <c r="G691" s="112"/>
      <c r="H691" s="112"/>
    </row>
    <row r="692" spans="4:8" x14ac:dyDescent="0.35">
      <c r="D692" s="93"/>
      <c r="E692" s="112"/>
      <c r="F692" s="112"/>
      <c r="G692" s="112"/>
      <c r="H692" s="112"/>
    </row>
    <row r="693" spans="4:8" x14ac:dyDescent="0.35">
      <c r="D693" s="93"/>
      <c r="E693" s="112"/>
      <c r="F693" s="112"/>
      <c r="G693" s="112"/>
      <c r="H693" s="112"/>
    </row>
    <row r="694" spans="4:8" x14ac:dyDescent="0.35">
      <c r="D694" s="93"/>
      <c r="E694" s="112"/>
      <c r="F694" s="112"/>
      <c r="G694" s="112"/>
      <c r="H694" s="112"/>
    </row>
    <row r="695" spans="4:8" x14ac:dyDescent="0.35">
      <c r="D695" s="93"/>
      <c r="E695" s="112"/>
      <c r="F695" s="112"/>
      <c r="G695" s="112"/>
      <c r="H695" s="112"/>
    </row>
    <row r="696" spans="4:8" x14ac:dyDescent="0.35">
      <c r="D696" s="93"/>
      <c r="E696" s="112"/>
      <c r="F696" s="112"/>
      <c r="G696" s="112"/>
      <c r="H696" s="112"/>
    </row>
    <row r="697" spans="4:8" x14ac:dyDescent="0.35">
      <c r="D697" s="93"/>
      <c r="E697" s="112"/>
      <c r="F697" s="112"/>
      <c r="G697" s="112"/>
      <c r="H697" s="112"/>
    </row>
    <row r="698" spans="4:8" x14ac:dyDescent="0.35">
      <c r="D698" s="93"/>
      <c r="E698" s="112"/>
      <c r="F698" s="112"/>
      <c r="G698" s="112"/>
      <c r="H698" s="112"/>
    </row>
    <row r="699" spans="4:8" x14ac:dyDescent="0.35">
      <c r="D699" s="93"/>
      <c r="E699" s="112"/>
      <c r="F699" s="112"/>
      <c r="G699" s="112"/>
      <c r="H699" s="112"/>
    </row>
    <row r="700" spans="4:8" x14ac:dyDescent="0.35">
      <c r="D700" s="93"/>
      <c r="E700" s="112"/>
      <c r="F700" s="112"/>
      <c r="G700" s="112"/>
      <c r="H700" s="112"/>
    </row>
    <row r="701" spans="4:8" x14ac:dyDescent="0.35">
      <c r="D701" s="93"/>
      <c r="E701" s="112"/>
      <c r="F701" s="112"/>
      <c r="G701" s="112"/>
      <c r="H701" s="112"/>
    </row>
    <row r="702" spans="4:8" x14ac:dyDescent="0.35">
      <c r="D702" s="93"/>
      <c r="E702" s="112"/>
      <c r="F702" s="112"/>
      <c r="G702" s="112"/>
      <c r="H702" s="112"/>
    </row>
    <row r="703" spans="4:8" x14ac:dyDescent="0.35">
      <c r="D703" s="93"/>
      <c r="E703" s="112"/>
      <c r="F703" s="112"/>
      <c r="G703" s="112"/>
      <c r="H703" s="112"/>
    </row>
    <row r="704" spans="4:8" x14ac:dyDescent="0.35">
      <c r="D704" s="93"/>
      <c r="E704" s="112"/>
      <c r="F704" s="112"/>
      <c r="G704" s="112"/>
      <c r="H704" s="112"/>
    </row>
    <row r="705" spans="4:8" x14ac:dyDescent="0.35">
      <c r="D705" s="93"/>
      <c r="E705" s="112"/>
      <c r="F705" s="112"/>
      <c r="G705" s="112"/>
      <c r="H705" s="112"/>
    </row>
    <row r="706" spans="4:8" x14ac:dyDescent="0.35">
      <c r="D706" s="93"/>
      <c r="E706" s="112"/>
      <c r="F706" s="112"/>
      <c r="G706" s="112"/>
      <c r="H706" s="112"/>
    </row>
    <row r="707" spans="4:8" x14ac:dyDescent="0.35">
      <c r="D707" s="93"/>
      <c r="E707" s="112"/>
      <c r="F707" s="112"/>
      <c r="G707" s="112"/>
      <c r="H707" s="112"/>
    </row>
    <row r="708" spans="4:8" x14ac:dyDescent="0.35">
      <c r="D708" s="93"/>
      <c r="E708" s="112"/>
      <c r="F708" s="112"/>
      <c r="G708" s="112"/>
      <c r="H708" s="112"/>
    </row>
    <row r="709" spans="4:8" x14ac:dyDescent="0.35">
      <c r="D709" s="93"/>
      <c r="E709" s="112"/>
      <c r="F709" s="112"/>
      <c r="G709" s="112"/>
      <c r="H709" s="112"/>
    </row>
    <row r="710" spans="4:8" x14ac:dyDescent="0.35">
      <c r="D710" s="93"/>
      <c r="E710" s="112"/>
      <c r="F710" s="112"/>
      <c r="G710" s="112"/>
      <c r="H710" s="112"/>
    </row>
    <row r="711" spans="4:8" x14ac:dyDescent="0.35">
      <c r="D711" s="93"/>
      <c r="E711" s="112"/>
      <c r="F711" s="112"/>
      <c r="G711" s="112"/>
      <c r="H711" s="112"/>
    </row>
    <row r="712" spans="4:8" x14ac:dyDescent="0.35">
      <c r="D712" s="93"/>
      <c r="E712" s="112"/>
      <c r="F712" s="112"/>
      <c r="G712" s="112"/>
      <c r="H712" s="112"/>
    </row>
    <row r="713" spans="4:8" x14ac:dyDescent="0.35">
      <c r="D713" s="93"/>
      <c r="E713" s="112"/>
      <c r="F713" s="112"/>
      <c r="G713" s="112"/>
      <c r="H713" s="112"/>
    </row>
    <row r="714" spans="4:8" x14ac:dyDescent="0.35">
      <c r="D714" s="93"/>
      <c r="E714" s="112"/>
      <c r="F714" s="112"/>
      <c r="G714" s="112"/>
      <c r="H714" s="112"/>
    </row>
    <row r="715" spans="4:8" x14ac:dyDescent="0.35">
      <c r="D715" s="93"/>
      <c r="E715" s="112"/>
      <c r="F715" s="112"/>
      <c r="G715" s="112"/>
      <c r="H715" s="112"/>
    </row>
    <row r="716" spans="4:8" x14ac:dyDescent="0.35">
      <c r="D716" s="93"/>
      <c r="E716" s="112"/>
      <c r="F716" s="112"/>
      <c r="G716" s="112"/>
      <c r="H716" s="112"/>
    </row>
    <row r="717" spans="4:8" x14ac:dyDescent="0.35">
      <c r="D717" s="93"/>
      <c r="E717" s="112"/>
      <c r="F717" s="112"/>
      <c r="G717" s="112"/>
      <c r="H717" s="112"/>
    </row>
    <row r="718" spans="4:8" x14ac:dyDescent="0.35">
      <c r="D718" s="93"/>
      <c r="E718" s="112"/>
      <c r="F718" s="112"/>
      <c r="G718" s="112"/>
      <c r="H718" s="112"/>
    </row>
    <row r="719" spans="4:8" x14ac:dyDescent="0.35">
      <c r="D719" s="93"/>
      <c r="E719" s="112"/>
      <c r="F719" s="112"/>
      <c r="G719" s="112"/>
      <c r="H719" s="112"/>
    </row>
    <row r="720" spans="4:8" x14ac:dyDescent="0.35">
      <c r="D720" s="93"/>
      <c r="E720" s="112"/>
      <c r="F720" s="112"/>
      <c r="G720" s="112"/>
      <c r="H720" s="112"/>
    </row>
    <row r="721" spans="4:8" x14ac:dyDescent="0.35">
      <c r="D721" s="93"/>
      <c r="E721" s="112"/>
      <c r="F721" s="112"/>
      <c r="G721" s="112"/>
      <c r="H721" s="112"/>
    </row>
    <row r="722" spans="4:8" x14ac:dyDescent="0.35">
      <c r="D722" s="93"/>
      <c r="E722" s="112"/>
      <c r="F722" s="112"/>
      <c r="G722" s="112"/>
      <c r="H722" s="112"/>
    </row>
    <row r="723" spans="4:8" x14ac:dyDescent="0.35">
      <c r="D723" s="93"/>
      <c r="E723" s="112"/>
      <c r="F723" s="112"/>
      <c r="G723" s="112"/>
      <c r="H723" s="112"/>
    </row>
    <row r="724" spans="4:8" x14ac:dyDescent="0.35">
      <c r="D724" s="93"/>
      <c r="E724" s="112"/>
      <c r="F724" s="112"/>
      <c r="G724" s="112"/>
      <c r="H724" s="112"/>
    </row>
    <row r="725" spans="4:8" x14ac:dyDescent="0.35">
      <c r="D725" s="93"/>
      <c r="E725" s="112"/>
      <c r="F725" s="112"/>
      <c r="G725" s="112"/>
      <c r="H725" s="112"/>
    </row>
    <row r="726" spans="4:8" x14ac:dyDescent="0.35">
      <c r="D726" s="93"/>
      <c r="E726" s="112"/>
      <c r="F726" s="112"/>
      <c r="G726" s="112"/>
      <c r="H726" s="112"/>
    </row>
    <row r="727" spans="4:8" x14ac:dyDescent="0.35">
      <c r="D727" s="93"/>
      <c r="E727" s="112"/>
      <c r="F727" s="112"/>
      <c r="G727" s="112"/>
      <c r="H727" s="112"/>
    </row>
    <row r="728" spans="4:8" x14ac:dyDescent="0.35">
      <c r="D728" s="93"/>
      <c r="E728" s="112"/>
      <c r="F728" s="112"/>
      <c r="G728" s="112"/>
      <c r="H728" s="112"/>
    </row>
    <row r="729" spans="4:8" x14ac:dyDescent="0.35">
      <c r="D729" s="93"/>
      <c r="E729" s="112"/>
      <c r="F729" s="112"/>
      <c r="G729" s="112"/>
      <c r="H729" s="112"/>
    </row>
    <row r="730" spans="4:8" x14ac:dyDescent="0.35">
      <c r="D730" s="93"/>
      <c r="E730" s="112"/>
      <c r="F730" s="112"/>
      <c r="G730" s="112"/>
      <c r="H730" s="112"/>
    </row>
    <row r="731" spans="4:8" x14ac:dyDescent="0.35">
      <c r="D731" s="93"/>
      <c r="E731" s="112"/>
      <c r="F731" s="112"/>
      <c r="G731" s="112"/>
      <c r="H731" s="112"/>
    </row>
    <row r="732" spans="4:8" x14ac:dyDescent="0.35">
      <c r="D732" s="93"/>
      <c r="E732" s="112"/>
      <c r="F732" s="112"/>
      <c r="G732" s="112"/>
      <c r="H732" s="112"/>
    </row>
    <row r="733" spans="4:8" x14ac:dyDescent="0.35">
      <c r="D733" s="93"/>
      <c r="E733" s="112"/>
      <c r="F733" s="112"/>
      <c r="G733" s="112"/>
      <c r="H733" s="112"/>
    </row>
    <row r="734" spans="4:8" x14ac:dyDescent="0.35">
      <c r="D734" s="93"/>
      <c r="E734" s="112"/>
      <c r="F734" s="112"/>
      <c r="G734" s="112"/>
      <c r="H734" s="112"/>
    </row>
    <row r="735" spans="4:8" x14ac:dyDescent="0.35">
      <c r="D735" s="93"/>
      <c r="E735" s="112"/>
      <c r="F735" s="112"/>
      <c r="G735" s="112"/>
      <c r="H735" s="112"/>
    </row>
    <row r="736" spans="4:8" x14ac:dyDescent="0.35">
      <c r="D736" s="93"/>
      <c r="E736" s="112"/>
      <c r="F736" s="112"/>
      <c r="G736" s="112"/>
      <c r="H736" s="112"/>
    </row>
    <row r="737" spans="4:8" x14ac:dyDescent="0.35">
      <c r="D737" s="93"/>
      <c r="E737" s="112"/>
      <c r="F737" s="112"/>
      <c r="G737" s="112"/>
      <c r="H737" s="112"/>
    </row>
    <row r="738" spans="4:8" x14ac:dyDescent="0.35">
      <c r="D738" s="93"/>
      <c r="E738" s="112"/>
      <c r="F738" s="112"/>
      <c r="G738" s="112"/>
      <c r="H738" s="112"/>
    </row>
    <row r="739" spans="4:8" x14ac:dyDescent="0.35">
      <c r="D739" s="93"/>
      <c r="E739" s="112"/>
      <c r="F739" s="112"/>
      <c r="G739" s="112"/>
      <c r="H739" s="112"/>
    </row>
    <row r="740" spans="4:8" x14ac:dyDescent="0.35">
      <c r="D740" s="93"/>
      <c r="E740" s="112"/>
      <c r="F740" s="112"/>
      <c r="G740" s="112"/>
      <c r="H740" s="112"/>
    </row>
    <row r="741" spans="4:8" x14ac:dyDescent="0.35">
      <c r="D741" s="93"/>
      <c r="E741" s="112"/>
      <c r="F741" s="112"/>
      <c r="G741" s="112"/>
      <c r="H741" s="112"/>
    </row>
    <row r="742" spans="4:8" x14ac:dyDescent="0.35">
      <c r="D742" s="93"/>
      <c r="E742" s="112"/>
      <c r="F742" s="112"/>
      <c r="G742" s="112"/>
      <c r="H742" s="112"/>
    </row>
    <row r="743" spans="4:8" x14ac:dyDescent="0.35">
      <c r="D743" s="93"/>
      <c r="E743" s="112"/>
      <c r="F743" s="112"/>
      <c r="G743" s="112"/>
      <c r="H743" s="112"/>
    </row>
    <row r="744" spans="4:8" x14ac:dyDescent="0.35">
      <c r="D744" s="93"/>
      <c r="E744" s="112"/>
      <c r="F744" s="112"/>
      <c r="G744" s="112"/>
      <c r="H744" s="112"/>
    </row>
    <row r="745" spans="4:8" x14ac:dyDescent="0.35">
      <c r="D745" s="93"/>
      <c r="E745" s="112"/>
      <c r="F745" s="112"/>
      <c r="G745" s="112"/>
      <c r="H745" s="112"/>
    </row>
    <row r="746" spans="4:8" x14ac:dyDescent="0.35">
      <c r="D746" s="93"/>
      <c r="E746" s="112"/>
      <c r="F746" s="112"/>
      <c r="G746" s="112"/>
      <c r="H746" s="112"/>
    </row>
    <row r="747" spans="4:8" x14ac:dyDescent="0.35">
      <c r="D747" s="93"/>
      <c r="E747" s="112"/>
      <c r="F747" s="112"/>
      <c r="G747" s="112"/>
      <c r="H747" s="112"/>
    </row>
    <row r="748" spans="4:8" x14ac:dyDescent="0.35">
      <c r="D748" s="93"/>
      <c r="E748" s="112"/>
      <c r="F748" s="112"/>
      <c r="G748" s="112"/>
      <c r="H748" s="112"/>
    </row>
    <row r="749" spans="4:8" x14ac:dyDescent="0.35">
      <c r="D749" s="93"/>
      <c r="E749" s="112"/>
      <c r="F749" s="112"/>
      <c r="G749" s="112"/>
      <c r="H749" s="112"/>
    </row>
    <row r="750" spans="4:8" x14ac:dyDescent="0.35">
      <c r="D750" s="93"/>
      <c r="E750" s="112"/>
      <c r="F750" s="112"/>
      <c r="G750" s="112"/>
      <c r="H750" s="112"/>
    </row>
    <row r="751" spans="4:8" x14ac:dyDescent="0.35">
      <c r="D751" s="93"/>
      <c r="E751" s="112"/>
      <c r="F751" s="112"/>
      <c r="G751" s="112"/>
      <c r="H751" s="112"/>
    </row>
    <row r="752" spans="4:8" x14ac:dyDescent="0.35">
      <c r="D752" s="93"/>
      <c r="E752" s="112"/>
      <c r="F752" s="112"/>
      <c r="G752" s="112"/>
      <c r="H752" s="112"/>
    </row>
    <row r="753" spans="4:8" x14ac:dyDescent="0.35">
      <c r="D753" s="93"/>
      <c r="E753" s="112"/>
      <c r="F753" s="112"/>
      <c r="G753" s="112"/>
      <c r="H753" s="112"/>
    </row>
    <row r="754" spans="4:8" x14ac:dyDescent="0.35">
      <c r="D754" s="93"/>
      <c r="E754" s="112"/>
      <c r="F754" s="112"/>
      <c r="G754" s="112"/>
      <c r="H754" s="112"/>
    </row>
    <row r="755" spans="4:8" x14ac:dyDescent="0.35">
      <c r="D755" s="93"/>
      <c r="E755" s="112"/>
      <c r="F755" s="112"/>
      <c r="G755" s="112"/>
      <c r="H755" s="112"/>
    </row>
    <row r="756" spans="4:8" x14ac:dyDescent="0.35">
      <c r="D756" s="93"/>
      <c r="E756" s="112"/>
      <c r="F756" s="112"/>
      <c r="G756" s="112"/>
      <c r="H756" s="112"/>
    </row>
    <row r="757" spans="4:8" x14ac:dyDescent="0.35">
      <c r="D757" s="93"/>
      <c r="E757" s="112"/>
      <c r="F757" s="112"/>
      <c r="G757" s="112"/>
      <c r="H757" s="112"/>
    </row>
    <row r="758" spans="4:8" x14ac:dyDescent="0.35">
      <c r="D758" s="93"/>
      <c r="E758" s="112"/>
      <c r="F758" s="112"/>
      <c r="G758" s="112"/>
      <c r="H758" s="112"/>
    </row>
    <row r="759" spans="4:8" x14ac:dyDescent="0.35">
      <c r="D759" s="93"/>
      <c r="E759" s="112"/>
      <c r="F759" s="112"/>
      <c r="G759" s="112"/>
      <c r="H759" s="112"/>
    </row>
    <row r="760" spans="4:8" x14ac:dyDescent="0.35">
      <c r="D760" s="93"/>
      <c r="E760" s="112"/>
      <c r="F760" s="112"/>
      <c r="G760" s="112"/>
      <c r="H760" s="112"/>
    </row>
    <row r="761" spans="4:8" x14ac:dyDescent="0.35">
      <c r="D761" s="93"/>
      <c r="E761" s="112"/>
      <c r="F761" s="112"/>
      <c r="G761" s="112"/>
      <c r="H761" s="112"/>
    </row>
    <row r="762" spans="4:8" x14ac:dyDescent="0.35">
      <c r="D762" s="93"/>
      <c r="E762" s="112"/>
      <c r="F762" s="112"/>
      <c r="G762" s="112"/>
      <c r="H762" s="112"/>
    </row>
    <row r="763" spans="4:8" x14ac:dyDescent="0.35">
      <c r="D763" s="93"/>
      <c r="E763" s="112"/>
      <c r="F763" s="112"/>
      <c r="G763" s="112"/>
      <c r="H763" s="112"/>
    </row>
    <row r="764" spans="4:8" x14ac:dyDescent="0.35">
      <c r="D764" s="93"/>
      <c r="E764" s="112"/>
      <c r="F764" s="112"/>
      <c r="G764" s="112"/>
      <c r="H764" s="112"/>
    </row>
    <row r="765" spans="4:8" x14ac:dyDescent="0.35">
      <c r="D765" s="93"/>
      <c r="E765" s="112"/>
      <c r="F765" s="112"/>
      <c r="G765" s="112"/>
      <c r="H765" s="112"/>
    </row>
    <row r="766" spans="4:8" x14ac:dyDescent="0.35">
      <c r="D766" s="93"/>
      <c r="E766" s="112"/>
      <c r="F766" s="112"/>
      <c r="G766" s="112"/>
      <c r="H766" s="112"/>
    </row>
    <row r="767" spans="4:8" x14ac:dyDescent="0.35">
      <c r="D767" s="93"/>
      <c r="E767" s="112"/>
      <c r="F767" s="112"/>
      <c r="G767" s="112"/>
      <c r="H767" s="112"/>
    </row>
    <row r="768" spans="4:8" x14ac:dyDescent="0.35">
      <c r="D768" s="93"/>
      <c r="E768" s="112"/>
      <c r="F768" s="112"/>
      <c r="G768" s="112"/>
      <c r="H768" s="112"/>
    </row>
    <row r="769" spans="4:8" x14ac:dyDescent="0.35">
      <c r="D769" s="93"/>
      <c r="E769" s="112"/>
      <c r="F769" s="112"/>
      <c r="G769" s="112"/>
      <c r="H769" s="112"/>
    </row>
    <row r="770" spans="4:8" x14ac:dyDescent="0.35">
      <c r="D770" s="93"/>
      <c r="E770" s="112"/>
      <c r="F770" s="112"/>
      <c r="G770" s="112"/>
      <c r="H770" s="112"/>
    </row>
    <row r="771" spans="4:8" x14ac:dyDescent="0.35">
      <c r="D771" s="93"/>
      <c r="E771" s="112"/>
      <c r="F771" s="112"/>
      <c r="G771" s="112"/>
      <c r="H771" s="112"/>
    </row>
    <row r="772" spans="4:8" x14ac:dyDescent="0.35">
      <c r="D772" s="93"/>
      <c r="E772" s="112"/>
      <c r="F772" s="112"/>
      <c r="G772" s="112"/>
      <c r="H772" s="112"/>
    </row>
    <row r="773" spans="4:8" x14ac:dyDescent="0.35">
      <c r="D773" s="93"/>
      <c r="E773" s="112"/>
      <c r="F773" s="112"/>
      <c r="G773" s="112"/>
      <c r="H773" s="112"/>
    </row>
    <row r="774" spans="4:8" x14ac:dyDescent="0.35">
      <c r="D774" s="93"/>
      <c r="E774" s="112"/>
      <c r="F774" s="112"/>
      <c r="G774" s="112"/>
      <c r="H774" s="112"/>
    </row>
    <row r="775" spans="4:8" x14ac:dyDescent="0.35">
      <c r="D775" s="93"/>
      <c r="E775" s="112"/>
      <c r="F775" s="112"/>
      <c r="G775" s="112"/>
      <c r="H775" s="112"/>
    </row>
    <row r="776" spans="4:8" x14ac:dyDescent="0.35">
      <c r="D776" s="93"/>
      <c r="E776" s="112"/>
      <c r="F776" s="112"/>
      <c r="G776" s="112"/>
      <c r="H776" s="112"/>
    </row>
    <row r="777" spans="4:8" x14ac:dyDescent="0.35">
      <c r="D777" s="93"/>
      <c r="E777" s="112"/>
      <c r="F777" s="112"/>
      <c r="G777" s="112"/>
      <c r="H777" s="112"/>
    </row>
    <row r="778" spans="4:8" x14ac:dyDescent="0.35">
      <c r="D778" s="93"/>
      <c r="E778" s="112"/>
      <c r="F778" s="112"/>
      <c r="G778" s="112"/>
      <c r="H778" s="112"/>
    </row>
    <row r="779" spans="4:8" x14ac:dyDescent="0.35">
      <c r="D779" s="93"/>
      <c r="E779" s="112"/>
      <c r="F779" s="112"/>
      <c r="G779" s="112"/>
      <c r="H779" s="112"/>
    </row>
    <row r="780" spans="4:8" x14ac:dyDescent="0.35">
      <c r="D780" s="93"/>
      <c r="E780" s="112"/>
      <c r="F780" s="112"/>
      <c r="G780" s="112"/>
      <c r="H780" s="112"/>
    </row>
    <row r="781" spans="4:8" x14ac:dyDescent="0.35">
      <c r="D781" s="93"/>
      <c r="E781" s="112"/>
      <c r="F781" s="112"/>
      <c r="G781" s="112"/>
      <c r="H781" s="112"/>
    </row>
    <row r="782" spans="4:8" x14ac:dyDescent="0.35">
      <c r="D782" s="93"/>
      <c r="E782" s="112"/>
      <c r="F782" s="112"/>
      <c r="G782" s="112"/>
      <c r="H782" s="112"/>
    </row>
    <row r="783" spans="4:8" x14ac:dyDescent="0.35">
      <c r="D783" s="93"/>
      <c r="E783" s="112"/>
      <c r="F783" s="112"/>
      <c r="G783" s="112"/>
      <c r="H783" s="112"/>
    </row>
    <row r="784" spans="4:8" x14ac:dyDescent="0.35">
      <c r="D784" s="93"/>
      <c r="E784" s="112"/>
      <c r="F784" s="112"/>
      <c r="G784" s="112"/>
      <c r="H784" s="112"/>
    </row>
    <row r="785" spans="4:8" x14ac:dyDescent="0.35">
      <c r="D785" s="93"/>
      <c r="E785" s="112"/>
      <c r="F785" s="112"/>
      <c r="G785" s="112"/>
      <c r="H785" s="112"/>
    </row>
    <row r="786" spans="4:8" x14ac:dyDescent="0.35">
      <c r="D786" s="93"/>
      <c r="E786" s="112"/>
      <c r="F786" s="112"/>
      <c r="G786" s="112"/>
      <c r="H786" s="112"/>
    </row>
    <row r="787" spans="4:8" x14ac:dyDescent="0.35">
      <c r="D787" s="93"/>
      <c r="E787" s="112"/>
      <c r="F787" s="112"/>
      <c r="G787" s="112"/>
      <c r="H787" s="112"/>
    </row>
    <row r="788" spans="4:8" x14ac:dyDescent="0.35">
      <c r="D788" s="93"/>
      <c r="E788" s="112"/>
      <c r="F788" s="112"/>
      <c r="G788" s="112"/>
      <c r="H788" s="112"/>
    </row>
    <row r="789" spans="4:8" x14ac:dyDescent="0.35">
      <c r="D789" s="93"/>
      <c r="E789" s="112"/>
      <c r="F789" s="112"/>
      <c r="G789" s="112"/>
      <c r="H789" s="112"/>
    </row>
    <row r="790" spans="4:8" x14ac:dyDescent="0.35">
      <c r="D790" s="93"/>
      <c r="E790" s="112"/>
      <c r="F790" s="112"/>
      <c r="G790" s="112"/>
      <c r="H790" s="112"/>
    </row>
    <row r="791" spans="4:8" x14ac:dyDescent="0.35">
      <c r="D791" s="93"/>
      <c r="E791" s="112"/>
      <c r="F791" s="112"/>
      <c r="G791" s="112"/>
      <c r="H791" s="112"/>
    </row>
    <row r="792" spans="4:8" x14ac:dyDescent="0.35">
      <c r="D792" s="93"/>
      <c r="E792" s="112"/>
      <c r="F792" s="112"/>
      <c r="G792" s="112"/>
      <c r="H792" s="112"/>
    </row>
    <row r="793" spans="4:8" x14ac:dyDescent="0.35">
      <c r="D793" s="93"/>
      <c r="E793" s="112"/>
      <c r="F793" s="112"/>
      <c r="G793" s="112"/>
      <c r="H793" s="112"/>
    </row>
    <row r="794" spans="4:8" x14ac:dyDescent="0.35">
      <c r="D794" s="93"/>
      <c r="E794" s="112"/>
      <c r="F794" s="112"/>
      <c r="G794" s="112"/>
      <c r="H794" s="112"/>
    </row>
    <row r="795" spans="4:8" x14ac:dyDescent="0.35">
      <c r="D795" s="93"/>
      <c r="E795" s="112"/>
      <c r="F795" s="112"/>
      <c r="G795" s="112"/>
      <c r="H795" s="112"/>
    </row>
    <row r="796" spans="4:8" x14ac:dyDescent="0.35">
      <c r="D796" s="93"/>
      <c r="E796" s="112"/>
      <c r="F796" s="112"/>
      <c r="G796" s="112"/>
      <c r="H796" s="112"/>
    </row>
    <row r="797" spans="4:8" x14ac:dyDescent="0.35">
      <c r="D797" s="93"/>
      <c r="E797" s="112"/>
      <c r="F797" s="112"/>
      <c r="G797" s="112"/>
      <c r="H797" s="112"/>
    </row>
    <row r="798" spans="4:8" x14ac:dyDescent="0.35">
      <c r="D798" s="93"/>
      <c r="E798" s="112"/>
      <c r="F798" s="112"/>
      <c r="G798" s="112"/>
      <c r="H798" s="112"/>
    </row>
    <row r="799" spans="4:8" x14ac:dyDescent="0.35">
      <c r="D799" s="93"/>
      <c r="E799" s="112"/>
      <c r="F799" s="112"/>
      <c r="G799" s="112"/>
      <c r="H799" s="112"/>
    </row>
    <row r="800" spans="4:8" x14ac:dyDescent="0.35">
      <c r="D800" s="93"/>
      <c r="E800" s="112"/>
      <c r="F800" s="112"/>
      <c r="G800" s="112"/>
      <c r="H800" s="112"/>
    </row>
    <row r="801" spans="4:8" x14ac:dyDescent="0.35">
      <c r="D801" s="93"/>
      <c r="E801" s="112"/>
      <c r="F801" s="112"/>
      <c r="G801" s="112"/>
      <c r="H801" s="112"/>
    </row>
    <row r="802" spans="4:8" x14ac:dyDescent="0.35">
      <c r="D802" s="93"/>
      <c r="E802" s="112"/>
      <c r="F802" s="112"/>
      <c r="G802" s="112"/>
      <c r="H802" s="112"/>
    </row>
    <row r="803" spans="4:8" x14ac:dyDescent="0.35">
      <c r="D803" s="93"/>
      <c r="E803" s="112"/>
      <c r="F803" s="112"/>
      <c r="G803" s="112"/>
      <c r="H803" s="112"/>
    </row>
    <row r="804" spans="4:8" x14ac:dyDescent="0.35">
      <c r="D804" s="93"/>
      <c r="E804" s="112"/>
      <c r="F804" s="112"/>
      <c r="G804" s="112"/>
      <c r="H804" s="112"/>
    </row>
    <row r="805" spans="4:8" x14ac:dyDescent="0.35">
      <c r="D805" s="93"/>
      <c r="E805" s="112"/>
      <c r="F805" s="112"/>
      <c r="G805" s="112"/>
      <c r="H805" s="112"/>
    </row>
    <row r="806" spans="4:8" x14ac:dyDescent="0.35">
      <c r="D806" s="93"/>
      <c r="E806" s="112"/>
      <c r="F806" s="112"/>
      <c r="G806" s="112"/>
      <c r="H806" s="112"/>
    </row>
    <row r="807" spans="4:8" x14ac:dyDescent="0.35">
      <c r="D807" s="93"/>
      <c r="E807" s="112"/>
      <c r="F807" s="112"/>
      <c r="G807" s="112"/>
      <c r="H807" s="112"/>
    </row>
    <row r="808" spans="4:8" x14ac:dyDescent="0.35">
      <c r="D808" s="93"/>
      <c r="E808" s="112"/>
      <c r="F808" s="112"/>
      <c r="G808" s="112"/>
      <c r="H808" s="112"/>
    </row>
    <row r="809" spans="4:8" x14ac:dyDescent="0.35">
      <c r="D809" s="93"/>
      <c r="E809" s="112"/>
      <c r="F809" s="112"/>
      <c r="G809" s="112"/>
      <c r="H809" s="112"/>
    </row>
    <row r="810" spans="4:8" x14ac:dyDescent="0.35">
      <c r="D810" s="93"/>
      <c r="E810" s="112"/>
      <c r="F810" s="112"/>
      <c r="G810" s="112"/>
      <c r="H810" s="112"/>
    </row>
    <row r="811" spans="4:8" x14ac:dyDescent="0.35">
      <c r="D811" s="93"/>
      <c r="E811" s="112"/>
      <c r="F811" s="112"/>
      <c r="G811" s="112"/>
      <c r="H811" s="112"/>
    </row>
    <row r="812" spans="4:8" x14ac:dyDescent="0.35">
      <c r="D812" s="93"/>
      <c r="E812" s="112"/>
      <c r="F812" s="112"/>
      <c r="G812" s="112"/>
      <c r="H812" s="112"/>
    </row>
    <row r="813" spans="4:8" x14ac:dyDescent="0.35">
      <c r="D813" s="93"/>
      <c r="E813" s="112"/>
      <c r="F813" s="112"/>
      <c r="G813" s="112"/>
      <c r="H813" s="112"/>
    </row>
    <row r="814" spans="4:8" x14ac:dyDescent="0.35">
      <c r="D814" s="93"/>
      <c r="E814" s="112"/>
      <c r="F814" s="112"/>
      <c r="G814" s="112"/>
      <c r="H814" s="112"/>
    </row>
    <row r="815" spans="4:8" x14ac:dyDescent="0.35">
      <c r="D815" s="93"/>
      <c r="E815" s="112"/>
      <c r="F815" s="112"/>
      <c r="G815" s="112"/>
      <c r="H815" s="112"/>
    </row>
    <row r="816" spans="4:8" x14ac:dyDescent="0.35">
      <c r="D816" s="93"/>
      <c r="E816" s="112"/>
      <c r="F816" s="112"/>
      <c r="G816" s="112"/>
      <c r="H816" s="112"/>
    </row>
    <row r="817" spans="4:8" x14ac:dyDescent="0.35">
      <c r="D817" s="93"/>
      <c r="E817" s="112"/>
      <c r="F817" s="112"/>
      <c r="G817" s="112"/>
      <c r="H817" s="112"/>
    </row>
    <row r="818" spans="4:8" x14ac:dyDescent="0.35">
      <c r="D818" s="93"/>
      <c r="E818" s="112"/>
      <c r="F818" s="112"/>
      <c r="G818" s="112"/>
      <c r="H818" s="112"/>
    </row>
    <row r="819" spans="4:8" x14ac:dyDescent="0.35">
      <c r="D819" s="93"/>
      <c r="E819" s="112"/>
      <c r="F819" s="112"/>
      <c r="G819" s="112"/>
      <c r="H819" s="112"/>
    </row>
    <row r="820" spans="4:8" x14ac:dyDescent="0.35">
      <c r="D820" s="93"/>
      <c r="E820" s="112"/>
      <c r="F820" s="112"/>
      <c r="G820" s="112"/>
      <c r="H820" s="112"/>
    </row>
    <row r="821" spans="4:8" x14ac:dyDescent="0.35">
      <c r="D821" s="93"/>
      <c r="E821" s="112"/>
      <c r="F821" s="112"/>
      <c r="G821" s="112"/>
      <c r="H821" s="112"/>
    </row>
    <row r="822" spans="4:8" x14ac:dyDescent="0.35">
      <c r="D822" s="93"/>
      <c r="E822" s="112"/>
      <c r="F822" s="112"/>
      <c r="G822" s="112"/>
      <c r="H822" s="112"/>
    </row>
    <row r="823" spans="4:8" x14ac:dyDescent="0.35">
      <c r="D823" s="93"/>
      <c r="E823" s="112"/>
      <c r="F823" s="112"/>
      <c r="G823" s="112"/>
      <c r="H823" s="112"/>
    </row>
    <row r="824" spans="4:8" x14ac:dyDescent="0.35">
      <c r="D824" s="93"/>
      <c r="E824" s="112"/>
      <c r="F824" s="112"/>
      <c r="G824" s="112"/>
      <c r="H824" s="112"/>
    </row>
    <row r="825" spans="4:8" x14ac:dyDescent="0.35">
      <c r="D825" s="93"/>
      <c r="E825" s="112"/>
      <c r="F825" s="112"/>
      <c r="G825" s="112"/>
      <c r="H825" s="112"/>
    </row>
    <row r="826" spans="4:8" x14ac:dyDescent="0.35">
      <c r="D826" s="93"/>
      <c r="E826" s="112"/>
      <c r="F826" s="112"/>
      <c r="G826" s="112"/>
      <c r="H826" s="112"/>
    </row>
    <row r="827" spans="4:8" x14ac:dyDescent="0.35">
      <c r="D827" s="93"/>
      <c r="E827" s="112"/>
      <c r="F827" s="112"/>
      <c r="G827" s="112"/>
      <c r="H827" s="112"/>
    </row>
    <row r="828" spans="4:8" x14ac:dyDescent="0.35">
      <c r="D828" s="93"/>
      <c r="E828" s="112"/>
      <c r="F828" s="112"/>
      <c r="G828" s="112"/>
      <c r="H828" s="112"/>
    </row>
    <row r="829" spans="4:8" x14ac:dyDescent="0.35">
      <c r="D829" s="93"/>
      <c r="E829" s="112"/>
      <c r="F829" s="112"/>
      <c r="G829" s="112"/>
      <c r="H829" s="112"/>
    </row>
    <row r="830" spans="4:8" x14ac:dyDescent="0.35">
      <c r="D830" s="93"/>
      <c r="E830" s="112"/>
      <c r="F830" s="112"/>
      <c r="G830" s="112"/>
      <c r="H830" s="112"/>
    </row>
    <row r="831" spans="4:8" x14ac:dyDescent="0.35">
      <c r="D831" s="93"/>
      <c r="E831" s="112"/>
      <c r="F831" s="112"/>
      <c r="G831" s="112"/>
      <c r="H831" s="112"/>
    </row>
    <row r="832" spans="4:8" x14ac:dyDescent="0.35">
      <c r="D832" s="93"/>
      <c r="E832" s="112"/>
      <c r="F832" s="112"/>
      <c r="G832" s="112"/>
      <c r="H832" s="112"/>
    </row>
    <row r="833" spans="4:8" x14ac:dyDescent="0.35">
      <c r="D833" s="93"/>
      <c r="E833" s="112"/>
      <c r="F833" s="112"/>
      <c r="G833" s="112"/>
      <c r="H833" s="112"/>
    </row>
    <row r="834" spans="4:8" x14ac:dyDescent="0.35">
      <c r="D834" s="93"/>
      <c r="E834" s="112"/>
      <c r="F834" s="112"/>
      <c r="G834" s="112"/>
      <c r="H834" s="112"/>
    </row>
    <row r="835" spans="4:8" x14ac:dyDescent="0.35">
      <c r="D835" s="93"/>
      <c r="E835" s="112"/>
      <c r="F835" s="112"/>
      <c r="G835" s="112"/>
      <c r="H835" s="112"/>
    </row>
    <row r="836" spans="4:8" x14ac:dyDescent="0.35">
      <c r="D836" s="93"/>
      <c r="E836" s="112"/>
      <c r="F836" s="112"/>
      <c r="G836" s="112"/>
      <c r="H836" s="112"/>
    </row>
    <row r="837" spans="4:8" x14ac:dyDescent="0.35">
      <c r="D837" s="93"/>
      <c r="E837" s="112"/>
      <c r="F837" s="112"/>
      <c r="G837" s="112"/>
      <c r="H837" s="112"/>
    </row>
    <row r="838" spans="4:8" x14ac:dyDescent="0.35">
      <c r="D838" s="93"/>
      <c r="E838" s="112"/>
      <c r="F838" s="112"/>
      <c r="G838" s="112"/>
      <c r="H838" s="112"/>
    </row>
    <row r="839" spans="4:8" x14ac:dyDescent="0.35">
      <c r="D839" s="93"/>
      <c r="E839" s="112"/>
      <c r="F839" s="112"/>
      <c r="G839" s="112"/>
      <c r="H839" s="112"/>
    </row>
    <row r="840" spans="4:8" x14ac:dyDescent="0.35">
      <c r="D840" s="93"/>
      <c r="E840" s="112"/>
      <c r="F840" s="112"/>
      <c r="G840" s="112"/>
      <c r="H840" s="112"/>
    </row>
    <row r="841" spans="4:8" x14ac:dyDescent="0.35">
      <c r="D841" s="93"/>
      <c r="E841" s="112"/>
      <c r="F841" s="112"/>
      <c r="G841" s="112"/>
      <c r="H841" s="112"/>
    </row>
    <row r="842" spans="4:8" x14ac:dyDescent="0.35">
      <c r="D842" s="93"/>
      <c r="E842" s="112"/>
      <c r="F842" s="112"/>
      <c r="G842" s="112"/>
      <c r="H842" s="112"/>
    </row>
    <row r="843" spans="4:8" x14ac:dyDescent="0.35">
      <c r="D843" s="93"/>
      <c r="E843" s="112"/>
      <c r="F843" s="112"/>
      <c r="G843" s="112"/>
      <c r="H843" s="112"/>
    </row>
    <row r="844" spans="4:8" x14ac:dyDescent="0.35">
      <c r="D844" s="93"/>
      <c r="E844" s="112"/>
      <c r="F844" s="112"/>
      <c r="G844" s="112"/>
      <c r="H844" s="112"/>
    </row>
    <row r="845" spans="4:8" x14ac:dyDescent="0.35">
      <c r="D845" s="93"/>
      <c r="E845" s="112"/>
      <c r="F845" s="112"/>
      <c r="G845" s="112"/>
      <c r="H845" s="112"/>
    </row>
    <row r="846" spans="4:8" x14ac:dyDescent="0.35">
      <c r="D846" s="93"/>
      <c r="E846" s="112"/>
      <c r="F846" s="112"/>
      <c r="G846" s="112"/>
      <c r="H846" s="112"/>
    </row>
    <row r="847" spans="4:8" x14ac:dyDescent="0.35">
      <c r="D847" s="93"/>
      <c r="E847" s="112"/>
      <c r="F847" s="112"/>
      <c r="G847" s="112"/>
      <c r="H847" s="112"/>
    </row>
    <row r="848" spans="4:8" x14ac:dyDescent="0.35">
      <c r="D848" s="93"/>
      <c r="E848" s="112"/>
      <c r="F848" s="112"/>
      <c r="G848" s="112"/>
      <c r="H848" s="112"/>
    </row>
    <row r="849" spans="4:8" x14ac:dyDescent="0.35">
      <c r="D849" s="93"/>
      <c r="E849" s="112"/>
      <c r="F849" s="112"/>
      <c r="G849" s="112"/>
      <c r="H849" s="112"/>
    </row>
    <row r="850" spans="4:8" x14ac:dyDescent="0.35">
      <c r="D850" s="93"/>
      <c r="E850" s="112"/>
      <c r="F850" s="112"/>
      <c r="G850" s="112"/>
      <c r="H850" s="112"/>
    </row>
    <row r="851" spans="4:8" x14ac:dyDescent="0.35">
      <c r="D851" s="93"/>
      <c r="E851" s="112"/>
      <c r="F851" s="112"/>
      <c r="G851" s="112"/>
      <c r="H851" s="112"/>
    </row>
    <row r="852" spans="4:8" x14ac:dyDescent="0.35">
      <c r="D852" s="93"/>
      <c r="E852" s="112"/>
      <c r="F852" s="112"/>
      <c r="G852" s="112"/>
      <c r="H852" s="112"/>
    </row>
    <row r="853" spans="4:8" x14ac:dyDescent="0.35">
      <c r="D853" s="93"/>
      <c r="E853" s="112"/>
      <c r="F853" s="112"/>
      <c r="G853" s="112"/>
      <c r="H853" s="112"/>
    </row>
    <row r="854" spans="4:8" x14ac:dyDescent="0.35">
      <c r="D854" s="93"/>
      <c r="E854" s="112"/>
      <c r="F854" s="112"/>
      <c r="G854" s="112"/>
      <c r="H854" s="112"/>
    </row>
    <row r="855" spans="4:8" x14ac:dyDescent="0.35">
      <c r="D855" s="93"/>
      <c r="E855" s="112"/>
      <c r="F855" s="112"/>
      <c r="G855" s="112"/>
      <c r="H855" s="112"/>
    </row>
    <row r="856" spans="4:8" x14ac:dyDescent="0.35">
      <c r="D856" s="93"/>
      <c r="E856" s="112"/>
      <c r="F856" s="112"/>
      <c r="G856" s="112"/>
      <c r="H856" s="112"/>
    </row>
    <row r="857" spans="4:8" x14ac:dyDescent="0.35">
      <c r="D857" s="93"/>
      <c r="E857" s="112"/>
      <c r="F857" s="112"/>
      <c r="G857" s="112"/>
      <c r="H857" s="112"/>
    </row>
    <row r="858" spans="4:8" x14ac:dyDescent="0.35">
      <c r="D858" s="93"/>
      <c r="E858" s="112"/>
      <c r="F858" s="112"/>
      <c r="G858" s="112"/>
      <c r="H858" s="112"/>
    </row>
    <row r="859" spans="4:8" x14ac:dyDescent="0.35">
      <c r="D859" s="93"/>
      <c r="E859" s="112"/>
      <c r="F859" s="112"/>
      <c r="G859" s="112"/>
      <c r="H859" s="112"/>
    </row>
    <row r="860" spans="4:8" x14ac:dyDescent="0.35">
      <c r="D860" s="93"/>
      <c r="E860" s="112"/>
      <c r="F860" s="112"/>
      <c r="G860" s="112"/>
      <c r="H860" s="112"/>
    </row>
    <row r="861" spans="4:8" x14ac:dyDescent="0.35">
      <c r="D861" s="93"/>
      <c r="E861" s="112"/>
      <c r="F861" s="112"/>
      <c r="G861" s="112"/>
      <c r="H861" s="112"/>
    </row>
    <row r="862" spans="4:8" x14ac:dyDescent="0.35">
      <c r="D862" s="93"/>
      <c r="E862" s="112"/>
      <c r="F862" s="112"/>
      <c r="G862" s="112"/>
      <c r="H862" s="112"/>
    </row>
    <row r="863" spans="4:8" x14ac:dyDescent="0.35">
      <c r="D863" s="93"/>
      <c r="E863" s="112"/>
      <c r="F863" s="112"/>
      <c r="G863" s="112"/>
      <c r="H863" s="112"/>
    </row>
    <row r="864" spans="4:8" x14ac:dyDescent="0.35">
      <c r="D864" s="93"/>
      <c r="E864" s="112"/>
      <c r="F864" s="112"/>
      <c r="G864" s="112"/>
      <c r="H864" s="112"/>
    </row>
    <row r="865" spans="4:8" x14ac:dyDescent="0.35">
      <c r="D865" s="93"/>
      <c r="E865" s="112"/>
      <c r="F865" s="112"/>
      <c r="G865" s="112"/>
      <c r="H865" s="112"/>
    </row>
    <row r="866" spans="4:8" x14ac:dyDescent="0.35">
      <c r="D866" s="93"/>
      <c r="E866" s="112"/>
      <c r="F866" s="112"/>
      <c r="G866" s="112"/>
      <c r="H866" s="112"/>
    </row>
    <row r="867" spans="4:8" x14ac:dyDescent="0.35">
      <c r="D867" s="93"/>
      <c r="E867" s="112"/>
      <c r="F867" s="112"/>
      <c r="G867" s="112"/>
      <c r="H867" s="112"/>
    </row>
    <row r="868" spans="4:8" x14ac:dyDescent="0.35">
      <c r="D868" s="93"/>
      <c r="E868" s="112"/>
      <c r="F868" s="112"/>
      <c r="G868" s="112"/>
      <c r="H868" s="112"/>
    </row>
    <row r="869" spans="4:8" x14ac:dyDescent="0.35">
      <c r="D869" s="93"/>
      <c r="E869" s="112"/>
      <c r="F869" s="112"/>
      <c r="G869" s="112"/>
      <c r="H869" s="112"/>
    </row>
    <row r="870" spans="4:8" x14ac:dyDescent="0.35">
      <c r="D870" s="93"/>
      <c r="E870" s="112"/>
      <c r="F870" s="112"/>
      <c r="G870" s="112"/>
      <c r="H870" s="112"/>
    </row>
    <row r="871" spans="4:8" x14ac:dyDescent="0.35">
      <c r="D871" s="93"/>
      <c r="E871" s="112"/>
      <c r="F871" s="112"/>
      <c r="G871" s="112"/>
      <c r="H871" s="112"/>
    </row>
    <row r="872" spans="4:8" x14ac:dyDescent="0.35">
      <c r="D872" s="93"/>
      <c r="E872" s="112"/>
      <c r="F872" s="112"/>
      <c r="G872" s="112"/>
      <c r="H872" s="112"/>
    </row>
    <row r="873" spans="4:8" x14ac:dyDescent="0.35">
      <c r="D873" s="93"/>
      <c r="E873" s="112"/>
      <c r="F873" s="112"/>
      <c r="G873" s="112"/>
      <c r="H873" s="112"/>
    </row>
    <row r="874" spans="4:8" x14ac:dyDescent="0.35">
      <c r="D874" s="93"/>
      <c r="E874" s="112"/>
      <c r="F874" s="112"/>
      <c r="G874" s="112"/>
      <c r="H874" s="112"/>
    </row>
    <row r="875" spans="4:8" x14ac:dyDescent="0.35">
      <c r="D875" s="93"/>
      <c r="E875" s="112"/>
      <c r="F875" s="112"/>
      <c r="G875" s="112"/>
      <c r="H875" s="112"/>
    </row>
    <row r="876" spans="4:8" x14ac:dyDescent="0.35">
      <c r="D876" s="93"/>
      <c r="E876" s="112"/>
      <c r="F876" s="112"/>
      <c r="G876" s="112"/>
      <c r="H876" s="112"/>
    </row>
    <row r="877" spans="4:8" x14ac:dyDescent="0.35">
      <c r="D877" s="93"/>
      <c r="E877" s="112"/>
      <c r="F877" s="112"/>
      <c r="G877" s="112"/>
      <c r="H877" s="112"/>
    </row>
    <row r="878" spans="4:8" x14ac:dyDescent="0.35">
      <c r="D878" s="93"/>
      <c r="E878" s="112"/>
      <c r="F878" s="112"/>
      <c r="G878" s="112"/>
      <c r="H878" s="112"/>
    </row>
    <row r="879" spans="4:8" x14ac:dyDescent="0.35">
      <c r="D879" s="93"/>
      <c r="E879" s="112"/>
      <c r="F879" s="112"/>
      <c r="G879" s="112"/>
      <c r="H879" s="112"/>
    </row>
    <row r="880" spans="4:8" x14ac:dyDescent="0.35">
      <c r="D880" s="93"/>
      <c r="E880" s="112"/>
      <c r="F880" s="112"/>
      <c r="G880" s="112"/>
      <c r="H880" s="112"/>
    </row>
    <row r="881" spans="4:8" x14ac:dyDescent="0.35">
      <c r="D881" s="93"/>
      <c r="E881" s="112"/>
      <c r="F881" s="112"/>
      <c r="G881" s="112"/>
      <c r="H881" s="112"/>
    </row>
    <row r="882" spans="4:8" x14ac:dyDescent="0.35">
      <c r="D882" s="93"/>
      <c r="E882" s="112"/>
      <c r="F882" s="112"/>
      <c r="G882" s="112"/>
      <c r="H882" s="112"/>
    </row>
    <row r="883" spans="4:8" x14ac:dyDescent="0.35">
      <c r="D883" s="93"/>
      <c r="E883" s="112"/>
      <c r="F883" s="112"/>
      <c r="G883" s="112"/>
      <c r="H883" s="112"/>
    </row>
    <row r="884" spans="4:8" x14ac:dyDescent="0.35">
      <c r="D884" s="93"/>
      <c r="E884" s="112"/>
      <c r="F884" s="112"/>
      <c r="G884" s="112"/>
      <c r="H884" s="112"/>
    </row>
    <row r="885" spans="4:8" x14ac:dyDescent="0.35">
      <c r="D885" s="93"/>
      <c r="E885" s="112"/>
      <c r="F885" s="112"/>
      <c r="G885" s="112"/>
      <c r="H885" s="112"/>
    </row>
    <row r="886" spans="4:8" x14ac:dyDescent="0.35">
      <c r="D886" s="93"/>
      <c r="E886" s="112"/>
      <c r="F886" s="112"/>
      <c r="G886" s="112"/>
      <c r="H886" s="112"/>
    </row>
    <row r="887" spans="4:8" x14ac:dyDescent="0.35">
      <c r="D887" s="93"/>
      <c r="E887" s="112"/>
      <c r="F887" s="112"/>
      <c r="G887" s="112"/>
      <c r="H887" s="112"/>
    </row>
    <row r="888" spans="4:8" x14ac:dyDescent="0.35">
      <c r="D888" s="93"/>
      <c r="E888" s="112"/>
      <c r="F888" s="112"/>
      <c r="G888" s="112"/>
      <c r="H888" s="112"/>
    </row>
    <row r="889" spans="4:8" x14ac:dyDescent="0.35">
      <c r="D889" s="93"/>
      <c r="E889" s="112"/>
      <c r="F889" s="112"/>
      <c r="G889" s="112"/>
      <c r="H889" s="112"/>
    </row>
    <row r="890" spans="4:8" x14ac:dyDescent="0.35">
      <c r="D890" s="93"/>
      <c r="E890" s="112"/>
      <c r="F890" s="112"/>
      <c r="G890" s="112"/>
      <c r="H890" s="112"/>
    </row>
    <row r="891" spans="4:8" x14ac:dyDescent="0.35">
      <c r="D891" s="93"/>
      <c r="E891" s="112"/>
      <c r="F891" s="112"/>
      <c r="G891" s="112"/>
      <c r="H891" s="112"/>
    </row>
    <row r="892" spans="4:8" x14ac:dyDescent="0.35">
      <c r="D892" s="93"/>
      <c r="E892" s="112"/>
      <c r="F892" s="112"/>
      <c r="G892" s="112"/>
      <c r="H892" s="112"/>
    </row>
    <row r="893" spans="4:8" x14ac:dyDescent="0.35">
      <c r="D893" s="93"/>
      <c r="E893" s="112"/>
      <c r="F893" s="112"/>
      <c r="G893" s="112"/>
      <c r="H893" s="112"/>
    </row>
    <row r="894" spans="4:8" x14ac:dyDescent="0.35">
      <c r="D894" s="93"/>
      <c r="E894" s="112"/>
      <c r="F894" s="112"/>
      <c r="G894" s="112"/>
      <c r="H894" s="112"/>
    </row>
    <row r="895" spans="4:8" x14ac:dyDescent="0.35">
      <c r="D895" s="93"/>
      <c r="E895" s="112"/>
      <c r="F895" s="112"/>
      <c r="G895" s="112"/>
      <c r="H895" s="112"/>
    </row>
    <row r="896" spans="4:8" x14ac:dyDescent="0.35">
      <c r="D896" s="93"/>
      <c r="E896" s="112"/>
      <c r="F896" s="112"/>
      <c r="G896" s="112"/>
      <c r="H896" s="112"/>
    </row>
    <row r="897" spans="4:8" x14ac:dyDescent="0.35">
      <c r="D897" s="93"/>
      <c r="E897" s="112"/>
      <c r="F897" s="112"/>
      <c r="G897" s="112"/>
      <c r="H897" s="112"/>
    </row>
    <row r="898" spans="4:8" x14ac:dyDescent="0.35">
      <c r="D898" s="93"/>
      <c r="E898" s="112"/>
      <c r="F898" s="112"/>
      <c r="G898" s="112"/>
      <c r="H898" s="112"/>
    </row>
    <row r="899" spans="4:8" x14ac:dyDescent="0.35">
      <c r="D899" s="93"/>
      <c r="E899" s="112"/>
      <c r="F899" s="112"/>
      <c r="G899" s="112"/>
      <c r="H899" s="112"/>
    </row>
    <row r="900" spans="4:8" x14ac:dyDescent="0.35">
      <c r="D900" s="93"/>
      <c r="E900" s="112"/>
      <c r="F900" s="112"/>
      <c r="G900" s="112"/>
      <c r="H900" s="112"/>
    </row>
    <row r="901" spans="4:8" x14ac:dyDescent="0.35">
      <c r="D901" s="93"/>
      <c r="E901" s="112"/>
      <c r="F901" s="112"/>
      <c r="G901" s="112"/>
      <c r="H901" s="112"/>
    </row>
    <row r="902" spans="4:8" x14ac:dyDescent="0.35">
      <c r="D902" s="93"/>
      <c r="E902" s="112"/>
      <c r="F902" s="112"/>
      <c r="G902" s="112"/>
      <c r="H902" s="112"/>
    </row>
    <row r="903" spans="4:8" x14ac:dyDescent="0.35">
      <c r="D903" s="93"/>
      <c r="E903" s="112"/>
      <c r="F903" s="112"/>
      <c r="G903" s="112"/>
      <c r="H903" s="112"/>
    </row>
    <row r="904" spans="4:8" x14ac:dyDescent="0.35">
      <c r="D904" s="93"/>
      <c r="E904" s="112"/>
      <c r="F904" s="112"/>
      <c r="G904" s="112"/>
      <c r="H904" s="112"/>
    </row>
    <row r="905" spans="4:8" x14ac:dyDescent="0.35">
      <c r="D905" s="93"/>
      <c r="E905" s="112"/>
      <c r="F905" s="112"/>
      <c r="G905" s="112"/>
      <c r="H905" s="112"/>
    </row>
    <row r="906" spans="4:8" x14ac:dyDescent="0.35">
      <c r="D906" s="93"/>
      <c r="E906" s="112"/>
      <c r="F906" s="112"/>
      <c r="G906" s="112"/>
      <c r="H906" s="112"/>
    </row>
    <row r="907" spans="4:8" x14ac:dyDescent="0.35">
      <c r="D907" s="93"/>
      <c r="E907" s="112"/>
      <c r="F907" s="112"/>
      <c r="G907" s="112"/>
      <c r="H907" s="112"/>
    </row>
    <row r="908" spans="4:8" x14ac:dyDescent="0.35">
      <c r="D908" s="93"/>
      <c r="E908" s="112"/>
      <c r="F908" s="112"/>
      <c r="G908" s="112"/>
      <c r="H908" s="112"/>
    </row>
    <row r="909" spans="4:8" x14ac:dyDescent="0.35">
      <c r="D909" s="93"/>
      <c r="E909" s="112"/>
      <c r="F909" s="112"/>
      <c r="G909" s="112"/>
      <c r="H909" s="112"/>
    </row>
    <row r="910" spans="4:8" x14ac:dyDescent="0.35">
      <c r="D910" s="93"/>
      <c r="E910" s="112"/>
      <c r="F910" s="112"/>
      <c r="G910" s="112"/>
      <c r="H910" s="112"/>
    </row>
    <row r="911" spans="4:8" x14ac:dyDescent="0.35">
      <c r="D911" s="93"/>
      <c r="E911" s="112"/>
      <c r="F911" s="112"/>
      <c r="G911" s="112"/>
      <c r="H911" s="112"/>
    </row>
    <row r="912" spans="4:8" x14ac:dyDescent="0.35">
      <c r="D912" s="93"/>
      <c r="E912" s="112"/>
      <c r="F912" s="112"/>
      <c r="G912" s="112"/>
      <c r="H912" s="112"/>
    </row>
    <row r="913" spans="4:8" x14ac:dyDescent="0.35">
      <c r="D913" s="93"/>
      <c r="E913" s="112"/>
      <c r="F913" s="112"/>
      <c r="G913" s="112"/>
      <c r="H913" s="112"/>
    </row>
    <row r="914" spans="4:8" x14ac:dyDescent="0.35">
      <c r="D914" s="93"/>
      <c r="E914" s="112"/>
      <c r="F914" s="112"/>
      <c r="G914" s="112"/>
      <c r="H914" s="112"/>
    </row>
    <row r="915" spans="4:8" x14ac:dyDescent="0.35">
      <c r="D915" s="93"/>
      <c r="E915" s="112"/>
      <c r="F915" s="112"/>
      <c r="G915" s="112"/>
      <c r="H915" s="112"/>
    </row>
    <row r="916" spans="4:8" x14ac:dyDescent="0.35">
      <c r="D916" s="93"/>
      <c r="E916" s="112"/>
      <c r="F916" s="112"/>
      <c r="G916" s="112"/>
      <c r="H916" s="112"/>
    </row>
    <row r="917" spans="4:8" x14ac:dyDescent="0.35">
      <c r="D917" s="93"/>
      <c r="E917" s="112"/>
      <c r="F917" s="112"/>
      <c r="G917" s="112"/>
      <c r="H917" s="112"/>
    </row>
    <row r="918" spans="4:8" x14ac:dyDescent="0.35">
      <c r="D918" s="93"/>
      <c r="E918" s="112"/>
      <c r="F918" s="112"/>
      <c r="G918" s="112"/>
      <c r="H918" s="112"/>
    </row>
    <row r="919" spans="4:8" x14ac:dyDescent="0.35">
      <c r="D919" s="93"/>
      <c r="E919" s="112"/>
      <c r="F919" s="112"/>
      <c r="G919" s="112"/>
      <c r="H919" s="112"/>
    </row>
    <row r="920" spans="4:8" x14ac:dyDescent="0.35">
      <c r="D920" s="93"/>
      <c r="E920" s="112"/>
      <c r="F920" s="112"/>
      <c r="G920" s="112"/>
      <c r="H920" s="112"/>
    </row>
    <row r="921" spans="4:8" x14ac:dyDescent="0.35">
      <c r="D921" s="93"/>
      <c r="E921" s="112"/>
      <c r="F921" s="112"/>
      <c r="G921" s="112"/>
      <c r="H921" s="112"/>
    </row>
    <row r="922" spans="4:8" x14ac:dyDescent="0.35">
      <c r="D922" s="93"/>
      <c r="E922" s="112"/>
      <c r="F922" s="112"/>
      <c r="G922" s="112"/>
      <c r="H922" s="112"/>
    </row>
    <row r="923" spans="4:8" x14ac:dyDescent="0.35">
      <c r="D923" s="93"/>
      <c r="E923" s="112"/>
      <c r="F923" s="112"/>
      <c r="G923" s="112"/>
      <c r="H923" s="112"/>
    </row>
    <row r="924" spans="4:8" x14ac:dyDescent="0.35">
      <c r="D924" s="93"/>
      <c r="E924" s="112"/>
      <c r="F924" s="112"/>
      <c r="G924" s="112"/>
      <c r="H924" s="112"/>
    </row>
    <row r="925" spans="4:8" x14ac:dyDescent="0.35">
      <c r="D925" s="93"/>
      <c r="E925" s="112"/>
      <c r="F925" s="112"/>
      <c r="G925" s="112"/>
      <c r="H925" s="112"/>
    </row>
    <row r="926" spans="4:8" x14ac:dyDescent="0.35">
      <c r="D926" s="93"/>
      <c r="E926" s="112"/>
      <c r="F926" s="112"/>
      <c r="G926" s="112"/>
      <c r="H926" s="112"/>
    </row>
    <row r="927" spans="4:8" x14ac:dyDescent="0.35">
      <c r="D927" s="93"/>
      <c r="E927" s="112"/>
      <c r="F927" s="112"/>
      <c r="G927" s="112"/>
      <c r="H927" s="112"/>
    </row>
    <row r="928" spans="4:8" x14ac:dyDescent="0.35">
      <c r="D928" s="93"/>
      <c r="E928" s="112"/>
      <c r="F928" s="112"/>
      <c r="G928" s="112"/>
      <c r="H928" s="112"/>
    </row>
    <row r="929" spans="4:8" x14ac:dyDescent="0.35">
      <c r="D929" s="93"/>
      <c r="E929" s="112"/>
      <c r="F929" s="112"/>
      <c r="G929" s="112"/>
      <c r="H929" s="112"/>
    </row>
    <row r="930" spans="4:8" x14ac:dyDescent="0.35">
      <c r="D930" s="93"/>
      <c r="E930" s="112"/>
      <c r="F930" s="112"/>
      <c r="G930" s="112"/>
      <c r="H930" s="112"/>
    </row>
    <row r="931" spans="4:8" x14ac:dyDescent="0.35">
      <c r="D931" s="93"/>
      <c r="E931" s="112"/>
      <c r="F931" s="112"/>
      <c r="G931" s="112"/>
      <c r="H931" s="112"/>
    </row>
    <row r="932" spans="4:8" x14ac:dyDescent="0.35">
      <c r="D932" s="93"/>
      <c r="E932" s="112"/>
      <c r="F932" s="112"/>
      <c r="G932" s="112"/>
      <c r="H932" s="112"/>
    </row>
    <row r="933" spans="4:8" x14ac:dyDescent="0.35">
      <c r="D933" s="93"/>
      <c r="E933" s="112"/>
      <c r="F933" s="112"/>
      <c r="G933" s="112"/>
      <c r="H933" s="112"/>
    </row>
    <row r="934" spans="4:8" x14ac:dyDescent="0.35">
      <c r="D934" s="93"/>
      <c r="E934" s="112"/>
      <c r="F934" s="112"/>
      <c r="G934" s="112"/>
      <c r="H934" s="112"/>
    </row>
    <row r="935" spans="4:8" x14ac:dyDescent="0.35">
      <c r="D935" s="93"/>
      <c r="E935" s="112"/>
      <c r="F935" s="112"/>
      <c r="G935" s="112"/>
      <c r="H935" s="112"/>
    </row>
    <row r="936" spans="4:8" x14ac:dyDescent="0.35">
      <c r="D936" s="93"/>
      <c r="E936" s="112"/>
      <c r="F936" s="112"/>
      <c r="G936" s="112"/>
      <c r="H936" s="112"/>
    </row>
    <row r="937" spans="4:8" x14ac:dyDescent="0.35">
      <c r="D937" s="93"/>
      <c r="E937" s="112"/>
      <c r="F937" s="112"/>
      <c r="G937" s="112"/>
      <c r="H937" s="112"/>
    </row>
    <row r="938" spans="4:8" x14ac:dyDescent="0.35">
      <c r="D938" s="93"/>
      <c r="E938" s="112"/>
      <c r="F938" s="112"/>
      <c r="G938" s="112"/>
      <c r="H938" s="112"/>
    </row>
    <row r="939" spans="4:8" x14ac:dyDescent="0.35">
      <c r="D939" s="93"/>
      <c r="E939" s="112"/>
      <c r="F939" s="112"/>
      <c r="G939" s="112"/>
      <c r="H939" s="112"/>
    </row>
    <row r="940" spans="4:8" x14ac:dyDescent="0.35">
      <c r="D940" s="93"/>
      <c r="E940" s="112"/>
      <c r="F940" s="112"/>
      <c r="G940" s="112"/>
      <c r="H940" s="112"/>
    </row>
    <row r="941" spans="4:8" x14ac:dyDescent="0.35">
      <c r="D941" s="93"/>
      <c r="E941" s="112"/>
      <c r="F941" s="112"/>
      <c r="G941" s="112"/>
      <c r="H941" s="112"/>
    </row>
    <row r="942" spans="4:8" x14ac:dyDescent="0.35">
      <c r="D942" s="93"/>
      <c r="E942" s="112"/>
      <c r="F942" s="112"/>
      <c r="G942" s="112"/>
      <c r="H942" s="112"/>
    </row>
    <row r="943" spans="4:8" x14ac:dyDescent="0.35">
      <c r="D943" s="93"/>
      <c r="E943" s="112"/>
      <c r="F943" s="112"/>
      <c r="G943" s="112"/>
      <c r="H943" s="112"/>
    </row>
    <row r="944" spans="4:8" x14ac:dyDescent="0.35">
      <c r="D944" s="93"/>
      <c r="E944" s="112"/>
      <c r="F944" s="112"/>
      <c r="G944" s="112"/>
      <c r="H944" s="112"/>
    </row>
    <row r="945" spans="4:8" x14ac:dyDescent="0.35">
      <c r="D945" s="93"/>
      <c r="E945" s="112"/>
      <c r="F945" s="112"/>
      <c r="G945" s="112"/>
      <c r="H945" s="112"/>
    </row>
    <row r="946" spans="4:8" x14ac:dyDescent="0.35">
      <c r="D946" s="93"/>
      <c r="E946" s="112"/>
      <c r="F946" s="112"/>
      <c r="G946" s="112"/>
      <c r="H946" s="112"/>
    </row>
    <row r="947" spans="4:8" x14ac:dyDescent="0.35">
      <c r="D947" s="93"/>
      <c r="E947" s="112"/>
      <c r="F947" s="112"/>
      <c r="G947" s="112"/>
      <c r="H947" s="112"/>
    </row>
    <row r="948" spans="4:8" x14ac:dyDescent="0.35">
      <c r="D948" s="93"/>
      <c r="E948" s="112"/>
      <c r="F948" s="112"/>
      <c r="G948" s="112"/>
      <c r="H948" s="112"/>
    </row>
    <row r="949" spans="4:8" x14ac:dyDescent="0.35">
      <c r="D949" s="93"/>
      <c r="E949" s="112"/>
      <c r="F949" s="112"/>
      <c r="G949" s="112"/>
      <c r="H949" s="112"/>
    </row>
    <row r="950" spans="4:8" x14ac:dyDescent="0.35">
      <c r="D950" s="93"/>
      <c r="E950" s="112"/>
      <c r="F950" s="112"/>
      <c r="G950" s="112"/>
      <c r="H950" s="112"/>
    </row>
    <row r="951" spans="4:8" x14ac:dyDescent="0.35">
      <c r="D951" s="93"/>
      <c r="E951" s="112"/>
      <c r="F951" s="112"/>
      <c r="G951" s="112"/>
      <c r="H951" s="112"/>
    </row>
    <row r="952" spans="4:8" x14ac:dyDescent="0.35">
      <c r="D952" s="93"/>
      <c r="E952" s="112"/>
      <c r="F952" s="112"/>
      <c r="G952" s="112"/>
      <c r="H952" s="112"/>
    </row>
    <row r="953" spans="4:8" x14ac:dyDescent="0.35">
      <c r="D953" s="93"/>
      <c r="E953" s="112"/>
      <c r="F953" s="112"/>
      <c r="G953" s="112"/>
      <c r="H953" s="112"/>
    </row>
    <row r="954" spans="4:8" x14ac:dyDescent="0.35">
      <c r="D954" s="93"/>
      <c r="E954" s="112"/>
      <c r="F954" s="112"/>
      <c r="G954" s="112"/>
      <c r="H954" s="112"/>
    </row>
    <row r="955" spans="4:8" x14ac:dyDescent="0.35">
      <c r="D955" s="93"/>
      <c r="E955" s="112"/>
      <c r="F955" s="112"/>
      <c r="G955" s="112"/>
      <c r="H955" s="112"/>
    </row>
    <row r="956" spans="4:8" x14ac:dyDescent="0.35">
      <c r="D956" s="93"/>
      <c r="E956" s="112"/>
      <c r="F956" s="112"/>
      <c r="G956" s="112"/>
      <c r="H956" s="112"/>
    </row>
    <row r="957" spans="4:8" x14ac:dyDescent="0.35">
      <c r="D957" s="93"/>
      <c r="E957" s="112"/>
      <c r="F957" s="112"/>
      <c r="G957" s="112"/>
      <c r="H957" s="112"/>
    </row>
    <row r="958" spans="4:8" x14ac:dyDescent="0.35">
      <c r="D958" s="93"/>
      <c r="E958" s="112"/>
      <c r="F958" s="112"/>
      <c r="G958" s="112"/>
      <c r="H958" s="112"/>
    </row>
    <row r="959" spans="4:8" x14ac:dyDescent="0.35">
      <c r="D959" s="93"/>
      <c r="E959" s="112"/>
      <c r="F959" s="112"/>
      <c r="G959" s="112"/>
      <c r="H959" s="112"/>
    </row>
    <row r="960" spans="4:8" x14ac:dyDescent="0.35">
      <c r="D960" s="93"/>
      <c r="E960" s="112"/>
      <c r="F960" s="112"/>
      <c r="G960" s="112"/>
      <c r="H960" s="112"/>
    </row>
    <row r="961" spans="4:8" x14ac:dyDescent="0.35">
      <c r="D961" s="93"/>
      <c r="E961" s="112"/>
      <c r="F961" s="112"/>
      <c r="G961" s="112"/>
      <c r="H961" s="112"/>
    </row>
    <row r="962" spans="4:8" x14ac:dyDescent="0.35">
      <c r="D962" s="93"/>
      <c r="E962" s="112"/>
      <c r="F962" s="112"/>
      <c r="G962" s="112"/>
      <c r="H962" s="112"/>
    </row>
    <row r="963" spans="4:8" x14ac:dyDescent="0.35">
      <c r="D963" s="93"/>
      <c r="E963" s="112"/>
      <c r="F963" s="112"/>
      <c r="G963" s="112"/>
      <c r="H963" s="112"/>
    </row>
    <row r="964" spans="4:8" x14ac:dyDescent="0.35">
      <c r="D964" s="93"/>
      <c r="E964" s="112"/>
      <c r="F964" s="112"/>
      <c r="G964" s="112"/>
      <c r="H964" s="112"/>
    </row>
    <row r="965" spans="4:8" x14ac:dyDescent="0.35">
      <c r="D965" s="93"/>
      <c r="E965" s="112"/>
      <c r="F965" s="112"/>
      <c r="G965" s="112"/>
      <c r="H965" s="112"/>
    </row>
    <row r="966" spans="4:8" x14ac:dyDescent="0.35">
      <c r="D966" s="93"/>
      <c r="E966" s="112"/>
      <c r="F966" s="112"/>
      <c r="G966" s="112"/>
      <c r="H966" s="112"/>
    </row>
    <row r="967" spans="4:8" x14ac:dyDescent="0.35">
      <c r="D967" s="93"/>
      <c r="E967" s="112"/>
      <c r="F967" s="112"/>
      <c r="G967" s="112"/>
      <c r="H967" s="112"/>
    </row>
    <row r="968" spans="4:8" x14ac:dyDescent="0.35">
      <c r="D968" s="93"/>
      <c r="E968" s="112"/>
      <c r="F968" s="112"/>
      <c r="G968" s="112"/>
      <c r="H968" s="112"/>
    </row>
    <row r="969" spans="4:8" x14ac:dyDescent="0.35">
      <c r="D969" s="93"/>
      <c r="E969" s="112"/>
      <c r="F969" s="112"/>
      <c r="G969" s="112"/>
      <c r="H969" s="112"/>
    </row>
    <row r="970" spans="4:8" x14ac:dyDescent="0.35">
      <c r="D970" s="93"/>
      <c r="E970" s="112"/>
      <c r="F970" s="112"/>
      <c r="G970" s="112"/>
      <c r="H970" s="112"/>
    </row>
    <row r="971" spans="4:8" x14ac:dyDescent="0.35">
      <c r="D971" s="93"/>
      <c r="E971" s="112"/>
      <c r="F971" s="112"/>
      <c r="G971" s="112"/>
      <c r="H971" s="112"/>
    </row>
    <row r="972" spans="4:8" x14ac:dyDescent="0.35">
      <c r="D972" s="93"/>
      <c r="E972" s="112"/>
      <c r="F972" s="112"/>
      <c r="G972" s="112"/>
      <c r="H972" s="112"/>
    </row>
    <row r="973" spans="4:8" x14ac:dyDescent="0.35">
      <c r="D973" s="93"/>
      <c r="E973" s="112"/>
      <c r="F973" s="112"/>
      <c r="G973" s="112"/>
      <c r="H973" s="112"/>
    </row>
    <row r="974" spans="4:8" x14ac:dyDescent="0.35">
      <c r="D974" s="93"/>
      <c r="E974" s="112"/>
      <c r="F974" s="112"/>
      <c r="G974" s="112"/>
      <c r="H974" s="112"/>
    </row>
    <row r="975" spans="4:8" x14ac:dyDescent="0.35">
      <c r="D975" s="93"/>
      <c r="E975" s="112"/>
      <c r="F975" s="112"/>
      <c r="G975" s="112"/>
      <c r="H975" s="112"/>
    </row>
    <row r="976" spans="4:8" x14ac:dyDescent="0.35">
      <c r="D976" s="93"/>
      <c r="E976" s="112"/>
      <c r="F976" s="112"/>
      <c r="G976" s="112"/>
      <c r="H976" s="112"/>
    </row>
    <row r="977" spans="4:8" x14ac:dyDescent="0.35">
      <c r="D977" s="93"/>
      <c r="E977" s="112"/>
      <c r="F977" s="112"/>
      <c r="G977" s="112"/>
      <c r="H977" s="112"/>
    </row>
    <row r="978" spans="4:8" x14ac:dyDescent="0.35">
      <c r="D978" s="93"/>
      <c r="E978" s="112"/>
      <c r="F978" s="112"/>
      <c r="G978" s="112"/>
      <c r="H978" s="112"/>
    </row>
    <row r="979" spans="4:8" x14ac:dyDescent="0.35">
      <c r="D979" s="93"/>
      <c r="E979" s="112"/>
      <c r="F979" s="112"/>
      <c r="G979" s="112"/>
      <c r="H979" s="112"/>
    </row>
    <row r="980" spans="4:8" x14ac:dyDescent="0.35">
      <c r="D980" s="93"/>
      <c r="E980" s="112"/>
      <c r="F980" s="112"/>
      <c r="G980" s="112"/>
      <c r="H980" s="112"/>
    </row>
    <row r="981" spans="4:8" x14ac:dyDescent="0.35">
      <c r="D981" s="93"/>
      <c r="E981" s="112"/>
      <c r="F981" s="112"/>
      <c r="G981" s="112"/>
      <c r="H981" s="112"/>
    </row>
    <row r="982" spans="4:8" x14ac:dyDescent="0.35">
      <c r="D982" s="93"/>
      <c r="E982" s="112"/>
      <c r="F982" s="112"/>
      <c r="G982" s="112"/>
      <c r="H982" s="112"/>
    </row>
    <row r="983" spans="4:8" x14ac:dyDescent="0.35">
      <c r="D983" s="93"/>
      <c r="E983" s="112"/>
      <c r="F983" s="112"/>
      <c r="G983" s="112"/>
      <c r="H983" s="112"/>
    </row>
    <row r="984" spans="4:8" x14ac:dyDescent="0.35">
      <c r="D984" s="93"/>
      <c r="E984" s="112"/>
      <c r="F984" s="112"/>
      <c r="G984" s="112"/>
      <c r="H984" s="112"/>
    </row>
    <row r="985" spans="4:8" x14ac:dyDescent="0.35">
      <c r="D985" s="93"/>
      <c r="E985" s="112"/>
      <c r="F985" s="112"/>
      <c r="G985" s="112"/>
      <c r="H985" s="112"/>
    </row>
    <row r="986" spans="4:8" x14ac:dyDescent="0.35">
      <c r="D986" s="93"/>
      <c r="E986" s="112"/>
      <c r="F986" s="112"/>
      <c r="G986" s="112"/>
      <c r="H986" s="112"/>
    </row>
    <row r="987" spans="4:8" x14ac:dyDescent="0.35">
      <c r="D987" s="93"/>
      <c r="E987" s="112"/>
      <c r="F987" s="112"/>
      <c r="G987" s="112"/>
      <c r="H987" s="112"/>
    </row>
    <row r="988" spans="4:8" x14ac:dyDescent="0.35">
      <c r="D988" s="93"/>
      <c r="E988" s="112"/>
      <c r="F988" s="112"/>
      <c r="G988" s="112"/>
      <c r="H988" s="112"/>
    </row>
    <row r="989" spans="4:8" x14ac:dyDescent="0.35">
      <c r="D989" s="93"/>
      <c r="E989" s="112"/>
      <c r="F989" s="112"/>
      <c r="G989" s="112"/>
      <c r="H989" s="112"/>
    </row>
    <row r="990" spans="4:8" x14ac:dyDescent="0.35">
      <c r="D990" s="93"/>
      <c r="E990" s="112"/>
      <c r="F990" s="112"/>
      <c r="G990" s="112"/>
      <c r="H990" s="112"/>
    </row>
    <row r="991" spans="4:8" x14ac:dyDescent="0.35">
      <c r="D991" s="93"/>
      <c r="E991" s="112"/>
      <c r="F991" s="112"/>
      <c r="G991" s="112"/>
      <c r="H991" s="112"/>
    </row>
    <row r="992" spans="4:8" x14ac:dyDescent="0.35">
      <c r="F992" s="112"/>
    </row>
    <row r="993" spans="6:6" x14ac:dyDescent="0.35">
      <c r="F993" s="112"/>
    </row>
    <row r="994" spans="6:6" x14ac:dyDescent="0.35">
      <c r="F994" s="112"/>
    </row>
    <row r="995" spans="6:6" x14ac:dyDescent="0.35">
      <c r="F995" s="112"/>
    </row>
    <row r="996" spans="6:6" x14ac:dyDescent="0.35">
      <c r="F996" s="112"/>
    </row>
    <row r="997" spans="6:6" x14ac:dyDescent="0.35">
      <c r="F997" s="112"/>
    </row>
    <row r="998" spans="6:6" x14ac:dyDescent="0.35">
      <c r="F998" s="112"/>
    </row>
    <row r="999" spans="6:6" x14ac:dyDescent="0.35">
      <c r="F999" s="112"/>
    </row>
    <row r="1000" spans="6:6" x14ac:dyDescent="0.35">
      <c r="F1000" s="112"/>
    </row>
    <row r="1001" spans="6:6" x14ac:dyDescent="0.35">
      <c r="F1001" s="112"/>
    </row>
    <row r="1002" spans="6:6" x14ac:dyDescent="0.35">
      <c r="F1002" s="112"/>
    </row>
    <row r="1003" spans="6:6" x14ac:dyDescent="0.35">
      <c r="F1003" s="112"/>
    </row>
    <row r="1004" spans="6:6" x14ac:dyDescent="0.35">
      <c r="F1004" s="112"/>
    </row>
    <row r="1005" spans="6:6" x14ac:dyDescent="0.35">
      <c r="F1005" s="112"/>
    </row>
    <row r="1006" spans="6:6" x14ac:dyDescent="0.35">
      <c r="F1006" s="112"/>
    </row>
    <row r="1007" spans="6:6" x14ac:dyDescent="0.35">
      <c r="F1007" s="112"/>
    </row>
    <row r="1008" spans="6:6" x14ac:dyDescent="0.35">
      <c r="F1008" s="112"/>
    </row>
  </sheetData>
  <mergeCells count="119">
    <mergeCell ref="M121:M127"/>
    <mergeCell ref="C178:D178"/>
    <mergeCell ref="C112:D112"/>
    <mergeCell ref="C113:D113"/>
    <mergeCell ref="C114:D114"/>
    <mergeCell ref="C42:D42"/>
    <mergeCell ref="A45:A51"/>
    <mergeCell ref="C45:D45"/>
    <mergeCell ref="C46:D46"/>
    <mergeCell ref="C47:D47"/>
    <mergeCell ref="C170:D170"/>
    <mergeCell ref="C50:D50"/>
    <mergeCell ref="C51:D51"/>
    <mergeCell ref="A36:A42"/>
    <mergeCell ref="C36:D36"/>
    <mergeCell ref="C37:D37"/>
    <mergeCell ref="C38:D38"/>
    <mergeCell ref="C39:D39"/>
    <mergeCell ref="C40:D40"/>
    <mergeCell ref="C41:D41"/>
    <mergeCell ref="C48:D48"/>
    <mergeCell ref="C49:D49"/>
    <mergeCell ref="C98:D98"/>
    <mergeCell ref="A86:A93"/>
    <mergeCell ref="C87:D87"/>
    <mergeCell ref="C91:D91"/>
    <mergeCell ref="C171:D171"/>
    <mergeCell ref="A54:A60"/>
    <mergeCell ref="C54:D54"/>
    <mergeCell ref="C55:D55"/>
    <mergeCell ref="C56:D56"/>
    <mergeCell ref="C57:D57"/>
    <mergeCell ref="C58:D58"/>
    <mergeCell ref="C59:D59"/>
    <mergeCell ref="C60:D60"/>
    <mergeCell ref="C123:D123"/>
    <mergeCell ref="C124:D124"/>
    <mergeCell ref="C125:D125"/>
    <mergeCell ref="C126:D126"/>
    <mergeCell ref="C127:D127"/>
    <mergeCell ref="C117:D117"/>
    <mergeCell ref="C118:D118"/>
    <mergeCell ref="C111:I111"/>
    <mergeCell ref="C121:D121"/>
    <mergeCell ref="C67:D67"/>
    <mergeCell ref="C68:D68"/>
    <mergeCell ref="C69:D69"/>
    <mergeCell ref="C70:D70"/>
    <mergeCell ref="C94:D94"/>
    <mergeCell ref="E96:J96"/>
    <mergeCell ref="C81:D81"/>
    <mergeCell ref="A5:A8"/>
    <mergeCell ref="A16:A18"/>
    <mergeCell ref="A27:A33"/>
    <mergeCell ref="C27:D27"/>
    <mergeCell ref="C28:D28"/>
    <mergeCell ref="C29:D29"/>
    <mergeCell ref="C30:D30"/>
    <mergeCell ref="C31:D31"/>
    <mergeCell ref="C32:D32"/>
    <mergeCell ref="C33:D33"/>
    <mergeCell ref="A65:A71"/>
    <mergeCell ref="C86:D86"/>
    <mergeCell ref="C65:D65"/>
    <mergeCell ref="C66:D66"/>
    <mergeCell ref="C71:D71"/>
    <mergeCell ref="A75:A81"/>
    <mergeCell ref="C75:D75"/>
    <mergeCell ref="C76:D76"/>
    <mergeCell ref="C77:D77"/>
    <mergeCell ref="C78:D78"/>
    <mergeCell ref="C79:D79"/>
    <mergeCell ref="C80:D80"/>
    <mergeCell ref="C144:D144"/>
    <mergeCell ref="C138:I138"/>
    <mergeCell ref="C135:D135"/>
    <mergeCell ref="C129:I129"/>
    <mergeCell ref="C139:D139"/>
    <mergeCell ref="C140:D140"/>
    <mergeCell ref="C130:D130"/>
    <mergeCell ref="C131:D131"/>
    <mergeCell ref="C132:D132"/>
    <mergeCell ref="C133:D133"/>
    <mergeCell ref="C134:D134"/>
    <mergeCell ref="C115:D115"/>
    <mergeCell ref="C116:D116"/>
    <mergeCell ref="C141:D141"/>
    <mergeCell ref="C142:D142"/>
    <mergeCell ref="C143:D143"/>
    <mergeCell ref="C122:D122"/>
    <mergeCell ref="C120:I120"/>
    <mergeCell ref="C88:D88"/>
    <mergeCell ref="C89:D89"/>
    <mergeCell ref="C90:D90"/>
    <mergeCell ref="C92:D92"/>
    <mergeCell ref="C93:D93"/>
    <mergeCell ref="H184:K186"/>
    <mergeCell ref="C160:D160"/>
    <mergeCell ref="C161:D161"/>
    <mergeCell ref="C162:D162"/>
    <mergeCell ref="C157:N157"/>
    <mergeCell ref="C154:D154"/>
    <mergeCell ref="C147:N147"/>
    <mergeCell ref="C158:D158"/>
    <mergeCell ref="C159:D159"/>
    <mergeCell ref="C149:D149"/>
    <mergeCell ref="C150:D150"/>
    <mergeCell ref="C151:D151"/>
    <mergeCell ref="C152:D152"/>
    <mergeCell ref="C153:D153"/>
    <mergeCell ref="C165:N165"/>
    <mergeCell ref="H179:K179"/>
    <mergeCell ref="C175:N175"/>
    <mergeCell ref="C176:D176"/>
    <mergeCell ref="C166:D166"/>
    <mergeCell ref="C167:D167"/>
    <mergeCell ref="C168:D168"/>
    <mergeCell ref="C169:D169"/>
    <mergeCell ref="C177:D17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28D2-B730-484D-8915-E3D50A00601E}">
  <sheetPr>
    <tabColor rgb="FF92D050"/>
  </sheetPr>
  <dimension ref="A1:BA292"/>
  <sheetViews>
    <sheetView zoomScale="90" zoomScaleNormal="90" workbookViewId="0">
      <selection activeCell="E78" sqref="E78"/>
    </sheetView>
  </sheetViews>
  <sheetFormatPr defaultColWidth="8.6640625" defaultRowHeight="14" x14ac:dyDescent="0.3"/>
  <cols>
    <col min="1" max="1" width="22.4140625" style="356" customWidth="1"/>
    <col min="2" max="2" width="59" customWidth="1"/>
  </cols>
  <sheetData>
    <row r="1" spans="1:6" x14ac:dyDescent="0.3">
      <c r="B1" t="s">
        <v>261</v>
      </c>
    </row>
    <row r="3" spans="1:6" ht="14.5" x14ac:dyDescent="0.35">
      <c r="A3" s="822"/>
      <c r="B3" s="725" t="s">
        <v>262</v>
      </c>
      <c r="C3" s="725"/>
      <c r="D3" s="726" t="s">
        <v>95</v>
      </c>
      <c r="E3" s="726" t="s">
        <v>95</v>
      </c>
      <c r="F3" s="726"/>
    </row>
    <row r="4" spans="1:6" x14ac:dyDescent="0.3">
      <c r="A4" s="823" t="s">
        <v>263</v>
      </c>
      <c r="B4" s="739"/>
      <c r="C4" s="739"/>
      <c r="D4" s="739"/>
      <c r="E4" s="739"/>
      <c r="F4" s="730"/>
    </row>
    <row r="5" spans="1:6" ht="15" customHeight="1" x14ac:dyDescent="0.35">
      <c r="A5" s="823"/>
      <c r="B5" s="731" t="s">
        <v>264</v>
      </c>
      <c r="C5" s="740" t="s">
        <v>265</v>
      </c>
      <c r="D5" s="732" t="s">
        <v>95</v>
      </c>
      <c r="E5" s="733" t="s">
        <v>266</v>
      </c>
      <c r="F5" s="739"/>
    </row>
    <row r="6" spans="1:6" ht="14.5" x14ac:dyDescent="0.35">
      <c r="A6" s="1186" t="s">
        <v>267</v>
      </c>
      <c r="B6" s="744" t="s">
        <v>268</v>
      </c>
      <c r="C6" s="743" t="s">
        <v>269</v>
      </c>
      <c r="D6" s="727" t="s">
        <v>95</v>
      </c>
      <c r="E6" s="735">
        <v>383.16289999999998</v>
      </c>
      <c r="F6" s="739"/>
    </row>
    <row r="7" spans="1:6" ht="14.5" x14ac:dyDescent="0.35">
      <c r="A7" s="1186"/>
      <c r="B7" s="744" t="s">
        <v>270</v>
      </c>
      <c r="C7" s="743" t="s">
        <v>269</v>
      </c>
      <c r="D7" s="727" t="s">
        <v>95</v>
      </c>
      <c r="E7" s="735">
        <v>469.8005</v>
      </c>
      <c r="F7" s="739"/>
    </row>
    <row r="8" spans="1:6" ht="14.5" x14ac:dyDescent="0.35">
      <c r="A8" s="1186"/>
      <c r="B8" s="744" t="s">
        <v>271</v>
      </c>
      <c r="C8" s="743" t="s">
        <v>269</v>
      </c>
      <c r="D8" s="727" t="s">
        <v>95</v>
      </c>
      <c r="E8" s="735">
        <v>601.89530000000002</v>
      </c>
      <c r="F8" s="739"/>
    </row>
    <row r="9" spans="1:6" ht="14.5" x14ac:dyDescent="0.35">
      <c r="A9" s="1186"/>
      <c r="B9" s="744" t="s">
        <v>272</v>
      </c>
      <c r="C9" s="743" t="s">
        <v>269</v>
      </c>
      <c r="D9" s="727" t="s">
        <v>95</v>
      </c>
      <c r="E9" s="735">
        <v>0</v>
      </c>
      <c r="F9" s="739"/>
    </row>
    <row r="10" spans="1:6" ht="14.5" x14ac:dyDescent="0.35">
      <c r="A10" s="1186"/>
      <c r="B10" s="744" t="s">
        <v>273</v>
      </c>
      <c r="C10" s="743" t="s">
        <v>269</v>
      </c>
      <c r="D10" s="727" t="s">
        <v>95</v>
      </c>
      <c r="E10" s="735">
        <v>30.85</v>
      </c>
      <c r="F10" s="739"/>
    </row>
    <row r="11" spans="1:6" ht="12.75" customHeight="1" x14ac:dyDescent="0.35">
      <c r="A11" s="961" t="s">
        <v>274</v>
      </c>
      <c r="B11" s="744" t="s">
        <v>275</v>
      </c>
      <c r="C11" s="743" t="s">
        <v>269</v>
      </c>
      <c r="D11" s="727"/>
      <c r="E11" s="821">
        <v>8.1766148999999996E-2</v>
      </c>
      <c r="F11" s="739"/>
    </row>
    <row r="12" spans="1:6" ht="14.5" x14ac:dyDescent="0.35">
      <c r="A12" s="961"/>
      <c r="B12" s="736" t="s">
        <v>276</v>
      </c>
      <c r="C12" s="745" t="s">
        <v>269</v>
      </c>
      <c r="D12" s="737" t="s">
        <v>95</v>
      </c>
      <c r="E12" s="738">
        <f>SUM(D6:E11)</f>
        <v>1485.7904661489999</v>
      </c>
      <c r="F12" s="739"/>
    </row>
    <row r="13" spans="1:6" x14ac:dyDescent="0.3">
      <c r="A13" s="823"/>
      <c r="B13" s="739"/>
      <c r="C13" s="739"/>
      <c r="D13" s="739"/>
      <c r="E13" s="739"/>
      <c r="F13" s="730"/>
    </row>
    <row r="14" spans="1:6" ht="14.5" x14ac:dyDescent="0.35">
      <c r="A14" s="824"/>
      <c r="B14" s="731" t="s">
        <v>277</v>
      </c>
      <c r="C14" s="740" t="s">
        <v>265</v>
      </c>
      <c r="D14" s="732" t="s">
        <v>95</v>
      </c>
      <c r="E14" s="733" t="s">
        <v>266</v>
      </c>
      <c r="F14" s="739"/>
    </row>
    <row r="15" spans="1:6" ht="15" customHeight="1" x14ac:dyDescent="0.35">
      <c r="A15" s="1186" t="s">
        <v>267</v>
      </c>
      <c r="B15" s="744" t="s">
        <v>268</v>
      </c>
      <c r="C15" s="743" t="s">
        <v>269</v>
      </c>
      <c r="D15" s="727" t="s">
        <v>95</v>
      </c>
      <c r="E15" s="735">
        <v>70.632580000000004</v>
      </c>
      <c r="F15" s="739"/>
    </row>
    <row r="16" spans="1:6" ht="14.5" x14ac:dyDescent="0.35">
      <c r="A16" s="1186"/>
      <c r="B16" s="744" t="s">
        <v>270</v>
      </c>
      <c r="C16" s="743" t="s">
        <v>269</v>
      </c>
      <c r="D16" s="727" t="s">
        <v>95</v>
      </c>
      <c r="E16" s="735">
        <v>88.72681</v>
      </c>
      <c r="F16" s="739"/>
    </row>
    <row r="17" spans="1:6" ht="14.5" x14ac:dyDescent="0.35">
      <c r="A17" s="1186"/>
      <c r="B17" s="744" t="s">
        <v>271</v>
      </c>
      <c r="C17" s="743" t="s">
        <v>269</v>
      </c>
      <c r="D17" s="727" t="s">
        <v>95</v>
      </c>
      <c r="E17" s="735">
        <v>93.965090000000004</v>
      </c>
      <c r="F17" s="739"/>
    </row>
    <row r="18" spans="1:6" ht="14.5" x14ac:dyDescent="0.35">
      <c r="A18" s="1186"/>
      <c r="B18" s="744" t="s">
        <v>272</v>
      </c>
      <c r="C18" s="743" t="s">
        <v>269</v>
      </c>
      <c r="D18" s="727" t="s">
        <v>95</v>
      </c>
      <c r="E18" s="735">
        <v>77.930170000000004</v>
      </c>
      <c r="F18" s="739"/>
    </row>
    <row r="19" spans="1:6" ht="14.5" x14ac:dyDescent="0.35">
      <c r="A19" s="1186"/>
      <c r="B19" s="744" t="s">
        <v>273</v>
      </c>
      <c r="C19" s="743" t="s">
        <v>269</v>
      </c>
      <c r="D19" s="727" t="s">
        <v>95</v>
      </c>
      <c r="E19" s="735">
        <v>30.85</v>
      </c>
      <c r="F19" s="739"/>
    </row>
    <row r="20" spans="1:6" ht="17.25" customHeight="1" x14ac:dyDescent="0.35">
      <c r="A20" s="961" t="s">
        <v>274</v>
      </c>
      <c r="B20" s="744" t="s">
        <v>275</v>
      </c>
      <c r="C20" s="743" t="s">
        <v>269</v>
      </c>
      <c r="D20" s="727"/>
      <c r="E20" s="821">
        <v>8.1766148999999996E-2</v>
      </c>
      <c r="F20" s="739"/>
    </row>
    <row r="21" spans="1:6" ht="14.5" x14ac:dyDescent="0.35">
      <c r="A21" s="961"/>
      <c r="B21" s="736" t="s">
        <v>276</v>
      </c>
      <c r="C21" s="742" t="s">
        <v>269</v>
      </c>
      <c r="D21" s="737" t="s">
        <v>95</v>
      </c>
      <c r="E21" s="738">
        <f>SUM(D15:E20)</f>
        <v>362.18641614900002</v>
      </c>
      <c r="F21" s="739"/>
    </row>
    <row r="22" spans="1:6" x14ac:dyDescent="0.3">
      <c r="A22" s="961"/>
      <c r="B22" s="739"/>
      <c r="C22" s="739"/>
      <c r="D22" s="739"/>
      <c r="E22" s="739"/>
      <c r="F22" s="730"/>
    </row>
    <row r="23" spans="1:6" ht="15" customHeight="1" x14ac:dyDescent="0.35">
      <c r="A23" s="961"/>
      <c r="B23" s="731" t="s">
        <v>278</v>
      </c>
      <c r="C23" s="740" t="s">
        <v>265</v>
      </c>
      <c r="D23" s="732" t="s">
        <v>95</v>
      </c>
      <c r="E23" s="733" t="s">
        <v>266</v>
      </c>
      <c r="F23" s="739"/>
    </row>
    <row r="24" spans="1:6" ht="14.5" x14ac:dyDescent="0.35">
      <c r="A24" s="1186" t="s">
        <v>267</v>
      </c>
      <c r="B24" s="744" t="s">
        <v>268</v>
      </c>
      <c r="C24" s="743" t="s">
        <v>269</v>
      </c>
      <c r="D24" s="727" t="s">
        <v>95</v>
      </c>
      <c r="E24" s="735">
        <v>35.316290000000002</v>
      </c>
      <c r="F24" s="739"/>
    </row>
    <row r="25" spans="1:6" ht="14.5" x14ac:dyDescent="0.35">
      <c r="A25" s="1186"/>
      <c r="B25" s="744" t="s">
        <v>270</v>
      </c>
      <c r="C25" s="743" t="s">
        <v>269</v>
      </c>
      <c r="D25" s="727" t="s">
        <v>95</v>
      </c>
      <c r="E25" s="735">
        <v>44.363399999999999</v>
      </c>
      <c r="F25" s="739"/>
    </row>
    <row r="26" spans="1:6" ht="14.5" x14ac:dyDescent="0.35">
      <c r="A26" s="1186"/>
      <c r="B26" s="744" t="s">
        <v>271</v>
      </c>
      <c r="C26" s="743" t="s">
        <v>269</v>
      </c>
      <c r="D26" s="727" t="s">
        <v>95</v>
      </c>
      <c r="E26" s="735">
        <v>0</v>
      </c>
      <c r="F26" s="739"/>
    </row>
    <row r="27" spans="1:6" ht="14.5" x14ac:dyDescent="0.35">
      <c r="A27" s="1186"/>
      <c r="B27" s="744" t="s">
        <v>272</v>
      </c>
      <c r="C27" s="743" t="s">
        <v>269</v>
      </c>
      <c r="D27" s="727" t="s">
        <v>95</v>
      </c>
      <c r="E27" s="735">
        <v>77.930170000000004</v>
      </c>
      <c r="F27" s="739"/>
    </row>
    <row r="28" spans="1:6" ht="14.5" x14ac:dyDescent="0.35">
      <c r="A28" s="1186"/>
      <c r="B28" s="744" t="s">
        <v>273</v>
      </c>
      <c r="C28" s="743" t="s">
        <v>269</v>
      </c>
      <c r="D28" s="727" t="s">
        <v>95</v>
      </c>
      <c r="E28" s="735">
        <v>30.85</v>
      </c>
      <c r="F28" s="739"/>
    </row>
    <row r="29" spans="1:6" ht="17.25" customHeight="1" x14ac:dyDescent="0.35">
      <c r="A29" s="961" t="s">
        <v>274</v>
      </c>
      <c r="B29" s="744" t="s">
        <v>275</v>
      </c>
      <c r="C29" s="743" t="s">
        <v>269</v>
      </c>
      <c r="D29" s="727"/>
      <c r="E29" s="821">
        <v>8.1766148999999996E-2</v>
      </c>
      <c r="F29" s="739"/>
    </row>
    <row r="30" spans="1:6" ht="14.5" x14ac:dyDescent="0.35">
      <c r="A30" s="961"/>
      <c r="B30" s="736" t="s">
        <v>276</v>
      </c>
      <c r="C30" s="742" t="s">
        <v>269</v>
      </c>
      <c r="D30" s="737" t="s">
        <v>95</v>
      </c>
      <c r="E30" s="738">
        <f>SUM(D24:E29)</f>
        <v>188.541626149</v>
      </c>
      <c r="F30" s="739"/>
    </row>
    <row r="31" spans="1:6" x14ac:dyDescent="0.3">
      <c r="A31" s="823"/>
      <c r="B31" s="739"/>
      <c r="C31" s="739"/>
      <c r="D31" s="739"/>
      <c r="E31" s="739"/>
      <c r="F31" s="730"/>
    </row>
    <row r="32" spans="1:6" ht="15" customHeight="1" x14ac:dyDescent="0.35">
      <c r="B32" s="731" t="s">
        <v>279</v>
      </c>
      <c r="C32" s="740" t="s">
        <v>265</v>
      </c>
      <c r="D32" s="732" t="s">
        <v>95</v>
      </c>
      <c r="E32" s="733" t="s">
        <v>266</v>
      </c>
      <c r="F32" s="739"/>
    </row>
    <row r="33" spans="1:6" ht="14.5" x14ac:dyDescent="0.35">
      <c r="A33" s="1186" t="s">
        <v>267</v>
      </c>
      <c r="B33" s="744" t="s">
        <v>268</v>
      </c>
      <c r="C33" s="743" t="s">
        <v>269</v>
      </c>
      <c r="D33" s="727" t="s">
        <v>95</v>
      </c>
      <c r="E33" s="735">
        <v>17.658149999999999</v>
      </c>
      <c r="F33" s="739"/>
    </row>
    <row r="34" spans="1:6" ht="14.5" x14ac:dyDescent="0.35">
      <c r="A34" s="1186"/>
      <c r="B34" s="744" t="s">
        <v>270</v>
      </c>
      <c r="C34" s="743" t="s">
        <v>269</v>
      </c>
      <c r="D34" s="727" t="s">
        <v>95</v>
      </c>
      <c r="E34" s="735">
        <v>22.181699999999999</v>
      </c>
      <c r="F34" s="739"/>
    </row>
    <row r="35" spans="1:6" ht="14.5" x14ac:dyDescent="0.35">
      <c r="A35" s="1186"/>
      <c r="B35" s="744" t="s">
        <v>271</v>
      </c>
      <c r="C35" s="743" t="s">
        <v>269</v>
      </c>
      <c r="D35" s="727" t="s">
        <v>95</v>
      </c>
      <c r="E35" s="735">
        <v>0</v>
      </c>
      <c r="F35" s="739"/>
    </row>
    <row r="36" spans="1:6" ht="14.5" x14ac:dyDescent="0.35">
      <c r="A36" s="1186"/>
      <c r="B36" s="744" t="s">
        <v>272</v>
      </c>
      <c r="C36" s="743" t="s">
        <v>269</v>
      </c>
      <c r="D36" s="727" t="s">
        <v>95</v>
      </c>
      <c r="E36" s="735">
        <v>77.930170000000004</v>
      </c>
      <c r="F36" s="739"/>
    </row>
    <row r="37" spans="1:6" ht="14.5" x14ac:dyDescent="0.35">
      <c r="A37" s="1186"/>
      <c r="B37" s="744" t="s">
        <v>273</v>
      </c>
      <c r="C37" s="743" t="s">
        <v>269</v>
      </c>
      <c r="D37" s="727" t="s">
        <v>95</v>
      </c>
      <c r="E37" s="735">
        <v>30.85</v>
      </c>
      <c r="F37" s="739"/>
    </row>
    <row r="38" spans="1:6" ht="28.5" customHeight="1" x14ac:dyDescent="0.35">
      <c r="A38" s="961" t="s">
        <v>274</v>
      </c>
      <c r="B38" s="744" t="s">
        <v>275</v>
      </c>
      <c r="C38" s="743" t="s">
        <v>269</v>
      </c>
      <c r="D38" s="727"/>
      <c r="E38" s="821">
        <v>8.1766148999999996E-2</v>
      </c>
      <c r="F38" s="739"/>
    </row>
    <row r="39" spans="1:6" ht="14.5" x14ac:dyDescent="0.35">
      <c r="A39" s="961"/>
      <c r="B39" s="736" t="s">
        <v>276</v>
      </c>
      <c r="C39" s="742" t="s">
        <v>269</v>
      </c>
      <c r="D39" s="737" t="s">
        <v>95</v>
      </c>
      <c r="E39" s="738">
        <f>SUM(D33:E38)</f>
        <v>148.70178614900001</v>
      </c>
      <c r="F39" s="739"/>
    </row>
    <row r="40" spans="1:6" x14ac:dyDescent="0.3">
      <c r="A40" s="823"/>
      <c r="B40" s="739"/>
      <c r="C40" s="739"/>
      <c r="D40" s="739"/>
      <c r="E40" s="739"/>
      <c r="F40" s="730"/>
    </row>
    <row r="41" spans="1:6" ht="15" customHeight="1" x14ac:dyDescent="0.35">
      <c r="A41" s="823"/>
      <c r="B41" s="731" t="s">
        <v>280</v>
      </c>
      <c r="C41" s="740" t="s">
        <v>265</v>
      </c>
      <c r="D41" s="732" t="s">
        <v>95</v>
      </c>
      <c r="E41" s="733" t="s">
        <v>266</v>
      </c>
      <c r="F41" s="739"/>
    </row>
    <row r="42" spans="1:6" ht="16.5" customHeight="1" x14ac:dyDescent="0.35">
      <c r="A42" s="1186" t="s">
        <v>267</v>
      </c>
      <c r="B42" s="744" t="s">
        <v>268</v>
      </c>
      <c r="C42" s="743" t="s">
        <v>269</v>
      </c>
      <c r="D42" s="727" t="s">
        <v>95</v>
      </c>
      <c r="E42" s="735">
        <v>8.8290729999999993</v>
      </c>
      <c r="F42" s="739"/>
    </row>
    <row r="43" spans="1:6" ht="14.5" x14ac:dyDescent="0.35">
      <c r="A43" s="1186"/>
      <c r="B43" s="744" t="s">
        <v>270</v>
      </c>
      <c r="C43" s="743" t="s">
        <v>269</v>
      </c>
      <c r="D43" s="727" t="s">
        <v>95</v>
      </c>
      <c r="E43" s="735">
        <v>11.09085</v>
      </c>
      <c r="F43" s="739"/>
    </row>
    <row r="44" spans="1:6" ht="14.5" x14ac:dyDescent="0.35">
      <c r="A44" s="1186"/>
      <c r="B44" s="744" t="s">
        <v>271</v>
      </c>
      <c r="C44" s="743" t="s">
        <v>269</v>
      </c>
      <c r="D44" s="727" t="s">
        <v>95</v>
      </c>
      <c r="E44" s="735">
        <v>0</v>
      </c>
      <c r="F44" s="739"/>
    </row>
    <row r="45" spans="1:6" ht="14.5" x14ac:dyDescent="0.35">
      <c r="A45" s="1186"/>
      <c r="B45" s="744" t="s">
        <v>272</v>
      </c>
      <c r="C45" s="743" t="s">
        <v>269</v>
      </c>
      <c r="D45" s="727" t="s">
        <v>95</v>
      </c>
      <c r="E45" s="735">
        <v>77.930170000000004</v>
      </c>
      <c r="F45" s="739"/>
    </row>
    <row r="46" spans="1:6" ht="14.5" x14ac:dyDescent="0.35">
      <c r="A46" s="1186"/>
      <c r="B46" s="744" t="s">
        <v>273</v>
      </c>
      <c r="C46" s="743" t="s">
        <v>269</v>
      </c>
      <c r="D46" s="727" t="s">
        <v>95</v>
      </c>
      <c r="E46" s="735">
        <v>30.85</v>
      </c>
      <c r="F46" s="739"/>
    </row>
    <row r="47" spans="1:6" ht="30.75" customHeight="1" x14ac:dyDescent="0.35">
      <c r="A47" s="961" t="s">
        <v>274</v>
      </c>
      <c r="B47" s="744" t="s">
        <v>275</v>
      </c>
      <c r="C47" s="743" t="s">
        <v>269</v>
      </c>
      <c r="D47" s="727"/>
      <c r="E47" s="821">
        <v>8.1766148999999996E-2</v>
      </c>
      <c r="F47" s="739"/>
    </row>
    <row r="48" spans="1:6" ht="30.75" customHeight="1" x14ac:dyDescent="0.35">
      <c r="A48" s="961"/>
      <c r="B48" s="736" t="s">
        <v>276</v>
      </c>
      <c r="C48" s="742" t="s">
        <v>269</v>
      </c>
      <c r="D48" s="737" t="s">
        <v>95</v>
      </c>
      <c r="E48" s="738">
        <f>SUM(D42:E47)</f>
        <v>128.78185914900001</v>
      </c>
      <c r="F48" s="739"/>
    </row>
    <row r="49" spans="1:6" x14ac:dyDescent="0.3">
      <c r="A49" s="823"/>
      <c r="B49" s="739"/>
      <c r="C49" s="739"/>
      <c r="D49" s="739"/>
      <c r="E49" s="739"/>
      <c r="F49" s="730"/>
    </row>
    <row r="50" spans="1:6" ht="15" customHeight="1" x14ac:dyDescent="0.35">
      <c r="A50" s="1186" t="s">
        <v>267</v>
      </c>
      <c r="B50" s="731" t="s">
        <v>281</v>
      </c>
      <c r="C50" s="740" t="s">
        <v>265</v>
      </c>
      <c r="D50" s="732" t="s">
        <v>95</v>
      </c>
      <c r="E50" s="733" t="s">
        <v>266</v>
      </c>
      <c r="F50" s="739"/>
    </row>
    <row r="51" spans="1:6" ht="14.5" x14ac:dyDescent="0.35">
      <c r="A51" s="1186"/>
      <c r="B51" s="744" t="s">
        <v>268</v>
      </c>
      <c r="C51" s="743" t="s">
        <v>269</v>
      </c>
      <c r="D51" s="727" t="s">
        <v>95</v>
      </c>
      <c r="E51" s="735">
        <v>4.414536</v>
      </c>
      <c r="F51" s="739"/>
    </row>
    <row r="52" spans="1:6" ht="14.5" x14ac:dyDescent="0.35">
      <c r="A52" s="1186"/>
      <c r="B52" s="744" t="s">
        <v>270</v>
      </c>
      <c r="C52" s="743" t="s">
        <v>269</v>
      </c>
      <c r="D52" s="727" t="s">
        <v>95</v>
      </c>
      <c r="E52" s="735">
        <v>5.5454249999999998</v>
      </c>
      <c r="F52" s="739"/>
    </row>
    <row r="53" spans="1:6" ht="14.5" x14ac:dyDescent="0.35">
      <c r="A53" s="1186"/>
      <c r="B53" s="744" t="s">
        <v>271</v>
      </c>
      <c r="C53" s="743" t="s">
        <v>269</v>
      </c>
      <c r="D53" s="727" t="s">
        <v>95</v>
      </c>
      <c r="E53" s="735">
        <v>0</v>
      </c>
      <c r="F53" s="739"/>
    </row>
    <row r="54" spans="1:6" ht="14.5" x14ac:dyDescent="0.35">
      <c r="A54" s="1186"/>
      <c r="B54" s="744" t="s">
        <v>272</v>
      </c>
      <c r="C54" s="743" t="s">
        <v>269</v>
      </c>
      <c r="D54" s="727" t="s">
        <v>95</v>
      </c>
      <c r="E54" s="735">
        <v>77.930170000000004</v>
      </c>
      <c r="F54" s="739"/>
    </row>
    <row r="55" spans="1:6" ht="14.5" x14ac:dyDescent="0.35">
      <c r="A55" s="1186"/>
      <c r="B55" s="744" t="s">
        <v>273</v>
      </c>
      <c r="C55" s="743" t="s">
        <v>269</v>
      </c>
      <c r="D55" s="727" t="s">
        <v>95</v>
      </c>
      <c r="E55" s="735">
        <v>30.85</v>
      </c>
      <c r="F55" s="739"/>
    </row>
    <row r="56" spans="1:6" ht="22" x14ac:dyDescent="0.35">
      <c r="A56" s="961" t="s">
        <v>274</v>
      </c>
      <c r="B56" s="744" t="s">
        <v>275</v>
      </c>
      <c r="C56" s="743" t="s">
        <v>269</v>
      </c>
      <c r="D56" s="727"/>
      <c r="E56" s="821">
        <v>8.1766148999999996E-2</v>
      </c>
      <c r="F56" s="739"/>
    </row>
    <row r="57" spans="1:6" ht="14.5" x14ac:dyDescent="0.35">
      <c r="A57" s="961"/>
      <c r="B57" s="736" t="s">
        <v>276</v>
      </c>
      <c r="C57" s="742" t="s">
        <v>269</v>
      </c>
      <c r="D57" s="737" t="s">
        <v>95</v>
      </c>
      <c r="E57" s="738">
        <f>SUM(D51:E56)</f>
        <v>118.82189714899999</v>
      </c>
      <c r="F57" s="739"/>
    </row>
    <row r="58" spans="1:6" x14ac:dyDescent="0.3">
      <c r="A58" s="823"/>
      <c r="B58" s="739"/>
      <c r="C58" s="739"/>
      <c r="D58" s="739"/>
      <c r="E58" s="739"/>
      <c r="F58" s="730"/>
    </row>
    <row r="59" spans="1:6" ht="15" customHeight="1" x14ac:dyDescent="0.35">
      <c r="A59" s="823"/>
      <c r="B59" s="731" t="s">
        <v>282</v>
      </c>
      <c r="C59" s="740" t="s">
        <v>265</v>
      </c>
      <c r="D59" s="732" t="s">
        <v>95</v>
      </c>
      <c r="E59" s="733" t="s">
        <v>266</v>
      </c>
      <c r="F59" s="739"/>
    </row>
    <row r="60" spans="1:6" ht="15" customHeight="1" x14ac:dyDescent="0.35">
      <c r="A60" s="1186" t="s">
        <v>267</v>
      </c>
      <c r="B60" s="744" t="s">
        <v>268</v>
      </c>
      <c r="C60" s="743" t="s">
        <v>269</v>
      </c>
      <c r="D60" s="727" t="s">
        <v>95</v>
      </c>
      <c r="E60" s="735">
        <v>2.207268</v>
      </c>
      <c r="F60" s="739"/>
    </row>
    <row r="61" spans="1:6" ht="14.5" x14ac:dyDescent="0.35">
      <c r="A61" s="1186"/>
      <c r="B61" s="744" t="s">
        <v>270</v>
      </c>
      <c r="C61" s="743" t="s">
        <v>269</v>
      </c>
      <c r="D61" s="727" t="s">
        <v>95</v>
      </c>
      <c r="E61" s="735">
        <v>2.772713</v>
      </c>
      <c r="F61" s="739"/>
    </row>
    <row r="62" spans="1:6" ht="14.5" x14ac:dyDescent="0.35">
      <c r="A62" s="1186"/>
      <c r="B62" s="744" t="s">
        <v>271</v>
      </c>
      <c r="C62" s="743" t="s">
        <v>269</v>
      </c>
      <c r="D62" s="727" t="s">
        <v>95</v>
      </c>
      <c r="E62" s="735">
        <v>0</v>
      </c>
      <c r="F62" s="739"/>
    </row>
    <row r="63" spans="1:6" ht="14.5" x14ac:dyDescent="0.35">
      <c r="A63" s="1186"/>
      <c r="B63" s="744" t="s">
        <v>272</v>
      </c>
      <c r="C63" s="743" t="s">
        <v>269</v>
      </c>
      <c r="D63" s="727" t="s">
        <v>95</v>
      </c>
      <c r="E63" s="735">
        <v>77.930170000000004</v>
      </c>
      <c r="F63" s="739"/>
    </row>
    <row r="64" spans="1:6" ht="14.5" x14ac:dyDescent="0.35">
      <c r="A64" s="1186"/>
      <c r="B64" s="744" t="s">
        <v>273</v>
      </c>
      <c r="C64" s="743" t="s">
        <v>269</v>
      </c>
      <c r="D64" s="727" t="s">
        <v>95</v>
      </c>
      <c r="E64" s="735">
        <v>30.85</v>
      </c>
      <c r="F64" s="739"/>
    </row>
    <row r="65" spans="1:53" ht="22" x14ac:dyDescent="0.35">
      <c r="A65" s="961" t="s">
        <v>274</v>
      </c>
      <c r="B65" s="744" t="s">
        <v>275</v>
      </c>
      <c r="C65" s="743" t="s">
        <v>269</v>
      </c>
      <c r="D65" s="727"/>
      <c r="E65" s="821">
        <v>8.1766148999999996E-2</v>
      </c>
      <c r="F65" s="739"/>
    </row>
    <row r="66" spans="1:53" ht="14.5" x14ac:dyDescent="0.35">
      <c r="A66" s="961"/>
      <c r="B66" s="736" t="s">
        <v>276</v>
      </c>
      <c r="C66" s="742" t="s">
        <v>269</v>
      </c>
      <c r="D66" s="737" t="s">
        <v>95</v>
      </c>
      <c r="E66" s="738">
        <f>SUM(E60:E65)</f>
        <v>113.84191714900001</v>
      </c>
      <c r="F66" s="739"/>
    </row>
    <row r="67" spans="1:53" x14ac:dyDescent="0.3">
      <c r="A67" s="823"/>
      <c r="B67" s="739"/>
      <c r="C67" s="739"/>
      <c r="D67" s="739"/>
      <c r="E67" s="739"/>
      <c r="F67" s="730"/>
    </row>
    <row r="68" spans="1:53" ht="14.5" x14ac:dyDescent="0.35">
      <c r="A68" s="822"/>
      <c r="B68" s="725" t="s">
        <v>283</v>
      </c>
      <c r="C68" s="725"/>
      <c r="D68" s="725"/>
      <c r="E68" s="725"/>
      <c r="F68" s="725"/>
    </row>
    <row r="69" spans="1:53" x14ac:dyDescent="0.3">
      <c r="A69" s="823"/>
      <c r="B69" s="739"/>
      <c r="C69" s="739"/>
      <c r="D69" s="739"/>
      <c r="E69" s="739"/>
      <c r="F69" s="739"/>
      <c r="G69" s="752"/>
      <c r="H69" s="752"/>
      <c r="I69" s="752"/>
      <c r="J69" s="752"/>
      <c r="K69" s="752"/>
      <c r="L69" s="752"/>
      <c r="M69" s="752"/>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row>
    <row r="70" spans="1:53" ht="15" customHeight="1" x14ac:dyDescent="0.35">
      <c r="A70" s="1186" t="s">
        <v>284</v>
      </c>
      <c r="B70" s="731" t="s">
        <v>285</v>
      </c>
      <c r="C70" s="731" t="s">
        <v>265</v>
      </c>
      <c r="D70" s="731" t="s">
        <v>95</v>
      </c>
      <c r="E70" s="732">
        <v>2023</v>
      </c>
      <c r="F70" s="732">
        <v>2024</v>
      </c>
      <c r="G70" s="732">
        <v>2025</v>
      </c>
      <c r="H70" s="732">
        <v>2026</v>
      </c>
      <c r="I70" s="732">
        <v>2027</v>
      </c>
      <c r="J70" s="732">
        <v>2028</v>
      </c>
      <c r="K70" s="732">
        <v>2029</v>
      </c>
      <c r="L70" s="732">
        <v>2030</v>
      </c>
      <c r="M70" s="732">
        <v>2031</v>
      </c>
      <c r="N70" s="732">
        <v>2032</v>
      </c>
      <c r="O70" s="732">
        <v>2033</v>
      </c>
      <c r="P70" s="732">
        <v>2034</v>
      </c>
      <c r="Q70" s="732">
        <v>2035</v>
      </c>
      <c r="R70" s="732">
        <v>2036</v>
      </c>
      <c r="S70" s="732">
        <v>2037</v>
      </c>
      <c r="T70" s="732">
        <v>2038</v>
      </c>
      <c r="U70" s="732">
        <v>2039</v>
      </c>
      <c r="V70" s="732">
        <v>2040</v>
      </c>
      <c r="W70" s="732">
        <v>2041</v>
      </c>
      <c r="X70" s="732">
        <v>2042</v>
      </c>
      <c r="Y70" s="732">
        <v>2043</v>
      </c>
      <c r="Z70" s="732">
        <v>2044</v>
      </c>
      <c r="AA70" s="732">
        <v>2045</v>
      </c>
      <c r="AB70" s="732">
        <v>2046</v>
      </c>
      <c r="AC70" s="732">
        <v>2047</v>
      </c>
      <c r="AD70" s="732">
        <v>2048</v>
      </c>
      <c r="AE70" s="732">
        <v>2049</v>
      </c>
      <c r="AF70" s="732">
        <v>2050</v>
      </c>
      <c r="AG70" s="732">
        <v>2051</v>
      </c>
      <c r="AH70" s="732">
        <v>2052</v>
      </c>
      <c r="AI70" s="732">
        <v>2053</v>
      </c>
      <c r="AJ70" s="732">
        <v>2054</v>
      </c>
      <c r="AK70" s="732">
        <v>2055</v>
      </c>
      <c r="AL70" s="732">
        <v>2056</v>
      </c>
      <c r="AM70" s="732">
        <v>2057</v>
      </c>
      <c r="AN70" s="732">
        <v>2058</v>
      </c>
      <c r="AO70" s="732">
        <v>2059</v>
      </c>
      <c r="AP70" s="732">
        <v>2060</v>
      </c>
      <c r="AQ70" s="732">
        <v>2061</v>
      </c>
      <c r="AR70" s="732">
        <v>2062</v>
      </c>
      <c r="AS70" s="732">
        <v>2063</v>
      </c>
      <c r="AT70" s="732">
        <v>2064</v>
      </c>
      <c r="AU70" s="732">
        <v>2065</v>
      </c>
      <c r="AV70" s="732">
        <v>2066</v>
      </c>
      <c r="AW70" s="732">
        <v>2067</v>
      </c>
      <c r="AX70" s="732">
        <v>2068</v>
      </c>
      <c r="AY70" s="732">
        <v>2069</v>
      </c>
      <c r="AZ70" s="733">
        <v>2070</v>
      </c>
      <c r="BA70" s="752"/>
    </row>
    <row r="71" spans="1:53" ht="14.5" x14ac:dyDescent="0.35">
      <c r="A71" s="1186"/>
      <c r="B71" s="744" t="s">
        <v>286</v>
      </c>
      <c r="C71" s="744" t="s">
        <v>269</v>
      </c>
      <c r="D71" s="744" t="s">
        <v>95</v>
      </c>
      <c r="E71" s="727">
        <v>13.45</v>
      </c>
      <c r="F71" s="727">
        <f>(F70*10.057)-20333</f>
        <v>22.368000000002212</v>
      </c>
      <c r="G71" s="727">
        <f t="shared" ref="G71:AF71" si="0">(G70*10.057)-20333</f>
        <v>32.424999999999272</v>
      </c>
      <c r="H71" s="727">
        <f t="shared" si="0"/>
        <v>42.481999999999971</v>
      </c>
      <c r="I71" s="727">
        <f t="shared" si="0"/>
        <v>52.539000000000669</v>
      </c>
      <c r="J71" s="727">
        <f t="shared" si="0"/>
        <v>62.596000000001368</v>
      </c>
      <c r="K71" s="727">
        <f t="shared" si="0"/>
        <v>72.653000000002066</v>
      </c>
      <c r="L71" s="727">
        <f t="shared" si="0"/>
        <v>82.709999999999127</v>
      </c>
      <c r="M71" s="727">
        <f t="shared" si="0"/>
        <v>92.766999999999825</v>
      </c>
      <c r="N71" s="727">
        <f t="shared" si="0"/>
        <v>102.82400000000052</v>
      </c>
      <c r="O71" s="727">
        <f t="shared" si="0"/>
        <v>112.88100000000122</v>
      </c>
      <c r="P71" s="727">
        <f t="shared" si="0"/>
        <v>122.93800000000192</v>
      </c>
      <c r="Q71" s="727">
        <f t="shared" si="0"/>
        <v>132.99499999999898</v>
      </c>
      <c r="R71" s="727">
        <f t="shared" si="0"/>
        <v>143.05199999999968</v>
      </c>
      <c r="S71" s="727">
        <f t="shared" si="0"/>
        <v>153.10900000000038</v>
      </c>
      <c r="T71" s="727">
        <f t="shared" si="0"/>
        <v>163.16600000000108</v>
      </c>
      <c r="U71" s="727">
        <f t="shared" si="0"/>
        <v>173.22300000000178</v>
      </c>
      <c r="V71" s="727">
        <f t="shared" si="0"/>
        <v>183.28000000000247</v>
      </c>
      <c r="W71" s="727">
        <f t="shared" si="0"/>
        <v>193.33699999999953</v>
      </c>
      <c r="X71" s="727">
        <f t="shared" si="0"/>
        <v>203.39400000000023</v>
      </c>
      <c r="Y71" s="727">
        <f t="shared" si="0"/>
        <v>213.45100000000093</v>
      </c>
      <c r="Z71" s="727">
        <f t="shared" si="0"/>
        <v>223.50800000000163</v>
      </c>
      <c r="AA71" s="727">
        <f t="shared" si="0"/>
        <v>233.56500000000233</v>
      </c>
      <c r="AB71" s="727">
        <f t="shared" si="0"/>
        <v>243.62199999999939</v>
      </c>
      <c r="AC71" s="727">
        <f t="shared" si="0"/>
        <v>253.67900000000009</v>
      </c>
      <c r="AD71" s="727">
        <f t="shared" si="0"/>
        <v>263.73600000000079</v>
      </c>
      <c r="AE71" s="727">
        <f t="shared" si="0"/>
        <v>273.79300000000148</v>
      </c>
      <c r="AF71" s="727">
        <f t="shared" si="0"/>
        <v>283.85000000000218</v>
      </c>
      <c r="AG71" s="727">
        <v>285</v>
      </c>
      <c r="AH71" s="727">
        <v>285</v>
      </c>
      <c r="AI71" s="727">
        <v>285</v>
      </c>
      <c r="AJ71" s="727">
        <v>285</v>
      </c>
      <c r="AK71" s="727">
        <v>285</v>
      </c>
      <c r="AL71" s="727">
        <v>285</v>
      </c>
      <c r="AM71" s="727">
        <v>285</v>
      </c>
      <c r="AN71" s="727">
        <v>285</v>
      </c>
      <c r="AO71" s="727">
        <v>285</v>
      </c>
      <c r="AP71" s="727">
        <v>285</v>
      </c>
      <c r="AQ71" s="727">
        <v>285</v>
      </c>
      <c r="AR71" s="727">
        <v>285</v>
      </c>
      <c r="AS71" s="727">
        <v>285</v>
      </c>
      <c r="AT71" s="727">
        <v>285</v>
      </c>
      <c r="AU71" s="727">
        <v>285</v>
      </c>
      <c r="AV71" s="727">
        <v>285</v>
      </c>
      <c r="AW71" s="727">
        <v>285</v>
      </c>
      <c r="AX71" s="727">
        <v>285</v>
      </c>
      <c r="AY71" s="727">
        <v>285</v>
      </c>
      <c r="AZ71" s="727">
        <v>285</v>
      </c>
      <c r="BA71" s="752"/>
    </row>
    <row r="72" spans="1:53" ht="14.5" x14ac:dyDescent="0.35">
      <c r="A72" s="961" t="s">
        <v>287</v>
      </c>
      <c r="B72" s="744" t="s">
        <v>273</v>
      </c>
      <c r="C72" s="744" t="s">
        <v>269</v>
      </c>
      <c r="D72" s="744"/>
      <c r="E72" s="727">
        <f>0.02*E71</f>
        <v>0.26900000000000002</v>
      </c>
      <c r="F72" s="727">
        <f t="shared" ref="F72:AZ72" si="1">0.02*F71</f>
        <v>0.44736000000004422</v>
      </c>
      <c r="G72" s="727">
        <f t="shared" si="1"/>
        <v>0.64849999999998542</v>
      </c>
      <c r="H72" s="727">
        <f t="shared" si="1"/>
        <v>0.8496399999999994</v>
      </c>
      <c r="I72" s="727">
        <f t="shared" si="1"/>
        <v>1.0507800000000134</v>
      </c>
      <c r="J72" s="727">
        <f t="shared" si="1"/>
        <v>1.2519200000000275</v>
      </c>
      <c r="K72" s="727">
        <f t="shared" si="1"/>
        <v>1.4530600000000413</v>
      </c>
      <c r="L72" s="727">
        <f t="shared" si="1"/>
        <v>1.6541999999999826</v>
      </c>
      <c r="M72" s="727">
        <f t="shared" si="1"/>
        <v>1.8553399999999964</v>
      </c>
      <c r="N72" s="727">
        <f t="shared" si="1"/>
        <v>2.0564800000000103</v>
      </c>
      <c r="O72" s="727">
        <f t="shared" si="1"/>
        <v>2.2576200000000246</v>
      </c>
      <c r="P72" s="727">
        <f t="shared" si="1"/>
        <v>2.4587600000000385</v>
      </c>
      <c r="Q72" s="727">
        <f t="shared" si="1"/>
        <v>2.6598999999999795</v>
      </c>
      <c r="R72" s="727">
        <f t="shared" si="1"/>
        <v>2.8610399999999938</v>
      </c>
      <c r="S72" s="727">
        <f t="shared" si="1"/>
        <v>3.0621800000000077</v>
      </c>
      <c r="T72" s="727">
        <f t="shared" si="1"/>
        <v>3.2633200000000215</v>
      </c>
      <c r="U72" s="727">
        <f t="shared" si="1"/>
        <v>3.4644600000000354</v>
      </c>
      <c r="V72" s="727">
        <f t="shared" si="1"/>
        <v>3.6656000000000497</v>
      </c>
      <c r="W72" s="727">
        <f t="shared" si="1"/>
        <v>3.8667399999999907</v>
      </c>
      <c r="X72" s="727">
        <f t="shared" si="1"/>
        <v>4.067880000000005</v>
      </c>
      <c r="Y72" s="727">
        <f t="shared" si="1"/>
        <v>4.2690200000000189</v>
      </c>
      <c r="Z72" s="727">
        <f t="shared" si="1"/>
        <v>4.4701600000000328</v>
      </c>
      <c r="AA72" s="727">
        <f t="shared" si="1"/>
        <v>4.6713000000000466</v>
      </c>
      <c r="AB72" s="727">
        <f t="shared" si="1"/>
        <v>4.8724399999999877</v>
      </c>
      <c r="AC72" s="727">
        <f t="shared" si="1"/>
        <v>5.0735800000000015</v>
      </c>
      <c r="AD72" s="727">
        <f t="shared" si="1"/>
        <v>5.2747200000000154</v>
      </c>
      <c r="AE72" s="727">
        <f t="shared" si="1"/>
        <v>5.4758600000000301</v>
      </c>
      <c r="AF72" s="727">
        <f t="shared" si="1"/>
        <v>5.677000000000044</v>
      </c>
      <c r="AG72" s="727">
        <f t="shared" si="1"/>
        <v>5.7</v>
      </c>
      <c r="AH72" s="727">
        <f t="shared" si="1"/>
        <v>5.7</v>
      </c>
      <c r="AI72" s="727">
        <f t="shared" si="1"/>
        <v>5.7</v>
      </c>
      <c r="AJ72" s="727">
        <f t="shared" si="1"/>
        <v>5.7</v>
      </c>
      <c r="AK72" s="727">
        <f t="shared" si="1"/>
        <v>5.7</v>
      </c>
      <c r="AL72" s="727">
        <f t="shared" si="1"/>
        <v>5.7</v>
      </c>
      <c r="AM72" s="727">
        <f t="shared" si="1"/>
        <v>5.7</v>
      </c>
      <c r="AN72" s="727">
        <f t="shared" si="1"/>
        <v>5.7</v>
      </c>
      <c r="AO72" s="727">
        <f t="shared" si="1"/>
        <v>5.7</v>
      </c>
      <c r="AP72" s="727">
        <f t="shared" si="1"/>
        <v>5.7</v>
      </c>
      <c r="AQ72" s="727">
        <f t="shared" si="1"/>
        <v>5.7</v>
      </c>
      <c r="AR72" s="727">
        <f t="shared" si="1"/>
        <v>5.7</v>
      </c>
      <c r="AS72" s="727">
        <f t="shared" si="1"/>
        <v>5.7</v>
      </c>
      <c r="AT72" s="727">
        <f t="shared" si="1"/>
        <v>5.7</v>
      </c>
      <c r="AU72" s="727">
        <f t="shared" si="1"/>
        <v>5.7</v>
      </c>
      <c r="AV72" s="727">
        <f t="shared" si="1"/>
        <v>5.7</v>
      </c>
      <c r="AW72" s="727">
        <f t="shared" si="1"/>
        <v>5.7</v>
      </c>
      <c r="AX72" s="727">
        <f t="shared" si="1"/>
        <v>5.7</v>
      </c>
      <c r="AY72" s="727">
        <f t="shared" si="1"/>
        <v>5.7</v>
      </c>
      <c r="AZ72" s="735">
        <f t="shared" si="1"/>
        <v>5.7</v>
      </c>
      <c r="BA72" s="752"/>
    </row>
    <row r="73" spans="1:53" ht="14.5" x14ac:dyDescent="0.35">
      <c r="A73" s="820"/>
      <c r="B73" s="736" t="s">
        <v>276</v>
      </c>
      <c r="C73" s="736" t="s">
        <v>269</v>
      </c>
      <c r="D73" s="736" t="s">
        <v>95</v>
      </c>
      <c r="E73" s="737">
        <f>SUM(E71:E72)</f>
        <v>13.718999999999999</v>
      </c>
      <c r="F73" s="737">
        <f t="shared" ref="F73:AZ73" si="2">SUM(F71:F72)</f>
        <v>22.815360000002258</v>
      </c>
      <c r="G73" s="737">
        <f t="shared" si="2"/>
        <v>33.073499999999257</v>
      </c>
      <c r="H73" s="737">
        <f t="shared" si="2"/>
        <v>43.331639999999972</v>
      </c>
      <c r="I73" s="737">
        <f t="shared" si="2"/>
        <v>53.58978000000068</v>
      </c>
      <c r="J73" s="737">
        <f t="shared" si="2"/>
        <v>63.847920000001395</v>
      </c>
      <c r="K73" s="737">
        <f t="shared" si="2"/>
        <v>74.106060000002103</v>
      </c>
      <c r="L73" s="737">
        <f t="shared" si="2"/>
        <v>84.364199999999116</v>
      </c>
      <c r="M73" s="737">
        <f t="shared" si="2"/>
        <v>94.622339999999824</v>
      </c>
      <c r="N73" s="737">
        <f t="shared" si="2"/>
        <v>104.88048000000053</v>
      </c>
      <c r="O73" s="737">
        <f t="shared" si="2"/>
        <v>115.13862000000125</v>
      </c>
      <c r="P73" s="737">
        <f t="shared" si="2"/>
        <v>125.39676000000196</v>
      </c>
      <c r="Q73" s="737">
        <f t="shared" si="2"/>
        <v>135.65489999999897</v>
      </c>
      <c r="R73" s="737">
        <f t="shared" si="2"/>
        <v>145.91303999999968</v>
      </c>
      <c r="S73" s="737">
        <f t="shared" si="2"/>
        <v>156.17118000000039</v>
      </c>
      <c r="T73" s="737">
        <f t="shared" si="2"/>
        <v>166.4293200000011</v>
      </c>
      <c r="U73" s="737">
        <f t="shared" si="2"/>
        <v>176.68746000000181</v>
      </c>
      <c r="V73" s="737">
        <f t="shared" si="2"/>
        <v>186.94560000000251</v>
      </c>
      <c r="W73" s="737">
        <f t="shared" si="2"/>
        <v>197.20373999999953</v>
      </c>
      <c r="X73" s="737">
        <f t="shared" si="2"/>
        <v>207.46188000000024</v>
      </c>
      <c r="Y73" s="737">
        <f t="shared" si="2"/>
        <v>217.72002000000094</v>
      </c>
      <c r="Z73" s="737">
        <f t="shared" si="2"/>
        <v>227.97816000000165</v>
      </c>
      <c r="AA73" s="737">
        <f t="shared" si="2"/>
        <v>238.23630000000239</v>
      </c>
      <c r="AB73" s="737">
        <f t="shared" si="2"/>
        <v>248.49443999999937</v>
      </c>
      <c r="AC73" s="737">
        <f t="shared" si="2"/>
        <v>258.75258000000008</v>
      </c>
      <c r="AD73" s="737">
        <f t="shared" si="2"/>
        <v>269.01072000000079</v>
      </c>
      <c r="AE73" s="737">
        <f t="shared" si="2"/>
        <v>279.2688600000015</v>
      </c>
      <c r="AF73" s="737">
        <f t="shared" si="2"/>
        <v>289.5270000000022</v>
      </c>
      <c r="AG73" s="737">
        <f t="shared" si="2"/>
        <v>290.7</v>
      </c>
      <c r="AH73" s="737">
        <f t="shared" si="2"/>
        <v>290.7</v>
      </c>
      <c r="AI73" s="737">
        <f t="shared" si="2"/>
        <v>290.7</v>
      </c>
      <c r="AJ73" s="737">
        <f t="shared" si="2"/>
        <v>290.7</v>
      </c>
      <c r="AK73" s="737">
        <f t="shared" si="2"/>
        <v>290.7</v>
      </c>
      <c r="AL73" s="737">
        <f t="shared" si="2"/>
        <v>290.7</v>
      </c>
      <c r="AM73" s="737">
        <f t="shared" si="2"/>
        <v>290.7</v>
      </c>
      <c r="AN73" s="737">
        <f t="shared" si="2"/>
        <v>290.7</v>
      </c>
      <c r="AO73" s="737">
        <f t="shared" si="2"/>
        <v>290.7</v>
      </c>
      <c r="AP73" s="737">
        <f t="shared" si="2"/>
        <v>290.7</v>
      </c>
      <c r="AQ73" s="737">
        <f t="shared" si="2"/>
        <v>290.7</v>
      </c>
      <c r="AR73" s="737">
        <f t="shared" si="2"/>
        <v>290.7</v>
      </c>
      <c r="AS73" s="737">
        <f t="shared" si="2"/>
        <v>290.7</v>
      </c>
      <c r="AT73" s="737">
        <f t="shared" si="2"/>
        <v>290.7</v>
      </c>
      <c r="AU73" s="737">
        <f t="shared" si="2"/>
        <v>290.7</v>
      </c>
      <c r="AV73" s="737">
        <f t="shared" si="2"/>
        <v>290.7</v>
      </c>
      <c r="AW73" s="737">
        <f t="shared" si="2"/>
        <v>290.7</v>
      </c>
      <c r="AX73" s="737">
        <f t="shared" si="2"/>
        <v>290.7</v>
      </c>
      <c r="AY73" s="737">
        <f t="shared" si="2"/>
        <v>290.7</v>
      </c>
      <c r="AZ73" s="738">
        <f t="shared" si="2"/>
        <v>290.7</v>
      </c>
      <c r="BA73" s="752"/>
    </row>
    <row r="74" spans="1:53" ht="14.5" x14ac:dyDescent="0.35">
      <c r="A74" s="825"/>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752"/>
    </row>
    <row r="75" spans="1:53" ht="14.5" x14ac:dyDescent="0.35">
      <c r="A75" s="825"/>
      <c r="B75" s="731" t="s">
        <v>288</v>
      </c>
      <c r="C75" s="731" t="s">
        <v>265</v>
      </c>
      <c r="D75" s="731" t="s">
        <v>95</v>
      </c>
      <c r="E75" s="732">
        <v>2023</v>
      </c>
      <c r="F75" s="732">
        <v>2024</v>
      </c>
      <c r="G75" s="732">
        <v>2025</v>
      </c>
      <c r="H75" s="732">
        <v>2026</v>
      </c>
      <c r="I75" s="732">
        <v>2027</v>
      </c>
      <c r="J75" s="732">
        <v>2028</v>
      </c>
      <c r="K75" s="732">
        <v>2029</v>
      </c>
      <c r="L75" s="732">
        <v>2030</v>
      </c>
      <c r="M75" s="732">
        <v>2031</v>
      </c>
      <c r="N75" s="732">
        <v>2032</v>
      </c>
      <c r="O75" s="732">
        <v>2033</v>
      </c>
      <c r="P75" s="732">
        <v>2034</v>
      </c>
      <c r="Q75" s="732">
        <v>2035</v>
      </c>
      <c r="R75" s="732">
        <v>2036</v>
      </c>
      <c r="S75" s="732">
        <v>2037</v>
      </c>
      <c r="T75" s="732">
        <v>2038</v>
      </c>
      <c r="U75" s="732">
        <v>2039</v>
      </c>
      <c r="V75" s="732">
        <v>2040</v>
      </c>
      <c r="W75" s="732">
        <v>2041</v>
      </c>
      <c r="X75" s="732">
        <v>2042</v>
      </c>
      <c r="Y75" s="732">
        <v>2043</v>
      </c>
      <c r="Z75" s="732">
        <v>2044</v>
      </c>
      <c r="AA75" s="732">
        <v>2045</v>
      </c>
      <c r="AB75" s="732">
        <v>2046</v>
      </c>
      <c r="AC75" s="732">
        <v>2047</v>
      </c>
      <c r="AD75" s="732">
        <v>2048</v>
      </c>
      <c r="AE75" s="732">
        <v>2049</v>
      </c>
      <c r="AF75" s="732">
        <v>2050</v>
      </c>
      <c r="AG75" s="732">
        <v>2051</v>
      </c>
      <c r="AH75" s="732">
        <v>2052</v>
      </c>
      <c r="AI75" s="732">
        <v>2053</v>
      </c>
      <c r="AJ75" s="732">
        <v>2054</v>
      </c>
      <c r="AK75" s="732">
        <v>2055</v>
      </c>
      <c r="AL75" s="732">
        <v>2056</v>
      </c>
      <c r="AM75" s="732">
        <v>2057</v>
      </c>
      <c r="AN75" s="732">
        <v>2058</v>
      </c>
      <c r="AO75" s="732">
        <v>2059</v>
      </c>
      <c r="AP75" s="732">
        <v>2060</v>
      </c>
      <c r="AQ75" s="732">
        <v>2061</v>
      </c>
      <c r="AR75" s="732">
        <v>2062</v>
      </c>
      <c r="AS75" s="732">
        <v>2063</v>
      </c>
      <c r="AT75" s="732">
        <v>2064</v>
      </c>
      <c r="AU75" s="732">
        <v>2065</v>
      </c>
      <c r="AV75" s="732">
        <v>2066</v>
      </c>
      <c r="AW75" s="732">
        <v>2067</v>
      </c>
      <c r="AX75" s="732">
        <v>2068</v>
      </c>
      <c r="AY75" s="732">
        <v>2069</v>
      </c>
      <c r="AZ75" s="733">
        <v>2070</v>
      </c>
      <c r="BA75" s="752"/>
    </row>
    <row r="76" spans="1:53" ht="14.5" x14ac:dyDescent="0.35">
      <c r="A76" s="825"/>
      <c r="B76" s="744" t="s">
        <v>286</v>
      </c>
      <c r="C76" s="744" t="s">
        <v>269</v>
      </c>
      <c r="D76" s="744" t="s">
        <v>95</v>
      </c>
      <c r="E76" s="727">
        <v>13.45</v>
      </c>
      <c r="F76" s="727">
        <f t="shared" ref="F76:AY76" si="3">(F75*5.7777 )+(-11675)</f>
        <v>19.064800000000105</v>
      </c>
      <c r="G76" s="727">
        <f t="shared" si="3"/>
        <v>24.842500000000655</v>
      </c>
      <c r="H76" s="727">
        <f t="shared" si="3"/>
        <v>30.620200000001205</v>
      </c>
      <c r="I76" s="727">
        <f t="shared" si="3"/>
        <v>36.397899999999936</v>
      </c>
      <c r="J76" s="727">
        <f t="shared" si="3"/>
        <v>42.175600000000486</v>
      </c>
      <c r="K76" s="727">
        <f t="shared" si="3"/>
        <v>47.953300000001036</v>
      </c>
      <c r="L76" s="727">
        <f t="shared" si="3"/>
        <v>53.730999999999767</v>
      </c>
      <c r="M76" s="727">
        <f t="shared" si="3"/>
        <v>59.508700000000317</v>
      </c>
      <c r="N76" s="727">
        <f t="shared" si="3"/>
        <v>65.286400000000867</v>
      </c>
      <c r="O76" s="727">
        <f t="shared" si="3"/>
        <v>71.064100000001417</v>
      </c>
      <c r="P76" s="727">
        <f t="shared" si="3"/>
        <v>76.841800000000148</v>
      </c>
      <c r="Q76" s="727">
        <f t="shared" si="3"/>
        <v>82.619500000000698</v>
      </c>
      <c r="R76" s="727">
        <f t="shared" si="3"/>
        <v>88.397200000001249</v>
      </c>
      <c r="S76" s="727">
        <f t="shared" si="3"/>
        <v>94.17489999999998</v>
      </c>
      <c r="T76" s="727">
        <f t="shared" si="3"/>
        <v>99.95260000000053</v>
      </c>
      <c r="U76" s="727">
        <f t="shared" si="3"/>
        <v>105.73030000000108</v>
      </c>
      <c r="V76" s="727">
        <f t="shared" si="3"/>
        <v>111.50799999999981</v>
      </c>
      <c r="W76" s="727">
        <f t="shared" si="3"/>
        <v>117.28570000000036</v>
      </c>
      <c r="X76" s="727">
        <f t="shared" si="3"/>
        <v>123.06340000000091</v>
      </c>
      <c r="Y76" s="727">
        <f t="shared" si="3"/>
        <v>128.84110000000146</v>
      </c>
      <c r="Z76" s="727">
        <f t="shared" si="3"/>
        <v>134.61880000000019</v>
      </c>
      <c r="AA76" s="727">
        <f t="shared" si="3"/>
        <v>140.39650000000074</v>
      </c>
      <c r="AB76" s="727">
        <f t="shared" si="3"/>
        <v>146.17420000000129</v>
      </c>
      <c r="AC76" s="727">
        <f t="shared" si="3"/>
        <v>151.95190000000002</v>
      </c>
      <c r="AD76" s="727">
        <f t="shared" si="3"/>
        <v>157.72960000000057</v>
      </c>
      <c r="AE76" s="727">
        <f t="shared" si="3"/>
        <v>163.50730000000112</v>
      </c>
      <c r="AF76" s="727">
        <f t="shared" si="3"/>
        <v>169.28499999999985</v>
      </c>
      <c r="AG76" s="727">
        <f t="shared" si="3"/>
        <v>175.0627000000004</v>
      </c>
      <c r="AH76" s="727">
        <f t="shared" si="3"/>
        <v>180.84040000000095</v>
      </c>
      <c r="AI76" s="727">
        <f t="shared" si="3"/>
        <v>186.61809999999969</v>
      </c>
      <c r="AJ76" s="727">
        <f t="shared" si="3"/>
        <v>192.39580000000024</v>
      </c>
      <c r="AK76" s="727">
        <f t="shared" si="3"/>
        <v>198.17350000000079</v>
      </c>
      <c r="AL76" s="727">
        <f t="shared" si="3"/>
        <v>203.95120000000134</v>
      </c>
      <c r="AM76" s="727">
        <f t="shared" si="3"/>
        <v>209.72890000000007</v>
      </c>
      <c r="AN76" s="727">
        <f t="shared" si="3"/>
        <v>215.50660000000062</v>
      </c>
      <c r="AO76" s="727">
        <f t="shared" si="3"/>
        <v>221.28430000000117</v>
      </c>
      <c r="AP76" s="727">
        <f t="shared" si="3"/>
        <v>227.0619999999999</v>
      </c>
      <c r="AQ76" s="727">
        <f t="shared" si="3"/>
        <v>232.83970000000045</v>
      </c>
      <c r="AR76" s="727">
        <f t="shared" si="3"/>
        <v>238.617400000001</v>
      </c>
      <c r="AS76" s="727">
        <f t="shared" si="3"/>
        <v>244.39509999999973</v>
      </c>
      <c r="AT76" s="727">
        <f t="shared" si="3"/>
        <v>250.17280000000028</v>
      </c>
      <c r="AU76" s="727">
        <f t="shared" si="3"/>
        <v>255.95050000000083</v>
      </c>
      <c r="AV76" s="727">
        <f t="shared" si="3"/>
        <v>261.72820000000138</v>
      </c>
      <c r="AW76" s="727">
        <f t="shared" si="3"/>
        <v>267.50590000000011</v>
      </c>
      <c r="AX76" s="727">
        <f t="shared" si="3"/>
        <v>273.28360000000066</v>
      </c>
      <c r="AY76" s="727">
        <f t="shared" si="3"/>
        <v>279.06130000000121</v>
      </c>
      <c r="AZ76" s="727">
        <f>(AZ75*5.7777 )+(-11675)</f>
        <v>284.83899999999994</v>
      </c>
      <c r="BA76" s="752"/>
    </row>
    <row r="77" spans="1:53" ht="14.5" x14ac:dyDescent="0.35">
      <c r="A77" s="825"/>
      <c r="B77" s="744" t="s">
        <v>273</v>
      </c>
      <c r="C77" s="744" t="s">
        <v>269</v>
      </c>
      <c r="D77" s="744"/>
      <c r="E77" s="727">
        <f>0.02*E76</f>
        <v>0.26900000000000002</v>
      </c>
      <c r="F77" s="727">
        <f t="shared" ref="F77:AZ77" si="4">0.02*F76</f>
        <v>0.38129600000000208</v>
      </c>
      <c r="G77" s="727">
        <f t="shared" si="4"/>
        <v>0.49685000000001311</v>
      </c>
      <c r="H77" s="727">
        <f t="shared" si="4"/>
        <v>0.61240400000002415</v>
      </c>
      <c r="I77" s="727">
        <f t="shared" si="4"/>
        <v>0.72795799999999877</v>
      </c>
      <c r="J77" s="727">
        <f t="shared" si="4"/>
        <v>0.8435120000000097</v>
      </c>
      <c r="K77" s="727">
        <f t="shared" si="4"/>
        <v>0.95906600000002074</v>
      </c>
      <c r="L77" s="727">
        <f t="shared" si="4"/>
        <v>1.0746199999999955</v>
      </c>
      <c r="M77" s="727">
        <f t="shared" si="4"/>
        <v>1.1901740000000063</v>
      </c>
      <c r="N77" s="727">
        <f t="shared" si="4"/>
        <v>1.3057280000000173</v>
      </c>
      <c r="O77" s="727">
        <f t="shared" si="4"/>
        <v>1.4212820000000284</v>
      </c>
      <c r="P77" s="727">
        <f t="shared" si="4"/>
        <v>1.536836000000003</v>
      </c>
      <c r="Q77" s="727">
        <f t="shared" si="4"/>
        <v>1.652390000000014</v>
      </c>
      <c r="R77" s="727">
        <f t="shared" si="4"/>
        <v>1.7679440000000251</v>
      </c>
      <c r="S77" s="727">
        <f t="shared" si="4"/>
        <v>1.8834979999999997</v>
      </c>
      <c r="T77" s="727">
        <f t="shared" si="4"/>
        <v>1.9990520000000107</v>
      </c>
      <c r="U77" s="727">
        <f t="shared" si="4"/>
        <v>2.1146060000000215</v>
      </c>
      <c r="V77" s="727">
        <f t="shared" si="4"/>
        <v>2.2301599999999961</v>
      </c>
      <c r="W77" s="727">
        <f t="shared" si="4"/>
        <v>2.3457140000000072</v>
      </c>
      <c r="X77" s="727">
        <f t="shared" si="4"/>
        <v>2.4612680000000182</v>
      </c>
      <c r="Y77" s="727">
        <f t="shared" si="4"/>
        <v>2.5768220000000293</v>
      </c>
      <c r="Z77" s="727">
        <f t="shared" si="4"/>
        <v>2.6923760000000039</v>
      </c>
      <c r="AA77" s="727">
        <f t="shared" si="4"/>
        <v>2.8079300000000149</v>
      </c>
      <c r="AB77" s="727">
        <f t="shared" si="4"/>
        <v>2.923484000000026</v>
      </c>
      <c r="AC77" s="727">
        <f t="shared" si="4"/>
        <v>3.0390380000000006</v>
      </c>
      <c r="AD77" s="727">
        <f t="shared" si="4"/>
        <v>3.1545920000000116</v>
      </c>
      <c r="AE77" s="727">
        <f t="shared" si="4"/>
        <v>3.2701460000000226</v>
      </c>
      <c r="AF77" s="727">
        <f t="shared" si="4"/>
        <v>3.3856999999999973</v>
      </c>
      <c r="AG77" s="727">
        <f t="shared" si="4"/>
        <v>3.5012540000000083</v>
      </c>
      <c r="AH77" s="727">
        <f t="shared" si="4"/>
        <v>3.6168080000000193</v>
      </c>
      <c r="AI77" s="727">
        <f t="shared" si="4"/>
        <v>3.732361999999994</v>
      </c>
      <c r="AJ77" s="727">
        <f t="shared" si="4"/>
        <v>3.847916000000005</v>
      </c>
      <c r="AK77" s="727">
        <f t="shared" si="4"/>
        <v>3.9634700000000156</v>
      </c>
      <c r="AL77" s="727">
        <f t="shared" si="4"/>
        <v>4.0790240000000271</v>
      </c>
      <c r="AM77" s="727">
        <f t="shared" si="4"/>
        <v>4.1945780000000017</v>
      </c>
      <c r="AN77" s="727">
        <f t="shared" si="4"/>
        <v>4.3101320000000127</v>
      </c>
      <c r="AO77" s="727">
        <f t="shared" si="4"/>
        <v>4.4256860000000238</v>
      </c>
      <c r="AP77" s="727">
        <f t="shared" si="4"/>
        <v>4.5412399999999984</v>
      </c>
      <c r="AQ77" s="727">
        <f t="shared" si="4"/>
        <v>4.6567940000000094</v>
      </c>
      <c r="AR77" s="727">
        <f t="shared" si="4"/>
        <v>4.7723480000000205</v>
      </c>
      <c r="AS77" s="727">
        <f t="shared" si="4"/>
        <v>4.8879019999999951</v>
      </c>
      <c r="AT77" s="727">
        <f t="shared" si="4"/>
        <v>5.0034560000000061</v>
      </c>
      <c r="AU77" s="727">
        <f t="shared" si="4"/>
        <v>5.1190100000000163</v>
      </c>
      <c r="AV77" s="727">
        <f t="shared" si="4"/>
        <v>5.2345640000000273</v>
      </c>
      <c r="AW77" s="727">
        <f t="shared" si="4"/>
        <v>5.3501180000000019</v>
      </c>
      <c r="AX77" s="727">
        <f t="shared" si="4"/>
        <v>5.465672000000013</v>
      </c>
      <c r="AY77" s="727">
        <f t="shared" si="4"/>
        <v>5.581226000000024</v>
      </c>
      <c r="AZ77" s="735">
        <f t="shared" si="4"/>
        <v>5.6967799999999986</v>
      </c>
      <c r="BA77" s="752"/>
    </row>
    <row r="78" spans="1:53" ht="14.5" x14ac:dyDescent="0.35">
      <c r="A78" s="825"/>
      <c r="B78" s="736" t="s">
        <v>276</v>
      </c>
      <c r="C78" s="736" t="s">
        <v>269</v>
      </c>
      <c r="D78" s="736" t="s">
        <v>95</v>
      </c>
      <c r="E78" s="737">
        <f>SUM(E76:E77)</f>
        <v>13.718999999999999</v>
      </c>
      <c r="F78" s="737">
        <f t="shared" ref="F78:AZ78" si="5">SUM(F76:F77)</f>
        <v>19.446096000000107</v>
      </c>
      <c r="G78" s="737">
        <f t="shared" si="5"/>
        <v>25.339350000000668</v>
      </c>
      <c r="H78" s="737">
        <f t="shared" si="5"/>
        <v>31.232604000001228</v>
      </c>
      <c r="I78" s="737">
        <f t="shared" si="5"/>
        <v>37.125857999999937</v>
      </c>
      <c r="J78" s="737">
        <f t="shared" si="5"/>
        <v>43.019112000000497</v>
      </c>
      <c r="K78" s="737">
        <f t="shared" si="5"/>
        <v>48.912366000001057</v>
      </c>
      <c r="L78" s="737">
        <f t="shared" si="5"/>
        <v>54.805619999999763</v>
      </c>
      <c r="M78" s="737">
        <f t="shared" si="5"/>
        <v>60.698874000000323</v>
      </c>
      <c r="N78" s="737">
        <f t="shared" si="5"/>
        <v>66.592128000000884</v>
      </c>
      <c r="O78" s="737">
        <f t="shared" si="5"/>
        <v>72.485382000001451</v>
      </c>
      <c r="P78" s="737">
        <f t="shared" si="5"/>
        <v>78.378636000000157</v>
      </c>
      <c r="Q78" s="737">
        <f t="shared" si="5"/>
        <v>84.27189000000071</v>
      </c>
      <c r="R78" s="737">
        <f t="shared" si="5"/>
        <v>90.165144000001277</v>
      </c>
      <c r="S78" s="737">
        <f t="shared" si="5"/>
        <v>96.058397999999983</v>
      </c>
      <c r="T78" s="737">
        <f t="shared" si="5"/>
        <v>101.95165200000054</v>
      </c>
      <c r="U78" s="737">
        <f t="shared" si="5"/>
        <v>107.8449060000011</v>
      </c>
      <c r="V78" s="737">
        <f t="shared" si="5"/>
        <v>113.73815999999981</v>
      </c>
      <c r="W78" s="737">
        <f t="shared" si="5"/>
        <v>119.63141400000036</v>
      </c>
      <c r="X78" s="737">
        <f t="shared" si="5"/>
        <v>125.52466800000093</v>
      </c>
      <c r="Y78" s="737">
        <f t="shared" si="5"/>
        <v>131.41792200000148</v>
      </c>
      <c r="Z78" s="737">
        <f t="shared" si="5"/>
        <v>137.31117600000019</v>
      </c>
      <c r="AA78" s="737">
        <f t="shared" si="5"/>
        <v>143.20443000000077</v>
      </c>
      <c r="AB78" s="737">
        <f t="shared" si="5"/>
        <v>149.09768400000132</v>
      </c>
      <c r="AC78" s="737">
        <f t="shared" si="5"/>
        <v>154.99093800000003</v>
      </c>
      <c r="AD78" s="737">
        <f t="shared" si="5"/>
        <v>160.88419200000058</v>
      </c>
      <c r="AE78" s="737">
        <f t="shared" si="5"/>
        <v>166.77744600000113</v>
      </c>
      <c r="AF78" s="737">
        <f t="shared" si="5"/>
        <v>172.67069999999984</v>
      </c>
      <c r="AG78" s="737">
        <f t="shared" si="5"/>
        <v>178.56395400000042</v>
      </c>
      <c r="AH78" s="737">
        <f t="shared" si="5"/>
        <v>184.45720800000097</v>
      </c>
      <c r="AI78" s="737">
        <f t="shared" si="5"/>
        <v>190.35046199999968</v>
      </c>
      <c r="AJ78" s="737">
        <f t="shared" si="5"/>
        <v>196.24371600000023</v>
      </c>
      <c r="AK78" s="737">
        <f t="shared" si="5"/>
        <v>202.13697000000082</v>
      </c>
      <c r="AL78" s="737">
        <f t="shared" si="5"/>
        <v>208.03022400000137</v>
      </c>
      <c r="AM78" s="737">
        <f t="shared" si="5"/>
        <v>213.92347800000007</v>
      </c>
      <c r="AN78" s="737">
        <f t="shared" si="5"/>
        <v>219.81673200000063</v>
      </c>
      <c r="AO78" s="737">
        <f t="shared" si="5"/>
        <v>225.70998600000118</v>
      </c>
      <c r="AP78" s="737">
        <f t="shared" si="5"/>
        <v>231.60323999999989</v>
      </c>
      <c r="AQ78" s="737">
        <f t="shared" si="5"/>
        <v>237.49649400000047</v>
      </c>
      <c r="AR78" s="737">
        <f t="shared" si="5"/>
        <v>243.38974800000102</v>
      </c>
      <c r="AS78" s="737">
        <f t="shared" si="5"/>
        <v>249.28300199999973</v>
      </c>
      <c r="AT78" s="737">
        <f t="shared" si="5"/>
        <v>255.17625600000028</v>
      </c>
      <c r="AU78" s="737">
        <f t="shared" si="5"/>
        <v>261.06951000000083</v>
      </c>
      <c r="AV78" s="737">
        <f t="shared" si="5"/>
        <v>266.96276400000141</v>
      </c>
      <c r="AW78" s="737">
        <f t="shared" si="5"/>
        <v>272.85601800000012</v>
      </c>
      <c r="AX78" s="737">
        <f t="shared" si="5"/>
        <v>278.7492720000007</v>
      </c>
      <c r="AY78" s="737">
        <f t="shared" si="5"/>
        <v>284.64252600000123</v>
      </c>
      <c r="AZ78" s="738">
        <f t="shared" si="5"/>
        <v>290.53577999999993</v>
      </c>
      <c r="BA78" s="752"/>
    </row>
    <row r="79" spans="1:53" ht="14.5" x14ac:dyDescent="0.35">
      <c r="A79" s="825"/>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752"/>
    </row>
    <row r="80" spans="1:53" x14ac:dyDescent="0.3">
      <c r="A80" s="823"/>
      <c r="B80" s="739"/>
      <c r="C80" s="739"/>
      <c r="D80" s="739"/>
      <c r="E80" s="739"/>
      <c r="F80" s="739"/>
      <c r="G80" s="752"/>
      <c r="H80" s="752"/>
      <c r="I80" s="752"/>
      <c r="J80" s="752"/>
      <c r="K80" s="752"/>
      <c r="L80" s="752"/>
      <c r="M80" s="752"/>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row>
    <row r="81" spans="1:6" ht="14.5" x14ac:dyDescent="0.35">
      <c r="A81" s="822"/>
      <c r="B81" s="725" t="s">
        <v>289</v>
      </c>
      <c r="C81" s="728"/>
      <c r="D81" s="725" t="s">
        <v>95</v>
      </c>
      <c r="E81" s="725" t="s">
        <v>95</v>
      </c>
      <c r="F81" s="725"/>
    </row>
    <row r="82" spans="1:6" x14ac:dyDescent="0.3">
      <c r="A82" s="823"/>
      <c r="B82" s="739"/>
      <c r="C82" s="739"/>
      <c r="D82" s="739"/>
      <c r="E82" s="739"/>
      <c r="F82" s="730"/>
    </row>
    <row r="83" spans="1:6" ht="15" customHeight="1" x14ac:dyDescent="0.35">
      <c r="A83" s="1186" t="s">
        <v>290</v>
      </c>
      <c r="B83" s="731" t="s">
        <v>291</v>
      </c>
      <c r="C83" s="740" t="s">
        <v>265</v>
      </c>
      <c r="D83" s="732" t="s">
        <v>95</v>
      </c>
      <c r="E83" s="733" t="s">
        <v>266</v>
      </c>
      <c r="F83" s="739"/>
    </row>
    <row r="84" spans="1:6" ht="43.5" x14ac:dyDescent="0.35">
      <c r="A84" s="1186"/>
      <c r="B84" s="734" t="s">
        <v>292</v>
      </c>
      <c r="C84" s="743" t="s">
        <v>269</v>
      </c>
      <c r="D84" s="727" t="s">
        <v>95</v>
      </c>
      <c r="E84" s="735">
        <v>1200</v>
      </c>
      <c r="F84" s="739"/>
    </row>
    <row r="85" spans="1:6" ht="14.5" x14ac:dyDescent="0.35">
      <c r="A85" s="820"/>
      <c r="B85" s="736" t="s">
        <v>276</v>
      </c>
      <c r="C85" s="742" t="s">
        <v>269</v>
      </c>
      <c r="D85" s="737" t="s">
        <v>95</v>
      </c>
      <c r="E85" s="738">
        <f>SUM(E84)</f>
        <v>1200</v>
      </c>
      <c r="F85" s="739"/>
    </row>
    <row r="86" spans="1:6" ht="14.5" x14ac:dyDescent="0.35">
      <c r="A86" s="825"/>
      <c r="B86" s="826"/>
      <c r="C86" s="826"/>
      <c r="D86" s="826"/>
      <c r="E86" s="826"/>
      <c r="F86" s="739"/>
    </row>
    <row r="87" spans="1:6" ht="14.5" x14ac:dyDescent="0.35">
      <c r="A87" s="825"/>
      <c r="B87" s="731" t="s">
        <v>293</v>
      </c>
      <c r="C87" s="740" t="s">
        <v>265</v>
      </c>
      <c r="D87" s="732" t="s">
        <v>95</v>
      </c>
      <c r="E87" s="733" t="s">
        <v>266</v>
      </c>
      <c r="F87" s="739"/>
    </row>
    <row r="88" spans="1:6" ht="22" x14ac:dyDescent="0.35">
      <c r="A88" s="825" t="s">
        <v>294</v>
      </c>
      <c r="B88" s="734" t="s">
        <v>295</v>
      </c>
      <c r="C88" s="743" t="s">
        <v>269</v>
      </c>
      <c r="D88" s="727" t="s">
        <v>95</v>
      </c>
      <c r="E88" s="735">
        <v>400</v>
      </c>
      <c r="F88" s="739"/>
    </row>
    <row r="89" spans="1:6" ht="14.5" x14ac:dyDescent="0.35">
      <c r="A89" s="825"/>
      <c r="B89" s="736" t="s">
        <v>276</v>
      </c>
      <c r="C89" s="742" t="s">
        <v>269</v>
      </c>
      <c r="D89" s="737" t="s">
        <v>95</v>
      </c>
      <c r="E89" s="738">
        <f>SUM(E88)</f>
        <v>400</v>
      </c>
      <c r="F89" s="739"/>
    </row>
    <row r="90" spans="1:6" ht="14.5" x14ac:dyDescent="0.35">
      <c r="A90" s="825"/>
      <c r="B90" s="826"/>
      <c r="C90" s="826"/>
      <c r="D90" s="826"/>
      <c r="E90" s="826"/>
      <c r="F90" s="739"/>
    </row>
    <row r="91" spans="1:6" ht="14.5" x14ac:dyDescent="0.35">
      <c r="A91" s="825"/>
      <c r="B91" s="826"/>
      <c r="C91" s="826"/>
      <c r="D91" s="826"/>
      <c r="E91" s="826"/>
      <c r="F91" s="739"/>
    </row>
    <row r="92" spans="1:6" x14ac:dyDescent="0.3">
      <c r="A92" s="823"/>
      <c r="B92" s="739"/>
      <c r="C92" s="739"/>
      <c r="D92" s="739"/>
      <c r="E92" s="739"/>
      <c r="F92" s="730"/>
    </row>
    <row r="94" spans="1:6" x14ac:dyDescent="0.3">
      <c r="B94" t="s">
        <v>296</v>
      </c>
    </row>
    <row r="95" spans="1:6" x14ac:dyDescent="0.3">
      <c r="B95" s="746" t="s">
        <v>297</v>
      </c>
    </row>
    <row r="96" spans="1:6" x14ac:dyDescent="0.3">
      <c r="B96" s="746" t="s">
        <v>298</v>
      </c>
    </row>
    <row r="97" spans="2:2" x14ac:dyDescent="0.3">
      <c r="B97" s="746" t="s">
        <v>299</v>
      </c>
    </row>
    <row r="98" spans="2:2" x14ac:dyDescent="0.3">
      <c r="B98" s="746" t="s">
        <v>300</v>
      </c>
    </row>
    <row r="110" spans="2:2" hidden="1" x14ac:dyDescent="0.3"/>
    <row r="111" spans="2:2"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sheetData>
  <mergeCells count="9">
    <mergeCell ref="A70:A71"/>
    <mergeCell ref="A83:A84"/>
    <mergeCell ref="A15:A19"/>
    <mergeCell ref="A33:A37"/>
    <mergeCell ref="A6:A10"/>
    <mergeCell ref="A50:A55"/>
    <mergeCell ref="A60:A64"/>
    <mergeCell ref="A42:A46"/>
    <mergeCell ref="A24:A2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BF9F-A04F-4819-BD56-4A1A0BE275B7}">
  <sheetPr>
    <tabColor rgb="FF92D050"/>
  </sheetPr>
  <dimension ref="A1:Q54"/>
  <sheetViews>
    <sheetView workbookViewId="0">
      <selection activeCell="A4" sqref="A4:A6"/>
    </sheetView>
  </sheetViews>
  <sheetFormatPr defaultColWidth="8.6640625" defaultRowHeight="14" x14ac:dyDescent="0.3"/>
  <cols>
    <col min="1" max="1" width="24.58203125" customWidth="1"/>
    <col min="2" max="2" width="34.58203125" bestFit="1" customWidth="1"/>
    <col min="3" max="3" width="19.08203125" customWidth="1"/>
    <col min="4" max="4" width="20.1640625" customWidth="1"/>
    <col min="5" max="5" width="20.5" customWidth="1"/>
  </cols>
  <sheetData>
    <row r="1" spans="1:11" x14ac:dyDescent="0.3">
      <c r="B1" s="50" t="s">
        <v>301</v>
      </c>
    </row>
    <row r="2" spans="1:11" ht="14.5" x14ac:dyDescent="0.35">
      <c r="A2" s="725"/>
      <c r="B2" s="725" t="s">
        <v>302</v>
      </c>
      <c r="C2" s="725"/>
      <c r="D2" s="726" t="s">
        <v>95</v>
      </c>
      <c r="E2" s="726"/>
    </row>
    <row r="3" spans="1:11" ht="14.5" thickBot="1" x14ac:dyDescent="0.35">
      <c r="A3" s="730"/>
      <c r="B3" s="739"/>
      <c r="C3" s="739"/>
      <c r="D3" s="739"/>
      <c r="E3" s="730"/>
    </row>
    <row r="4" spans="1:11" ht="18.75" customHeight="1" x14ac:dyDescent="0.35">
      <c r="A4" s="1188" t="s">
        <v>303</v>
      </c>
      <c r="B4" s="731" t="s">
        <v>304</v>
      </c>
      <c r="C4" s="731" t="s">
        <v>265</v>
      </c>
      <c r="D4" s="758" t="s">
        <v>305</v>
      </c>
      <c r="E4" s="758" t="s">
        <v>306</v>
      </c>
    </row>
    <row r="5" spans="1:11" ht="35.25" customHeight="1" x14ac:dyDescent="0.35">
      <c r="A5" s="1188"/>
      <c r="B5" s="749" t="s">
        <v>307</v>
      </c>
      <c r="C5" s="759" t="s">
        <v>308</v>
      </c>
      <c r="D5" s="763">
        <f>E5*(1/3)</f>
        <v>54.306666666666658</v>
      </c>
      <c r="E5" s="761">
        <v>162.91999999999999</v>
      </c>
      <c r="K5" s="765"/>
    </row>
    <row r="6" spans="1:11" ht="15" thickBot="1" x14ac:dyDescent="0.4">
      <c r="A6" s="1188"/>
      <c r="B6" s="736" t="s">
        <v>276</v>
      </c>
      <c r="C6" s="760" t="s">
        <v>308</v>
      </c>
      <c r="D6" s="764">
        <f>SUM(D5)</f>
        <v>54.306666666666658</v>
      </c>
      <c r="E6" s="762">
        <f>SUM(E5)</f>
        <v>162.91999999999999</v>
      </c>
    </row>
    <row r="7" spans="1:11" x14ac:dyDescent="0.3">
      <c r="A7" s="730"/>
      <c r="B7" s="739"/>
      <c r="C7" s="739"/>
      <c r="D7" s="739"/>
      <c r="E7" s="730"/>
    </row>
    <row r="8" spans="1:11" ht="14.5" x14ac:dyDescent="0.35">
      <c r="A8" s="725"/>
      <c r="B8" s="725" t="s">
        <v>309</v>
      </c>
      <c r="C8" s="725"/>
      <c r="D8" s="726" t="s">
        <v>95</v>
      </c>
      <c r="E8" s="726"/>
    </row>
    <row r="9" spans="1:11" ht="14.5" thickBot="1" x14ac:dyDescent="0.35">
      <c r="A9" s="730"/>
      <c r="B9" s="739"/>
      <c r="C9" s="739"/>
      <c r="D9" s="739"/>
      <c r="E9" s="730"/>
    </row>
    <row r="10" spans="1:11" ht="14.5" x14ac:dyDescent="0.35">
      <c r="A10" s="1188" t="s">
        <v>310</v>
      </c>
      <c r="B10" s="731" t="s">
        <v>304</v>
      </c>
      <c r="C10" s="740" t="s">
        <v>265</v>
      </c>
      <c r="D10" s="758" t="s">
        <v>305</v>
      </c>
      <c r="E10" s="758" t="s">
        <v>306</v>
      </c>
    </row>
    <row r="11" spans="1:11" ht="42" customHeight="1" x14ac:dyDescent="0.3">
      <c r="A11" s="1188"/>
      <c r="B11" s="749" t="s">
        <v>311</v>
      </c>
      <c r="C11" s="747" t="s">
        <v>308</v>
      </c>
      <c r="D11" s="750">
        <v>20.059999999999999</v>
      </c>
      <c r="E11" s="766">
        <v>47.5</v>
      </c>
      <c r="F11" s="765"/>
    </row>
    <row r="12" spans="1:11" ht="15" thickBot="1" x14ac:dyDescent="0.4">
      <c r="A12" s="1188"/>
      <c r="B12" s="736" t="s">
        <v>276</v>
      </c>
      <c r="C12" s="748" t="s">
        <v>308</v>
      </c>
      <c r="D12" s="738">
        <f>SUM(D11)</f>
        <v>20.059999999999999</v>
      </c>
      <c r="E12" s="762">
        <f>SUM(E11)</f>
        <v>47.5</v>
      </c>
    </row>
    <row r="13" spans="1:11" x14ac:dyDescent="0.3">
      <c r="A13" s="730"/>
      <c r="B13" s="739"/>
      <c r="C13" s="739"/>
      <c r="D13" s="739"/>
      <c r="E13" s="730"/>
    </row>
    <row r="14" spans="1:11" ht="14.5" x14ac:dyDescent="0.35">
      <c r="A14" s="725"/>
      <c r="B14" s="725" t="s">
        <v>312</v>
      </c>
      <c r="C14" s="725"/>
      <c r="D14" s="726" t="s">
        <v>95</v>
      </c>
      <c r="E14" s="726"/>
    </row>
    <row r="15" spans="1:11" ht="14.5" thickBot="1" x14ac:dyDescent="0.35">
      <c r="A15" s="730"/>
      <c r="B15" s="739"/>
      <c r="C15" s="739"/>
      <c r="D15" s="739"/>
      <c r="E15" s="730"/>
    </row>
    <row r="16" spans="1:11" ht="15" customHeight="1" x14ac:dyDescent="0.35">
      <c r="A16" s="1188" t="s">
        <v>313</v>
      </c>
      <c r="B16" s="731" t="s">
        <v>304</v>
      </c>
      <c r="C16" s="740" t="s">
        <v>265</v>
      </c>
      <c r="D16" s="758" t="s">
        <v>305</v>
      </c>
      <c r="E16" s="758" t="s">
        <v>306</v>
      </c>
    </row>
    <row r="17" spans="1:16" ht="14.5" x14ac:dyDescent="0.35">
      <c r="A17" s="1188"/>
      <c r="B17" s="749" t="s">
        <v>314</v>
      </c>
      <c r="C17" s="747" t="s">
        <v>308</v>
      </c>
      <c r="D17" s="735">
        <v>16.98</v>
      </c>
      <c r="E17" s="766">
        <v>151.9</v>
      </c>
      <c r="F17" s="765"/>
    </row>
    <row r="18" spans="1:16" ht="14.5" x14ac:dyDescent="0.35">
      <c r="A18" s="1188"/>
      <c r="B18" s="736" t="s">
        <v>276</v>
      </c>
      <c r="C18" s="748" t="s">
        <v>308</v>
      </c>
      <c r="D18" s="738">
        <f>SUM(D17)</f>
        <v>16.98</v>
      </c>
      <c r="E18" s="762">
        <f>SUM(E17)</f>
        <v>151.9</v>
      </c>
    </row>
    <row r="19" spans="1:16" x14ac:dyDescent="0.3">
      <c r="A19" s="730"/>
      <c r="B19" s="739"/>
      <c r="C19" s="739"/>
      <c r="D19" s="739"/>
      <c r="E19" s="730"/>
      <c r="H19" s="834" t="s">
        <v>315</v>
      </c>
      <c r="I19" s="752"/>
      <c r="J19" s="752"/>
      <c r="K19" s="752"/>
      <c r="L19" s="752"/>
      <c r="M19" s="752"/>
      <c r="N19" s="752"/>
    </row>
    <row r="20" spans="1:16" ht="24.5" x14ac:dyDescent="0.35">
      <c r="A20" s="725"/>
      <c r="B20" s="725" t="s">
        <v>316</v>
      </c>
      <c r="C20" s="725"/>
      <c r="D20" s="726" t="s">
        <v>95</v>
      </c>
      <c r="E20" s="726"/>
      <c r="G20" s="752"/>
      <c r="H20" s="835" t="s">
        <v>317</v>
      </c>
      <c r="I20" s="835"/>
      <c r="J20" s="835"/>
      <c r="K20" s="835"/>
      <c r="L20" s="835"/>
      <c r="M20" s="835"/>
      <c r="N20" s="835"/>
      <c r="O20" s="752"/>
      <c r="P20" s="833"/>
    </row>
    <row r="21" spans="1:16" ht="15" customHeight="1" x14ac:dyDescent="0.3">
      <c r="A21" s="730"/>
      <c r="B21" s="739"/>
      <c r="C21" s="739"/>
      <c r="D21" s="739"/>
      <c r="E21" s="739"/>
      <c r="G21" s="752"/>
      <c r="H21" s="835"/>
      <c r="I21" s="835"/>
      <c r="J21" s="835"/>
      <c r="K21" s="835"/>
      <c r="L21" s="835"/>
      <c r="M21" s="835"/>
      <c r="N21" s="835"/>
      <c r="O21" s="752"/>
    </row>
    <row r="22" spans="1:16" ht="14.5" x14ac:dyDescent="0.35">
      <c r="A22" s="1189" t="s">
        <v>318</v>
      </c>
      <c r="B22" s="731" t="s">
        <v>304</v>
      </c>
      <c r="C22" s="775" t="s">
        <v>319</v>
      </c>
      <c r="D22" s="772" t="s">
        <v>305</v>
      </c>
      <c r="E22" s="769" t="s">
        <v>306</v>
      </c>
      <c r="F22" s="752"/>
      <c r="G22" s="752"/>
      <c r="H22" s="1194" t="s">
        <v>320</v>
      </c>
      <c r="I22" s="1194"/>
      <c r="J22" s="1194"/>
      <c r="K22" s="1194"/>
      <c r="L22" s="1194"/>
      <c r="M22" s="1194"/>
      <c r="N22" s="835"/>
      <c r="O22" s="752"/>
    </row>
    <row r="23" spans="1:16" ht="24.75" customHeight="1" x14ac:dyDescent="0.35">
      <c r="A23" s="1189"/>
      <c r="B23" s="1192" t="s">
        <v>321</v>
      </c>
      <c r="C23" s="768"/>
      <c r="D23" s="773" t="s">
        <v>322</v>
      </c>
      <c r="E23" s="770" t="s">
        <v>322</v>
      </c>
      <c r="F23" s="800"/>
      <c r="G23" s="752"/>
      <c r="H23" s="1194"/>
      <c r="I23" s="1194"/>
      <c r="J23" s="1194"/>
      <c r="K23" s="1194"/>
      <c r="L23" s="1194"/>
      <c r="M23" s="1194"/>
      <c r="N23" s="835"/>
      <c r="O23" s="752"/>
    </row>
    <row r="24" spans="1:16" ht="14.5" x14ac:dyDescent="0.3">
      <c r="A24" s="1189"/>
      <c r="B24" s="1192"/>
      <c r="C24" s="768"/>
      <c r="D24" s="774"/>
      <c r="E24" s="771"/>
      <c r="F24" s="800"/>
      <c r="G24" s="752"/>
      <c r="H24" s="1194"/>
      <c r="I24" s="1194"/>
      <c r="J24" s="1194"/>
      <c r="K24" s="1194"/>
      <c r="L24" s="1194"/>
      <c r="M24" s="1194"/>
      <c r="N24" s="835"/>
      <c r="O24" s="752"/>
    </row>
    <row r="25" spans="1:16" ht="14.5" x14ac:dyDescent="0.3">
      <c r="A25" s="1189"/>
      <c r="B25" s="1192"/>
      <c r="C25" s="768">
        <v>2020</v>
      </c>
      <c r="D25" s="776">
        <v>14</v>
      </c>
      <c r="E25" s="747">
        <v>210.7</v>
      </c>
      <c r="F25" s="752"/>
      <c r="G25" s="752"/>
      <c r="H25" s="1194"/>
      <c r="I25" s="1194"/>
      <c r="J25" s="1194"/>
      <c r="K25" s="1194"/>
      <c r="L25" s="1194"/>
      <c r="M25" s="1194"/>
      <c r="N25" s="835"/>
      <c r="O25" s="752"/>
    </row>
    <row r="26" spans="1:16" ht="14.5" x14ac:dyDescent="0.3">
      <c r="A26" s="1189"/>
      <c r="B26" s="1192"/>
      <c r="C26" s="768">
        <f>C25+5</f>
        <v>2025</v>
      </c>
      <c r="D26" s="776">
        <v>18</v>
      </c>
      <c r="E26" s="747">
        <v>270.5</v>
      </c>
      <c r="F26" s="752"/>
      <c r="G26" s="752"/>
      <c r="H26" s="1194"/>
      <c r="I26" s="1194"/>
      <c r="J26" s="1194"/>
      <c r="K26" s="1194"/>
      <c r="L26" s="1194"/>
      <c r="M26" s="1194"/>
      <c r="N26" s="835"/>
      <c r="O26" s="752"/>
    </row>
    <row r="27" spans="1:16" ht="14.5" x14ac:dyDescent="0.3">
      <c r="A27" s="1189"/>
      <c r="B27" s="1192"/>
      <c r="C27" s="768">
        <f t="shared" ref="C27:C31" si="0">C26+5</f>
        <v>2030</v>
      </c>
      <c r="D27" s="776">
        <v>21</v>
      </c>
      <c r="E27" s="747">
        <v>297.39999999999998</v>
      </c>
      <c r="F27" s="752"/>
      <c r="G27" s="752"/>
      <c r="H27" s="1194"/>
      <c r="I27" s="1194"/>
      <c r="J27" s="1194"/>
      <c r="K27" s="1194"/>
      <c r="L27" s="1194"/>
      <c r="M27" s="1194"/>
      <c r="N27" s="835"/>
      <c r="O27" s="752"/>
    </row>
    <row r="28" spans="1:16" ht="14.5" x14ac:dyDescent="0.3">
      <c r="A28" s="1189"/>
      <c r="B28" s="1192"/>
      <c r="C28" s="768">
        <f t="shared" si="0"/>
        <v>2035</v>
      </c>
      <c r="D28" s="776">
        <v>24</v>
      </c>
      <c r="E28" s="747">
        <v>328.8</v>
      </c>
      <c r="F28" s="752"/>
      <c r="G28" s="752"/>
      <c r="H28" s="1194"/>
      <c r="I28" s="1194"/>
      <c r="J28" s="1194"/>
      <c r="K28" s="1194"/>
      <c r="L28" s="1194"/>
      <c r="M28" s="1194"/>
      <c r="N28" s="835"/>
      <c r="O28" s="752"/>
    </row>
    <row r="29" spans="1:16" ht="14.5" x14ac:dyDescent="0.3">
      <c r="A29" s="1189"/>
      <c r="B29" s="1192"/>
      <c r="C29" s="768">
        <f t="shared" si="0"/>
        <v>2040</v>
      </c>
      <c r="D29" s="776">
        <v>28</v>
      </c>
      <c r="E29" s="747">
        <v>358.7</v>
      </c>
      <c r="F29" s="752"/>
      <c r="G29" s="752"/>
      <c r="H29" s="1194"/>
      <c r="I29" s="1194"/>
      <c r="J29" s="1194"/>
      <c r="K29" s="1194"/>
      <c r="L29" s="1194"/>
      <c r="M29" s="1194"/>
      <c r="N29" s="835"/>
      <c r="O29" s="752"/>
    </row>
    <row r="30" spans="1:16" ht="14.5" x14ac:dyDescent="0.3">
      <c r="A30" s="1189"/>
      <c r="B30" s="1192"/>
      <c r="C30" s="768">
        <f t="shared" si="0"/>
        <v>2045</v>
      </c>
      <c r="D30" s="776">
        <v>30</v>
      </c>
      <c r="E30" s="747">
        <v>387.1</v>
      </c>
      <c r="F30" s="752"/>
      <c r="G30" s="752"/>
      <c r="H30" s="1194"/>
      <c r="I30" s="1194"/>
      <c r="J30" s="1194"/>
      <c r="K30" s="1194"/>
      <c r="L30" s="1194"/>
      <c r="M30" s="1194"/>
      <c r="N30" s="835"/>
      <c r="O30" s="752"/>
    </row>
    <row r="31" spans="1:16" ht="14.25" customHeight="1" x14ac:dyDescent="0.3">
      <c r="A31" s="1189"/>
      <c r="B31" s="1193"/>
      <c r="C31" s="777">
        <f t="shared" si="0"/>
        <v>2050</v>
      </c>
      <c r="D31" s="778">
        <v>34</v>
      </c>
      <c r="E31" s="779">
        <v>417</v>
      </c>
      <c r="F31" s="752"/>
      <c r="G31" s="752"/>
      <c r="H31" s="1194"/>
      <c r="I31" s="1194"/>
      <c r="J31" s="1194"/>
      <c r="K31" s="1194"/>
      <c r="L31" s="1194"/>
      <c r="M31" s="1194"/>
      <c r="N31" s="835"/>
      <c r="O31" s="800"/>
    </row>
    <row r="32" spans="1:16" x14ac:dyDescent="0.3">
      <c r="A32" s="730"/>
      <c r="B32" s="730"/>
      <c r="C32" s="730"/>
      <c r="D32" s="730"/>
      <c r="E32" s="730"/>
      <c r="G32" s="752"/>
      <c r="H32" s="835"/>
      <c r="I32" s="835"/>
      <c r="J32" s="835"/>
      <c r="K32" s="835"/>
      <c r="L32" s="835"/>
      <c r="M32" s="835"/>
      <c r="N32" s="835"/>
      <c r="O32" s="752"/>
    </row>
    <row r="33" spans="1:17" ht="14.5" x14ac:dyDescent="0.35">
      <c r="A33" s="725"/>
      <c r="B33" s="725" t="s">
        <v>323</v>
      </c>
      <c r="C33" s="725"/>
      <c r="D33" s="726" t="s">
        <v>95</v>
      </c>
      <c r="E33" s="726"/>
      <c r="G33" s="752"/>
      <c r="H33" s="835"/>
      <c r="I33" s="835"/>
      <c r="J33" s="835"/>
      <c r="K33" s="835"/>
      <c r="L33" s="835"/>
      <c r="M33" s="835"/>
      <c r="N33" s="835"/>
      <c r="O33" s="752"/>
    </row>
    <row r="34" spans="1:17" x14ac:dyDescent="0.3">
      <c r="A34" s="730"/>
      <c r="B34" s="739"/>
      <c r="C34" s="739"/>
      <c r="D34" s="739"/>
      <c r="E34" s="739"/>
      <c r="G34" s="752"/>
      <c r="H34" s="835"/>
      <c r="I34" s="835"/>
      <c r="J34" s="835"/>
      <c r="K34" s="835"/>
      <c r="L34" s="835"/>
      <c r="M34" s="835"/>
      <c r="N34" s="835"/>
      <c r="O34" s="752"/>
    </row>
    <row r="35" spans="1:17" ht="15" customHeight="1" x14ac:dyDescent="0.35">
      <c r="A35" s="832"/>
      <c r="B35" s="731" t="s">
        <v>304</v>
      </c>
      <c r="C35" s="740" t="s">
        <v>265</v>
      </c>
      <c r="D35" s="827" t="s">
        <v>305</v>
      </c>
      <c r="E35" s="769" t="s">
        <v>306</v>
      </c>
      <c r="F35" s="752"/>
      <c r="G35" s="752"/>
      <c r="H35" s="835"/>
      <c r="I35" s="835"/>
      <c r="J35" s="835"/>
      <c r="K35" s="835"/>
      <c r="L35" s="835"/>
      <c r="M35" s="835"/>
      <c r="N35" s="835"/>
      <c r="O35" s="752"/>
    </row>
    <row r="36" spans="1:17" ht="20" x14ac:dyDescent="0.3">
      <c r="A36" s="832" t="s">
        <v>324</v>
      </c>
      <c r="B36" s="749" t="s">
        <v>325</v>
      </c>
      <c r="C36" s="747" t="s">
        <v>308</v>
      </c>
      <c r="D36" s="766">
        <v>0.1510512</v>
      </c>
      <c r="E36" s="828"/>
      <c r="F36" s="752"/>
      <c r="G36" s="752"/>
      <c r="H36" s="835"/>
      <c r="I36" s="835"/>
      <c r="J36" s="835"/>
      <c r="K36" s="835"/>
      <c r="L36" s="835"/>
      <c r="M36" s="835"/>
      <c r="N36" s="835"/>
      <c r="O36" s="752"/>
    </row>
    <row r="37" spans="1:17" ht="14.5" x14ac:dyDescent="0.3">
      <c r="A37" s="832"/>
      <c r="B37" s="749" t="s">
        <v>326</v>
      </c>
      <c r="C37" s="747" t="s">
        <v>308</v>
      </c>
      <c r="D37" s="766">
        <v>2.8690899999999998E-2</v>
      </c>
      <c r="E37" s="828"/>
      <c r="F37" s="752"/>
      <c r="G37" s="752"/>
      <c r="H37" s="835"/>
      <c r="I37" s="835"/>
      <c r="J37" s="835"/>
      <c r="K37" s="835"/>
      <c r="L37" s="835"/>
      <c r="M37" s="835"/>
      <c r="N37" s="835"/>
      <c r="O37" s="752"/>
    </row>
    <row r="38" spans="1:17" ht="14.5" x14ac:dyDescent="0.3">
      <c r="A38" s="832"/>
      <c r="B38" s="749" t="s">
        <v>327</v>
      </c>
      <c r="C38" s="747" t="s">
        <v>308</v>
      </c>
      <c r="D38" s="766">
        <v>3.3825202000000001</v>
      </c>
      <c r="E38" s="828"/>
      <c r="F38" s="752"/>
      <c r="G38" s="752"/>
      <c r="H38" s="835"/>
      <c r="I38" s="835"/>
      <c r="J38" s="835"/>
      <c r="K38" s="835"/>
      <c r="L38" s="835"/>
      <c r="M38" s="835"/>
      <c r="N38" s="835"/>
      <c r="O38" s="752"/>
    </row>
    <row r="39" spans="1:17" ht="14.5" x14ac:dyDescent="0.3">
      <c r="A39" s="832"/>
      <c r="B39" s="749" t="s">
        <v>328</v>
      </c>
      <c r="C39" s="747" t="s">
        <v>308</v>
      </c>
      <c r="D39" s="766">
        <v>1.0213386</v>
      </c>
      <c r="E39" s="828"/>
      <c r="F39" s="752"/>
      <c r="G39" s="752"/>
      <c r="H39" s="835"/>
      <c r="I39" s="835"/>
      <c r="J39" s="835"/>
      <c r="K39" s="835"/>
      <c r="L39" s="835"/>
      <c r="M39" s="835"/>
      <c r="N39" s="835"/>
      <c r="O39" s="752"/>
    </row>
    <row r="40" spans="1:17" ht="14.5" x14ac:dyDescent="0.3">
      <c r="A40" s="832"/>
      <c r="B40" s="749" t="s">
        <v>329</v>
      </c>
      <c r="C40" s="747" t="s">
        <v>308</v>
      </c>
      <c r="D40" s="766">
        <v>0.1321698</v>
      </c>
      <c r="E40" s="828"/>
      <c r="F40" s="752"/>
      <c r="G40" s="752"/>
      <c r="H40" s="835"/>
      <c r="I40" s="835"/>
      <c r="J40" s="835"/>
      <c r="K40" s="835"/>
      <c r="L40" s="835"/>
      <c r="M40" s="835"/>
      <c r="N40" s="835"/>
      <c r="O40" s="752"/>
    </row>
    <row r="41" spans="1:17" ht="14.5" x14ac:dyDescent="0.35">
      <c r="A41" s="832"/>
      <c r="B41" s="829" t="s">
        <v>330</v>
      </c>
      <c r="C41" s="748" t="s">
        <v>308</v>
      </c>
      <c r="D41" s="830">
        <v>0.17937330000000001</v>
      </c>
      <c r="E41" s="831"/>
      <c r="F41" s="752"/>
      <c r="G41" s="752"/>
      <c r="H41" s="835"/>
      <c r="I41" s="835"/>
      <c r="J41" s="835"/>
      <c r="K41" s="835"/>
      <c r="L41" s="835"/>
      <c r="M41" s="835"/>
      <c r="N41" s="835"/>
      <c r="O41" s="752"/>
    </row>
    <row r="42" spans="1:17" x14ac:dyDescent="0.3">
      <c r="A42" s="730"/>
      <c r="B42" s="730"/>
      <c r="C42" s="730"/>
      <c r="D42" s="730"/>
      <c r="E42" s="730"/>
      <c r="G42" s="752"/>
      <c r="H42" s="835"/>
      <c r="I42" s="835"/>
      <c r="J42" s="835"/>
      <c r="K42" s="835"/>
      <c r="L42" s="835"/>
      <c r="M42" s="835"/>
      <c r="N42" s="835"/>
      <c r="O42" s="752"/>
    </row>
    <row r="43" spans="1:17" ht="14.5" x14ac:dyDescent="0.35">
      <c r="A43" s="725"/>
      <c r="B43" s="725" t="s">
        <v>331</v>
      </c>
      <c r="C43" s="725"/>
      <c r="D43" s="725"/>
      <c r="E43" s="725"/>
      <c r="G43" s="752"/>
      <c r="H43" s="835"/>
      <c r="I43" s="835"/>
      <c r="J43" s="835"/>
      <c r="K43" s="835"/>
      <c r="L43" s="835"/>
      <c r="M43" s="835"/>
      <c r="N43" s="835"/>
      <c r="O43" s="752"/>
    </row>
    <row r="44" spans="1:17" x14ac:dyDescent="0.3">
      <c r="A44" s="730"/>
      <c r="B44" s="739"/>
      <c r="C44" s="739"/>
      <c r="D44" s="739"/>
      <c r="E44" s="730"/>
      <c r="H44" s="752"/>
      <c r="I44" s="752"/>
      <c r="J44" s="752"/>
      <c r="K44" s="752"/>
      <c r="L44" s="752"/>
      <c r="M44" s="752"/>
      <c r="N44" s="752"/>
    </row>
    <row r="45" spans="1:17" ht="14.5" x14ac:dyDescent="0.35">
      <c r="A45" s="1190" t="s">
        <v>332</v>
      </c>
      <c r="B45" s="740" t="s">
        <v>333</v>
      </c>
      <c r="C45" s="757" t="s">
        <v>334</v>
      </c>
      <c r="D45" s="733"/>
      <c r="E45" s="739"/>
      <c r="F45" s="752"/>
      <c r="G45" s="752"/>
      <c r="I45" s="752"/>
      <c r="J45" s="1187"/>
      <c r="K45" s="1187"/>
      <c r="L45" s="1187"/>
      <c r="M45" s="752"/>
      <c r="N45" s="752"/>
      <c r="O45" s="752"/>
      <c r="P45" s="800"/>
      <c r="Q45" s="752"/>
    </row>
    <row r="46" spans="1:17" ht="14.5" x14ac:dyDescent="0.35">
      <c r="A46" s="1191"/>
      <c r="B46" s="741" t="s">
        <v>335</v>
      </c>
      <c r="C46" s="729">
        <v>10.57</v>
      </c>
      <c r="D46" s="753"/>
      <c r="E46" s="739"/>
      <c r="F46" s="752"/>
      <c r="G46" s="752"/>
      <c r="I46" s="752"/>
      <c r="J46" s="1187"/>
      <c r="K46" s="1187"/>
      <c r="L46" s="1187"/>
      <c r="M46" s="767"/>
      <c r="N46" s="752"/>
      <c r="O46" s="752"/>
      <c r="P46" s="800"/>
      <c r="Q46" s="800"/>
    </row>
    <row r="47" spans="1:17" ht="14.5" x14ac:dyDescent="0.35">
      <c r="A47" s="1191"/>
      <c r="B47" s="741" t="s">
        <v>336</v>
      </c>
      <c r="C47" s="729">
        <v>3.88</v>
      </c>
      <c r="D47" s="753"/>
      <c r="E47" s="739"/>
      <c r="F47" s="752"/>
      <c r="G47" s="752"/>
      <c r="I47" s="752"/>
      <c r="J47" s="962"/>
      <c r="K47" s="767"/>
      <c r="L47" s="767"/>
      <c r="M47" s="752"/>
      <c r="N47" s="752"/>
      <c r="O47" s="752"/>
      <c r="P47" s="752"/>
      <c r="Q47" s="752"/>
    </row>
    <row r="48" spans="1:17" ht="14.5" x14ac:dyDescent="0.35">
      <c r="A48" s="1191"/>
      <c r="B48" s="741" t="s">
        <v>337</v>
      </c>
      <c r="C48" s="729">
        <v>2.77</v>
      </c>
      <c r="D48" s="801" t="s">
        <v>338</v>
      </c>
      <c r="E48" s="739"/>
      <c r="G48" s="752"/>
      <c r="I48" s="752"/>
      <c r="J48" s="962"/>
      <c r="K48" s="767"/>
      <c r="L48" s="767"/>
      <c r="M48" s="752"/>
      <c r="N48" s="752"/>
      <c r="O48" s="752"/>
      <c r="P48" s="752"/>
      <c r="Q48" s="752"/>
    </row>
    <row r="49" spans="1:17" ht="15" thickBot="1" x14ac:dyDescent="0.4">
      <c r="A49" s="1191"/>
      <c r="B49" s="756" t="s">
        <v>339</v>
      </c>
      <c r="C49" s="754">
        <v>1.99</v>
      </c>
      <c r="D49" s="755"/>
      <c r="E49" s="739"/>
      <c r="F49" s="752"/>
      <c r="G49" s="752"/>
      <c r="I49" s="752"/>
      <c r="J49" s="962"/>
      <c r="K49" s="767"/>
      <c r="L49" s="767"/>
      <c r="M49" s="752"/>
      <c r="N49" s="752"/>
      <c r="O49" s="752"/>
      <c r="P49" s="752"/>
      <c r="Q49" s="752"/>
    </row>
    <row r="50" spans="1:17" x14ac:dyDescent="0.3">
      <c r="A50" s="730"/>
      <c r="B50" s="739"/>
      <c r="C50" s="739"/>
      <c r="D50" s="739"/>
      <c r="E50" s="730"/>
      <c r="G50" s="752"/>
      <c r="I50" s="752"/>
      <c r="J50" s="962"/>
      <c r="K50" s="767"/>
      <c r="L50" s="767"/>
      <c r="M50" s="752"/>
      <c r="N50" s="752"/>
      <c r="O50" s="752"/>
      <c r="P50" s="752"/>
      <c r="Q50" s="752"/>
    </row>
    <row r="51" spans="1:17" x14ac:dyDescent="0.3">
      <c r="G51" s="752"/>
      <c r="I51" s="752"/>
      <c r="J51" s="962"/>
      <c r="K51" s="767"/>
      <c r="L51" s="767"/>
      <c r="M51" s="752"/>
      <c r="N51" s="752"/>
      <c r="O51" s="752"/>
      <c r="P51" s="752"/>
      <c r="Q51" s="752"/>
    </row>
    <row r="52" spans="1:17" x14ac:dyDescent="0.3">
      <c r="B52" s="359" t="s">
        <v>340</v>
      </c>
      <c r="G52" s="752"/>
      <c r="I52" s="752"/>
      <c r="J52" s="962"/>
      <c r="K52" s="767"/>
      <c r="L52" s="767"/>
      <c r="M52" s="752"/>
      <c r="N52" s="752"/>
      <c r="O52" s="752"/>
      <c r="P52" s="752"/>
      <c r="Q52" s="752"/>
    </row>
    <row r="53" spans="1:17" x14ac:dyDescent="0.3">
      <c r="B53" s="751" t="s">
        <v>341</v>
      </c>
      <c r="G53" s="752"/>
      <c r="I53" s="752"/>
      <c r="J53" s="962"/>
      <c r="K53" s="767"/>
      <c r="L53" s="767"/>
      <c r="M53" s="752"/>
      <c r="N53" s="752"/>
      <c r="O53" s="752"/>
      <c r="P53" s="752"/>
      <c r="Q53" s="752"/>
    </row>
    <row r="54" spans="1:17" ht="14.5" x14ac:dyDescent="0.35">
      <c r="B54" s="30" t="s">
        <v>342</v>
      </c>
      <c r="H54" s="752"/>
      <c r="I54" s="752"/>
      <c r="J54" s="752"/>
      <c r="K54" s="752"/>
      <c r="L54" s="752"/>
      <c r="M54" s="752"/>
    </row>
  </sheetData>
  <mergeCells count="10">
    <mergeCell ref="J45:J46"/>
    <mergeCell ref="K45:K46"/>
    <mergeCell ref="L45:L46"/>
    <mergeCell ref="A4:A6"/>
    <mergeCell ref="A10:A12"/>
    <mergeCell ref="A16:A18"/>
    <mergeCell ref="A22:A31"/>
    <mergeCell ref="A45:A49"/>
    <mergeCell ref="B23:B31"/>
    <mergeCell ref="H22:M31"/>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8BB3-2661-4A2C-B859-7E9A35BFC506}">
  <sheetPr>
    <tabColor theme="7" tint="0.79998168889431442"/>
  </sheetPr>
  <dimension ref="A1:BK788"/>
  <sheetViews>
    <sheetView topLeftCell="A55" zoomScale="85" zoomScaleNormal="85" workbookViewId="0">
      <selection activeCell="Q80" sqref="Q80"/>
    </sheetView>
  </sheetViews>
  <sheetFormatPr defaultColWidth="11" defaultRowHeight="14" x14ac:dyDescent="0.3"/>
  <cols>
    <col min="1" max="1" width="13.6640625" customWidth="1"/>
    <col min="2" max="2" width="2.6640625" customWidth="1"/>
    <col min="3" max="3" width="39.4140625" customWidth="1"/>
    <col min="4" max="56" width="13.9140625" customWidth="1"/>
  </cols>
  <sheetData>
    <row r="1" spans="1:56" ht="17.5" thickBot="1" x14ac:dyDescent="0.35">
      <c r="A1" s="944"/>
      <c r="B1" s="519"/>
      <c r="C1" s="108" t="s">
        <v>1</v>
      </c>
      <c r="D1" s="521">
        <v>2018</v>
      </c>
      <c r="E1" s="521">
        <v>2019</v>
      </c>
      <c r="F1" s="521">
        <v>2020</v>
      </c>
      <c r="G1" s="521">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c r="AK1" s="521">
        <v>2051</v>
      </c>
      <c r="AL1" s="521">
        <v>2052</v>
      </c>
      <c r="AM1" s="521">
        <v>2053</v>
      </c>
      <c r="AN1" s="521">
        <v>2054</v>
      </c>
      <c r="AO1" s="521">
        <v>2055</v>
      </c>
      <c r="AP1" s="521">
        <v>2056</v>
      </c>
      <c r="AQ1" s="521">
        <v>2057</v>
      </c>
      <c r="AR1" s="521">
        <v>2058</v>
      </c>
      <c r="AS1" s="521">
        <v>2059</v>
      </c>
      <c r="AT1" s="521">
        <v>2060</v>
      </c>
      <c r="AU1" s="521">
        <v>2061</v>
      </c>
      <c r="AV1" s="521">
        <v>2062</v>
      </c>
      <c r="AW1" s="521">
        <v>2063</v>
      </c>
      <c r="AX1" s="521">
        <v>2064</v>
      </c>
      <c r="AY1" s="521">
        <v>2065</v>
      </c>
      <c r="AZ1" s="521">
        <v>2066</v>
      </c>
      <c r="BA1" s="521">
        <v>2067</v>
      </c>
      <c r="BB1" s="521">
        <v>2068</v>
      </c>
      <c r="BC1" s="521">
        <v>2069</v>
      </c>
      <c r="BD1" s="521">
        <v>2070</v>
      </c>
    </row>
    <row r="2" spans="1:56" ht="15" customHeight="1" thickBot="1" x14ac:dyDescent="0.35">
      <c r="A2" s="1196"/>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row>
    <row r="3" spans="1:56" ht="14.5" x14ac:dyDescent="0.3">
      <c r="A3" s="1196"/>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row>
    <row r="4" spans="1:56" ht="18.5" x14ac:dyDescent="0.3">
      <c r="A4" s="1196"/>
      <c r="B4" s="125"/>
      <c r="C4" s="850" t="s">
        <v>151</v>
      </c>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row>
    <row r="5" spans="1:56" ht="18.5" x14ac:dyDescent="0.3">
      <c r="A5" s="1196"/>
      <c r="B5" s="125"/>
      <c r="C5" s="85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row>
    <row r="6" spans="1:56" ht="14.5" x14ac:dyDescent="0.3">
      <c r="A6" s="49"/>
      <c r="B6" s="523"/>
      <c r="C6" s="851" t="s">
        <v>152</v>
      </c>
      <c r="D6" s="963"/>
      <c r="E6" s="963"/>
      <c r="F6" s="963"/>
      <c r="G6" s="963"/>
      <c r="H6" s="963"/>
      <c r="I6" s="963"/>
      <c r="J6" s="963"/>
      <c r="K6" s="963"/>
      <c r="L6" s="963"/>
      <c r="M6" s="963"/>
      <c r="N6" s="963"/>
      <c r="O6" s="963"/>
      <c r="P6" s="963"/>
      <c r="Q6" s="963"/>
      <c r="R6" s="963"/>
      <c r="S6" s="963"/>
      <c r="T6" s="963"/>
      <c r="U6" s="963"/>
      <c r="V6" s="963"/>
      <c r="W6" s="963"/>
      <c r="X6" s="963"/>
      <c r="Y6" s="963"/>
      <c r="Z6" s="963"/>
      <c r="AA6" s="963"/>
      <c r="AB6" s="963"/>
      <c r="AC6" s="963"/>
      <c r="AD6" s="963"/>
      <c r="AE6" s="963"/>
      <c r="AF6" s="963"/>
      <c r="AG6" s="963"/>
      <c r="AH6" s="963"/>
      <c r="AI6" s="963"/>
      <c r="AJ6" s="963"/>
      <c r="AK6" s="963"/>
      <c r="AL6" s="963"/>
      <c r="AM6" s="963"/>
      <c r="AN6" s="963"/>
      <c r="AO6" s="963"/>
      <c r="AP6" s="963"/>
      <c r="AQ6" s="963"/>
      <c r="AR6" s="963"/>
      <c r="AS6" s="963"/>
      <c r="AT6" s="963"/>
      <c r="AU6" s="963"/>
      <c r="AV6" s="963"/>
      <c r="AW6" s="963"/>
      <c r="AX6" s="963"/>
      <c r="AY6" s="963"/>
      <c r="AZ6" s="963"/>
      <c r="BA6" s="963"/>
      <c r="BB6" s="963"/>
      <c r="BC6" s="963"/>
      <c r="BD6" s="963"/>
    </row>
    <row r="7" spans="1:56" ht="14.5" x14ac:dyDescent="0.3">
      <c r="A7" s="49"/>
      <c r="B7" s="523"/>
      <c r="C7" s="852" t="s">
        <v>153</v>
      </c>
      <c r="D7" s="946">
        <v>17023408</v>
      </c>
      <c r="E7" s="946">
        <v>17267986</v>
      </c>
      <c r="F7" s="946">
        <v>17510643</v>
      </c>
      <c r="G7" s="946">
        <v>17751277</v>
      </c>
      <c r="H7" s="946">
        <v>17989912</v>
      </c>
      <c r="I7" s="946">
        <v>18226512</v>
      </c>
      <c r="J7" s="946">
        <v>18460936</v>
      </c>
      <c r="K7" s="946">
        <v>18693140</v>
      </c>
      <c r="L7" s="946">
        <v>18922864</v>
      </c>
      <c r="M7" s="946">
        <v>19150021</v>
      </c>
      <c r="N7" s="946">
        <v>19374448</v>
      </c>
      <c r="O7" s="946">
        <v>19596113</v>
      </c>
      <c r="P7" s="946">
        <v>19814767</v>
      </c>
      <c r="Q7" s="946">
        <v>20030293</v>
      </c>
      <c r="R7" s="946">
        <v>20242540</v>
      </c>
      <c r="S7" s="946">
        <v>20451333</v>
      </c>
      <c r="T7" s="946">
        <v>20656586</v>
      </c>
      <c r="U7" s="946">
        <v>20858149</v>
      </c>
      <c r="V7" s="946">
        <v>21055934</v>
      </c>
      <c r="W7" s="946">
        <v>21249772</v>
      </c>
      <c r="X7" s="946">
        <v>21439596</v>
      </c>
      <c r="Y7" s="946">
        <v>21625281</v>
      </c>
      <c r="Z7" s="946">
        <v>21806740</v>
      </c>
      <c r="AA7" s="946">
        <v>21983950</v>
      </c>
      <c r="AB7" s="946">
        <v>22156850</v>
      </c>
      <c r="AC7" s="946">
        <v>22325333</v>
      </c>
      <c r="AD7" s="946">
        <v>22489377</v>
      </c>
      <c r="AE7" s="946">
        <v>22648875</v>
      </c>
      <c r="AF7" s="946">
        <v>22803800</v>
      </c>
      <c r="AG7" s="946">
        <v>22954177</v>
      </c>
      <c r="AH7" s="946">
        <v>23099877</v>
      </c>
      <c r="AI7" s="946">
        <v>23240939</v>
      </c>
      <c r="AJ7" s="946">
        <v>23377412</v>
      </c>
      <c r="AK7" s="946">
        <v>23509203.966093358</v>
      </c>
      <c r="AL7" s="946">
        <v>23636225.595713578</v>
      </c>
      <c r="AM7" s="946">
        <v>23758390.418085691</v>
      </c>
      <c r="AN7" s="946">
        <v>23875614.891970485</v>
      </c>
      <c r="AO7" s="946">
        <v>23987818.50054758</v>
      </c>
      <c r="AP7" s="946">
        <v>24094923.843287013</v>
      </c>
      <c r="AQ7" s="946">
        <v>24196856.724663101</v>
      </c>
      <c r="AR7" s="946">
        <v>24293546.23956864</v>
      </c>
      <c r="AS7" s="946">
        <v>24384924.855292253</v>
      </c>
      <c r="AT7" s="946">
        <v>24470928.489926573</v>
      </c>
      <c r="AU7" s="946">
        <v>24551496.587080102</v>
      </c>
      <c r="AV7" s="946">
        <v>24626572.186771225</v>
      </c>
      <c r="AW7" s="946">
        <v>24696101.99238833</v>
      </c>
      <c r="AX7" s="946">
        <v>24760036.433606219</v>
      </c>
      <c r="AY7" s="946">
        <v>24818329.725154996</v>
      </c>
      <c r="AZ7" s="946">
        <v>24870939.921344161</v>
      </c>
      <c r="BA7" s="946">
        <v>24917828.966251153</v>
      </c>
      <c r="BB7" s="946">
        <v>24958962.739490513</v>
      </c>
      <c r="BC7" s="946">
        <v>24994311.097486768</v>
      </c>
      <c r="BD7" s="946">
        <v>25023847.910181344</v>
      </c>
    </row>
    <row r="8" spans="1:56" ht="14.5" x14ac:dyDescent="0.3">
      <c r="A8" s="49"/>
      <c r="B8" s="523"/>
      <c r="C8" s="852" t="s">
        <v>154</v>
      </c>
      <c r="D8" s="963"/>
      <c r="E8" s="527">
        <v>1.4367158444419589E-2</v>
      </c>
      <c r="F8" s="527">
        <v>1.4052420473354565E-2</v>
      </c>
      <c r="G8" s="527">
        <v>1.374215669864322E-2</v>
      </c>
      <c r="H8" s="527">
        <v>1.3443258194889302E-2</v>
      </c>
      <c r="I8" s="527">
        <v>1.3151815306267202E-2</v>
      </c>
      <c r="J8" s="527">
        <v>1.2861703874005075E-2</v>
      </c>
      <c r="K8" s="527">
        <v>1.2578127132882103E-2</v>
      </c>
      <c r="L8" s="527">
        <v>1.2289214118120338E-2</v>
      </c>
      <c r="M8" s="527">
        <v>1.2004366780842476E-2</v>
      </c>
      <c r="N8" s="527">
        <v>1.1719412735892039E-2</v>
      </c>
      <c r="O8" s="527">
        <v>1.1441100154182458E-2</v>
      </c>
      <c r="P8" s="527">
        <v>1.1158029145882145E-2</v>
      </c>
      <c r="Q8" s="527">
        <v>1.0877039331322946E-2</v>
      </c>
      <c r="R8" s="527">
        <v>1.0596300313729809E-2</v>
      </c>
      <c r="S8" s="527">
        <v>1.0314565267007006E-2</v>
      </c>
      <c r="T8" s="527">
        <v>1.0036167324643337E-2</v>
      </c>
      <c r="U8" s="527">
        <v>9.7578079940218582E-3</v>
      </c>
      <c r="V8" s="527">
        <v>9.4823850380971013E-3</v>
      </c>
      <c r="W8" s="527">
        <v>9.2058609226263726E-3</v>
      </c>
      <c r="X8" s="527">
        <v>8.9329899633746653E-3</v>
      </c>
      <c r="Y8" s="527">
        <v>8.6608441688919881E-3</v>
      </c>
      <c r="Z8" s="527">
        <v>8.3910585947992999E-3</v>
      </c>
      <c r="AA8" s="527">
        <v>8.1263866125794136E-3</v>
      </c>
      <c r="AB8" s="527">
        <v>7.8648286590899275E-3</v>
      </c>
      <c r="AC8" s="527">
        <v>7.6041043740423392E-3</v>
      </c>
      <c r="AD8" s="527">
        <v>7.3478859195515696E-3</v>
      </c>
      <c r="AE8" s="527">
        <v>7.0921484396833222E-3</v>
      </c>
      <c r="AF8" s="527">
        <v>6.8402955996710651E-3</v>
      </c>
      <c r="AG8" s="527">
        <v>6.5943833922416442E-3</v>
      </c>
      <c r="AH8" s="527">
        <v>6.3474286183294653E-3</v>
      </c>
      <c r="AI8" s="527">
        <v>6.1066126023095278E-3</v>
      </c>
      <c r="AJ8" s="527">
        <v>5.8720949269734759E-3</v>
      </c>
      <c r="AK8" s="946">
        <v>5.637577251637424E-3</v>
      </c>
      <c r="AL8" s="946">
        <v>5.4030595763013721E-3</v>
      </c>
      <c r="AM8" s="946">
        <v>5.1685419009653202E-3</v>
      </c>
      <c r="AN8" s="946">
        <v>4.9340242256292683E-3</v>
      </c>
      <c r="AO8" s="946">
        <v>4.6995065502932164E-3</v>
      </c>
      <c r="AP8" s="946">
        <v>4.4649888749571645E-3</v>
      </c>
      <c r="AQ8" s="946">
        <v>4.2304711996211126E-3</v>
      </c>
      <c r="AR8" s="946">
        <v>3.9959535242850607E-3</v>
      </c>
      <c r="AS8" s="946">
        <v>3.7614358489490088E-3</v>
      </c>
      <c r="AT8" s="946">
        <v>3.5269181736129569E-3</v>
      </c>
      <c r="AU8" s="946">
        <v>3.292400498276905E-3</v>
      </c>
      <c r="AV8" s="946">
        <v>3.0578828229408531E-3</v>
      </c>
      <c r="AW8" s="946">
        <v>2.8233651476048012E-3</v>
      </c>
      <c r="AX8" s="946">
        <v>2.5888474722687493E-3</v>
      </c>
      <c r="AY8" s="946">
        <v>2.3543297969326974E-3</v>
      </c>
      <c r="AZ8" s="946">
        <v>2.1198121215966455E-3</v>
      </c>
      <c r="BA8" s="946">
        <v>1.8852944462605936E-3</v>
      </c>
      <c r="BB8" s="946">
        <v>1.6507767709245417E-3</v>
      </c>
      <c r="BC8" s="946">
        <v>1.4162590955884898E-3</v>
      </c>
      <c r="BD8" s="946">
        <v>1.1817414202524379E-3</v>
      </c>
    </row>
    <row r="9" spans="1:56" ht="14.5" x14ac:dyDescent="0.3">
      <c r="A9" s="944"/>
      <c r="B9" s="125"/>
      <c r="C9" s="85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row>
    <row r="10" spans="1:56" ht="14.5" x14ac:dyDescent="0.3">
      <c r="A10" s="49"/>
      <c r="B10" s="523"/>
      <c r="C10" s="851" t="s">
        <v>159</v>
      </c>
      <c r="D10" s="963"/>
      <c r="E10" s="963"/>
      <c r="F10" s="963"/>
      <c r="G10" s="963"/>
      <c r="H10" s="963"/>
      <c r="I10" s="963"/>
      <c r="J10" s="963"/>
      <c r="K10" s="963"/>
      <c r="L10" s="963"/>
      <c r="M10" s="963"/>
      <c r="N10" s="963"/>
      <c r="O10" s="963"/>
      <c r="P10" s="963"/>
      <c r="Q10" s="963"/>
      <c r="R10" s="963"/>
      <c r="S10" s="963"/>
      <c r="T10" s="963"/>
      <c r="U10" s="963"/>
      <c r="V10" s="963"/>
      <c r="W10" s="963"/>
      <c r="X10" s="963"/>
      <c r="Y10" s="963"/>
      <c r="Z10" s="963"/>
      <c r="AA10" s="963"/>
      <c r="AB10" s="963"/>
      <c r="AC10" s="963"/>
      <c r="AD10" s="963"/>
      <c r="AE10" s="963"/>
      <c r="AF10" s="963"/>
      <c r="AG10" s="963"/>
      <c r="AH10" s="963"/>
      <c r="AI10" s="963"/>
      <c r="AJ10" s="963"/>
      <c r="AK10" s="963"/>
      <c r="AL10" s="963"/>
      <c r="AM10" s="963"/>
      <c r="AN10" s="963"/>
      <c r="AO10" s="963"/>
      <c r="AP10" s="963"/>
      <c r="AQ10" s="963"/>
      <c r="AR10" s="963"/>
      <c r="AS10" s="963"/>
      <c r="AT10" s="963"/>
      <c r="AU10" s="963"/>
      <c r="AV10" s="963"/>
      <c r="AW10" s="963"/>
      <c r="AX10" s="963"/>
      <c r="AY10" s="963"/>
      <c r="AZ10" s="963"/>
      <c r="BA10" s="963"/>
      <c r="BB10" s="963"/>
      <c r="BC10" s="963"/>
      <c r="BD10" s="963"/>
    </row>
    <row r="11" spans="1:56" ht="14.5" x14ac:dyDescent="0.3">
      <c r="A11" s="49"/>
      <c r="B11" s="125"/>
      <c r="C11" s="852" t="s">
        <v>160</v>
      </c>
      <c r="D11" s="946">
        <v>110440516.34079282</v>
      </c>
      <c r="E11" s="946">
        <v>110453885.27888137</v>
      </c>
      <c r="F11" s="946">
        <v>101852170.67669086</v>
      </c>
      <c r="G11" s="530">
        <v>106165865.99999999</v>
      </c>
      <c r="H11" s="946">
        <v>109032344.38199997</v>
      </c>
      <c r="I11" s="946">
        <v>112412347.05784196</v>
      </c>
      <c r="J11" s="946">
        <v>115784717.46957722</v>
      </c>
      <c r="K11" s="946">
        <v>118910904.8412558</v>
      </c>
      <c r="L11" s="946">
        <v>121645855.65260467</v>
      </c>
      <c r="M11" s="946">
        <v>125520060.34830059</v>
      </c>
      <c r="N11" s="946">
        <v>129092577.74609415</v>
      </c>
      <c r="O11" s="946">
        <v>131927421.3317237</v>
      </c>
      <c r="P11" s="946">
        <v>135069988.46495035</v>
      </c>
      <c r="Q11" s="946">
        <v>139348762.94369256</v>
      </c>
      <c r="R11" s="946">
        <v>142786305.06732506</v>
      </c>
      <c r="S11" s="946">
        <v>146914875.74991554</v>
      </c>
      <c r="T11" s="946">
        <v>150391845.42598927</v>
      </c>
      <c r="U11" s="946">
        <v>153947794.95423308</v>
      </c>
      <c r="V11" s="946">
        <v>157879293.33044419</v>
      </c>
      <c r="W11" s="946">
        <v>161461771.62526488</v>
      </c>
      <c r="X11" s="946">
        <v>165244334.79990754</v>
      </c>
      <c r="Y11" s="946">
        <v>169410299.43580195</v>
      </c>
      <c r="Z11" s="946">
        <v>173258394.43175781</v>
      </c>
      <c r="AA11" s="946">
        <v>177213146.93254572</v>
      </c>
      <c r="AB11" s="946">
        <v>181161616.94748867</v>
      </c>
      <c r="AC11" s="946">
        <v>184330645.72206077</v>
      </c>
      <c r="AD11" s="946">
        <v>188370514.59844753</v>
      </c>
      <c r="AE11" s="946">
        <v>191872449.8690145</v>
      </c>
      <c r="AF11" s="946">
        <v>196258901.06991079</v>
      </c>
      <c r="AG11" s="946">
        <v>199876007.44810826</v>
      </c>
      <c r="AH11" s="946">
        <v>203457749.84588927</v>
      </c>
      <c r="AI11" s="946">
        <v>207171483.02258462</v>
      </c>
      <c r="AJ11" s="946">
        <v>210912968.46042624</v>
      </c>
      <c r="AK11" s="946">
        <v>215160607.73681274</v>
      </c>
      <c r="AL11" s="946">
        <v>219030108.26761785</v>
      </c>
      <c r="AM11" s="946">
        <v>222901609.69042477</v>
      </c>
      <c r="AN11" s="946">
        <v>226897555.01748562</v>
      </c>
      <c r="AO11" s="946">
        <v>230930731.70328957</v>
      </c>
      <c r="AP11" s="946">
        <v>235075190.72709957</v>
      </c>
      <c r="AQ11" s="946">
        <v>239089697.91017175</v>
      </c>
      <c r="AR11" s="946">
        <v>243142791.20364937</v>
      </c>
      <c r="AS11" s="946">
        <v>247232884.35072887</v>
      </c>
      <c r="AT11" s="946">
        <v>251341331.04783189</v>
      </c>
      <c r="AU11" s="946">
        <v>255450791.80708718</v>
      </c>
      <c r="AV11" s="946">
        <v>259571992.11951008</v>
      </c>
      <c r="AW11" s="946">
        <v>263709070.25304019</v>
      </c>
      <c r="AX11" s="946">
        <v>267862651.96994534</v>
      </c>
      <c r="AY11" s="946">
        <v>272020825.59519911</v>
      </c>
      <c r="AZ11" s="946">
        <v>276182524.80470318</v>
      </c>
      <c r="BA11" s="946">
        <v>280341862.70847183</v>
      </c>
      <c r="BB11" s="946">
        <v>284506851.84155017</v>
      </c>
      <c r="BC11" s="946">
        <v>288674143.52983731</v>
      </c>
      <c r="BD11" s="946">
        <v>292840545.24693012</v>
      </c>
    </row>
    <row r="12" spans="1:56" ht="14.5" x14ac:dyDescent="0.3">
      <c r="A12" s="49"/>
      <c r="B12" s="125"/>
      <c r="C12" s="852" t="s">
        <v>161</v>
      </c>
      <c r="D12" s="946"/>
      <c r="E12" s="946">
        <v>1.2105102847670362E-4</v>
      </c>
      <c r="F12" s="946">
        <v>-7.7876070909342163E-2</v>
      </c>
      <c r="G12" s="946">
        <v>4.2352512417256946E-2</v>
      </c>
      <c r="H12" s="946">
        <v>2.6999999999999899E-2</v>
      </c>
      <c r="I12" s="946">
        <v>3.0999999999999878E-2</v>
      </c>
      <c r="J12" s="946">
        <v>3.0000000000000037E-2</v>
      </c>
      <c r="K12" s="946">
        <v>2.6999999999999951E-2</v>
      </c>
      <c r="L12" s="946">
        <v>2.2999999999999916E-2</v>
      </c>
      <c r="M12" s="946">
        <v>3.1848225941702696E-2</v>
      </c>
      <c r="N12" s="946">
        <v>2.8461724666800917E-2</v>
      </c>
      <c r="O12" s="946">
        <v>2.1959772088564766E-2</v>
      </c>
      <c r="P12" s="946">
        <v>2.3820424150676402E-2</v>
      </c>
      <c r="Q12" s="946">
        <v>3.1678202740444431E-2</v>
      </c>
      <c r="R12" s="946">
        <v>2.46686231798234E-2</v>
      </c>
      <c r="S12" s="946">
        <v>2.8914332369927402E-2</v>
      </c>
      <c r="T12" s="946">
        <v>2.3666559688566621E-2</v>
      </c>
      <c r="U12" s="946">
        <v>2.3644563428100032E-2</v>
      </c>
      <c r="V12" s="946">
        <v>2.553786741394963E-2</v>
      </c>
      <c r="W12" s="946">
        <v>2.2691248606760143E-2</v>
      </c>
      <c r="X12" s="946">
        <v>2.3426989166337061E-2</v>
      </c>
      <c r="Y12" s="946">
        <v>2.5210937736164583E-2</v>
      </c>
      <c r="Z12" s="946">
        <v>2.2714646091597963E-2</v>
      </c>
      <c r="AA12" s="946">
        <v>2.2825748292072491E-2</v>
      </c>
      <c r="AB12" s="946">
        <v>2.2280909082021228E-2</v>
      </c>
      <c r="AC12" s="946">
        <v>1.7492826725490636E-2</v>
      </c>
      <c r="AD12" s="946">
        <v>2.1916425565384295E-2</v>
      </c>
      <c r="AE12" s="946">
        <v>1.8590676348854761E-2</v>
      </c>
      <c r="AF12" s="946">
        <v>2.286128729732069E-2</v>
      </c>
      <c r="AG12" s="946">
        <v>1.8430279383399691E-2</v>
      </c>
      <c r="AH12" s="946">
        <v>1.79198216109599E-2</v>
      </c>
      <c r="AI12" s="946">
        <v>1.8253092740425594E-2</v>
      </c>
      <c r="AJ12" s="946">
        <v>1.8059847732198486E-2</v>
      </c>
      <c r="AK12" s="946">
        <v>2.0139298723034566E-2</v>
      </c>
      <c r="AL12" s="946">
        <v>1.7984242429442909E-2</v>
      </c>
      <c r="AM12" s="946">
        <v>1.7675658627153683E-2</v>
      </c>
      <c r="AN12" s="946">
        <v>1.7926946927887023E-2</v>
      </c>
      <c r="AO12" s="946">
        <v>1.7775320168139885E-2</v>
      </c>
      <c r="AP12" s="946">
        <v>1.79467626211612E-2</v>
      </c>
      <c r="AQ12" s="946">
        <v>1.7077545149086635E-2</v>
      </c>
      <c r="AR12" s="946">
        <v>1.6952187103437769E-2</v>
      </c>
      <c r="AS12" s="946">
        <v>1.6821774262078596E-2</v>
      </c>
      <c r="AT12" s="946">
        <v>1.6617719393973225E-2</v>
      </c>
      <c r="AU12" s="946">
        <v>1.6350119346162113E-2</v>
      </c>
      <c r="AV12" s="946">
        <v>1.6133049669836908E-2</v>
      </c>
      <c r="AW12" s="946">
        <v>1.5938075983272425E-2</v>
      </c>
      <c r="AX12" s="946">
        <v>1.5750621368159932E-2</v>
      </c>
      <c r="AY12" s="946">
        <v>1.5523528923025654E-2</v>
      </c>
      <c r="AZ12" s="946">
        <v>1.529919336285376E-2</v>
      </c>
      <c r="BA12" s="946">
        <v>1.5060105293446285E-2</v>
      </c>
      <c r="BB12" s="946">
        <v>1.4856821927481943E-2</v>
      </c>
      <c r="BC12" s="946">
        <v>1.4647421182699604E-2</v>
      </c>
      <c r="BD12" s="946">
        <v>1.4432888467761857E-2</v>
      </c>
    </row>
    <row r="13" spans="1:56" ht="14.5" x14ac:dyDescent="0.3">
      <c r="A13" s="944"/>
      <c r="B13" s="125"/>
      <c r="C13" s="853"/>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row>
    <row r="14" spans="1:56" ht="14.5" x14ac:dyDescent="0.3">
      <c r="A14" s="49"/>
      <c r="B14" s="523"/>
      <c r="C14" s="851" t="s">
        <v>162</v>
      </c>
      <c r="D14" s="963"/>
      <c r="E14" s="963"/>
      <c r="F14" s="963"/>
      <c r="G14" s="963"/>
      <c r="H14" s="963"/>
      <c r="I14" s="963"/>
      <c r="J14" s="963"/>
      <c r="K14" s="963"/>
      <c r="L14" s="963"/>
      <c r="M14" s="963"/>
      <c r="N14" s="963"/>
      <c r="O14" s="963"/>
      <c r="P14" s="963"/>
      <c r="Q14" s="963"/>
      <c r="R14" s="963"/>
      <c r="S14" s="963"/>
      <c r="T14" s="963"/>
      <c r="U14" s="963"/>
      <c r="V14" s="963"/>
      <c r="W14" s="963"/>
      <c r="X14" s="963"/>
      <c r="Y14" s="963"/>
      <c r="Z14" s="963"/>
      <c r="AA14" s="963"/>
      <c r="AB14" s="963"/>
      <c r="AC14" s="963"/>
      <c r="AD14" s="963"/>
      <c r="AE14" s="963"/>
      <c r="AF14" s="963"/>
      <c r="AG14" s="963"/>
      <c r="AH14" s="963"/>
      <c r="AI14" s="963"/>
      <c r="AJ14" s="963"/>
      <c r="AK14" s="963"/>
      <c r="AL14" s="963"/>
      <c r="AM14" s="963"/>
      <c r="AN14" s="963"/>
      <c r="AO14" s="963"/>
      <c r="AP14" s="963"/>
      <c r="AQ14" s="963"/>
      <c r="AR14" s="963"/>
      <c r="AS14" s="963"/>
      <c r="AT14" s="963"/>
      <c r="AU14" s="963"/>
      <c r="AV14" s="963"/>
      <c r="AW14" s="963"/>
      <c r="AX14" s="963"/>
      <c r="AY14" s="963"/>
      <c r="AZ14" s="963"/>
      <c r="BA14" s="963"/>
      <c r="BB14" s="963"/>
      <c r="BC14" s="963"/>
      <c r="BD14" s="963"/>
    </row>
    <row r="15" spans="1:56" ht="14.5" x14ac:dyDescent="0.3">
      <c r="A15" s="49"/>
      <c r="B15" s="125"/>
      <c r="C15" s="852" t="s">
        <v>160</v>
      </c>
      <c r="D15" s="946">
        <v>110440516.34079282</v>
      </c>
      <c r="E15" s="946">
        <v>110453885.27888137</v>
      </c>
      <c r="F15" s="946">
        <v>101852170.67669086</v>
      </c>
      <c r="G15" s="946">
        <v>106165865.99999999</v>
      </c>
      <c r="H15" s="946">
        <v>109032344.38199997</v>
      </c>
      <c r="I15" s="946">
        <v>112412347.05784196</v>
      </c>
      <c r="J15" s="946">
        <v>115784717.46957722</v>
      </c>
      <c r="K15" s="946">
        <v>118910904.8412558</v>
      </c>
      <c r="L15" s="946">
        <v>121645855.65260467</v>
      </c>
      <c r="M15" s="946">
        <v>126183562.99026848</v>
      </c>
      <c r="N15" s="946">
        <v>131193975.58733518</v>
      </c>
      <c r="O15" s="946">
        <v>135061157.17287022</v>
      </c>
      <c r="P15" s="946">
        <v>139634385.99509183</v>
      </c>
      <c r="Q15" s="946">
        <v>145425877.07259119</v>
      </c>
      <c r="R15" s="946">
        <v>151086930.41669226</v>
      </c>
      <c r="S15" s="946">
        <v>158424262.22969881</v>
      </c>
      <c r="T15" s="946">
        <v>164688548.38544574</v>
      </c>
      <c r="U15" s="946">
        <v>171636873.51237479</v>
      </c>
      <c r="V15" s="946">
        <v>179407921.52259108</v>
      </c>
      <c r="W15" s="946">
        <v>186754640.47394875</v>
      </c>
      <c r="X15" s="946">
        <v>194913399.66525885</v>
      </c>
      <c r="Y15" s="946">
        <v>204019828.20392865</v>
      </c>
      <c r="Z15" s="946">
        <v>212606454.56931537</v>
      </c>
      <c r="AA15" s="946">
        <v>222057325.73941287</v>
      </c>
      <c r="AB15" s="946">
        <v>231842040.63934517</v>
      </c>
      <c r="AC15" s="946">
        <v>240866643.93940598</v>
      </c>
      <c r="AD15" s="946">
        <v>251650930.86432067</v>
      </c>
      <c r="AE15" s="946">
        <v>261819950.96059179</v>
      </c>
      <c r="AF15" s="946">
        <v>274420582.87190092</v>
      </c>
      <c r="AG15" s="946">
        <v>285553660.76379412</v>
      </c>
      <c r="AH15" s="946">
        <v>297589137.54140568</v>
      </c>
      <c r="AI15" s="946">
        <v>310413703.84900421</v>
      </c>
      <c r="AJ15" s="946">
        <v>323832891.48467642</v>
      </c>
      <c r="AK15" s="946">
        <v>337832190.74096501</v>
      </c>
      <c r="AL15" s="946">
        <v>352554739.50567406</v>
      </c>
      <c r="AM15" s="946">
        <v>367943291.36588675</v>
      </c>
      <c r="AN15" s="946">
        <v>383870100.60152519</v>
      </c>
      <c r="AO15" s="946">
        <v>400778107.80663836</v>
      </c>
      <c r="AP15" s="946">
        <v>418400252.38680464</v>
      </c>
      <c r="AQ15" s="946">
        <v>437014708.02723891</v>
      </c>
      <c r="AR15" s="946">
        <v>456242898.21929765</v>
      </c>
      <c r="AS15" s="946">
        <v>476436458.62456775</v>
      </c>
      <c r="AT15" s="946">
        <v>497610457.46323913</v>
      </c>
      <c r="AU15" s="946">
        <v>519769596.88561863</v>
      </c>
      <c r="AV15" s="946">
        <v>542937086.21803451</v>
      </c>
      <c r="AW15" s="946">
        <v>567232608.88552785</v>
      </c>
      <c r="AX15" s="946">
        <v>592665248.01249254</v>
      </c>
      <c r="AY15" s="946">
        <v>619317124.06076074</v>
      </c>
      <c r="AZ15" s="946">
        <v>647212037.74295354</v>
      </c>
      <c r="BA15" s="946">
        <v>676422837.81772423</v>
      </c>
      <c r="BB15" s="946">
        <v>706994937.43843496</v>
      </c>
      <c r="BC15" s="946">
        <v>739027536.67091727</v>
      </c>
      <c r="BD15" s="946">
        <v>772579357.06058848</v>
      </c>
    </row>
    <row r="16" spans="1:56" ht="14.5" x14ac:dyDescent="0.3">
      <c r="A16" s="49"/>
      <c r="B16" s="125"/>
      <c r="C16" s="852" t="s">
        <v>161</v>
      </c>
      <c r="D16" s="946"/>
      <c r="E16" s="946">
        <v>1.2105102847670362E-4</v>
      </c>
      <c r="F16" s="946">
        <v>-7.7876070909342163E-2</v>
      </c>
      <c r="G16" s="946">
        <v>4.2352512417256946E-2</v>
      </c>
      <c r="H16" s="946">
        <v>2.6999999999999899E-2</v>
      </c>
      <c r="I16" s="946">
        <v>3.0999999999999878E-2</v>
      </c>
      <c r="J16" s="946">
        <v>3.0000000000000037E-2</v>
      </c>
      <c r="K16" s="946">
        <v>2.6999999999999951E-2</v>
      </c>
      <c r="L16" s="946">
        <v>2.2999999999999916E-2</v>
      </c>
      <c r="M16" s="946">
        <v>3.7302605282522404E-2</v>
      </c>
      <c r="N16" s="946">
        <v>3.9707331750119541E-2</v>
      </c>
      <c r="O16" s="946">
        <v>2.9476822912197581E-2</v>
      </c>
      <c r="P16" s="946">
        <v>3.3860429733829037E-2</v>
      </c>
      <c r="Q16" s="946">
        <v>4.1476109457042519E-2</v>
      </c>
      <c r="R16" s="946">
        <v>3.8927414144287929E-2</v>
      </c>
      <c r="S16" s="946">
        <v>4.856364341224257E-2</v>
      </c>
      <c r="T16" s="946">
        <v>3.9541204532575827E-2</v>
      </c>
      <c r="U16" s="946">
        <v>4.2190699930554985E-2</v>
      </c>
      <c r="V16" s="946">
        <v>4.5276098609754921E-2</v>
      </c>
      <c r="W16" s="946">
        <v>4.0949802489253923E-2</v>
      </c>
      <c r="X16" s="946">
        <v>4.368704933170426E-2</v>
      </c>
      <c r="Y16" s="946">
        <v>4.6720382253395656E-2</v>
      </c>
      <c r="Z16" s="946">
        <v>4.2087214958361444E-2</v>
      </c>
      <c r="AA16" s="946">
        <v>4.4452418856438185E-2</v>
      </c>
      <c r="AB16" s="946">
        <v>4.4063913979648678E-2</v>
      </c>
      <c r="AC16" s="946">
        <v>3.8925655050196656E-2</v>
      </c>
      <c r="AD16" s="946">
        <v>4.4772853345470605E-2</v>
      </c>
      <c r="AE16" s="946">
        <v>4.0409229011570041E-2</v>
      </c>
      <c r="AF16" s="946">
        <v>4.8127088348610028E-2</v>
      </c>
      <c r="AG16" s="946">
        <v>4.056939816752065E-2</v>
      </c>
      <c r="AH16" s="946">
        <v>4.2147863716470217E-2</v>
      </c>
      <c r="AI16" s="946">
        <v>4.3094873736156183E-2</v>
      </c>
      <c r="AJ16" s="946">
        <v>4.3230010367711708E-2</v>
      </c>
      <c r="AK16" s="946">
        <v>4.3230010367711708E-2</v>
      </c>
      <c r="AL16" s="946">
        <v>4.357947279215206E-2</v>
      </c>
      <c r="AM16" s="946">
        <v>4.3648688092491332E-2</v>
      </c>
      <c r="AN16" s="946">
        <v>4.3286043282688133E-2</v>
      </c>
      <c r="AO16" s="946">
        <v>4.4046168687319795E-2</v>
      </c>
      <c r="AP16" s="946">
        <v>4.3969828283805343E-2</v>
      </c>
      <c r="AQ16" s="946">
        <v>4.448958989447608E-2</v>
      </c>
      <c r="AR16" s="946">
        <v>4.3998954357527709E-2</v>
      </c>
      <c r="AS16" s="946">
        <v>4.4260547362128637E-2</v>
      </c>
      <c r="AT16" s="946">
        <v>4.4442440235994952E-2</v>
      </c>
      <c r="AU16" s="946">
        <v>4.4531096744518169E-2</v>
      </c>
      <c r="AV16" s="946">
        <v>4.4572613464181073E-2</v>
      </c>
      <c r="AW16" s="946">
        <v>4.4748320356470722E-2</v>
      </c>
      <c r="AX16" s="946">
        <v>4.4836348842732361E-2</v>
      </c>
      <c r="AY16" s="946">
        <v>4.4969527296640777E-2</v>
      </c>
      <c r="AZ16" s="946">
        <v>4.504140544232061E-2</v>
      </c>
      <c r="BA16" s="946">
        <v>4.5133276841757483E-2</v>
      </c>
      <c r="BB16" s="946">
        <v>4.5196728897182896E-2</v>
      </c>
      <c r="BC16" s="946">
        <v>4.5308102698078626E-2</v>
      </c>
      <c r="BD16" s="946">
        <v>4.5399959710312444E-2</v>
      </c>
    </row>
    <row r="17" spans="1:56" ht="14.5" x14ac:dyDescent="0.3">
      <c r="A17" s="944"/>
      <c r="B17" s="125"/>
      <c r="C17" s="853"/>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row>
    <row r="18" spans="1:56" ht="14.5" x14ac:dyDescent="0.3">
      <c r="A18" s="49"/>
      <c r="B18" s="523"/>
      <c r="C18" s="851" t="s">
        <v>163</v>
      </c>
      <c r="D18" s="963"/>
      <c r="E18" s="963"/>
      <c r="F18" s="963"/>
      <c r="G18" s="963"/>
      <c r="H18" s="963"/>
      <c r="I18" s="963"/>
      <c r="J18" s="963"/>
      <c r="K18" s="963"/>
      <c r="L18" s="963"/>
      <c r="M18" s="963"/>
      <c r="N18" s="963"/>
      <c r="O18" s="963"/>
      <c r="P18" s="963"/>
      <c r="Q18" s="963"/>
      <c r="R18" s="963"/>
      <c r="S18" s="963"/>
      <c r="T18" s="963"/>
      <c r="U18" s="963"/>
      <c r="V18" s="963"/>
      <c r="W18" s="963"/>
      <c r="X18" s="963"/>
      <c r="Y18" s="963"/>
      <c r="Z18" s="963"/>
      <c r="AA18" s="963"/>
      <c r="AB18" s="963"/>
      <c r="AC18" s="963"/>
      <c r="AD18" s="963"/>
      <c r="AE18" s="963"/>
      <c r="AF18" s="963"/>
      <c r="AG18" s="963"/>
      <c r="AH18" s="963"/>
      <c r="AI18" s="963"/>
      <c r="AJ18" s="963"/>
      <c r="AK18" s="963"/>
      <c r="AL18" s="963"/>
      <c r="AM18" s="963"/>
      <c r="AN18" s="963"/>
      <c r="AO18" s="963"/>
      <c r="AP18" s="963"/>
      <c r="AQ18" s="963"/>
      <c r="AR18" s="963"/>
      <c r="AS18" s="963"/>
      <c r="AT18" s="963"/>
      <c r="AU18" s="963"/>
      <c r="AV18" s="963"/>
      <c r="AW18" s="963"/>
      <c r="AX18" s="963"/>
      <c r="AY18" s="963"/>
      <c r="AZ18" s="963"/>
      <c r="BA18" s="963"/>
      <c r="BB18" s="963"/>
      <c r="BC18" s="963"/>
      <c r="BD18" s="963"/>
    </row>
    <row r="19" spans="1:56" ht="14.5" x14ac:dyDescent="0.3">
      <c r="A19" s="49"/>
      <c r="B19" s="125"/>
      <c r="C19" s="852" t="s">
        <v>160</v>
      </c>
      <c r="D19" s="946">
        <v>110440516.34079282</v>
      </c>
      <c r="E19" s="946">
        <v>110453885.27888137</v>
      </c>
      <c r="F19" s="946">
        <v>101852170.67669086</v>
      </c>
      <c r="G19" s="946">
        <v>106165865.99999999</v>
      </c>
      <c r="H19" s="946">
        <v>109032344.38199997</v>
      </c>
      <c r="I19" s="946">
        <v>112412347.05784196</v>
      </c>
      <c r="J19" s="946">
        <v>115784717.46957722</v>
      </c>
      <c r="K19" s="946">
        <v>118910904.8412558</v>
      </c>
      <c r="L19" s="946">
        <v>121645855.65260467</v>
      </c>
      <c r="M19" s="946">
        <v>123980215.14809938</v>
      </c>
      <c r="N19" s="946">
        <v>126281672.28276457</v>
      </c>
      <c r="O19" s="946">
        <v>128262388.28510691</v>
      </c>
      <c r="P19" s="946">
        <v>130151862.32447936</v>
      </c>
      <c r="Q19" s="946">
        <v>132936414.88427544</v>
      </c>
      <c r="R19" s="946">
        <v>135473944.75165266</v>
      </c>
      <c r="S19" s="946">
        <v>138003900.19606236</v>
      </c>
      <c r="T19" s="946">
        <v>140438969.01560619</v>
      </c>
      <c r="U19" s="946">
        <v>142623245.28233594</v>
      </c>
      <c r="V19" s="946">
        <v>145021209.7391898</v>
      </c>
      <c r="W19" s="946">
        <v>147340027.16671008</v>
      </c>
      <c r="X19" s="946">
        <v>149601310.48729944</v>
      </c>
      <c r="Y19" s="946">
        <v>152090857.87181428</v>
      </c>
      <c r="Z19" s="946">
        <v>154601760.75108746</v>
      </c>
      <c r="AA19" s="946">
        <v>156945660.91060784</v>
      </c>
      <c r="AB19" s="946">
        <v>159310225.8698099</v>
      </c>
      <c r="AC19" s="946">
        <v>161050219.93043277</v>
      </c>
      <c r="AD19" s="946">
        <v>163393981.78364742</v>
      </c>
      <c r="AE19" s="946">
        <v>165484296.85837981</v>
      </c>
      <c r="AF19" s="946">
        <v>167851044.69485354</v>
      </c>
      <c r="AG19" s="946">
        <v>170101117.32687795</v>
      </c>
      <c r="AH19" s="946">
        <v>172040235.42772919</v>
      </c>
      <c r="AI19" s="946">
        <v>174042103.01801601</v>
      </c>
      <c r="AJ19" s="946">
        <v>176069557.80449656</v>
      </c>
      <c r="AK19" s="946">
        <v>178630007.68065706</v>
      </c>
      <c r="AL19" s="946">
        <v>180731665.28141156</v>
      </c>
      <c r="AM19" s="946">
        <v>182863917.07071105</v>
      </c>
      <c r="AN19" s="946">
        <v>185048811.61538979</v>
      </c>
      <c r="AO19" s="946">
        <v>187284372.12328911</v>
      </c>
      <c r="AP19" s="946">
        <v>189573503.1934613</v>
      </c>
      <c r="AQ19" s="946">
        <v>191763633.16033545</v>
      </c>
      <c r="AR19" s="946">
        <v>193956711.10284746</v>
      </c>
      <c r="AS19" s="946">
        <v>196166233.4309952</v>
      </c>
      <c r="AT19" s="946">
        <v>198380676.26243931</v>
      </c>
      <c r="AU19" s="946">
        <v>200585908.24146709</v>
      </c>
      <c r="AV19" s="946">
        <v>202778290.0452306</v>
      </c>
      <c r="AW19" s="946">
        <v>204977254.9207342</v>
      </c>
      <c r="AX19" s="946">
        <v>207176059.50156051</v>
      </c>
      <c r="AY19" s="946">
        <v>209369955.30763075</v>
      </c>
      <c r="AZ19" s="946">
        <v>211555176.871975</v>
      </c>
      <c r="BA19" s="946">
        <v>213729573.5189845</v>
      </c>
      <c r="BB19" s="946">
        <v>215896483.91375464</v>
      </c>
      <c r="BC19" s="946">
        <v>218055938.21150717</v>
      </c>
      <c r="BD19" s="946">
        <v>220206000.57232735</v>
      </c>
    </row>
    <row r="20" spans="1:56" ht="14.5" x14ac:dyDescent="0.3">
      <c r="A20" s="49"/>
      <c r="B20" s="125"/>
      <c r="C20" s="852" t="s">
        <v>161</v>
      </c>
      <c r="D20" s="946"/>
      <c r="E20" s="946">
        <v>1.2105102847670362E-4</v>
      </c>
      <c r="F20" s="946">
        <v>-7.7876070909342163E-2</v>
      </c>
      <c r="G20" s="946">
        <v>4.2352512417256946E-2</v>
      </c>
      <c r="H20" s="946">
        <v>2.7000000000000003E-2</v>
      </c>
      <c r="I20" s="946">
        <v>3.1E-2</v>
      </c>
      <c r="J20" s="946">
        <v>0.03</v>
      </c>
      <c r="K20" s="946">
        <v>2.7000000000000003E-2</v>
      </c>
      <c r="L20" s="946">
        <v>2.3E-2</v>
      </c>
      <c r="M20" s="946">
        <v>1.9189798805486279E-2</v>
      </c>
      <c r="N20" s="946">
        <v>1.8563100022983555E-2</v>
      </c>
      <c r="O20" s="946">
        <v>1.5684904757257413E-2</v>
      </c>
      <c r="P20" s="946">
        <v>1.4731318078784158E-2</v>
      </c>
      <c r="Q20" s="946">
        <v>2.1394642458929698E-2</v>
      </c>
      <c r="R20" s="946">
        <v>1.9088297736825542E-2</v>
      </c>
      <c r="S20" s="946">
        <v>1.8674848872582545E-2</v>
      </c>
      <c r="T20" s="946">
        <v>1.7644927542513896E-2</v>
      </c>
      <c r="U20" s="946">
        <v>1.5553206364588196E-2</v>
      </c>
      <c r="V20" s="946">
        <v>1.6813279294738137E-2</v>
      </c>
      <c r="W20" s="946">
        <v>1.5989505477788286E-2</v>
      </c>
      <c r="X20" s="946">
        <v>1.5347379555121138E-2</v>
      </c>
      <c r="Y20" s="946">
        <v>1.6641213746093418E-2</v>
      </c>
      <c r="Z20" s="946">
        <v>1.6509229511937215E-2</v>
      </c>
      <c r="AA20" s="946">
        <v>1.5160889165383643E-2</v>
      </c>
      <c r="AB20" s="946">
        <v>1.5066137830652474E-2</v>
      </c>
      <c r="AC20" s="946">
        <v>1.0922048795818052E-2</v>
      </c>
      <c r="AD20" s="946">
        <v>1.455298759745288E-2</v>
      </c>
      <c r="AE20" s="946">
        <v>1.2793097101337761E-2</v>
      </c>
      <c r="AF20" s="946">
        <v>1.4301948169131619E-2</v>
      </c>
      <c r="AG20" s="946">
        <v>1.3405175023574816E-2</v>
      </c>
      <c r="AH20" s="946">
        <v>1.1399796375969166E-2</v>
      </c>
      <c r="AI20" s="946">
        <v>1.1636043076259282E-2</v>
      </c>
      <c r="AJ20" s="946">
        <v>1.1649220225008826E-2</v>
      </c>
      <c r="AK20" s="946">
        <v>1.4542263342329496E-2</v>
      </c>
      <c r="AL20" s="946">
        <v>1.1765422999430945E-2</v>
      </c>
      <c r="AM20" s="946">
        <v>1.1797887138257759E-2</v>
      </c>
      <c r="AN20" s="946">
        <v>1.1948199402476484E-2</v>
      </c>
      <c r="AO20" s="946">
        <v>1.2080923343327324E-2</v>
      </c>
      <c r="AP20" s="946">
        <v>1.2222755397152063E-2</v>
      </c>
      <c r="AQ20" s="946">
        <v>1.1552932925647887E-2</v>
      </c>
      <c r="AR20" s="946">
        <v>1.1436359993650861E-2</v>
      </c>
      <c r="AS20" s="946">
        <v>1.1391832309303915E-2</v>
      </c>
      <c r="AT20" s="946">
        <v>1.1288603510976214E-2</v>
      </c>
      <c r="AU20" s="946">
        <v>1.1116163230084238E-2</v>
      </c>
      <c r="AV20" s="946">
        <v>1.0929889457260936E-2</v>
      </c>
      <c r="AW20" s="946">
        <v>1.0844182949827235E-2</v>
      </c>
      <c r="AX20" s="946">
        <v>1.0727066189253939E-2</v>
      </c>
      <c r="AY20" s="946">
        <v>1.0589523767121006E-2</v>
      </c>
      <c r="AZ20" s="946">
        <v>1.0437130586064622E-2</v>
      </c>
      <c r="BA20" s="946">
        <v>1.0278153809137562E-2</v>
      </c>
      <c r="BB20" s="946">
        <v>1.0138561356263091E-2</v>
      </c>
      <c r="BC20" s="946">
        <v>1.000226709859341E-2</v>
      </c>
      <c r="BD20" s="946">
        <v>9.8601412942705795E-3</v>
      </c>
    </row>
    <row r="21" spans="1:56" ht="14.5" x14ac:dyDescent="0.3">
      <c r="A21" s="944"/>
      <c r="B21" s="125"/>
      <c r="C21" s="853"/>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row>
    <row r="22" spans="1:56" ht="14.5" x14ac:dyDescent="0.3">
      <c r="A22" s="49"/>
      <c r="B22" s="523"/>
      <c r="C22" s="851" t="s">
        <v>164</v>
      </c>
      <c r="D22" s="1195"/>
      <c r="E22" s="1195"/>
      <c r="F22" s="1195"/>
      <c r="G22" s="1195"/>
      <c r="H22" s="963"/>
      <c r="I22" s="963"/>
      <c r="J22" s="963"/>
      <c r="K22" s="963"/>
      <c r="L22" s="963"/>
      <c r="M22" s="963"/>
      <c r="N22" s="963"/>
      <c r="O22" s="963"/>
      <c r="P22" s="963"/>
      <c r="Q22" s="963"/>
      <c r="R22" s="963"/>
      <c r="S22" s="963"/>
      <c r="T22" s="963"/>
      <c r="U22" s="963"/>
      <c r="V22" s="963"/>
      <c r="W22" s="963"/>
      <c r="X22" s="963"/>
      <c r="Y22" s="963"/>
      <c r="Z22" s="963"/>
      <c r="AA22" s="963"/>
      <c r="AB22" s="963"/>
      <c r="AC22" s="963"/>
      <c r="AD22" s="963"/>
      <c r="AE22" s="963"/>
      <c r="AF22" s="963"/>
      <c r="AG22" s="963"/>
      <c r="AH22" s="963"/>
      <c r="AI22" s="963"/>
      <c r="AJ22" s="963"/>
      <c r="AK22" s="963"/>
      <c r="AL22" s="963"/>
      <c r="AM22" s="963"/>
      <c r="AN22" s="963"/>
      <c r="AO22" s="963"/>
      <c r="AP22" s="963"/>
      <c r="AQ22" s="963"/>
      <c r="AR22" s="963"/>
      <c r="AS22" s="963"/>
      <c r="AT22" s="963"/>
      <c r="AU22" s="963"/>
      <c r="AV22" s="963"/>
      <c r="AW22" s="963"/>
      <c r="AX22" s="963"/>
      <c r="AY22" s="963"/>
      <c r="AZ22" s="963"/>
      <c r="BA22" s="963"/>
      <c r="BB22" s="963"/>
      <c r="BC22" s="963"/>
      <c r="BD22" s="963"/>
    </row>
    <row r="23" spans="1:56" ht="14.5" x14ac:dyDescent="0.3">
      <c r="A23" s="49"/>
      <c r="B23" s="125"/>
      <c r="C23" s="851" t="s">
        <v>165</v>
      </c>
      <c r="D23" s="946"/>
      <c r="E23" s="946"/>
      <c r="F23" s="946"/>
      <c r="G23" s="946"/>
      <c r="H23" s="946"/>
      <c r="I23" s="946"/>
      <c r="J23" s="946"/>
      <c r="K23" s="946"/>
      <c r="L23" s="946"/>
      <c r="M23" s="946"/>
      <c r="N23" s="946"/>
      <c r="O23" s="946"/>
      <c r="P23" s="946"/>
      <c r="Q23" s="946"/>
      <c r="R23" s="946"/>
      <c r="S23" s="946"/>
      <c r="T23" s="946"/>
      <c r="U23" s="946"/>
      <c r="V23" s="946"/>
      <c r="W23" s="946"/>
      <c r="X23" s="946"/>
      <c r="Y23" s="946"/>
      <c r="Z23" s="946"/>
      <c r="AA23" s="946"/>
      <c r="AB23" s="946"/>
      <c r="AC23" s="946"/>
      <c r="AD23" s="946"/>
      <c r="AE23" s="946"/>
      <c r="AF23" s="946"/>
      <c r="AG23" s="946"/>
      <c r="AH23" s="946"/>
      <c r="AI23" s="946"/>
      <c r="AJ23" s="946"/>
      <c r="AK23" s="946"/>
      <c r="AL23" s="946"/>
      <c r="AM23" s="946"/>
      <c r="AN23" s="946"/>
      <c r="AO23" s="946"/>
      <c r="AP23" s="946"/>
      <c r="AQ23" s="946"/>
      <c r="AR23" s="946"/>
      <c r="AS23" s="946"/>
      <c r="AT23" s="946"/>
      <c r="AU23" s="946"/>
      <c r="AV23" s="946"/>
      <c r="AW23" s="946"/>
      <c r="AX23" s="946"/>
      <c r="AY23" s="946"/>
      <c r="AZ23" s="946"/>
      <c r="BA23" s="946"/>
      <c r="BB23" s="946"/>
      <c r="BC23" s="946"/>
      <c r="BD23" s="946"/>
    </row>
    <row r="24" spans="1:56" ht="14.5" x14ac:dyDescent="0.3">
      <c r="A24" s="49"/>
      <c r="B24" s="125"/>
      <c r="C24" s="852" t="s">
        <v>166</v>
      </c>
      <c r="D24" s="946">
        <v>10459663.541376175</v>
      </c>
      <c r="E24" s="946">
        <v>10628846.684556978</v>
      </c>
      <c r="F24" s="946">
        <v>10666852.885217236</v>
      </c>
      <c r="G24" s="946">
        <v>11028075.445731562</v>
      </c>
      <c r="H24" s="946">
        <v>11407863.837986894</v>
      </c>
      <c r="I24" s="946">
        <v>11743435.490841135</v>
      </c>
      <c r="J24" s="946">
        <v>12109217.097557349</v>
      </c>
      <c r="K24" s="946">
        <v>12395282.315002289</v>
      </c>
      <c r="L24" s="946">
        <v>12636981.938204726</v>
      </c>
      <c r="M24" s="946">
        <v>12958076.974870292</v>
      </c>
      <c r="N24" s="946">
        <v>13237104.710606275</v>
      </c>
      <c r="O24" s="946">
        <v>13402557.503848925</v>
      </c>
      <c r="P24" s="946">
        <v>13597211.405999383</v>
      </c>
      <c r="Q24" s="946">
        <v>13881504.106603147</v>
      </c>
      <c r="R24" s="946">
        <v>14068747.817708187</v>
      </c>
      <c r="S24" s="946">
        <v>14310693.370956618</v>
      </c>
      <c r="T24" s="946">
        <v>14481998.597768158</v>
      </c>
      <c r="U24" s="946">
        <v>14661880.18618246</v>
      </c>
      <c r="V24" s="946">
        <v>14879623.663289385</v>
      </c>
      <c r="W24" s="946">
        <v>15076447.176957149</v>
      </c>
      <c r="X24" s="946">
        <v>15302556.914702144</v>
      </c>
      <c r="Y24" s="946">
        <v>15584161.632784216</v>
      </c>
      <c r="Z24" s="946">
        <v>15852246.439967619</v>
      </c>
      <c r="AA24" s="946">
        <v>16154988.203958189</v>
      </c>
      <c r="AB24" s="946">
        <v>16475218.101647552</v>
      </c>
      <c r="AC24" s="946">
        <v>16750070.176090224</v>
      </c>
      <c r="AD24" s="946">
        <v>17121125.353931632</v>
      </c>
      <c r="AE24" s="946">
        <v>17465868.716215648</v>
      </c>
      <c r="AF24" s="946">
        <v>17904575.66853638</v>
      </c>
      <c r="AG24" s="946">
        <v>18290577.526791025</v>
      </c>
      <c r="AH24" s="946">
        <v>18681161.156369116</v>
      </c>
      <c r="AI24" s="946">
        <v>19094516.078419615</v>
      </c>
      <c r="AJ24" s="946">
        <v>19511992.061041556</v>
      </c>
      <c r="AK24" s="946">
        <v>19879079.280038901</v>
      </c>
      <c r="AL24" s="946">
        <v>20261014.813574161</v>
      </c>
      <c r="AM24" s="946">
        <v>20655812.041915026</v>
      </c>
      <c r="AN24" s="946">
        <v>21066380.912398815</v>
      </c>
      <c r="AO24" s="946">
        <v>21491534.624486104</v>
      </c>
      <c r="AP24" s="946">
        <v>21927658.431311205</v>
      </c>
      <c r="AQ24" s="946">
        <v>22376867.786965024</v>
      </c>
      <c r="AR24" s="946">
        <v>22837221.17515292</v>
      </c>
      <c r="AS24" s="946">
        <v>23308116.331363171</v>
      </c>
      <c r="AT24" s="946">
        <v>23794456.247455183</v>
      </c>
      <c r="AU24" s="946">
        <v>24289030.363033198</v>
      </c>
      <c r="AV24" s="946">
        <v>24794870.637316518</v>
      </c>
      <c r="AW24" s="946">
        <v>25304594.122611281</v>
      </c>
      <c r="AX24" s="946">
        <v>25823212.84147568</v>
      </c>
      <c r="AY24" s="946">
        <v>26351073.771120362</v>
      </c>
      <c r="AZ24" s="946">
        <v>26886948.96495796</v>
      </c>
      <c r="BA24" s="946">
        <v>27431154.566254672</v>
      </c>
      <c r="BB24" s="946">
        <v>27988821.847649723</v>
      </c>
      <c r="BC24" s="946">
        <v>28559779.901114076</v>
      </c>
      <c r="BD24" s="946">
        <v>29144016.589883987</v>
      </c>
    </row>
    <row r="25" spans="1:56" ht="14.5" x14ac:dyDescent="0.3">
      <c r="A25" s="944"/>
      <c r="B25" s="125"/>
      <c r="C25" s="852" t="s">
        <v>161</v>
      </c>
      <c r="D25" s="946"/>
      <c r="E25" s="527">
        <v>1.6174816953867625E-2</v>
      </c>
      <c r="F25" s="527">
        <v>3.5757596085640286E-3</v>
      </c>
      <c r="G25" s="527">
        <v>3.386402385045819E-2</v>
      </c>
      <c r="H25" s="527">
        <v>3.4438320097123581E-2</v>
      </c>
      <c r="I25" s="527">
        <v>2.9415818563404118E-2</v>
      </c>
      <c r="J25" s="527">
        <v>3.1147751184182157E-2</v>
      </c>
      <c r="K25" s="527">
        <v>2.362375826118801E-2</v>
      </c>
      <c r="L25" s="527">
        <v>1.9499323779814441E-2</v>
      </c>
      <c r="M25" s="527">
        <v>2.5409155305889646E-2</v>
      </c>
      <c r="N25" s="527">
        <v>2.1533112997947419E-2</v>
      </c>
      <c r="O25" s="527">
        <v>1.2499167821047793E-2</v>
      </c>
      <c r="P25" s="527">
        <v>1.4523638648411493E-2</v>
      </c>
      <c r="Q25" s="527">
        <v>2.0908162130826944E-2</v>
      </c>
      <c r="R25" s="527">
        <v>1.3488719209899693E-2</v>
      </c>
      <c r="S25" s="527">
        <v>1.7197376510217716E-2</v>
      </c>
      <c r="T25" s="527">
        <v>1.1970435140424522E-2</v>
      </c>
      <c r="U25" s="527">
        <v>1.2421047219409613E-2</v>
      </c>
      <c r="V25" s="527">
        <v>1.4850992801873342E-2</v>
      </c>
      <c r="W25" s="527">
        <v>1.3227721219412418E-2</v>
      </c>
      <c r="X25" s="527">
        <v>1.4997547836772892E-2</v>
      </c>
      <c r="Y25" s="527">
        <v>1.840246173575846E-2</v>
      </c>
      <c r="Z25" s="527">
        <v>1.7202388777811231E-2</v>
      </c>
      <c r="AA25" s="527">
        <v>1.9097720006880505E-2</v>
      </c>
      <c r="AB25" s="527">
        <v>1.9822354163706684E-2</v>
      </c>
      <c r="AC25" s="527">
        <v>1.6682757869844887E-2</v>
      </c>
      <c r="AD25" s="527">
        <v>2.2152455120520536E-2</v>
      </c>
      <c r="AE25" s="527">
        <v>2.0135555061796817E-2</v>
      </c>
      <c r="AF25" s="527">
        <v>2.5117957740826726E-2</v>
      </c>
      <c r="AG25" s="527">
        <v>2.1558838667869919E-2</v>
      </c>
      <c r="AH25" s="527">
        <v>2.1354362868312163E-2</v>
      </c>
      <c r="AI25" s="527">
        <v>2.2126832405681061E-2</v>
      </c>
      <c r="AJ25" s="527">
        <v>2.1863658702184544E-2</v>
      </c>
      <c r="AK25" s="527">
        <v>1.8813415762416363E-2</v>
      </c>
      <c r="AL25" s="527">
        <v>1.9212938796354283E-2</v>
      </c>
      <c r="AM25" s="527">
        <v>1.9485560421009341E-2</v>
      </c>
      <c r="AN25" s="527">
        <v>1.987667537110915E-2</v>
      </c>
      <c r="AO25" s="527">
        <v>2.0181620842005168E-2</v>
      </c>
      <c r="AP25" s="527">
        <v>2.0292818286145584E-2</v>
      </c>
      <c r="AQ25" s="527">
        <v>2.0485970130416482E-2</v>
      </c>
      <c r="AR25" s="527">
        <v>2.0572735763137479E-2</v>
      </c>
      <c r="AS25" s="527">
        <v>2.0619634613101907E-2</v>
      </c>
      <c r="AT25" s="527">
        <v>2.0865689409555473E-2</v>
      </c>
      <c r="AU25" s="527">
        <v>2.0785266552620155E-2</v>
      </c>
      <c r="AV25" s="527">
        <v>2.0825873520796609E-2</v>
      </c>
      <c r="AW25" s="527">
        <v>2.0557618257044732E-2</v>
      </c>
      <c r="AX25" s="527">
        <v>2.0495041981368155E-2</v>
      </c>
      <c r="AY25" s="527">
        <v>2.0441334425934155E-2</v>
      </c>
      <c r="AZ25" s="527">
        <v>2.0335990802199971E-2</v>
      </c>
      <c r="BA25" s="527">
        <v>2.0240511558450934E-2</v>
      </c>
      <c r="BB25" s="527">
        <v>2.0329705045703094E-2</v>
      </c>
      <c r="BC25" s="527">
        <v>2.0399502936287398E-2</v>
      </c>
      <c r="BD25" s="527">
        <v>2.0456624343492276E-2</v>
      </c>
    </row>
    <row r="26" spans="1:56" ht="14.5" x14ac:dyDescent="0.3">
      <c r="A26" s="944"/>
      <c r="B26" s="125"/>
      <c r="C26" s="853"/>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row>
    <row r="27" spans="1:56" ht="14.5" x14ac:dyDescent="0.3">
      <c r="A27" s="49"/>
      <c r="B27" s="523"/>
      <c r="C27" s="851" t="s">
        <v>343</v>
      </c>
      <c r="D27" s="1195"/>
      <c r="E27" s="1195"/>
      <c r="F27" s="1195"/>
      <c r="G27" s="1195"/>
      <c r="H27" s="963"/>
      <c r="I27" s="963"/>
      <c r="J27" s="963"/>
      <c r="K27" s="963"/>
      <c r="L27" s="963"/>
      <c r="M27" s="963"/>
      <c r="N27" s="963"/>
      <c r="O27" s="963"/>
      <c r="P27" s="963"/>
      <c r="Q27" s="963"/>
      <c r="R27" s="963"/>
      <c r="S27" s="963"/>
      <c r="T27" s="963"/>
      <c r="U27" s="963"/>
      <c r="V27" s="963"/>
      <c r="W27" s="963"/>
      <c r="X27" s="963"/>
      <c r="Y27" s="963"/>
      <c r="Z27" s="963"/>
      <c r="AA27" s="963"/>
      <c r="AB27" s="963"/>
      <c r="AC27" s="963"/>
      <c r="AD27" s="963"/>
      <c r="AE27" s="963"/>
      <c r="AF27" s="963"/>
      <c r="AG27" s="963"/>
      <c r="AH27" s="963"/>
      <c r="AI27" s="963"/>
      <c r="AJ27" s="963"/>
      <c r="AK27" s="963"/>
      <c r="AL27" s="963"/>
      <c r="AM27" s="963"/>
      <c r="AN27" s="963"/>
      <c r="AO27" s="963"/>
      <c r="AP27" s="963"/>
      <c r="AQ27" s="963"/>
      <c r="AR27" s="963"/>
      <c r="AS27" s="963"/>
      <c r="AT27" s="963"/>
      <c r="AU27" s="963"/>
      <c r="AV27" s="963"/>
      <c r="AW27" s="963"/>
      <c r="AX27" s="963"/>
      <c r="AY27" s="963"/>
      <c r="AZ27" s="963"/>
      <c r="BA27" s="963"/>
      <c r="BB27" s="963"/>
      <c r="BC27" s="963"/>
      <c r="BD27" s="963"/>
    </row>
    <row r="28" spans="1:56" ht="14.5" x14ac:dyDescent="0.3">
      <c r="A28" s="49"/>
      <c r="B28" s="523"/>
      <c r="C28" s="851" t="s">
        <v>165</v>
      </c>
      <c r="D28" s="963"/>
      <c r="E28" s="963"/>
      <c r="F28" s="963"/>
      <c r="G28" s="946"/>
      <c r="H28" s="946"/>
      <c r="I28" s="946"/>
      <c r="J28" s="946"/>
      <c r="K28" s="946"/>
      <c r="L28" s="946"/>
      <c r="M28" s="946"/>
      <c r="N28" s="946"/>
      <c r="O28" s="946"/>
      <c r="P28" s="946"/>
      <c r="Q28" s="946"/>
      <c r="R28" s="946"/>
      <c r="S28" s="946"/>
      <c r="T28" s="946"/>
      <c r="U28" s="946"/>
      <c r="V28" s="946"/>
      <c r="W28" s="946"/>
      <c r="X28" s="946"/>
      <c r="Y28" s="946"/>
      <c r="Z28" s="946"/>
      <c r="AA28" s="946"/>
      <c r="AB28" s="946"/>
      <c r="AC28" s="946"/>
      <c r="AD28" s="946"/>
      <c r="AE28" s="946"/>
      <c r="AF28" s="946"/>
      <c r="AG28" s="946"/>
      <c r="AH28" s="946"/>
      <c r="AI28" s="946"/>
      <c r="AJ28" s="946"/>
      <c r="AK28" s="946"/>
      <c r="AL28" s="963"/>
      <c r="AM28" s="963"/>
      <c r="AN28" s="963"/>
      <c r="AO28" s="963"/>
      <c r="AP28" s="963"/>
      <c r="AQ28" s="963"/>
      <c r="AR28" s="963"/>
      <c r="AS28" s="963"/>
      <c r="AT28" s="963"/>
      <c r="AU28" s="963"/>
      <c r="AV28" s="963"/>
      <c r="AW28" s="963"/>
      <c r="AX28" s="963"/>
      <c r="AY28" s="963"/>
      <c r="AZ28" s="963"/>
      <c r="BA28" s="963"/>
      <c r="BB28" s="963"/>
      <c r="BC28" s="963"/>
      <c r="BD28" s="963"/>
    </row>
    <row r="29" spans="1:56" ht="14.5" x14ac:dyDescent="0.3">
      <c r="A29" s="49"/>
      <c r="B29" s="125"/>
      <c r="C29" s="852" t="s">
        <v>166</v>
      </c>
      <c r="D29" s="946">
        <v>10459663.541376175</v>
      </c>
      <c r="E29" s="946">
        <v>10628846.684556978</v>
      </c>
      <c r="F29" s="946">
        <v>10666852.885217236</v>
      </c>
      <c r="G29" s="946">
        <v>11028075.445731562</v>
      </c>
      <c r="H29" s="946">
        <v>11407863.837986894</v>
      </c>
      <c r="I29" s="946">
        <v>11743435.490841135</v>
      </c>
      <c r="J29" s="946">
        <v>12109217.097557349</v>
      </c>
      <c r="K29" s="946">
        <v>12395282.315002289</v>
      </c>
      <c r="L29" s="946">
        <v>12636981.938204726</v>
      </c>
      <c r="M29" s="946">
        <v>13026573.741712119</v>
      </c>
      <c r="N29" s="946">
        <v>13452581.260449911</v>
      </c>
      <c r="O29" s="946">
        <v>13720914.933933394</v>
      </c>
      <c r="P29" s="946">
        <v>14056699.696949078</v>
      </c>
      <c r="Q29" s="946">
        <v>14486887.914500244</v>
      </c>
      <c r="R29" s="946">
        <v>14886609.199543513</v>
      </c>
      <c r="S29" s="946">
        <v>15431800.406301247</v>
      </c>
      <c r="T29" s="946">
        <v>15858701.115282295</v>
      </c>
      <c r="U29" s="946">
        <v>16346575.640901681</v>
      </c>
      <c r="V29" s="946">
        <v>16908628.726135436</v>
      </c>
      <c r="W29" s="946">
        <v>17438161.639225684</v>
      </c>
      <c r="X29" s="946">
        <v>18050079.571123537</v>
      </c>
      <c r="Y29" s="946">
        <v>18767914.286272515</v>
      </c>
      <c r="Z29" s="946">
        <v>19452390.307634074</v>
      </c>
      <c r="AA29" s="946">
        <v>20243043.701990101</v>
      </c>
      <c r="AB29" s="946">
        <v>21084202.321794283</v>
      </c>
      <c r="AC29" s="946">
        <v>21887479.280834161</v>
      </c>
      <c r="AD29" s="946">
        <v>22872725.81882688</v>
      </c>
      <c r="AE29" s="946">
        <v>23833087.521869369</v>
      </c>
      <c r="AF29" s="946">
        <v>25035216.564692657</v>
      </c>
      <c r="AG29" s="946">
        <v>26130907.04053181</v>
      </c>
      <c r="AH29" s="946">
        <v>27324152.759021662</v>
      </c>
      <c r="AI29" s="946">
        <v>28610112.611205507</v>
      </c>
      <c r="AJ29" s="946">
        <v>29958446.149027139</v>
      </c>
      <c r="AK29" s="946">
        <v>31173924.084112629</v>
      </c>
      <c r="AL29" s="946">
        <v>32457826.726834349</v>
      </c>
      <c r="AM29" s="946">
        <v>33808404.931102194</v>
      </c>
      <c r="AN29" s="946">
        <v>35236930.248046711</v>
      </c>
      <c r="AO29" s="946">
        <v>36741590.574057333</v>
      </c>
      <c r="AP29" s="946">
        <v>38317235.038118869</v>
      </c>
      <c r="AQ29" s="946">
        <v>39975810.516357392</v>
      </c>
      <c r="AR29" s="946">
        <v>41712773.545787416</v>
      </c>
      <c r="AS29" s="946">
        <v>43530154.791746043</v>
      </c>
      <c r="AT29" s="946">
        <v>45441600.410471141</v>
      </c>
      <c r="AU29" s="946">
        <v>47433845.662355274</v>
      </c>
      <c r="AV29" s="946">
        <v>49518933.112173162</v>
      </c>
      <c r="AW29" s="946">
        <v>51675615.981006071</v>
      </c>
      <c r="AX29" s="946">
        <v>53925539.375888646</v>
      </c>
      <c r="AY29" s="946">
        <v>56266261.725838885</v>
      </c>
      <c r="AZ29" s="946">
        <v>58695727.994980492</v>
      </c>
      <c r="BA29" s="946">
        <v>61215603.920022123</v>
      </c>
      <c r="BB29" s="946">
        <v>63852686.66207283</v>
      </c>
      <c r="BC29" s="946">
        <v>66610927.640550978</v>
      </c>
      <c r="BD29" s="946">
        <v>69494921.913120806</v>
      </c>
    </row>
    <row r="30" spans="1:56" ht="14.5" x14ac:dyDescent="0.3">
      <c r="A30" s="49"/>
      <c r="B30" s="125"/>
      <c r="C30" s="852" t="s">
        <v>161</v>
      </c>
      <c r="D30" s="946"/>
      <c r="E30" s="527">
        <v>1.6174816953867625E-2</v>
      </c>
      <c r="F30" s="527">
        <v>3.5757596085640286E-3</v>
      </c>
      <c r="G30" s="527">
        <v>3.386402385045819E-2</v>
      </c>
      <c r="H30" s="527">
        <v>3.4438320097123581E-2</v>
      </c>
      <c r="I30" s="527">
        <v>2.9415818563404118E-2</v>
      </c>
      <c r="J30" s="527">
        <v>3.1147751184182157E-2</v>
      </c>
      <c r="K30" s="527">
        <v>2.362375826118801E-2</v>
      </c>
      <c r="L30" s="527">
        <v>1.9499323779814441E-2</v>
      </c>
      <c r="M30" s="527">
        <v>3.0829497534499175E-2</v>
      </c>
      <c r="N30" s="527">
        <v>3.2702959902163785E-2</v>
      </c>
      <c r="O30" s="527">
        <v>1.9946630931892195E-2</v>
      </c>
      <c r="P30" s="527">
        <v>2.4472476116388534E-2</v>
      </c>
      <c r="Q30" s="527">
        <v>3.0603785157659442E-2</v>
      </c>
      <c r="R30" s="527">
        <v>2.7591936059861388E-2</v>
      </c>
      <c r="S30" s="527">
        <v>3.6622927320108023E-2</v>
      </c>
      <c r="T30" s="527">
        <v>2.7663700782880298E-2</v>
      </c>
      <c r="U30" s="527">
        <v>3.0763838858735012E-2</v>
      </c>
      <c r="V30" s="527">
        <v>3.4383536808003441E-2</v>
      </c>
      <c r="W30" s="527">
        <v>3.1317318610926494E-2</v>
      </c>
      <c r="X30" s="527">
        <v>3.5090736314852961E-2</v>
      </c>
      <c r="Y30" s="527">
        <v>3.9769060979507692E-2</v>
      </c>
      <c r="Z30" s="527">
        <v>3.6470542806251435E-2</v>
      </c>
      <c r="AA30" s="527">
        <v>4.0645564984665969E-2</v>
      </c>
      <c r="AB30" s="527">
        <v>4.1552971588036759E-2</v>
      </c>
      <c r="AC30" s="527">
        <v>3.8098522618024211E-2</v>
      </c>
      <c r="AD30" s="527">
        <v>4.5014161994225338E-2</v>
      </c>
      <c r="AE30" s="527">
        <v>4.198719954278473E-2</v>
      </c>
      <c r="AF30" s="527">
        <v>5.0439501039057928E-2</v>
      </c>
      <c r="AG30" s="527">
        <v>4.3765967552460198E-2</v>
      </c>
      <c r="AH30" s="527">
        <v>4.5664152286753808E-2</v>
      </c>
      <c r="AI30" s="527">
        <v>4.7063118974814591E-2</v>
      </c>
      <c r="AJ30" s="527">
        <v>4.7127865455990563E-2</v>
      </c>
      <c r="AK30" s="527">
        <v>4.0572128775943198E-2</v>
      </c>
      <c r="AL30" s="527">
        <v>4.1185146895768715E-2</v>
      </c>
      <c r="AM30" s="527">
        <v>4.1610247526254036E-2</v>
      </c>
      <c r="AN30" s="527">
        <v>4.2253555583462013E-2</v>
      </c>
      <c r="AO30" s="527">
        <v>4.2701231787750073E-2</v>
      </c>
      <c r="AP30" s="527">
        <v>4.2884492463265228E-2</v>
      </c>
      <c r="AQ30" s="527">
        <v>4.3285364316828584E-2</v>
      </c>
      <c r="AR30" s="527">
        <v>4.3450351775088748E-2</v>
      </c>
      <c r="AS30" s="527">
        <v>4.3568938036779498E-2</v>
      </c>
      <c r="AT30" s="527">
        <v>4.3910839000451701E-2</v>
      </c>
      <c r="AU30" s="527">
        <v>4.3841881313340852E-2</v>
      </c>
      <c r="AV30" s="527">
        <v>4.3957798924000611E-2</v>
      </c>
      <c r="AW30" s="527">
        <v>4.3552692541809532E-2</v>
      </c>
      <c r="AX30" s="527">
        <v>4.3539362853643862E-2</v>
      </c>
      <c r="AY30" s="527">
        <v>4.3406563514074493E-2</v>
      </c>
      <c r="AZ30" s="527">
        <v>4.3178028797778233E-2</v>
      </c>
      <c r="BA30" s="527">
        <v>4.293116400663996E-2</v>
      </c>
      <c r="BB30" s="527">
        <v>4.3078603708558511E-2</v>
      </c>
      <c r="BC30" s="527">
        <v>4.3196944759357876E-2</v>
      </c>
      <c r="BD30" s="527">
        <v>4.3296113336426863E-2</v>
      </c>
    </row>
    <row r="31" spans="1:56" ht="14.5" x14ac:dyDescent="0.3">
      <c r="A31" s="944"/>
      <c r="B31" s="125"/>
      <c r="C31" s="853"/>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row>
    <row r="32" spans="1:56" ht="14.5" x14ac:dyDescent="0.3">
      <c r="A32" s="49"/>
      <c r="B32" s="523"/>
      <c r="C32" s="851" t="s">
        <v>344</v>
      </c>
      <c r="D32" s="1195"/>
      <c r="E32" s="1195"/>
      <c r="F32" s="1195"/>
      <c r="G32" s="1195"/>
      <c r="H32" s="963"/>
      <c r="I32" s="963"/>
      <c r="J32" s="963"/>
      <c r="K32" s="963"/>
      <c r="L32" s="963"/>
      <c r="M32" s="963"/>
      <c r="N32" s="963"/>
      <c r="O32" s="963"/>
      <c r="P32" s="963"/>
      <c r="Q32" s="963"/>
      <c r="R32" s="963"/>
      <c r="S32" s="963"/>
      <c r="T32" s="963"/>
      <c r="U32" s="963"/>
      <c r="V32" s="963"/>
      <c r="W32" s="963"/>
      <c r="X32" s="963"/>
      <c r="Y32" s="963"/>
      <c r="Z32" s="963"/>
      <c r="AA32" s="963"/>
      <c r="AB32" s="963"/>
      <c r="AC32" s="963"/>
      <c r="AD32" s="963"/>
      <c r="AE32" s="963"/>
      <c r="AF32" s="963"/>
      <c r="AG32" s="963"/>
      <c r="AH32" s="963"/>
      <c r="AI32" s="963"/>
      <c r="AJ32" s="963"/>
      <c r="AK32" s="963"/>
      <c r="AL32" s="963"/>
      <c r="AM32" s="963"/>
      <c r="AN32" s="963"/>
      <c r="AO32" s="963"/>
      <c r="AP32" s="963"/>
      <c r="AQ32" s="963"/>
      <c r="AR32" s="963"/>
      <c r="AS32" s="963"/>
      <c r="AT32" s="963"/>
      <c r="AU32" s="963"/>
      <c r="AV32" s="963"/>
      <c r="AW32" s="963"/>
      <c r="AX32" s="963"/>
      <c r="AY32" s="963"/>
      <c r="AZ32" s="963"/>
      <c r="BA32" s="963"/>
      <c r="BB32" s="963"/>
      <c r="BC32" s="963"/>
      <c r="BD32" s="963"/>
    </row>
    <row r="33" spans="1:56" ht="14.5" x14ac:dyDescent="0.3">
      <c r="A33" s="49"/>
      <c r="B33" s="523"/>
      <c r="C33" s="851" t="s">
        <v>165</v>
      </c>
      <c r="D33" s="963"/>
      <c r="E33" s="963"/>
      <c r="F33" s="963"/>
      <c r="G33" s="963"/>
      <c r="H33" s="963"/>
      <c r="I33" s="963"/>
      <c r="J33" s="963"/>
      <c r="K33" s="963"/>
      <c r="L33" s="963"/>
      <c r="M33" s="963"/>
      <c r="N33" s="963"/>
      <c r="O33" s="963"/>
      <c r="P33" s="963"/>
      <c r="Q33" s="963"/>
      <c r="R33" s="963"/>
      <c r="S33" s="963"/>
      <c r="T33" s="963"/>
      <c r="U33" s="963"/>
      <c r="V33" s="963"/>
      <c r="W33" s="963"/>
      <c r="X33" s="963"/>
      <c r="Y33" s="963"/>
      <c r="Z33" s="963"/>
      <c r="AA33" s="963"/>
      <c r="AB33" s="963"/>
      <c r="AC33" s="963"/>
      <c r="AD33" s="963"/>
      <c r="AE33" s="963"/>
      <c r="AF33" s="963"/>
      <c r="AG33" s="963"/>
      <c r="AH33" s="963"/>
      <c r="AI33" s="963"/>
      <c r="AJ33" s="963"/>
      <c r="AK33" s="963"/>
      <c r="AL33" s="963"/>
      <c r="AM33" s="963"/>
      <c r="AN33" s="963"/>
      <c r="AO33" s="963"/>
      <c r="AP33" s="963"/>
      <c r="AQ33" s="963"/>
      <c r="AR33" s="963"/>
      <c r="AS33" s="963"/>
      <c r="AT33" s="963"/>
      <c r="AU33" s="963"/>
      <c r="AV33" s="963"/>
      <c r="AW33" s="963"/>
      <c r="AX33" s="963"/>
      <c r="AY33" s="963"/>
      <c r="AZ33" s="963"/>
      <c r="BA33" s="963"/>
      <c r="BB33" s="963"/>
      <c r="BC33" s="963"/>
      <c r="BD33" s="963"/>
    </row>
    <row r="34" spans="1:56" ht="14.5" x14ac:dyDescent="0.3">
      <c r="A34" s="49"/>
      <c r="B34" s="125"/>
      <c r="C34" s="852" t="s">
        <v>166</v>
      </c>
      <c r="D34" s="946">
        <v>10459663.541376175</v>
      </c>
      <c r="E34" s="946">
        <v>10628846.684556978</v>
      </c>
      <c r="F34" s="946">
        <v>10666852.885217236</v>
      </c>
      <c r="G34" s="946">
        <v>11028075.445731562</v>
      </c>
      <c r="H34" s="946">
        <v>11407863.837986894</v>
      </c>
      <c r="I34" s="946">
        <v>11743435.490841135</v>
      </c>
      <c r="J34" s="946">
        <v>12109217.097557349</v>
      </c>
      <c r="K34" s="946">
        <v>12395282.315002289</v>
      </c>
      <c r="L34" s="946">
        <v>12636981.938204726</v>
      </c>
      <c r="M34" s="946">
        <v>12799110.889463514</v>
      </c>
      <c r="N34" s="946">
        <v>12948875.514169497</v>
      </c>
      <c r="O34" s="946">
        <v>13030225.386197077</v>
      </c>
      <c r="P34" s="946">
        <v>13102114.000473883</v>
      </c>
      <c r="Q34" s="946">
        <v>13242725.304126548</v>
      </c>
      <c r="R34" s="946">
        <v>13348260.280861393</v>
      </c>
      <c r="S34" s="946">
        <v>13442692.508985659</v>
      </c>
      <c r="T34" s="946">
        <v>13523585.315381378</v>
      </c>
      <c r="U34" s="946">
        <v>13583338.005690759</v>
      </c>
      <c r="V34" s="946">
        <v>13667789.984324669</v>
      </c>
      <c r="W34" s="946">
        <v>13757833.28939236</v>
      </c>
      <c r="X34" s="946">
        <v>13853924.680794608</v>
      </c>
      <c r="Y34" s="946">
        <v>13990935.142885786</v>
      </c>
      <c r="Z34" s="946">
        <v>14145261.010394825</v>
      </c>
      <c r="AA34" s="946">
        <v>14307376.989577333</v>
      </c>
      <c r="AB34" s="946">
        <v>14488006.682942318</v>
      </c>
      <c r="AC34" s="946">
        <v>14634584.906608738</v>
      </c>
      <c r="AD34" s="946">
        <v>14850991.144549884</v>
      </c>
      <c r="AE34" s="946">
        <v>15063793.710336518</v>
      </c>
      <c r="AF34" s="946">
        <v>15312944.862110212</v>
      </c>
      <c r="AG34" s="946">
        <v>15565888.640580226</v>
      </c>
      <c r="AH34" s="946">
        <v>15796455.853067754</v>
      </c>
      <c r="AI34" s="946">
        <v>16041057.80348731</v>
      </c>
      <c r="AJ34" s="946">
        <v>16288556.550836436</v>
      </c>
      <c r="AK34" s="946">
        <v>16479165.011664575</v>
      </c>
      <c r="AL34" s="946">
        <v>16679505.67734897</v>
      </c>
      <c r="AM34" s="946">
        <v>16888474.076585028</v>
      </c>
      <c r="AN34" s="946">
        <v>17106330.857827879</v>
      </c>
      <c r="AO34" s="946">
        <v>17333322.192436386</v>
      </c>
      <c r="AP34" s="946">
        <v>17566987.004697386</v>
      </c>
      <c r="AQ34" s="946">
        <v>17806491.997593939</v>
      </c>
      <c r="AR34" s="946">
        <v>18051680.715894628</v>
      </c>
      <c r="AS34" s="946">
        <v>18301537.065501235</v>
      </c>
      <c r="AT34" s="946">
        <v>18559111.352460895</v>
      </c>
      <c r="AU34" s="946">
        <v>18819483.212766055</v>
      </c>
      <c r="AV34" s="946">
        <v>19083155.220844772</v>
      </c>
      <c r="AW34" s="946">
        <v>19347504.921225801</v>
      </c>
      <c r="AX34" s="946">
        <v>19612293.015320003</v>
      </c>
      <c r="AY34" s="946">
        <v>19879324.225993827</v>
      </c>
      <c r="AZ34" s="946">
        <v>20147668.913205661</v>
      </c>
      <c r="BA34" s="946">
        <v>20417205.088452045</v>
      </c>
      <c r="BB34" s="946">
        <v>20692485.889411982</v>
      </c>
      <c r="BC34" s="946">
        <v>20973192.583772961</v>
      </c>
      <c r="BD34" s="946">
        <v>21259066.805331539</v>
      </c>
    </row>
    <row r="35" spans="1:56" ht="14.5" x14ac:dyDescent="0.3">
      <c r="A35" s="49"/>
      <c r="B35" s="125"/>
      <c r="C35" s="852" t="s">
        <v>161</v>
      </c>
      <c r="D35" s="946"/>
      <c r="E35" s="527">
        <v>1.6174816953867625E-2</v>
      </c>
      <c r="F35" s="527">
        <v>3.5757596085640286E-3</v>
      </c>
      <c r="G35" s="527">
        <v>3.386402385045819E-2</v>
      </c>
      <c r="H35" s="527">
        <v>3.4438320097123581E-2</v>
      </c>
      <c r="I35" s="527">
        <v>2.9415818563404118E-2</v>
      </c>
      <c r="J35" s="527">
        <v>3.1147751184182157E-2</v>
      </c>
      <c r="K35" s="527">
        <v>2.362375826118801E-2</v>
      </c>
      <c r="L35" s="527">
        <v>1.9499323779814441E-2</v>
      </c>
      <c r="M35" s="527">
        <v>1.2829720897885586E-2</v>
      </c>
      <c r="N35" s="527">
        <v>1.1701174089309015E-2</v>
      </c>
      <c r="O35" s="527">
        <v>6.2823889177528501E-3</v>
      </c>
      <c r="P35" s="527">
        <v>5.5170660634126503E-3</v>
      </c>
      <c r="Q35" s="527">
        <v>1.0731955442272824E-2</v>
      </c>
      <c r="R35" s="527">
        <v>7.969279307028997E-3</v>
      </c>
      <c r="S35" s="527">
        <v>7.0744970608388955E-3</v>
      </c>
      <c r="T35" s="527">
        <v>6.0176044599433249E-3</v>
      </c>
      <c r="U35" s="527">
        <v>4.4184059859791727E-3</v>
      </c>
      <c r="V35" s="527">
        <v>6.2173214417935519E-3</v>
      </c>
      <c r="W35" s="527">
        <v>6.5879930238143154E-3</v>
      </c>
      <c r="X35" s="527">
        <v>6.9844858111732756E-3</v>
      </c>
      <c r="Y35" s="527">
        <v>9.8896497020163759E-3</v>
      </c>
      <c r="Z35" s="527">
        <v>1.1030418333939021E-2</v>
      </c>
      <c r="AA35" s="527">
        <v>1.1460798006015927E-2</v>
      </c>
      <c r="AB35" s="527">
        <v>1.2624934220756941E-2</v>
      </c>
      <c r="AC35" s="527">
        <v>1.0117211212981864E-2</v>
      </c>
      <c r="AD35" s="527">
        <v>1.4787316437203518E-2</v>
      </c>
      <c r="AE35" s="527">
        <v>1.4329182726954177E-2</v>
      </c>
      <c r="AF35" s="527">
        <v>1.6539734715215307E-2</v>
      </c>
      <c r="AG35" s="527">
        <v>1.6518297476267159E-2</v>
      </c>
      <c r="AH35" s="527">
        <v>1.4812338557173026E-2</v>
      </c>
      <c r="AI35" s="527">
        <v>1.5484609503216722E-2</v>
      </c>
      <c r="AJ35" s="527">
        <v>1.542907895359122E-2</v>
      </c>
      <c r="AK35" s="527">
        <v>1.1701986006755724E-2</v>
      </c>
      <c r="AL35" s="527">
        <v>1.2157209758054259E-2</v>
      </c>
      <c r="AM35" s="527">
        <v>1.2528452777820553E-2</v>
      </c>
      <c r="AN35" s="527">
        <v>1.2899731512445943E-2</v>
      </c>
      <c r="AO35" s="527">
        <v>1.3269434368775486E-2</v>
      </c>
      <c r="AP35" s="527">
        <v>1.3480670910447927E-2</v>
      </c>
      <c r="AQ35" s="527">
        <v>1.3633811696479734E-2</v>
      </c>
      <c r="AR35" s="527">
        <v>1.3769625052133723E-2</v>
      </c>
      <c r="AS35" s="527">
        <v>1.3841168229094772E-2</v>
      </c>
      <c r="AT35" s="527">
        <v>1.4073915542601827E-2</v>
      </c>
      <c r="AU35" s="527">
        <v>1.4029327986689223E-2</v>
      </c>
      <c r="AV35" s="527">
        <v>1.401058706542266E-2</v>
      </c>
      <c r="AW35" s="527">
        <v>1.385251533731062E-2</v>
      </c>
      <c r="AX35" s="527">
        <v>1.3685903953625837E-2</v>
      </c>
      <c r="AY35" s="527">
        <v>1.3615501790904139E-2</v>
      </c>
      <c r="AZ35" s="527">
        <v>1.3498682558884603E-2</v>
      </c>
      <c r="BA35" s="527">
        <v>1.3378032784215437E-2</v>
      </c>
      <c r="BB35" s="527">
        <v>1.348278570780667E-2</v>
      </c>
      <c r="BC35" s="527">
        <v>1.3565634204666197E-2</v>
      </c>
      <c r="BD35" s="527">
        <v>1.363045804384405E-2</v>
      </c>
    </row>
    <row r="36" spans="1:56" ht="14.5" x14ac:dyDescent="0.3">
      <c r="A36" s="944"/>
      <c r="B36" s="125"/>
      <c r="C36" s="853"/>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row>
    <row r="37" spans="1:56" ht="14.5" x14ac:dyDescent="0.3">
      <c r="A37" s="49"/>
      <c r="B37" s="523"/>
      <c r="C37" s="851" t="s">
        <v>345</v>
      </c>
      <c r="D37" s="1195"/>
      <c r="E37" s="1195"/>
      <c r="F37" s="1195"/>
      <c r="G37" s="1195"/>
      <c r="H37" s="963"/>
      <c r="I37" s="963"/>
      <c r="J37" s="963"/>
      <c r="K37" s="963"/>
      <c r="L37" s="963"/>
      <c r="M37" s="963"/>
      <c r="N37" s="963"/>
      <c r="O37" s="963"/>
      <c r="P37" s="963"/>
      <c r="Q37" s="963"/>
      <c r="R37" s="963"/>
      <c r="S37" s="963"/>
      <c r="T37" s="963"/>
      <c r="U37" s="963"/>
      <c r="V37" s="963"/>
      <c r="W37" s="963"/>
      <c r="X37" s="963"/>
      <c r="Y37" s="963"/>
      <c r="Z37" s="963"/>
      <c r="AA37" s="963"/>
      <c r="AB37" s="963"/>
      <c r="AC37" s="963"/>
      <c r="AD37" s="963"/>
      <c r="AE37" s="963"/>
      <c r="AF37" s="963"/>
      <c r="AG37" s="963"/>
      <c r="AH37" s="963"/>
      <c r="AI37" s="963"/>
      <c r="AJ37" s="963"/>
      <c r="AK37" s="963"/>
      <c r="AL37" s="963"/>
      <c r="AM37" s="963"/>
      <c r="AN37" s="963"/>
      <c r="AO37" s="963"/>
      <c r="AP37" s="963"/>
      <c r="AQ37" s="963"/>
      <c r="AR37" s="963"/>
      <c r="AS37" s="963"/>
      <c r="AT37" s="963"/>
      <c r="AU37" s="963"/>
      <c r="AV37" s="963"/>
      <c r="AW37" s="963"/>
      <c r="AX37" s="963"/>
      <c r="AY37" s="963"/>
      <c r="AZ37" s="963"/>
      <c r="BA37" s="963"/>
      <c r="BB37" s="963"/>
      <c r="BC37" s="963"/>
      <c r="BD37" s="963"/>
    </row>
    <row r="38" spans="1:56" ht="14.5" x14ac:dyDescent="0.3">
      <c r="A38" s="49"/>
      <c r="B38" s="523"/>
      <c r="C38" s="851" t="s">
        <v>346</v>
      </c>
      <c r="D38" s="946"/>
      <c r="E38" s="946"/>
      <c r="F38" s="946"/>
      <c r="G38" s="946"/>
      <c r="H38" s="963"/>
      <c r="I38" s="963"/>
      <c r="J38" s="963"/>
      <c r="K38" s="963"/>
      <c r="L38" s="963"/>
      <c r="M38" s="963"/>
      <c r="N38" s="963"/>
      <c r="O38" s="963"/>
      <c r="P38" s="963"/>
      <c r="Q38" s="963"/>
      <c r="R38" s="963"/>
      <c r="S38" s="963"/>
      <c r="T38" s="963"/>
      <c r="U38" s="963"/>
      <c r="V38" s="963"/>
      <c r="W38" s="963"/>
      <c r="X38" s="963"/>
      <c r="Y38" s="963"/>
      <c r="Z38" s="963"/>
      <c r="AA38" s="963"/>
      <c r="AB38" s="963"/>
      <c r="AC38" s="963"/>
      <c r="AD38" s="963"/>
      <c r="AE38" s="963"/>
      <c r="AF38" s="963"/>
      <c r="AG38" s="963"/>
      <c r="AH38" s="963"/>
      <c r="AI38" s="963"/>
      <c r="AJ38" s="963"/>
      <c r="AK38" s="963"/>
      <c r="AL38" s="963"/>
      <c r="AM38" s="963"/>
      <c r="AN38" s="963"/>
      <c r="AO38" s="963"/>
      <c r="AP38" s="963"/>
      <c r="AQ38" s="963"/>
      <c r="AR38" s="963"/>
      <c r="AS38" s="963"/>
      <c r="AT38" s="963"/>
      <c r="AU38" s="963"/>
      <c r="AV38" s="963"/>
      <c r="AW38" s="963"/>
      <c r="AX38" s="963"/>
      <c r="AY38" s="963"/>
      <c r="AZ38" s="963"/>
      <c r="BA38" s="963"/>
      <c r="BB38" s="963"/>
      <c r="BC38" s="963"/>
      <c r="BD38" s="963"/>
    </row>
    <row r="39" spans="1:56" ht="14.5" x14ac:dyDescent="0.3">
      <c r="A39" s="49"/>
      <c r="B39" s="125"/>
      <c r="C39" s="852" t="s">
        <v>347</v>
      </c>
      <c r="D39" s="530">
        <v>5883128.515625</v>
      </c>
      <c r="E39" s="530">
        <v>6149980.078125</v>
      </c>
      <c r="F39" s="530">
        <v>7356140.625</v>
      </c>
      <c r="G39" s="530">
        <v>5691562.890625</v>
      </c>
      <c r="H39" s="946">
        <v>5663629.7211033553</v>
      </c>
      <c r="I39" s="946">
        <v>5384523.8421693873</v>
      </c>
      <c r="J39" s="946">
        <v>6346366.2488586977</v>
      </c>
      <c r="K39" s="946">
        <v>6188711.6780048301</v>
      </c>
      <c r="L39" s="946">
        <v>7283331.3158435822</v>
      </c>
      <c r="M39" s="946">
        <v>7693726.3449925976</v>
      </c>
      <c r="N39" s="946">
        <v>8145637.1992682917</v>
      </c>
      <c r="O39" s="946">
        <v>8535947.1214069054</v>
      </c>
      <c r="P39" s="946">
        <v>9044256.2658249848</v>
      </c>
      <c r="Q39" s="946">
        <v>8416377.9650905691</v>
      </c>
      <c r="R39" s="946">
        <v>8737945.1564041637</v>
      </c>
      <c r="S39" s="946">
        <v>9182657.0300001707</v>
      </c>
      <c r="T39" s="946">
        <v>9456483.5187167171</v>
      </c>
      <c r="U39" s="946">
        <v>9714917.8628228381</v>
      </c>
      <c r="V39" s="946">
        <v>9963153.3596481774</v>
      </c>
      <c r="W39" s="946">
        <v>10152423.431260834</v>
      </c>
      <c r="X39" s="946">
        <v>10293912.771663079</v>
      </c>
      <c r="Y39" s="946">
        <v>10599346.134021791</v>
      </c>
      <c r="Z39" s="946">
        <v>10874019.756184677</v>
      </c>
      <c r="AA39" s="946">
        <v>11128774.534407629</v>
      </c>
      <c r="AB39" s="946">
        <v>11374659.298896484</v>
      </c>
      <c r="AC39" s="946">
        <v>11565262.563323656</v>
      </c>
      <c r="AD39" s="946">
        <v>11808931.069619583</v>
      </c>
      <c r="AE39" s="946">
        <v>12023306.420548614</v>
      </c>
      <c r="AF39" s="946">
        <v>12308489.872444954</v>
      </c>
      <c r="AG39" s="946">
        <v>12539606.11108095</v>
      </c>
      <c r="AH39" s="946">
        <v>12763588.762472762</v>
      </c>
      <c r="AI39" s="946">
        <v>12994626.785683025</v>
      </c>
      <c r="AJ39" s="946">
        <v>13227399.153838666</v>
      </c>
      <c r="AK39" s="946">
        <v>13492960.477409499</v>
      </c>
      <c r="AL39" s="946">
        <v>13736284.412158279</v>
      </c>
      <c r="AM39" s="946">
        <v>13980710.161000984</v>
      </c>
      <c r="AN39" s="946">
        <v>14231531.743124126</v>
      </c>
      <c r="AO39" s="946">
        <v>14484018.598522626</v>
      </c>
      <c r="AP39" s="946">
        <v>14743517.370880274</v>
      </c>
      <c r="AQ39" s="946">
        <v>14995105.475086739</v>
      </c>
      <c r="AR39" s="946">
        <v>15249393.021960622</v>
      </c>
      <c r="AS39" s="946">
        <v>15506152.91674725</v>
      </c>
      <c r="AT39" s="946">
        <v>15763997.660765935</v>
      </c>
      <c r="AU39" s="946">
        <v>16021669.352058206</v>
      </c>
      <c r="AV39" s="946">
        <v>16280033.573412364</v>
      </c>
      <c r="AW39" s="946">
        <v>16539452.253325384</v>
      </c>
      <c r="AX39" s="946">
        <v>16799968.554478161</v>
      </c>
      <c r="AY39" s="946">
        <v>17060806.243962537</v>
      </c>
      <c r="AZ39" s="946">
        <v>17321858.353503529</v>
      </c>
      <c r="BA39" s="946">
        <v>17582730.027305946</v>
      </c>
      <c r="BB39" s="946">
        <v>17843929.463114206</v>
      </c>
      <c r="BC39" s="946">
        <v>18105280.672588047</v>
      </c>
      <c r="BD39" s="946">
        <v>18366591.624102943</v>
      </c>
    </row>
    <row r="40" spans="1:56" ht="14.5" x14ac:dyDescent="0.3">
      <c r="A40" s="49"/>
      <c r="B40" s="125"/>
      <c r="C40" s="852" t="s">
        <v>348</v>
      </c>
      <c r="D40" s="854"/>
      <c r="E40" s="854">
        <v>4.5358785175484265E-2</v>
      </c>
      <c r="F40" s="854">
        <v>0.19612430146972656</v>
      </c>
      <c r="G40" s="854">
        <v>-0.22628411000163554</v>
      </c>
      <c r="H40" s="854">
        <v>-4.9078205860916563E-3</v>
      </c>
      <c r="I40" s="854">
        <v>-4.9280389551948717E-2</v>
      </c>
      <c r="J40" s="854">
        <v>0.17863091238570702</v>
      </c>
      <c r="K40" s="854">
        <v>-2.4841706997641284E-2</v>
      </c>
      <c r="L40" s="854">
        <v>0.17687358771763703</v>
      </c>
      <c r="M40" s="854">
        <v>5.6347159198466584E-2</v>
      </c>
      <c r="N40" s="854">
        <v>5.8737578386813406E-2</v>
      </c>
      <c r="O40" s="854">
        <v>4.7916438283511387E-2</v>
      </c>
      <c r="P40" s="854">
        <v>5.9549237734066382E-2</v>
      </c>
      <c r="Q40" s="854">
        <v>-6.9422878153833786E-2</v>
      </c>
      <c r="R40" s="854">
        <v>3.8207313484184068E-2</v>
      </c>
      <c r="S40" s="854">
        <v>5.0894331062500589E-2</v>
      </c>
      <c r="T40" s="854">
        <v>2.9819962546999465E-2</v>
      </c>
      <c r="U40" s="854">
        <v>2.7328799716577052E-2</v>
      </c>
      <c r="V40" s="854">
        <v>2.5551991311762889E-2</v>
      </c>
      <c r="W40" s="854">
        <v>1.8997004741412481E-2</v>
      </c>
      <c r="X40" s="854">
        <v>1.3936508988245963E-2</v>
      </c>
      <c r="Y40" s="854">
        <v>2.9671260009070975E-2</v>
      </c>
      <c r="Z40" s="854">
        <v>2.5914204394291675E-2</v>
      </c>
      <c r="AA40" s="854">
        <v>2.3427838456708563E-2</v>
      </c>
      <c r="AB40" s="854">
        <v>2.209450499052127E-2</v>
      </c>
      <c r="AC40" s="854">
        <v>1.675683283504267E-2</v>
      </c>
      <c r="AD40" s="854">
        <v>2.1068999079075015E-2</v>
      </c>
      <c r="AE40" s="854">
        <v>1.8153662652883713E-2</v>
      </c>
      <c r="AF40" s="854">
        <v>2.3719220148040357E-2</v>
      </c>
      <c r="AG40" s="854">
        <v>1.8776977600915679E-2</v>
      </c>
      <c r="AH40" s="854">
        <v>1.7862016510541232E-2</v>
      </c>
      <c r="AI40" s="854">
        <v>1.8101337132512139E-2</v>
      </c>
      <c r="AJ40" s="854">
        <v>1.7912970645074706E-2</v>
      </c>
      <c r="AK40" s="854">
        <v>2.0076609202026325E-2</v>
      </c>
      <c r="AL40" s="854">
        <v>1.8033398612273675E-2</v>
      </c>
      <c r="AM40" s="854">
        <v>1.7794167731876503E-2</v>
      </c>
      <c r="AN40" s="854">
        <v>1.7940546598470039E-2</v>
      </c>
      <c r="AO40" s="854">
        <v>1.7741368951412258E-2</v>
      </c>
      <c r="AP40" s="854">
        <v>1.7916213693906551E-2</v>
      </c>
      <c r="AQ40" s="854">
        <v>1.7064320397748065E-2</v>
      </c>
      <c r="AR40" s="854">
        <v>1.6958036560420491E-2</v>
      </c>
      <c r="AS40" s="854">
        <v>1.6837384571101847E-2</v>
      </c>
      <c r="AT40" s="854">
        <v>1.6628543869201928E-2</v>
      </c>
      <c r="AU40" s="854">
        <v>1.634558040652179E-2</v>
      </c>
      <c r="AV40" s="854">
        <v>1.6125923939440689E-2</v>
      </c>
      <c r="AW40" s="854">
        <v>1.5934775486992101E-2</v>
      </c>
      <c r="AX40" s="854">
        <v>1.5751204886509957E-2</v>
      </c>
      <c r="AY40" s="854">
        <v>1.5526082006555194E-2</v>
      </c>
      <c r="AZ40" s="854">
        <v>1.5301276259049737E-2</v>
      </c>
      <c r="BA40" s="854">
        <v>1.5060259036793977E-2</v>
      </c>
      <c r="BB40" s="854">
        <v>1.4855453925676944E-2</v>
      </c>
      <c r="BC40" s="854">
        <v>1.4646505413176447E-2</v>
      </c>
      <c r="BD40" s="854">
        <v>1.4432858359966154E-2</v>
      </c>
    </row>
    <row r="41" spans="1:56" ht="14.5" x14ac:dyDescent="0.3">
      <c r="A41" s="944"/>
      <c r="B41" s="125"/>
      <c r="C41" s="852"/>
      <c r="D41" s="852"/>
      <c r="E41" s="852"/>
      <c r="F41" s="852"/>
      <c r="G41" s="852"/>
      <c r="H41" s="852"/>
      <c r="I41" s="946"/>
      <c r="J41" s="946"/>
      <c r="K41" s="946"/>
      <c r="L41" s="946"/>
      <c r="M41" s="946"/>
      <c r="N41" s="946"/>
      <c r="O41" s="946"/>
      <c r="P41" s="946"/>
      <c r="Q41" s="946"/>
      <c r="R41" s="946"/>
      <c r="S41" s="946"/>
      <c r="T41" s="946"/>
      <c r="U41" s="946"/>
      <c r="V41" s="946"/>
      <c r="W41" s="946"/>
      <c r="X41" s="946"/>
      <c r="Y41" s="946"/>
      <c r="Z41" s="946"/>
      <c r="AA41" s="946"/>
      <c r="AB41" s="946"/>
      <c r="AC41" s="946"/>
      <c r="AD41" s="946"/>
      <c r="AE41" s="946"/>
      <c r="AF41" s="946"/>
      <c r="AG41" s="946"/>
      <c r="AH41" s="946"/>
      <c r="AI41" s="946"/>
      <c r="AJ41" s="946"/>
      <c r="AK41" s="946"/>
      <c r="AL41" s="946"/>
      <c r="AM41" s="946"/>
      <c r="AN41" s="946"/>
      <c r="AO41" s="946"/>
      <c r="AP41" s="946"/>
      <c r="AQ41" s="946"/>
      <c r="AR41" s="946"/>
      <c r="AS41" s="946"/>
      <c r="AT41" s="946"/>
      <c r="AU41" s="946"/>
      <c r="AV41" s="946"/>
      <c r="AW41" s="946"/>
      <c r="AX41" s="946"/>
      <c r="AY41" s="946"/>
      <c r="AZ41" s="946"/>
      <c r="BA41" s="946"/>
      <c r="BB41" s="946"/>
      <c r="BC41" s="946"/>
      <c r="BD41" s="946"/>
    </row>
    <row r="42" spans="1:56" ht="14.5" x14ac:dyDescent="0.3">
      <c r="A42" s="944"/>
      <c r="B42" s="125"/>
      <c r="C42" s="851" t="s">
        <v>349</v>
      </c>
      <c r="D42" s="946"/>
      <c r="E42" s="946"/>
      <c r="F42" s="946"/>
      <c r="G42" s="946"/>
      <c r="H42" s="946"/>
      <c r="I42" s="946"/>
      <c r="J42" s="946"/>
      <c r="K42" s="946"/>
      <c r="L42" s="946"/>
      <c r="M42" s="946"/>
      <c r="N42" s="946"/>
      <c r="O42" s="946"/>
      <c r="P42" s="946"/>
      <c r="Q42" s="946"/>
      <c r="R42" s="946"/>
      <c r="S42" s="946"/>
      <c r="T42" s="946"/>
      <c r="U42" s="946"/>
      <c r="V42" s="946"/>
      <c r="W42" s="946"/>
      <c r="X42" s="946"/>
      <c r="Y42" s="946"/>
      <c r="Z42" s="946"/>
      <c r="AA42" s="946"/>
      <c r="AB42" s="946"/>
      <c r="AC42" s="946"/>
      <c r="AD42" s="946"/>
      <c r="AE42" s="946"/>
      <c r="AF42" s="946"/>
      <c r="AG42" s="946"/>
      <c r="AH42" s="946"/>
      <c r="AI42" s="946"/>
      <c r="AJ42" s="946"/>
      <c r="AK42" s="946"/>
      <c r="AL42" s="946"/>
      <c r="AM42" s="946"/>
      <c r="AN42" s="946"/>
      <c r="AO42" s="946"/>
      <c r="AP42" s="946"/>
      <c r="AQ42" s="946"/>
      <c r="AR42" s="946"/>
      <c r="AS42" s="946"/>
      <c r="AT42" s="946"/>
      <c r="AU42" s="946"/>
      <c r="AV42" s="946"/>
      <c r="AW42" s="946"/>
      <c r="AX42" s="946"/>
      <c r="AY42" s="946"/>
      <c r="AZ42" s="946"/>
      <c r="BA42" s="946"/>
      <c r="BB42" s="946"/>
      <c r="BC42" s="946"/>
      <c r="BD42" s="946"/>
    </row>
    <row r="43" spans="1:56" ht="14.5" x14ac:dyDescent="0.3">
      <c r="A43" s="944"/>
      <c r="B43" s="125"/>
      <c r="C43" s="852" t="s">
        <v>347</v>
      </c>
      <c r="D43" s="530">
        <v>4414281.640625</v>
      </c>
      <c r="E43" s="530">
        <v>5379687.890625</v>
      </c>
      <c r="F43" s="530">
        <v>6091101.171875</v>
      </c>
      <c r="G43" s="530">
        <v>6105758.984375</v>
      </c>
      <c r="H43" s="946">
        <v>5339914.7130704345</v>
      </c>
      <c r="I43" s="946">
        <v>5732252.257977277</v>
      </c>
      <c r="J43" s="946">
        <v>6159486.1685790559</v>
      </c>
      <c r="K43" s="946">
        <v>6432632.8675155398</v>
      </c>
      <c r="L43" s="946">
        <v>6441734.1334626516</v>
      </c>
      <c r="M43" s="946">
        <v>6532500.750085514</v>
      </c>
      <c r="N43" s="946">
        <v>6797637.4093359131</v>
      </c>
      <c r="O43" s="946">
        <v>6990817.1571012679</v>
      </c>
      <c r="P43" s="946">
        <v>7151725.8350975327</v>
      </c>
      <c r="Q43" s="946">
        <v>7346286.7576444857</v>
      </c>
      <c r="R43" s="946">
        <v>7520766.8884506812</v>
      </c>
      <c r="S43" s="946">
        <v>7756677.5308279991</v>
      </c>
      <c r="T43" s="946">
        <v>7944462.7787015587</v>
      </c>
      <c r="U43" s="946">
        <v>8127232.5723988339</v>
      </c>
      <c r="V43" s="946">
        <v>8329853.7766451556</v>
      </c>
      <c r="W43" s="946">
        <v>8520231.0699530933</v>
      </c>
      <c r="X43" s="946">
        <v>8723068.3790562395</v>
      </c>
      <c r="Y43" s="946">
        <v>8942708.0592781864</v>
      </c>
      <c r="Z43" s="946">
        <v>9144528.1516822334</v>
      </c>
      <c r="AA43" s="946">
        <v>9352818.5905533936</v>
      </c>
      <c r="AB43" s="946">
        <v>9561799.4395324681</v>
      </c>
      <c r="AC43" s="946">
        <v>9729473.5173857547</v>
      </c>
      <c r="AD43" s="946">
        <v>9942475.717091227</v>
      </c>
      <c r="AE43" s="946">
        <v>10127090.924176503</v>
      </c>
      <c r="AF43" s="946">
        <v>10358633.457769247</v>
      </c>
      <c r="AG43" s="946">
        <v>10549674.852071103</v>
      </c>
      <c r="AH43" s="946">
        <v>10738747.70737271</v>
      </c>
      <c r="AI43" s="946">
        <v>10934700.654515138</v>
      </c>
      <c r="AJ43" s="946">
        <v>11132155.633087331</v>
      </c>
      <c r="AK43" s="946">
        <v>11356369.8198993</v>
      </c>
      <c r="AL43" s="946">
        <v>11560625.021334415</v>
      </c>
      <c r="AM43" s="946">
        <v>11764961.741731275</v>
      </c>
      <c r="AN43" s="946">
        <v>11975860.072227841</v>
      </c>
      <c r="AO43" s="946">
        <v>12188734.670225853</v>
      </c>
      <c r="AP43" s="946">
        <v>12407488.176993681</v>
      </c>
      <c r="AQ43" s="946">
        <v>12619379.408333858</v>
      </c>
      <c r="AR43" s="946">
        <v>12833303.347919919</v>
      </c>
      <c r="AS43" s="946">
        <v>13049180.763191694</v>
      </c>
      <c r="AT43" s="946">
        <v>13266029.088109016</v>
      </c>
      <c r="AU43" s="946">
        <v>13482931.13448528</v>
      </c>
      <c r="AV43" s="946">
        <v>13700451.870661959</v>
      </c>
      <c r="AW43" s="946">
        <v>13918810.243328964</v>
      </c>
      <c r="AX43" s="946">
        <v>14138040.051969938</v>
      </c>
      <c r="AY43" s="946">
        <v>14357512.53581612</v>
      </c>
      <c r="AZ43" s="946">
        <v>14577170.99840658</v>
      </c>
      <c r="BA43" s="946">
        <v>14796704.658079263</v>
      </c>
      <c r="BB43" s="946">
        <v>15016536.591993287</v>
      </c>
      <c r="BC43" s="946">
        <v>15236490.143079448</v>
      </c>
      <c r="BD43" s="946">
        <v>15456396.746284841</v>
      </c>
    </row>
    <row r="44" spans="1:56" ht="14.5" x14ac:dyDescent="0.3">
      <c r="A44" s="944"/>
      <c r="B44" s="125"/>
      <c r="C44" s="852" t="s">
        <v>348</v>
      </c>
      <c r="D44" s="854"/>
      <c r="E44" s="854">
        <v>0.21870064680859649</v>
      </c>
      <c r="F44" s="854">
        <v>0.1322406235666117</v>
      </c>
      <c r="G44" s="854">
        <v>2.4064306414217614E-3</v>
      </c>
      <c r="H44" s="854">
        <v>-0.12542982342807937</v>
      </c>
      <c r="I44" s="854">
        <v>7.3472623812984014E-2</v>
      </c>
      <c r="J44" s="854">
        <v>7.4531596198897154E-2</v>
      </c>
      <c r="K44" s="854">
        <v>4.4345695640955807E-2</v>
      </c>
      <c r="L44" s="854">
        <v>1.4148586021553943E-3</v>
      </c>
      <c r="M44" s="854">
        <v>1.4090400929675168E-2</v>
      </c>
      <c r="N44" s="854">
        <v>4.0587314015528939E-2</v>
      </c>
      <c r="O44" s="854">
        <v>2.8418660209801817E-2</v>
      </c>
      <c r="P44" s="854">
        <v>2.301714869381383E-2</v>
      </c>
      <c r="Q44" s="854">
        <v>2.7204751277255808E-2</v>
      </c>
      <c r="R44" s="854">
        <v>2.3750792279464583E-2</v>
      </c>
      <c r="S44" s="854">
        <v>3.1367897167454521E-2</v>
      </c>
      <c r="T44" s="854">
        <v>2.4209495254537694E-2</v>
      </c>
      <c r="U44" s="854">
        <v>2.3005934924544648E-2</v>
      </c>
      <c r="V44" s="854">
        <v>2.493114383541211E-2</v>
      </c>
      <c r="W44" s="854">
        <v>2.2854818153195965E-2</v>
      </c>
      <c r="X44" s="854">
        <v>2.3806550249377553E-2</v>
      </c>
      <c r="Y44" s="854">
        <v>2.5179176715992912E-2</v>
      </c>
      <c r="Z44" s="854">
        <v>2.2568118188165141E-2</v>
      </c>
      <c r="AA44" s="854">
        <v>2.2777603766558793E-2</v>
      </c>
      <c r="AB44" s="854">
        <v>2.2344157213757033E-2</v>
      </c>
      <c r="AC44" s="854">
        <v>1.753582878553717E-2</v>
      </c>
      <c r="AD44" s="854">
        <v>2.1892469240484092E-2</v>
      </c>
      <c r="AE44" s="854">
        <v>1.856833371671408E-2</v>
      </c>
      <c r="AF44" s="854">
        <v>2.2863676778094293E-2</v>
      </c>
      <c r="AG44" s="854">
        <v>1.84427217239326E-2</v>
      </c>
      <c r="AH44" s="854">
        <v>1.792215001436644E-2</v>
      </c>
      <c r="AI44" s="854">
        <v>1.8247281012840618E-2</v>
      </c>
      <c r="AJ44" s="854">
        <v>1.8057648289682329E-2</v>
      </c>
      <c r="AK44" s="854">
        <v>2.0141129373501793E-2</v>
      </c>
      <c r="AL44" s="854">
        <v>1.798595895293998E-2</v>
      </c>
      <c r="AM44" s="854">
        <v>1.7675231228395424E-2</v>
      </c>
      <c r="AN44" s="854">
        <v>1.7925968237405554E-2</v>
      </c>
      <c r="AO44" s="854">
        <v>1.7775307720208799E-2</v>
      </c>
      <c r="AP44" s="854">
        <v>1.794718752080068E-2</v>
      </c>
      <c r="AQ44" s="854">
        <v>1.7077689562749059E-2</v>
      </c>
      <c r="AR44" s="854">
        <v>1.6952017422091646E-2</v>
      </c>
      <c r="AS44" s="854">
        <v>1.682165607865618E-2</v>
      </c>
      <c r="AT44" s="854">
        <v>1.6617773088789919E-2</v>
      </c>
      <c r="AU44" s="854">
        <v>1.6350186249077619E-2</v>
      </c>
      <c r="AV44" s="854">
        <v>1.6133045107701124E-2</v>
      </c>
      <c r="AW44" s="854">
        <v>1.5938041659384696E-2</v>
      </c>
      <c r="AX44" s="854">
        <v>1.5750614083272423E-2</v>
      </c>
      <c r="AY44" s="854">
        <v>1.5523543789621785E-2</v>
      </c>
      <c r="AZ44" s="854">
        <v>1.5299200473793892E-2</v>
      </c>
      <c r="BA44" s="854">
        <v>1.5060100460965998E-2</v>
      </c>
      <c r="BB44" s="854">
        <v>1.4856817040947847E-2</v>
      </c>
      <c r="BC44" s="854">
        <v>1.4647422176125418E-2</v>
      </c>
      <c r="BD44" s="854">
        <v>1.443289111470831E-2</v>
      </c>
    </row>
    <row r="45" spans="1:56" ht="14.5" x14ac:dyDescent="0.3">
      <c r="A45" s="944"/>
      <c r="B45" s="125"/>
      <c r="C45" s="852"/>
      <c r="D45" s="946"/>
      <c r="E45" s="946"/>
      <c r="F45" s="946"/>
      <c r="G45" s="946"/>
      <c r="H45" s="946"/>
      <c r="I45" s="946"/>
      <c r="J45" s="946"/>
      <c r="K45" s="946"/>
      <c r="L45" s="946"/>
      <c r="M45" s="946"/>
      <c r="N45" s="946"/>
      <c r="O45" s="946"/>
      <c r="P45" s="946"/>
      <c r="Q45" s="946"/>
      <c r="R45" s="946"/>
      <c r="S45" s="946"/>
      <c r="T45" s="946"/>
      <c r="U45" s="946"/>
      <c r="V45" s="946"/>
      <c r="W45" s="946"/>
      <c r="X45" s="946"/>
      <c r="Y45" s="946"/>
      <c r="Z45" s="946"/>
      <c r="AA45" s="946"/>
      <c r="AB45" s="946"/>
      <c r="AC45" s="946"/>
      <c r="AD45" s="946"/>
      <c r="AE45" s="946"/>
      <c r="AF45" s="946"/>
      <c r="AG45" s="946"/>
      <c r="AH45" s="946"/>
      <c r="AI45" s="946"/>
      <c r="AJ45" s="946"/>
      <c r="AK45" s="946"/>
      <c r="AL45" s="946"/>
      <c r="AM45" s="946"/>
      <c r="AN45" s="946"/>
      <c r="AO45" s="946"/>
      <c r="AP45" s="946"/>
      <c r="AQ45" s="946"/>
      <c r="AR45" s="946"/>
      <c r="AS45" s="946"/>
      <c r="AT45" s="946"/>
      <c r="AU45" s="946"/>
      <c r="AV45" s="946"/>
      <c r="AW45" s="946"/>
      <c r="AX45" s="946"/>
      <c r="AY45" s="946"/>
      <c r="AZ45" s="946"/>
      <c r="BA45" s="946"/>
      <c r="BB45" s="946"/>
      <c r="BC45" s="946"/>
      <c r="BD45" s="946"/>
    </row>
    <row r="46" spans="1:56" ht="14.5" x14ac:dyDescent="0.3">
      <c r="A46" s="944"/>
      <c r="B46" s="125"/>
      <c r="C46" s="851" t="s">
        <v>350</v>
      </c>
      <c r="D46" s="946"/>
      <c r="E46" s="946"/>
      <c r="F46" s="946"/>
      <c r="G46" s="946"/>
      <c r="H46" s="946"/>
      <c r="I46" s="946"/>
      <c r="J46" s="946"/>
      <c r="K46" s="946"/>
      <c r="L46" s="946"/>
      <c r="M46" s="946"/>
      <c r="N46" s="946"/>
      <c r="O46" s="946"/>
      <c r="P46" s="946"/>
      <c r="Q46" s="946"/>
      <c r="R46" s="946"/>
      <c r="S46" s="946"/>
      <c r="T46" s="946"/>
      <c r="U46" s="946"/>
      <c r="V46" s="946"/>
      <c r="W46" s="946"/>
      <c r="X46" s="946"/>
      <c r="Y46" s="946"/>
      <c r="Z46" s="946"/>
      <c r="AA46" s="946"/>
      <c r="AB46" s="946"/>
      <c r="AC46" s="946"/>
      <c r="AD46" s="946"/>
      <c r="AE46" s="946"/>
      <c r="AF46" s="946"/>
      <c r="AG46" s="946"/>
      <c r="AH46" s="946"/>
      <c r="AI46" s="946"/>
      <c r="AJ46" s="946"/>
      <c r="AK46" s="946"/>
      <c r="AL46" s="946"/>
      <c r="AM46" s="946"/>
      <c r="AN46" s="946"/>
      <c r="AO46" s="946"/>
      <c r="AP46" s="946"/>
      <c r="AQ46" s="946"/>
      <c r="AR46" s="946"/>
      <c r="AS46" s="946"/>
      <c r="AT46" s="946"/>
      <c r="AU46" s="946"/>
      <c r="AV46" s="946"/>
      <c r="AW46" s="946"/>
      <c r="AX46" s="946"/>
      <c r="AY46" s="946"/>
      <c r="AZ46" s="946"/>
      <c r="BA46" s="946"/>
      <c r="BB46" s="946"/>
      <c r="BC46" s="946"/>
      <c r="BD46" s="946"/>
    </row>
    <row r="47" spans="1:56" ht="14.5" x14ac:dyDescent="0.3">
      <c r="A47" s="944"/>
      <c r="B47" s="125"/>
      <c r="C47" s="852" t="s">
        <v>347</v>
      </c>
      <c r="D47" s="946">
        <v>26748.703125</v>
      </c>
      <c r="E47" s="946">
        <v>25197.8828125</v>
      </c>
      <c r="F47" s="946">
        <v>27706.87109375</v>
      </c>
      <c r="G47" s="946">
        <v>24418.158203125</v>
      </c>
      <c r="H47" s="946">
        <v>26016.958985094672</v>
      </c>
      <c r="I47" s="946">
        <v>27635.576766436636</v>
      </c>
      <c r="J47" s="946">
        <v>29034.710792491562</v>
      </c>
      <c r="K47" s="946">
        <v>29856.626198576414</v>
      </c>
      <c r="L47" s="946">
        <v>30678.24107815139</v>
      </c>
      <c r="M47" s="946">
        <v>31218.923843030963</v>
      </c>
      <c r="N47" s="946">
        <v>31644.483408132775</v>
      </c>
      <c r="O47" s="946">
        <v>32109.304170345946</v>
      </c>
      <c r="P47" s="946">
        <v>32539.717008397936</v>
      </c>
      <c r="Q47" s="946">
        <v>32914.282245291601</v>
      </c>
      <c r="R47" s="946">
        <v>33458.747445862929</v>
      </c>
      <c r="S47" s="946">
        <v>34103.279104768008</v>
      </c>
      <c r="T47" s="946">
        <v>34562.174435044639</v>
      </c>
      <c r="U47" s="946">
        <v>35006.872151479402</v>
      </c>
      <c r="V47" s="946">
        <v>35348.556902267512</v>
      </c>
      <c r="W47" s="946">
        <v>35798.362416349053</v>
      </c>
      <c r="X47" s="946">
        <v>36304.699266008713</v>
      </c>
      <c r="Y47" s="946">
        <v>36788.812716246226</v>
      </c>
      <c r="Z47" s="946">
        <v>37273.683865946179</v>
      </c>
      <c r="AA47" s="946">
        <v>37766.894911472162</v>
      </c>
      <c r="AB47" s="946">
        <v>38121.601765216736</v>
      </c>
      <c r="AC47" s="946">
        <v>38578.296513676381</v>
      </c>
      <c r="AD47" s="946">
        <v>38936.819002130032</v>
      </c>
      <c r="AE47" s="946">
        <v>39331.719925893733</v>
      </c>
      <c r="AF47" s="946">
        <v>39823.216236559092</v>
      </c>
      <c r="AG47" s="946">
        <v>40300.154875790162</v>
      </c>
      <c r="AH47" s="946">
        <v>40773.187727295357</v>
      </c>
      <c r="AI47" s="946">
        <v>41114.577444136397</v>
      </c>
      <c r="AJ47" s="946">
        <v>41564.579073017172</v>
      </c>
      <c r="AK47" s="946">
        <v>42026.180999642405</v>
      </c>
      <c r="AL47" s="946">
        <v>42481.22162531432</v>
      </c>
      <c r="AM47" s="946">
        <v>42931.428353627656</v>
      </c>
      <c r="AN47" s="946">
        <v>43376.618246399659</v>
      </c>
      <c r="AO47" s="946">
        <v>43843.748353833842</v>
      </c>
      <c r="AP47" s="946">
        <v>44314.366690983858</v>
      </c>
      <c r="AQ47" s="946">
        <v>44786.742605821317</v>
      </c>
      <c r="AR47" s="946">
        <v>45262.649991911043</v>
      </c>
      <c r="AS47" s="946">
        <v>45743.870549598891</v>
      </c>
      <c r="AT47" s="946">
        <v>46232.603805395542</v>
      </c>
      <c r="AU47" s="946">
        <v>46725.772397920708</v>
      </c>
      <c r="AV47" s="946">
        <v>47223.576742793754</v>
      </c>
      <c r="AW47" s="946">
        <v>47726.628713001614</v>
      </c>
      <c r="AX47" s="946">
        <v>48235.292258035042</v>
      </c>
      <c r="AY47" s="946">
        <v>48749.629046308291</v>
      </c>
      <c r="AZ47" s="946">
        <v>49269.245058138455</v>
      </c>
      <c r="BA47" s="946">
        <v>49794.318336448538</v>
      </c>
      <c r="BB47" s="946">
        <v>50325.022088761551</v>
      </c>
      <c r="BC47" s="946">
        <v>50861.435967527912</v>
      </c>
      <c r="BD47" s="946">
        <v>51403.579003903324</v>
      </c>
    </row>
    <row r="48" spans="1:56" ht="14.5" x14ac:dyDescent="0.3">
      <c r="A48" s="944"/>
      <c r="B48" s="125"/>
      <c r="C48" s="852" t="s">
        <v>348</v>
      </c>
      <c r="D48" s="946"/>
      <c r="E48" s="854">
        <v>-5.7977401941799747E-2</v>
      </c>
      <c r="F48" s="854">
        <v>9.9571392561813077E-2</v>
      </c>
      <c r="G48" s="854">
        <v>-0.11869665396345869</v>
      </c>
      <c r="H48" s="854">
        <v>6.5475895793199512E-2</v>
      </c>
      <c r="I48" s="854">
        <v>6.2213949842073506E-2</v>
      </c>
      <c r="J48" s="854">
        <v>5.0628001647288652E-2</v>
      </c>
      <c r="K48" s="854">
        <v>2.8308027999968968E-2</v>
      </c>
      <c r="L48" s="854">
        <v>2.7518677901194045E-2</v>
      </c>
      <c r="M48" s="854">
        <v>1.7624307844188628E-2</v>
      </c>
      <c r="N48" s="854">
        <v>1.3631461713463586E-2</v>
      </c>
      <c r="O48" s="854">
        <v>1.4688840270140398E-2</v>
      </c>
      <c r="P48" s="854">
        <v>1.3404614306450518E-2</v>
      </c>
      <c r="Q48" s="854">
        <v>1.1511017037947675E-2</v>
      </c>
      <c r="R48" s="854">
        <v>1.6541913219122822E-2</v>
      </c>
      <c r="S48" s="854">
        <v>1.9263472428187756E-2</v>
      </c>
      <c r="T48" s="854">
        <v>1.3456047111096502E-2</v>
      </c>
      <c r="U48" s="854">
        <v>1.2866601239760462E-2</v>
      </c>
      <c r="V48" s="854">
        <v>9.7605050034060403E-3</v>
      </c>
      <c r="W48" s="854">
        <v>1.2724862158451724E-2</v>
      </c>
      <c r="X48" s="854">
        <v>1.4144134409578922E-2</v>
      </c>
      <c r="Y48" s="854">
        <v>1.3334732418256889E-2</v>
      </c>
      <c r="Z48" s="854">
        <v>1.3179853164596154E-2</v>
      </c>
      <c r="AA48" s="854">
        <v>1.3232151866174623E-2</v>
      </c>
      <c r="AB48" s="854">
        <v>9.3920046796547012E-3</v>
      </c>
      <c r="AC48" s="854">
        <v>1.1979946468995105E-2</v>
      </c>
      <c r="AD48" s="854">
        <v>9.29337272127999E-3</v>
      </c>
      <c r="AE48" s="854">
        <v>1.014209516555775E-2</v>
      </c>
      <c r="AF48" s="854">
        <v>1.2496181494005471E-2</v>
      </c>
      <c r="AG48" s="854">
        <v>1.1976396793215905E-2</v>
      </c>
      <c r="AH48" s="854">
        <v>1.1737742769553573E-2</v>
      </c>
      <c r="AI48" s="854">
        <v>8.3728973835543192E-3</v>
      </c>
      <c r="AJ48" s="854">
        <v>1.0945062721177307E-2</v>
      </c>
      <c r="AK48" s="854">
        <v>1.11056562323013E-2</v>
      </c>
      <c r="AL48" s="854">
        <v>1.0827551179960563E-2</v>
      </c>
      <c r="AM48" s="854">
        <v>1.0597782057309314E-2</v>
      </c>
      <c r="AN48" s="854">
        <v>1.0369789914860475E-2</v>
      </c>
      <c r="AO48" s="854">
        <v>1.0769168421121796E-2</v>
      </c>
      <c r="AP48" s="854">
        <v>1.0733989561110669E-2</v>
      </c>
      <c r="AQ48" s="854">
        <v>1.0659656226872543E-2</v>
      </c>
      <c r="AR48" s="854">
        <v>1.0626077236254916E-2</v>
      </c>
      <c r="AS48" s="854">
        <v>1.0631736272044333E-2</v>
      </c>
      <c r="AT48" s="854">
        <v>1.0684125543480853E-2</v>
      </c>
      <c r="AU48" s="854">
        <v>1.0667116967952625E-2</v>
      </c>
      <c r="AV48" s="854">
        <v>1.065374244932114E-2</v>
      </c>
      <c r="AW48" s="854">
        <v>1.0652559693810676E-2</v>
      </c>
      <c r="AX48" s="854">
        <v>1.0657856185321958E-2</v>
      </c>
      <c r="AY48" s="854">
        <v>1.0663080167977438E-2</v>
      </c>
      <c r="AZ48" s="854">
        <v>1.0658871092876811E-2</v>
      </c>
      <c r="BA48" s="854">
        <v>1.0657221917861509E-2</v>
      </c>
      <c r="BB48" s="854">
        <v>1.0657917811569828E-2</v>
      </c>
      <c r="BC48" s="854">
        <v>1.065898943512142E-2</v>
      </c>
      <c r="BD48" s="854">
        <v>1.0659216085081408E-2</v>
      </c>
    </row>
    <row r="49" spans="1:56" ht="14.5" x14ac:dyDescent="0.3">
      <c r="A49" s="944"/>
      <c r="B49" s="125"/>
      <c r="C49" s="853"/>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row>
    <row r="50" spans="1:56" ht="14.5" x14ac:dyDescent="0.3">
      <c r="A50" s="49"/>
      <c r="B50" s="523"/>
      <c r="C50" s="851" t="s">
        <v>351</v>
      </c>
      <c r="D50" s="1195"/>
      <c r="E50" s="1195"/>
      <c r="F50" s="1195"/>
      <c r="G50" s="1195"/>
      <c r="H50" s="963"/>
      <c r="I50" s="963"/>
      <c r="J50" s="963"/>
      <c r="K50" s="963"/>
      <c r="L50" s="963"/>
      <c r="M50" s="963"/>
      <c r="N50" s="963"/>
      <c r="O50" s="963"/>
      <c r="P50" s="963"/>
      <c r="Q50" s="963"/>
      <c r="R50" s="963"/>
      <c r="S50" s="963"/>
      <c r="T50" s="963"/>
      <c r="U50" s="963"/>
      <c r="V50" s="963"/>
      <c r="W50" s="963"/>
      <c r="X50" s="963"/>
      <c r="Y50" s="963"/>
      <c r="Z50" s="963"/>
      <c r="AA50" s="963"/>
      <c r="AB50" s="963"/>
      <c r="AC50" s="963"/>
      <c r="AD50" s="963"/>
      <c r="AE50" s="963"/>
      <c r="AF50" s="963"/>
      <c r="AG50" s="963"/>
      <c r="AH50" s="963"/>
      <c r="AI50" s="963"/>
      <c r="AJ50" s="963"/>
      <c r="AK50" s="963"/>
      <c r="AL50" s="963"/>
      <c r="AM50" s="963"/>
      <c r="AN50" s="963"/>
      <c r="AO50" s="963"/>
      <c r="AP50" s="963"/>
      <c r="AQ50" s="963"/>
      <c r="AR50" s="963"/>
      <c r="AS50" s="963"/>
      <c r="AT50" s="963"/>
      <c r="AU50" s="963"/>
      <c r="AV50" s="963"/>
      <c r="AW50" s="963"/>
      <c r="AX50" s="963"/>
      <c r="AY50" s="963"/>
      <c r="AZ50" s="963"/>
      <c r="BA50" s="963"/>
      <c r="BB50" s="963"/>
      <c r="BC50" s="963"/>
      <c r="BD50" s="963"/>
    </row>
    <row r="51" spans="1:56" ht="14.5" x14ac:dyDescent="0.3">
      <c r="A51" s="49"/>
      <c r="B51" s="523"/>
      <c r="C51" s="851" t="s">
        <v>346</v>
      </c>
      <c r="D51" s="946"/>
      <c r="E51" s="946"/>
      <c r="F51" s="946"/>
      <c r="G51" s="946"/>
      <c r="H51" s="963"/>
      <c r="I51" s="963"/>
      <c r="J51" s="963"/>
      <c r="K51" s="963"/>
      <c r="L51" s="963"/>
      <c r="M51" s="963"/>
      <c r="N51" s="963"/>
      <c r="O51" s="963"/>
      <c r="P51" s="963"/>
      <c r="Q51" s="963"/>
      <c r="R51" s="963"/>
      <c r="S51" s="963"/>
      <c r="T51" s="963"/>
      <c r="U51" s="963"/>
      <c r="V51" s="963"/>
      <c r="W51" s="963"/>
      <c r="X51" s="963"/>
      <c r="Y51" s="963"/>
      <c r="Z51" s="963"/>
      <c r="AA51" s="963"/>
      <c r="AB51" s="963"/>
      <c r="AC51" s="963"/>
      <c r="AD51" s="963"/>
      <c r="AE51" s="963"/>
      <c r="AF51" s="963"/>
      <c r="AG51" s="963"/>
      <c r="AH51" s="963"/>
      <c r="AI51" s="963"/>
      <c r="AJ51" s="963"/>
      <c r="AK51" s="963"/>
      <c r="AL51" s="963"/>
      <c r="AM51" s="963"/>
      <c r="AN51" s="963"/>
      <c r="AO51" s="963"/>
      <c r="AP51" s="963"/>
      <c r="AQ51" s="963"/>
      <c r="AR51" s="963"/>
      <c r="AS51" s="963"/>
      <c r="AT51" s="963"/>
      <c r="AU51" s="963"/>
      <c r="AV51" s="963"/>
      <c r="AW51" s="963"/>
      <c r="AX51" s="963"/>
      <c r="AY51" s="963"/>
      <c r="AZ51" s="963"/>
      <c r="BA51" s="963"/>
      <c r="BB51" s="963"/>
      <c r="BC51" s="963"/>
      <c r="BD51" s="963"/>
    </row>
    <row r="52" spans="1:56" ht="14.5" x14ac:dyDescent="0.3">
      <c r="A52" s="49"/>
      <c r="B52" s="125"/>
      <c r="C52" s="852" t="s">
        <v>347</v>
      </c>
      <c r="D52" s="530">
        <v>5883128.515625</v>
      </c>
      <c r="E52" s="530">
        <v>6149980.078125</v>
      </c>
      <c r="F52" s="530">
        <v>7356140.625</v>
      </c>
      <c r="G52" s="530">
        <v>5691562.890625</v>
      </c>
      <c r="H52" s="946">
        <v>5663629.7211033553</v>
      </c>
      <c r="I52" s="946">
        <v>5384523.8421693873</v>
      </c>
      <c r="J52" s="946">
        <v>6346366.2488586977</v>
      </c>
      <c r="K52" s="946">
        <v>6188711.6780048301</v>
      </c>
      <c r="L52" s="946">
        <v>7283331.3158435822</v>
      </c>
      <c r="M52" s="946">
        <v>7734395.6032953374</v>
      </c>
      <c r="N52" s="946">
        <v>8278233.7026841743</v>
      </c>
      <c r="O52" s="946">
        <v>8738705.6015050225</v>
      </c>
      <c r="P52" s="946">
        <v>9349887.3051909972</v>
      </c>
      <c r="Q52" s="946">
        <v>8783423.128358148</v>
      </c>
      <c r="R52" s="946">
        <v>9245909.901569536</v>
      </c>
      <c r="S52" s="946">
        <v>9902031.0765703432</v>
      </c>
      <c r="T52" s="946">
        <v>10355445.397435211</v>
      </c>
      <c r="U52" s="946">
        <v>10831192.021296209</v>
      </c>
      <c r="V52" s="946">
        <v>11321742.062298797</v>
      </c>
      <c r="W52" s="946">
        <v>11742793.162488313</v>
      </c>
      <c r="X52" s="946">
        <v>12142150.208126839</v>
      </c>
      <c r="Y52" s="946">
        <v>12764730.270467244</v>
      </c>
      <c r="Z52" s="946">
        <v>13343577.347934563</v>
      </c>
      <c r="AA52" s="946">
        <v>13944935.545939393</v>
      </c>
      <c r="AB52" s="946">
        <v>14556749.204760401</v>
      </c>
      <c r="AC52" s="946">
        <v>15112440.847769614</v>
      </c>
      <c r="AD52" s="946">
        <v>15775974.825557215</v>
      </c>
      <c r="AE52" s="946">
        <v>16406427.809522476</v>
      </c>
      <c r="AF52" s="946">
        <v>17210444.706739888</v>
      </c>
      <c r="AG52" s="946">
        <v>17914758.630971942</v>
      </c>
      <c r="AH52" s="946">
        <v>18668767.223831505</v>
      </c>
      <c r="AI52" s="946">
        <v>19470393.182635166</v>
      </c>
      <c r="AJ52" s="946">
        <v>20309168.023554929</v>
      </c>
      <c r="AK52" s="946">
        <v>21185831.577685207</v>
      </c>
      <c r="AL52" s="946">
        <v>22110166.547455829</v>
      </c>
      <c r="AM52" s="946">
        <v>23077933.440747935</v>
      </c>
      <c r="AN52" s="946">
        <v>24077207.537674226</v>
      </c>
      <c r="AO52" s="946">
        <v>25136877.731849175</v>
      </c>
      <c r="AP52" s="946">
        <v>26241354.393738732</v>
      </c>
      <c r="AQ52" s="946">
        <v>27408465.100385621</v>
      </c>
      <c r="AR52" s="946">
        <v>28614573.493964326</v>
      </c>
      <c r="AS52" s="946">
        <v>29881528.915327288</v>
      </c>
      <c r="AT52" s="946">
        <v>31209869.283020314</v>
      </c>
      <c r="AU52" s="946">
        <v>32599533.403845668</v>
      </c>
      <c r="AV52" s="946">
        <v>34052341.008388482</v>
      </c>
      <c r="AW52" s="946">
        <v>35576010.49591969</v>
      </c>
      <c r="AX52" s="946">
        <v>37171130.266637698</v>
      </c>
      <c r="AY52" s="946">
        <v>38842796.076548733</v>
      </c>
      <c r="AZ52" s="946">
        <v>40592413.478707202</v>
      </c>
      <c r="BA52" s="946">
        <v>42424488.539626822</v>
      </c>
      <c r="BB52" s="946">
        <v>44341876.874924041</v>
      </c>
      <c r="BC52" s="946">
        <v>46350881.352196082</v>
      </c>
      <c r="BD52" s="946">
        <v>48455208.059999995</v>
      </c>
    </row>
    <row r="53" spans="1:56" ht="14.5" x14ac:dyDescent="0.3">
      <c r="A53" s="49"/>
      <c r="B53" s="125"/>
      <c r="C53" s="852" t="s">
        <v>348</v>
      </c>
      <c r="D53" s="854"/>
      <c r="E53" s="854">
        <v>4.5358785175484265E-2</v>
      </c>
      <c r="F53" s="854">
        <v>0.19612430146972656</v>
      </c>
      <c r="G53" s="854">
        <v>-0.22628411000163554</v>
      </c>
      <c r="H53" s="854">
        <v>-4.9078205860916563E-3</v>
      </c>
      <c r="I53" s="854">
        <v>-4.9280389551948717E-2</v>
      </c>
      <c r="J53" s="854">
        <v>0.17863091238570702</v>
      </c>
      <c r="K53" s="854">
        <v>-2.4841706997641284E-2</v>
      </c>
      <c r="L53" s="854">
        <v>0.17687358771763703</v>
      </c>
      <c r="M53" s="854">
        <v>6.1931040603706404E-2</v>
      </c>
      <c r="N53" s="854">
        <v>7.0314233623778921E-2</v>
      </c>
      <c r="O53" s="854">
        <v>5.5624414018601888E-2</v>
      </c>
      <c r="P53" s="854">
        <v>6.9939614807565317E-2</v>
      </c>
      <c r="Q53" s="854">
        <v>-6.0585134167162838E-2</v>
      </c>
      <c r="R53" s="854">
        <v>5.2654502288316696E-2</v>
      </c>
      <c r="S53" s="854">
        <v>7.0963397003190321E-2</v>
      </c>
      <c r="T53" s="854">
        <v>4.5790032101364758E-2</v>
      </c>
      <c r="U53" s="854">
        <v>4.5941686291815977E-2</v>
      </c>
      <c r="V53" s="854">
        <v>4.5290494346150685E-2</v>
      </c>
      <c r="W53" s="854">
        <v>3.7189603673414284E-2</v>
      </c>
      <c r="X53" s="854">
        <v>3.4008692830786572E-2</v>
      </c>
      <c r="Y53" s="854">
        <v>5.1274284345758377E-2</v>
      </c>
      <c r="Z53" s="854">
        <v>4.5347380258128268E-2</v>
      </c>
      <c r="AA53" s="854">
        <v>4.506723964079349E-2</v>
      </c>
      <c r="AB53" s="854">
        <v>4.3873537945405591E-2</v>
      </c>
      <c r="AC53" s="854">
        <v>3.8174157924455374E-2</v>
      </c>
      <c r="AD53" s="854">
        <v>4.3906473115196951E-2</v>
      </c>
      <c r="AE53" s="854">
        <v>3.9962854336197444E-2</v>
      </c>
      <c r="AF53" s="854">
        <v>4.9006213086236303E-2</v>
      </c>
      <c r="AG53" s="854">
        <v>4.0923633074759179E-2</v>
      </c>
      <c r="AH53" s="854">
        <v>4.2088682766620936E-2</v>
      </c>
      <c r="AI53" s="854">
        <v>4.2939415827112047E-2</v>
      </c>
      <c r="AJ53" s="854">
        <v>4.3079501941842208E-2</v>
      </c>
      <c r="AK53" s="854">
        <v>4.3165901878083279E-2</v>
      </c>
      <c r="AL53" s="854">
        <v>4.3629864911425661E-2</v>
      </c>
      <c r="AM53" s="854">
        <v>4.3770221776256391E-2</v>
      </c>
      <c r="AN53" s="854">
        <v>4.3299981754948029E-2</v>
      </c>
      <c r="AO53" s="854">
        <v>4.4011341120719909E-2</v>
      </c>
      <c r="AP53" s="854">
        <v>4.3938498395532703E-2</v>
      </c>
      <c r="AQ53" s="854">
        <v>4.4476008712620627E-2</v>
      </c>
      <c r="AR53" s="854">
        <v>4.4004959386132685E-2</v>
      </c>
      <c r="AS53" s="854">
        <v>4.4276578912846684E-2</v>
      </c>
      <c r="AT53" s="854">
        <v>4.4453560975980487E-2</v>
      </c>
      <c r="AU53" s="854">
        <v>4.4526431950850841E-2</v>
      </c>
      <c r="AV53" s="854">
        <v>4.4565288298618132E-2</v>
      </c>
      <c r="AW53" s="854">
        <v>4.4744926263832065E-2</v>
      </c>
      <c r="AX53" s="854">
        <v>4.4836949069962662E-2</v>
      </c>
      <c r="AY53" s="854">
        <v>4.4972154409074011E-2</v>
      </c>
      <c r="AZ53" s="854">
        <v>4.5043549354954839E-2</v>
      </c>
      <c r="BA53" s="854">
        <v>4.5133435140057319E-2</v>
      </c>
      <c r="BB53" s="854">
        <v>4.5195319997936391E-2</v>
      </c>
      <c r="BC53" s="854">
        <v>4.5307159255772542E-2</v>
      </c>
      <c r="BD53" s="854">
        <v>4.5399928683431831E-2</v>
      </c>
    </row>
    <row r="54" spans="1:56" ht="14.5" x14ac:dyDescent="0.3">
      <c r="A54" s="944"/>
      <c r="B54" s="125"/>
      <c r="C54" s="852"/>
      <c r="D54" s="852"/>
      <c r="E54" s="852"/>
      <c r="F54" s="852"/>
      <c r="G54" s="852"/>
      <c r="H54" s="852"/>
      <c r="I54" s="946"/>
      <c r="J54" s="946"/>
      <c r="K54" s="946"/>
      <c r="L54" s="946"/>
      <c r="M54" s="946"/>
      <c r="N54" s="946"/>
      <c r="O54" s="946"/>
      <c r="P54" s="946"/>
      <c r="Q54" s="946"/>
      <c r="R54" s="946"/>
      <c r="S54" s="946"/>
      <c r="T54" s="946"/>
      <c r="U54" s="946"/>
      <c r="V54" s="946"/>
      <c r="W54" s="946"/>
      <c r="X54" s="946"/>
      <c r="Y54" s="946"/>
      <c r="Z54" s="946"/>
      <c r="AA54" s="946"/>
      <c r="AB54" s="946"/>
      <c r="AC54" s="946"/>
      <c r="AD54" s="946"/>
      <c r="AE54" s="946"/>
      <c r="AF54" s="946"/>
      <c r="AG54" s="946"/>
      <c r="AH54" s="946"/>
      <c r="AI54" s="946"/>
      <c r="AJ54" s="946"/>
      <c r="AK54" s="946"/>
      <c r="AL54" s="946"/>
      <c r="AM54" s="946"/>
      <c r="AN54" s="946"/>
      <c r="AO54" s="946"/>
      <c r="AP54" s="946"/>
      <c r="AQ54" s="946"/>
      <c r="AR54" s="946"/>
      <c r="AS54" s="946"/>
      <c r="AT54" s="946"/>
      <c r="AU54" s="946"/>
      <c r="AV54" s="946"/>
      <c r="AW54" s="946"/>
      <c r="AX54" s="946"/>
      <c r="AY54" s="946"/>
      <c r="AZ54" s="946"/>
      <c r="BA54" s="946"/>
      <c r="BB54" s="946"/>
      <c r="BC54" s="946"/>
      <c r="BD54" s="946"/>
    </row>
    <row r="55" spans="1:56" ht="14.5" x14ac:dyDescent="0.3">
      <c r="A55" s="944"/>
      <c r="B55" s="125"/>
      <c r="C55" s="851" t="s">
        <v>349</v>
      </c>
      <c r="D55" s="946"/>
      <c r="E55" s="946"/>
      <c r="F55" s="946"/>
      <c r="G55" s="946"/>
      <c r="H55" s="946"/>
      <c r="I55" s="946"/>
      <c r="J55" s="946"/>
      <c r="K55" s="946"/>
      <c r="L55" s="946"/>
      <c r="M55" s="946"/>
      <c r="N55" s="946"/>
      <c r="O55" s="946"/>
      <c r="P55" s="946"/>
      <c r="Q55" s="946"/>
      <c r="R55" s="946"/>
      <c r="S55" s="946"/>
      <c r="T55" s="946"/>
      <c r="U55" s="946"/>
      <c r="V55" s="946"/>
      <c r="W55" s="946"/>
      <c r="X55" s="946"/>
      <c r="Y55" s="946"/>
      <c r="Z55" s="946"/>
      <c r="AA55" s="946"/>
      <c r="AB55" s="946"/>
      <c r="AC55" s="946"/>
      <c r="AD55" s="946"/>
      <c r="AE55" s="946"/>
      <c r="AF55" s="946"/>
      <c r="AG55" s="946"/>
      <c r="AH55" s="946"/>
      <c r="AI55" s="946"/>
      <c r="AJ55" s="946"/>
      <c r="AK55" s="946"/>
      <c r="AL55" s="946"/>
      <c r="AM55" s="946"/>
      <c r="AN55" s="946"/>
      <c r="AO55" s="946"/>
      <c r="AP55" s="946"/>
      <c r="AQ55" s="946"/>
      <c r="AR55" s="946"/>
      <c r="AS55" s="946"/>
      <c r="AT55" s="946"/>
      <c r="AU55" s="946"/>
      <c r="AV55" s="946"/>
      <c r="AW55" s="946"/>
      <c r="AX55" s="946"/>
      <c r="AY55" s="946"/>
      <c r="AZ55" s="946"/>
      <c r="BA55" s="946"/>
      <c r="BB55" s="946"/>
      <c r="BC55" s="946"/>
      <c r="BD55" s="946"/>
    </row>
    <row r="56" spans="1:56" ht="14.5" x14ac:dyDescent="0.3">
      <c r="A56" s="944"/>
      <c r="B56" s="125"/>
      <c r="C56" s="852" t="s">
        <v>347</v>
      </c>
      <c r="D56" s="530">
        <v>4414281.640625</v>
      </c>
      <c r="E56" s="530">
        <v>5379687.890625</v>
      </c>
      <c r="F56" s="530">
        <v>6091101.171875</v>
      </c>
      <c r="G56" s="530">
        <v>6105758.984375</v>
      </c>
      <c r="H56" s="946">
        <v>5339914.7130704345</v>
      </c>
      <c r="I56" s="946">
        <v>5732252.257977277</v>
      </c>
      <c r="J56" s="946">
        <v>6159486.1685790559</v>
      </c>
      <c r="K56" s="946">
        <v>6432632.8675155398</v>
      </c>
      <c r="L56" s="946">
        <v>6441734.1334626516</v>
      </c>
      <c r="M56" s="946">
        <v>6567031.7365613962</v>
      </c>
      <c r="N56" s="946">
        <v>6908290.8708045762</v>
      </c>
      <c r="O56" s="946">
        <v>7156873.4179071654</v>
      </c>
      <c r="P56" s="946">
        <v>7393402.9101380687</v>
      </c>
      <c r="Q56" s="946">
        <v>7666664.3634927832</v>
      </c>
      <c r="R56" s="946">
        <v>7957973.1614999082</v>
      </c>
      <c r="S56" s="946">
        <v>8364339.6143689286</v>
      </c>
      <c r="T56" s="946">
        <v>8699687.4000753891</v>
      </c>
      <c r="U56" s="946">
        <v>9061076.7724810131</v>
      </c>
      <c r="V56" s="946">
        <v>9465723.5988960229</v>
      </c>
      <c r="W56" s="946">
        <v>9854919.0573545899</v>
      </c>
      <c r="X56" s="946">
        <v>10289265.985022575</v>
      </c>
      <c r="Y56" s="946">
        <v>10769650.770986414</v>
      </c>
      <c r="Z56" s="946">
        <v>11221307.431682456</v>
      </c>
      <c r="AA56" s="946">
        <v>11719570.022277674</v>
      </c>
      <c r="AB56" s="946">
        <v>12236737.183064125</v>
      </c>
      <c r="AC56" s="946">
        <v>12713597.482665157</v>
      </c>
      <c r="AD56" s="946">
        <v>13282510.135068305</v>
      </c>
      <c r="AE56" s="946">
        <v>13818943.005894944</v>
      </c>
      <c r="AF56" s="946">
        <v>14484042.332555506</v>
      </c>
      <c r="AG56" s="946">
        <v>15071835.346014433</v>
      </c>
      <c r="AH56" s="946">
        <v>15707116.936722377</v>
      </c>
      <c r="AI56" s="946">
        <v>16383919.6453411</v>
      </c>
      <c r="AJ56" s="946">
        <v>17092159.735054415</v>
      </c>
      <c r="AK56" s="946">
        <v>17831085.975617215</v>
      </c>
      <c r="AL56" s="946">
        <v>18608186.678789612</v>
      </c>
      <c r="AM56" s="946">
        <v>19420401.459004339</v>
      </c>
      <c r="AN56" s="946">
        <v>20261014.317063104</v>
      </c>
      <c r="AO56" s="946">
        <v>21153434.112730965</v>
      </c>
      <c r="AP56" s="946">
        <v>22083556.19614093</v>
      </c>
      <c r="AQ56" s="946">
        <v>23066047.829839807</v>
      </c>
      <c r="AR56" s="946">
        <v>24080925.797542289</v>
      </c>
      <c r="AS56" s="946">
        <v>25146757.831564151</v>
      </c>
      <c r="AT56" s="946">
        <v>26264342.50082925</v>
      </c>
      <c r="AU56" s="946">
        <v>27433924.283547834</v>
      </c>
      <c r="AV56" s="946">
        <v>28656725.857783824</v>
      </c>
      <c r="AW56" s="946">
        <v>29939065.195331775</v>
      </c>
      <c r="AX56" s="946">
        <v>31281423.342106942</v>
      </c>
      <c r="AY56" s="946">
        <v>32688134.641500376</v>
      </c>
      <c r="AZ56" s="946">
        <v>34160454.406293936</v>
      </c>
      <c r="BA56" s="946">
        <v>35702227.482082896</v>
      </c>
      <c r="BB56" s="946">
        <v>37315851.198940381</v>
      </c>
      <c r="BC56" s="946">
        <v>39006561.655518919</v>
      </c>
      <c r="BD56" s="946">
        <v>40777458.089517392</v>
      </c>
    </row>
    <row r="57" spans="1:56" ht="14.5" x14ac:dyDescent="0.3">
      <c r="A57" s="944"/>
      <c r="B57" s="125"/>
      <c r="C57" s="852" t="s">
        <v>348</v>
      </c>
      <c r="D57" s="854"/>
      <c r="E57" s="854">
        <v>0.21870064680859649</v>
      </c>
      <c r="F57" s="854">
        <v>0.1322406235666117</v>
      </c>
      <c r="G57" s="854">
        <v>2.4064306414217614E-3</v>
      </c>
      <c r="H57" s="854">
        <v>-0.12542982342807937</v>
      </c>
      <c r="I57" s="854">
        <v>7.3472623812984014E-2</v>
      </c>
      <c r="J57" s="854">
        <v>7.4531596198897154E-2</v>
      </c>
      <c r="K57" s="854">
        <v>4.4345695640955807E-2</v>
      </c>
      <c r="L57" s="854">
        <v>1.4148586021553943E-3</v>
      </c>
      <c r="M57" s="854">
        <v>1.9450911897755208E-2</v>
      </c>
      <c r="N57" s="854">
        <v>5.1965507086443416E-2</v>
      </c>
      <c r="O57" s="854">
        <v>3.5983219547563422E-2</v>
      </c>
      <c r="P57" s="854">
        <v>3.3049277026345678E-2</v>
      </c>
      <c r="Q57" s="854">
        <v>3.6960173370236549E-2</v>
      </c>
      <c r="R57" s="854">
        <v>3.7996811154833235E-2</v>
      </c>
      <c r="S57" s="854">
        <v>5.1064064256334959E-2</v>
      </c>
      <c r="T57" s="854">
        <v>4.0092559743792965E-2</v>
      </c>
      <c r="U57" s="854">
        <v>4.1540500915296374E-2</v>
      </c>
      <c r="V57" s="854">
        <v>4.4657697597701017E-2</v>
      </c>
      <c r="W57" s="854">
        <v>4.1116292314298981E-2</v>
      </c>
      <c r="X57" s="854">
        <v>4.4074124317016856E-2</v>
      </c>
      <c r="Y57" s="854">
        <v>4.6687954870940677E-2</v>
      </c>
      <c r="Z57" s="854">
        <v>4.1937911479247955E-2</v>
      </c>
      <c r="AA57" s="854">
        <v>4.4403256361055861E-2</v>
      </c>
      <c r="AB57" s="854">
        <v>4.4128509817627372E-2</v>
      </c>
      <c r="AC57" s="854">
        <v>3.8969562920826241E-2</v>
      </c>
      <c r="AD57" s="854">
        <v>4.4748361207663977E-2</v>
      </c>
      <c r="AE57" s="854">
        <v>4.0386407792782811E-2</v>
      </c>
      <c r="AF57" s="854">
        <v>4.8129536852192054E-2</v>
      </c>
      <c r="AG57" s="854">
        <v>4.0582110985533028E-2</v>
      </c>
      <c r="AH57" s="854">
        <v>4.2150247539423751E-2</v>
      </c>
      <c r="AI57" s="854">
        <v>4.3088920222933799E-2</v>
      </c>
      <c r="AJ57" s="854">
        <v>4.322775654693279E-2</v>
      </c>
      <c r="AK57" s="854">
        <v>4.3231882454698334E-2</v>
      </c>
      <c r="AL57" s="854">
        <v>4.358123247428837E-2</v>
      </c>
      <c r="AM57" s="854">
        <v>4.3648249785699068E-2</v>
      </c>
      <c r="AN57" s="854">
        <v>4.3285040210588044E-2</v>
      </c>
      <c r="AO57" s="854">
        <v>4.4046155918082371E-2</v>
      </c>
      <c r="AP57" s="854">
        <v>4.3970264045693701E-2</v>
      </c>
      <c r="AQ57" s="854">
        <v>4.4489738200343201E-2</v>
      </c>
      <c r="AR57" s="854">
        <v>4.3998780163351903E-2</v>
      </c>
      <c r="AS57" s="854">
        <v>4.4260425989545681E-2</v>
      </c>
      <c r="AT57" s="854">
        <v>4.4442495400433261E-2</v>
      </c>
      <c r="AU57" s="854">
        <v>4.4531165502492837E-2</v>
      </c>
      <c r="AV57" s="854">
        <v>4.4572608774359951E-2</v>
      </c>
      <c r="AW57" s="854">
        <v>4.4748285059217179E-2</v>
      </c>
      <c r="AX57" s="854">
        <v>4.4836341349244052E-2</v>
      </c>
      <c r="AY57" s="854">
        <v>4.4969542594307216E-2</v>
      </c>
      <c r="AZ57" s="854">
        <v>4.5041412761568977E-2</v>
      </c>
      <c r="BA57" s="854">
        <v>4.5133271866105329E-2</v>
      </c>
      <c r="BB57" s="854">
        <v>4.5196723864562229E-2</v>
      </c>
      <c r="BC57" s="854">
        <v>4.5308103721523767E-2</v>
      </c>
      <c r="BD57" s="854">
        <v>4.5399962438061089E-2</v>
      </c>
    </row>
    <row r="58" spans="1:56" ht="14.5" x14ac:dyDescent="0.3">
      <c r="A58" s="944"/>
      <c r="B58" s="125"/>
      <c r="C58" s="852"/>
      <c r="D58" s="946"/>
      <c r="E58" s="946"/>
      <c r="F58" s="946"/>
      <c r="G58" s="946"/>
      <c r="H58" s="946"/>
      <c r="I58" s="946"/>
      <c r="J58" s="946"/>
      <c r="K58" s="946"/>
      <c r="L58" s="946"/>
      <c r="M58" s="946"/>
      <c r="N58" s="946"/>
      <c r="O58" s="946"/>
      <c r="P58" s="946"/>
      <c r="Q58" s="946"/>
      <c r="R58" s="946"/>
      <c r="S58" s="946"/>
      <c r="T58" s="946"/>
      <c r="U58" s="946"/>
      <c r="V58" s="946"/>
      <c r="W58" s="946"/>
      <c r="X58" s="946"/>
      <c r="Y58" s="946"/>
      <c r="Z58" s="946"/>
      <c r="AA58" s="946"/>
      <c r="AB58" s="946"/>
      <c r="AC58" s="946"/>
      <c r="AD58" s="946"/>
      <c r="AE58" s="946"/>
      <c r="AF58" s="946"/>
      <c r="AG58" s="946"/>
      <c r="AH58" s="946"/>
      <c r="AI58" s="946"/>
      <c r="AJ58" s="946"/>
      <c r="AK58" s="946"/>
      <c r="AL58" s="946"/>
      <c r="AM58" s="946"/>
      <c r="AN58" s="946"/>
      <c r="AO58" s="946"/>
      <c r="AP58" s="946"/>
      <c r="AQ58" s="946"/>
      <c r="AR58" s="946"/>
      <c r="AS58" s="946"/>
      <c r="AT58" s="946"/>
      <c r="AU58" s="946"/>
      <c r="AV58" s="946"/>
      <c r="AW58" s="946"/>
      <c r="AX58" s="946"/>
      <c r="AY58" s="946"/>
      <c r="AZ58" s="946"/>
      <c r="BA58" s="946"/>
      <c r="BB58" s="946"/>
      <c r="BC58" s="946"/>
      <c r="BD58" s="946"/>
    </row>
    <row r="59" spans="1:56" ht="14.5" x14ac:dyDescent="0.3">
      <c r="A59" s="944"/>
      <c r="B59" s="125"/>
      <c r="C59" s="851" t="s">
        <v>350</v>
      </c>
      <c r="D59" s="946"/>
      <c r="E59" s="946"/>
      <c r="F59" s="946"/>
      <c r="G59" s="946"/>
      <c r="H59" s="946"/>
      <c r="I59" s="946"/>
      <c r="J59" s="946"/>
      <c r="K59" s="946"/>
      <c r="L59" s="946"/>
      <c r="M59" s="946"/>
      <c r="N59" s="946"/>
      <c r="O59" s="946"/>
      <c r="P59" s="946"/>
      <c r="Q59" s="946"/>
      <c r="R59" s="946"/>
      <c r="S59" s="946"/>
      <c r="T59" s="946"/>
      <c r="U59" s="946"/>
      <c r="V59" s="946"/>
      <c r="W59" s="946"/>
      <c r="X59" s="946"/>
      <c r="Y59" s="946"/>
      <c r="Z59" s="946"/>
      <c r="AA59" s="946"/>
      <c r="AB59" s="946"/>
      <c r="AC59" s="946"/>
      <c r="AD59" s="946"/>
      <c r="AE59" s="946"/>
      <c r="AF59" s="946"/>
      <c r="AG59" s="946"/>
      <c r="AH59" s="946"/>
      <c r="AI59" s="946"/>
      <c r="AJ59" s="946"/>
      <c r="AK59" s="946"/>
      <c r="AL59" s="946"/>
      <c r="AM59" s="946"/>
      <c r="AN59" s="946"/>
      <c r="AO59" s="946"/>
      <c r="AP59" s="946"/>
      <c r="AQ59" s="946"/>
      <c r="AR59" s="946"/>
      <c r="AS59" s="946"/>
      <c r="AT59" s="946"/>
      <c r="AU59" s="946"/>
      <c r="AV59" s="946"/>
      <c r="AW59" s="946"/>
      <c r="AX59" s="946"/>
      <c r="AY59" s="946"/>
      <c r="AZ59" s="946"/>
      <c r="BA59" s="946"/>
      <c r="BB59" s="946"/>
      <c r="BC59" s="946"/>
      <c r="BD59" s="946"/>
    </row>
    <row r="60" spans="1:56" ht="14.5" x14ac:dyDescent="0.3">
      <c r="A60" s="944"/>
      <c r="B60" s="125"/>
      <c r="C60" s="852" t="s">
        <v>347</v>
      </c>
      <c r="D60" s="946">
        <v>26748.703125</v>
      </c>
      <c r="E60" s="946">
        <v>25197.8828125</v>
      </c>
      <c r="F60" s="946">
        <v>27706.87109375</v>
      </c>
      <c r="G60" s="946">
        <v>24418.158203125</v>
      </c>
      <c r="H60" s="946">
        <v>26016.958985094672</v>
      </c>
      <c r="I60" s="946">
        <v>27635.576766436636</v>
      </c>
      <c r="J60" s="946">
        <v>29034.710792491562</v>
      </c>
      <c r="K60" s="946">
        <v>29856.626198576414</v>
      </c>
      <c r="L60" s="946">
        <v>30678.24107815139</v>
      </c>
      <c r="M60" s="946">
        <v>31581.887800260007</v>
      </c>
      <c r="N60" s="946">
        <v>31957.12700374419</v>
      </c>
      <c r="O60" s="946">
        <v>32590.24167405755</v>
      </c>
      <c r="P60" s="946">
        <v>33463.410584523474</v>
      </c>
      <c r="Q60" s="946">
        <v>34195.150897231128</v>
      </c>
      <c r="R60" s="946">
        <v>34668.56497688681</v>
      </c>
      <c r="S60" s="946">
        <v>35375.815258896604</v>
      </c>
      <c r="T60" s="946">
        <v>36404.849450338006</v>
      </c>
      <c r="U60" s="946">
        <v>37505.169395596291</v>
      </c>
      <c r="V60" s="946">
        <v>38419.325092508698</v>
      </c>
      <c r="W60" s="946">
        <v>39379.829508838273</v>
      </c>
      <c r="X60" s="946">
        <v>40376.572128766129</v>
      </c>
      <c r="Y60" s="946">
        <v>41448.817187257977</v>
      </c>
      <c r="Z60" s="946">
        <v>42679.390075700976</v>
      </c>
      <c r="AA60" s="946">
        <v>43880.271842400165</v>
      </c>
      <c r="AB60" s="946">
        <v>45117.784124701728</v>
      </c>
      <c r="AC60" s="946">
        <v>46241.865285642292</v>
      </c>
      <c r="AD60" s="946">
        <v>47428.296249164683</v>
      </c>
      <c r="AE60" s="946">
        <v>48524.51440051321</v>
      </c>
      <c r="AF60" s="946">
        <v>49698.803716893308</v>
      </c>
      <c r="AG60" s="946">
        <v>51031.780264365836</v>
      </c>
      <c r="AH60" s="946">
        <v>52577.665789757331</v>
      </c>
      <c r="AI60" s="946">
        <v>53946.898423571351</v>
      </c>
      <c r="AJ60" s="946">
        <v>55326.837865245841</v>
      </c>
      <c r="AK60" s="946">
        <v>56797.815899351946</v>
      </c>
      <c r="AL60" s="946">
        <v>58335.019811763821</v>
      </c>
      <c r="AM60" s="946">
        <v>59916.667002983631</v>
      </c>
      <c r="AN60" s="946">
        <v>61503.097414930191</v>
      </c>
      <c r="AO60" s="946">
        <v>63136.885228616513</v>
      </c>
      <c r="AP60" s="946">
        <v>64826.508051323712</v>
      </c>
      <c r="AQ60" s="946">
        <v>66563.605898797934</v>
      </c>
      <c r="AR60" s="946">
        <v>68343.678253762962</v>
      </c>
      <c r="AS60" s="946">
        <v>70166.286499435213</v>
      </c>
      <c r="AT60" s="946">
        <v>72040.180890479372</v>
      </c>
      <c r="AU60" s="946">
        <v>73966.168653903514</v>
      </c>
      <c r="AV60" s="946">
        <v>75943.257675770888</v>
      </c>
      <c r="AW60" s="946">
        <v>77972.184068976363</v>
      </c>
      <c r="AX60" s="946">
        <v>80054.909257493069</v>
      </c>
      <c r="AY60" s="946">
        <v>82193.952493882724</v>
      </c>
      <c r="AZ60" s="946">
        <v>84390.367694500485</v>
      </c>
      <c r="BA60" s="946">
        <v>86645.264194797579</v>
      </c>
      <c r="BB60" s="946">
        <v>88960.241208731808</v>
      </c>
      <c r="BC60" s="946">
        <v>91337.096607478597</v>
      </c>
      <c r="BD60" s="946">
        <v>93777.58595312394</v>
      </c>
    </row>
    <row r="61" spans="1:56" ht="14.5" x14ac:dyDescent="0.3">
      <c r="A61" s="944"/>
      <c r="B61" s="125"/>
      <c r="C61" s="852" t="s">
        <v>348</v>
      </c>
      <c r="D61" s="946"/>
      <c r="E61" s="854">
        <v>-5.7977401941799747E-2</v>
      </c>
      <c r="F61" s="854">
        <v>9.9571392561813077E-2</v>
      </c>
      <c r="G61" s="854">
        <v>-0.11869665396345869</v>
      </c>
      <c r="H61" s="854">
        <v>6.5475895793199512E-2</v>
      </c>
      <c r="I61" s="854">
        <v>6.2213949842073506E-2</v>
      </c>
      <c r="J61" s="854">
        <v>5.0628001647288652E-2</v>
      </c>
      <c r="K61" s="854">
        <v>2.8308027999968968E-2</v>
      </c>
      <c r="L61" s="854">
        <v>2.7518677901194045E-2</v>
      </c>
      <c r="M61" s="854">
        <v>2.9455623606536595E-2</v>
      </c>
      <c r="N61" s="854">
        <v>1.1881468449808563E-2</v>
      </c>
      <c r="O61" s="854">
        <v>1.9811376355552312E-2</v>
      </c>
      <c r="P61" s="854">
        <v>2.6792342296773533E-2</v>
      </c>
      <c r="Q61" s="854">
        <v>2.1866877880226513E-2</v>
      </c>
      <c r="R61" s="854">
        <v>1.3844479911156518E-2</v>
      </c>
      <c r="S61" s="854">
        <v>2.0400333341784153E-2</v>
      </c>
      <c r="T61" s="854">
        <v>2.9088635382971479E-2</v>
      </c>
      <c r="U61" s="854">
        <v>3.0224543209807692E-2</v>
      </c>
      <c r="V61" s="854">
        <v>2.43741252644427E-2</v>
      </c>
      <c r="W61" s="854">
        <v>2.5000554122614243E-2</v>
      </c>
      <c r="X61" s="854">
        <v>2.5310993784372546E-2</v>
      </c>
      <c r="Y61" s="854">
        <v>2.6556119104720412E-2</v>
      </c>
      <c r="Z61" s="854">
        <v>2.9688974787471057E-2</v>
      </c>
      <c r="AA61" s="854">
        <v>2.8137275733537189E-2</v>
      </c>
      <c r="AB61" s="854">
        <v>2.8202019503119676E-2</v>
      </c>
      <c r="AC61" s="854">
        <v>2.4914369859869438E-2</v>
      </c>
      <c r="AD61" s="854">
        <v>2.5657074086299188E-2</v>
      </c>
      <c r="AE61" s="854">
        <v>2.3113167413595072E-2</v>
      </c>
      <c r="AF61" s="854">
        <v>2.4199918966477663E-2</v>
      </c>
      <c r="AG61" s="854">
        <v>2.6821099257554788E-2</v>
      </c>
      <c r="AH61" s="854">
        <v>3.029260428272668E-2</v>
      </c>
      <c r="AI61" s="854">
        <v>2.6042096263633671E-2</v>
      </c>
      <c r="AJ61" s="854">
        <v>2.5579588113476145E-2</v>
      </c>
      <c r="AK61" s="854">
        <v>2.6587061376773819E-2</v>
      </c>
      <c r="AL61" s="854">
        <v>2.7064489858833002E-2</v>
      </c>
      <c r="AM61" s="854">
        <v>2.711316797908854E-2</v>
      </c>
      <c r="AN61" s="854">
        <v>2.6477280718361071E-2</v>
      </c>
      <c r="AO61" s="854">
        <v>2.6564317609306481E-2</v>
      </c>
      <c r="AP61" s="854">
        <v>2.6761263508472615E-2</v>
      </c>
      <c r="AQ61" s="854">
        <v>2.6796103934812389E-2</v>
      </c>
      <c r="AR61" s="854">
        <v>2.6742426750008364E-2</v>
      </c>
      <c r="AS61" s="854">
        <v>2.666827850419214E-2</v>
      </c>
      <c r="AT61" s="854">
        <v>2.6706478061358469E-2</v>
      </c>
      <c r="AU61" s="854">
        <v>2.6734910151768862E-2</v>
      </c>
      <c r="AV61" s="854">
        <v>2.6729639480427982E-2</v>
      </c>
      <c r="AW61" s="854">
        <v>2.6716346589551004E-2</v>
      </c>
      <c r="AX61" s="854">
        <v>2.6711130557459689E-2</v>
      </c>
      <c r="AY61" s="854">
        <v>2.6719700968113231E-2</v>
      </c>
      <c r="AZ61" s="854">
        <v>2.6722345549463983E-2</v>
      </c>
      <c r="BA61" s="854">
        <v>2.6719832629003234E-2</v>
      </c>
      <c r="BB61" s="854">
        <v>2.6717871258718218E-2</v>
      </c>
      <c r="BC61" s="854">
        <v>2.6718176192551638E-2</v>
      </c>
      <c r="BD61" s="854">
        <v>2.6719585319570117E-2</v>
      </c>
    </row>
    <row r="62" spans="1:56" ht="14.5" x14ac:dyDescent="0.3">
      <c r="A62" s="944"/>
      <c r="B62" s="125"/>
      <c r="C62" s="853"/>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row>
    <row r="63" spans="1:56" ht="14.5" x14ac:dyDescent="0.3">
      <c r="A63" s="49"/>
      <c r="B63" s="523"/>
      <c r="C63" s="851" t="s">
        <v>352</v>
      </c>
      <c r="D63" s="1195"/>
      <c r="E63" s="1195"/>
      <c r="F63" s="1195"/>
      <c r="G63" s="1195"/>
      <c r="H63" s="963"/>
      <c r="I63" s="963"/>
      <c r="J63" s="963"/>
      <c r="K63" s="963"/>
      <c r="L63" s="963"/>
      <c r="M63" s="963"/>
      <c r="N63" s="963"/>
      <c r="O63" s="963"/>
      <c r="P63" s="963"/>
      <c r="Q63" s="963"/>
      <c r="R63" s="963"/>
      <c r="S63" s="963"/>
      <c r="T63" s="963"/>
      <c r="U63" s="963"/>
      <c r="V63" s="963"/>
      <c r="W63" s="963"/>
      <c r="X63" s="963"/>
      <c r="Y63" s="963"/>
      <c r="Z63" s="963"/>
      <c r="AA63" s="963"/>
      <c r="AB63" s="963"/>
      <c r="AC63" s="963"/>
      <c r="AD63" s="963"/>
      <c r="AE63" s="963"/>
      <c r="AF63" s="963"/>
      <c r="AG63" s="963"/>
      <c r="AH63" s="963"/>
      <c r="AI63" s="963"/>
      <c r="AJ63" s="963"/>
      <c r="AK63" s="963"/>
      <c r="AL63" s="963"/>
      <c r="AM63" s="963"/>
      <c r="AN63" s="963"/>
      <c r="AO63" s="963"/>
      <c r="AP63" s="963"/>
      <c r="AQ63" s="963"/>
      <c r="AR63" s="963"/>
      <c r="AS63" s="963"/>
      <c r="AT63" s="963"/>
      <c r="AU63" s="963"/>
      <c r="AV63" s="963"/>
      <c r="AW63" s="963"/>
      <c r="AX63" s="963"/>
      <c r="AY63" s="963"/>
      <c r="AZ63" s="963"/>
      <c r="BA63" s="963"/>
      <c r="BB63" s="963"/>
      <c r="BC63" s="963"/>
      <c r="BD63" s="963"/>
    </row>
    <row r="64" spans="1:56" ht="14.5" x14ac:dyDescent="0.3">
      <c r="A64" s="49"/>
      <c r="B64" s="523"/>
      <c r="C64" s="851" t="s">
        <v>346</v>
      </c>
      <c r="D64" s="946"/>
      <c r="E64" s="946"/>
      <c r="F64" s="946"/>
      <c r="G64" s="946"/>
      <c r="H64" s="963"/>
      <c r="I64" s="963"/>
      <c r="J64" s="963"/>
      <c r="K64" s="963"/>
      <c r="L64" s="963"/>
      <c r="M64" s="963"/>
      <c r="N64" s="963"/>
      <c r="O64" s="963"/>
      <c r="P64" s="963"/>
      <c r="Q64" s="963"/>
      <c r="R64" s="963"/>
      <c r="S64" s="963"/>
      <c r="T64" s="963"/>
      <c r="U64" s="963"/>
      <c r="V64" s="963"/>
      <c r="W64" s="963"/>
      <c r="X64" s="963"/>
      <c r="Y64" s="963"/>
      <c r="Z64" s="963"/>
      <c r="AA64" s="963"/>
      <c r="AB64" s="963"/>
      <c r="AC64" s="963"/>
      <c r="AD64" s="963"/>
      <c r="AE64" s="963"/>
      <c r="AF64" s="963"/>
      <c r="AG64" s="963"/>
      <c r="AH64" s="963"/>
      <c r="AI64" s="963"/>
      <c r="AJ64" s="963"/>
      <c r="AK64" s="963"/>
      <c r="AL64" s="963"/>
      <c r="AM64" s="963"/>
      <c r="AN64" s="963"/>
      <c r="AO64" s="963"/>
      <c r="AP64" s="963"/>
      <c r="AQ64" s="963"/>
      <c r="AR64" s="963"/>
      <c r="AS64" s="963"/>
      <c r="AT64" s="963"/>
      <c r="AU64" s="963"/>
      <c r="AV64" s="963"/>
      <c r="AW64" s="963"/>
      <c r="AX64" s="963"/>
      <c r="AY64" s="963"/>
      <c r="AZ64" s="963"/>
      <c r="BA64" s="963"/>
      <c r="BB64" s="963"/>
      <c r="BC64" s="963"/>
      <c r="BD64" s="963"/>
    </row>
    <row r="65" spans="1:56" ht="14.5" x14ac:dyDescent="0.3">
      <c r="A65" s="49"/>
      <c r="B65" s="125"/>
      <c r="C65" s="852" t="s">
        <v>347</v>
      </c>
      <c r="D65" s="530">
        <v>5883128.515625</v>
      </c>
      <c r="E65" s="530">
        <v>6149980.078125</v>
      </c>
      <c r="F65" s="530">
        <v>7356140.625</v>
      </c>
      <c r="G65" s="530">
        <v>5691562.890625</v>
      </c>
      <c r="H65" s="946">
        <v>5663629.7211033553</v>
      </c>
      <c r="I65" s="946">
        <v>5384523.8421693873</v>
      </c>
      <c r="J65" s="946">
        <v>6346366.2488586977</v>
      </c>
      <c r="K65" s="946">
        <v>6188711.6780048301</v>
      </c>
      <c r="L65" s="946">
        <v>7283331.3158435822</v>
      </c>
      <c r="M65" s="946">
        <v>7599341.8493898679</v>
      </c>
      <c r="N65" s="946">
        <v>7968271.3390035899</v>
      </c>
      <c r="O65" s="946">
        <v>8298812.7336630048</v>
      </c>
      <c r="P65" s="946">
        <v>8714939.6377006341</v>
      </c>
      <c r="Q65" s="946">
        <v>8029085.363622861</v>
      </c>
      <c r="R65" s="946">
        <v>8290458.2396996208</v>
      </c>
      <c r="S65" s="946">
        <v>8625692.1079929676</v>
      </c>
      <c r="T65" s="946">
        <v>8830656.9556340128</v>
      </c>
      <c r="U65" s="946">
        <v>9000279.0469265487</v>
      </c>
      <c r="V65" s="946">
        <v>9151729.289851306</v>
      </c>
      <c r="W65" s="946">
        <v>9264473.7457832359</v>
      </c>
      <c r="X65" s="946">
        <v>9319428.9689113591</v>
      </c>
      <c r="Y65" s="946">
        <v>9515735.7715111282</v>
      </c>
      <c r="Z65" s="946">
        <v>9703094.6538663786</v>
      </c>
      <c r="AA65" s="946">
        <v>9856000.5544767883</v>
      </c>
      <c r="AB65" s="946">
        <v>10002668.184533734</v>
      </c>
      <c r="AC65" s="946">
        <v>10104603.453648945</v>
      </c>
      <c r="AD65" s="946">
        <v>10243154.413985301</v>
      </c>
      <c r="AE65" s="946">
        <v>10369745.162870528</v>
      </c>
      <c r="AF65" s="946">
        <v>10526874.819144983</v>
      </c>
      <c r="AG65" s="946">
        <v>10671621.059308909</v>
      </c>
      <c r="AH65" s="946">
        <v>10792662.443489116</v>
      </c>
      <c r="AI65" s="946">
        <v>10916619.124978546</v>
      </c>
      <c r="AJ65" s="946">
        <v>11042195.92052694</v>
      </c>
      <c r="AK65" s="946">
        <v>11202086.009455351</v>
      </c>
      <c r="AL65" s="946">
        <v>11334430.577713842</v>
      </c>
      <c r="AM65" s="946">
        <v>11469488.385577837</v>
      </c>
      <c r="AN65" s="946">
        <v>11606683.184968064</v>
      </c>
      <c r="AO65" s="946">
        <v>11746510.778529312</v>
      </c>
      <c r="AP65" s="946">
        <v>11889728.681050548</v>
      </c>
      <c r="AQ65" s="946">
        <v>12026933.534398582</v>
      </c>
      <c r="AR65" s="946">
        <v>12164547.845372442</v>
      </c>
      <c r="AS65" s="946">
        <v>12303313.21285004</v>
      </c>
      <c r="AT65" s="946">
        <v>12442332.916376244</v>
      </c>
      <c r="AU65" s="946">
        <v>12580587.735872157</v>
      </c>
      <c r="AV65" s="946">
        <v>12718002.982292384</v>
      </c>
      <c r="AW65" s="946">
        <v>12855877.568132697</v>
      </c>
      <c r="AX65" s="946">
        <v>12993790.882266922</v>
      </c>
      <c r="AY65" s="946">
        <v>13131421.952693412</v>
      </c>
      <c r="AZ65" s="946">
        <v>13268503.538802946</v>
      </c>
      <c r="BA65" s="946">
        <v>13404881.289325822</v>
      </c>
      <c r="BB65" s="946">
        <v>13540769.248105636</v>
      </c>
      <c r="BC65" s="946">
        <v>13676195.295391232</v>
      </c>
      <c r="BD65" s="946">
        <v>13811044.103467818</v>
      </c>
    </row>
    <row r="66" spans="1:56" ht="14.5" x14ac:dyDescent="0.3">
      <c r="A66" s="49"/>
      <c r="B66" s="125"/>
      <c r="C66" s="852" t="s">
        <v>348</v>
      </c>
      <c r="D66" s="854"/>
      <c r="E66" s="854">
        <v>4.5358785175484265E-2</v>
      </c>
      <c r="F66" s="854">
        <v>0.19612430146972656</v>
      </c>
      <c r="G66" s="854">
        <v>-0.22628411000163554</v>
      </c>
      <c r="H66" s="854">
        <v>-4.9078205860916563E-3</v>
      </c>
      <c r="I66" s="854">
        <v>-4.9280389551948717E-2</v>
      </c>
      <c r="J66" s="854">
        <v>0.17863091238570702</v>
      </c>
      <c r="K66" s="854">
        <v>-2.4841706997641284E-2</v>
      </c>
      <c r="L66" s="854">
        <v>0.17687358771763703</v>
      </c>
      <c r="M66" s="854">
        <v>4.3388185960847536E-2</v>
      </c>
      <c r="N66" s="854">
        <v>4.8547558055089007E-2</v>
      </c>
      <c r="O66" s="854">
        <v>4.1482196149804827E-2</v>
      </c>
      <c r="P66" s="854">
        <v>5.0142944224981376E-2</v>
      </c>
      <c r="Q66" s="854">
        <v>-7.8698683248565812E-2</v>
      </c>
      <c r="R66" s="854">
        <v>3.2553256596442988E-2</v>
      </c>
      <c r="S66" s="854">
        <v>4.0436108427402563E-2</v>
      </c>
      <c r="T66" s="854">
        <v>2.3762133527942094E-2</v>
      </c>
      <c r="U66" s="854">
        <v>1.9208320756284838E-2</v>
      </c>
      <c r="V66" s="854">
        <v>1.6827283035904885E-2</v>
      </c>
      <c r="W66" s="854">
        <v>1.2319470163628683E-2</v>
      </c>
      <c r="X66" s="854">
        <v>5.931823505154441E-3</v>
      </c>
      <c r="Y66" s="854">
        <v>2.1064252247066647E-2</v>
      </c>
      <c r="Z66" s="854">
        <v>1.9689374195969004E-2</v>
      </c>
      <c r="AA66" s="854">
        <v>1.575846738230895E-2</v>
      </c>
      <c r="AB66" s="854">
        <v>1.4881049290356047E-2</v>
      </c>
      <c r="AC66" s="854">
        <v>1.019080781594107E-2</v>
      </c>
      <c r="AD66" s="854">
        <v>1.3711667258582262E-2</v>
      </c>
      <c r="AE66" s="854">
        <v>1.2358570784834507E-2</v>
      </c>
      <c r="AF66" s="854">
        <v>1.5152701807665099E-2</v>
      </c>
      <c r="AG66" s="854">
        <v>1.3750162574430866E-2</v>
      </c>
      <c r="AH66" s="854">
        <v>1.1342361531345961E-2</v>
      </c>
      <c r="AI66" s="854">
        <v>1.1485273642020524E-2</v>
      </c>
      <c r="AJ66" s="854">
        <v>1.1503268009145745E-2</v>
      </c>
      <c r="AK66" s="854">
        <v>1.4479917769905022E-2</v>
      </c>
      <c r="AL66" s="854">
        <v>1.1814278889376698E-2</v>
      </c>
      <c r="AM66" s="854">
        <v>1.1915711772018868E-2</v>
      </c>
      <c r="AN66" s="854">
        <v>1.196171919601405E-2</v>
      </c>
      <c r="AO66" s="854">
        <v>1.2047162081785865E-2</v>
      </c>
      <c r="AP66" s="854">
        <v>1.2192378249293791E-2</v>
      </c>
      <c r="AQ66" s="854">
        <v>1.1539780009169259E-2</v>
      </c>
      <c r="AR66" s="854">
        <v>1.1442177723878297E-2</v>
      </c>
      <c r="AS66" s="854">
        <v>1.1407359257531786E-2</v>
      </c>
      <c r="AT66" s="854">
        <v>1.1299371244243956E-2</v>
      </c>
      <c r="AU66" s="854">
        <v>1.1111647664880079E-2</v>
      </c>
      <c r="AV66" s="854">
        <v>1.0922800214524365E-2</v>
      </c>
      <c r="AW66" s="854">
        <v>1.0840899002168756E-2</v>
      </c>
      <c r="AX66" s="854">
        <v>1.0727646821721951E-2</v>
      </c>
      <c r="AY66" s="854">
        <v>1.0592064446282575E-2</v>
      </c>
      <c r="AZ66" s="854">
        <v>1.0439203507691475E-2</v>
      </c>
      <c r="BA66" s="854">
        <v>1.0278306828200148E-2</v>
      </c>
      <c r="BB66" s="854">
        <v>1.0137199714556219E-2</v>
      </c>
      <c r="BC66" s="854">
        <v>1.0001355521551489E-2</v>
      </c>
      <c r="BD66" s="854">
        <v>9.8601113221913079E-3</v>
      </c>
    </row>
    <row r="67" spans="1:56" ht="14.5" x14ac:dyDescent="0.3">
      <c r="A67" s="944"/>
      <c r="B67" s="125"/>
      <c r="C67" s="852"/>
      <c r="D67" s="852"/>
      <c r="E67" s="852"/>
      <c r="F67" s="852"/>
      <c r="G67" s="852"/>
      <c r="H67" s="852"/>
      <c r="I67" s="946"/>
      <c r="J67" s="946"/>
      <c r="K67" s="946"/>
      <c r="L67" s="946"/>
      <c r="M67" s="946"/>
      <c r="N67" s="946"/>
      <c r="O67" s="946"/>
      <c r="P67" s="946"/>
      <c r="Q67" s="946"/>
      <c r="R67" s="946"/>
      <c r="S67" s="946"/>
      <c r="T67" s="946"/>
      <c r="U67" s="946"/>
      <c r="V67" s="946"/>
      <c r="W67" s="946"/>
      <c r="X67" s="946"/>
      <c r="Y67" s="946"/>
      <c r="Z67" s="946"/>
      <c r="AA67" s="946"/>
      <c r="AB67" s="946"/>
      <c r="AC67" s="946"/>
      <c r="AD67" s="946"/>
      <c r="AE67" s="946"/>
      <c r="AF67" s="946"/>
      <c r="AG67" s="946"/>
      <c r="AH67" s="946"/>
      <c r="AI67" s="946"/>
      <c r="AJ67" s="946"/>
      <c r="AK67" s="946"/>
      <c r="AL67" s="946"/>
      <c r="AM67" s="946"/>
      <c r="AN67" s="946"/>
      <c r="AO67" s="946"/>
      <c r="AP67" s="946"/>
      <c r="AQ67" s="946"/>
      <c r="AR67" s="946"/>
      <c r="AS67" s="946"/>
      <c r="AT67" s="946"/>
      <c r="AU67" s="946"/>
      <c r="AV67" s="946"/>
      <c r="AW67" s="946"/>
      <c r="AX67" s="946"/>
      <c r="AY67" s="946"/>
      <c r="AZ67" s="946"/>
      <c r="BA67" s="946"/>
      <c r="BB67" s="946"/>
      <c r="BC67" s="946"/>
      <c r="BD67" s="946"/>
    </row>
    <row r="68" spans="1:56" ht="14.5" x14ac:dyDescent="0.3">
      <c r="A68" s="944"/>
      <c r="B68" s="125"/>
      <c r="C68" s="851" t="s">
        <v>349</v>
      </c>
      <c r="D68" s="946"/>
      <c r="E68" s="946"/>
      <c r="F68" s="946"/>
      <c r="G68" s="946"/>
      <c r="H68" s="946"/>
      <c r="I68" s="946"/>
      <c r="J68" s="946"/>
      <c r="K68" s="946"/>
      <c r="L68" s="946"/>
      <c r="M68" s="946"/>
      <c r="N68" s="946"/>
      <c r="O68" s="946"/>
      <c r="P68" s="946"/>
      <c r="Q68" s="946"/>
      <c r="R68" s="946"/>
      <c r="S68" s="946"/>
      <c r="T68" s="946"/>
      <c r="U68" s="946"/>
      <c r="V68" s="946"/>
      <c r="W68" s="946"/>
      <c r="X68" s="946"/>
      <c r="Y68" s="946"/>
      <c r="Z68" s="946"/>
      <c r="AA68" s="946"/>
      <c r="AB68" s="946"/>
      <c r="AC68" s="946"/>
      <c r="AD68" s="946"/>
      <c r="AE68" s="946"/>
      <c r="AF68" s="946"/>
      <c r="AG68" s="946"/>
      <c r="AH68" s="946"/>
      <c r="AI68" s="946"/>
      <c r="AJ68" s="946"/>
      <c r="AK68" s="946"/>
      <c r="AL68" s="946"/>
      <c r="AM68" s="946"/>
      <c r="AN68" s="946"/>
      <c r="AO68" s="946"/>
      <c r="AP68" s="946"/>
      <c r="AQ68" s="946"/>
      <c r="AR68" s="946"/>
      <c r="AS68" s="946"/>
      <c r="AT68" s="946"/>
      <c r="AU68" s="946"/>
      <c r="AV68" s="946"/>
      <c r="AW68" s="946"/>
      <c r="AX68" s="946"/>
      <c r="AY68" s="946"/>
      <c r="AZ68" s="946"/>
      <c r="BA68" s="946"/>
      <c r="BB68" s="946"/>
      <c r="BC68" s="946"/>
      <c r="BD68" s="946"/>
    </row>
    <row r="69" spans="1:56" ht="14.5" x14ac:dyDescent="0.3">
      <c r="A69" s="944"/>
      <c r="B69" s="125"/>
      <c r="C69" s="852" t="s">
        <v>347</v>
      </c>
      <c r="D69" s="530">
        <v>4414281.640625</v>
      </c>
      <c r="E69" s="530">
        <v>5379687.890625</v>
      </c>
      <c r="F69" s="530">
        <v>6091101.171875</v>
      </c>
      <c r="G69" s="530">
        <v>6105758.984375</v>
      </c>
      <c r="H69" s="946">
        <v>5339914.7130704345</v>
      </c>
      <c r="I69" s="946">
        <v>5732252.257977277</v>
      </c>
      <c r="J69" s="946">
        <v>6159486.1685790559</v>
      </c>
      <c r="K69" s="946">
        <v>6432632.8675155398</v>
      </c>
      <c r="L69" s="946">
        <v>6441734.1334626516</v>
      </c>
      <c r="M69" s="946">
        <v>6452361.8472088147</v>
      </c>
      <c r="N69" s="946">
        <v>6649623.3525617309</v>
      </c>
      <c r="O69" s="946">
        <v>6796607.5254341122</v>
      </c>
      <c r="P69" s="946">
        <v>6891319.4326182576</v>
      </c>
      <c r="Q69" s="946">
        <v>7008236.0520681608</v>
      </c>
      <c r="R69" s="946">
        <v>7135614.0034271535</v>
      </c>
      <c r="S69" s="946">
        <v>7286203.9759649187</v>
      </c>
      <c r="T69" s="946">
        <v>7418701.1859813137</v>
      </c>
      <c r="U69" s="946">
        <v>7529385.4321487732</v>
      </c>
      <c r="V69" s="946">
        <v>7651449.7003179658</v>
      </c>
      <c r="W69" s="946">
        <v>7775035.9399444414</v>
      </c>
      <c r="X69" s="946">
        <v>7897290.170687695</v>
      </c>
      <c r="Y69" s="946">
        <v>8028461.9350916045</v>
      </c>
      <c r="Z69" s="946">
        <v>8159836.3999892985</v>
      </c>
      <c r="AA69" s="946">
        <v>8283156.8677585563</v>
      </c>
      <c r="AB69" s="946">
        <v>8408472.2476024237</v>
      </c>
      <c r="AC69" s="946">
        <v>8500669.2383911386</v>
      </c>
      <c r="AD69" s="946">
        <v>8624177.1949597336</v>
      </c>
      <c r="AE69" s="946">
        <v>8734315.5411435943</v>
      </c>
      <c r="AF69" s="946">
        <v>8859253.9651400261</v>
      </c>
      <c r="AG69" s="946">
        <v>8978123.5010832958</v>
      </c>
      <c r="AH69" s="946">
        <v>9080493.0516276192</v>
      </c>
      <c r="AI69" s="946">
        <v>9186101.6295221765</v>
      </c>
      <c r="AJ69" s="946">
        <v>9293092.4733359125</v>
      </c>
      <c r="AK69" s="946">
        <v>9428251.9904126208</v>
      </c>
      <c r="AL69" s="946">
        <v>9539195.448174933</v>
      </c>
      <c r="AM69" s="946">
        <v>9651733.7459696848</v>
      </c>
      <c r="AN69" s="946">
        <v>9767045.1947671939</v>
      </c>
      <c r="AO69" s="946">
        <v>9885039.9981567152</v>
      </c>
      <c r="AP69" s="946">
        <v>10005866.600677356</v>
      </c>
      <c r="AQ69" s="946">
        <v>10121465.143512869</v>
      </c>
      <c r="AR69" s="946">
        <v>10237216.154448543</v>
      </c>
      <c r="AS69" s="946">
        <v>10353835.600785714</v>
      </c>
      <c r="AT69" s="946">
        <v>10470716.498733843</v>
      </c>
      <c r="AU69" s="946">
        <v>10587111.389383649</v>
      </c>
      <c r="AV69" s="946">
        <v>10702827.298488801</v>
      </c>
      <c r="AW69" s="946">
        <v>10818890.350273328</v>
      </c>
      <c r="AX69" s="946">
        <v>10934945.22473038</v>
      </c>
      <c r="AY69" s="946">
        <v>11050741.248855406</v>
      </c>
      <c r="AZ69" s="946">
        <v>11166079.356547372</v>
      </c>
      <c r="BA69" s="946">
        <v>11280845.983913349</v>
      </c>
      <c r="BB69" s="946">
        <v>11395217.478203854</v>
      </c>
      <c r="BC69" s="946">
        <v>11509195.498335883</v>
      </c>
      <c r="BD69" s="946">
        <v>11622677.822459757</v>
      </c>
    </row>
    <row r="70" spans="1:56" ht="14.5" x14ac:dyDescent="0.3">
      <c r="A70" s="944"/>
      <c r="B70" s="125"/>
      <c r="C70" s="852" t="s">
        <v>348</v>
      </c>
      <c r="D70" s="854"/>
      <c r="E70" s="854">
        <v>0.21870064680859649</v>
      </c>
      <c r="F70" s="854">
        <v>0.1322406235666117</v>
      </c>
      <c r="G70" s="854">
        <v>2.4064306414217614E-3</v>
      </c>
      <c r="H70" s="854">
        <v>-0.12542982342807937</v>
      </c>
      <c r="I70" s="854">
        <v>7.3472623812984014E-2</v>
      </c>
      <c r="J70" s="854">
        <v>7.4531596198897154E-2</v>
      </c>
      <c r="K70" s="854">
        <v>4.4345695640955807E-2</v>
      </c>
      <c r="L70" s="854">
        <v>1.4148586021553943E-3</v>
      </c>
      <c r="M70" s="854">
        <v>1.649821853242227E-3</v>
      </c>
      <c r="N70" s="854">
        <v>3.0571984340625327E-2</v>
      </c>
      <c r="O70" s="854">
        <v>2.2104135088456767E-2</v>
      </c>
      <c r="P70" s="854">
        <v>1.3935173809833308E-2</v>
      </c>
      <c r="Q70" s="854">
        <v>1.6965781457830707E-2</v>
      </c>
      <c r="R70" s="854">
        <v>1.8175465325743819E-2</v>
      </c>
      <c r="S70" s="854">
        <v>2.1103996441713166E-2</v>
      </c>
      <c r="T70" s="854">
        <v>1.8184669335838656E-2</v>
      </c>
      <c r="U70" s="854">
        <v>1.4919625874218129E-2</v>
      </c>
      <c r="V70" s="854">
        <v>1.6211717313342172E-2</v>
      </c>
      <c r="W70" s="854">
        <v>1.6152003145409141E-2</v>
      </c>
      <c r="X70" s="854">
        <v>1.5723944131906767E-2</v>
      </c>
      <c r="Y70" s="854">
        <v>1.6609718215848085E-2</v>
      </c>
      <c r="Z70" s="854">
        <v>1.6363590680235952E-2</v>
      </c>
      <c r="AA70" s="854">
        <v>1.5113105425669987E-2</v>
      </c>
      <c r="AB70" s="854">
        <v>1.5128939587229868E-2</v>
      </c>
      <c r="AC70" s="854">
        <v>1.0964773156622339E-2</v>
      </c>
      <c r="AD70" s="854">
        <v>1.4529203890301053E-2</v>
      </c>
      <c r="AE70" s="854">
        <v>1.2770881638219276E-2</v>
      </c>
      <c r="AF70" s="854">
        <v>1.4304317654646287E-2</v>
      </c>
      <c r="AG70" s="854">
        <v>1.3417555971530491E-2</v>
      </c>
      <c r="AH70" s="854">
        <v>1.1402109865382398E-2</v>
      </c>
      <c r="AI70" s="854">
        <v>1.1630269115797365E-2</v>
      </c>
      <c r="AJ70" s="854">
        <v>1.1647034632176307E-2</v>
      </c>
      <c r="AK70" s="854">
        <v>1.4544083948859124E-2</v>
      </c>
      <c r="AL70" s="854">
        <v>1.176712903676398E-2</v>
      </c>
      <c r="AM70" s="854">
        <v>1.1797462208019124E-2</v>
      </c>
      <c r="AN70" s="854">
        <v>1.1947226460288564E-2</v>
      </c>
      <c r="AO70" s="854">
        <v>1.2080910965041748E-2</v>
      </c>
      <c r="AP70" s="854">
        <v>1.2223177907542279E-2</v>
      </c>
      <c r="AQ70" s="854">
        <v>1.1553076554877074E-2</v>
      </c>
      <c r="AR70" s="854">
        <v>1.1436191232636074E-2</v>
      </c>
      <c r="AS70" s="854">
        <v>1.1391714756994202E-2</v>
      </c>
      <c r="AT70" s="854">
        <v>1.1288656924324687E-2</v>
      </c>
      <c r="AU70" s="854">
        <v>1.1116229788465919E-2</v>
      </c>
      <c r="AV70" s="854">
        <v>1.0929884918485639E-2</v>
      </c>
      <c r="AW70" s="854">
        <v>1.0844148798039022E-2</v>
      </c>
      <c r="AX70" s="854">
        <v>1.0727058940394933E-2</v>
      </c>
      <c r="AY70" s="854">
        <v>1.0589538561486639E-2</v>
      </c>
      <c r="AZ70" s="854">
        <v>1.0437137662952001E-2</v>
      </c>
      <c r="BA70" s="854">
        <v>1.0278148999423123E-2</v>
      </c>
      <c r="BB70" s="854">
        <v>1.0138556492447466E-2</v>
      </c>
      <c r="BC70" s="854">
        <v>1.0002268087470935E-2</v>
      </c>
      <c r="BD70" s="854">
        <v>9.8601439292853033E-3</v>
      </c>
    </row>
    <row r="71" spans="1:56" ht="14.5" x14ac:dyDescent="0.3">
      <c r="A71" s="944"/>
      <c r="B71" s="125"/>
      <c r="C71" s="852"/>
      <c r="D71" s="946"/>
      <c r="E71" s="946"/>
      <c r="F71" s="946"/>
      <c r="G71" s="946"/>
      <c r="H71" s="946"/>
      <c r="I71" s="946"/>
      <c r="J71" s="946"/>
      <c r="K71" s="946"/>
      <c r="L71" s="946"/>
      <c r="M71" s="946"/>
      <c r="N71" s="946"/>
      <c r="O71" s="946"/>
      <c r="P71" s="946"/>
      <c r="Q71" s="946"/>
      <c r="R71" s="946"/>
      <c r="S71" s="946"/>
      <c r="T71" s="946"/>
      <c r="U71" s="946"/>
      <c r="V71" s="946"/>
      <c r="W71" s="946"/>
      <c r="X71" s="946"/>
      <c r="Y71" s="946"/>
      <c r="Z71" s="946"/>
      <c r="AA71" s="946"/>
      <c r="AB71" s="946"/>
      <c r="AC71" s="946"/>
      <c r="AD71" s="946"/>
      <c r="AE71" s="946"/>
      <c r="AF71" s="946"/>
      <c r="AG71" s="946"/>
      <c r="AH71" s="946"/>
      <c r="AI71" s="946"/>
      <c r="AJ71" s="946"/>
      <c r="AK71" s="946"/>
      <c r="AL71" s="946"/>
      <c r="AM71" s="946"/>
      <c r="AN71" s="946"/>
      <c r="AO71" s="946"/>
      <c r="AP71" s="946"/>
      <c r="AQ71" s="946"/>
      <c r="AR71" s="946"/>
      <c r="AS71" s="946"/>
      <c r="AT71" s="946"/>
      <c r="AU71" s="946"/>
      <c r="AV71" s="946"/>
      <c r="AW71" s="946"/>
      <c r="AX71" s="946"/>
      <c r="AY71" s="946"/>
      <c r="AZ71" s="946"/>
      <c r="BA71" s="946"/>
      <c r="BB71" s="946"/>
      <c r="BC71" s="946"/>
      <c r="BD71" s="946"/>
    </row>
    <row r="72" spans="1:56" ht="14.5" x14ac:dyDescent="0.3">
      <c r="A72" s="944"/>
      <c r="B72" s="125"/>
      <c r="C72" s="851" t="s">
        <v>350</v>
      </c>
      <c r="D72" s="946"/>
      <c r="E72" s="946"/>
      <c r="F72" s="946"/>
      <c r="G72" s="946"/>
      <c r="H72" s="946"/>
      <c r="I72" s="946"/>
      <c r="J72" s="946"/>
      <c r="K72" s="946"/>
      <c r="L72" s="946"/>
      <c r="M72" s="946"/>
      <c r="N72" s="946"/>
      <c r="O72" s="946"/>
      <c r="P72" s="946"/>
      <c r="Q72" s="946"/>
      <c r="R72" s="946"/>
      <c r="S72" s="946"/>
      <c r="T72" s="946"/>
      <c r="U72" s="946"/>
      <c r="V72" s="946"/>
      <c r="W72" s="946"/>
      <c r="X72" s="946"/>
      <c r="Y72" s="946"/>
      <c r="Z72" s="946"/>
      <c r="AA72" s="946"/>
      <c r="AB72" s="946"/>
      <c r="AC72" s="946"/>
      <c r="AD72" s="946"/>
      <c r="AE72" s="946"/>
      <c r="AF72" s="946"/>
      <c r="AG72" s="946"/>
      <c r="AH72" s="946"/>
      <c r="AI72" s="946"/>
      <c r="AJ72" s="946"/>
      <c r="AK72" s="946"/>
      <c r="AL72" s="946"/>
      <c r="AM72" s="946"/>
      <c r="AN72" s="946"/>
      <c r="AO72" s="946"/>
      <c r="AP72" s="946"/>
      <c r="AQ72" s="946"/>
      <c r="AR72" s="946"/>
      <c r="AS72" s="946"/>
      <c r="AT72" s="946"/>
      <c r="AU72" s="946"/>
      <c r="AV72" s="946"/>
      <c r="AW72" s="946"/>
      <c r="AX72" s="946"/>
      <c r="AY72" s="946"/>
      <c r="AZ72" s="946"/>
      <c r="BA72" s="946"/>
      <c r="BB72" s="946"/>
      <c r="BC72" s="946"/>
      <c r="BD72" s="946"/>
    </row>
    <row r="73" spans="1:56" ht="14.5" x14ac:dyDescent="0.3">
      <c r="A73" s="944"/>
      <c r="B73" s="125"/>
      <c r="C73" s="852" t="s">
        <v>347</v>
      </c>
      <c r="D73" s="946">
        <v>26748.703125</v>
      </c>
      <c r="E73" s="946">
        <v>25197.8828125</v>
      </c>
      <c r="F73" s="946">
        <v>27706.87109375</v>
      </c>
      <c r="G73" s="946">
        <v>24418.158203125</v>
      </c>
      <c r="H73" s="946">
        <v>26016.958985094672</v>
      </c>
      <c r="I73" s="946">
        <v>27635.576766436636</v>
      </c>
      <c r="J73" s="946">
        <v>29034.710792491562</v>
      </c>
      <c r="K73" s="946">
        <v>29856.626198576414</v>
      </c>
      <c r="L73" s="946">
        <v>30678.24107815139</v>
      </c>
      <c r="M73" s="946">
        <v>31288.023360321389</v>
      </c>
      <c r="N73" s="946">
        <v>31646.437351715431</v>
      </c>
      <c r="O73" s="946">
        <v>31953.218834321538</v>
      </c>
      <c r="P73" s="946">
        <v>32242.334581549712</v>
      </c>
      <c r="Q73" s="946">
        <v>32533.35848726278</v>
      </c>
      <c r="R73" s="946">
        <v>32822.050855373906</v>
      </c>
      <c r="S73" s="946">
        <v>33171.603962316192</v>
      </c>
      <c r="T73" s="946">
        <v>33646.208903992294</v>
      </c>
      <c r="U73" s="946">
        <v>33942.905574299308</v>
      </c>
      <c r="V73" s="946">
        <v>34229.448204269072</v>
      </c>
      <c r="W73" s="946">
        <v>34463.980390403645</v>
      </c>
      <c r="X73" s="946">
        <v>34750.243146009569</v>
      </c>
      <c r="Y73" s="946">
        <v>35073.603711580523</v>
      </c>
      <c r="Z73" s="946">
        <v>35412.302323515345</v>
      </c>
      <c r="AA73" s="946">
        <v>35721.20684749767</v>
      </c>
      <c r="AB73" s="946">
        <v>36039.680912414166</v>
      </c>
      <c r="AC73" s="946">
        <v>36250.086576703034</v>
      </c>
      <c r="AD73" s="946">
        <v>36537.446393704391</v>
      </c>
      <c r="AE73" s="946">
        <v>36770.169506064965</v>
      </c>
      <c r="AF73" s="946">
        <v>37002.714275563289</v>
      </c>
      <c r="AG73" s="946">
        <v>37337.711528107393</v>
      </c>
      <c r="AH73" s="946">
        <v>37621.054120288383</v>
      </c>
      <c r="AI73" s="946">
        <v>37901.481268640986</v>
      </c>
      <c r="AJ73" s="946">
        <v>38105.402578901208</v>
      </c>
      <c r="AK73" s="946">
        <v>38378.241312032907</v>
      </c>
      <c r="AL73" s="946">
        <v>38659.449124501145</v>
      </c>
      <c r="AM73" s="946">
        <v>38929.371843596477</v>
      </c>
      <c r="AN73" s="946">
        <v>39196.456420443123</v>
      </c>
      <c r="AO73" s="946">
        <v>39460.722754521528</v>
      </c>
      <c r="AP73" s="946">
        <v>39737.518307506834</v>
      </c>
      <c r="AQ73" s="946">
        <v>40015.097884729694</v>
      </c>
      <c r="AR73" s="946">
        <v>40291.879857327847</v>
      </c>
      <c r="AS73" s="946">
        <v>40570.051514371116</v>
      </c>
      <c r="AT73" s="946">
        <v>40850.49389748049</v>
      </c>
      <c r="AU73" s="946">
        <v>41134.267439326199</v>
      </c>
      <c r="AV73" s="946">
        <v>41419.454303467755</v>
      </c>
      <c r="AW73" s="946">
        <v>41706.185515752448</v>
      </c>
      <c r="AX73" s="946">
        <v>41994.949064181121</v>
      </c>
      <c r="AY73" s="946">
        <v>42285.878617178118</v>
      </c>
      <c r="AZ73" s="946">
        <v>42578.952033805203</v>
      </c>
      <c r="BA73" s="946">
        <v>42873.92149821364</v>
      </c>
      <c r="BB73" s="946">
        <v>43170.887365616691</v>
      </c>
      <c r="BC73" s="946">
        <v>43469.943580335181</v>
      </c>
      <c r="BD73" s="946">
        <v>43771.101931693389</v>
      </c>
    </row>
    <row r="74" spans="1:56" ht="14.5" x14ac:dyDescent="0.3">
      <c r="A74" s="944"/>
      <c r="B74" s="125"/>
      <c r="C74" s="852" t="s">
        <v>348</v>
      </c>
      <c r="D74" s="946"/>
      <c r="E74" s="854">
        <v>-5.7977401941799747E-2</v>
      </c>
      <c r="F74" s="854">
        <v>9.9571392561813077E-2</v>
      </c>
      <c r="G74" s="854">
        <v>-0.11869665396345869</v>
      </c>
      <c r="H74" s="854">
        <v>6.5475895793199512E-2</v>
      </c>
      <c r="I74" s="854">
        <v>6.2213949842073506E-2</v>
      </c>
      <c r="J74" s="854">
        <v>5.0628001647288652E-2</v>
      </c>
      <c r="K74" s="854">
        <v>2.8308027999968968E-2</v>
      </c>
      <c r="L74" s="854">
        <v>2.7518677901194045E-2</v>
      </c>
      <c r="M74" s="854">
        <v>1.9876702859743727E-2</v>
      </c>
      <c r="N74" s="854">
        <v>1.1455309505060407E-2</v>
      </c>
      <c r="O74" s="854">
        <v>9.6940290370308678E-3</v>
      </c>
      <c r="P74" s="854">
        <v>9.0480946137930039E-3</v>
      </c>
      <c r="Q74" s="854">
        <v>9.0261424766555961E-3</v>
      </c>
      <c r="R74" s="854">
        <v>8.8737339621469576E-3</v>
      </c>
      <c r="S74" s="854">
        <v>1.0649947149327965E-2</v>
      </c>
      <c r="T74" s="854">
        <v>1.4307566863973933E-2</v>
      </c>
      <c r="U74" s="854">
        <v>8.8181307782289036E-3</v>
      </c>
      <c r="V74" s="854">
        <v>8.4419004537645524E-3</v>
      </c>
      <c r="W74" s="854">
        <v>6.8517664887546197E-3</v>
      </c>
      <c r="X74" s="854">
        <v>8.3061431779839334E-3</v>
      </c>
      <c r="Y74" s="854">
        <v>9.3052749073523084E-3</v>
      </c>
      <c r="Z74" s="854">
        <v>9.6567953130801722E-3</v>
      </c>
      <c r="AA74" s="854">
        <v>8.7230850217043954E-3</v>
      </c>
      <c r="AB74" s="854">
        <v>8.9155460585678848E-3</v>
      </c>
      <c r="AC74" s="854">
        <v>5.8381666807819088E-3</v>
      </c>
      <c r="AD74" s="854">
        <v>7.9271484329650112E-3</v>
      </c>
      <c r="AE74" s="854">
        <v>6.3694410893661638E-3</v>
      </c>
      <c r="AF74" s="854">
        <v>6.3242778758462511E-3</v>
      </c>
      <c r="AG74" s="854">
        <v>9.0533156581255898E-3</v>
      </c>
      <c r="AH74" s="854">
        <v>7.5886437755483043E-3</v>
      </c>
      <c r="AI74" s="854">
        <v>7.4539949746217551E-3</v>
      </c>
      <c r="AJ74" s="854">
        <v>5.3802992240554832E-3</v>
      </c>
      <c r="AK74" s="854">
        <v>7.1601063016394576E-3</v>
      </c>
      <c r="AL74" s="854">
        <v>7.3272719867981326E-3</v>
      </c>
      <c r="AM74" s="854">
        <v>6.9820632525325619E-3</v>
      </c>
      <c r="AN74" s="854">
        <v>6.8607471479296177E-3</v>
      </c>
      <c r="AO74" s="854">
        <v>6.7420975825910655E-3</v>
      </c>
      <c r="AP74" s="854">
        <v>7.0144572542982647E-3</v>
      </c>
      <c r="AQ74" s="854">
        <v>6.9853274448299319E-3</v>
      </c>
      <c r="AR74" s="854">
        <v>6.9169385364362002E-3</v>
      </c>
      <c r="AS74" s="854">
        <v>6.9039135932169281E-3</v>
      </c>
      <c r="AT74" s="854">
        <v>6.9125468822742956E-3</v>
      </c>
      <c r="AU74" s="854">
        <v>6.9466367422111094E-3</v>
      </c>
      <c r="AV74" s="854">
        <v>6.9330726397938795E-3</v>
      </c>
      <c r="AW74" s="854">
        <v>6.9226216787864944E-3</v>
      </c>
      <c r="AX74" s="854">
        <v>6.9237583072565296E-3</v>
      </c>
      <c r="AY74" s="854">
        <v>6.9277272500644655E-3</v>
      </c>
      <c r="AZ74" s="854">
        <v>6.9307633236223567E-3</v>
      </c>
      <c r="BA74" s="854">
        <v>6.9275886399047344E-3</v>
      </c>
      <c r="BB74" s="854">
        <v>6.9264918399270722E-3</v>
      </c>
      <c r="BC74" s="854">
        <v>6.9272658721551417E-3</v>
      </c>
      <c r="BD74" s="854">
        <v>6.9279673851347116E-3</v>
      </c>
    </row>
    <row r="75" spans="1:56" ht="14.5" x14ac:dyDescent="0.3">
      <c r="A75" s="944"/>
      <c r="B75" s="125"/>
      <c r="C75" s="853"/>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row>
    <row r="76" spans="1:56" ht="14.5" x14ac:dyDescent="0.3">
      <c r="A76" s="49"/>
      <c r="B76" s="523"/>
      <c r="C76" s="851" t="s">
        <v>353</v>
      </c>
      <c r="D76" s="1195"/>
      <c r="E76" s="1195"/>
      <c r="F76" s="1195"/>
      <c r="G76" s="1195"/>
      <c r="H76" s="963"/>
      <c r="I76" s="963"/>
      <c r="J76" s="963"/>
      <c r="K76" s="963"/>
      <c r="L76" s="963"/>
      <c r="M76" s="963"/>
      <c r="N76" s="963"/>
      <c r="O76" s="963"/>
      <c r="P76" s="963"/>
      <c r="Q76" s="963"/>
      <c r="R76" s="963"/>
      <c r="S76" s="963"/>
      <c r="T76" s="963"/>
      <c r="U76" s="963"/>
      <c r="V76" s="963"/>
      <c r="W76" s="963"/>
      <c r="X76" s="963"/>
      <c r="Y76" s="963"/>
      <c r="Z76" s="963"/>
      <c r="AA76" s="963"/>
      <c r="AB76" s="963"/>
      <c r="AC76" s="963"/>
      <c r="AD76" s="963"/>
      <c r="AE76" s="963"/>
      <c r="AF76" s="963"/>
      <c r="AG76" s="963"/>
      <c r="AH76" s="963"/>
      <c r="AI76" s="963"/>
      <c r="AJ76" s="963"/>
      <c r="AK76" s="963"/>
      <c r="AL76" s="963"/>
      <c r="AM76" s="963"/>
      <c r="AN76" s="963"/>
      <c r="AO76" s="963"/>
      <c r="AP76" s="963"/>
      <c r="AQ76" s="963"/>
      <c r="AR76" s="963"/>
      <c r="AS76" s="963"/>
      <c r="AT76" s="963"/>
      <c r="AU76" s="963"/>
      <c r="AV76" s="963"/>
      <c r="AW76" s="963"/>
      <c r="AX76" s="963"/>
      <c r="AY76" s="963"/>
      <c r="AZ76" s="963"/>
      <c r="BA76" s="963"/>
      <c r="BB76" s="963"/>
      <c r="BC76" s="963"/>
      <c r="BD76" s="963"/>
    </row>
    <row r="77" spans="1:56" ht="14.5" x14ac:dyDescent="0.3">
      <c r="A77" s="944"/>
      <c r="B77" s="125"/>
      <c r="C77" s="851" t="s">
        <v>354</v>
      </c>
      <c r="D77" s="946"/>
      <c r="E77" s="946"/>
      <c r="F77" s="946"/>
      <c r="G77" s="946"/>
      <c r="H77" s="946"/>
      <c r="I77" s="946"/>
      <c r="J77" s="946"/>
      <c r="K77" s="946"/>
      <c r="L77" s="946"/>
      <c r="M77" s="946"/>
      <c r="N77" s="946"/>
      <c r="O77" s="946"/>
      <c r="P77" s="946"/>
      <c r="Q77" s="946"/>
      <c r="R77" s="946"/>
      <c r="S77" s="946"/>
      <c r="T77" s="946"/>
      <c r="U77" s="946"/>
      <c r="V77" s="946"/>
      <c r="W77" s="946"/>
      <c r="X77" s="946"/>
      <c r="Y77" s="946"/>
      <c r="Z77" s="946"/>
      <c r="AA77" s="946"/>
      <c r="AB77" s="946"/>
      <c r="AC77" s="946"/>
      <c r="AD77" s="946"/>
      <c r="AE77" s="946"/>
      <c r="AF77" s="946"/>
      <c r="AG77" s="946"/>
      <c r="AH77" s="946"/>
      <c r="AI77" s="946"/>
      <c r="AJ77" s="946"/>
      <c r="AK77" s="946"/>
      <c r="AL77" s="946"/>
      <c r="AM77" s="946"/>
      <c r="AN77" s="946"/>
      <c r="AO77" s="946"/>
      <c r="AP77" s="946"/>
      <c r="AQ77" s="946"/>
      <c r="AR77" s="946"/>
      <c r="AS77" s="946"/>
      <c r="AT77" s="946"/>
      <c r="AU77" s="946"/>
      <c r="AV77" s="946"/>
      <c r="AW77" s="946"/>
      <c r="AX77" s="946"/>
      <c r="AY77" s="946"/>
      <c r="AZ77" s="946"/>
      <c r="BA77" s="946"/>
      <c r="BB77" s="946"/>
      <c r="BC77" s="946"/>
      <c r="BD77" s="946"/>
    </row>
    <row r="78" spans="1:56" ht="14.5" x14ac:dyDescent="0.3">
      <c r="A78" s="944"/>
      <c r="B78" s="125"/>
      <c r="C78" s="852" t="s">
        <v>347</v>
      </c>
      <c r="D78" s="530">
        <v>790705.76447759371</v>
      </c>
      <c r="E78" s="946">
        <v>889438.39959305874</v>
      </c>
      <c r="F78" s="946">
        <v>987993.29843976919</v>
      </c>
      <c r="G78" s="946">
        <v>941721.5625</v>
      </c>
      <c r="H78" s="946">
        <v>1093434.5588050794</v>
      </c>
      <c r="I78" s="946">
        <v>1098322.827130697</v>
      </c>
      <c r="J78" s="946">
        <v>1146286.6097463218</v>
      </c>
      <c r="K78" s="946">
        <v>1324043.0240314533</v>
      </c>
      <c r="L78" s="946">
        <v>1457120.081384365</v>
      </c>
      <c r="M78" s="946">
        <v>1678994.8906578724</v>
      </c>
      <c r="N78" s="946">
        <v>1897921.1726259184</v>
      </c>
      <c r="O78" s="946">
        <v>2111850.0156789282</v>
      </c>
      <c r="P78" s="946">
        <v>2343327.2019639662</v>
      </c>
      <c r="Q78" s="946">
        <v>2046011.9613005451</v>
      </c>
      <c r="R78" s="946">
        <v>2173711.4347628062</v>
      </c>
      <c r="S78" s="946">
        <v>2290839.7166798562</v>
      </c>
      <c r="T78" s="946">
        <v>2371854.5435561477</v>
      </c>
      <c r="U78" s="946">
        <v>2420654.2528515509</v>
      </c>
      <c r="V78" s="946">
        <v>2431158.0223348713</v>
      </c>
      <c r="W78" s="946">
        <v>2509450.8441034299</v>
      </c>
      <c r="X78" s="946">
        <v>2578767.2865420142</v>
      </c>
      <c r="Y78" s="946">
        <v>2644214.4626889178</v>
      </c>
      <c r="Z78" s="946">
        <v>2698634.8998837559</v>
      </c>
      <c r="AA78" s="946">
        <v>2754984.8144840482</v>
      </c>
      <c r="AB78" s="946">
        <v>2821706.2957531097</v>
      </c>
      <c r="AC78" s="946">
        <v>2872302.9813725934</v>
      </c>
      <c r="AD78" s="946">
        <v>2934370.4274603231</v>
      </c>
      <c r="AE78" s="946">
        <v>2987744.5371609051</v>
      </c>
      <c r="AF78" s="946">
        <v>3055880.7148039746</v>
      </c>
      <c r="AG78" s="946">
        <v>3113180.6636840128</v>
      </c>
      <c r="AH78" s="946">
        <v>3168965.4450348709</v>
      </c>
      <c r="AI78" s="946">
        <v>3226527.2987762988</v>
      </c>
      <c r="AJ78" s="946">
        <v>3284651.6803167309</v>
      </c>
      <c r="AK78" s="946">
        <v>3350887.4314157204</v>
      </c>
      <c r="AL78" s="946">
        <v>3411292.0338419056</v>
      </c>
      <c r="AM78" s="946">
        <v>3471543.1800921266</v>
      </c>
      <c r="AN78" s="946">
        <v>3533722.1810133602</v>
      </c>
      <c r="AO78" s="946">
        <v>3596530.6155843721</v>
      </c>
      <c r="AP78" s="946">
        <v>3661103.6592609417</v>
      </c>
      <c r="AQ78" s="946">
        <v>3723640.3014196539</v>
      </c>
      <c r="AR78" s="946">
        <v>3786749.8077599737</v>
      </c>
      <c r="AS78" s="946">
        <v>3850442.2946820175</v>
      </c>
      <c r="AT78" s="946">
        <v>3914431.1037730062</v>
      </c>
      <c r="AU78" s="946">
        <v>3978437.4900292526</v>
      </c>
      <c r="AV78" s="946">
        <v>4042621.926102276</v>
      </c>
      <c r="AW78" s="946">
        <v>4107050.5875794259</v>
      </c>
      <c r="AX78" s="946">
        <v>4171738.7454995648</v>
      </c>
      <c r="AY78" s="946">
        <v>4236499.9357351586</v>
      </c>
      <c r="AZ78" s="946">
        <v>4301315.5751782665</v>
      </c>
      <c r="BA78" s="946">
        <v>4366093.4899444571</v>
      </c>
      <c r="BB78" s="946">
        <v>4430959.313022892</v>
      </c>
      <c r="BC78" s="946">
        <v>4495861.53862275</v>
      </c>
      <c r="BD78" s="946">
        <v>4560750.0228232201</v>
      </c>
    </row>
    <row r="79" spans="1:56" ht="14.5" x14ac:dyDescent="0.3">
      <c r="A79" s="944"/>
      <c r="B79" s="125"/>
      <c r="C79" s="852" t="s">
        <v>348</v>
      </c>
      <c r="D79" s="946"/>
      <c r="E79" s="854">
        <v>0.12486646683383681</v>
      </c>
      <c r="F79" s="854">
        <v>0.11080576113174548</v>
      </c>
      <c r="G79" s="854">
        <v>-4.6834058503069945E-2</v>
      </c>
      <c r="H79" s="854">
        <v>0.16110175485663197</v>
      </c>
      <c r="I79" s="854">
        <v>4.4705632232435611E-3</v>
      </c>
      <c r="J79" s="854">
        <v>4.367002253875335E-2</v>
      </c>
      <c r="K79" s="854">
        <v>0.15507152641735017</v>
      </c>
      <c r="L79" s="854">
        <v>0.1005081065626689</v>
      </c>
      <c r="M79" s="854">
        <v>0.15226940600716382</v>
      </c>
      <c r="N79" s="854">
        <v>0.13039127348521301</v>
      </c>
      <c r="O79" s="854">
        <v>0.11271745430661011</v>
      </c>
      <c r="P79" s="854">
        <v>0.10960872437270198</v>
      </c>
      <c r="Q79" s="921">
        <v>-0.126877390581323</v>
      </c>
      <c r="R79" s="854">
        <v>6.2413845020284735E-2</v>
      </c>
      <c r="S79" s="854">
        <v>5.3884006885132375E-2</v>
      </c>
      <c r="T79" s="854">
        <v>3.536468583393839E-2</v>
      </c>
      <c r="U79" s="854">
        <v>2.0574494936033163E-2</v>
      </c>
      <c r="V79" s="854">
        <v>4.3392274922975415E-3</v>
      </c>
      <c r="W79" s="854">
        <v>3.2203921361461552E-2</v>
      </c>
      <c r="X79" s="854">
        <v>2.7622155899750044E-2</v>
      </c>
      <c r="Y79" s="854">
        <v>2.5379248638858227E-2</v>
      </c>
      <c r="Z79" s="854">
        <v>2.0580946803950884E-2</v>
      </c>
      <c r="AA79" s="854">
        <v>2.0880895968076119E-2</v>
      </c>
      <c r="AB79" s="854">
        <v>2.4218457001388999E-2</v>
      </c>
      <c r="AC79" s="854">
        <v>1.7931237455732264E-2</v>
      </c>
      <c r="AD79" s="854">
        <v>2.1608948112454819E-2</v>
      </c>
      <c r="AE79" s="854">
        <v>1.8189288305627081E-2</v>
      </c>
      <c r="AF79" s="854">
        <v>2.2805222064874304E-2</v>
      </c>
      <c r="AG79" s="854">
        <v>1.8750715171064469E-2</v>
      </c>
      <c r="AH79" s="854">
        <v>1.7918902684190701E-2</v>
      </c>
      <c r="AI79" s="854">
        <v>1.8164241529239674E-2</v>
      </c>
      <c r="AJ79" s="854">
        <v>1.8014532702846343E-2</v>
      </c>
      <c r="AK79" s="854">
        <v>2.0165228324180346E-2</v>
      </c>
      <c r="AL79" s="854">
        <v>1.8026449310075708E-2</v>
      </c>
      <c r="AM79" s="854">
        <v>1.7662265690681484E-2</v>
      </c>
      <c r="AN79" s="854">
        <v>1.791105502527077E-2</v>
      </c>
      <c r="AO79" s="854">
        <v>1.7774015996073703E-2</v>
      </c>
      <c r="AP79" s="854">
        <v>1.7954259417885594E-2</v>
      </c>
      <c r="AQ79" s="854">
        <v>1.7081363429992689E-2</v>
      </c>
      <c r="AR79" s="854">
        <v>1.6948335830466489E-2</v>
      </c>
      <c r="AS79" s="854">
        <v>1.6819829710302592E-2</v>
      </c>
      <c r="AT79" s="854">
        <v>1.661856072466426E-2</v>
      </c>
      <c r="AU79" s="854">
        <v>1.6351389144275006E-2</v>
      </c>
      <c r="AV79" s="854">
        <v>1.6133076423566334E-2</v>
      </c>
      <c r="AW79" s="854">
        <v>1.593734528107834E-2</v>
      </c>
      <c r="AX79" s="854">
        <v>1.575051403451648E-2</v>
      </c>
      <c r="AY79" s="854">
        <v>1.552378856548906E-2</v>
      </c>
      <c r="AZ79" s="854">
        <v>1.5299336817258901E-2</v>
      </c>
      <c r="BA79" s="854">
        <v>1.5060023761103805E-2</v>
      </c>
      <c r="BB79" s="854">
        <v>1.4856718764228775E-2</v>
      </c>
      <c r="BC79" s="854">
        <v>1.4647443367197236E-2</v>
      </c>
      <c r="BD79" s="854">
        <v>1.4432936522406318E-2</v>
      </c>
    </row>
    <row r="80" spans="1:56" ht="14.5" x14ac:dyDescent="0.3">
      <c r="A80" s="944"/>
      <c r="B80" s="125"/>
      <c r="C80" s="852"/>
      <c r="D80" s="946"/>
      <c r="E80" s="946"/>
      <c r="F80" s="946"/>
      <c r="G80" s="946"/>
      <c r="H80" s="946"/>
      <c r="I80" s="946"/>
      <c r="J80" s="946"/>
      <c r="K80" s="946"/>
      <c r="L80" s="946"/>
      <c r="M80" s="946"/>
      <c r="N80" s="946"/>
      <c r="O80" s="946"/>
      <c r="P80" s="946"/>
      <c r="Q80" s="946"/>
      <c r="R80" s="946"/>
      <c r="S80" s="946"/>
      <c r="T80" s="946"/>
      <c r="U80" s="946"/>
      <c r="V80" s="946"/>
      <c r="W80" s="946"/>
      <c r="X80" s="946"/>
      <c r="Y80" s="946"/>
      <c r="Z80" s="946"/>
      <c r="AA80" s="946"/>
      <c r="AB80" s="946"/>
      <c r="AC80" s="946"/>
      <c r="AD80" s="946"/>
      <c r="AE80" s="946"/>
      <c r="AF80" s="946"/>
      <c r="AG80" s="946"/>
      <c r="AH80" s="946"/>
      <c r="AI80" s="946"/>
      <c r="AJ80" s="946"/>
      <c r="AK80" s="946"/>
      <c r="AL80" s="946"/>
      <c r="AM80" s="946"/>
      <c r="AN80" s="946"/>
      <c r="AO80" s="946"/>
      <c r="AP80" s="946"/>
      <c r="AQ80" s="946"/>
      <c r="AR80" s="946"/>
      <c r="AS80" s="946"/>
      <c r="AT80" s="946"/>
      <c r="AU80" s="946"/>
      <c r="AV80" s="946"/>
      <c r="AW80" s="946"/>
      <c r="AX80" s="946"/>
      <c r="AY80" s="946"/>
      <c r="AZ80" s="946"/>
      <c r="BA80" s="946"/>
      <c r="BB80" s="946"/>
      <c r="BC80" s="946"/>
      <c r="BD80" s="946"/>
    </row>
    <row r="81" spans="1:63" ht="14.5" x14ac:dyDescent="0.3">
      <c r="A81" s="49"/>
      <c r="B81" s="523"/>
      <c r="C81" s="851" t="s">
        <v>355</v>
      </c>
      <c r="D81" s="963"/>
      <c r="E81" s="963"/>
      <c r="F81" s="963"/>
      <c r="G81" s="963"/>
      <c r="H81" s="963"/>
      <c r="I81" s="963"/>
      <c r="J81" s="963"/>
      <c r="K81" s="963"/>
      <c r="L81" s="963"/>
      <c r="M81" s="963"/>
      <c r="N81" s="963"/>
      <c r="O81" s="963"/>
      <c r="P81" s="963"/>
      <c r="Q81" s="963"/>
      <c r="R81" s="963"/>
      <c r="S81" s="963"/>
      <c r="T81" s="963"/>
      <c r="U81" s="963"/>
      <c r="V81" s="963"/>
      <c r="W81" s="963"/>
      <c r="X81" s="963"/>
      <c r="Y81" s="963"/>
      <c r="Z81" s="963"/>
      <c r="AA81" s="963"/>
      <c r="AB81" s="963"/>
      <c r="AC81" s="963"/>
      <c r="AD81" s="963"/>
      <c r="AE81" s="963"/>
      <c r="AF81" s="963"/>
      <c r="AG81" s="963"/>
      <c r="AH81" s="963"/>
      <c r="AI81" s="963"/>
      <c r="AJ81" s="963"/>
      <c r="AK81" s="963"/>
      <c r="AL81" s="963"/>
      <c r="AM81" s="963"/>
      <c r="AN81" s="963"/>
      <c r="AO81" s="963"/>
      <c r="AP81" s="963"/>
      <c r="AQ81" s="963"/>
      <c r="AR81" s="963"/>
      <c r="AS81" s="963"/>
      <c r="AT81" s="963"/>
      <c r="AU81" s="963"/>
      <c r="AV81" s="963"/>
      <c r="AW81" s="963"/>
      <c r="AX81" s="963"/>
      <c r="AY81" s="963"/>
      <c r="AZ81" s="963"/>
      <c r="BA81" s="963"/>
      <c r="BB81" s="963"/>
      <c r="BC81" s="963"/>
      <c r="BD81" s="963"/>
    </row>
    <row r="82" spans="1:63" ht="14.5" x14ac:dyDescent="0.3">
      <c r="A82" s="533"/>
      <c r="B82" s="534"/>
      <c r="C82" s="535" t="s">
        <v>347</v>
      </c>
      <c r="D82" s="530">
        <v>1498460.7213370022</v>
      </c>
      <c r="E82" s="530">
        <v>1487939.5890042796</v>
      </c>
      <c r="F82" s="530">
        <v>1630352.8697171921</v>
      </c>
      <c r="G82" s="530">
        <v>1851563.25</v>
      </c>
      <c r="H82" s="530">
        <v>2113300.6912892545</v>
      </c>
      <c r="I82" s="530">
        <v>2263283.0127890003</v>
      </c>
      <c r="J82" s="530">
        <v>2478648.5020966362</v>
      </c>
      <c r="K82" s="530">
        <v>2868643.589542788</v>
      </c>
      <c r="L82" s="530">
        <v>2639155.2119954093</v>
      </c>
      <c r="M82" s="530">
        <v>2553054.0754996403</v>
      </c>
      <c r="N82" s="530">
        <v>2684920.5588059812</v>
      </c>
      <c r="O82" s="530">
        <v>2795622.3822670537</v>
      </c>
      <c r="P82" s="530">
        <v>2926119.6119687008</v>
      </c>
      <c r="Q82" s="530">
        <v>3055474.2989292657</v>
      </c>
      <c r="R82" s="530">
        <v>3050542.61884224</v>
      </c>
      <c r="S82" s="530">
        <v>3141996.5921183587</v>
      </c>
      <c r="T82" s="530">
        <v>3171445.1206731275</v>
      </c>
      <c r="U82" s="530">
        <v>3184012.847741886</v>
      </c>
      <c r="V82" s="530">
        <v>3223634.80337452</v>
      </c>
      <c r="W82" s="530">
        <v>3205274.8394249817</v>
      </c>
      <c r="X82" s="530">
        <v>3221109.1046875292</v>
      </c>
      <c r="Y82" s="530">
        <v>3273976.1667450913</v>
      </c>
      <c r="Z82" s="530">
        <v>3270881.7763753515</v>
      </c>
      <c r="AA82" s="530">
        <v>3283564.7969427197</v>
      </c>
      <c r="AB82" s="530">
        <v>3287341.7468238906</v>
      </c>
      <c r="AC82" s="530">
        <v>3237716.4044228191</v>
      </c>
      <c r="AD82" s="530">
        <v>3273393.9473691764</v>
      </c>
      <c r="AE82" s="530">
        <v>3268449.3862376958</v>
      </c>
      <c r="AF82" s="530">
        <v>3325358.9219926796</v>
      </c>
      <c r="AG82" s="530">
        <v>3325732.9966045702</v>
      </c>
      <c r="AH82" s="530">
        <v>3318784.6676511816</v>
      </c>
      <c r="AI82" s="530">
        <v>3342859.1241147104</v>
      </c>
      <c r="AJ82" s="530">
        <v>3356042.9050837583</v>
      </c>
      <c r="AK82" s="530">
        <v>3373919.1192525998</v>
      </c>
      <c r="AL82" s="530">
        <v>3383735.648649774</v>
      </c>
      <c r="AM82" s="530">
        <v>3395473.6294477</v>
      </c>
      <c r="AN82" s="530">
        <v>3411026.8755340427</v>
      </c>
      <c r="AO82" s="530">
        <v>3424827.5460982425</v>
      </c>
      <c r="AP82" s="530">
        <v>3438753.9434683458</v>
      </c>
      <c r="AQ82" s="530">
        <v>3451870.2189637865</v>
      </c>
      <c r="AR82" s="530">
        <v>3465661.1179601303</v>
      </c>
      <c r="AS82" s="530">
        <v>3479871.8784828843</v>
      </c>
      <c r="AT82" s="530">
        <v>3493806.7478376837</v>
      </c>
      <c r="AU82" s="530">
        <v>3507768.4344357694</v>
      </c>
      <c r="AV82" s="530">
        <v>3521736.6774350652</v>
      </c>
      <c r="AW82" s="530">
        <v>3535878.7578459806</v>
      </c>
      <c r="AX82" s="530">
        <v>3550092.0960832001</v>
      </c>
      <c r="AY82" s="530">
        <v>3564305.2697387696</v>
      </c>
      <c r="AZ82" s="530">
        <v>3578574.7676527295</v>
      </c>
      <c r="BA82" s="530">
        <v>3592906.6316879475</v>
      </c>
      <c r="BB82" s="530">
        <v>3607312.291732294</v>
      </c>
      <c r="BC82" s="530">
        <v>3621771.2501861546</v>
      </c>
      <c r="BD82" s="530">
        <v>3636279.8253634251</v>
      </c>
      <c r="BE82" s="855"/>
      <c r="BF82" s="855"/>
      <c r="BG82" s="855"/>
      <c r="BH82" s="855"/>
      <c r="BI82" s="855"/>
      <c r="BJ82" s="855"/>
      <c r="BK82" s="855"/>
    </row>
    <row r="83" spans="1:63" ht="14.5" x14ac:dyDescent="0.3">
      <c r="A83" s="944"/>
      <c r="B83" s="125"/>
      <c r="C83" s="852" t="s">
        <v>348</v>
      </c>
      <c r="D83" s="946"/>
      <c r="E83" s="854">
        <v>-7.0212933731991127E-3</v>
      </c>
      <c r="F83" s="854">
        <v>9.5711735721888208E-2</v>
      </c>
      <c r="G83" s="854">
        <v>0.13568251658377486</v>
      </c>
      <c r="H83" s="854">
        <v>0.14136024858413801</v>
      </c>
      <c r="I83" s="854">
        <v>7.0970648955897803E-2</v>
      </c>
      <c r="J83" s="854">
        <v>9.5156234589612879E-2</v>
      </c>
      <c r="K83" s="854">
        <v>0.15734182846670805</v>
      </c>
      <c r="L83" s="854">
        <v>-7.9998915997771314E-2</v>
      </c>
      <c r="M83" s="854">
        <v>-3.2624506548316945E-2</v>
      </c>
      <c r="N83" s="854">
        <v>5.1650485812970576E-2</v>
      </c>
      <c r="O83" s="854">
        <v>4.1230949309838442E-2</v>
      </c>
      <c r="P83" s="854">
        <v>4.6679133251116327E-2</v>
      </c>
      <c r="Q83" s="854">
        <v>4.4206903378613001E-2</v>
      </c>
      <c r="R83" s="854">
        <v>-1.6140473146031562E-3</v>
      </c>
      <c r="S83" s="854">
        <v>2.997957566999274E-2</v>
      </c>
      <c r="T83" s="854">
        <v>9.3725526719665667E-3</v>
      </c>
      <c r="U83" s="854">
        <v>3.9627761448040181E-3</v>
      </c>
      <c r="V83" s="854">
        <v>1.2444031330066408E-2</v>
      </c>
      <c r="W83" s="854">
        <v>-5.6954230455382171E-3</v>
      </c>
      <c r="X83" s="854">
        <v>4.9400647544433482E-3</v>
      </c>
      <c r="Y83" s="854">
        <v>1.6412689027089214E-2</v>
      </c>
      <c r="Z83" s="854">
        <v>-9.451474940992676E-4</v>
      </c>
      <c r="AA83" s="854">
        <v>3.8775539547085129E-3</v>
      </c>
      <c r="AB83" s="854">
        <v>1.1502589760639232E-3</v>
      </c>
      <c r="AC83" s="854">
        <v>-1.5095887870197141E-2</v>
      </c>
      <c r="AD83" s="854">
        <v>1.1019353917971528E-2</v>
      </c>
      <c r="AE83" s="854">
        <v>-1.5105304191860422E-3</v>
      </c>
      <c r="AF83" s="854">
        <v>1.7411784314179699E-2</v>
      </c>
      <c r="AG83" s="854">
        <v>1.1249149961425394E-4</v>
      </c>
      <c r="AH83" s="854">
        <v>-2.0892624153780706E-3</v>
      </c>
      <c r="AI83" s="854">
        <v>7.2539977354322055E-3</v>
      </c>
      <c r="AJ83" s="854">
        <v>3.9438637643874333E-3</v>
      </c>
      <c r="AK83" s="854">
        <v>5.3265749796471513E-3</v>
      </c>
      <c r="AL83" s="854">
        <v>2.9095331127406625E-3</v>
      </c>
      <c r="AM83" s="854">
        <v>3.4689414353659153E-3</v>
      </c>
      <c r="AN83" s="854">
        <v>4.5805822055147525E-3</v>
      </c>
      <c r="AO83" s="854">
        <v>4.0458990995311684E-3</v>
      </c>
      <c r="AP83" s="854">
        <v>4.0663061665598375E-3</v>
      </c>
      <c r="AQ83" s="854">
        <v>3.8142524039424448E-3</v>
      </c>
      <c r="AR83" s="854">
        <v>3.9951962621826822E-3</v>
      </c>
      <c r="AS83" s="854">
        <v>4.1004472275460993E-3</v>
      </c>
      <c r="AT83" s="854">
        <v>4.0044202319524935E-3</v>
      </c>
      <c r="AU83" s="854">
        <v>3.9961244584368278E-3</v>
      </c>
      <c r="AV83" s="854">
        <v>3.9820881168122265E-3</v>
      </c>
      <c r="AW83" s="854">
        <v>4.0156552593862077E-3</v>
      </c>
      <c r="AX83" s="854">
        <v>4.0197470588267861E-3</v>
      </c>
      <c r="AY83" s="854">
        <v>4.0036070250827806E-3</v>
      </c>
      <c r="AZ83" s="854">
        <v>4.0034443837089527E-3</v>
      </c>
      <c r="BA83" s="854">
        <v>4.0049083687634188E-3</v>
      </c>
      <c r="BB83" s="854">
        <v>4.0094724191534837E-3</v>
      </c>
      <c r="BC83" s="854">
        <v>4.0082358511070735E-3</v>
      </c>
      <c r="BD83" s="854">
        <v>4.0059336095632017E-3</v>
      </c>
    </row>
    <row r="84" spans="1:63" ht="14.5" x14ac:dyDescent="0.3">
      <c r="A84" s="944"/>
      <c r="B84" s="125"/>
      <c r="C84" s="853"/>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row>
    <row r="85" spans="1:63" ht="14.5" x14ac:dyDescent="0.3">
      <c r="A85" s="49"/>
      <c r="B85" s="523"/>
      <c r="C85" s="851" t="s">
        <v>356</v>
      </c>
      <c r="D85" s="1195"/>
      <c r="E85" s="1195"/>
      <c r="F85" s="1195"/>
      <c r="G85" s="1195"/>
      <c r="H85" s="963"/>
      <c r="I85" s="963"/>
      <c r="J85" s="963"/>
      <c r="K85" s="963"/>
      <c r="L85" s="963"/>
      <c r="M85" s="963"/>
      <c r="N85" s="963"/>
      <c r="O85" s="963"/>
      <c r="P85" s="963"/>
      <c r="Q85" s="963"/>
      <c r="R85" s="963"/>
      <c r="S85" s="963"/>
      <c r="T85" s="963"/>
      <c r="U85" s="963"/>
      <c r="V85" s="963"/>
      <c r="W85" s="963"/>
      <c r="X85" s="963"/>
      <c r="Y85" s="963"/>
      <c r="Z85" s="963"/>
      <c r="AA85" s="963"/>
      <c r="AB85" s="963"/>
      <c r="AC85" s="963"/>
      <c r="AD85" s="963"/>
      <c r="AE85" s="963"/>
      <c r="AF85" s="963"/>
      <c r="AG85" s="963"/>
      <c r="AH85" s="963"/>
      <c r="AI85" s="963"/>
      <c r="AJ85" s="963"/>
      <c r="AK85" s="963"/>
      <c r="AL85" s="963"/>
      <c r="AM85" s="963"/>
      <c r="AN85" s="963"/>
      <c r="AO85" s="963"/>
      <c r="AP85" s="963"/>
      <c r="AQ85" s="963"/>
      <c r="AR85" s="963"/>
      <c r="AS85" s="963"/>
      <c r="AT85" s="963"/>
      <c r="AU85" s="963"/>
      <c r="AV85" s="963"/>
      <c r="AW85" s="963"/>
      <c r="AX85" s="963"/>
      <c r="AY85" s="963"/>
      <c r="AZ85" s="963"/>
      <c r="BA85" s="963"/>
      <c r="BB85" s="963"/>
      <c r="BC85" s="963"/>
      <c r="BD85" s="963"/>
    </row>
    <row r="86" spans="1:63" ht="14.5" x14ac:dyDescent="0.3">
      <c r="A86" s="944"/>
      <c r="B86" s="125"/>
      <c r="C86" s="851" t="s">
        <v>354</v>
      </c>
      <c r="D86" s="946"/>
      <c r="E86" s="946"/>
      <c r="F86" s="946"/>
      <c r="G86" s="946"/>
      <c r="H86" s="946"/>
      <c r="I86" s="946"/>
      <c r="J86" s="946"/>
      <c r="K86" s="946"/>
      <c r="L86" s="946"/>
      <c r="M86" s="946"/>
      <c r="N86" s="946"/>
      <c r="O86" s="946"/>
      <c r="P86" s="946"/>
      <c r="Q86" s="946"/>
      <c r="R86" s="946"/>
      <c r="S86" s="946"/>
      <c r="T86" s="946"/>
      <c r="U86" s="946"/>
      <c r="V86" s="946"/>
      <c r="W86" s="946"/>
      <c r="X86" s="946"/>
      <c r="Y86" s="946"/>
      <c r="Z86" s="946"/>
      <c r="AA86" s="946"/>
      <c r="AB86" s="946"/>
      <c r="AC86" s="946"/>
      <c r="AD86" s="946"/>
      <c r="AE86" s="946"/>
      <c r="AF86" s="946"/>
      <c r="AG86" s="946"/>
      <c r="AH86" s="946"/>
      <c r="AI86" s="946"/>
      <c r="AJ86" s="946"/>
      <c r="AK86" s="946"/>
      <c r="AL86" s="946"/>
      <c r="AM86" s="946"/>
      <c r="AN86" s="946"/>
      <c r="AO86" s="946"/>
      <c r="AP86" s="946"/>
      <c r="AQ86" s="946"/>
      <c r="AR86" s="946"/>
      <c r="AS86" s="946"/>
      <c r="AT86" s="946"/>
      <c r="AU86" s="946"/>
      <c r="AV86" s="946"/>
      <c r="AW86" s="946"/>
      <c r="AX86" s="946"/>
      <c r="AY86" s="946"/>
      <c r="AZ86" s="946"/>
      <c r="BA86" s="946"/>
      <c r="BB86" s="946"/>
      <c r="BC86" s="946"/>
      <c r="BD86" s="946"/>
    </row>
    <row r="87" spans="1:63" ht="14.5" x14ac:dyDescent="0.3">
      <c r="A87" s="944"/>
      <c r="B87" s="125"/>
      <c r="C87" s="852" t="s">
        <v>347</v>
      </c>
      <c r="D87" s="530">
        <v>790705.76447759371</v>
      </c>
      <c r="E87" s="946">
        <v>889438.39959305874</v>
      </c>
      <c r="F87" s="946">
        <v>987993.29843976919</v>
      </c>
      <c r="G87" s="946">
        <v>941721.5625</v>
      </c>
      <c r="H87" s="946">
        <v>1093434.5588050794</v>
      </c>
      <c r="I87" s="946">
        <v>1098322.827130697</v>
      </c>
      <c r="J87" s="946">
        <v>1146286.6097463218</v>
      </c>
      <c r="K87" s="946">
        <v>1324043.0240314533</v>
      </c>
      <c r="L87" s="946">
        <v>1457120.081384365</v>
      </c>
      <c r="M87" s="946">
        <v>1692181.6081011787</v>
      </c>
      <c r="N87" s="946">
        <v>1920507.1806931668</v>
      </c>
      <c r="O87" s="946">
        <v>2142857.6125458707</v>
      </c>
      <c r="P87" s="946">
        <v>2387433.8414046019</v>
      </c>
      <c r="Q87" s="946">
        <v>2135240.2252280787</v>
      </c>
      <c r="R87" s="946">
        <v>2300076.2442527218</v>
      </c>
      <c r="S87" s="946">
        <v>2470305.2713278909</v>
      </c>
      <c r="T87" s="946">
        <v>2597330.1986770038</v>
      </c>
      <c r="U87" s="946">
        <v>2698794.9254965894</v>
      </c>
      <c r="V87" s="946">
        <v>2762673.9294250752</v>
      </c>
      <c r="W87" s="946">
        <v>2902554.4898966695</v>
      </c>
      <c r="X87" s="946">
        <v>3041776.2846399257</v>
      </c>
      <c r="Y87" s="946">
        <v>3184411.9407661492</v>
      </c>
      <c r="Z87" s="946">
        <v>3311511.6882102331</v>
      </c>
      <c r="AA87" s="946">
        <v>3452139.8155063619</v>
      </c>
      <c r="AB87" s="946">
        <v>3611085.8178192987</v>
      </c>
      <c r="AC87" s="946">
        <v>3753266.1852850374</v>
      </c>
      <c r="AD87" s="946">
        <v>3920130.765397456</v>
      </c>
      <c r="AE87" s="946">
        <v>4076933.0288755018</v>
      </c>
      <c r="AF87" s="946">
        <v>4272909.7247150354</v>
      </c>
      <c r="AG87" s="946">
        <v>4447658.0580329271</v>
      </c>
      <c r="AH87" s="946">
        <v>4635113.1593697695</v>
      </c>
      <c r="AI87" s="946">
        <v>4834440.8929770002</v>
      </c>
      <c r="AJ87" s="946">
        <v>5043209.3337899549</v>
      </c>
      <c r="AK87" s="946">
        <v>5261361.0539075118</v>
      </c>
      <c r="AL87" s="946">
        <v>5490876.0438517323</v>
      </c>
      <c r="AM87" s="946">
        <v>5730470.1638355413</v>
      </c>
      <c r="AN87" s="946">
        <v>5978426.2065710798</v>
      </c>
      <c r="AO87" s="946">
        <v>6241744.9776002085</v>
      </c>
      <c r="AP87" s="946">
        <v>6516241.4217811571</v>
      </c>
      <c r="AQ87" s="946">
        <v>6806171.8817125959</v>
      </c>
      <c r="AR87" s="946">
        <v>7105609.4181164745</v>
      </c>
      <c r="AS87" s="946">
        <v>7420093.390222773</v>
      </c>
      <c r="AT87" s="946">
        <v>7749866.8608790282</v>
      </c>
      <c r="AU87" s="946">
        <v>8094987.0454453854</v>
      </c>
      <c r="AV87" s="946">
        <v>8455801.9966520686</v>
      </c>
      <c r="AW87" s="946">
        <v>8834178.5793795995</v>
      </c>
      <c r="AX87" s="946">
        <v>9230269.9165475164</v>
      </c>
      <c r="AY87" s="946">
        <v>9645353.257575741</v>
      </c>
      <c r="AZ87" s="946">
        <v>10079794.948486267</v>
      </c>
      <c r="BA87" s="946">
        <v>10534728.278226826</v>
      </c>
      <c r="BB87" s="946">
        <v>11010862.416935883</v>
      </c>
      <c r="BC87" s="946">
        <v>11509743.953768658</v>
      </c>
      <c r="BD87" s="946">
        <v>12032286.43552652</v>
      </c>
    </row>
    <row r="88" spans="1:63" ht="14.5" x14ac:dyDescent="0.3">
      <c r="A88" s="944"/>
      <c r="B88" s="125"/>
      <c r="C88" s="852" t="s">
        <v>348</v>
      </c>
      <c r="D88" s="946"/>
      <c r="E88" s="854">
        <v>0.12486646683383681</v>
      </c>
      <c r="F88" s="854">
        <v>0.11080576113174548</v>
      </c>
      <c r="G88" s="854">
        <v>-4.6834058503069945E-2</v>
      </c>
      <c r="H88" s="854">
        <v>0.16110175485663197</v>
      </c>
      <c r="I88" s="854">
        <v>4.4705632232435611E-3</v>
      </c>
      <c r="J88" s="854">
        <v>4.367002253875335E-2</v>
      </c>
      <c r="K88" s="854">
        <v>0.15507152641735017</v>
      </c>
      <c r="L88" s="854">
        <v>0.1005081065626689</v>
      </c>
      <c r="M88" s="854">
        <v>0.16131925550946286</v>
      </c>
      <c r="N88" s="854">
        <v>0.13492970937569493</v>
      </c>
      <c r="O88" s="854">
        <v>0.11577693334760206</v>
      </c>
      <c r="P88" s="854">
        <v>0.11413554845025697</v>
      </c>
      <c r="Q88" s="854">
        <v>-0.10563376115509442</v>
      </c>
      <c r="R88" s="854">
        <v>7.7197880162189217E-2</v>
      </c>
      <c r="S88" s="854">
        <v>7.401016705447315E-2</v>
      </c>
      <c r="T88" s="854">
        <v>5.1420740919534934E-2</v>
      </c>
      <c r="U88" s="854">
        <v>3.9065008704425953E-2</v>
      </c>
      <c r="V88" s="854">
        <v>2.3669454586932644E-2</v>
      </c>
      <c r="W88" s="854">
        <v>5.063230914866023E-2</v>
      </c>
      <c r="X88" s="854">
        <v>4.7965264813413531E-2</v>
      </c>
      <c r="Y88" s="854">
        <v>4.6892224404040346E-2</v>
      </c>
      <c r="Z88" s="854">
        <v>3.9913098496140081E-2</v>
      </c>
      <c r="AA88" s="854">
        <v>4.2466444493250093E-2</v>
      </c>
      <c r="AB88" s="854">
        <v>4.6042747631188437E-2</v>
      </c>
      <c r="AC88" s="854">
        <v>3.9373300618925772E-2</v>
      </c>
      <c r="AD88" s="854">
        <v>4.4458498778110589E-2</v>
      </c>
      <c r="AE88" s="854">
        <v>3.9999243102327449E-2</v>
      </c>
      <c r="AF88" s="854">
        <v>4.8069638243134892E-2</v>
      </c>
      <c r="AG88" s="854">
        <v>4.0896799739794605E-2</v>
      </c>
      <c r="AH88" s="854">
        <v>4.21469229178442E-2</v>
      </c>
      <c r="AI88" s="854">
        <v>4.3003854869064953E-2</v>
      </c>
      <c r="AJ88" s="854">
        <v>4.3183574985110051E-2</v>
      </c>
      <c r="AK88" s="854">
        <v>4.325652688178553E-2</v>
      </c>
      <c r="AL88" s="854">
        <v>4.3622740882563862E-2</v>
      </c>
      <c r="AM88" s="854">
        <v>4.3634953342661674E-2</v>
      </c>
      <c r="AN88" s="854">
        <v>4.3269755473183638E-2</v>
      </c>
      <c r="AO88" s="854">
        <v>4.4044830851923303E-2</v>
      </c>
      <c r="AP88" s="854">
        <v>4.39775167306636E-2</v>
      </c>
      <c r="AQ88" s="854">
        <v>4.449351108482854E-2</v>
      </c>
      <c r="AR88" s="854">
        <v>4.3995000656453141E-2</v>
      </c>
      <c r="AS88" s="854">
        <v>4.4258550336933739E-2</v>
      </c>
      <c r="AT88" s="854">
        <v>4.4443304593819205E-2</v>
      </c>
      <c r="AU88" s="854">
        <v>4.4532401751120138E-2</v>
      </c>
      <c r="AV88" s="854">
        <v>4.457264096669486E-2</v>
      </c>
      <c r="AW88" s="854">
        <v>4.4747568932827754E-2</v>
      </c>
      <c r="AX88" s="854">
        <v>4.4836238435620714E-2</v>
      </c>
      <c r="AY88" s="854">
        <v>4.4969794467666246E-2</v>
      </c>
      <c r="AZ88" s="854">
        <v>4.5041553099084523E-2</v>
      </c>
      <c r="BA88" s="854">
        <v>4.5133192893857359E-2</v>
      </c>
      <c r="BB88" s="854">
        <v>4.5196622649786897E-2</v>
      </c>
      <c r="BC88" s="854">
        <v>4.5308125552948594E-2</v>
      </c>
      <c r="BD88" s="854">
        <v>4.5400009231896542E-2</v>
      </c>
    </row>
    <row r="89" spans="1:63" ht="14.5" x14ac:dyDescent="0.3">
      <c r="A89" s="944"/>
      <c r="B89" s="125"/>
      <c r="C89" s="852"/>
      <c r="D89" s="946"/>
      <c r="E89" s="946"/>
      <c r="F89" s="946"/>
      <c r="G89" s="946"/>
      <c r="H89" s="946"/>
      <c r="I89" s="946"/>
      <c r="J89" s="946"/>
      <c r="K89" s="946"/>
      <c r="L89" s="946"/>
      <c r="M89" s="946"/>
      <c r="N89" s="946"/>
      <c r="O89" s="946"/>
      <c r="P89" s="946"/>
      <c r="Q89" s="946"/>
      <c r="R89" s="946"/>
      <c r="S89" s="946"/>
      <c r="T89" s="946"/>
      <c r="U89" s="946"/>
      <c r="V89" s="946"/>
      <c r="W89" s="946"/>
      <c r="X89" s="946"/>
      <c r="Y89" s="946"/>
      <c r="Z89" s="946"/>
      <c r="AA89" s="946"/>
      <c r="AB89" s="946"/>
      <c r="AC89" s="946"/>
      <c r="AD89" s="946"/>
      <c r="AE89" s="946"/>
      <c r="AF89" s="946"/>
      <c r="AG89" s="946"/>
      <c r="AH89" s="946"/>
      <c r="AI89" s="946"/>
      <c r="AJ89" s="946"/>
      <c r="AK89" s="946"/>
      <c r="AL89" s="946"/>
      <c r="AM89" s="946"/>
      <c r="AN89" s="946"/>
      <c r="AO89" s="946"/>
      <c r="AP89" s="946"/>
      <c r="AQ89" s="946"/>
      <c r="AR89" s="946"/>
      <c r="AS89" s="946"/>
      <c r="AT89" s="946"/>
      <c r="AU89" s="946"/>
      <c r="AV89" s="946"/>
      <c r="AW89" s="946"/>
      <c r="AX89" s="946"/>
      <c r="AY89" s="946"/>
      <c r="AZ89" s="946"/>
      <c r="BA89" s="946"/>
      <c r="BB89" s="946"/>
      <c r="BC89" s="946"/>
      <c r="BD89" s="946"/>
    </row>
    <row r="90" spans="1:63" ht="14.5" x14ac:dyDescent="0.3">
      <c r="A90" s="49"/>
      <c r="B90" s="523"/>
      <c r="C90" s="851" t="s">
        <v>355</v>
      </c>
      <c r="D90" s="963"/>
      <c r="E90" s="963"/>
      <c r="F90" s="963"/>
      <c r="G90" s="963"/>
      <c r="H90" s="963"/>
      <c r="I90" s="963"/>
      <c r="J90" s="963"/>
      <c r="K90" s="963"/>
      <c r="L90" s="963"/>
      <c r="M90" s="963"/>
      <c r="N90" s="963"/>
      <c r="O90" s="963"/>
      <c r="P90" s="963"/>
      <c r="Q90" s="963"/>
      <c r="R90" s="963"/>
      <c r="S90" s="963"/>
      <c r="T90" s="963"/>
      <c r="U90" s="963"/>
      <c r="V90" s="963"/>
      <c r="W90" s="963"/>
      <c r="X90" s="963"/>
      <c r="Y90" s="963"/>
      <c r="Z90" s="963"/>
      <c r="AA90" s="963"/>
      <c r="AB90" s="963"/>
      <c r="AC90" s="963"/>
      <c r="AD90" s="963"/>
      <c r="AE90" s="963"/>
      <c r="AF90" s="963"/>
      <c r="AG90" s="963"/>
      <c r="AH90" s="963"/>
      <c r="AI90" s="963"/>
      <c r="AJ90" s="963"/>
      <c r="AK90" s="963"/>
      <c r="AL90" s="963"/>
      <c r="AM90" s="963"/>
      <c r="AN90" s="963"/>
      <c r="AO90" s="963"/>
      <c r="AP90" s="963"/>
      <c r="AQ90" s="963"/>
      <c r="AR90" s="963"/>
      <c r="AS90" s="963"/>
      <c r="AT90" s="963"/>
      <c r="AU90" s="963"/>
      <c r="AV90" s="963"/>
      <c r="AW90" s="963"/>
      <c r="AX90" s="963"/>
      <c r="AY90" s="963"/>
      <c r="AZ90" s="963"/>
      <c r="BA90" s="963"/>
      <c r="BB90" s="963"/>
      <c r="BC90" s="963"/>
      <c r="BD90" s="963"/>
    </row>
    <row r="91" spans="1:63" ht="14.5" x14ac:dyDescent="0.3">
      <c r="A91" s="533"/>
      <c r="B91" s="534"/>
      <c r="C91" s="535" t="s">
        <v>347</v>
      </c>
      <c r="D91" s="530">
        <v>1498460.7213370022</v>
      </c>
      <c r="E91" s="530">
        <v>1487939.5890042796</v>
      </c>
      <c r="F91" s="530">
        <v>1630352.8697171921</v>
      </c>
      <c r="G91" s="530">
        <v>1851563.25</v>
      </c>
      <c r="H91" s="530">
        <v>2113300.6912892545</v>
      </c>
      <c r="I91" s="530">
        <v>2263283.0127890003</v>
      </c>
      <c r="J91" s="530">
        <v>2478648.5020966362</v>
      </c>
      <c r="K91" s="530">
        <v>2868643.589542788</v>
      </c>
      <c r="L91" s="530">
        <v>2639155.2119954093</v>
      </c>
      <c r="M91" s="530">
        <v>2688268.2169559365</v>
      </c>
      <c r="N91" s="530">
        <v>2978214.2558666496</v>
      </c>
      <c r="O91" s="530">
        <v>3196846.9271668238</v>
      </c>
      <c r="P91" s="530">
        <v>3512316.6370933927</v>
      </c>
      <c r="Q91" s="530">
        <v>3844073.5444317479</v>
      </c>
      <c r="R91" s="530">
        <v>4073914.3915616968</v>
      </c>
      <c r="S91" s="530">
        <v>4604245.5292227399</v>
      </c>
      <c r="T91" s="530">
        <v>4967646.3998835851</v>
      </c>
      <c r="U91" s="530">
        <v>5421170.357583099</v>
      </c>
      <c r="V91" s="530">
        <v>6021906.826208869</v>
      </c>
      <c r="W91" s="530">
        <v>6488767.1073832158</v>
      </c>
      <c r="X91" s="530">
        <v>7151090.0673969351</v>
      </c>
      <c r="Y91" s="530">
        <v>8011202.4463514928</v>
      </c>
      <c r="Z91" s="530">
        <v>7477401.8258806765</v>
      </c>
      <c r="AA91" s="530">
        <v>7969007.2824525591</v>
      </c>
      <c r="AB91" s="530">
        <v>8427807.2410444692</v>
      </c>
      <c r="AC91" s="530">
        <v>8833261.7823423147</v>
      </c>
      <c r="AD91" s="530">
        <v>9227960.9731053282</v>
      </c>
      <c r="AE91" s="530">
        <v>9464861.4417923726</v>
      </c>
      <c r="AF91" s="530">
        <v>9974170.3455049973</v>
      </c>
      <c r="AG91" s="530">
        <v>10405037.608143521</v>
      </c>
      <c r="AH91" s="530">
        <v>10848742.617669165</v>
      </c>
      <c r="AI91" s="530">
        <v>11302771.498565996</v>
      </c>
      <c r="AJ91" s="530">
        <v>11774698.33191294</v>
      </c>
      <c r="AK91" s="530">
        <v>12297917.536508644</v>
      </c>
      <c r="AL91" s="530">
        <v>12837813.73202621</v>
      </c>
      <c r="AM91" s="530">
        <v>13396368.835104415</v>
      </c>
      <c r="AN91" s="530">
        <v>13972662.964839734</v>
      </c>
      <c r="AO91" s="530">
        <v>14587102.961979419</v>
      </c>
      <c r="AP91" s="530">
        <v>15231553.084895352</v>
      </c>
      <c r="AQ91" s="530">
        <v>15909357.640826818</v>
      </c>
      <c r="AR91" s="530">
        <v>16608527.159228809</v>
      </c>
      <c r="AS91" s="530">
        <v>17343060.909262031</v>
      </c>
      <c r="AT91" s="530">
        <v>18114044.605105165</v>
      </c>
      <c r="AU91" s="530">
        <v>18921213.274044566</v>
      </c>
      <c r="AV91" s="530">
        <v>19764452.476780068</v>
      </c>
      <c r="AW91" s="530">
        <v>20648675.871385261</v>
      </c>
      <c r="AX91" s="530">
        <v>21574447.502798501</v>
      </c>
      <c r="AY91" s="530">
        <v>22544738.411605235</v>
      </c>
      <c r="AZ91" s="530">
        <v>23560252.144273482</v>
      </c>
      <c r="BA91" s="530">
        <v>24623549.541763168</v>
      </c>
      <c r="BB91" s="530">
        <v>25736419.248680323</v>
      </c>
      <c r="BC91" s="530">
        <v>26902497.499748576</v>
      </c>
      <c r="BD91" s="530">
        <v>28123892.577705912</v>
      </c>
      <c r="BE91" s="855"/>
      <c r="BF91" s="855"/>
      <c r="BG91" s="855"/>
      <c r="BH91" s="855"/>
      <c r="BI91" s="855"/>
      <c r="BJ91" s="855"/>
      <c r="BK91" s="855"/>
    </row>
    <row r="92" spans="1:63" ht="14.5" x14ac:dyDescent="0.3">
      <c r="A92" s="944"/>
      <c r="B92" s="125"/>
      <c r="C92" s="852" t="s">
        <v>348</v>
      </c>
      <c r="D92" s="946"/>
      <c r="E92" s="854">
        <v>-7.0212933731991127E-3</v>
      </c>
      <c r="F92" s="854">
        <v>9.5711735721888208E-2</v>
      </c>
      <c r="G92" s="854">
        <v>0.13568251658377486</v>
      </c>
      <c r="H92" s="854">
        <v>0.14136024858413801</v>
      </c>
      <c r="I92" s="854">
        <v>7.0970648955897803E-2</v>
      </c>
      <c r="J92" s="854">
        <v>9.5156234589612879E-2</v>
      </c>
      <c r="K92" s="854">
        <v>0.15734182846670805</v>
      </c>
      <c r="L92" s="854">
        <v>-7.9998915997771314E-2</v>
      </c>
      <c r="M92" s="854">
        <v>1.8609365882423366E-2</v>
      </c>
      <c r="N92" s="854">
        <v>0.10785606773978594</v>
      </c>
      <c r="O92" s="854">
        <v>7.3410659044929216E-2</v>
      </c>
      <c r="P92" s="854">
        <v>9.8681518732006049E-2</v>
      </c>
      <c r="Q92" s="854">
        <v>9.4455295924828597E-2</v>
      </c>
      <c r="R92" s="854">
        <v>5.9790959895364135E-2</v>
      </c>
      <c r="S92" s="854">
        <v>0.13017729060765698</v>
      </c>
      <c r="T92" s="854">
        <v>7.8927343981629983E-2</v>
      </c>
      <c r="U92" s="854">
        <v>9.1295539414830762E-2</v>
      </c>
      <c r="V92" s="854">
        <v>0.11081305862035189</v>
      </c>
      <c r="W92" s="854">
        <v>7.7526985163977005E-2</v>
      </c>
      <c r="X92" s="854">
        <v>0.10207223484105292</v>
      </c>
      <c r="Y92" s="854">
        <v>0.12027710053268099</v>
      </c>
      <c r="Z92" s="854">
        <v>-6.6631772701477882E-2</v>
      </c>
      <c r="AA92" s="854">
        <v>6.574549128419778E-2</v>
      </c>
      <c r="AB92" s="854">
        <v>5.7573037936879484E-2</v>
      </c>
      <c r="AC92" s="854">
        <v>4.8109137964526705E-2</v>
      </c>
      <c r="AD92" s="854">
        <v>4.4683289195845743E-2</v>
      </c>
      <c r="AE92" s="854">
        <v>2.5672027588487339E-2</v>
      </c>
      <c r="AF92" s="854">
        <v>5.3810497580424825E-2</v>
      </c>
      <c r="AG92" s="854">
        <v>4.3198305995716293E-2</v>
      </c>
      <c r="AH92" s="854">
        <v>4.2643287437844256E-2</v>
      </c>
      <c r="AI92" s="854">
        <v>4.1850829805599933E-2</v>
      </c>
      <c r="AJ92" s="854">
        <v>4.1753195966743074E-2</v>
      </c>
      <c r="AK92" s="854">
        <v>4.4435890402187518E-2</v>
      </c>
      <c r="AL92" s="854">
        <v>4.3901432410388533E-2</v>
      </c>
      <c r="AM92" s="854">
        <v>4.3508584462850559E-2</v>
      </c>
      <c r="AN92" s="854">
        <v>4.3018681915145039E-2</v>
      </c>
      <c r="AO92" s="854">
        <v>4.3974437706386947E-2</v>
      </c>
      <c r="AP92" s="854">
        <v>4.4179445678532679E-2</v>
      </c>
      <c r="AQ92" s="854">
        <v>4.450002912727416E-2</v>
      </c>
      <c r="AR92" s="854">
        <v>4.3947061483348197E-2</v>
      </c>
      <c r="AS92" s="854">
        <v>4.4226302729382362E-2</v>
      </c>
      <c r="AT92" s="854">
        <v>4.4454880247315025E-2</v>
      </c>
      <c r="AU92" s="854">
        <v>4.456037768129998E-2</v>
      </c>
      <c r="AV92" s="854">
        <v>4.4565810369688458E-2</v>
      </c>
      <c r="AW92" s="854">
        <v>4.4738066771341539E-2</v>
      </c>
      <c r="AX92" s="854">
        <v>4.4834430894242737E-2</v>
      </c>
      <c r="AY92" s="854">
        <v>4.4974079112842812E-2</v>
      </c>
      <c r="AZ92" s="854">
        <v>4.5044378609666924E-2</v>
      </c>
      <c r="BA92" s="854">
        <v>4.5130985482603546E-2</v>
      </c>
      <c r="BB92" s="854">
        <v>4.5195340542989342E-2</v>
      </c>
      <c r="BC92" s="854">
        <v>4.5308488325470749E-2</v>
      </c>
      <c r="BD92" s="854">
        <v>4.5400806299443042E-2</v>
      </c>
    </row>
    <row r="93" spans="1:63" ht="14.5" x14ac:dyDescent="0.3">
      <c r="A93" s="944"/>
      <c r="B93" s="125"/>
      <c r="C93" s="853"/>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row>
    <row r="94" spans="1:63" ht="14.5" x14ac:dyDescent="0.3">
      <c r="A94" s="49"/>
      <c r="B94" s="523"/>
      <c r="C94" s="851" t="s">
        <v>357</v>
      </c>
      <c r="D94" s="1195"/>
      <c r="E94" s="1195"/>
      <c r="F94" s="1195"/>
      <c r="G94" s="1195"/>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3"/>
      <c r="AF94" s="963"/>
      <c r="AG94" s="963"/>
      <c r="AH94" s="963"/>
      <c r="AI94" s="963"/>
      <c r="AJ94" s="963"/>
      <c r="AK94" s="963"/>
      <c r="AL94" s="963"/>
      <c r="AM94" s="963"/>
      <c r="AN94" s="963"/>
      <c r="AO94" s="963"/>
      <c r="AP94" s="963"/>
      <c r="AQ94" s="963"/>
      <c r="AR94" s="963"/>
      <c r="AS94" s="963"/>
      <c r="AT94" s="963"/>
      <c r="AU94" s="963"/>
      <c r="AV94" s="963"/>
      <c r="AW94" s="963"/>
      <c r="AX94" s="963"/>
      <c r="AY94" s="963"/>
      <c r="AZ94" s="963"/>
      <c r="BA94" s="963"/>
      <c r="BB94" s="963"/>
      <c r="BC94" s="963"/>
      <c r="BD94" s="963"/>
    </row>
    <row r="95" spans="1:63" ht="14.5" x14ac:dyDescent="0.3">
      <c r="A95" s="944"/>
      <c r="B95" s="125"/>
      <c r="C95" s="851" t="s">
        <v>354</v>
      </c>
      <c r="D95" s="946"/>
      <c r="E95" s="946"/>
      <c r="F95" s="946"/>
      <c r="G95" s="946"/>
      <c r="H95" s="946"/>
      <c r="I95" s="946"/>
      <c r="J95" s="946"/>
      <c r="K95" s="946"/>
      <c r="L95" s="946"/>
      <c r="M95" s="946"/>
      <c r="N95" s="946"/>
      <c r="O95" s="946"/>
      <c r="P95" s="946"/>
      <c r="Q95" s="946"/>
      <c r="R95" s="946"/>
      <c r="S95" s="946"/>
      <c r="T95" s="946"/>
      <c r="U95" s="946"/>
      <c r="V95" s="946"/>
      <c r="W95" s="946"/>
      <c r="X95" s="946"/>
      <c r="Y95" s="946"/>
      <c r="Z95" s="946"/>
      <c r="AA95" s="946"/>
      <c r="AB95" s="946"/>
      <c r="AC95" s="946"/>
      <c r="AD95" s="946"/>
      <c r="AE95" s="946"/>
      <c r="AF95" s="946"/>
      <c r="AG95" s="946"/>
      <c r="AH95" s="946"/>
      <c r="AI95" s="946"/>
      <c r="AJ95" s="946"/>
      <c r="AK95" s="946"/>
      <c r="AL95" s="946"/>
      <c r="AM95" s="946"/>
      <c r="AN95" s="946"/>
      <c r="AO95" s="946"/>
      <c r="AP95" s="946"/>
      <c r="AQ95" s="946"/>
      <c r="AR95" s="946"/>
      <c r="AS95" s="946"/>
      <c r="AT95" s="946"/>
      <c r="AU95" s="946"/>
      <c r="AV95" s="946"/>
      <c r="AW95" s="946"/>
      <c r="AX95" s="946"/>
      <c r="AY95" s="946"/>
      <c r="AZ95" s="946"/>
      <c r="BA95" s="946"/>
      <c r="BB95" s="946"/>
      <c r="BC95" s="946"/>
      <c r="BD95" s="946"/>
    </row>
    <row r="96" spans="1:63" ht="14.5" x14ac:dyDescent="0.3">
      <c r="A96" s="944"/>
      <c r="B96" s="125"/>
      <c r="C96" s="852" t="s">
        <v>347</v>
      </c>
      <c r="D96" s="530">
        <v>790705.76447759371</v>
      </c>
      <c r="E96" s="946">
        <v>889438.39959305874</v>
      </c>
      <c r="F96" s="946">
        <v>987993.29843976919</v>
      </c>
      <c r="G96" s="946">
        <v>941721.5625</v>
      </c>
      <c r="H96" s="946">
        <v>1093434.5588050794</v>
      </c>
      <c r="I96" s="946">
        <v>1098322.827130697</v>
      </c>
      <c r="J96" s="946">
        <v>1146286.6097463218</v>
      </c>
      <c r="K96" s="946">
        <v>1324043.0240314533</v>
      </c>
      <c r="L96" s="946">
        <v>1457120.081384365</v>
      </c>
      <c r="M96" s="946">
        <v>1617379.9482219541</v>
      </c>
      <c r="N96" s="946">
        <v>1754454.0280375476</v>
      </c>
      <c r="O96" s="946">
        <v>1895089.5575869272</v>
      </c>
      <c r="P96" s="946">
        <v>2023040.7940371335</v>
      </c>
      <c r="Q96" s="946">
        <v>1951861.5680538455</v>
      </c>
      <c r="R96" s="946">
        <v>2062391.5065260734</v>
      </c>
      <c r="S96" s="946">
        <v>2151891.1138992975</v>
      </c>
      <c r="T96" s="946">
        <v>2214886.0917856875</v>
      </c>
      <c r="U96" s="946">
        <v>2242588.5693966108</v>
      </c>
      <c r="V96" s="946">
        <v>2233158.4467394659</v>
      </c>
      <c r="W96" s="946">
        <v>2289969.643104468</v>
      </c>
      <c r="X96" s="946">
        <v>2334645.6383851683</v>
      </c>
      <c r="Y96" s="946">
        <v>2373886.6371569978</v>
      </c>
      <c r="Z96" s="946">
        <v>2408043.2495909655</v>
      </c>
      <c r="AA96" s="946">
        <v>2439903.1335551487</v>
      </c>
      <c r="AB96" s="946">
        <v>2481357.1157569867</v>
      </c>
      <c r="AC96" s="946">
        <v>2509539.4476857278</v>
      </c>
      <c r="AD96" s="946">
        <v>2545294.6773171751</v>
      </c>
      <c r="AE96" s="946">
        <v>2576841.0434226831</v>
      </c>
      <c r="AF96" s="946">
        <v>2613551.6282137311</v>
      </c>
      <c r="AG96" s="946">
        <v>2649420.0884544137</v>
      </c>
      <c r="AH96" s="946">
        <v>2679620.5189485094</v>
      </c>
      <c r="AI96" s="946">
        <v>2710564.1584022855</v>
      </c>
      <c r="AJ96" s="946">
        <v>2742018.0613676934</v>
      </c>
      <c r="AK96" s="946">
        <v>2781963.9194502775</v>
      </c>
      <c r="AL96" s="946">
        <v>2814811.6024495</v>
      </c>
      <c r="AM96" s="946">
        <v>2847982.9511927888</v>
      </c>
      <c r="AN96" s="946">
        <v>2881966.2253525504</v>
      </c>
      <c r="AO96" s="946">
        <v>2916779.3008482927</v>
      </c>
      <c r="AP96" s="946">
        <v>2952452.1243342198</v>
      </c>
      <c r="AQ96" s="946">
        <v>2986572.8177495878</v>
      </c>
      <c r="AR96" s="946">
        <v>3020716.8999195094</v>
      </c>
      <c r="AS96" s="946">
        <v>3055122.557724359</v>
      </c>
      <c r="AT96" s="946">
        <v>3089613.1818504361</v>
      </c>
      <c r="AU96" s="946">
        <v>3123961.7292792443</v>
      </c>
      <c r="AV96" s="946">
        <v>3158106.3687986438</v>
      </c>
      <c r="AW96" s="946">
        <v>3192351.1559720943</v>
      </c>
      <c r="AX96" s="946">
        <v>3226595.377169481</v>
      </c>
      <c r="AY96" s="946">
        <v>3260764.3192937407</v>
      </c>
      <c r="AZ96" s="946">
        <v>3294797.8078355337</v>
      </c>
      <c r="BA96" s="946">
        <v>3328661.9791074232</v>
      </c>
      <c r="BB96" s="946">
        <v>3362409.4810177763</v>
      </c>
      <c r="BC96" s="946">
        <v>3396041.2729936275</v>
      </c>
      <c r="BD96" s="946">
        <v>3429526.8822464403</v>
      </c>
    </row>
    <row r="97" spans="1:63" ht="14.5" x14ac:dyDescent="0.3">
      <c r="A97" s="944"/>
      <c r="B97" s="125"/>
      <c r="C97" s="852" t="s">
        <v>348</v>
      </c>
      <c r="D97" s="946"/>
      <c r="E97" s="854">
        <v>0.12486646683383681</v>
      </c>
      <c r="F97" s="854">
        <v>0.11080576113174548</v>
      </c>
      <c r="G97" s="854">
        <v>-4.6834058503069945E-2</v>
      </c>
      <c r="H97" s="854">
        <v>0.16110175485663197</v>
      </c>
      <c r="I97" s="854">
        <v>4.4705632232435611E-3</v>
      </c>
      <c r="J97" s="854">
        <v>4.367002253875335E-2</v>
      </c>
      <c r="K97" s="854">
        <v>0.15507152641735017</v>
      </c>
      <c r="L97" s="854">
        <v>0.1005081065626689</v>
      </c>
      <c r="M97" s="854">
        <v>0.1099839806512934</v>
      </c>
      <c r="N97" s="854">
        <v>8.4750698168531258E-2</v>
      </c>
      <c r="O97" s="854">
        <v>8.0159141990564495E-2</v>
      </c>
      <c r="P97" s="854">
        <v>6.751725053729403E-2</v>
      </c>
      <c r="Q97" s="854">
        <v>-3.5184276161453122E-2</v>
      </c>
      <c r="R97" s="854">
        <v>5.6627959831410918E-2</v>
      </c>
      <c r="S97" s="854">
        <v>4.3396031786408357E-2</v>
      </c>
      <c r="T97" s="854">
        <v>2.9274240448087064E-2</v>
      </c>
      <c r="U97" s="854">
        <v>1.2507405104787593E-2</v>
      </c>
      <c r="V97" s="854">
        <v>-4.2050168211114044E-3</v>
      </c>
      <c r="W97" s="854">
        <v>2.5439841247247613E-2</v>
      </c>
      <c r="X97" s="854">
        <v>1.9509426867394573E-2</v>
      </c>
      <c r="Y97" s="854">
        <v>1.6808117740288762E-2</v>
      </c>
      <c r="Z97" s="854">
        <v>1.4388476643886466E-2</v>
      </c>
      <c r="AA97" s="854">
        <v>1.3230611190058588E-2</v>
      </c>
      <c r="AB97" s="854">
        <v>1.6990011460592667E-2</v>
      </c>
      <c r="AC97" s="854">
        <v>1.135762835175122E-2</v>
      </c>
      <c r="AD97" s="854">
        <v>1.4247725679076433E-2</v>
      </c>
      <c r="AE97" s="854">
        <v>1.2393993664717428E-2</v>
      </c>
      <c r="AF97" s="854">
        <v>1.4246352092516819E-2</v>
      </c>
      <c r="AG97" s="854">
        <v>1.3724029727775989E-2</v>
      </c>
      <c r="AH97" s="854">
        <v>1.1398883335150382E-2</v>
      </c>
      <c r="AI97" s="854">
        <v>1.154776925873017E-2</v>
      </c>
      <c r="AJ97" s="854">
        <v>1.160419054015235E-2</v>
      </c>
      <c r="AK97" s="854">
        <v>1.4568050679673306E-2</v>
      </c>
      <c r="AL97" s="854">
        <v>1.1807372040149722E-2</v>
      </c>
      <c r="AM97" s="854">
        <v>1.1784571555134443E-2</v>
      </c>
      <c r="AN97" s="854">
        <v>1.1932400840225808E-2</v>
      </c>
      <c r="AO97" s="854">
        <v>1.2079626468031764E-2</v>
      </c>
      <c r="AP97" s="854">
        <v>1.2230210038706869E-2</v>
      </c>
      <c r="AQ97" s="854">
        <v>1.1556730466226347E-2</v>
      </c>
      <c r="AR97" s="854">
        <v>1.1432529609523972E-2</v>
      </c>
      <c r="AS97" s="854">
        <v>1.1389898141651851E-2</v>
      </c>
      <c r="AT97" s="854">
        <v>1.1289440431407071E-2</v>
      </c>
      <c r="AU97" s="854">
        <v>1.1117426489045495E-2</v>
      </c>
      <c r="AV97" s="854">
        <v>1.0929916073996623E-2</v>
      </c>
      <c r="AW97" s="854">
        <v>1.0843455911359094E-2</v>
      </c>
      <c r="AX97" s="854">
        <v>1.0726959386446045E-2</v>
      </c>
      <c r="AY97" s="854">
        <v>1.0589782148090176E-2</v>
      </c>
      <c r="AZ97" s="854">
        <v>1.0437273353495386E-2</v>
      </c>
      <c r="BA97" s="854">
        <v>1.0278072660894482E-2</v>
      </c>
      <c r="BB97" s="854">
        <v>1.0138458672635313E-2</v>
      </c>
      <c r="BC97" s="854">
        <v>1.0002289181527967E-2</v>
      </c>
      <c r="BD97" s="854">
        <v>9.8601891322996418E-3</v>
      </c>
    </row>
    <row r="98" spans="1:63" ht="14.5" x14ac:dyDescent="0.3">
      <c r="A98" s="944"/>
      <c r="B98" s="125"/>
      <c r="C98" s="852"/>
      <c r="D98" s="946"/>
      <c r="E98" s="946"/>
      <c r="F98" s="946"/>
      <c r="G98" s="946"/>
      <c r="H98" s="946"/>
      <c r="I98" s="946"/>
      <c r="J98" s="946"/>
      <c r="K98" s="946"/>
      <c r="L98" s="946"/>
      <c r="M98" s="946"/>
      <c r="N98" s="946"/>
      <c r="O98" s="946"/>
      <c r="P98" s="946"/>
      <c r="Q98" s="946"/>
      <c r="R98" s="946"/>
      <c r="S98" s="946"/>
      <c r="T98" s="946"/>
      <c r="U98" s="946"/>
      <c r="V98" s="946"/>
      <c r="W98" s="946"/>
      <c r="X98" s="946"/>
      <c r="Y98" s="946"/>
      <c r="Z98" s="946"/>
      <c r="AA98" s="946"/>
      <c r="AB98" s="946"/>
      <c r="AC98" s="946"/>
      <c r="AD98" s="946"/>
      <c r="AE98" s="946"/>
      <c r="AF98" s="946"/>
      <c r="AG98" s="946"/>
      <c r="AH98" s="946"/>
      <c r="AI98" s="946"/>
      <c r="AJ98" s="946"/>
      <c r="AK98" s="946"/>
      <c r="AL98" s="946"/>
      <c r="AM98" s="946"/>
      <c r="AN98" s="946"/>
      <c r="AO98" s="946"/>
      <c r="AP98" s="946"/>
      <c r="AQ98" s="946"/>
      <c r="AR98" s="946"/>
      <c r="AS98" s="946"/>
      <c r="AT98" s="946"/>
      <c r="AU98" s="946"/>
      <c r="AV98" s="946"/>
      <c r="AW98" s="946"/>
      <c r="AX98" s="946"/>
      <c r="AY98" s="946"/>
      <c r="AZ98" s="946"/>
      <c r="BA98" s="946"/>
      <c r="BB98" s="946"/>
      <c r="BC98" s="946"/>
      <c r="BD98" s="946"/>
    </row>
    <row r="99" spans="1:63" ht="14.5" x14ac:dyDescent="0.3">
      <c r="A99" s="49"/>
      <c r="B99" s="523"/>
      <c r="C99" s="851" t="s">
        <v>355</v>
      </c>
      <c r="D99" s="963"/>
      <c r="E99" s="963"/>
      <c r="F99" s="963"/>
      <c r="G99" s="963"/>
      <c r="H99" s="963"/>
      <c r="I99" s="963"/>
      <c r="J99" s="963"/>
      <c r="K99" s="963"/>
      <c r="L99" s="963"/>
      <c r="M99" s="963"/>
      <c r="N99" s="963"/>
      <c r="O99" s="963"/>
      <c r="P99" s="963"/>
      <c r="Q99" s="963"/>
      <c r="R99" s="963"/>
      <c r="S99" s="963"/>
      <c r="T99" s="963"/>
      <c r="U99" s="963"/>
      <c r="V99" s="963"/>
      <c r="W99" s="963"/>
      <c r="X99" s="963"/>
      <c r="Y99" s="963"/>
      <c r="Z99" s="963"/>
      <c r="AA99" s="963"/>
      <c r="AB99" s="963"/>
      <c r="AC99" s="963"/>
      <c r="AD99" s="963"/>
      <c r="AE99" s="963"/>
      <c r="AF99" s="963"/>
      <c r="AG99" s="963"/>
      <c r="AH99" s="963"/>
      <c r="AI99" s="963"/>
      <c r="AJ99" s="963"/>
      <c r="AK99" s="963"/>
      <c r="AL99" s="963"/>
      <c r="AM99" s="963"/>
      <c r="AN99" s="963"/>
      <c r="AO99" s="963"/>
      <c r="AP99" s="963"/>
      <c r="AQ99" s="963"/>
      <c r="AR99" s="963"/>
      <c r="AS99" s="963"/>
      <c r="AT99" s="963"/>
      <c r="AU99" s="963"/>
      <c r="AV99" s="963"/>
      <c r="AW99" s="963"/>
      <c r="AX99" s="963"/>
      <c r="AY99" s="963"/>
      <c r="AZ99" s="963"/>
      <c r="BA99" s="963"/>
      <c r="BB99" s="963"/>
      <c r="BC99" s="963"/>
      <c r="BD99" s="963"/>
    </row>
    <row r="100" spans="1:63" ht="14.5" x14ac:dyDescent="0.3">
      <c r="A100" s="533"/>
      <c r="B100" s="534"/>
      <c r="C100" s="535" t="s">
        <v>347</v>
      </c>
      <c r="D100" s="530">
        <v>1498460.7213370022</v>
      </c>
      <c r="E100" s="530">
        <v>1487939.5890042796</v>
      </c>
      <c r="F100" s="530">
        <v>1630352.8697171921</v>
      </c>
      <c r="G100" s="530">
        <v>1851563.25</v>
      </c>
      <c r="H100" s="530">
        <v>2113300.6912892545</v>
      </c>
      <c r="I100" s="530">
        <v>2263283.0127890003</v>
      </c>
      <c r="J100" s="530">
        <v>2478648.5020966362</v>
      </c>
      <c r="K100" s="530">
        <v>2868643.589542788</v>
      </c>
      <c r="L100" s="530">
        <v>2639155.2119954093</v>
      </c>
      <c r="M100" s="530">
        <v>2529143.6704102806</v>
      </c>
      <c r="N100" s="530">
        <v>2614050.5086503201</v>
      </c>
      <c r="O100" s="530">
        <v>2690698.220965676</v>
      </c>
      <c r="P100" s="530">
        <v>2768065.5136732343</v>
      </c>
      <c r="Q100" s="530">
        <v>2850463.0679315156</v>
      </c>
      <c r="R100" s="530">
        <v>2844808.2028609216</v>
      </c>
      <c r="S100" s="530">
        <v>2899716.7797099808</v>
      </c>
      <c r="T100" s="530">
        <v>2919902.5199378575</v>
      </c>
      <c r="U100" s="530">
        <v>2927485.2732823701</v>
      </c>
      <c r="V100" s="530">
        <v>2951387.1608950435</v>
      </c>
      <c r="W100" s="530">
        <v>2929568.3756670202</v>
      </c>
      <c r="X100" s="530">
        <v>2939015.1296850275</v>
      </c>
      <c r="Y100" s="530">
        <v>2970749.8296100642</v>
      </c>
      <c r="Z100" s="530">
        <v>2967167.5966249243</v>
      </c>
      <c r="AA100" s="530">
        <v>2974782.413448771</v>
      </c>
      <c r="AB100" s="530">
        <v>2977087.9303357382</v>
      </c>
      <c r="AC100" s="530">
        <v>2915140.6352049988</v>
      </c>
      <c r="AD100" s="530">
        <v>2936396.449933413</v>
      </c>
      <c r="AE100" s="530">
        <v>2930565.4074776201</v>
      </c>
      <c r="AF100" s="530">
        <v>2962383.7798430384</v>
      </c>
      <c r="AG100" s="530">
        <v>2962625.2099163313</v>
      </c>
      <c r="AH100" s="530">
        <v>2954167.8078770465</v>
      </c>
      <c r="AI100" s="530">
        <v>2967776.5218039695</v>
      </c>
      <c r="AJ100" s="530">
        <v>2975297.6633155802</v>
      </c>
      <c r="AK100" s="530">
        <v>2984357.5046649189</v>
      </c>
      <c r="AL100" s="530">
        <v>2988781.9360381444</v>
      </c>
      <c r="AM100" s="530">
        <v>2994050.4086682447</v>
      </c>
      <c r="AN100" s="530">
        <v>3002093.1425207835</v>
      </c>
      <c r="AO100" s="530">
        <v>3009004.4512875257</v>
      </c>
      <c r="AP100" s="530">
        <v>3015791.9901335724</v>
      </c>
      <c r="AQ100" s="530">
        <v>3022118.7803974957</v>
      </c>
      <c r="AR100" s="530">
        <v>3028830.773382036</v>
      </c>
      <c r="AS100" s="530">
        <v>3035835.2396768685</v>
      </c>
      <c r="AT100" s="530">
        <v>3042629.041867754</v>
      </c>
      <c r="AU100" s="530">
        <v>3049398.9230600479</v>
      </c>
      <c r="AV100" s="530">
        <v>3056165.1244843425</v>
      </c>
      <c r="AW100" s="530">
        <v>3063020.2844241629</v>
      </c>
      <c r="AX100" s="530">
        <v>3069904.3615036965</v>
      </c>
      <c r="AY100" s="530">
        <v>3076763.9295965577</v>
      </c>
      <c r="AZ100" s="530">
        <v>3083636.72514759</v>
      </c>
      <c r="BA100" s="530">
        <v>3090530.2777933651</v>
      </c>
      <c r="BB100" s="530">
        <v>3097449.5405734675</v>
      </c>
      <c r="BC100" s="530">
        <v>3104381.6927498947</v>
      </c>
      <c r="BD100" s="530">
        <v>3111323.4853067305</v>
      </c>
      <c r="BE100" s="855"/>
      <c r="BF100" s="855"/>
      <c r="BG100" s="855"/>
      <c r="BH100" s="855"/>
      <c r="BI100" s="855"/>
      <c r="BJ100" s="855"/>
      <c r="BK100" s="855"/>
    </row>
    <row r="101" spans="1:63" ht="14.5" x14ac:dyDescent="0.3">
      <c r="A101" s="944"/>
      <c r="B101" s="125"/>
      <c r="C101" s="852" t="s">
        <v>348</v>
      </c>
      <c r="D101" s="946"/>
      <c r="E101" s="854">
        <v>-7.0212933731991127E-3</v>
      </c>
      <c r="F101" s="854">
        <v>9.5711735721888208E-2</v>
      </c>
      <c r="G101" s="854">
        <v>0.13568251658377486</v>
      </c>
      <c r="H101" s="854">
        <v>0.14136024858413801</v>
      </c>
      <c r="I101" s="854">
        <v>7.0970648955897803E-2</v>
      </c>
      <c r="J101" s="854">
        <v>9.5156234589612879E-2</v>
      </c>
      <c r="K101" s="854">
        <v>0.15734182846670805</v>
      </c>
      <c r="L101" s="854">
        <v>-7.9998915997771314E-2</v>
      </c>
      <c r="M101" s="854">
        <v>-4.1684377290546457E-2</v>
      </c>
      <c r="N101" s="854">
        <v>3.3571378025458655E-2</v>
      </c>
      <c r="O101" s="854">
        <v>2.932143509152409E-2</v>
      </c>
      <c r="P101" s="854">
        <v>2.8753612019630944E-2</v>
      </c>
      <c r="Q101" s="854">
        <v>2.9767198012932674E-2</v>
      </c>
      <c r="R101" s="854">
        <v>-1.9838408482512116E-3</v>
      </c>
      <c r="S101" s="854">
        <v>1.9301328220946358E-2</v>
      </c>
      <c r="T101" s="854">
        <v>6.9612799322751797E-3</v>
      </c>
      <c r="U101" s="854">
        <v>2.596920031657058E-3</v>
      </c>
      <c r="V101" s="854">
        <v>8.1646482839088912E-3</v>
      </c>
      <c r="W101" s="854">
        <v>-7.3927221467638615E-3</v>
      </c>
      <c r="X101" s="854">
        <v>3.2246231548893013E-3</v>
      </c>
      <c r="Y101" s="854">
        <v>1.0797732752208602E-2</v>
      </c>
      <c r="Z101" s="854">
        <v>-1.2058346177234395E-3</v>
      </c>
      <c r="AA101" s="854">
        <v>2.566358850948735E-3</v>
      </c>
      <c r="AB101" s="854">
        <v>7.7502034318347563E-4</v>
      </c>
      <c r="AC101" s="854">
        <v>-2.0808016619029927E-2</v>
      </c>
      <c r="AD101" s="854">
        <v>7.2915229103241606E-3</v>
      </c>
      <c r="AE101" s="854">
        <v>-1.9857817414011382E-3</v>
      </c>
      <c r="AF101" s="854">
        <v>1.0857417576905368E-2</v>
      </c>
      <c r="AG101" s="854">
        <v>8.1498580614601561E-5</v>
      </c>
      <c r="AH101" s="854">
        <v>-2.8546986000715447E-3</v>
      </c>
      <c r="AI101" s="854">
        <v>4.6066150645323782E-3</v>
      </c>
      <c r="AJ101" s="854">
        <v>2.5342681486808741E-3</v>
      </c>
      <c r="AK101" s="854">
        <v>3.0450201541322888E-3</v>
      </c>
      <c r="AL101" s="854">
        <v>1.4825406695778214E-3</v>
      </c>
      <c r="AM101" s="854">
        <v>1.7627490873703827E-3</v>
      </c>
      <c r="AN101" s="854">
        <v>2.6862386248587438E-3</v>
      </c>
      <c r="AO101" s="854">
        <v>2.3021633369239777E-3</v>
      </c>
      <c r="AP101" s="854">
        <v>2.2557423745725395E-3</v>
      </c>
      <c r="AQ101" s="854">
        <v>2.0978868186605705E-3</v>
      </c>
      <c r="AR101" s="854">
        <v>2.2209560484771794E-3</v>
      </c>
      <c r="AS101" s="854">
        <v>2.312597440698623E-3</v>
      </c>
      <c r="AT101" s="854">
        <v>2.2378692038664588E-3</v>
      </c>
      <c r="AU101" s="854">
        <v>2.2250103772552495E-3</v>
      </c>
      <c r="AV101" s="854">
        <v>2.2188639777916581E-3</v>
      </c>
      <c r="AW101" s="854">
        <v>2.2430594096178175E-3</v>
      </c>
      <c r="AX101" s="854">
        <v>2.2474800818460075E-3</v>
      </c>
      <c r="AY101" s="854">
        <v>2.2344566100753927E-3</v>
      </c>
      <c r="AZ101" s="854">
        <v>2.2337740913172667E-3</v>
      </c>
      <c r="BA101" s="854">
        <v>2.2355268341296207E-3</v>
      </c>
      <c r="BB101" s="854">
        <v>2.2388594053971804E-3</v>
      </c>
      <c r="BC101" s="854">
        <v>2.2380194045529983E-3</v>
      </c>
      <c r="BD101" s="854">
        <v>2.2361272690945067E-3</v>
      </c>
    </row>
    <row r="102" spans="1:63" ht="14.5" x14ac:dyDescent="0.3">
      <c r="A102" s="944"/>
      <c r="B102" s="125"/>
      <c r="C102" s="853"/>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c r="BB102" s="130"/>
      <c r="BC102" s="130"/>
      <c r="BD102" s="130"/>
    </row>
    <row r="103" spans="1:63" ht="14.5" x14ac:dyDescent="0.3">
      <c r="A103" s="944"/>
      <c r="B103" s="944"/>
      <c r="C103" s="45"/>
      <c r="D103" s="944"/>
      <c r="E103" s="944"/>
      <c r="F103" s="944"/>
      <c r="G103" s="944"/>
      <c r="H103" s="944"/>
      <c r="I103" s="944"/>
      <c r="J103" s="944"/>
      <c r="K103" s="944"/>
      <c r="L103" s="944"/>
      <c r="M103" s="944"/>
      <c r="N103" s="944"/>
      <c r="O103" s="944"/>
      <c r="P103" s="944"/>
      <c r="Q103" s="944"/>
      <c r="R103" s="944"/>
      <c r="S103" s="944"/>
      <c r="T103" s="944"/>
      <c r="U103" s="944"/>
      <c r="V103" s="944"/>
      <c r="W103" s="944"/>
      <c r="X103" s="944"/>
      <c r="Y103" s="944"/>
      <c r="Z103" s="944"/>
      <c r="AA103" s="944"/>
      <c r="AB103" s="944"/>
      <c r="AC103" s="944"/>
      <c r="AD103" s="944"/>
      <c r="AE103" s="944"/>
      <c r="AF103" s="944"/>
      <c r="AG103" s="944"/>
      <c r="AH103" s="944"/>
      <c r="AI103" s="944"/>
      <c r="AJ103" s="944"/>
      <c r="AK103" s="944"/>
      <c r="AL103" s="944"/>
      <c r="AM103" s="944"/>
      <c r="AN103" s="944"/>
      <c r="AO103" s="944"/>
      <c r="AP103" s="944"/>
      <c r="AQ103" s="944"/>
      <c r="AR103" s="944"/>
      <c r="AS103" s="944"/>
      <c r="AT103" s="944"/>
      <c r="AU103" s="944"/>
      <c r="AV103" s="944"/>
      <c r="AW103" s="944"/>
      <c r="AX103" s="944"/>
      <c r="AY103" s="944"/>
      <c r="AZ103" s="944"/>
      <c r="BA103" s="944"/>
      <c r="BB103" s="944"/>
      <c r="BC103" s="944"/>
      <c r="BD103" s="944"/>
    </row>
    <row r="104" spans="1:63" ht="14.5" x14ac:dyDescent="0.3">
      <c r="A104" s="944"/>
      <c r="B104" s="944"/>
      <c r="C104" s="45"/>
      <c r="D104" s="944"/>
      <c r="E104" s="944"/>
      <c r="F104" s="944"/>
      <c r="G104" s="944"/>
      <c r="H104" s="944"/>
      <c r="I104" s="944"/>
      <c r="J104" s="944"/>
      <c r="K104" s="944"/>
      <c r="L104" s="944"/>
      <c r="M104" s="944"/>
      <c r="N104" s="944"/>
      <c r="O104" s="944"/>
      <c r="P104" s="944"/>
      <c r="Q104" s="944"/>
      <c r="R104" s="944"/>
      <c r="S104" s="944"/>
      <c r="T104" s="944"/>
      <c r="U104" s="944"/>
      <c r="V104" s="944"/>
      <c r="W104" s="944"/>
      <c r="X104" s="944"/>
      <c r="Y104" s="944"/>
      <c r="Z104" s="944"/>
      <c r="AA104" s="944"/>
      <c r="AB104" s="944"/>
      <c r="AC104" s="944"/>
      <c r="AD104" s="944"/>
      <c r="AE104" s="944"/>
      <c r="AF104" s="944"/>
      <c r="AG104" s="944"/>
      <c r="AH104" s="944"/>
      <c r="AI104" s="944"/>
      <c r="AJ104" s="944"/>
      <c r="AK104" s="944"/>
      <c r="AL104" s="944"/>
      <c r="AM104" s="944"/>
      <c r="AN104" s="944"/>
      <c r="AO104" s="944"/>
      <c r="AP104" s="944"/>
      <c r="AQ104" s="944"/>
      <c r="AR104" s="944"/>
      <c r="AS104" s="944"/>
      <c r="AT104" s="944"/>
      <c r="AU104" s="944"/>
      <c r="AV104" s="944"/>
      <c r="AW104" s="944"/>
      <c r="AX104" s="944"/>
      <c r="AY104" s="944"/>
      <c r="AZ104" s="944"/>
      <c r="BA104" s="944"/>
      <c r="BB104" s="944"/>
      <c r="BC104" s="944"/>
      <c r="BD104" s="944"/>
    </row>
    <row r="105" spans="1:63" ht="14.5" x14ac:dyDescent="0.3">
      <c r="A105" s="944"/>
      <c r="B105" s="944"/>
      <c r="C105" s="45"/>
      <c r="D105" s="944"/>
      <c r="E105" s="944"/>
      <c r="F105" s="944"/>
      <c r="G105" s="944"/>
      <c r="H105" s="944"/>
      <c r="I105" s="944"/>
      <c r="J105" s="944"/>
      <c r="K105" s="944"/>
      <c r="L105" s="944"/>
      <c r="M105" s="944"/>
      <c r="N105" s="944"/>
      <c r="O105" s="944"/>
      <c r="P105" s="944"/>
      <c r="Q105" s="944"/>
      <c r="R105" s="944"/>
      <c r="S105" s="944"/>
      <c r="T105" s="944"/>
      <c r="U105" s="944"/>
      <c r="V105" s="944"/>
      <c r="W105" s="944"/>
      <c r="X105" s="944"/>
      <c r="Y105" s="944"/>
      <c r="Z105" s="944"/>
      <c r="AA105" s="944"/>
      <c r="AB105" s="944"/>
      <c r="AC105" s="944"/>
      <c r="AD105" s="944"/>
      <c r="AE105" s="944"/>
      <c r="AF105" s="944"/>
      <c r="AG105" s="944"/>
      <c r="AH105" s="944"/>
      <c r="AI105" s="944"/>
      <c r="AJ105" s="944"/>
      <c r="AK105" s="944"/>
      <c r="AL105" s="944"/>
      <c r="AM105" s="944"/>
      <c r="AN105" s="944"/>
      <c r="AO105" s="944"/>
      <c r="AP105" s="944"/>
      <c r="AQ105" s="944"/>
      <c r="AR105" s="944"/>
      <c r="AS105" s="944"/>
      <c r="AT105" s="944"/>
      <c r="AU105" s="944"/>
      <c r="AV105" s="944"/>
      <c r="AW105" s="944"/>
      <c r="AX105" s="944"/>
      <c r="AY105" s="944"/>
      <c r="AZ105" s="944"/>
      <c r="BA105" s="944"/>
      <c r="BB105" s="944"/>
      <c r="BC105" s="944"/>
      <c r="BD105" s="944"/>
    </row>
    <row r="106" spans="1:63" ht="14.5" x14ac:dyDescent="0.3">
      <c r="A106" s="944"/>
      <c r="B106" s="944"/>
      <c r="C106" s="45"/>
      <c r="D106" s="944"/>
      <c r="E106" s="944"/>
      <c r="F106" s="944"/>
      <c r="G106" s="944"/>
      <c r="H106" s="944"/>
      <c r="I106" s="944"/>
      <c r="J106" s="944"/>
      <c r="K106" s="944"/>
      <c r="L106" s="944"/>
      <c r="M106" s="944"/>
      <c r="N106" s="944"/>
      <c r="O106" s="944"/>
      <c r="P106" s="944"/>
      <c r="Q106" s="944"/>
      <c r="R106" s="944"/>
      <c r="S106" s="944"/>
      <c r="T106" s="944"/>
      <c r="U106" s="944"/>
      <c r="V106" s="944"/>
      <c r="W106" s="944"/>
      <c r="X106" s="944"/>
      <c r="Y106" s="944"/>
      <c r="Z106" s="944"/>
      <c r="AA106" s="944"/>
      <c r="AB106" s="944"/>
      <c r="AC106" s="944"/>
      <c r="AD106" s="944"/>
      <c r="AE106" s="944"/>
      <c r="AF106" s="944"/>
      <c r="AG106" s="944"/>
      <c r="AH106" s="944"/>
      <c r="AI106" s="944"/>
      <c r="AJ106" s="944"/>
      <c r="AK106" s="944"/>
      <c r="AL106" s="944"/>
      <c r="AM106" s="944"/>
      <c r="AN106" s="944"/>
      <c r="AO106" s="944"/>
      <c r="AP106" s="944"/>
      <c r="AQ106" s="944"/>
      <c r="AR106" s="944"/>
      <c r="AS106" s="944"/>
      <c r="AT106" s="944"/>
      <c r="AU106" s="944"/>
      <c r="AV106" s="944"/>
      <c r="AW106" s="944"/>
      <c r="AX106" s="944"/>
      <c r="AY106" s="944"/>
      <c r="AZ106" s="944"/>
      <c r="BA106" s="944"/>
      <c r="BB106" s="944"/>
      <c r="BC106" s="944"/>
      <c r="BD106" s="944"/>
    </row>
    <row r="107" spans="1:63" ht="14.5" x14ac:dyDescent="0.3">
      <c r="A107" s="944"/>
      <c r="B107" s="944"/>
      <c r="C107" s="45"/>
      <c r="D107" s="944"/>
      <c r="E107" s="944"/>
      <c r="F107" s="944"/>
      <c r="G107" s="944"/>
      <c r="H107" s="944"/>
      <c r="I107" s="944"/>
      <c r="J107" s="944"/>
      <c r="K107" s="944"/>
      <c r="L107" s="944"/>
      <c r="M107" s="944"/>
      <c r="N107" s="944"/>
      <c r="O107" s="944"/>
      <c r="P107" s="944"/>
      <c r="Q107" s="944"/>
      <c r="R107" s="944"/>
      <c r="S107" s="944"/>
      <c r="T107" s="944"/>
      <c r="U107" s="944"/>
      <c r="V107" s="944"/>
      <c r="W107" s="944"/>
      <c r="X107" s="944"/>
      <c r="Y107" s="944"/>
      <c r="Z107" s="944"/>
      <c r="AA107" s="944"/>
      <c r="AB107" s="944"/>
      <c r="AC107" s="944"/>
      <c r="AD107" s="944"/>
      <c r="AE107" s="944"/>
      <c r="AF107" s="944"/>
      <c r="AG107" s="944"/>
      <c r="AH107" s="944"/>
      <c r="AI107" s="944"/>
      <c r="AJ107" s="944"/>
      <c r="AK107" s="944"/>
      <c r="AL107" s="944"/>
      <c r="AM107" s="944"/>
      <c r="AN107" s="944"/>
      <c r="AO107" s="944"/>
      <c r="AP107" s="944"/>
      <c r="AQ107" s="944"/>
      <c r="AR107" s="944"/>
      <c r="AS107" s="944"/>
      <c r="AT107" s="944"/>
      <c r="AU107" s="944"/>
      <c r="AV107" s="944"/>
      <c r="AW107" s="944"/>
      <c r="AX107" s="944"/>
      <c r="AY107" s="944"/>
      <c r="AZ107" s="944"/>
      <c r="BA107" s="944"/>
      <c r="BB107" s="944"/>
      <c r="BC107" s="944"/>
      <c r="BD107" s="944"/>
    </row>
    <row r="108" spans="1:63" ht="14.5" x14ac:dyDescent="0.3">
      <c r="A108" s="944"/>
      <c r="B108" s="944"/>
      <c r="C108" s="45"/>
      <c r="D108" s="944"/>
      <c r="E108" s="944"/>
      <c r="F108" s="944"/>
      <c r="G108" s="944"/>
      <c r="H108" s="944"/>
      <c r="I108" s="944"/>
      <c r="J108" s="944"/>
      <c r="K108" s="944"/>
      <c r="L108" s="944"/>
      <c r="M108" s="944"/>
      <c r="N108" s="944"/>
      <c r="O108" s="944"/>
      <c r="P108" s="944"/>
      <c r="Q108" s="944"/>
      <c r="R108" s="944"/>
      <c r="S108" s="944"/>
      <c r="T108" s="944"/>
      <c r="U108" s="944"/>
      <c r="V108" s="944"/>
      <c r="W108" s="944"/>
      <c r="X108" s="944"/>
      <c r="Y108" s="944"/>
      <c r="Z108" s="944"/>
      <c r="AA108" s="944"/>
      <c r="AB108" s="944"/>
      <c r="AC108" s="944"/>
      <c r="AD108" s="944"/>
      <c r="AE108" s="944"/>
      <c r="AF108" s="944"/>
      <c r="AG108" s="944"/>
      <c r="AH108" s="944"/>
      <c r="AI108" s="944"/>
      <c r="AJ108" s="944"/>
      <c r="AK108" s="944"/>
      <c r="AL108" s="944"/>
      <c r="AM108" s="944"/>
      <c r="AN108" s="944"/>
      <c r="AO108" s="944"/>
      <c r="AP108" s="944"/>
      <c r="AQ108" s="944"/>
      <c r="AR108" s="944"/>
      <c r="AS108" s="944"/>
      <c r="AT108" s="944"/>
      <c r="AU108" s="944"/>
      <c r="AV108" s="944"/>
      <c r="AW108" s="944"/>
      <c r="AX108" s="944"/>
      <c r="AY108" s="944"/>
      <c r="AZ108" s="944"/>
      <c r="BA108" s="944"/>
      <c r="BB108" s="944"/>
      <c r="BC108" s="944"/>
      <c r="BD108" s="944"/>
    </row>
    <row r="109" spans="1:63" ht="14.5" x14ac:dyDescent="0.3">
      <c r="A109" s="944"/>
      <c r="B109" s="944"/>
      <c r="C109" s="45"/>
      <c r="D109" s="944"/>
      <c r="E109" s="944"/>
      <c r="F109" s="944"/>
      <c r="G109" s="944"/>
      <c r="H109" s="944"/>
      <c r="I109" s="944"/>
      <c r="J109" s="944"/>
      <c r="K109" s="944"/>
      <c r="L109" s="944"/>
      <c r="M109" s="944"/>
      <c r="N109" s="944"/>
      <c r="O109" s="944"/>
      <c r="P109" s="944"/>
      <c r="Q109" s="944"/>
      <c r="R109" s="944"/>
      <c r="S109" s="944"/>
      <c r="T109" s="944"/>
      <c r="U109" s="944"/>
      <c r="V109" s="944"/>
      <c r="W109" s="944"/>
      <c r="X109" s="944"/>
      <c r="Y109" s="944"/>
      <c r="Z109" s="944"/>
      <c r="AA109" s="944"/>
      <c r="AB109" s="944"/>
      <c r="AC109" s="944"/>
      <c r="AD109" s="944"/>
      <c r="AE109" s="944"/>
      <c r="AF109" s="944"/>
      <c r="AG109" s="944"/>
      <c r="AH109" s="944"/>
      <c r="AI109" s="944"/>
      <c r="AJ109" s="944"/>
      <c r="AK109" s="944"/>
      <c r="AL109" s="944"/>
      <c r="AM109" s="944"/>
      <c r="AN109" s="944"/>
      <c r="AO109" s="944"/>
      <c r="AP109" s="944"/>
      <c r="AQ109" s="944"/>
      <c r="AR109" s="944"/>
      <c r="AS109" s="944"/>
      <c r="AT109" s="944"/>
      <c r="AU109" s="944"/>
      <c r="AV109" s="944"/>
      <c r="AW109" s="944"/>
      <c r="AX109" s="944"/>
      <c r="AY109" s="944"/>
      <c r="AZ109" s="944"/>
      <c r="BA109" s="944"/>
      <c r="BB109" s="944"/>
      <c r="BC109" s="944"/>
      <c r="BD109" s="944"/>
    </row>
    <row r="110" spans="1:63" ht="14.5" x14ac:dyDescent="0.3">
      <c r="A110" s="944"/>
      <c r="B110" s="944"/>
      <c r="C110" s="45"/>
      <c r="D110" s="944"/>
      <c r="E110" s="944"/>
      <c r="F110" s="944"/>
      <c r="G110" s="944"/>
      <c r="H110" s="944"/>
      <c r="I110" s="944"/>
      <c r="J110" s="944"/>
      <c r="K110" s="944"/>
      <c r="L110" s="944"/>
      <c r="M110" s="944"/>
      <c r="N110" s="944"/>
      <c r="O110" s="944"/>
      <c r="P110" s="944"/>
      <c r="Q110" s="944"/>
      <c r="R110" s="944"/>
      <c r="S110" s="944"/>
      <c r="T110" s="944"/>
      <c r="U110" s="944"/>
      <c r="V110" s="944"/>
      <c r="W110" s="944"/>
      <c r="X110" s="944"/>
      <c r="Y110" s="944"/>
      <c r="Z110" s="944"/>
      <c r="AA110" s="944"/>
      <c r="AB110" s="944"/>
      <c r="AC110" s="944"/>
      <c r="AD110" s="944"/>
      <c r="AE110" s="944"/>
      <c r="AF110" s="944"/>
      <c r="AG110" s="944"/>
      <c r="AH110" s="944"/>
      <c r="AI110" s="944"/>
      <c r="AJ110" s="944"/>
      <c r="AK110" s="944"/>
      <c r="AL110" s="944"/>
      <c r="AM110" s="944"/>
      <c r="AN110" s="944"/>
      <c r="AO110" s="944"/>
      <c r="AP110" s="944"/>
      <c r="AQ110" s="944"/>
      <c r="AR110" s="944"/>
      <c r="AS110" s="944"/>
      <c r="AT110" s="944"/>
      <c r="AU110" s="944"/>
      <c r="AV110" s="944"/>
      <c r="AW110" s="944"/>
      <c r="AX110" s="944"/>
      <c r="AY110" s="944"/>
      <c r="AZ110" s="944"/>
      <c r="BA110" s="944"/>
      <c r="BB110" s="944"/>
      <c r="BC110" s="944"/>
      <c r="BD110" s="944"/>
    </row>
    <row r="111" spans="1:63" ht="14.5" x14ac:dyDescent="0.3">
      <c r="A111" s="944"/>
      <c r="B111" s="944"/>
      <c r="C111" s="45"/>
      <c r="D111" s="944"/>
      <c r="E111" s="944"/>
      <c r="F111" s="944"/>
      <c r="G111" s="944"/>
      <c r="H111" s="944"/>
      <c r="I111" s="944"/>
      <c r="J111" s="944"/>
      <c r="K111" s="944"/>
      <c r="L111" s="944"/>
      <c r="M111" s="944"/>
      <c r="N111" s="944"/>
      <c r="O111" s="944"/>
      <c r="P111" s="944"/>
      <c r="Q111" s="944"/>
      <c r="R111" s="944"/>
      <c r="S111" s="944"/>
      <c r="T111" s="944"/>
      <c r="U111" s="944"/>
      <c r="V111" s="944"/>
      <c r="W111" s="944"/>
      <c r="X111" s="944"/>
      <c r="Y111" s="944"/>
      <c r="Z111" s="944"/>
      <c r="AA111" s="944"/>
      <c r="AB111" s="944"/>
      <c r="AC111" s="944"/>
      <c r="AD111" s="944"/>
      <c r="AE111" s="944"/>
      <c r="AF111" s="944"/>
      <c r="AG111" s="944"/>
      <c r="AH111" s="944"/>
      <c r="AI111" s="944"/>
      <c r="AJ111" s="944"/>
      <c r="AK111" s="944"/>
      <c r="AL111" s="944"/>
      <c r="AM111" s="944"/>
      <c r="AN111" s="944"/>
      <c r="AO111" s="944"/>
      <c r="AP111" s="944"/>
      <c r="AQ111" s="944"/>
      <c r="AR111" s="944"/>
      <c r="AS111" s="944"/>
      <c r="AT111" s="944"/>
      <c r="AU111" s="944"/>
      <c r="AV111" s="944"/>
      <c r="AW111" s="944"/>
      <c r="AX111" s="944"/>
      <c r="AY111" s="944"/>
      <c r="AZ111" s="944"/>
      <c r="BA111" s="944"/>
      <c r="BB111" s="944"/>
      <c r="BC111" s="944"/>
      <c r="BD111" s="944"/>
    </row>
    <row r="112" spans="1:63" ht="14.5" x14ac:dyDescent="0.3">
      <c r="A112" s="944"/>
      <c r="B112" s="944"/>
      <c r="C112" s="45"/>
      <c r="D112" s="944"/>
      <c r="E112" s="944"/>
      <c r="F112" s="944"/>
      <c r="G112" s="944"/>
      <c r="H112" s="944"/>
      <c r="I112" s="944"/>
      <c r="J112" s="944"/>
      <c r="K112" s="944"/>
      <c r="L112" s="944"/>
      <c r="M112" s="944"/>
      <c r="N112" s="944"/>
      <c r="O112" s="944"/>
      <c r="P112" s="944"/>
      <c r="Q112" s="944"/>
      <c r="R112" s="944"/>
      <c r="S112" s="944"/>
      <c r="T112" s="944"/>
      <c r="U112" s="944"/>
      <c r="V112" s="944"/>
      <c r="W112" s="944"/>
      <c r="X112" s="944"/>
      <c r="Y112" s="944"/>
      <c r="Z112" s="944"/>
      <c r="AA112" s="944"/>
      <c r="AB112" s="944"/>
      <c r="AC112" s="944"/>
      <c r="AD112" s="944"/>
      <c r="AE112" s="944"/>
      <c r="AF112" s="944"/>
      <c r="AG112" s="944"/>
      <c r="AH112" s="944"/>
      <c r="AI112" s="944"/>
      <c r="AJ112" s="944"/>
      <c r="AK112" s="944"/>
      <c r="AL112" s="944"/>
      <c r="AM112" s="944"/>
      <c r="AN112" s="944"/>
      <c r="AO112" s="944"/>
      <c r="AP112" s="944"/>
      <c r="AQ112" s="944"/>
      <c r="AR112" s="944"/>
      <c r="AS112" s="944"/>
      <c r="AT112" s="944"/>
      <c r="AU112" s="944"/>
      <c r="AV112" s="944"/>
      <c r="AW112" s="944"/>
      <c r="AX112" s="944"/>
      <c r="AY112" s="944"/>
      <c r="AZ112" s="944"/>
      <c r="BA112" s="944"/>
      <c r="BB112" s="944"/>
      <c r="BC112" s="944"/>
      <c r="BD112" s="944"/>
    </row>
    <row r="113" spans="1:56" ht="14.5" x14ac:dyDescent="0.3">
      <c r="A113" s="944"/>
      <c r="B113" s="944"/>
      <c r="C113" s="45"/>
      <c r="D113" s="944"/>
      <c r="E113" s="944"/>
      <c r="F113" s="944"/>
      <c r="G113" s="944"/>
      <c r="H113" s="944"/>
      <c r="I113" s="944"/>
      <c r="J113" s="944"/>
      <c r="K113" s="944"/>
      <c r="L113" s="944"/>
      <c r="M113" s="944"/>
      <c r="N113" s="944"/>
      <c r="O113" s="944"/>
      <c r="P113" s="944"/>
      <c r="Q113" s="944"/>
      <c r="R113" s="944"/>
      <c r="S113" s="944"/>
      <c r="T113" s="944"/>
      <c r="U113" s="944"/>
      <c r="V113" s="944"/>
      <c r="W113" s="944"/>
      <c r="X113" s="944"/>
      <c r="Y113" s="944"/>
      <c r="Z113" s="944"/>
      <c r="AA113" s="944"/>
      <c r="AB113" s="944"/>
      <c r="AC113" s="944"/>
      <c r="AD113" s="944"/>
      <c r="AE113" s="944"/>
      <c r="AF113" s="944"/>
      <c r="AG113" s="944"/>
      <c r="AH113" s="944"/>
      <c r="AI113" s="944"/>
      <c r="AJ113" s="944"/>
      <c r="AK113" s="944"/>
      <c r="AL113" s="944"/>
      <c r="AM113" s="944"/>
      <c r="AN113" s="944"/>
      <c r="AO113" s="944"/>
      <c r="AP113" s="944"/>
      <c r="AQ113" s="944"/>
      <c r="AR113" s="944"/>
      <c r="AS113" s="944"/>
      <c r="AT113" s="944"/>
      <c r="AU113" s="944"/>
      <c r="AV113" s="944"/>
      <c r="AW113" s="944"/>
      <c r="AX113" s="944"/>
      <c r="AY113" s="944"/>
      <c r="AZ113" s="944"/>
      <c r="BA113" s="944"/>
      <c r="BB113" s="944"/>
      <c r="BC113" s="944"/>
      <c r="BD113" s="944"/>
    </row>
    <row r="114" spans="1:56" ht="14.5" x14ac:dyDescent="0.3">
      <c r="A114" s="944"/>
      <c r="B114" s="944"/>
      <c r="C114" s="45"/>
      <c r="D114" s="944"/>
      <c r="E114" s="944"/>
      <c r="F114" s="944"/>
      <c r="G114" s="944"/>
      <c r="H114" s="944"/>
      <c r="I114" s="944"/>
      <c r="J114" s="944"/>
      <c r="K114" s="944"/>
      <c r="L114" s="944"/>
      <c r="M114" s="944"/>
      <c r="N114" s="944"/>
      <c r="O114" s="944"/>
      <c r="P114" s="944"/>
      <c r="Q114" s="944"/>
      <c r="R114" s="944"/>
      <c r="S114" s="944"/>
      <c r="T114" s="944"/>
      <c r="U114" s="944"/>
      <c r="V114" s="944"/>
      <c r="W114" s="944"/>
      <c r="X114" s="944"/>
      <c r="Y114" s="944"/>
      <c r="Z114" s="944"/>
      <c r="AA114" s="944"/>
      <c r="AB114" s="944"/>
      <c r="AC114" s="944"/>
      <c r="AD114" s="944"/>
      <c r="AE114" s="944"/>
      <c r="AF114" s="944"/>
      <c r="AG114" s="944"/>
      <c r="AH114" s="944"/>
      <c r="AI114" s="944"/>
      <c r="AJ114" s="944"/>
      <c r="AK114" s="944"/>
      <c r="AL114" s="944"/>
      <c r="AM114" s="944"/>
      <c r="AN114" s="944"/>
      <c r="AO114" s="944"/>
      <c r="AP114" s="944"/>
      <c r="AQ114" s="944"/>
      <c r="AR114" s="944"/>
      <c r="AS114" s="944"/>
      <c r="AT114" s="944"/>
      <c r="AU114" s="944"/>
      <c r="AV114" s="944"/>
      <c r="AW114" s="944"/>
      <c r="AX114" s="944"/>
      <c r="AY114" s="944"/>
      <c r="AZ114" s="944"/>
      <c r="BA114" s="944"/>
      <c r="BB114" s="944"/>
      <c r="BC114" s="944"/>
      <c r="BD114" s="944"/>
    </row>
    <row r="115" spans="1:56" ht="14.5" x14ac:dyDescent="0.3">
      <c r="A115" s="944"/>
      <c r="B115" s="944"/>
      <c r="C115" s="45"/>
      <c r="D115" s="944"/>
      <c r="E115" s="944"/>
      <c r="F115" s="944"/>
      <c r="G115" s="944"/>
      <c r="H115" s="944"/>
      <c r="I115" s="944"/>
      <c r="J115" s="944"/>
      <c r="K115" s="944"/>
      <c r="L115" s="944"/>
      <c r="M115" s="944"/>
      <c r="N115" s="944"/>
      <c r="O115" s="944"/>
      <c r="P115" s="944"/>
      <c r="Q115" s="944"/>
      <c r="R115" s="944"/>
      <c r="S115" s="944"/>
      <c r="T115" s="944"/>
      <c r="U115" s="944"/>
      <c r="V115" s="944"/>
      <c r="W115" s="944"/>
      <c r="X115" s="944"/>
      <c r="Y115" s="944"/>
      <c r="Z115" s="944"/>
      <c r="AA115" s="944"/>
      <c r="AB115" s="944"/>
      <c r="AC115" s="944"/>
      <c r="AD115" s="944"/>
      <c r="AE115" s="944"/>
      <c r="AF115" s="944"/>
      <c r="AG115" s="944"/>
      <c r="AH115" s="944"/>
      <c r="AI115" s="944"/>
      <c r="AJ115" s="944"/>
      <c r="AK115" s="944"/>
      <c r="AL115" s="944"/>
      <c r="AM115" s="944"/>
      <c r="AN115" s="944"/>
      <c r="AO115" s="944"/>
      <c r="AP115" s="944"/>
      <c r="AQ115" s="944"/>
      <c r="AR115" s="944"/>
      <c r="AS115" s="944"/>
      <c r="AT115" s="944"/>
      <c r="AU115" s="944"/>
      <c r="AV115" s="944"/>
      <c r="AW115" s="944"/>
      <c r="AX115" s="944"/>
      <c r="AY115" s="944"/>
      <c r="AZ115" s="944"/>
      <c r="BA115" s="944"/>
      <c r="BB115" s="944"/>
      <c r="BC115" s="944"/>
      <c r="BD115" s="944"/>
    </row>
    <row r="116" spans="1:56" ht="14.5" x14ac:dyDescent="0.3">
      <c r="A116" s="944"/>
      <c r="B116" s="944"/>
      <c r="C116" s="45"/>
      <c r="D116" s="944"/>
      <c r="E116" s="944"/>
      <c r="F116" s="944"/>
      <c r="G116" s="944"/>
      <c r="H116" s="944"/>
      <c r="I116" s="944"/>
      <c r="J116" s="944"/>
      <c r="K116" s="944"/>
      <c r="L116" s="944"/>
      <c r="M116" s="944"/>
      <c r="N116" s="944"/>
      <c r="O116" s="944"/>
      <c r="P116" s="944"/>
      <c r="Q116" s="944"/>
      <c r="R116" s="944"/>
      <c r="S116" s="944"/>
      <c r="T116" s="944"/>
      <c r="U116" s="944"/>
      <c r="V116" s="944"/>
      <c r="W116" s="944"/>
      <c r="X116" s="944"/>
      <c r="Y116" s="944"/>
      <c r="Z116" s="944"/>
      <c r="AA116" s="944"/>
      <c r="AB116" s="944"/>
      <c r="AC116" s="944"/>
      <c r="AD116" s="944"/>
      <c r="AE116" s="944"/>
      <c r="AF116" s="944"/>
      <c r="AG116" s="944"/>
      <c r="AH116" s="944"/>
      <c r="AI116" s="944"/>
      <c r="AJ116" s="944"/>
      <c r="AK116" s="944"/>
      <c r="AL116" s="944"/>
      <c r="AM116" s="944"/>
      <c r="AN116" s="944"/>
      <c r="AO116" s="944"/>
      <c r="AP116" s="944"/>
      <c r="AQ116" s="944"/>
      <c r="AR116" s="944"/>
      <c r="AS116" s="944"/>
      <c r="AT116" s="944"/>
      <c r="AU116" s="944"/>
      <c r="AV116" s="944"/>
      <c r="AW116" s="944"/>
      <c r="AX116" s="944"/>
      <c r="AY116" s="944"/>
      <c r="AZ116" s="944"/>
      <c r="BA116" s="944"/>
      <c r="BB116" s="944"/>
      <c r="BC116" s="944"/>
      <c r="BD116" s="944"/>
    </row>
    <row r="117" spans="1:56" ht="14.5" x14ac:dyDescent="0.3">
      <c r="A117" s="944"/>
      <c r="B117" s="944"/>
      <c r="C117" s="45"/>
      <c r="D117" s="944"/>
      <c r="E117" s="944"/>
      <c r="F117" s="944"/>
      <c r="G117" s="944"/>
      <c r="H117" s="944"/>
      <c r="I117" s="944"/>
      <c r="J117" s="944"/>
      <c r="K117" s="944"/>
      <c r="L117" s="944"/>
      <c r="M117" s="944"/>
      <c r="N117" s="944"/>
      <c r="O117" s="944"/>
      <c r="P117" s="944"/>
      <c r="Q117" s="944"/>
      <c r="R117" s="944"/>
      <c r="S117" s="944"/>
      <c r="T117" s="944"/>
      <c r="U117" s="944"/>
      <c r="V117" s="944"/>
      <c r="W117" s="944"/>
      <c r="X117" s="944"/>
      <c r="Y117" s="944"/>
      <c r="Z117" s="944"/>
      <c r="AA117" s="944"/>
      <c r="AB117" s="944"/>
      <c r="AC117" s="944"/>
      <c r="AD117" s="944"/>
      <c r="AE117" s="944"/>
      <c r="AF117" s="944"/>
      <c r="AG117" s="944"/>
      <c r="AH117" s="944"/>
      <c r="AI117" s="944"/>
      <c r="AJ117" s="944"/>
      <c r="AK117" s="944"/>
      <c r="AL117" s="944"/>
      <c r="AM117" s="944"/>
      <c r="AN117" s="944"/>
      <c r="AO117" s="944"/>
      <c r="AP117" s="944"/>
      <c r="AQ117" s="944"/>
      <c r="AR117" s="944"/>
      <c r="AS117" s="944"/>
      <c r="AT117" s="944"/>
      <c r="AU117" s="944"/>
      <c r="AV117" s="944"/>
      <c r="AW117" s="944"/>
      <c r="AX117" s="944"/>
      <c r="AY117" s="944"/>
      <c r="AZ117" s="944"/>
      <c r="BA117" s="944"/>
      <c r="BB117" s="944"/>
      <c r="BC117" s="944"/>
      <c r="BD117" s="944"/>
    </row>
    <row r="118" spans="1:56" ht="14.5" x14ac:dyDescent="0.3">
      <c r="A118" s="944"/>
      <c r="B118" s="944"/>
      <c r="C118" s="45"/>
      <c r="D118" s="944"/>
      <c r="E118" s="944"/>
      <c r="F118" s="944"/>
      <c r="G118" s="944"/>
      <c r="H118" s="944"/>
      <c r="I118" s="944"/>
      <c r="J118" s="944"/>
      <c r="K118" s="944"/>
      <c r="L118" s="944"/>
      <c r="M118" s="944"/>
      <c r="N118" s="944"/>
      <c r="O118" s="944"/>
      <c r="P118" s="944"/>
      <c r="Q118" s="944"/>
      <c r="R118" s="944"/>
      <c r="S118" s="944"/>
      <c r="T118" s="944"/>
      <c r="U118" s="944"/>
      <c r="V118" s="944"/>
      <c r="W118" s="944"/>
      <c r="X118" s="944"/>
      <c r="Y118" s="944"/>
      <c r="Z118" s="944"/>
      <c r="AA118" s="944"/>
      <c r="AB118" s="944"/>
      <c r="AC118" s="944"/>
      <c r="AD118" s="944"/>
      <c r="AE118" s="944"/>
      <c r="AF118" s="944"/>
      <c r="AG118" s="944"/>
      <c r="AH118" s="944"/>
      <c r="AI118" s="944"/>
      <c r="AJ118" s="944"/>
      <c r="AK118" s="944"/>
      <c r="AL118" s="944"/>
      <c r="AM118" s="944"/>
      <c r="AN118" s="944"/>
      <c r="AO118" s="944"/>
      <c r="AP118" s="944"/>
      <c r="AQ118" s="944"/>
      <c r="AR118" s="944"/>
      <c r="AS118" s="944"/>
      <c r="AT118" s="944"/>
      <c r="AU118" s="944"/>
      <c r="AV118" s="944"/>
      <c r="AW118" s="944"/>
      <c r="AX118" s="944"/>
      <c r="AY118" s="944"/>
      <c r="AZ118" s="944"/>
      <c r="BA118" s="944"/>
      <c r="BB118" s="944"/>
      <c r="BC118" s="944"/>
      <c r="BD118" s="944"/>
    </row>
    <row r="119" spans="1:56" ht="14.5" x14ac:dyDescent="0.3">
      <c r="A119" s="944"/>
      <c r="B119" s="944"/>
      <c r="C119" s="45"/>
      <c r="D119" s="944"/>
      <c r="E119" s="944"/>
      <c r="F119" s="944"/>
      <c r="G119" s="944"/>
      <c r="H119" s="944"/>
      <c r="I119" s="944"/>
      <c r="J119" s="944"/>
      <c r="K119" s="944"/>
      <c r="L119" s="944"/>
      <c r="M119" s="944"/>
      <c r="N119" s="944"/>
      <c r="O119" s="944"/>
      <c r="P119" s="944"/>
      <c r="Q119" s="944"/>
      <c r="R119" s="944"/>
      <c r="S119" s="944"/>
      <c r="T119" s="944"/>
      <c r="U119" s="944"/>
      <c r="V119" s="944"/>
      <c r="W119" s="944"/>
      <c r="X119" s="944"/>
      <c r="Y119" s="944"/>
      <c r="Z119" s="944"/>
      <c r="AA119" s="944"/>
      <c r="AB119" s="944"/>
      <c r="AC119" s="944"/>
      <c r="AD119" s="944"/>
      <c r="AE119" s="944"/>
      <c r="AF119" s="944"/>
      <c r="AG119" s="944"/>
      <c r="AH119" s="944"/>
      <c r="AI119" s="944"/>
      <c r="AJ119" s="944"/>
      <c r="AK119" s="944"/>
      <c r="AL119" s="944"/>
      <c r="AM119" s="944"/>
      <c r="AN119" s="944"/>
      <c r="AO119" s="944"/>
      <c r="AP119" s="944"/>
      <c r="AQ119" s="944"/>
      <c r="AR119" s="944"/>
      <c r="AS119" s="944"/>
      <c r="AT119" s="944"/>
      <c r="AU119" s="944"/>
      <c r="AV119" s="944"/>
      <c r="AW119" s="944"/>
      <c r="AX119" s="944"/>
      <c r="AY119" s="944"/>
      <c r="AZ119" s="944"/>
      <c r="BA119" s="944"/>
      <c r="BB119" s="944"/>
      <c r="BC119" s="944"/>
      <c r="BD119" s="944"/>
    </row>
    <row r="120" spans="1:56" ht="14.5" x14ac:dyDescent="0.3">
      <c r="A120" s="944"/>
      <c r="B120" s="944"/>
      <c r="C120" s="45"/>
      <c r="D120" s="944"/>
      <c r="E120" s="944"/>
      <c r="F120" s="944"/>
      <c r="G120" s="944"/>
      <c r="H120" s="944"/>
      <c r="I120" s="944"/>
      <c r="J120" s="944"/>
      <c r="K120" s="944"/>
      <c r="L120" s="944"/>
      <c r="M120" s="944"/>
      <c r="N120" s="944"/>
      <c r="O120" s="944"/>
      <c r="P120" s="944"/>
      <c r="Q120" s="944"/>
      <c r="R120" s="944"/>
      <c r="S120" s="944"/>
      <c r="T120" s="944"/>
      <c r="U120" s="944"/>
      <c r="V120" s="944"/>
      <c r="W120" s="944"/>
      <c r="X120" s="944"/>
      <c r="Y120" s="944"/>
      <c r="Z120" s="944"/>
      <c r="AA120" s="944"/>
      <c r="AB120" s="944"/>
      <c r="AC120" s="944"/>
      <c r="AD120" s="944"/>
      <c r="AE120" s="944"/>
      <c r="AF120" s="944"/>
      <c r="AG120" s="944"/>
      <c r="AH120" s="944"/>
      <c r="AI120" s="944"/>
      <c r="AJ120" s="944"/>
      <c r="AK120" s="944"/>
      <c r="AL120" s="944"/>
      <c r="AM120" s="944"/>
      <c r="AN120" s="944"/>
      <c r="AO120" s="944"/>
      <c r="AP120" s="944"/>
      <c r="AQ120" s="944"/>
      <c r="AR120" s="944"/>
      <c r="AS120" s="944"/>
      <c r="AT120" s="944"/>
      <c r="AU120" s="944"/>
      <c r="AV120" s="944"/>
      <c r="AW120" s="944"/>
      <c r="AX120" s="944"/>
      <c r="AY120" s="944"/>
      <c r="AZ120" s="944"/>
      <c r="BA120" s="944"/>
      <c r="BB120" s="944"/>
      <c r="BC120" s="944"/>
      <c r="BD120" s="944"/>
    </row>
    <row r="121" spans="1:56" ht="14.5" x14ac:dyDescent="0.3">
      <c r="A121" s="944"/>
      <c r="B121" s="944"/>
      <c r="C121" s="45"/>
      <c r="D121" s="944"/>
      <c r="E121" s="944"/>
      <c r="F121" s="944"/>
      <c r="G121" s="944"/>
      <c r="H121" s="944"/>
      <c r="I121" s="944"/>
      <c r="J121" s="944"/>
      <c r="K121" s="944"/>
      <c r="L121" s="944"/>
      <c r="M121" s="944"/>
      <c r="N121" s="944"/>
      <c r="O121" s="944"/>
      <c r="P121" s="944"/>
      <c r="Q121" s="944"/>
      <c r="R121" s="944"/>
      <c r="S121" s="944"/>
      <c r="T121" s="944"/>
      <c r="U121" s="944"/>
      <c r="V121" s="944"/>
      <c r="W121" s="944"/>
      <c r="X121" s="944"/>
      <c r="Y121" s="944"/>
      <c r="Z121" s="944"/>
      <c r="AA121" s="944"/>
      <c r="AB121" s="944"/>
      <c r="AC121" s="944"/>
      <c r="AD121" s="944"/>
      <c r="AE121" s="944"/>
      <c r="AF121" s="944"/>
      <c r="AG121" s="944"/>
      <c r="AH121" s="944"/>
      <c r="AI121" s="944"/>
      <c r="AJ121" s="944"/>
      <c r="AK121" s="944"/>
      <c r="AL121" s="944"/>
      <c r="AM121" s="944"/>
      <c r="AN121" s="944"/>
      <c r="AO121" s="944"/>
      <c r="AP121" s="944"/>
      <c r="AQ121" s="944"/>
      <c r="AR121" s="944"/>
      <c r="AS121" s="944"/>
      <c r="AT121" s="944"/>
      <c r="AU121" s="944"/>
      <c r="AV121" s="944"/>
      <c r="AW121" s="944"/>
      <c r="AX121" s="944"/>
      <c r="AY121" s="944"/>
      <c r="AZ121" s="944"/>
      <c r="BA121" s="944"/>
      <c r="BB121" s="944"/>
      <c r="BC121" s="944"/>
      <c r="BD121" s="944"/>
    </row>
    <row r="122" spans="1:56" ht="14.5" x14ac:dyDescent="0.3">
      <c r="A122" s="944"/>
      <c r="B122" s="944"/>
      <c r="C122" s="45"/>
      <c r="D122" s="944"/>
      <c r="E122" s="944"/>
      <c r="F122" s="944"/>
      <c r="G122" s="944"/>
      <c r="H122" s="944"/>
      <c r="I122" s="944"/>
      <c r="J122" s="944"/>
      <c r="K122" s="944"/>
      <c r="L122" s="944"/>
      <c r="M122" s="944"/>
      <c r="N122" s="944"/>
      <c r="O122" s="944"/>
      <c r="P122" s="944"/>
      <c r="Q122" s="944"/>
      <c r="R122" s="944"/>
      <c r="S122" s="944"/>
      <c r="T122" s="944"/>
      <c r="U122" s="944"/>
      <c r="V122" s="944"/>
      <c r="W122" s="944"/>
      <c r="X122" s="944"/>
      <c r="Y122" s="944"/>
      <c r="Z122" s="944"/>
      <c r="AA122" s="944"/>
      <c r="AB122" s="944"/>
      <c r="AC122" s="944"/>
      <c r="AD122" s="944"/>
      <c r="AE122" s="944"/>
      <c r="AF122" s="944"/>
      <c r="AG122" s="944"/>
      <c r="AH122" s="944"/>
      <c r="AI122" s="944"/>
      <c r="AJ122" s="944"/>
      <c r="AK122" s="944"/>
      <c r="AL122" s="944"/>
      <c r="AM122" s="944"/>
      <c r="AN122" s="944"/>
      <c r="AO122" s="944"/>
      <c r="AP122" s="944"/>
      <c r="AQ122" s="944"/>
      <c r="AR122" s="944"/>
      <c r="AS122" s="944"/>
      <c r="AT122" s="944"/>
      <c r="AU122" s="944"/>
      <c r="AV122" s="944"/>
      <c r="AW122" s="944"/>
      <c r="AX122" s="944"/>
      <c r="AY122" s="944"/>
      <c r="AZ122" s="944"/>
      <c r="BA122" s="944"/>
      <c r="BB122" s="944"/>
      <c r="BC122" s="944"/>
      <c r="BD122" s="944"/>
    </row>
    <row r="123" spans="1:56" ht="14.5" x14ac:dyDescent="0.3">
      <c r="A123" s="944"/>
      <c r="B123" s="944"/>
      <c r="C123" s="45"/>
      <c r="D123" s="944"/>
      <c r="E123" s="944"/>
      <c r="F123" s="944"/>
      <c r="G123" s="944"/>
      <c r="H123" s="944"/>
      <c r="I123" s="944"/>
      <c r="J123" s="944"/>
      <c r="K123" s="944"/>
      <c r="L123" s="944"/>
      <c r="M123" s="944"/>
      <c r="N123" s="944"/>
      <c r="O123" s="944"/>
      <c r="P123" s="944"/>
      <c r="Q123" s="944"/>
      <c r="R123" s="944"/>
      <c r="S123" s="944"/>
      <c r="T123" s="944"/>
      <c r="U123" s="944"/>
      <c r="V123" s="944"/>
      <c r="W123" s="944"/>
      <c r="X123" s="944"/>
      <c r="Y123" s="944"/>
      <c r="Z123" s="944"/>
      <c r="AA123" s="944"/>
      <c r="AB123" s="944"/>
      <c r="AC123" s="944"/>
      <c r="AD123" s="944"/>
      <c r="AE123" s="944"/>
      <c r="AF123" s="944"/>
      <c r="AG123" s="944"/>
      <c r="AH123" s="944"/>
      <c r="AI123" s="944"/>
      <c r="AJ123" s="944"/>
      <c r="AK123" s="944"/>
      <c r="AL123" s="944"/>
      <c r="AM123" s="944"/>
      <c r="AN123" s="944"/>
      <c r="AO123" s="944"/>
      <c r="AP123" s="944"/>
      <c r="AQ123" s="944"/>
      <c r="AR123" s="944"/>
      <c r="AS123" s="944"/>
      <c r="AT123" s="944"/>
      <c r="AU123" s="944"/>
      <c r="AV123" s="944"/>
      <c r="AW123" s="944"/>
      <c r="AX123" s="944"/>
      <c r="AY123" s="944"/>
      <c r="AZ123" s="944"/>
      <c r="BA123" s="944"/>
      <c r="BB123" s="944"/>
      <c r="BC123" s="944"/>
      <c r="BD123" s="944"/>
    </row>
    <row r="124" spans="1:56" ht="14.5" x14ac:dyDescent="0.3">
      <c r="A124" s="944"/>
      <c r="B124" s="944"/>
      <c r="C124" s="45"/>
      <c r="D124" s="944"/>
      <c r="E124" s="944"/>
      <c r="F124" s="944"/>
      <c r="G124" s="944"/>
      <c r="H124" s="944"/>
      <c r="I124" s="944"/>
      <c r="J124" s="944"/>
      <c r="K124" s="944"/>
      <c r="L124" s="944"/>
      <c r="M124" s="944"/>
      <c r="N124" s="944"/>
      <c r="O124" s="944"/>
      <c r="P124" s="944"/>
      <c r="Q124" s="944"/>
      <c r="R124" s="944"/>
      <c r="S124" s="944"/>
      <c r="T124" s="944"/>
      <c r="U124" s="944"/>
      <c r="V124" s="944"/>
      <c r="W124" s="944"/>
      <c r="X124" s="944"/>
      <c r="Y124" s="944"/>
      <c r="Z124" s="944"/>
      <c r="AA124" s="944"/>
      <c r="AB124" s="944"/>
      <c r="AC124" s="944"/>
      <c r="AD124" s="944"/>
      <c r="AE124" s="944"/>
      <c r="AF124" s="944"/>
      <c r="AG124" s="944"/>
      <c r="AH124" s="944"/>
      <c r="AI124" s="944"/>
      <c r="AJ124" s="944"/>
      <c r="AK124" s="944"/>
      <c r="AL124" s="944"/>
      <c r="AM124" s="944"/>
      <c r="AN124" s="944"/>
      <c r="AO124" s="944"/>
      <c r="AP124" s="944"/>
      <c r="AQ124" s="944"/>
      <c r="AR124" s="944"/>
      <c r="AS124" s="944"/>
      <c r="AT124" s="944"/>
      <c r="AU124" s="944"/>
      <c r="AV124" s="944"/>
      <c r="AW124" s="944"/>
      <c r="AX124" s="944"/>
      <c r="AY124" s="944"/>
      <c r="AZ124" s="944"/>
      <c r="BA124" s="944"/>
      <c r="BB124" s="944"/>
      <c r="BC124" s="944"/>
      <c r="BD124" s="944"/>
    </row>
    <row r="125" spans="1:56" ht="14.5" x14ac:dyDescent="0.3">
      <c r="A125" s="944"/>
      <c r="B125" s="944"/>
      <c r="C125" s="45"/>
      <c r="D125" s="944"/>
      <c r="E125" s="944"/>
      <c r="F125" s="944"/>
      <c r="G125" s="944"/>
      <c r="H125" s="944"/>
      <c r="I125" s="944"/>
      <c r="J125" s="944"/>
      <c r="K125" s="944"/>
      <c r="L125" s="944"/>
      <c r="M125" s="944"/>
      <c r="N125" s="944"/>
      <c r="O125" s="944"/>
      <c r="P125" s="944"/>
      <c r="Q125" s="944"/>
      <c r="R125" s="944"/>
      <c r="S125" s="944"/>
      <c r="T125" s="944"/>
      <c r="U125" s="944"/>
      <c r="V125" s="944"/>
      <c r="W125" s="944"/>
      <c r="X125" s="944"/>
      <c r="Y125" s="944"/>
      <c r="Z125" s="944"/>
      <c r="AA125" s="944"/>
      <c r="AB125" s="944"/>
      <c r="AC125" s="944"/>
      <c r="AD125" s="944"/>
      <c r="AE125" s="944"/>
      <c r="AF125" s="944"/>
      <c r="AG125" s="944"/>
      <c r="AH125" s="944"/>
      <c r="AI125" s="944"/>
      <c r="AJ125" s="944"/>
      <c r="AK125" s="944"/>
      <c r="AL125" s="944"/>
      <c r="AM125" s="944"/>
      <c r="AN125" s="944"/>
      <c r="AO125" s="944"/>
      <c r="AP125" s="944"/>
      <c r="AQ125" s="944"/>
      <c r="AR125" s="944"/>
      <c r="AS125" s="944"/>
      <c r="AT125" s="944"/>
      <c r="AU125" s="944"/>
      <c r="AV125" s="944"/>
      <c r="AW125" s="944"/>
      <c r="AX125" s="944"/>
      <c r="AY125" s="944"/>
      <c r="AZ125" s="944"/>
      <c r="BA125" s="944"/>
      <c r="BB125" s="944"/>
      <c r="BC125" s="944"/>
      <c r="BD125" s="944"/>
    </row>
    <row r="126" spans="1:56" ht="14.5" x14ac:dyDescent="0.3">
      <c r="A126" s="944"/>
      <c r="B126" s="944"/>
      <c r="C126" s="45"/>
      <c r="D126" s="944"/>
      <c r="E126" s="944"/>
      <c r="F126" s="944"/>
      <c r="G126" s="944"/>
      <c r="H126" s="944"/>
      <c r="I126" s="944"/>
      <c r="J126" s="944"/>
      <c r="K126" s="944"/>
      <c r="L126" s="944"/>
      <c r="M126" s="944"/>
      <c r="N126" s="944"/>
      <c r="O126" s="944"/>
      <c r="P126" s="944"/>
      <c r="Q126" s="944"/>
      <c r="R126" s="944"/>
      <c r="S126" s="944"/>
      <c r="T126" s="944"/>
      <c r="U126" s="944"/>
      <c r="V126" s="944"/>
      <c r="W126" s="944"/>
      <c r="X126" s="944"/>
      <c r="Y126" s="944"/>
      <c r="Z126" s="944"/>
      <c r="AA126" s="944"/>
      <c r="AB126" s="944"/>
      <c r="AC126" s="944"/>
      <c r="AD126" s="944"/>
      <c r="AE126" s="944"/>
      <c r="AF126" s="944"/>
      <c r="AG126" s="944"/>
      <c r="AH126" s="944"/>
      <c r="AI126" s="944"/>
      <c r="AJ126" s="944"/>
      <c r="AK126" s="944"/>
      <c r="AL126" s="944"/>
      <c r="AM126" s="944"/>
      <c r="AN126" s="944"/>
      <c r="AO126" s="944"/>
      <c r="AP126" s="944"/>
      <c r="AQ126" s="944"/>
      <c r="AR126" s="944"/>
      <c r="AS126" s="944"/>
      <c r="AT126" s="944"/>
      <c r="AU126" s="944"/>
      <c r="AV126" s="944"/>
      <c r="AW126" s="944"/>
      <c r="AX126" s="944"/>
      <c r="AY126" s="944"/>
      <c r="AZ126" s="944"/>
      <c r="BA126" s="944"/>
      <c r="BB126" s="944"/>
      <c r="BC126" s="944"/>
      <c r="BD126" s="944"/>
    </row>
    <row r="127" spans="1:56" ht="14.5" x14ac:dyDescent="0.3">
      <c r="A127" s="944"/>
      <c r="B127" s="944"/>
      <c r="C127" s="45"/>
      <c r="D127" s="944"/>
      <c r="E127" s="944"/>
      <c r="F127" s="944"/>
      <c r="G127" s="944"/>
      <c r="H127" s="944"/>
      <c r="I127" s="944"/>
      <c r="J127" s="944"/>
      <c r="K127" s="944"/>
      <c r="L127" s="944"/>
      <c r="M127" s="944"/>
      <c r="N127" s="944"/>
      <c r="O127" s="944"/>
      <c r="P127" s="944"/>
      <c r="Q127" s="944"/>
      <c r="R127" s="944"/>
      <c r="S127" s="944"/>
      <c r="T127" s="944"/>
      <c r="U127" s="944"/>
      <c r="V127" s="944"/>
      <c r="W127" s="944"/>
      <c r="X127" s="944"/>
      <c r="Y127" s="944"/>
      <c r="Z127" s="944"/>
      <c r="AA127" s="944"/>
      <c r="AB127" s="944"/>
      <c r="AC127" s="944"/>
      <c r="AD127" s="944"/>
      <c r="AE127" s="944"/>
      <c r="AF127" s="944"/>
      <c r="AG127" s="944"/>
      <c r="AH127" s="944"/>
      <c r="AI127" s="944"/>
      <c r="AJ127" s="944"/>
      <c r="AK127" s="944"/>
      <c r="AL127" s="944"/>
      <c r="AM127" s="944"/>
      <c r="AN127" s="944"/>
      <c r="AO127" s="944"/>
      <c r="AP127" s="944"/>
      <c r="AQ127" s="944"/>
      <c r="AR127" s="944"/>
      <c r="AS127" s="944"/>
      <c r="AT127" s="944"/>
      <c r="AU127" s="944"/>
      <c r="AV127" s="944"/>
      <c r="AW127" s="944"/>
      <c r="AX127" s="944"/>
      <c r="AY127" s="944"/>
      <c r="AZ127" s="944"/>
      <c r="BA127" s="944"/>
      <c r="BB127" s="944"/>
      <c r="BC127" s="944"/>
      <c r="BD127" s="944"/>
    </row>
    <row r="128" spans="1:56" ht="14.5" x14ac:dyDescent="0.3">
      <c r="A128" s="944"/>
      <c r="B128" s="944"/>
      <c r="C128" s="45"/>
      <c r="D128" s="944"/>
      <c r="E128" s="944"/>
      <c r="F128" s="944"/>
      <c r="G128" s="944"/>
      <c r="H128" s="944"/>
      <c r="I128" s="944"/>
      <c r="J128" s="944"/>
      <c r="K128" s="944"/>
      <c r="L128" s="944"/>
      <c r="M128" s="944"/>
      <c r="N128" s="944"/>
      <c r="O128" s="944"/>
      <c r="P128" s="944"/>
      <c r="Q128" s="944"/>
      <c r="R128" s="944"/>
      <c r="S128" s="944"/>
      <c r="T128" s="944"/>
      <c r="U128" s="944"/>
      <c r="V128" s="944"/>
      <c r="W128" s="944"/>
      <c r="X128" s="944"/>
      <c r="Y128" s="944"/>
      <c r="Z128" s="944"/>
      <c r="AA128" s="944"/>
      <c r="AB128" s="944"/>
      <c r="AC128" s="944"/>
      <c r="AD128" s="944"/>
      <c r="AE128" s="944"/>
      <c r="AF128" s="944"/>
      <c r="AG128" s="944"/>
      <c r="AH128" s="944"/>
      <c r="AI128" s="944"/>
      <c r="AJ128" s="944"/>
      <c r="AK128" s="944"/>
      <c r="AL128" s="944"/>
      <c r="AM128" s="944"/>
      <c r="AN128" s="944"/>
      <c r="AO128" s="944"/>
      <c r="AP128" s="944"/>
      <c r="AQ128" s="944"/>
      <c r="AR128" s="944"/>
      <c r="AS128" s="944"/>
      <c r="AT128" s="944"/>
      <c r="AU128" s="944"/>
      <c r="AV128" s="944"/>
      <c r="AW128" s="944"/>
      <c r="AX128" s="944"/>
      <c r="AY128" s="944"/>
      <c r="AZ128" s="944"/>
      <c r="BA128" s="944"/>
      <c r="BB128" s="944"/>
      <c r="BC128" s="944"/>
      <c r="BD128" s="944"/>
    </row>
    <row r="129" spans="1:56" ht="14.5" x14ac:dyDescent="0.3">
      <c r="A129" s="944"/>
      <c r="B129" s="944"/>
      <c r="C129" s="45"/>
      <c r="D129" s="944"/>
      <c r="E129" s="944"/>
      <c r="F129" s="944"/>
      <c r="G129" s="944"/>
      <c r="H129" s="944"/>
      <c r="I129" s="944"/>
      <c r="J129" s="944"/>
      <c r="K129" s="944"/>
      <c r="L129" s="944"/>
      <c r="M129" s="944"/>
      <c r="N129" s="944"/>
      <c r="O129" s="944"/>
      <c r="P129" s="944"/>
      <c r="Q129" s="944"/>
      <c r="R129" s="944"/>
      <c r="S129" s="944"/>
      <c r="T129" s="944"/>
      <c r="U129" s="944"/>
      <c r="V129" s="944"/>
      <c r="W129" s="944"/>
      <c r="X129" s="944"/>
      <c r="Y129" s="944"/>
      <c r="Z129" s="944"/>
      <c r="AA129" s="944"/>
      <c r="AB129" s="944"/>
      <c r="AC129" s="944"/>
      <c r="AD129" s="944"/>
      <c r="AE129" s="944"/>
      <c r="AF129" s="944"/>
      <c r="AG129" s="944"/>
      <c r="AH129" s="944"/>
      <c r="AI129" s="944"/>
      <c r="AJ129" s="944"/>
      <c r="AK129" s="944"/>
      <c r="AL129" s="944"/>
      <c r="AM129" s="944"/>
      <c r="AN129" s="944"/>
      <c r="AO129" s="944"/>
      <c r="AP129" s="944"/>
      <c r="AQ129" s="944"/>
      <c r="AR129" s="944"/>
      <c r="AS129" s="944"/>
      <c r="AT129" s="944"/>
      <c r="AU129" s="944"/>
      <c r="AV129" s="944"/>
      <c r="AW129" s="944"/>
      <c r="AX129" s="944"/>
      <c r="AY129" s="944"/>
      <c r="AZ129" s="944"/>
      <c r="BA129" s="944"/>
      <c r="BB129" s="944"/>
      <c r="BC129" s="944"/>
      <c r="BD129" s="944"/>
    </row>
    <row r="130" spans="1:56" ht="14.5" x14ac:dyDescent="0.3">
      <c r="A130" s="944"/>
      <c r="B130" s="944"/>
      <c r="C130" s="45"/>
      <c r="D130" s="944"/>
      <c r="E130" s="944"/>
      <c r="F130" s="944"/>
      <c r="G130" s="944"/>
      <c r="H130" s="944"/>
      <c r="I130" s="944"/>
      <c r="J130" s="944"/>
      <c r="K130" s="944"/>
      <c r="L130" s="944"/>
      <c r="M130" s="944"/>
      <c r="N130" s="944"/>
      <c r="O130" s="944"/>
      <c r="P130" s="944"/>
      <c r="Q130" s="944"/>
      <c r="R130" s="944"/>
      <c r="S130" s="944"/>
      <c r="T130" s="944"/>
      <c r="U130" s="944"/>
      <c r="V130" s="944"/>
      <c r="W130" s="944"/>
      <c r="X130" s="944"/>
      <c r="Y130" s="944"/>
      <c r="Z130" s="944"/>
      <c r="AA130" s="944"/>
      <c r="AB130" s="944"/>
      <c r="AC130" s="944"/>
      <c r="AD130" s="944"/>
      <c r="AE130" s="944"/>
      <c r="AF130" s="944"/>
      <c r="AG130" s="944"/>
      <c r="AH130" s="944"/>
      <c r="AI130" s="944"/>
      <c r="AJ130" s="944"/>
      <c r="AK130" s="944"/>
      <c r="AL130" s="944"/>
      <c r="AM130" s="944"/>
      <c r="AN130" s="944"/>
      <c r="AO130" s="944"/>
      <c r="AP130" s="944"/>
      <c r="AQ130" s="944"/>
      <c r="AR130" s="944"/>
      <c r="AS130" s="944"/>
      <c r="AT130" s="944"/>
      <c r="AU130" s="944"/>
      <c r="AV130" s="944"/>
      <c r="AW130" s="944"/>
      <c r="AX130" s="944"/>
      <c r="AY130" s="944"/>
      <c r="AZ130" s="944"/>
      <c r="BA130" s="944"/>
      <c r="BB130" s="944"/>
      <c r="BC130" s="944"/>
      <c r="BD130" s="944"/>
    </row>
    <row r="131" spans="1:56" ht="14.5" x14ac:dyDescent="0.3">
      <c r="A131" s="944"/>
      <c r="B131" s="944"/>
      <c r="C131" s="45"/>
      <c r="D131" s="944"/>
      <c r="E131" s="944"/>
      <c r="F131" s="944"/>
      <c r="G131" s="944"/>
      <c r="H131" s="944"/>
      <c r="I131" s="944"/>
      <c r="J131" s="944"/>
      <c r="K131" s="944"/>
      <c r="L131" s="944"/>
      <c r="M131" s="944"/>
      <c r="N131" s="944"/>
      <c r="O131" s="944"/>
      <c r="P131" s="944"/>
      <c r="Q131" s="944"/>
      <c r="R131" s="944"/>
      <c r="S131" s="944"/>
      <c r="T131" s="944"/>
      <c r="U131" s="944"/>
      <c r="V131" s="944"/>
      <c r="W131" s="944"/>
      <c r="X131" s="944"/>
      <c r="Y131" s="944"/>
      <c r="Z131" s="944"/>
      <c r="AA131" s="944"/>
      <c r="AB131" s="944"/>
      <c r="AC131" s="944"/>
      <c r="AD131" s="944"/>
      <c r="AE131" s="944"/>
      <c r="AF131" s="944"/>
      <c r="AG131" s="944"/>
      <c r="AH131" s="944"/>
      <c r="AI131" s="944"/>
      <c r="AJ131" s="944"/>
      <c r="AK131" s="944"/>
      <c r="AL131" s="944"/>
      <c r="AM131" s="944"/>
      <c r="AN131" s="944"/>
      <c r="AO131" s="944"/>
      <c r="AP131" s="944"/>
      <c r="AQ131" s="944"/>
      <c r="AR131" s="944"/>
      <c r="AS131" s="944"/>
      <c r="AT131" s="944"/>
      <c r="AU131" s="944"/>
      <c r="AV131" s="944"/>
      <c r="AW131" s="944"/>
      <c r="AX131" s="944"/>
      <c r="AY131" s="944"/>
      <c r="AZ131" s="944"/>
      <c r="BA131" s="944"/>
      <c r="BB131" s="944"/>
      <c r="BC131" s="944"/>
      <c r="BD131" s="944"/>
    </row>
    <row r="132" spans="1:56" ht="14.5" x14ac:dyDescent="0.3">
      <c r="A132" s="944"/>
      <c r="B132" s="944"/>
      <c r="C132" s="45"/>
      <c r="D132" s="944"/>
      <c r="E132" s="944"/>
      <c r="F132" s="944"/>
      <c r="G132" s="944"/>
      <c r="H132" s="944"/>
      <c r="I132" s="944"/>
      <c r="J132" s="944"/>
      <c r="K132" s="944"/>
      <c r="L132" s="944"/>
      <c r="M132" s="944"/>
      <c r="N132" s="944"/>
      <c r="O132" s="944"/>
      <c r="P132" s="944"/>
      <c r="Q132" s="944"/>
      <c r="R132" s="944"/>
      <c r="S132" s="944"/>
      <c r="T132" s="944"/>
      <c r="U132" s="944"/>
      <c r="V132" s="944"/>
      <c r="W132" s="944"/>
      <c r="X132" s="944"/>
      <c r="Y132" s="944"/>
      <c r="Z132" s="944"/>
      <c r="AA132" s="944"/>
      <c r="AB132" s="944"/>
      <c r="AC132" s="944"/>
      <c r="AD132" s="944"/>
      <c r="AE132" s="944"/>
      <c r="AF132" s="944"/>
      <c r="AG132" s="944"/>
      <c r="AH132" s="944"/>
      <c r="AI132" s="944"/>
      <c r="AJ132" s="944"/>
      <c r="AK132" s="944"/>
      <c r="AL132" s="944"/>
      <c r="AM132" s="944"/>
      <c r="AN132" s="944"/>
      <c r="AO132" s="944"/>
      <c r="AP132" s="944"/>
      <c r="AQ132" s="944"/>
      <c r="AR132" s="944"/>
      <c r="AS132" s="944"/>
      <c r="AT132" s="944"/>
      <c r="AU132" s="944"/>
      <c r="AV132" s="944"/>
      <c r="AW132" s="944"/>
      <c r="AX132" s="944"/>
      <c r="AY132" s="944"/>
      <c r="AZ132" s="944"/>
      <c r="BA132" s="944"/>
      <c r="BB132" s="944"/>
      <c r="BC132" s="944"/>
      <c r="BD132" s="944"/>
    </row>
    <row r="133" spans="1:56" ht="14.5" x14ac:dyDescent="0.3">
      <c r="A133" s="944"/>
      <c r="B133" s="944"/>
      <c r="C133" s="45"/>
      <c r="D133" s="944"/>
      <c r="E133" s="944"/>
      <c r="F133" s="944"/>
      <c r="G133" s="944"/>
      <c r="H133" s="944"/>
      <c r="I133" s="944"/>
      <c r="J133" s="944"/>
      <c r="K133" s="944"/>
      <c r="L133" s="944"/>
      <c r="M133" s="944"/>
      <c r="N133" s="944"/>
      <c r="O133" s="944"/>
      <c r="P133" s="944"/>
      <c r="Q133" s="944"/>
      <c r="R133" s="944"/>
      <c r="S133" s="944"/>
      <c r="T133" s="944"/>
      <c r="U133" s="944"/>
      <c r="V133" s="944"/>
      <c r="W133" s="944"/>
      <c r="X133" s="944"/>
      <c r="Y133" s="944"/>
      <c r="Z133" s="944"/>
      <c r="AA133" s="944"/>
      <c r="AB133" s="944"/>
      <c r="AC133" s="944"/>
      <c r="AD133" s="944"/>
      <c r="AE133" s="944"/>
      <c r="AF133" s="944"/>
      <c r="AG133" s="944"/>
      <c r="AH133" s="944"/>
      <c r="AI133" s="944"/>
      <c r="AJ133" s="944"/>
      <c r="AK133" s="944"/>
      <c r="AL133" s="944"/>
      <c r="AM133" s="944"/>
      <c r="AN133" s="944"/>
      <c r="AO133" s="944"/>
      <c r="AP133" s="944"/>
      <c r="AQ133" s="944"/>
      <c r="AR133" s="944"/>
      <c r="AS133" s="944"/>
      <c r="AT133" s="944"/>
      <c r="AU133" s="944"/>
      <c r="AV133" s="944"/>
      <c r="AW133" s="944"/>
      <c r="AX133" s="944"/>
      <c r="AY133" s="944"/>
      <c r="AZ133" s="944"/>
      <c r="BA133" s="944"/>
      <c r="BB133" s="944"/>
      <c r="BC133" s="944"/>
      <c r="BD133" s="944"/>
    </row>
    <row r="134" spans="1:56" ht="14.5" x14ac:dyDescent="0.3">
      <c r="A134" s="944"/>
      <c r="B134" s="944"/>
      <c r="C134" s="45"/>
      <c r="D134" s="944"/>
      <c r="E134" s="944"/>
      <c r="F134" s="944"/>
      <c r="G134" s="944"/>
      <c r="H134" s="944"/>
      <c r="I134" s="944"/>
      <c r="J134" s="944"/>
      <c r="K134" s="944"/>
      <c r="L134" s="944"/>
      <c r="M134" s="944"/>
      <c r="N134" s="944"/>
      <c r="O134" s="944"/>
      <c r="P134" s="944"/>
      <c r="Q134" s="944"/>
      <c r="R134" s="944"/>
      <c r="S134" s="944"/>
      <c r="T134" s="944"/>
      <c r="U134" s="944"/>
      <c r="V134" s="944"/>
      <c r="W134" s="944"/>
      <c r="X134" s="944"/>
      <c r="Y134" s="944"/>
      <c r="Z134" s="944"/>
      <c r="AA134" s="944"/>
      <c r="AB134" s="944"/>
      <c r="AC134" s="944"/>
      <c r="AD134" s="944"/>
      <c r="AE134" s="944"/>
      <c r="AF134" s="944"/>
      <c r="AG134" s="944"/>
      <c r="AH134" s="944"/>
      <c r="AI134" s="944"/>
      <c r="AJ134" s="944"/>
      <c r="AK134" s="944"/>
      <c r="AL134" s="944"/>
      <c r="AM134" s="944"/>
      <c r="AN134" s="944"/>
      <c r="AO134" s="944"/>
      <c r="AP134" s="944"/>
      <c r="AQ134" s="944"/>
      <c r="AR134" s="944"/>
      <c r="AS134" s="944"/>
      <c r="AT134" s="944"/>
      <c r="AU134" s="944"/>
      <c r="AV134" s="944"/>
      <c r="AW134" s="944"/>
      <c r="AX134" s="944"/>
      <c r="AY134" s="944"/>
      <c r="AZ134" s="944"/>
      <c r="BA134" s="944"/>
      <c r="BB134" s="944"/>
      <c r="BC134" s="944"/>
      <c r="BD134" s="944"/>
    </row>
    <row r="135" spans="1:56" ht="14.5" x14ac:dyDescent="0.3">
      <c r="A135" s="944"/>
      <c r="B135" s="944"/>
      <c r="C135" s="45"/>
      <c r="D135" s="944"/>
      <c r="E135" s="944"/>
      <c r="F135" s="944"/>
      <c r="G135" s="944"/>
      <c r="H135" s="944"/>
      <c r="I135" s="944"/>
      <c r="J135" s="944"/>
      <c r="K135" s="944"/>
      <c r="L135" s="944"/>
      <c r="M135" s="944"/>
      <c r="N135" s="944"/>
      <c r="O135" s="944"/>
      <c r="P135" s="944"/>
      <c r="Q135" s="944"/>
      <c r="R135" s="944"/>
      <c r="S135" s="944"/>
      <c r="T135" s="944"/>
      <c r="U135" s="944"/>
      <c r="V135" s="944"/>
      <c r="W135" s="944"/>
      <c r="X135" s="944"/>
      <c r="Y135" s="944"/>
      <c r="Z135" s="944"/>
      <c r="AA135" s="944"/>
      <c r="AB135" s="944"/>
      <c r="AC135" s="944"/>
      <c r="AD135" s="944"/>
      <c r="AE135" s="944"/>
      <c r="AF135" s="944"/>
      <c r="AG135" s="944"/>
      <c r="AH135" s="944"/>
      <c r="AI135" s="944"/>
      <c r="AJ135" s="944"/>
      <c r="AK135" s="944"/>
      <c r="AL135" s="944"/>
      <c r="AM135" s="944"/>
      <c r="AN135" s="944"/>
      <c r="AO135" s="944"/>
      <c r="AP135" s="944"/>
      <c r="AQ135" s="944"/>
      <c r="AR135" s="944"/>
      <c r="AS135" s="944"/>
      <c r="AT135" s="944"/>
      <c r="AU135" s="944"/>
      <c r="AV135" s="944"/>
      <c r="AW135" s="944"/>
      <c r="AX135" s="944"/>
      <c r="AY135" s="944"/>
      <c r="AZ135" s="944"/>
      <c r="BA135" s="944"/>
      <c r="BB135" s="944"/>
      <c r="BC135" s="944"/>
      <c r="BD135" s="944"/>
    </row>
    <row r="136" spans="1:56" ht="14.5" x14ac:dyDescent="0.3">
      <c r="A136" s="944"/>
      <c r="B136" s="944"/>
      <c r="C136" s="45"/>
      <c r="D136" s="944"/>
      <c r="E136" s="944"/>
      <c r="F136" s="944"/>
      <c r="G136" s="944"/>
      <c r="H136" s="944"/>
      <c r="I136" s="944"/>
      <c r="J136" s="944"/>
      <c r="K136" s="944"/>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944"/>
      <c r="AS136" s="944"/>
      <c r="AT136" s="944"/>
      <c r="AU136" s="944"/>
      <c r="AV136" s="944"/>
      <c r="AW136" s="944"/>
      <c r="AX136" s="944"/>
      <c r="AY136" s="944"/>
      <c r="AZ136" s="944"/>
      <c r="BA136" s="944"/>
      <c r="BB136" s="944"/>
      <c r="BC136" s="944"/>
      <c r="BD136" s="944"/>
    </row>
    <row r="137" spans="1:56" ht="14.5" x14ac:dyDescent="0.3">
      <c r="A137" s="944"/>
      <c r="B137" s="944"/>
      <c r="C137" s="45"/>
      <c r="D137" s="944"/>
      <c r="E137" s="944"/>
      <c r="F137" s="944"/>
      <c r="G137" s="944"/>
      <c r="H137" s="944"/>
      <c r="I137" s="944"/>
      <c r="J137" s="944"/>
      <c r="K137" s="944"/>
      <c r="L137" s="944"/>
      <c r="M137" s="944"/>
      <c r="N137" s="944"/>
      <c r="O137" s="944"/>
      <c r="P137" s="944"/>
      <c r="Q137" s="944"/>
      <c r="R137" s="944"/>
      <c r="S137" s="944"/>
      <c r="T137" s="944"/>
      <c r="U137" s="944"/>
      <c r="V137" s="944"/>
      <c r="W137" s="944"/>
      <c r="X137" s="944"/>
      <c r="Y137" s="944"/>
      <c r="Z137" s="944"/>
      <c r="AA137" s="944"/>
      <c r="AB137" s="944"/>
      <c r="AC137" s="944"/>
      <c r="AD137" s="944"/>
      <c r="AE137" s="944"/>
      <c r="AF137" s="944"/>
      <c r="AG137" s="944"/>
      <c r="AH137" s="944"/>
      <c r="AI137" s="944"/>
      <c r="AJ137" s="944"/>
      <c r="AK137" s="944"/>
      <c r="AL137" s="944"/>
      <c r="AM137" s="944"/>
      <c r="AN137" s="944"/>
      <c r="AO137" s="944"/>
      <c r="AP137" s="944"/>
      <c r="AQ137" s="944"/>
      <c r="AR137" s="944"/>
      <c r="AS137" s="944"/>
      <c r="AT137" s="944"/>
      <c r="AU137" s="944"/>
      <c r="AV137" s="944"/>
      <c r="AW137" s="944"/>
      <c r="AX137" s="944"/>
      <c r="AY137" s="944"/>
      <c r="AZ137" s="944"/>
      <c r="BA137" s="944"/>
      <c r="BB137" s="944"/>
      <c r="BC137" s="944"/>
      <c r="BD137" s="944"/>
    </row>
    <row r="138" spans="1:56" ht="14.5" x14ac:dyDescent="0.3">
      <c r="A138" s="944"/>
      <c r="B138" s="944"/>
      <c r="C138" s="45"/>
      <c r="D138" s="944"/>
      <c r="E138" s="944"/>
      <c r="F138" s="944"/>
      <c r="G138" s="944"/>
      <c r="H138" s="944"/>
      <c r="I138" s="944"/>
      <c r="J138" s="944"/>
      <c r="K138" s="944"/>
      <c r="L138" s="944"/>
      <c r="M138" s="944"/>
      <c r="N138" s="944"/>
      <c r="O138" s="944"/>
      <c r="P138" s="944"/>
      <c r="Q138" s="944"/>
      <c r="R138" s="944"/>
      <c r="S138" s="944"/>
      <c r="T138" s="944"/>
      <c r="U138" s="944"/>
      <c r="V138" s="944"/>
      <c r="W138" s="944"/>
      <c r="X138" s="944"/>
      <c r="Y138" s="944"/>
      <c r="Z138" s="944"/>
      <c r="AA138" s="944"/>
      <c r="AB138" s="944"/>
      <c r="AC138" s="944"/>
      <c r="AD138" s="944"/>
      <c r="AE138" s="944"/>
      <c r="AF138" s="944"/>
      <c r="AG138" s="944"/>
      <c r="AH138" s="944"/>
      <c r="AI138" s="944"/>
      <c r="AJ138" s="944"/>
      <c r="AK138" s="944"/>
      <c r="AL138" s="944"/>
      <c r="AM138" s="944"/>
      <c r="AN138" s="944"/>
      <c r="AO138" s="944"/>
      <c r="AP138" s="944"/>
      <c r="AQ138" s="944"/>
      <c r="AR138" s="944"/>
      <c r="AS138" s="944"/>
      <c r="AT138" s="944"/>
      <c r="AU138" s="944"/>
      <c r="AV138" s="944"/>
      <c r="AW138" s="944"/>
      <c r="AX138" s="944"/>
      <c r="AY138" s="944"/>
      <c r="AZ138" s="944"/>
      <c r="BA138" s="944"/>
      <c r="BB138" s="944"/>
      <c r="BC138" s="944"/>
      <c r="BD138" s="944"/>
    </row>
    <row r="139" spans="1:56" ht="14.5" x14ac:dyDescent="0.3">
      <c r="A139" s="944"/>
      <c r="B139" s="944"/>
      <c r="C139" s="45"/>
      <c r="D139" s="944"/>
      <c r="E139" s="944"/>
      <c r="F139" s="944"/>
      <c r="G139" s="944"/>
      <c r="H139" s="944"/>
      <c r="I139" s="944"/>
      <c r="J139" s="944"/>
      <c r="K139" s="944"/>
      <c r="L139" s="944"/>
      <c r="M139" s="944"/>
      <c r="N139" s="944"/>
      <c r="O139" s="944"/>
      <c r="P139" s="944"/>
      <c r="Q139" s="944"/>
      <c r="R139" s="944"/>
      <c r="S139" s="944"/>
      <c r="T139" s="944"/>
      <c r="U139" s="944"/>
      <c r="V139" s="944"/>
      <c r="W139" s="944"/>
      <c r="X139" s="944"/>
      <c r="Y139" s="944"/>
      <c r="Z139" s="944"/>
      <c r="AA139" s="944"/>
      <c r="AB139" s="944"/>
      <c r="AC139" s="944"/>
      <c r="AD139" s="944"/>
      <c r="AE139" s="944"/>
      <c r="AF139" s="944"/>
      <c r="AG139" s="944"/>
      <c r="AH139" s="944"/>
      <c r="AI139" s="944"/>
      <c r="AJ139" s="944"/>
      <c r="AK139" s="944"/>
      <c r="AL139" s="944"/>
      <c r="AM139" s="944"/>
      <c r="AN139" s="944"/>
      <c r="AO139" s="944"/>
      <c r="AP139" s="944"/>
      <c r="AQ139" s="944"/>
      <c r="AR139" s="944"/>
      <c r="AS139" s="944"/>
      <c r="AT139" s="944"/>
      <c r="AU139" s="944"/>
      <c r="AV139" s="944"/>
      <c r="AW139" s="944"/>
      <c r="AX139" s="944"/>
      <c r="AY139" s="944"/>
      <c r="AZ139" s="944"/>
      <c r="BA139" s="944"/>
      <c r="BB139" s="944"/>
      <c r="BC139" s="944"/>
      <c r="BD139" s="944"/>
    </row>
    <row r="140" spans="1:56" ht="14.5" x14ac:dyDescent="0.3">
      <c r="A140" s="944"/>
      <c r="B140" s="944"/>
      <c r="C140" s="45"/>
      <c r="D140" s="944"/>
      <c r="E140" s="944"/>
      <c r="F140" s="944"/>
      <c r="G140" s="944"/>
      <c r="H140" s="944"/>
      <c r="I140" s="944"/>
      <c r="J140" s="944"/>
      <c r="K140" s="944"/>
      <c r="L140" s="944"/>
      <c r="M140" s="944"/>
      <c r="N140" s="944"/>
      <c r="O140" s="944"/>
      <c r="P140" s="944"/>
      <c r="Q140" s="944"/>
      <c r="R140" s="944"/>
      <c r="S140" s="944"/>
      <c r="T140" s="944"/>
      <c r="U140" s="944"/>
      <c r="V140" s="944"/>
      <c r="W140" s="944"/>
      <c r="X140" s="944"/>
      <c r="Y140" s="944"/>
      <c r="Z140" s="944"/>
      <c r="AA140" s="944"/>
      <c r="AB140" s="944"/>
      <c r="AC140" s="944"/>
      <c r="AD140" s="944"/>
      <c r="AE140" s="944"/>
      <c r="AF140" s="944"/>
      <c r="AG140" s="944"/>
      <c r="AH140" s="944"/>
      <c r="AI140" s="944"/>
      <c r="AJ140" s="944"/>
      <c r="AK140" s="944"/>
      <c r="AL140" s="944"/>
      <c r="AM140" s="944"/>
      <c r="AN140" s="944"/>
      <c r="AO140" s="944"/>
      <c r="AP140" s="944"/>
      <c r="AQ140" s="944"/>
      <c r="AR140" s="944"/>
      <c r="AS140" s="944"/>
      <c r="AT140" s="944"/>
      <c r="AU140" s="944"/>
      <c r="AV140" s="944"/>
      <c r="AW140" s="944"/>
      <c r="AX140" s="944"/>
      <c r="AY140" s="944"/>
      <c r="AZ140" s="944"/>
      <c r="BA140" s="944"/>
      <c r="BB140" s="944"/>
      <c r="BC140" s="944"/>
      <c r="BD140" s="944"/>
    </row>
    <row r="141" spans="1:56" ht="14.5" x14ac:dyDescent="0.3">
      <c r="A141" s="944"/>
      <c r="B141" s="944"/>
      <c r="C141" s="45"/>
      <c r="D141" s="944"/>
      <c r="E141" s="944"/>
      <c r="F141" s="944"/>
      <c r="G141" s="944"/>
      <c r="H141" s="944"/>
      <c r="I141" s="944"/>
      <c r="J141" s="944"/>
      <c r="K141" s="944"/>
      <c r="L141" s="944"/>
      <c r="M141" s="944"/>
      <c r="N141" s="944"/>
      <c r="O141" s="944"/>
      <c r="P141" s="944"/>
      <c r="Q141" s="944"/>
      <c r="R141" s="944"/>
      <c r="S141" s="944"/>
      <c r="T141" s="944"/>
      <c r="U141" s="944"/>
      <c r="V141" s="944"/>
      <c r="W141" s="944"/>
      <c r="X141" s="944"/>
      <c r="Y141" s="944"/>
      <c r="Z141" s="944"/>
      <c r="AA141" s="944"/>
      <c r="AB141" s="944"/>
      <c r="AC141" s="944"/>
      <c r="AD141" s="944"/>
      <c r="AE141" s="944"/>
      <c r="AF141" s="944"/>
      <c r="AG141" s="944"/>
      <c r="AH141" s="944"/>
      <c r="AI141" s="944"/>
      <c r="AJ141" s="944"/>
      <c r="AK141" s="944"/>
      <c r="AL141" s="944"/>
      <c r="AM141" s="944"/>
      <c r="AN141" s="944"/>
      <c r="AO141" s="944"/>
      <c r="AP141" s="944"/>
      <c r="AQ141" s="944"/>
      <c r="AR141" s="944"/>
      <c r="AS141" s="944"/>
      <c r="AT141" s="944"/>
      <c r="AU141" s="944"/>
      <c r="AV141" s="944"/>
      <c r="AW141" s="944"/>
      <c r="AX141" s="944"/>
      <c r="AY141" s="944"/>
      <c r="AZ141" s="944"/>
      <c r="BA141" s="944"/>
      <c r="BB141" s="944"/>
      <c r="BC141" s="944"/>
      <c r="BD141" s="944"/>
    </row>
    <row r="142" spans="1:56" ht="14.5" x14ac:dyDescent="0.3">
      <c r="A142" s="944"/>
      <c r="B142" s="944"/>
      <c r="C142" s="45"/>
      <c r="D142" s="944"/>
      <c r="E142" s="944"/>
      <c r="F142" s="944"/>
      <c r="G142" s="944"/>
      <c r="H142" s="944"/>
      <c r="I142" s="944"/>
      <c r="J142" s="944"/>
      <c r="K142" s="944"/>
      <c r="L142" s="944"/>
      <c r="M142" s="944"/>
      <c r="N142" s="944"/>
      <c r="O142" s="944"/>
      <c r="P142" s="944"/>
      <c r="Q142" s="944"/>
      <c r="R142" s="944"/>
      <c r="S142" s="944"/>
      <c r="T142" s="944"/>
      <c r="U142" s="944"/>
      <c r="V142" s="944"/>
      <c r="W142" s="944"/>
      <c r="X142" s="944"/>
      <c r="Y142" s="944"/>
      <c r="Z142" s="944"/>
      <c r="AA142" s="944"/>
      <c r="AB142" s="944"/>
      <c r="AC142" s="944"/>
      <c r="AD142" s="944"/>
      <c r="AE142" s="944"/>
      <c r="AF142" s="944"/>
      <c r="AG142" s="944"/>
      <c r="AH142" s="944"/>
      <c r="AI142" s="944"/>
      <c r="AJ142" s="944"/>
      <c r="AK142" s="944"/>
      <c r="AL142" s="944"/>
      <c r="AM142" s="944"/>
      <c r="AN142" s="944"/>
      <c r="AO142" s="944"/>
      <c r="AP142" s="944"/>
      <c r="AQ142" s="944"/>
      <c r="AR142" s="944"/>
      <c r="AS142" s="944"/>
      <c r="AT142" s="944"/>
      <c r="AU142" s="944"/>
      <c r="AV142" s="944"/>
      <c r="AW142" s="944"/>
      <c r="AX142" s="944"/>
      <c r="AY142" s="944"/>
      <c r="AZ142" s="944"/>
      <c r="BA142" s="944"/>
      <c r="BB142" s="944"/>
      <c r="BC142" s="944"/>
      <c r="BD142" s="944"/>
    </row>
    <row r="143" spans="1:56" ht="14.5" x14ac:dyDescent="0.3">
      <c r="A143" s="944"/>
      <c r="B143" s="944"/>
      <c r="C143" s="45"/>
      <c r="D143" s="944"/>
      <c r="E143" s="944"/>
      <c r="F143" s="944"/>
      <c r="G143" s="944"/>
      <c r="H143" s="944"/>
      <c r="I143" s="944"/>
      <c r="J143" s="944"/>
      <c r="K143" s="944"/>
      <c r="L143" s="944"/>
      <c r="M143" s="944"/>
      <c r="N143" s="944"/>
      <c r="O143" s="944"/>
      <c r="P143" s="944"/>
      <c r="Q143" s="944"/>
      <c r="R143" s="944"/>
      <c r="S143" s="944"/>
      <c r="T143" s="944"/>
      <c r="U143" s="944"/>
      <c r="V143" s="944"/>
      <c r="W143" s="944"/>
      <c r="X143" s="944"/>
      <c r="Y143" s="944"/>
      <c r="Z143" s="944"/>
      <c r="AA143" s="944"/>
      <c r="AB143" s="944"/>
      <c r="AC143" s="944"/>
      <c r="AD143" s="944"/>
      <c r="AE143" s="944"/>
      <c r="AF143" s="944"/>
      <c r="AG143" s="944"/>
      <c r="AH143" s="944"/>
      <c r="AI143" s="944"/>
      <c r="AJ143" s="944"/>
      <c r="AK143" s="944"/>
      <c r="AL143" s="944"/>
      <c r="AM143" s="944"/>
      <c r="AN143" s="944"/>
      <c r="AO143" s="944"/>
      <c r="AP143" s="944"/>
      <c r="AQ143" s="944"/>
      <c r="AR143" s="944"/>
      <c r="AS143" s="944"/>
      <c r="AT143" s="944"/>
      <c r="AU143" s="944"/>
      <c r="AV143" s="944"/>
      <c r="AW143" s="944"/>
      <c r="AX143" s="944"/>
      <c r="AY143" s="944"/>
      <c r="AZ143" s="944"/>
      <c r="BA143" s="944"/>
      <c r="BB143" s="944"/>
      <c r="BC143" s="944"/>
      <c r="BD143" s="944"/>
    </row>
    <row r="144" spans="1:56" ht="14.5" x14ac:dyDescent="0.3">
      <c r="A144" s="944"/>
      <c r="B144" s="944"/>
      <c r="C144" s="45"/>
      <c r="D144" s="944"/>
      <c r="E144" s="944"/>
      <c r="F144" s="944"/>
      <c r="G144" s="944"/>
      <c r="H144" s="944"/>
      <c r="I144" s="944"/>
      <c r="J144" s="944"/>
      <c r="K144" s="944"/>
      <c r="L144" s="944"/>
      <c r="M144" s="944"/>
      <c r="N144" s="944"/>
      <c r="O144" s="944"/>
      <c r="P144" s="944"/>
      <c r="Q144" s="944"/>
      <c r="R144" s="944"/>
      <c r="S144" s="944"/>
      <c r="T144" s="944"/>
      <c r="U144" s="944"/>
      <c r="V144" s="944"/>
      <c r="W144" s="944"/>
      <c r="X144" s="944"/>
      <c r="Y144" s="944"/>
      <c r="Z144" s="944"/>
      <c r="AA144" s="944"/>
      <c r="AB144" s="944"/>
      <c r="AC144" s="944"/>
      <c r="AD144" s="944"/>
      <c r="AE144" s="944"/>
      <c r="AF144" s="944"/>
      <c r="AG144" s="944"/>
      <c r="AH144" s="944"/>
      <c r="AI144" s="944"/>
      <c r="AJ144" s="944"/>
      <c r="AK144" s="944"/>
      <c r="AL144" s="944"/>
      <c r="AM144" s="944"/>
      <c r="AN144" s="944"/>
      <c r="AO144" s="944"/>
      <c r="AP144" s="944"/>
      <c r="AQ144" s="944"/>
      <c r="AR144" s="944"/>
      <c r="AS144" s="944"/>
      <c r="AT144" s="944"/>
      <c r="AU144" s="944"/>
      <c r="AV144" s="944"/>
      <c r="AW144" s="944"/>
      <c r="AX144" s="944"/>
      <c r="AY144" s="944"/>
      <c r="AZ144" s="944"/>
      <c r="BA144" s="944"/>
      <c r="BB144" s="944"/>
      <c r="BC144" s="944"/>
      <c r="BD144" s="944"/>
    </row>
    <row r="145" spans="1:56" ht="14.5" x14ac:dyDescent="0.3">
      <c r="A145" s="944"/>
      <c r="B145" s="944"/>
      <c r="C145" s="45"/>
      <c r="D145" s="944"/>
      <c r="E145" s="944"/>
      <c r="F145" s="944"/>
      <c r="G145" s="944"/>
      <c r="H145" s="944"/>
      <c r="I145" s="944"/>
      <c r="J145" s="944"/>
      <c r="K145" s="944"/>
      <c r="L145" s="944"/>
      <c r="M145" s="944"/>
      <c r="N145" s="944"/>
      <c r="O145" s="944"/>
      <c r="P145" s="944"/>
      <c r="Q145" s="944"/>
      <c r="R145" s="944"/>
      <c r="S145" s="944"/>
      <c r="T145" s="944"/>
      <c r="U145" s="944"/>
      <c r="V145" s="944"/>
      <c r="W145" s="944"/>
      <c r="X145" s="944"/>
      <c r="Y145" s="944"/>
      <c r="Z145" s="944"/>
      <c r="AA145" s="944"/>
      <c r="AB145" s="944"/>
      <c r="AC145" s="944"/>
      <c r="AD145" s="944"/>
      <c r="AE145" s="944"/>
      <c r="AF145" s="944"/>
      <c r="AG145" s="944"/>
      <c r="AH145" s="944"/>
      <c r="AI145" s="944"/>
      <c r="AJ145" s="944"/>
      <c r="AK145" s="944"/>
      <c r="AL145" s="944"/>
      <c r="AM145" s="944"/>
      <c r="AN145" s="944"/>
      <c r="AO145" s="944"/>
      <c r="AP145" s="944"/>
      <c r="AQ145" s="944"/>
      <c r="AR145" s="944"/>
      <c r="AS145" s="944"/>
      <c r="AT145" s="944"/>
      <c r="AU145" s="944"/>
      <c r="AV145" s="944"/>
      <c r="AW145" s="944"/>
      <c r="AX145" s="944"/>
      <c r="AY145" s="944"/>
      <c r="AZ145" s="944"/>
      <c r="BA145" s="944"/>
      <c r="BB145" s="944"/>
      <c r="BC145" s="944"/>
      <c r="BD145" s="944"/>
    </row>
    <row r="146" spans="1:56" ht="14.5" x14ac:dyDescent="0.3">
      <c r="A146" s="944"/>
      <c r="B146" s="944"/>
      <c r="C146" s="45"/>
      <c r="D146" s="944"/>
      <c r="E146" s="944"/>
      <c r="F146" s="944"/>
      <c r="G146" s="944"/>
      <c r="H146" s="944"/>
      <c r="I146" s="944"/>
      <c r="J146" s="944"/>
      <c r="K146" s="944"/>
      <c r="L146" s="944"/>
      <c r="M146" s="944"/>
      <c r="N146" s="944"/>
      <c r="O146" s="944"/>
      <c r="P146" s="944"/>
      <c r="Q146" s="944"/>
      <c r="R146" s="944"/>
      <c r="S146" s="944"/>
      <c r="T146" s="944"/>
      <c r="U146" s="944"/>
      <c r="V146" s="944"/>
      <c r="W146" s="944"/>
      <c r="X146" s="944"/>
      <c r="Y146" s="944"/>
      <c r="Z146" s="944"/>
      <c r="AA146" s="944"/>
      <c r="AB146" s="944"/>
      <c r="AC146" s="944"/>
      <c r="AD146" s="944"/>
      <c r="AE146" s="944"/>
      <c r="AF146" s="944"/>
      <c r="AG146" s="944"/>
      <c r="AH146" s="944"/>
      <c r="AI146" s="944"/>
      <c r="AJ146" s="944"/>
      <c r="AK146" s="944"/>
      <c r="AL146" s="944"/>
      <c r="AM146" s="944"/>
      <c r="AN146" s="944"/>
      <c r="AO146" s="944"/>
      <c r="AP146" s="944"/>
      <c r="AQ146" s="944"/>
      <c r="AR146" s="944"/>
      <c r="AS146" s="944"/>
      <c r="AT146" s="944"/>
      <c r="AU146" s="944"/>
      <c r="AV146" s="944"/>
      <c r="AW146" s="944"/>
      <c r="AX146" s="944"/>
      <c r="AY146" s="944"/>
      <c r="AZ146" s="944"/>
      <c r="BA146" s="944"/>
      <c r="BB146" s="944"/>
      <c r="BC146" s="944"/>
      <c r="BD146" s="944"/>
    </row>
    <row r="147" spans="1:56" ht="14.5" x14ac:dyDescent="0.3">
      <c r="A147" s="944"/>
      <c r="B147" s="944"/>
      <c r="C147" s="45"/>
      <c r="D147" s="944"/>
      <c r="E147" s="944"/>
      <c r="F147" s="944"/>
      <c r="G147" s="944"/>
      <c r="H147" s="944"/>
      <c r="I147" s="944"/>
      <c r="J147" s="944"/>
      <c r="K147" s="944"/>
      <c r="L147" s="944"/>
      <c r="M147" s="944"/>
      <c r="N147" s="944"/>
      <c r="O147" s="944"/>
      <c r="P147" s="944"/>
      <c r="Q147" s="944"/>
      <c r="R147" s="944"/>
      <c r="S147" s="944"/>
      <c r="T147" s="944"/>
      <c r="U147" s="944"/>
      <c r="V147" s="944"/>
      <c r="W147" s="944"/>
      <c r="X147" s="944"/>
      <c r="Y147" s="944"/>
      <c r="Z147" s="944"/>
      <c r="AA147" s="944"/>
      <c r="AB147" s="944"/>
      <c r="AC147" s="944"/>
      <c r="AD147" s="944"/>
      <c r="AE147" s="944"/>
      <c r="AF147" s="944"/>
      <c r="AG147" s="944"/>
      <c r="AH147" s="944"/>
      <c r="AI147" s="944"/>
      <c r="AJ147" s="944"/>
      <c r="AK147" s="944"/>
      <c r="AL147" s="944"/>
      <c r="AM147" s="944"/>
      <c r="AN147" s="944"/>
      <c r="AO147" s="944"/>
      <c r="AP147" s="944"/>
      <c r="AQ147" s="944"/>
      <c r="AR147" s="944"/>
      <c r="AS147" s="944"/>
      <c r="AT147" s="944"/>
      <c r="AU147" s="944"/>
      <c r="AV147" s="944"/>
      <c r="AW147" s="944"/>
      <c r="AX147" s="944"/>
      <c r="AY147" s="944"/>
      <c r="AZ147" s="944"/>
      <c r="BA147" s="944"/>
      <c r="BB147" s="944"/>
      <c r="BC147" s="944"/>
      <c r="BD147" s="944"/>
    </row>
    <row r="148" spans="1:56" ht="14.5" x14ac:dyDescent="0.3">
      <c r="A148" s="944"/>
      <c r="B148" s="944"/>
      <c r="C148" s="45"/>
      <c r="D148" s="944"/>
      <c r="E148" s="944"/>
      <c r="F148" s="944"/>
      <c r="G148" s="944"/>
      <c r="H148" s="944"/>
      <c r="I148" s="944"/>
      <c r="J148" s="944"/>
      <c r="K148" s="944"/>
      <c r="L148" s="944"/>
      <c r="M148" s="944"/>
      <c r="N148" s="944"/>
      <c r="O148" s="944"/>
      <c r="P148" s="944"/>
      <c r="Q148" s="944"/>
      <c r="R148" s="944"/>
      <c r="S148" s="944"/>
      <c r="T148" s="944"/>
      <c r="U148" s="944"/>
      <c r="V148" s="944"/>
      <c r="W148" s="944"/>
      <c r="X148" s="944"/>
      <c r="Y148" s="944"/>
      <c r="Z148" s="944"/>
      <c r="AA148" s="944"/>
      <c r="AB148" s="944"/>
      <c r="AC148" s="944"/>
      <c r="AD148" s="944"/>
      <c r="AE148" s="944"/>
      <c r="AF148" s="944"/>
      <c r="AG148" s="944"/>
      <c r="AH148" s="944"/>
      <c r="AI148" s="944"/>
      <c r="AJ148" s="944"/>
      <c r="AK148" s="944"/>
      <c r="AL148" s="944"/>
      <c r="AM148" s="944"/>
      <c r="AN148" s="944"/>
      <c r="AO148" s="944"/>
      <c r="AP148" s="944"/>
      <c r="AQ148" s="944"/>
      <c r="AR148" s="944"/>
      <c r="AS148" s="944"/>
      <c r="AT148" s="944"/>
      <c r="AU148" s="944"/>
      <c r="AV148" s="944"/>
      <c r="AW148" s="944"/>
      <c r="AX148" s="944"/>
      <c r="AY148" s="944"/>
      <c r="AZ148" s="944"/>
      <c r="BA148" s="944"/>
      <c r="BB148" s="944"/>
      <c r="BC148" s="944"/>
      <c r="BD148" s="944"/>
    </row>
    <row r="149" spans="1:56" ht="14.5" x14ac:dyDescent="0.3">
      <c r="A149" s="944"/>
      <c r="B149" s="944"/>
      <c r="C149" s="45"/>
      <c r="D149" s="944"/>
      <c r="E149" s="944"/>
      <c r="F149" s="944"/>
      <c r="G149" s="944"/>
      <c r="H149" s="944"/>
      <c r="I149" s="944"/>
      <c r="J149" s="944"/>
      <c r="K149" s="944"/>
      <c r="L149" s="944"/>
      <c r="M149" s="944"/>
      <c r="N149" s="944"/>
      <c r="O149" s="944"/>
      <c r="P149" s="944"/>
      <c r="Q149" s="944"/>
      <c r="R149" s="944"/>
      <c r="S149" s="944"/>
      <c r="T149" s="944"/>
      <c r="U149" s="944"/>
      <c r="V149" s="944"/>
      <c r="W149" s="944"/>
      <c r="X149" s="944"/>
      <c r="Y149" s="944"/>
      <c r="Z149" s="944"/>
      <c r="AA149" s="944"/>
      <c r="AB149" s="944"/>
      <c r="AC149" s="944"/>
      <c r="AD149" s="944"/>
      <c r="AE149" s="944"/>
      <c r="AF149" s="944"/>
      <c r="AG149" s="944"/>
      <c r="AH149" s="944"/>
      <c r="AI149" s="944"/>
      <c r="AJ149" s="944"/>
      <c r="AK149" s="944"/>
      <c r="AL149" s="944"/>
      <c r="AM149" s="944"/>
      <c r="AN149" s="944"/>
      <c r="AO149" s="944"/>
      <c r="AP149" s="944"/>
      <c r="AQ149" s="944"/>
      <c r="AR149" s="944"/>
      <c r="AS149" s="944"/>
      <c r="AT149" s="944"/>
      <c r="AU149" s="944"/>
      <c r="AV149" s="944"/>
      <c r="AW149" s="944"/>
      <c r="AX149" s="944"/>
      <c r="AY149" s="944"/>
      <c r="AZ149" s="944"/>
      <c r="BA149" s="944"/>
      <c r="BB149" s="944"/>
      <c r="BC149" s="944"/>
      <c r="BD149" s="944"/>
    </row>
    <row r="150" spans="1:56" ht="14.5"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row>
    <row r="151" spans="1:56" ht="14.5"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row>
    <row r="152" spans="1:56" ht="14.5"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row>
    <row r="153" spans="1:56" ht="14.5"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row>
    <row r="154" spans="1:56" ht="14.5"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row>
    <row r="155" spans="1:56" ht="14.5"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row>
    <row r="156" spans="1:56" ht="14.5"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row>
    <row r="157" spans="1:56" ht="14.5"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row>
    <row r="158" spans="1:56" ht="14.5"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row>
    <row r="159" spans="1:56" ht="14.5"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row>
    <row r="160" spans="1:56" ht="14.5"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row>
    <row r="161" spans="1:56" ht="14.5"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row>
    <row r="162" spans="1:56" ht="14.5"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row>
    <row r="163" spans="1:56" ht="14.5"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row>
    <row r="164" spans="1:56" ht="14.5"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row>
    <row r="165" spans="1:56" ht="14.5"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row>
    <row r="166" spans="1:56" ht="14.5"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row>
    <row r="167" spans="1:56" ht="14.5"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row>
    <row r="168" spans="1:56" ht="14.5"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row>
    <row r="169" spans="1:56" ht="14.5"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row>
    <row r="170" spans="1:56" ht="14.5"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row>
    <row r="171" spans="1:56" ht="14.5"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row>
    <row r="172" spans="1:56" ht="14.5"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row>
    <row r="173" spans="1:56" ht="14.5"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row>
    <row r="174" spans="1:56" ht="14.5"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row>
    <row r="175" spans="1:56" ht="14.5"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row>
    <row r="176" spans="1:56" ht="14.5"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row>
    <row r="177" spans="1:56" ht="14.5"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row>
    <row r="178" spans="1:56" ht="14.5"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row>
    <row r="179" spans="1:56" ht="14.5"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row>
    <row r="180" spans="1:56" ht="14.5"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row>
    <row r="181" spans="1:56" ht="14.5"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row>
    <row r="182" spans="1:56" ht="14.5"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row>
    <row r="183" spans="1:56" ht="14.5"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row>
    <row r="184" spans="1:56" ht="14.5"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row>
    <row r="185" spans="1:56" ht="14.5"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row>
    <row r="186" spans="1:56" ht="14.5"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row>
    <row r="187" spans="1:56" ht="14.5"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row>
    <row r="188" spans="1:56" ht="14.5"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row>
    <row r="189" spans="1:56" ht="14.5"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row>
    <row r="190" spans="1:56" ht="14.5"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row>
    <row r="191" spans="1:56" ht="14.5"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row>
    <row r="192" spans="1:56" ht="14.5"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row>
    <row r="193" spans="1:56" ht="14.5"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row>
    <row r="194" spans="1:56" ht="14.5"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row>
    <row r="195" spans="1:56" ht="14.5"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row>
    <row r="196" spans="1:56" ht="14.5"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row>
    <row r="197" spans="1:56" ht="14.5"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row>
    <row r="198" spans="1:56" ht="14.5"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row>
    <row r="199" spans="1:56" ht="14.5"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row>
    <row r="200" spans="1:56" ht="14.5"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row>
    <row r="201" spans="1:56" ht="14.5"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row>
    <row r="202" spans="1:56" ht="14.5"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row>
    <row r="203" spans="1:56" ht="14.5"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row>
    <row r="204" spans="1:56" ht="14.5"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row>
    <row r="205" spans="1:56" ht="14.5"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row>
    <row r="206" spans="1:56" ht="14.5"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row>
    <row r="207" spans="1:56" ht="14.5"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row>
    <row r="208" spans="1:56" ht="14.5"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row>
    <row r="209" spans="1:56" ht="14.5"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row>
    <row r="210" spans="1:56" ht="14.5"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row>
    <row r="211" spans="1:56" ht="14.5"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row>
    <row r="212" spans="1:56" ht="14.5"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row>
    <row r="213" spans="1:56" ht="14.5"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row>
    <row r="214" spans="1:56" ht="14.5"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row>
    <row r="215" spans="1:56" ht="14.5"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row>
    <row r="216" spans="1:56" ht="14.5"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row>
    <row r="217" spans="1:56" ht="14.5"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row>
    <row r="218" spans="1:56" ht="14.5"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row>
    <row r="219" spans="1:56" ht="14.5"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row>
    <row r="220" spans="1:56" ht="14.5"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row>
    <row r="221" spans="1:56" ht="14.5"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row>
    <row r="222" spans="1:56" ht="14.5"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row>
    <row r="223" spans="1:56" ht="14.5"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row>
    <row r="224" spans="1:56" ht="14.5"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row>
    <row r="225" spans="1:56" ht="14.5"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row>
    <row r="226" spans="1:56" ht="14.5"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row>
    <row r="227" spans="1:56" ht="14.5"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row>
    <row r="228" spans="1:56" ht="14.5"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row>
    <row r="229" spans="1:56" ht="14.5"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row>
    <row r="230" spans="1:56" ht="14.5"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row>
    <row r="231" spans="1:56" ht="14.5"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row>
    <row r="232" spans="1:56" ht="14.5"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row>
    <row r="233" spans="1:56" ht="14.5"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row>
    <row r="234" spans="1:56" ht="14.5"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row>
    <row r="235" spans="1:56" ht="14.5"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row>
    <row r="236" spans="1:56" ht="14.5"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row>
    <row r="237" spans="1:56" ht="14.5"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row>
    <row r="238" spans="1:56" ht="14.5"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row>
    <row r="239" spans="1:56" ht="14.5"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row>
    <row r="240" spans="1:56" ht="14.5"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row>
    <row r="241" spans="1:56" ht="14.5"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row>
    <row r="242" spans="1:56" ht="14.5"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row>
    <row r="243" spans="1:56" ht="14.5"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row>
    <row r="244" spans="1:56" ht="14.5"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row>
    <row r="245" spans="1:56" ht="14.5"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row>
    <row r="246" spans="1:56" ht="14.5"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row>
    <row r="247" spans="1:56" ht="14.5"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row>
    <row r="248" spans="1:56" ht="14.5"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row>
    <row r="249" spans="1:56" ht="14.5"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row>
    <row r="250" spans="1:56" ht="14.5"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row>
    <row r="251" spans="1:56" ht="14.5"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row>
    <row r="252" spans="1:56" ht="14.5"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row>
    <row r="253" spans="1:56" ht="14.5"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row>
    <row r="254" spans="1:56" ht="14.5"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row>
    <row r="255" spans="1:56" ht="14.5"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row>
    <row r="256" spans="1:56" ht="14.5"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row>
    <row r="257" spans="1:56" ht="14.5"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row>
    <row r="258" spans="1:56" ht="14.5"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row>
    <row r="259" spans="1:56" ht="14.5"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row>
    <row r="260" spans="1:56" ht="14.5"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row>
    <row r="261" spans="1:56" ht="14.5"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row>
    <row r="262" spans="1:56" ht="14.5"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row>
    <row r="263" spans="1:56" ht="14.5"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row>
    <row r="264" spans="1:56" ht="14.5"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row>
    <row r="265" spans="1:56" ht="14.5"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row>
    <row r="266" spans="1:56" ht="14.5"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row>
    <row r="267" spans="1:56" ht="14.5"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row>
    <row r="268" spans="1:56" ht="14.5"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row>
    <row r="269" spans="1:56" ht="14.5"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row>
    <row r="270" spans="1:56" ht="14.5"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row>
    <row r="271" spans="1:56" ht="14.5"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row>
    <row r="272" spans="1:56" ht="14.5"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row>
    <row r="273" spans="1:56" ht="14.5"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row>
    <row r="274" spans="1:56" ht="14.5"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row>
    <row r="275" spans="1:56" ht="14.5"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row>
    <row r="276" spans="1:56" ht="14.5"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row>
    <row r="277" spans="1:56" ht="14.5"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row>
    <row r="278" spans="1:56" ht="14.5"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row>
    <row r="279" spans="1:56" ht="14.5"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row>
    <row r="280" spans="1:56" ht="14.5"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row>
    <row r="281" spans="1:56" ht="14.5"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row>
    <row r="282" spans="1:56" ht="14.5"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row>
    <row r="283" spans="1:56" ht="14.5"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row>
    <row r="284" spans="1:56" ht="14.5"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row>
    <row r="285" spans="1:56" ht="14.5"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row>
    <row r="286" spans="1:56" ht="14.5"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row>
    <row r="287" spans="1:56" ht="14.5"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row>
    <row r="288" spans="1:56" ht="14.5"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row>
    <row r="289" spans="1:56" ht="14.5"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row>
    <row r="290" spans="1:56" ht="14.5"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row>
    <row r="291" spans="1:56" ht="14.5"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row>
    <row r="292" spans="1:56" ht="14.5"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row>
    <row r="293" spans="1:56" ht="14.5"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row>
    <row r="294" spans="1:56" ht="14.5"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row>
    <row r="295" spans="1:56" ht="14.5"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row>
    <row r="296" spans="1:56" ht="14.5"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row>
    <row r="297" spans="1:56" ht="14.5"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row>
    <row r="298" spans="1:56" ht="14.5"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row>
    <row r="299" spans="1:56" ht="14.5"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row>
    <row r="300" spans="1:56" ht="14.5"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row>
    <row r="301" spans="1:56" ht="14.5"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row>
    <row r="302" spans="1:56" ht="14.5"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row>
    <row r="303" spans="1:56" ht="14.5"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row>
    <row r="304" spans="1:56" ht="14.5"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row>
    <row r="305" spans="1:56" ht="14.5"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row>
    <row r="306" spans="1:56" ht="14.5"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row>
    <row r="307" spans="1:56" ht="14.5"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row>
    <row r="308" spans="1:56" ht="14.5"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row>
    <row r="309" spans="1:56" ht="14.5"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row>
    <row r="310" spans="1:56" ht="14.5"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row>
    <row r="311" spans="1:56" ht="14.5"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row>
    <row r="312" spans="1:56" ht="14.5"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row>
    <row r="313" spans="1:56" ht="14.5"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row>
    <row r="314" spans="1:56" ht="14.5"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row>
    <row r="315" spans="1:56" ht="14.5"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row>
    <row r="316" spans="1:56" ht="14.5"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row>
    <row r="317" spans="1:56" ht="14.5"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row>
    <row r="318" spans="1:56" ht="14.5"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row>
    <row r="319" spans="1:56" ht="14.5"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row>
    <row r="320" spans="1:56" ht="14.5"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row>
    <row r="321" spans="1:56" ht="14.5"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row>
    <row r="322" spans="1:56" ht="14.5"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row>
    <row r="323" spans="1:56" ht="14.5"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row>
    <row r="324" spans="1:56" ht="14.5"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row>
    <row r="325" spans="1:56" ht="14.5"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row>
    <row r="326" spans="1:56" ht="14.5"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row>
    <row r="327" spans="1:56" ht="14.5"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row>
    <row r="328" spans="1:56" ht="14.5"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row>
    <row r="329" spans="1:56" ht="14.5"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row>
    <row r="330" spans="1:56" ht="14.5"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row>
    <row r="331" spans="1:56" ht="14.5"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row>
    <row r="332" spans="1:56" ht="14.5"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row>
    <row r="333" spans="1:56" ht="14.5"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row>
    <row r="334" spans="1:56" ht="14.5"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row>
    <row r="335" spans="1:56" ht="14.5"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row>
    <row r="336" spans="1:56" ht="14.5"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row>
    <row r="337" spans="1:56" ht="14.5"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row>
    <row r="338" spans="1:56" ht="14.5"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row>
    <row r="339" spans="1:56" ht="14.5"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row>
    <row r="340" spans="1:56" ht="14.5"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row>
    <row r="341" spans="1:56" ht="14.5"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row>
    <row r="342" spans="1:56" ht="14.5"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row>
    <row r="343" spans="1:56" ht="14.5"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row>
    <row r="344" spans="1:56" ht="14.5"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row>
    <row r="345" spans="1:56" ht="14.5"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row>
    <row r="346" spans="1:56" ht="14.5"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row>
    <row r="347" spans="1:56" ht="14.5"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row>
    <row r="348" spans="1:56" ht="14.5"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row>
    <row r="349" spans="1:56" ht="14.5"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row>
    <row r="350" spans="1:56" ht="14.5"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row>
    <row r="351" spans="1:56" ht="14.5"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row>
    <row r="352" spans="1:56" ht="14.5"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row>
    <row r="353" spans="1:56" ht="14.5"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row>
    <row r="354" spans="1:56" ht="14.5"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row>
    <row r="355" spans="1:56" ht="14.5"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row>
    <row r="356" spans="1:56" ht="14.5"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row>
    <row r="357" spans="1:56" ht="14.5"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row>
    <row r="358" spans="1:56" ht="14.5"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row>
    <row r="359" spans="1:56" ht="14.5"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row>
    <row r="360" spans="1:56" ht="14.5"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row>
    <row r="361" spans="1:56" ht="14.5"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row>
    <row r="362" spans="1:56" ht="14.5"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row>
    <row r="363" spans="1:56" ht="14.5"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row>
    <row r="364" spans="1:56" ht="14.5"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row>
    <row r="365" spans="1:56" ht="14.5"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row>
    <row r="366" spans="1:56" ht="14.5"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row>
    <row r="367" spans="1:56" ht="14.5"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row>
    <row r="368" spans="1:56" ht="14.5"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row>
    <row r="369" spans="1:56" ht="14.5"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row>
    <row r="370" spans="1:56" ht="14.5"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row>
    <row r="371" spans="1:56" ht="14.5"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row>
    <row r="372" spans="1:56" ht="14.5"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row>
    <row r="373" spans="1:56" ht="14.5"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row>
    <row r="374" spans="1:56" ht="14.5"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row>
    <row r="375" spans="1:56" ht="14.5"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row>
    <row r="376" spans="1:56" ht="14.5"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row>
    <row r="377" spans="1:56" ht="14.5"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row>
    <row r="378" spans="1:56" ht="14.5"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row>
    <row r="379" spans="1:56" ht="14.5"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row>
    <row r="380" spans="1:56" ht="14.5"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row>
    <row r="381" spans="1:56" ht="14.5"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row>
    <row r="382" spans="1:56" ht="14.5"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row>
    <row r="383" spans="1:56" ht="14.5"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row>
    <row r="384" spans="1:56" ht="14.5"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row>
    <row r="385" spans="1:56" ht="14.5"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row>
    <row r="386" spans="1:56" ht="14.5"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row>
    <row r="387" spans="1:56" ht="14.5"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row>
    <row r="388" spans="1:56" ht="14.5"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row>
    <row r="389" spans="1:56" ht="14.5"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row>
    <row r="390" spans="1:56" ht="14.5"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row>
    <row r="391" spans="1:56" ht="14.5"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row>
    <row r="392" spans="1:56" ht="14.5"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row>
    <row r="393" spans="1:56" ht="14.5"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row>
    <row r="394" spans="1:56" ht="14.5"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row>
    <row r="395" spans="1:56" ht="14.5"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row>
    <row r="396" spans="1:56" ht="14.5"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row>
    <row r="397" spans="1:56" ht="14.5"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row>
    <row r="398" spans="1:56" ht="14.5"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row>
    <row r="399" spans="1:56" ht="14.5"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row>
    <row r="400" spans="1:56" ht="14.5"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row>
    <row r="401" spans="1:56" ht="14.5"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row>
    <row r="402" spans="1:56" ht="14.5"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row>
    <row r="403" spans="1:56" ht="14.5"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row>
    <row r="404" spans="1:56" ht="14.5"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row>
    <row r="405" spans="1:56" ht="14.5"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row>
    <row r="406" spans="1:56" ht="14.5"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row>
    <row r="407" spans="1:56" ht="14.5"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row>
    <row r="408" spans="1:56" ht="14.5"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row>
    <row r="409" spans="1:56" ht="14.5"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row>
    <row r="410" spans="1:56" ht="14.5"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row>
    <row r="411" spans="1:56" ht="14.5"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row>
    <row r="412" spans="1:56" ht="14.5"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row>
    <row r="413" spans="1:56" ht="14.5"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row>
    <row r="414" spans="1:56" ht="14.5"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row>
    <row r="415" spans="1:56" ht="14.5"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row>
    <row r="416" spans="1:56" ht="14.5"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row>
    <row r="417" spans="1:56" ht="14.5"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row>
    <row r="418" spans="1:56" ht="14.5"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row>
    <row r="419" spans="1:56" ht="14.5"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row>
    <row r="420" spans="1:56" ht="14.5"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row>
    <row r="421" spans="1:56" ht="14.5"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row>
    <row r="422" spans="1:56" ht="14.5"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row>
    <row r="423" spans="1:56" ht="14.5"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row>
    <row r="424" spans="1:56" ht="14.5"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row>
    <row r="425" spans="1:56" ht="14.5"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row>
    <row r="426" spans="1:56" ht="14.5"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row>
    <row r="427" spans="1:56" ht="14.5"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row>
    <row r="428" spans="1:56" ht="14.5"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row>
    <row r="429" spans="1:56" ht="14.5"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row>
    <row r="430" spans="1:56" ht="14.5"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row>
    <row r="431" spans="1:56" ht="14.5"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row>
    <row r="432" spans="1:56" ht="14.5"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row>
    <row r="433" spans="1:56" ht="14.5"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row>
    <row r="434" spans="1:56" ht="14.5"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row>
    <row r="435" spans="1:56" ht="14.5"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row>
    <row r="436" spans="1:56" ht="14.5"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row>
    <row r="437" spans="1:56" ht="14.5"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row>
    <row r="438" spans="1:56" ht="14.5"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row>
    <row r="439" spans="1:56" ht="14.5"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row>
    <row r="440" spans="1:56" ht="14.5"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row>
    <row r="441" spans="1:56" ht="14.5"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row>
    <row r="442" spans="1:56" ht="14.5"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row>
    <row r="443" spans="1:56" ht="14.5"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row>
    <row r="444" spans="1:56" ht="14.5"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row>
    <row r="445" spans="1:56" ht="14.5"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row>
    <row r="446" spans="1:56" ht="14.5"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row>
    <row r="447" spans="1:56" ht="14.5"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row>
    <row r="448" spans="1:56" ht="14.5"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row>
    <row r="449" spans="1:56" ht="14.5"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row>
    <row r="450" spans="1:56" ht="14.5"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row>
    <row r="451" spans="1:56" ht="14.5"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row>
    <row r="452" spans="1:56" ht="14.5"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row>
    <row r="453" spans="1:56" ht="14.5"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row>
    <row r="454" spans="1:56" ht="14.5"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row>
    <row r="455" spans="1:56" ht="14.5"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row>
    <row r="456" spans="1:56" ht="14.5"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row>
    <row r="457" spans="1:56" ht="14.5"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row>
    <row r="458" spans="1:56" ht="14.5"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row>
    <row r="459" spans="1:56" ht="14.5"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row>
    <row r="460" spans="1:56" ht="14.5"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row>
    <row r="461" spans="1:56" ht="14.5"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row>
    <row r="462" spans="1:56" ht="14.5"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row>
    <row r="463" spans="1:56" ht="14.5"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row>
    <row r="464" spans="1:56" ht="14.5"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row>
    <row r="465" spans="1:56" ht="14.5"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row>
    <row r="466" spans="1:56" ht="14.5"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row>
    <row r="467" spans="1:56" ht="14.5"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row>
    <row r="468" spans="1:56" ht="14.5"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row>
    <row r="469" spans="1:56" ht="14.5"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row>
    <row r="470" spans="1:56" ht="14.5"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row>
    <row r="471" spans="1:56" ht="14.5"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row>
    <row r="472" spans="1:56" ht="14.5"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row>
    <row r="473" spans="1:56" ht="14.5"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row>
    <row r="474" spans="1:56" ht="14.5"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row>
    <row r="475" spans="1:56" ht="14.5"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row>
    <row r="476" spans="1:56" ht="14.5"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row>
    <row r="477" spans="1:56" ht="14.5"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row>
    <row r="478" spans="1:56" ht="14.5"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row>
    <row r="479" spans="1:56" ht="14.5"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row>
    <row r="480" spans="1:56" ht="14.5"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row>
    <row r="481" spans="1:56" ht="14.5"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row>
    <row r="482" spans="1:56" ht="14.5"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row>
    <row r="483" spans="1:56" ht="14.5"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row>
    <row r="484" spans="1:56" ht="14.5"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row>
    <row r="485" spans="1:56" ht="14.5"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row>
    <row r="486" spans="1:56" ht="14.5"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row>
    <row r="487" spans="1:56" ht="14.5"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row>
    <row r="488" spans="1:56" ht="14.5"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row>
    <row r="489" spans="1:56" ht="14.5"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row>
    <row r="490" spans="1:56" ht="14.5"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row>
    <row r="491" spans="1:56" ht="14.5"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row>
    <row r="492" spans="1:56" ht="14.5"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row>
    <row r="493" spans="1:56" ht="14.5"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row>
    <row r="494" spans="1:56" ht="14.5"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row>
    <row r="495" spans="1:56" ht="14.5"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row>
    <row r="496" spans="1:56" ht="14.5"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row>
    <row r="497" spans="1:56" ht="14.5"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row>
    <row r="498" spans="1:56" ht="14.5"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row>
    <row r="499" spans="1:56" ht="14.5"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row>
    <row r="500" spans="1:56" ht="14.5"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row>
    <row r="501" spans="1:56" ht="14.5"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row>
    <row r="502" spans="1:56" ht="14.5"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row>
    <row r="503" spans="1:56" ht="14.5"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row>
    <row r="504" spans="1:56" ht="14.5"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row>
    <row r="505" spans="1:56" ht="14.5"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row>
    <row r="506" spans="1:56" ht="14.5"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row>
    <row r="507" spans="1:56" ht="14.5"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row>
    <row r="508" spans="1:56" ht="14.5"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row>
    <row r="509" spans="1:56" ht="14.5"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row>
    <row r="510" spans="1:56" ht="14.5"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row>
    <row r="511" spans="1:56" ht="14.5"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row>
    <row r="512" spans="1:56" ht="14.5"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row>
    <row r="513" spans="1:56" ht="14.5"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row>
    <row r="514" spans="1:56" ht="14.5"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row>
    <row r="515" spans="1:56" ht="14.5"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row>
    <row r="516" spans="1:56" ht="14.5"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row>
    <row r="517" spans="1:56" ht="14.5"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row>
    <row r="518" spans="1:56" ht="14.5"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row>
    <row r="519" spans="1:56" ht="14.5"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row>
    <row r="520" spans="1:56" ht="14.5"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row>
    <row r="521" spans="1:56" ht="14.5"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row>
    <row r="522" spans="1:56" ht="14.5"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row>
    <row r="523" spans="1:56" ht="14.5"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row>
    <row r="524" spans="1:56" ht="14.5"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row>
    <row r="525" spans="1:56" ht="14.5"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row>
    <row r="526" spans="1:56" ht="14.5"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row>
    <row r="527" spans="1:56" ht="14.5"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row>
    <row r="528" spans="1:56" ht="14.5"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row>
    <row r="529" spans="1:56" ht="14.5"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row>
    <row r="530" spans="1:56" ht="14.5"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row>
    <row r="531" spans="1:56" ht="14.5"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row>
    <row r="532" spans="1:56" ht="14.5"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row>
    <row r="533" spans="1:56" ht="14.5"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row>
    <row r="534" spans="1:56" ht="14.5"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row>
    <row r="535" spans="1:56" ht="14.5"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row>
    <row r="536" spans="1:56" ht="14.5"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row>
    <row r="537" spans="1:56" ht="14.5"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row>
    <row r="538" spans="1:56" ht="14.5"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row>
    <row r="539" spans="1:56" ht="14.5"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row>
    <row r="540" spans="1:56" ht="14.5"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row>
    <row r="541" spans="1:56" ht="14.5"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row>
    <row r="542" spans="1:56" ht="14.5"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row>
    <row r="543" spans="1:56" ht="14.5"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row>
    <row r="544" spans="1:56" ht="14.5"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row>
    <row r="545" spans="1:56" ht="14.5"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row>
    <row r="546" spans="1:56" ht="14.5"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row>
    <row r="547" spans="1:56" ht="14.5"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row>
    <row r="548" spans="1:56" ht="14.5"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row>
    <row r="549" spans="1:56" ht="14.5"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row>
    <row r="550" spans="1:56" ht="14.5"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row>
    <row r="551" spans="1:56" ht="14.5"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row>
    <row r="552" spans="1:56" ht="14.5"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row>
    <row r="553" spans="1:56" ht="14.5"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row>
    <row r="554" spans="1:56" ht="14.5"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row>
    <row r="555" spans="1:56" ht="14.5"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row>
    <row r="556" spans="1:56" ht="14.5"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row>
    <row r="557" spans="1:56" ht="14.5"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row>
    <row r="558" spans="1:56" ht="14.5"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row>
    <row r="559" spans="1:56" ht="14.5"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row>
    <row r="560" spans="1:56" ht="14.5"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row>
    <row r="561" spans="1:56" ht="14.5"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row>
    <row r="562" spans="1:56" ht="14.5"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row>
    <row r="563" spans="1:56" ht="14.5"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row>
    <row r="564" spans="1:56" ht="14.5"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row>
    <row r="565" spans="1:56" ht="14.5"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row>
    <row r="566" spans="1:56" ht="14.5"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row>
    <row r="567" spans="1:56" ht="14.5"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row>
    <row r="568" spans="1:56" ht="14.5"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row>
    <row r="569" spans="1:56" ht="14.5"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row>
    <row r="570" spans="1:56" ht="14.5"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row>
    <row r="571" spans="1:56" ht="14.5"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row>
    <row r="572" spans="1:56" ht="14.5"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row>
    <row r="573" spans="1:56" ht="14.5"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row>
    <row r="574" spans="1:56" ht="14.5"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row>
    <row r="575" spans="1:56" ht="14.5"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row>
    <row r="576" spans="1:56" ht="14.5"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row>
    <row r="577" spans="1:56" ht="14.5"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row>
    <row r="578" spans="1:56" ht="14.5"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row>
    <row r="579" spans="1:56" ht="14.5"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row>
    <row r="580" spans="1:56" ht="14.5"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row>
    <row r="581" spans="1:56" ht="14.5"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row>
    <row r="582" spans="1:56" ht="14.5"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row>
    <row r="583" spans="1:56" ht="14.5"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row>
    <row r="584" spans="1:56" ht="14.5"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row>
    <row r="585" spans="1:56" ht="14.5"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row>
    <row r="586" spans="1:56" ht="14.5"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row>
    <row r="587" spans="1:56" ht="14.5"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row>
    <row r="588" spans="1:56" ht="14.5"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row>
    <row r="589" spans="1:56" ht="14.5"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row>
    <row r="590" spans="1:56" ht="14.5"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row>
    <row r="591" spans="1:56" ht="14.5"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row>
    <row r="592" spans="1:56" ht="14.5"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row>
    <row r="593" spans="1:56" ht="14.5"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row>
    <row r="594" spans="1:56" ht="14.5"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row>
    <row r="595" spans="1:56" ht="14.5"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row>
    <row r="596" spans="1:56" ht="14.5"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row>
    <row r="597" spans="1:56" ht="14.5"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row>
    <row r="598" spans="1:56" ht="14.5"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row>
    <row r="599" spans="1:56" ht="14.5"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row>
    <row r="600" spans="1:56" ht="14.5"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row>
    <row r="601" spans="1:56" ht="14.5"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row>
    <row r="602" spans="1:56" ht="14.5"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row>
    <row r="603" spans="1:56" ht="14.5"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row>
    <row r="604" spans="1:56" ht="14.5"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row>
    <row r="605" spans="1:56" ht="14.5"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row>
    <row r="606" spans="1:56" ht="14.5"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row>
    <row r="607" spans="1:56" ht="14.5"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row>
    <row r="608" spans="1:56" ht="14.5"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row>
    <row r="609" spans="1:56" ht="14.5"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row>
    <row r="610" spans="1:56" ht="14.5"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row>
    <row r="611" spans="1:56" ht="14.5"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row>
    <row r="612" spans="1:56" ht="14.5"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row>
    <row r="613" spans="1:56" ht="14.5"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row>
    <row r="614" spans="1:56" ht="14.5"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row>
    <row r="615" spans="1:56" ht="14.5"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row>
    <row r="616" spans="1:56" ht="14.5"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row>
    <row r="617" spans="1:56" ht="14.5"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row>
    <row r="618" spans="1:56" ht="14.5"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row>
    <row r="619" spans="1:56" ht="14.5"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row>
    <row r="620" spans="1:56" ht="14.5"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row>
    <row r="621" spans="1:56" ht="14.5"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row>
    <row r="622" spans="1:56" ht="14.5"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row>
    <row r="623" spans="1:56" ht="14.5"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row>
    <row r="624" spans="1:56" ht="14.5"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row>
    <row r="625" spans="1:56" ht="14.5"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row>
    <row r="626" spans="1:56" ht="14.5"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row>
    <row r="627" spans="1:56" ht="14.5"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row>
    <row r="628" spans="1:56" ht="14.5"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row>
    <row r="629" spans="1:56" ht="14.5"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row>
    <row r="630" spans="1:56" ht="14.5"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row>
    <row r="631" spans="1:56" ht="14.5"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row>
    <row r="632" spans="1:56" ht="14.5"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row>
    <row r="633" spans="1:56" ht="14.5"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row>
    <row r="634" spans="1:56" ht="14.5"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row>
    <row r="635" spans="1:56" ht="14.5"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row>
    <row r="636" spans="1:56" ht="14.5"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row>
    <row r="637" spans="1:56" ht="14.5"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row>
    <row r="638" spans="1:56" ht="14.5"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row>
    <row r="639" spans="1:56" ht="14.5"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row>
    <row r="640" spans="1:56" ht="14.5"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row>
    <row r="641" spans="1:56" ht="14.5"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row>
    <row r="642" spans="1:56" ht="14.5"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row>
    <row r="643" spans="1:56" ht="14.5"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row>
    <row r="644" spans="1:56" ht="14.5"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row>
    <row r="645" spans="1:56" ht="14.5"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row>
    <row r="646" spans="1:56" ht="14.5"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row>
    <row r="647" spans="1:56" ht="14.5"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row>
    <row r="648" spans="1:56" ht="14.5"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row>
    <row r="649" spans="1:56" ht="14.5"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row>
    <row r="650" spans="1:56" ht="14.5"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row>
    <row r="651" spans="1:56" ht="14.5"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row>
    <row r="652" spans="1:56" ht="14.5"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row>
    <row r="653" spans="1:56" ht="14.5"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row>
    <row r="654" spans="1:56" ht="14.5"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row>
    <row r="655" spans="1:56" ht="14.5"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row>
    <row r="656" spans="1:56" ht="14.5"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row>
    <row r="657" spans="1:56" ht="14.5"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row>
    <row r="658" spans="1:56" ht="14.5"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row>
    <row r="659" spans="1:56" ht="14.5"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row>
    <row r="660" spans="1:56" ht="14.5"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row>
    <row r="661" spans="1:56" ht="14.5"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row>
    <row r="662" spans="1:56" ht="14.5"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row>
    <row r="663" spans="1:56" ht="14.5"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row>
    <row r="664" spans="1:56" ht="14.5"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row>
    <row r="665" spans="1:56" ht="14.5"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row>
    <row r="666" spans="1:56" ht="14.5"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row>
    <row r="667" spans="1:56" ht="14.5"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row>
    <row r="668" spans="1:56" ht="14.5"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row>
    <row r="669" spans="1:56" ht="14.5"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row>
    <row r="670" spans="1:56" ht="14.5"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row>
    <row r="671" spans="1:56" ht="14.5"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row>
    <row r="672" spans="1:56" ht="14.5"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row>
    <row r="673" spans="1:56" ht="14.5"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row>
    <row r="674" spans="1:56" ht="14.5"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row>
    <row r="675" spans="1:56" ht="14.5"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row>
    <row r="676" spans="1:56" ht="14.5"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row>
    <row r="677" spans="1:56" ht="14.5"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row>
    <row r="678" spans="1:56" ht="14.5"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row>
    <row r="679" spans="1:56" ht="14.5"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row>
    <row r="680" spans="1:56" ht="14.5"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row>
    <row r="681" spans="1:56" ht="14.5"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row>
    <row r="682" spans="1:56" ht="14.5"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row>
    <row r="683" spans="1:56" ht="14.5"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row>
    <row r="684" spans="1:56" ht="14.5"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row>
    <row r="685" spans="1:56" ht="14.5"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row>
    <row r="686" spans="1:56" ht="14.5"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row>
    <row r="687" spans="1:56" ht="14.5"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row>
    <row r="688" spans="1:56" ht="14.5"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row>
    <row r="689" spans="1:56" ht="14.5"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row>
    <row r="690" spans="1:56" ht="14.5"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row>
    <row r="691" spans="1:56" ht="14.5"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row>
    <row r="692" spans="1:56" ht="14.5"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row>
    <row r="693" spans="1:56" ht="14.5"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row>
    <row r="694" spans="1:56" ht="14.5"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row>
    <row r="695" spans="1:56" ht="14.5"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row>
    <row r="696" spans="1:56" ht="14.5"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row>
    <row r="697" spans="1:56" ht="14.5"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row>
    <row r="698" spans="1:56" ht="14.5"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row>
    <row r="699" spans="1:56" ht="14.5"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row>
    <row r="700" spans="1:56" ht="14.5"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row>
    <row r="701" spans="1:56" ht="14.5"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row>
    <row r="702" spans="1:56" ht="14.5"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row>
    <row r="703" spans="1:56" ht="14.5"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row>
    <row r="704" spans="1:56" ht="14.5"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row>
    <row r="705" spans="1:56" ht="14.5"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row>
    <row r="706" spans="1:56" ht="14.5"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row>
    <row r="707" spans="1:56" ht="14.5"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row>
    <row r="708" spans="1:56" ht="14.5"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row>
    <row r="709" spans="1:56" ht="14.5"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row>
    <row r="710" spans="1:56" ht="14.5"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row>
    <row r="711" spans="1:56" ht="14.5"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row>
    <row r="712" spans="1:56" ht="14.5"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row>
    <row r="713" spans="1:56" ht="14.5"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row>
    <row r="714" spans="1:56" ht="14.5"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row>
    <row r="715" spans="1:56" ht="14.5"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row>
    <row r="716" spans="1:56" ht="14.5"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row>
    <row r="717" spans="1:56" ht="14.5"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row>
    <row r="718" spans="1:56" ht="14.5"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row>
    <row r="719" spans="1:56" ht="14.5"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row>
    <row r="720" spans="1:56" ht="14.5"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row>
    <row r="721" spans="1:56" ht="14.5"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row>
    <row r="722" spans="1:56" ht="14.5"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row>
    <row r="723" spans="1:56" ht="14.5"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row>
    <row r="724" spans="1:56" ht="14.5"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row>
    <row r="725" spans="1:56" ht="14.5"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row>
    <row r="726" spans="1:56" ht="14.5"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row>
    <row r="727" spans="1:56" ht="14.5"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row>
    <row r="728" spans="1:56" ht="14.5"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row>
    <row r="729" spans="1:56" ht="14.5"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row>
    <row r="730" spans="1:56" ht="14.5"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row>
    <row r="731" spans="1:56" ht="14.5"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row>
    <row r="732" spans="1:56" ht="14.5"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row>
    <row r="733" spans="1:56" ht="14.5"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row>
    <row r="734" spans="1:56" ht="14.5"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row>
    <row r="735" spans="1:56" ht="14.5"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row>
    <row r="736" spans="1:56" ht="14.5"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row>
    <row r="737" spans="1:56" ht="14.5"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row>
    <row r="738" spans="1:56" ht="14.5"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row>
    <row r="739" spans="1:56" ht="14.5"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row>
    <row r="740" spans="1:56" ht="14.5"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row>
    <row r="741" spans="1:56" ht="14.5"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row>
    <row r="742" spans="1:56" ht="14.5"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row>
    <row r="743" spans="1:56" ht="14.5"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row>
    <row r="744" spans="1:56" ht="14.5"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row>
    <row r="745" spans="1:56" ht="14.5"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row>
    <row r="746" spans="1:56" ht="14.5"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row>
    <row r="747" spans="1:56" ht="14.5"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row>
    <row r="748" spans="1:56" ht="14.5"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row>
    <row r="749" spans="1:56" ht="14.5"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row>
    <row r="750" spans="1:56" ht="14.5"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row>
    <row r="751" spans="1:56" ht="14.5"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row>
    <row r="752" spans="1:56" ht="14.5"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row>
    <row r="753" spans="1:56" ht="14.5"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row>
    <row r="754" spans="1:56" ht="14.5"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row>
    <row r="755" spans="1:56" ht="14.5"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row>
    <row r="756" spans="1:56" ht="14.5"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row>
    <row r="757" spans="1:56" ht="14.5"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row>
    <row r="758" spans="1:56" ht="14.5"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row>
    <row r="759" spans="1:56" ht="14.5"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row>
    <row r="760" spans="1:56" ht="14.5"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row>
    <row r="761" spans="1:56" ht="14.5"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row>
    <row r="762" spans="1:56" ht="14.5"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row>
    <row r="763" spans="1:56" ht="14.5"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row>
    <row r="764" spans="1:56" ht="14.5"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row>
    <row r="765" spans="1:56" ht="14.5"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row>
    <row r="766" spans="1:56" ht="14.5"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row>
    <row r="767" spans="1:56" ht="14.5"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row>
    <row r="768" spans="1:56" ht="14.5"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row>
    <row r="769" spans="1:56" ht="14.5"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row>
    <row r="770" spans="1:56" ht="14.5"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row>
    <row r="771" spans="1:56" ht="14.5"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row>
    <row r="772" spans="1:56" ht="14.5"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row>
    <row r="773" spans="1:56" ht="14.5"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row>
    <row r="774" spans="1:56" ht="14.5"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row>
    <row r="775" spans="1:56" ht="14.5"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row>
    <row r="776" spans="1:56" ht="14.5"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row>
    <row r="777" spans="1:56" ht="14.5"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row>
    <row r="778" spans="1:56" ht="14.5"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row>
    <row r="779" spans="1:56" ht="14.5"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row>
    <row r="780" spans="1:56" ht="14.5"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row>
    <row r="781" spans="1:56" ht="14.5"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row>
    <row r="782" spans="1:56" ht="14.5"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row>
    <row r="783" spans="1:56" ht="14.5"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row>
    <row r="784" spans="1:56" ht="14.5"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row>
    <row r="785" spans="1:56" ht="14.5"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row>
    <row r="786" spans="1:56" ht="14.5"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row>
    <row r="787" spans="1:56" ht="14.5"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row>
    <row r="788" spans="1:56" ht="14.5"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row>
  </sheetData>
  <mergeCells count="10">
    <mergeCell ref="D63:G63"/>
    <mergeCell ref="D76:G76"/>
    <mergeCell ref="D85:G85"/>
    <mergeCell ref="D94:G94"/>
    <mergeCell ref="A2:A5"/>
    <mergeCell ref="D22:G22"/>
    <mergeCell ref="D27:G27"/>
    <mergeCell ref="D32:G32"/>
    <mergeCell ref="D37:G37"/>
    <mergeCell ref="D50:G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CR641"/>
  <sheetViews>
    <sheetView tabSelected="1" zoomScale="160" zoomScaleNormal="160" zoomScaleSheetLayoutView="396" workbookViewId="0">
      <pane xSplit="6" ySplit="3" topLeftCell="G4" activePane="bottomRight" state="frozen"/>
      <selection pane="topRight" activeCell="G1" sqref="G1"/>
      <selection pane="bottomLeft" activeCell="A4" sqref="A4"/>
      <selection pane="bottomRight" activeCell="G381" sqref="F380:G381"/>
    </sheetView>
  </sheetViews>
  <sheetFormatPr defaultColWidth="12.58203125" defaultRowHeight="15" customHeight="1" x14ac:dyDescent="0.3"/>
  <cols>
    <col min="1" max="3" width="16.5" customWidth="1"/>
    <col min="4" max="4" width="4.5" customWidth="1"/>
    <col min="5" max="5" width="3.1640625" customWidth="1"/>
    <col min="6" max="6" width="52.1640625" customWidth="1"/>
    <col min="7" max="7" width="11.4140625" customWidth="1"/>
    <col min="8" max="8" width="11.6640625" customWidth="1"/>
    <col min="9" max="11" width="14" customWidth="1"/>
    <col min="12" max="12" width="11.1640625" customWidth="1"/>
    <col min="13" max="18" width="14" customWidth="1"/>
    <col min="19" max="19" width="13" customWidth="1"/>
    <col min="20" max="20" width="11.4140625" customWidth="1"/>
    <col min="21" max="67" width="10.4140625" customWidth="1"/>
    <col min="68" max="68" width="3.9140625" customWidth="1"/>
    <col min="69" max="96" width="13.58203125" customWidth="1"/>
  </cols>
  <sheetData>
    <row r="1" spans="1:96" ht="14.25" customHeight="1" thickBot="1" x14ac:dyDescent="0.45">
      <c r="A1" s="43" t="s">
        <v>0</v>
      </c>
      <c r="B1" s="43"/>
      <c r="C1" s="43"/>
      <c r="D1" s="1"/>
      <c r="E1" s="2"/>
      <c r="F1" s="5" t="s">
        <v>1</v>
      </c>
      <c r="G1" s="121">
        <v>2010</v>
      </c>
      <c r="H1" s="121">
        <v>2011</v>
      </c>
      <c r="I1" s="122">
        <v>2012</v>
      </c>
      <c r="J1" s="122">
        <v>2013</v>
      </c>
      <c r="K1" s="5">
        <v>2014</v>
      </c>
      <c r="L1" s="3">
        <v>2015</v>
      </c>
      <c r="M1" s="3">
        <v>2016</v>
      </c>
      <c r="N1" s="3">
        <v>2017</v>
      </c>
      <c r="O1" s="3">
        <v>2018</v>
      </c>
      <c r="P1" s="3">
        <v>2019</v>
      </c>
      <c r="Q1" s="3">
        <v>2020</v>
      </c>
      <c r="R1" s="3">
        <v>2021</v>
      </c>
      <c r="S1" s="3">
        <v>2022</v>
      </c>
      <c r="T1" s="3">
        <v>2023</v>
      </c>
      <c r="U1" s="3">
        <v>2024</v>
      </c>
      <c r="V1" s="3">
        <v>2025</v>
      </c>
      <c r="W1" s="3">
        <v>2026</v>
      </c>
      <c r="X1" s="3">
        <v>2027</v>
      </c>
      <c r="Y1" s="3">
        <v>2028</v>
      </c>
      <c r="Z1" s="3">
        <v>2029</v>
      </c>
      <c r="AA1" s="3">
        <v>2030</v>
      </c>
      <c r="AB1" s="3">
        <v>2031</v>
      </c>
      <c r="AC1" s="3">
        <v>2032</v>
      </c>
      <c r="AD1" s="3">
        <v>2033</v>
      </c>
      <c r="AE1" s="3">
        <v>2034</v>
      </c>
      <c r="AF1" s="3">
        <v>2035</v>
      </c>
      <c r="AG1" s="3">
        <v>2036</v>
      </c>
      <c r="AH1" s="3">
        <v>2037</v>
      </c>
      <c r="AI1" s="3">
        <v>2038</v>
      </c>
      <c r="AJ1" s="3">
        <v>2039</v>
      </c>
      <c r="AK1" s="3">
        <v>2040</v>
      </c>
      <c r="AL1" s="3">
        <v>2041</v>
      </c>
      <c r="AM1" s="3">
        <v>2042</v>
      </c>
      <c r="AN1" s="3">
        <v>2043</v>
      </c>
      <c r="AO1" s="3">
        <v>2044</v>
      </c>
      <c r="AP1" s="3">
        <v>2045</v>
      </c>
      <c r="AQ1" s="3">
        <v>2046</v>
      </c>
      <c r="AR1" s="3">
        <v>2047</v>
      </c>
      <c r="AS1" s="3">
        <v>2048</v>
      </c>
      <c r="AT1" s="3">
        <v>2049</v>
      </c>
      <c r="AU1" s="3">
        <v>2050</v>
      </c>
      <c r="AV1" s="3">
        <v>2051</v>
      </c>
      <c r="AW1" s="3">
        <v>2052</v>
      </c>
      <c r="AX1" s="3">
        <v>2053</v>
      </c>
      <c r="AY1" s="3">
        <v>2054</v>
      </c>
      <c r="AZ1" s="3">
        <v>2055</v>
      </c>
      <c r="BA1" s="3">
        <v>2056</v>
      </c>
      <c r="BB1" s="3">
        <v>2057</v>
      </c>
      <c r="BC1" s="3">
        <v>2058</v>
      </c>
      <c r="BD1" s="3">
        <v>2059</v>
      </c>
      <c r="BE1" s="3">
        <v>2060</v>
      </c>
      <c r="BF1" s="3">
        <v>2061</v>
      </c>
      <c r="BG1" s="3">
        <v>2062</v>
      </c>
      <c r="BH1" s="3">
        <v>2063</v>
      </c>
      <c r="BI1" s="3">
        <v>2064</v>
      </c>
      <c r="BJ1" s="3">
        <v>2065</v>
      </c>
      <c r="BK1" s="3">
        <v>2066</v>
      </c>
      <c r="BL1" s="3">
        <v>2067</v>
      </c>
      <c r="BM1" s="3">
        <v>2068</v>
      </c>
      <c r="BN1" s="3">
        <v>2069</v>
      </c>
      <c r="BO1" s="3">
        <v>2070</v>
      </c>
      <c r="BP1" s="6"/>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row>
    <row r="2" spans="1:96" ht="14.25" customHeight="1" x14ac:dyDescent="0.3">
      <c r="A2" s="960"/>
      <c r="B2" s="960"/>
      <c r="C2" s="960"/>
      <c r="D2" s="944"/>
      <c r="E2" s="944"/>
      <c r="F2" s="45"/>
      <c r="G2" s="45"/>
      <c r="H2" s="45"/>
      <c r="I2" s="45"/>
      <c r="J2" s="45"/>
      <c r="K2" s="45"/>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c r="BE2" s="944"/>
      <c r="BF2" s="944"/>
      <c r="BG2" s="944"/>
      <c r="BH2" s="944"/>
      <c r="BI2" s="944"/>
      <c r="BJ2" s="944"/>
      <c r="BK2" s="944"/>
      <c r="BL2" s="944"/>
      <c r="BM2" s="944"/>
      <c r="BN2" s="944"/>
      <c r="BO2" s="944"/>
      <c r="BP2" s="45"/>
    </row>
    <row r="3" spans="1:96" ht="26" x14ac:dyDescent="0.3">
      <c r="A3" s="960"/>
      <c r="B3" s="960"/>
      <c r="C3" s="960"/>
      <c r="D3" s="944"/>
      <c r="E3" s="44"/>
      <c r="F3" s="44" t="s">
        <v>358</v>
      </c>
      <c r="G3" s="44"/>
      <c r="H3" s="45"/>
      <c r="I3" s="45"/>
      <c r="J3" s="45"/>
      <c r="K3" s="45"/>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944"/>
      <c r="AS3" s="944"/>
      <c r="AT3" s="944"/>
      <c r="AU3" s="944"/>
      <c r="AV3" s="944"/>
      <c r="AW3" s="944"/>
      <c r="AX3" s="944"/>
      <c r="AY3" s="944"/>
      <c r="AZ3" s="944"/>
      <c r="BA3" s="944"/>
      <c r="BB3" s="944"/>
      <c r="BC3" s="944"/>
      <c r="BD3" s="944"/>
      <c r="BE3" s="944"/>
      <c r="BF3" s="944"/>
      <c r="BG3" s="944"/>
      <c r="BH3" s="944"/>
      <c r="BI3" s="944"/>
      <c r="BJ3" s="944"/>
      <c r="BK3" s="944"/>
      <c r="BL3" s="944"/>
      <c r="BM3" s="944"/>
      <c r="BN3" s="944"/>
      <c r="BO3" s="944"/>
      <c r="BP3" s="45"/>
    </row>
    <row r="4" spans="1:96" ht="14.25" customHeight="1" thickBot="1" x14ac:dyDescent="0.35">
      <c r="A4" s="960"/>
      <c r="B4" s="960"/>
      <c r="C4" s="960"/>
      <c r="D4" s="944"/>
      <c r="E4" s="944"/>
      <c r="F4" s="45"/>
      <c r="G4" s="45"/>
      <c r="H4" s="45"/>
      <c r="I4" s="45"/>
      <c r="J4" s="45"/>
      <c r="K4" s="45"/>
      <c r="L4" s="944"/>
      <c r="M4" s="944"/>
      <c r="N4" s="944"/>
      <c r="O4" s="944"/>
      <c r="P4" s="944"/>
      <c r="Q4" s="944"/>
      <c r="R4" s="944"/>
      <c r="S4" s="944"/>
      <c r="T4" s="944"/>
      <c r="U4" s="944"/>
      <c r="V4" s="944"/>
      <c r="W4" s="944"/>
      <c r="X4" s="944"/>
      <c r="Y4" s="944"/>
      <c r="Z4" s="944"/>
      <c r="AA4" s="944"/>
      <c r="AB4" s="944"/>
      <c r="AC4" s="944"/>
      <c r="AD4" s="944"/>
      <c r="AE4" s="944"/>
      <c r="AF4" s="944"/>
      <c r="AG4" s="944"/>
      <c r="AH4" s="944"/>
      <c r="AI4" s="944"/>
      <c r="AJ4" s="944"/>
      <c r="AK4" s="944"/>
      <c r="AL4" s="944"/>
      <c r="AM4" s="944"/>
      <c r="AN4" s="944"/>
      <c r="AO4" s="944"/>
      <c r="AP4" s="944"/>
      <c r="AQ4" s="944"/>
      <c r="AR4" s="944"/>
      <c r="AS4" s="944"/>
      <c r="AT4" s="944"/>
      <c r="AU4" s="944"/>
      <c r="AV4" s="944"/>
      <c r="AW4" s="944"/>
      <c r="AX4" s="944"/>
      <c r="AY4" s="944"/>
      <c r="AZ4" s="944"/>
      <c r="BA4" s="944"/>
      <c r="BB4" s="944"/>
      <c r="BC4" s="944"/>
      <c r="BD4" s="944"/>
      <c r="BE4" s="944"/>
      <c r="BF4" s="944"/>
      <c r="BG4" s="944"/>
      <c r="BH4" s="944"/>
      <c r="BI4" s="944"/>
      <c r="BJ4" s="944"/>
      <c r="BK4" s="944"/>
      <c r="BL4" s="944"/>
      <c r="BM4" s="944"/>
      <c r="BN4" s="944"/>
      <c r="BO4" s="944"/>
      <c r="BP4" s="45"/>
    </row>
    <row r="5" spans="1:96" ht="14.25" customHeight="1" x14ac:dyDescent="0.3">
      <c r="A5" s="960"/>
      <c r="B5" s="960"/>
      <c r="C5" s="960"/>
      <c r="D5" s="944"/>
      <c r="E5" s="46"/>
      <c r="F5" s="175"/>
      <c r="G5" s="175"/>
      <c r="H5" s="175"/>
      <c r="I5" s="175"/>
      <c r="J5" s="175"/>
      <c r="K5" s="175"/>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47"/>
    </row>
    <row r="6" spans="1:96" ht="14.25" customHeight="1" x14ac:dyDescent="0.3">
      <c r="A6" s="960"/>
      <c r="B6" s="960"/>
      <c r="C6" s="960"/>
      <c r="D6" s="944"/>
      <c r="E6" s="177"/>
      <c r="F6" s="178" t="s">
        <v>359</v>
      </c>
      <c r="G6" s="179"/>
      <c r="H6" s="179"/>
      <c r="I6" s="179"/>
      <c r="J6" s="179"/>
      <c r="K6" s="179"/>
      <c r="L6" s="180"/>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2"/>
    </row>
    <row r="7" spans="1:96" ht="14.25" hidden="1" customHeight="1" x14ac:dyDescent="0.3">
      <c r="A7" s="960"/>
      <c r="B7" s="960"/>
      <c r="C7" s="960"/>
      <c r="D7" s="944"/>
      <c r="E7" s="183"/>
      <c r="F7" s="184" t="s">
        <v>360</v>
      </c>
      <c r="G7" s="179"/>
      <c r="H7" s="179"/>
      <c r="I7" s="179"/>
      <c r="J7" s="179"/>
      <c r="K7" s="179"/>
      <c r="L7" s="180"/>
      <c r="M7" s="181"/>
      <c r="N7" s="181"/>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2"/>
    </row>
    <row r="8" spans="1:96" ht="14.25" hidden="1" customHeight="1" x14ac:dyDescent="0.3">
      <c r="A8" s="1178" t="s">
        <v>6</v>
      </c>
      <c r="B8" s="960"/>
      <c r="C8" s="960"/>
      <c r="D8" s="944"/>
      <c r="E8" s="183"/>
      <c r="F8" s="185" t="s">
        <v>361</v>
      </c>
      <c r="G8" s="186">
        <v>235773</v>
      </c>
      <c r="H8" s="186">
        <v>200110</v>
      </c>
      <c r="I8" s="186">
        <v>221775</v>
      </c>
      <c r="J8" s="186">
        <v>217874</v>
      </c>
      <c r="K8" s="186">
        <v>196673</v>
      </c>
      <c r="L8" s="187">
        <v>195533</v>
      </c>
      <c r="M8" s="187">
        <v>186222</v>
      </c>
      <c r="N8" s="187">
        <v>166972</v>
      </c>
      <c r="O8" s="187">
        <v>173706</v>
      </c>
      <c r="P8" s="187">
        <v>190381</v>
      </c>
      <c r="Q8" s="187">
        <v>165080</v>
      </c>
      <c r="R8" s="187">
        <v>167893</v>
      </c>
      <c r="S8" s="187">
        <v>172653</v>
      </c>
      <c r="T8" s="187">
        <f t="shared" ref="T8:BO13" si="0">T24*1000000</f>
        <v>171797.75920311114</v>
      </c>
      <c r="U8" s="187">
        <f t="shared" si="0"/>
        <v>182266.21689268245</v>
      </c>
      <c r="V8" s="187">
        <f t="shared" si="0"/>
        <v>182580.87677570863</v>
      </c>
      <c r="W8" s="187">
        <f t="shared" si="0"/>
        <v>193539.14044253985</v>
      </c>
      <c r="X8" s="187">
        <f t="shared" si="0"/>
        <v>198351.25439036646</v>
      </c>
      <c r="Y8" s="187">
        <f t="shared" si="0"/>
        <v>199343.01066231827</v>
      </c>
      <c r="Z8" s="187">
        <f t="shared" si="0"/>
        <v>200339.72571562984</v>
      </c>
      <c r="AA8" s="187">
        <f t="shared" si="0"/>
        <v>201341.42434420795</v>
      </c>
      <c r="AB8" s="187">
        <f t="shared" si="0"/>
        <v>202348.13146592898</v>
      </c>
      <c r="AC8" s="187">
        <f t="shared" si="0"/>
        <v>203359.8721232586</v>
      </c>
      <c r="AD8" s="187">
        <f t="shared" si="0"/>
        <v>204376.67148387487</v>
      </c>
      <c r="AE8" s="187">
        <f t="shared" si="0"/>
        <v>205398.55484129422</v>
      </c>
      <c r="AF8" s="187">
        <f t="shared" si="0"/>
        <v>206425.54761550066</v>
      </c>
      <c r="AG8" s="187">
        <f t="shared" si="0"/>
        <v>207457.67535357815</v>
      </c>
      <c r="AH8" s="187">
        <f t="shared" si="0"/>
        <v>208494.963730346</v>
      </c>
      <c r="AI8" s="187">
        <f t="shared" si="0"/>
        <v>209537.43854899774</v>
      </c>
      <c r="AJ8" s="187">
        <f t="shared" si="0"/>
        <v>210585.1257417427</v>
      </c>
      <c r="AK8" s="187">
        <f t="shared" si="0"/>
        <v>211638.05137045137</v>
      </c>
      <c r="AL8" s="187">
        <f t="shared" si="0"/>
        <v>212696.24162730359</v>
      </c>
      <c r="AM8" s="187">
        <f t="shared" si="0"/>
        <v>213759.7228354401</v>
      </c>
      <c r="AN8" s="187">
        <f t="shared" si="0"/>
        <v>214828.52144961728</v>
      </c>
      <c r="AO8" s="187">
        <f t="shared" si="0"/>
        <v>215902.66405686535</v>
      </c>
      <c r="AP8" s="187">
        <f t="shared" si="0"/>
        <v>216982.17737714964</v>
      </c>
      <c r="AQ8" s="187">
        <f t="shared" si="0"/>
        <v>218067.08826403538</v>
      </c>
      <c r="AR8" s="187">
        <f t="shared" si="0"/>
        <v>219157.42370535553</v>
      </c>
      <c r="AS8" s="187">
        <f t="shared" si="0"/>
        <v>220253.21082388228</v>
      </c>
      <c r="AT8" s="187">
        <f t="shared" si="0"/>
        <v>221354.47687800167</v>
      </c>
      <c r="AU8" s="187">
        <f t="shared" si="0"/>
        <v>222461.24926239168</v>
      </c>
      <c r="AV8" s="187">
        <f t="shared" si="0"/>
        <v>223573.55550870358</v>
      </c>
      <c r="AW8" s="187">
        <f t="shared" si="0"/>
        <v>224691.4232862471</v>
      </c>
      <c r="AX8" s="187">
        <f t="shared" si="0"/>
        <v>225814.8804026783</v>
      </c>
      <c r="AY8" s="187">
        <f t="shared" si="0"/>
        <v>226943.95480469169</v>
      </c>
      <c r="AZ8" s="187">
        <f t="shared" si="0"/>
        <v>228078.67457871512</v>
      </c>
      <c r="BA8" s="187">
        <f t="shared" si="0"/>
        <v>229219.06795160865</v>
      </c>
      <c r="BB8" s="187">
        <f t="shared" si="0"/>
        <v>230365.16329136665</v>
      </c>
      <c r="BC8" s="187">
        <f t="shared" si="0"/>
        <v>231516.98910782347</v>
      </c>
      <c r="BD8" s="187">
        <f t="shared" si="0"/>
        <v>232674.57405336256</v>
      </c>
      <c r="BE8" s="187">
        <f t="shared" si="0"/>
        <v>233837.94692362935</v>
      </c>
      <c r="BF8" s="187">
        <f t="shared" si="0"/>
        <v>235007.1366582475</v>
      </c>
      <c r="BG8" s="187">
        <f t="shared" si="0"/>
        <v>236182.17234153871</v>
      </c>
      <c r="BH8" s="187">
        <f t="shared" si="0"/>
        <v>237363.08320324638</v>
      </c>
      <c r="BI8" s="187">
        <f t="shared" si="0"/>
        <v>238549.89861926256</v>
      </c>
      <c r="BJ8" s="187">
        <f t="shared" si="0"/>
        <v>239742.64811235885</v>
      </c>
      <c r="BK8" s="187">
        <f t="shared" si="0"/>
        <v>240941.36135292059</v>
      </c>
      <c r="BL8" s="187">
        <f t="shared" si="0"/>
        <v>242146.06815968518</v>
      </c>
      <c r="BM8" s="187">
        <f t="shared" si="0"/>
        <v>243356.79850048359</v>
      </c>
      <c r="BN8" s="187">
        <f t="shared" si="0"/>
        <v>244573.58249298597</v>
      </c>
      <c r="BO8" s="187">
        <f t="shared" si="0"/>
        <v>245796.45040545086</v>
      </c>
      <c r="BP8" s="182"/>
    </row>
    <row r="9" spans="1:96" ht="14.25" hidden="1" customHeight="1" x14ac:dyDescent="0.3">
      <c r="A9" s="982"/>
      <c r="D9" s="944"/>
      <c r="E9" s="183"/>
      <c r="F9" s="185" t="s">
        <v>362</v>
      </c>
      <c r="G9" s="186">
        <v>470054</v>
      </c>
      <c r="H9" s="186">
        <v>521091</v>
      </c>
      <c r="I9" s="186">
        <v>507721</v>
      </c>
      <c r="J9" s="186">
        <v>508885</v>
      </c>
      <c r="K9" s="186">
        <v>487316</v>
      </c>
      <c r="L9" s="187">
        <v>537410</v>
      </c>
      <c r="M9" s="187">
        <v>559617</v>
      </c>
      <c r="N9" s="187">
        <v>573516</v>
      </c>
      <c r="O9" s="187">
        <v>573833</v>
      </c>
      <c r="P9" s="187">
        <v>601954</v>
      </c>
      <c r="Q9" s="187">
        <v>590579</v>
      </c>
      <c r="R9" s="187">
        <v>626962</v>
      </c>
      <c r="S9" s="187">
        <v>591556.80703088571</v>
      </c>
      <c r="T9" s="187">
        <f t="shared" ref="T9:AH9" si="1">T25*1000000</f>
        <v>588626.51612919208</v>
      </c>
      <c r="U9" s="187">
        <f t="shared" si="1"/>
        <v>624494.34006147669</v>
      </c>
      <c r="V9" s="187">
        <f t="shared" si="1"/>
        <v>625572.4516245753</v>
      </c>
      <c r="W9" s="187">
        <f t="shared" si="1"/>
        <v>676380.85567470512</v>
      </c>
      <c r="X9" s="187">
        <f t="shared" si="1"/>
        <v>707062.2029176018</v>
      </c>
      <c r="Y9" s="187">
        <f t="shared" si="1"/>
        <v>739489.33014761296</v>
      </c>
      <c r="Z9" s="187">
        <f t="shared" si="1"/>
        <v>770887.54955945374</v>
      </c>
      <c r="AA9" s="187">
        <f t="shared" si="1"/>
        <v>806113.49451750144</v>
      </c>
      <c r="AB9" s="187">
        <f t="shared" si="1"/>
        <v>812031.8705867005</v>
      </c>
      <c r="AC9" s="187">
        <f t="shared" si="1"/>
        <v>843681.27074164234</v>
      </c>
      <c r="AD9" s="187">
        <f t="shared" si="1"/>
        <v>879558.26947938022</v>
      </c>
      <c r="AE9" s="187">
        <f t="shared" si="1"/>
        <v>911300.59271647898</v>
      </c>
      <c r="AF9" s="187">
        <f t="shared" si="1"/>
        <v>943333.23094324011</v>
      </c>
      <c r="AG9" s="187">
        <f t="shared" si="1"/>
        <v>956674.38800405152</v>
      </c>
      <c r="AH9" s="187">
        <f t="shared" si="1"/>
        <v>968197.81095925765</v>
      </c>
      <c r="AI9" s="187">
        <f t="shared" si="0"/>
        <v>978251.58717554016</v>
      </c>
      <c r="AJ9" s="187">
        <f t="shared" si="0"/>
        <v>992684.57879647193</v>
      </c>
      <c r="AK9" s="187">
        <f t="shared" si="0"/>
        <v>1006058.7906793827</v>
      </c>
      <c r="AL9" s="187">
        <f t="shared" si="0"/>
        <v>1018698.7198074311</v>
      </c>
      <c r="AM9" s="187">
        <f t="shared" si="0"/>
        <v>1030914.3790819608</v>
      </c>
      <c r="AN9" s="187">
        <f t="shared" si="0"/>
        <v>1041489.9066409018</v>
      </c>
      <c r="AO9" s="187">
        <f t="shared" si="0"/>
        <v>1053286.8719116845</v>
      </c>
      <c r="AP9" s="187">
        <f t="shared" si="0"/>
        <v>1064135.7135910783</v>
      </c>
      <c r="AQ9" s="187">
        <f t="shared" si="0"/>
        <v>1076623.5416916974</v>
      </c>
      <c r="AR9" s="187">
        <f t="shared" si="0"/>
        <v>1087526.8697346668</v>
      </c>
      <c r="AS9" s="187">
        <f t="shared" si="0"/>
        <v>1098061.3717915663</v>
      </c>
      <c r="AT9" s="187">
        <f t="shared" si="0"/>
        <v>1108586.3808675078</v>
      </c>
      <c r="AU9" s="187">
        <f t="shared" si="0"/>
        <v>1118967.1270728055</v>
      </c>
      <c r="AV9" s="187">
        <f t="shared" si="0"/>
        <v>1129960.8633025007</v>
      </c>
      <c r="AW9" s="187">
        <f t="shared" si="0"/>
        <v>1140204.9279180712</v>
      </c>
      <c r="AX9" s="187">
        <f t="shared" si="0"/>
        <v>1150272.9070929347</v>
      </c>
      <c r="AY9" s="187">
        <f t="shared" si="0"/>
        <v>1160287.0860698996</v>
      </c>
      <c r="AZ9" s="187">
        <f t="shared" si="0"/>
        <v>1170128.2311425782</v>
      </c>
      <c r="BA9" s="187">
        <f t="shared" si="0"/>
        <v>1179917.3414690918</v>
      </c>
      <c r="BB9" s="187">
        <f t="shared" si="0"/>
        <v>1189300.3833558443</v>
      </c>
      <c r="BC9" s="187">
        <f t="shared" si="0"/>
        <v>1198523.3574080989</v>
      </c>
      <c r="BD9" s="187">
        <f t="shared" si="0"/>
        <v>1207576.35681995</v>
      </c>
      <c r="BE9" s="187">
        <f t="shared" si="0"/>
        <v>1216423.5317123539</v>
      </c>
      <c r="BF9" s="187">
        <f t="shared" si="0"/>
        <v>1225033.161763458</v>
      </c>
      <c r="BG9" s="187">
        <f t="shared" si="0"/>
        <v>1233421.7169071776</v>
      </c>
      <c r="BH9" s="187">
        <f t="shared" si="0"/>
        <v>1241593.9672880378</v>
      </c>
      <c r="BI9" s="187">
        <f t="shared" si="0"/>
        <v>1249547.5327244708</v>
      </c>
      <c r="BJ9" s="187">
        <f t="shared" si="0"/>
        <v>1257262.4115512532</v>
      </c>
      <c r="BK9" s="187">
        <f t="shared" si="0"/>
        <v>1264733.6138741642</v>
      </c>
      <c r="BL9" s="187">
        <f t="shared" si="0"/>
        <v>1271950.2271003826</v>
      </c>
      <c r="BM9" s="187">
        <f t="shared" si="0"/>
        <v>1278920.6836997268</v>
      </c>
      <c r="BN9" s="187">
        <f t="shared" si="0"/>
        <v>1285638.8930936945</v>
      </c>
      <c r="BO9" s="187">
        <f t="shared" si="0"/>
        <v>1292098.669706393</v>
      </c>
      <c r="BP9" s="182"/>
    </row>
    <row r="10" spans="1:96" ht="14.25" hidden="1" customHeight="1" x14ac:dyDescent="0.3">
      <c r="A10" s="982"/>
      <c r="D10" s="944"/>
      <c r="E10" s="183"/>
      <c r="F10" s="185" t="s">
        <v>363</v>
      </c>
      <c r="G10" s="186">
        <v>191080</v>
      </c>
      <c r="H10" s="186">
        <v>122856</v>
      </c>
      <c r="I10" s="186">
        <v>113029</v>
      </c>
      <c r="J10" s="186">
        <v>97684</v>
      </c>
      <c r="K10" s="186">
        <v>70269</v>
      </c>
      <c r="L10" s="187">
        <v>79744</v>
      </c>
      <c r="M10" s="187">
        <v>55898</v>
      </c>
      <c r="N10" s="187">
        <v>52714</v>
      </c>
      <c r="O10" s="187">
        <v>45852</v>
      </c>
      <c r="P10" s="187">
        <v>48097</v>
      </c>
      <c r="Q10" s="187">
        <v>34789</v>
      </c>
      <c r="R10" s="187">
        <v>34931</v>
      </c>
      <c r="S10" s="187">
        <v>36397.649194333069</v>
      </c>
      <c r="T10" s="187">
        <f t="shared" si="0"/>
        <v>36217.352561770393</v>
      </c>
      <c r="U10" s="187">
        <f t="shared" si="0"/>
        <v>38424.248767400968</v>
      </c>
      <c r="V10" s="187">
        <f t="shared" si="0"/>
        <v>38490.583438897658</v>
      </c>
      <c r="W10" s="187">
        <f t="shared" si="0"/>
        <v>40800.737544093208</v>
      </c>
      <c r="X10" s="187">
        <f t="shared" si="0"/>
        <v>41815.197966768465</v>
      </c>
      <c r="Y10" s="187">
        <f t="shared" si="0"/>
        <v>42875.408962745052</v>
      </c>
      <c r="Z10" s="187">
        <f t="shared" si="0"/>
        <v>43819.480372250677</v>
      </c>
      <c r="AA10" s="187">
        <f t="shared" si="0"/>
        <v>44923.357919728296</v>
      </c>
      <c r="AB10" s="187">
        <f t="shared" si="0"/>
        <v>44365.861889824286</v>
      </c>
      <c r="AC10" s="187">
        <f t="shared" si="0"/>
        <v>45191.22194120429</v>
      </c>
      <c r="AD10" s="187">
        <f t="shared" si="0"/>
        <v>46189.166018104654</v>
      </c>
      <c r="AE10" s="187">
        <f t="shared" si="0"/>
        <v>46917.729347426226</v>
      </c>
      <c r="AF10" s="187">
        <f t="shared" si="0"/>
        <v>47614.616941775261</v>
      </c>
      <c r="AG10" s="187">
        <f t="shared" si="0"/>
        <v>48288.010035725136</v>
      </c>
      <c r="AH10" s="187">
        <f t="shared" si="0"/>
        <v>48869.653247129405</v>
      </c>
      <c r="AI10" s="187">
        <f t="shared" si="0"/>
        <v>49377.11623863026</v>
      </c>
      <c r="AJ10" s="187">
        <f t="shared" si="0"/>
        <v>50105.619533979421</v>
      </c>
      <c r="AK10" s="187">
        <f t="shared" si="0"/>
        <v>50780.681065593424</v>
      </c>
      <c r="AL10" s="187">
        <f t="shared" si="0"/>
        <v>51418.679774704331</v>
      </c>
      <c r="AM10" s="187">
        <f t="shared" si="0"/>
        <v>52035.263520478227</v>
      </c>
      <c r="AN10" s="187">
        <f t="shared" si="0"/>
        <v>52569.061840264607</v>
      </c>
      <c r="AO10" s="187">
        <f t="shared" si="0"/>
        <v>53164.512062962793</v>
      </c>
      <c r="AP10" s="187">
        <f t="shared" si="0"/>
        <v>53712.105875925132</v>
      </c>
      <c r="AQ10" s="187">
        <f t="shared" si="0"/>
        <v>54342.427306297279</v>
      </c>
      <c r="AR10" s="187">
        <f t="shared" si="0"/>
        <v>54892.771311074248</v>
      </c>
      <c r="AS10" s="187">
        <f t="shared" si="0"/>
        <v>55424.49887420702</v>
      </c>
      <c r="AT10" s="187">
        <f t="shared" si="0"/>
        <v>55955.747280412936</v>
      </c>
      <c r="AU10" s="187">
        <f t="shared" si="0"/>
        <v>56479.714037781167</v>
      </c>
      <c r="AV10" s="187">
        <f t="shared" si="0"/>
        <v>57034.621383526253</v>
      </c>
      <c r="AW10" s="187">
        <f t="shared" si="0"/>
        <v>57551.689156183289</v>
      </c>
      <c r="AX10" s="187">
        <f t="shared" si="0"/>
        <v>58059.869040092985</v>
      </c>
      <c r="AY10" s="187">
        <f t="shared" si="0"/>
        <v>58565.333366307568</v>
      </c>
      <c r="AZ10" s="187">
        <f t="shared" si="0"/>
        <v>59062.063829661965</v>
      </c>
      <c r="BA10" s="187">
        <f t="shared" si="0"/>
        <v>59556.167846258162</v>
      </c>
      <c r="BB10" s="187">
        <f t="shared" si="0"/>
        <v>60029.775613409147</v>
      </c>
      <c r="BC10" s="187">
        <f t="shared" si="0"/>
        <v>60495.303978314652</v>
      </c>
      <c r="BD10" s="187">
        <f t="shared" si="0"/>
        <v>60952.252896289683</v>
      </c>
      <c r="BE10" s="187">
        <f t="shared" si="0"/>
        <v>61398.81284954978</v>
      </c>
      <c r="BF10" s="187">
        <f t="shared" si="0"/>
        <v>61833.382759149819</v>
      </c>
      <c r="BG10" s="187">
        <f t="shared" si="0"/>
        <v>62256.793942771314</v>
      </c>
      <c r="BH10" s="187">
        <f t="shared" si="0"/>
        <v>62669.287172812466</v>
      </c>
      <c r="BI10" s="187">
        <f t="shared" si="0"/>
        <v>63070.742309931331</v>
      </c>
      <c r="BJ10" s="187">
        <f t="shared" si="0"/>
        <v>63460.149772787438</v>
      </c>
      <c r="BK10" s="187">
        <f t="shared" si="0"/>
        <v>63837.257697146473</v>
      </c>
      <c r="BL10" s="187">
        <f t="shared" si="0"/>
        <v>64201.515271365235</v>
      </c>
      <c r="BM10" s="187">
        <f t="shared" si="0"/>
        <v>64553.3481232146</v>
      </c>
      <c r="BN10" s="187">
        <f t="shared" si="0"/>
        <v>64892.448831570386</v>
      </c>
      <c r="BO10" s="187">
        <f t="shared" si="0"/>
        <v>65218.505180328015</v>
      </c>
      <c r="BP10" s="182"/>
    </row>
    <row r="11" spans="1:96" ht="14.25" hidden="1" customHeight="1" x14ac:dyDescent="0.3">
      <c r="A11" s="982"/>
      <c r="D11" s="944"/>
      <c r="E11" s="183"/>
      <c r="F11" s="185" t="s">
        <v>364</v>
      </c>
      <c r="G11" s="186">
        <v>156530</v>
      </c>
      <c r="H11" s="186">
        <v>137829</v>
      </c>
      <c r="I11" s="186">
        <v>150448</v>
      </c>
      <c r="J11" s="186">
        <v>163476</v>
      </c>
      <c r="K11" s="186">
        <v>139467</v>
      </c>
      <c r="L11" s="187">
        <v>104557.78184174711</v>
      </c>
      <c r="M11" s="187">
        <v>125587</v>
      </c>
      <c r="N11" s="187">
        <v>134950</v>
      </c>
      <c r="O11" s="187">
        <v>132771</v>
      </c>
      <c r="P11" s="187">
        <v>144116</v>
      </c>
      <c r="Q11" s="187">
        <v>157986</v>
      </c>
      <c r="R11" s="187">
        <v>151764</v>
      </c>
      <c r="S11" s="187">
        <v>141031</v>
      </c>
      <c r="T11" s="187">
        <f t="shared" si="0"/>
        <v>140332.39954228405</v>
      </c>
      <c r="U11" s="187">
        <f t="shared" si="0"/>
        <v>148883.52264132045</v>
      </c>
      <c r="V11" s="187">
        <f t="shared" si="0"/>
        <v>149140.55146771253</v>
      </c>
      <c r="W11" s="187">
        <f t="shared" si="0"/>
        <v>158091.77086845777</v>
      </c>
      <c r="X11" s="187">
        <f t="shared" si="0"/>
        <v>158091.77086845777</v>
      </c>
      <c r="Y11" s="187">
        <f t="shared" si="0"/>
        <v>158091.77086845777</v>
      </c>
      <c r="Z11" s="187">
        <f t="shared" si="0"/>
        <v>158091.77086845777</v>
      </c>
      <c r="AA11" s="187">
        <f t="shared" si="0"/>
        <v>158091.77086845777</v>
      </c>
      <c r="AB11" s="187">
        <f t="shared" si="0"/>
        <v>158091.77086845777</v>
      </c>
      <c r="AC11" s="187">
        <f t="shared" si="0"/>
        <v>158091.77086845777</v>
      </c>
      <c r="AD11" s="187">
        <f t="shared" si="0"/>
        <v>158091.77086845777</v>
      </c>
      <c r="AE11" s="187">
        <f t="shared" si="0"/>
        <v>158091.77086845777</v>
      </c>
      <c r="AF11" s="187">
        <f t="shared" si="0"/>
        <v>158091.77086845777</v>
      </c>
      <c r="AG11" s="187">
        <f t="shared" si="0"/>
        <v>158091.77086845777</v>
      </c>
      <c r="AH11" s="187">
        <f t="shared" si="0"/>
        <v>158091.77086845777</v>
      </c>
      <c r="AI11" s="187">
        <f t="shared" si="0"/>
        <v>158091.77086845777</v>
      </c>
      <c r="AJ11" s="187">
        <f t="shared" si="0"/>
        <v>158091.77086845777</v>
      </c>
      <c r="AK11" s="187">
        <f t="shared" si="0"/>
        <v>158091.77086845777</v>
      </c>
      <c r="AL11" s="187">
        <f t="shared" si="0"/>
        <v>158091.77086845777</v>
      </c>
      <c r="AM11" s="187">
        <f t="shared" si="0"/>
        <v>158091.77086845777</v>
      </c>
      <c r="AN11" s="187">
        <f t="shared" si="0"/>
        <v>158091.77086845777</v>
      </c>
      <c r="AO11" s="187">
        <f t="shared" si="0"/>
        <v>158091.77086845777</v>
      </c>
      <c r="AP11" s="187">
        <f t="shared" si="0"/>
        <v>158091.77086845777</v>
      </c>
      <c r="AQ11" s="187">
        <f t="shared" si="0"/>
        <v>158091.77086845777</v>
      </c>
      <c r="AR11" s="187">
        <f t="shared" si="0"/>
        <v>158091.77086845777</v>
      </c>
      <c r="AS11" s="187">
        <f t="shared" si="0"/>
        <v>158091.77086845777</v>
      </c>
      <c r="AT11" s="187">
        <f t="shared" si="0"/>
        <v>158091.77086845777</v>
      </c>
      <c r="AU11" s="187">
        <f t="shared" si="0"/>
        <v>158091.77086845777</v>
      </c>
      <c r="AV11" s="187">
        <f t="shared" si="0"/>
        <v>158091.77086845777</v>
      </c>
      <c r="AW11" s="187">
        <f t="shared" si="0"/>
        <v>158091.77086845777</v>
      </c>
      <c r="AX11" s="187">
        <f t="shared" si="0"/>
        <v>158091.77086845777</v>
      </c>
      <c r="AY11" s="187">
        <f t="shared" si="0"/>
        <v>158091.77086845777</v>
      </c>
      <c r="AZ11" s="187">
        <f t="shared" si="0"/>
        <v>158091.77086845777</v>
      </c>
      <c r="BA11" s="187">
        <f t="shared" si="0"/>
        <v>158091.77086845777</v>
      </c>
      <c r="BB11" s="187">
        <f t="shared" si="0"/>
        <v>158091.77086845777</v>
      </c>
      <c r="BC11" s="187">
        <f t="shared" si="0"/>
        <v>158091.77086845777</v>
      </c>
      <c r="BD11" s="187">
        <f t="shared" si="0"/>
        <v>158091.77086845777</v>
      </c>
      <c r="BE11" s="187">
        <f t="shared" si="0"/>
        <v>158091.77086845777</v>
      </c>
      <c r="BF11" s="187">
        <f t="shared" si="0"/>
        <v>158091.77086845777</v>
      </c>
      <c r="BG11" s="187">
        <f t="shared" si="0"/>
        <v>158091.77086845777</v>
      </c>
      <c r="BH11" s="187">
        <f t="shared" si="0"/>
        <v>158091.77086845777</v>
      </c>
      <c r="BI11" s="187">
        <f t="shared" si="0"/>
        <v>158091.77086845777</v>
      </c>
      <c r="BJ11" s="187">
        <f t="shared" si="0"/>
        <v>158091.77086845777</v>
      </c>
      <c r="BK11" s="187">
        <f t="shared" si="0"/>
        <v>158091.77086845777</v>
      </c>
      <c r="BL11" s="187">
        <f t="shared" si="0"/>
        <v>158091.77086845777</v>
      </c>
      <c r="BM11" s="187">
        <f t="shared" si="0"/>
        <v>158091.77086845777</v>
      </c>
      <c r="BN11" s="187">
        <f t="shared" si="0"/>
        <v>158091.77086845777</v>
      </c>
      <c r="BO11" s="187">
        <f t="shared" si="0"/>
        <v>158091.77086845777</v>
      </c>
      <c r="BP11" s="182"/>
    </row>
    <row r="12" spans="1:96" ht="14.25" hidden="1" customHeight="1" x14ac:dyDescent="0.3">
      <c r="A12" s="982"/>
      <c r="D12" s="944"/>
      <c r="E12" s="183"/>
      <c r="F12" s="185" t="s">
        <v>365</v>
      </c>
      <c r="G12" s="186">
        <v>476148</v>
      </c>
      <c r="H12" s="186">
        <v>650105</v>
      </c>
      <c r="I12" s="186">
        <v>532003</v>
      </c>
      <c r="J12" s="186">
        <v>530612</v>
      </c>
      <c r="K12" s="186">
        <v>518393</v>
      </c>
      <c r="L12" s="187">
        <v>572123</v>
      </c>
      <c r="M12" s="187">
        <v>425737</v>
      </c>
      <c r="N12" s="187">
        <v>482482</v>
      </c>
      <c r="O12" s="187">
        <v>461547</v>
      </c>
      <c r="P12" s="187">
        <v>405259</v>
      </c>
      <c r="Q12" s="187">
        <v>444681</v>
      </c>
      <c r="R12" s="187">
        <v>453718</v>
      </c>
      <c r="S12" s="187">
        <v>433216</v>
      </c>
      <c r="T12" s="187">
        <f t="shared" si="0"/>
        <v>431070.05410236138</v>
      </c>
      <c r="U12" s="187">
        <f t="shared" si="0"/>
        <v>457337.2105748544</v>
      </c>
      <c r="V12" s="187">
        <f t="shared" si="0"/>
        <v>458126.74620924867</v>
      </c>
      <c r="W12" s="187">
        <f t="shared" si="0"/>
        <v>485622.9099173217</v>
      </c>
      <c r="X12" s="187">
        <f t="shared" si="0"/>
        <v>497697.32945258409</v>
      </c>
      <c r="Y12" s="187">
        <f t="shared" si="0"/>
        <v>510316.28636325477</v>
      </c>
      <c r="Z12" s="187">
        <f t="shared" si="0"/>
        <v>521552.91424426821</v>
      </c>
      <c r="AA12" s="187">
        <f t="shared" si="0"/>
        <v>534691.60386278678</v>
      </c>
      <c r="AB12" s="187">
        <f t="shared" si="0"/>
        <v>528056.11488377606</v>
      </c>
      <c r="AC12" s="187">
        <f t="shared" si="0"/>
        <v>537879.80371899647</v>
      </c>
      <c r="AD12" s="187">
        <f t="shared" si="0"/>
        <v>549757.64063396351</v>
      </c>
      <c r="AE12" s="187">
        <f t="shared" si="0"/>
        <v>558429.22515279311</v>
      </c>
      <c r="AF12" s="187">
        <f t="shared" si="0"/>
        <v>566723.79534499429</v>
      </c>
      <c r="AG12" s="187">
        <f t="shared" si="0"/>
        <v>574738.7267772695</v>
      </c>
      <c r="AH12" s="187">
        <f t="shared" si="0"/>
        <v>581661.62292713812</v>
      </c>
      <c r="AI12" s="187">
        <f t="shared" si="0"/>
        <v>587701.60331576876</v>
      </c>
      <c r="AJ12" s="187">
        <f t="shared" si="0"/>
        <v>596372.47329181992</v>
      </c>
      <c r="AK12" s="187">
        <f t="shared" si="0"/>
        <v>604407.26298162283</v>
      </c>
      <c r="AL12" s="187">
        <f t="shared" si="0"/>
        <v>612000.91957440146</v>
      </c>
      <c r="AM12" s="187">
        <f t="shared" si="0"/>
        <v>619339.6886960835</v>
      </c>
      <c r="AN12" s="187">
        <f t="shared" si="0"/>
        <v>625693.12025068456</v>
      </c>
      <c r="AO12" s="187">
        <f t="shared" si="0"/>
        <v>632780.35168970237</v>
      </c>
      <c r="AP12" s="187">
        <f t="shared" si="0"/>
        <v>639297.9814412751</v>
      </c>
      <c r="AQ12" s="187">
        <f t="shared" si="0"/>
        <v>646800.26070448139</v>
      </c>
      <c r="AR12" s="187">
        <f t="shared" si="0"/>
        <v>653350.62408373447</v>
      </c>
      <c r="AS12" s="187">
        <f t="shared" si="0"/>
        <v>659679.40885662555</v>
      </c>
      <c r="AT12" s="187">
        <f t="shared" si="0"/>
        <v>666002.49055660341</v>
      </c>
      <c r="AU12" s="187">
        <f t="shared" si="0"/>
        <v>672238.90383560653</v>
      </c>
      <c r="AV12" s="187">
        <f t="shared" si="0"/>
        <v>678843.58150066121</v>
      </c>
      <c r="AW12" s="187">
        <f t="shared" si="0"/>
        <v>684997.88094465563</v>
      </c>
      <c r="AX12" s="187">
        <f t="shared" si="0"/>
        <v>691046.39400692505</v>
      </c>
      <c r="AY12" s="187">
        <f t="shared" si="0"/>
        <v>697062.5856674423</v>
      </c>
      <c r="AZ12" s="187">
        <f t="shared" si="0"/>
        <v>702974.82420965133</v>
      </c>
      <c r="BA12" s="187">
        <f t="shared" si="0"/>
        <v>708855.80197584897</v>
      </c>
      <c r="BB12" s="187">
        <f t="shared" si="0"/>
        <v>714492.82708586694</v>
      </c>
      <c r="BC12" s="187">
        <f t="shared" si="0"/>
        <v>720033.68866882613</v>
      </c>
      <c r="BD12" s="187">
        <f t="shared" si="0"/>
        <v>725472.43503930036</v>
      </c>
      <c r="BE12" s="187">
        <f t="shared" si="0"/>
        <v>730787.52876083786</v>
      </c>
      <c r="BF12" s="187">
        <f t="shared" si="0"/>
        <v>735959.91330007347</v>
      </c>
      <c r="BG12" s="187">
        <f t="shared" si="0"/>
        <v>740999.48325538612</v>
      </c>
      <c r="BH12" s="187">
        <f t="shared" si="0"/>
        <v>745909.1043738107</v>
      </c>
      <c r="BI12" s="187">
        <f t="shared" si="0"/>
        <v>750687.34671999945</v>
      </c>
      <c r="BJ12" s="187">
        <f t="shared" si="0"/>
        <v>755322.19394675212</v>
      </c>
      <c r="BK12" s="187">
        <f t="shared" si="0"/>
        <v>759810.64828859363</v>
      </c>
      <c r="BL12" s="187">
        <f t="shared" si="0"/>
        <v>764146.15381616831</v>
      </c>
      <c r="BM12" s="187">
        <f t="shared" si="0"/>
        <v>768333.77648193401</v>
      </c>
      <c r="BN12" s="187">
        <f t="shared" si="0"/>
        <v>772369.8572652482</v>
      </c>
      <c r="BO12" s="187">
        <f t="shared" si="0"/>
        <v>776250.68007413927</v>
      </c>
      <c r="BP12" s="182"/>
    </row>
    <row r="13" spans="1:96" ht="13.5" hidden="1" customHeight="1" x14ac:dyDescent="0.3">
      <c r="A13" s="982"/>
      <c r="D13" s="944"/>
      <c r="E13" s="183"/>
      <c r="F13" s="185" t="s">
        <v>366</v>
      </c>
      <c r="G13" s="186">
        <v>248199</v>
      </c>
      <c r="H13" s="186">
        <v>244574</v>
      </c>
      <c r="I13" s="186">
        <v>240333</v>
      </c>
      <c r="J13" s="186">
        <v>288199</v>
      </c>
      <c r="K13" s="186">
        <v>387799</v>
      </c>
      <c r="L13" s="187">
        <v>369406</v>
      </c>
      <c r="M13" s="187">
        <v>319602</v>
      </c>
      <c r="N13" s="187">
        <v>313882</v>
      </c>
      <c r="O13" s="187">
        <v>267760</v>
      </c>
      <c r="P13" s="187">
        <v>246574</v>
      </c>
      <c r="Q13" s="187">
        <v>256854</v>
      </c>
      <c r="R13" s="187">
        <v>225575</v>
      </c>
      <c r="S13" s="187">
        <v>196082.29763042202</v>
      </c>
      <c r="T13" s="187">
        <f t="shared" si="0"/>
        <v>195110.9992430135</v>
      </c>
      <c r="U13" s="187">
        <f t="shared" si="0"/>
        <v>207000.04395360648</v>
      </c>
      <c r="V13" s="187">
        <f t="shared" si="0"/>
        <v>207357.40370313814</v>
      </c>
      <c r="W13" s="187">
        <f t="shared" si="0"/>
        <v>219802.72187213742</v>
      </c>
      <c r="X13" s="187">
        <f t="shared" si="0"/>
        <v>225267.84764087151</v>
      </c>
      <c r="Y13" s="187">
        <f t="shared" si="0"/>
        <v>230979.44200660038</v>
      </c>
      <c r="Z13" s="187">
        <f t="shared" si="0"/>
        <v>236065.36637810827</v>
      </c>
      <c r="AA13" s="187">
        <f t="shared" si="0"/>
        <v>242012.20224809481</v>
      </c>
      <c r="AB13" s="187">
        <f t="shared" si="0"/>
        <v>239008.8461280397</v>
      </c>
      <c r="AC13" s="187">
        <f t="shared" si="0"/>
        <v>243455.24579475645</v>
      </c>
      <c r="AD13" s="187">
        <f t="shared" si="0"/>
        <v>248831.39430535201</v>
      </c>
      <c r="AE13" s="187">
        <f t="shared" si="0"/>
        <v>252756.32832567563</v>
      </c>
      <c r="AF13" s="187">
        <f t="shared" si="0"/>
        <v>256510.61805907331</v>
      </c>
      <c r="AG13" s="187">
        <f t="shared" si="0"/>
        <v>260138.33765066462</v>
      </c>
      <c r="AH13" s="187">
        <f t="shared" si="0"/>
        <v>263271.78005196794</v>
      </c>
      <c r="AI13" s="187">
        <f t="shared" si="0"/>
        <v>266005.59697527043</v>
      </c>
      <c r="AJ13" s="187">
        <f t="shared" si="0"/>
        <v>269930.20757912326</v>
      </c>
      <c r="AK13" s="187">
        <f t="shared" si="0"/>
        <v>273566.91541852389</v>
      </c>
      <c r="AL13" s="187">
        <f t="shared" si="0"/>
        <v>277003.95752252842</v>
      </c>
      <c r="AM13" s="187">
        <f t="shared" si="0"/>
        <v>280325.63241717359</v>
      </c>
      <c r="AN13" s="187">
        <f t="shared" si="0"/>
        <v>283201.32365910325</v>
      </c>
      <c r="AO13" s="187">
        <f t="shared" si="0"/>
        <v>286409.14752618375</v>
      </c>
      <c r="AP13" s="187">
        <f t="shared" si="0"/>
        <v>289359.15818320657</v>
      </c>
      <c r="AQ13" s="187">
        <f t="shared" si="0"/>
        <v>292754.84106517432</v>
      </c>
      <c r="AR13" s="187">
        <f t="shared" si="0"/>
        <v>295719.66762217617</v>
      </c>
      <c r="AS13" s="187">
        <f t="shared" si="0"/>
        <v>298584.20323368843</v>
      </c>
      <c r="AT13" s="187">
        <f t="shared" si="0"/>
        <v>301446.15751939476</v>
      </c>
      <c r="AU13" s="187">
        <f t="shared" si="0"/>
        <v>304268.88393005321</v>
      </c>
      <c r="AV13" s="187">
        <f t="shared" si="0"/>
        <v>307258.2942280852</v>
      </c>
      <c r="AW13" s="187">
        <f t="shared" si="0"/>
        <v>310043.85426114971</v>
      </c>
      <c r="AX13" s="187">
        <f t="shared" ref="T13:BO18" si="2">AX29*1000000</f>
        <v>312781.53324460692</v>
      </c>
      <c r="AY13" s="187">
        <f t="shared" si="2"/>
        <v>315504.58290985296</v>
      </c>
      <c r="AZ13" s="187">
        <f t="shared" si="2"/>
        <v>318180.58129748283</v>
      </c>
      <c r="BA13" s="187">
        <f t="shared" si="2"/>
        <v>320842.43042749987</v>
      </c>
      <c r="BB13" s="187">
        <f t="shared" si="2"/>
        <v>323393.86166589527</v>
      </c>
      <c r="BC13" s="187">
        <f t="shared" si="2"/>
        <v>325901.76735275536</v>
      </c>
      <c r="BD13" s="187">
        <f t="shared" si="2"/>
        <v>328363.4536352373</v>
      </c>
      <c r="BE13" s="187">
        <f t="shared" si="2"/>
        <v>330769.17223528924</v>
      </c>
      <c r="BF13" s="187">
        <f t="shared" si="2"/>
        <v>333110.29778162501</v>
      </c>
      <c r="BG13" s="187">
        <f t="shared" si="2"/>
        <v>335391.30876900064</v>
      </c>
      <c r="BH13" s="187">
        <f t="shared" si="2"/>
        <v>337613.50229231361</v>
      </c>
      <c r="BI13" s="187">
        <f t="shared" si="2"/>
        <v>339776.23113398999</v>
      </c>
      <c r="BJ13" s="187">
        <f t="shared" si="2"/>
        <v>341874.05645297089</v>
      </c>
      <c r="BK13" s="187">
        <f t="shared" si="2"/>
        <v>343905.62140015088</v>
      </c>
      <c r="BL13" s="187">
        <f t="shared" si="2"/>
        <v>345867.95862969971</v>
      </c>
      <c r="BM13" s="187">
        <f t="shared" si="2"/>
        <v>347763.36109385744</v>
      </c>
      <c r="BN13" s="187">
        <f t="shared" si="2"/>
        <v>349590.17264609522</v>
      </c>
      <c r="BO13" s="187">
        <f t="shared" si="2"/>
        <v>351346.71130824962</v>
      </c>
      <c r="BP13" s="182"/>
    </row>
    <row r="14" spans="1:96" ht="14.25" hidden="1" customHeight="1" x14ac:dyDescent="0.3">
      <c r="A14" s="982"/>
      <c r="D14" s="944" t="s">
        <v>367</v>
      </c>
      <c r="E14" s="183"/>
      <c r="F14" s="185" t="s">
        <v>368</v>
      </c>
      <c r="G14" s="188">
        <v>0</v>
      </c>
      <c r="H14" s="188">
        <v>0</v>
      </c>
      <c r="I14" s="188">
        <v>0</v>
      </c>
      <c r="J14" s="188">
        <v>0</v>
      </c>
      <c r="K14" s="186">
        <v>28290.797925940002</v>
      </c>
      <c r="L14" s="187">
        <v>23277.033257341456</v>
      </c>
      <c r="M14" s="187">
        <v>27322.836046693559</v>
      </c>
      <c r="N14" s="187">
        <v>28542.580615903749</v>
      </c>
      <c r="O14" s="187">
        <v>23358.380584547071</v>
      </c>
      <c r="P14" s="187">
        <v>27960.008202566925</v>
      </c>
      <c r="Q14" s="187">
        <v>20921.872758601574</v>
      </c>
      <c r="R14" s="187">
        <v>18807.754924945446</v>
      </c>
      <c r="S14" s="187">
        <v>22163.448591049349</v>
      </c>
      <c r="T14" s="187">
        <f t="shared" si="2"/>
        <v>22053.661414256509</v>
      </c>
      <c r="U14" s="187">
        <f t="shared" si="2"/>
        <v>23397.496295957895</v>
      </c>
      <c r="V14" s="187">
        <f t="shared" si="2"/>
        <v>23437.88915412495</v>
      </c>
      <c r="W14" s="187">
        <f t="shared" si="2"/>
        <v>24844.600380845462</v>
      </c>
      <c r="X14" s="187">
        <f t="shared" si="2"/>
        <v>25462.330973982724</v>
      </c>
      <c r="Y14" s="187">
        <f t="shared" si="2"/>
        <v>26107.920247606773</v>
      </c>
      <c r="Z14" s="187">
        <f t="shared" si="2"/>
        <v>26682.789191453707</v>
      </c>
      <c r="AA14" s="187">
        <f t="shared" si="2"/>
        <v>27354.968132014048</v>
      </c>
      <c r="AB14" s="187">
        <f t="shared" si="2"/>
        <v>27015.494707988204</v>
      </c>
      <c r="AC14" s="187">
        <f t="shared" si="2"/>
        <v>27518.077305292725</v>
      </c>
      <c r="AD14" s="187">
        <f t="shared" si="2"/>
        <v>28125.75067801612</v>
      </c>
      <c r="AE14" s="187">
        <f t="shared" si="2"/>
        <v>28569.391304599674</v>
      </c>
      <c r="AF14" s="187">
        <f t="shared" si="2"/>
        <v>28993.743775514187</v>
      </c>
      <c r="AG14" s="187">
        <f t="shared" si="2"/>
        <v>29403.789851282436</v>
      </c>
      <c r="AH14" s="187">
        <f t="shared" si="2"/>
        <v>29757.967104474341</v>
      </c>
      <c r="AI14" s="187">
        <f t="shared" si="2"/>
        <v>30066.974146768174</v>
      </c>
      <c r="AJ14" s="187">
        <f t="shared" si="2"/>
        <v>30510.578217148493</v>
      </c>
      <c r="AK14" s="187">
        <f t="shared" si="2"/>
        <v>30921.640246782303</v>
      </c>
      <c r="AL14" s="187">
        <f t="shared" si="2"/>
        <v>31310.133786984261</v>
      </c>
      <c r="AM14" s="187">
        <f t="shared" si="2"/>
        <v>31685.587214720028</v>
      </c>
      <c r="AN14" s="187">
        <f t="shared" si="2"/>
        <v>32010.630504065648</v>
      </c>
      <c r="AO14" s="187">
        <f t="shared" si="2"/>
        <v>32373.215195424091</v>
      </c>
      <c r="AP14" s="187">
        <f t="shared" si="2"/>
        <v>32706.658909263097</v>
      </c>
      <c r="AQ14" s="187">
        <f t="shared" si="2"/>
        <v>33090.477560388092</v>
      </c>
      <c r="AR14" s="187">
        <f t="shared" si="2"/>
        <v>33425.595935537596</v>
      </c>
      <c r="AS14" s="187">
        <f t="shared" si="2"/>
        <v>33749.378288815838</v>
      </c>
      <c r="AT14" s="187">
        <f t="shared" si="2"/>
        <v>34072.868871330022</v>
      </c>
      <c r="AU14" s="187">
        <f t="shared" si="2"/>
        <v>34391.925473814052</v>
      </c>
      <c r="AV14" s="187">
        <f t="shared" si="2"/>
        <v>34729.822582623259</v>
      </c>
      <c r="AW14" s="187">
        <f t="shared" si="2"/>
        <v>35044.678218936089</v>
      </c>
      <c r="AX14" s="187">
        <f t="shared" si="2"/>
        <v>35354.121795138017</v>
      </c>
      <c r="AY14" s="187">
        <f t="shared" si="2"/>
        <v>35661.911799620248</v>
      </c>
      <c r="AZ14" s="187">
        <f t="shared" si="2"/>
        <v>35964.383534247478</v>
      </c>
      <c r="BA14" s="187">
        <f t="shared" si="2"/>
        <v>36265.255959056871</v>
      </c>
      <c r="BB14" s="187">
        <f t="shared" si="2"/>
        <v>36553.647699510453</v>
      </c>
      <c r="BC14" s="187">
        <f t="shared" si="2"/>
        <v>36837.119687719649</v>
      </c>
      <c r="BD14" s="187">
        <f t="shared" si="2"/>
        <v>37115.367433836502</v>
      </c>
      <c r="BE14" s="187">
        <f t="shared" si="2"/>
        <v>37387.289076744215</v>
      </c>
      <c r="BF14" s="187">
        <f t="shared" si="2"/>
        <v>37651.909679003795</v>
      </c>
      <c r="BG14" s="187">
        <f t="shared" si="2"/>
        <v>37909.73545096413</v>
      </c>
      <c r="BH14" s="187">
        <f t="shared" si="2"/>
        <v>38160.913005024304</v>
      </c>
      <c r="BI14" s="187">
        <f t="shared" si="2"/>
        <v>38405.369185302341</v>
      </c>
      <c r="BJ14" s="187">
        <f t="shared" si="2"/>
        <v>38642.48923220158</v>
      </c>
      <c r="BK14" s="187">
        <f t="shared" si="2"/>
        <v>38872.119779223554</v>
      </c>
      <c r="BL14" s="187">
        <f t="shared" si="2"/>
        <v>39093.925423236273</v>
      </c>
      <c r="BM14" s="187">
        <f t="shared" si="2"/>
        <v>39308.165339747691</v>
      </c>
      <c r="BN14" s="187">
        <f t="shared" si="2"/>
        <v>39514.652332264835</v>
      </c>
      <c r="BO14" s="187">
        <f t="shared" si="2"/>
        <v>39713.19628450997</v>
      </c>
      <c r="BP14" s="182"/>
    </row>
    <row r="15" spans="1:96" ht="13.5" hidden="1" customHeight="1" x14ac:dyDescent="0.3">
      <c r="A15" s="982"/>
      <c r="D15" s="944"/>
      <c r="E15" s="183"/>
      <c r="F15" s="185" t="s">
        <v>369</v>
      </c>
      <c r="G15" s="189">
        <v>0</v>
      </c>
      <c r="H15" s="189">
        <v>0</v>
      </c>
      <c r="I15" s="189">
        <v>0</v>
      </c>
      <c r="J15" s="189">
        <v>0</v>
      </c>
      <c r="K15" s="189">
        <v>0</v>
      </c>
      <c r="L15" s="187">
        <v>11011.083479568757</v>
      </c>
      <c r="M15" s="187">
        <v>6858.9586998662153</v>
      </c>
      <c r="N15" s="187">
        <v>7691.3355865896547</v>
      </c>
      <c r="O15" s="187">
        <v>6376.2150614646989</v>
      </c>
      <c r="P15" s="187">
        <v>5242.5295496718272</v>
      </c>
      <c r="Q15" s="187">
        <v>7438.9026361996184</v>
      </c>
      <c r="R15" s="187">
        <v>4332.7007360931229</v>
      </c>
      <c r="S15" s="187">
        <v>3957.5663504758932</v>
      </c>
      <c r="T15" s="187">
        <f t="shared" si="2"/>
        <v>3937.962450171111</v>
      </c>
      <c r="U15" s="187">
        <f t="shared" si="2"/>
        <v>4177.9213034411277</v>
      </c>
      <c r="V15" s="187">
        <f t="shared" si="2"/>
        <v>4185.1339633132939</v>
      </c>
      <c r="W15" s="187">
        <f t="shared" si="2"/>
        <v>4436.3201897182425</v>
      </c>
      <c r="X15" s="187">
        <f t="shared" si="2"/>
        <v>4546.6238637614069</v>
      </c>
      <c r="Y15" s="187">
        <f t="shared" si="2"/>
        <v>4661.9020604295247</v>
      </c>
      <c r="Z15" s="187">
        <f t="shared" si="2"/>
        <v>4764.5522404660833</v>
      </c>
      <c r="AA15" s="187">
        <f t="shared" si="2"/>
        <v>4884.5783612086143</v>
      </c>
      <c r="AB15" s="187">
        <f t="shared" si="2"/>
        <v>4823.961052747507</v>
      </c>
      <c r="AC15" s="187">
        <f t="shared" si="2"/>
        <v>4913.7035838908951</v>
      </c>
      <c r="AD15" s="187">
        <f t="shared" si="2"/>
        <v>5022.2114129902675</v>
      </c>
      <c r="AE15" s="187">
        <f t="shared" si="2"/>
        <v>5101.4291036965851</v>
      </c>
      <c r="AF15" s="187">
        <f t="shared" si="2"/>
        <v>5177.202648266305</v>
      </c>
      <c r="AG15" s="187">
        <f t="shared" si="2"/>
        <v>5250.4216035628415</v>
      </c>
      <c r="AH15" s="187">
        <f t="shared" si="2"/>
        <v>5313.6644682090191</v>
      </c>
      <c r="AI15" s="187">
        <f t="shared" si="2"/>
        <v>5368.8416157372258</v>
      </c>
      <c r="AJ15" s="187">
        <f t="shared" si="2"/>
        <v>5448.0527788673298</v>
      </c>
      <c r="AK15" s="187">
        <f t="shared" si="2"/>
        <v>5521.4531456809173</v>
      </c>
      <c r="AL15" s="187">
        <f t="shared" si="2"/>
        <v>5590.8236209372553</v>
      </c>
      <c r="AM15" s="187">
        <f t="shared" si="2"/>
        <v>5657.8656178392166</v>
      </c>
      <c r="AN15" s="187">
        <f t="shared" si="2"/>
        <v>5715.906241755556</v>
      </c>
      <c r="AO15" s="187">
        <f t="shared" si="2"/>
        <v>5780.6503616890113</v>
      </c>
      <c r="AP15" s="187">
        <f t="shared" si="2"/>
        <v>5840.1909885118548</v>
      </c>
      <c r="AQ15" s="187">
        <f t="shared" si="2"/>
        <v>5908.7267027143262</v>
      </c>
      <c r="AR15" s="187">
        <f t="shared" si="2"/>
        <v>5968.5663616676475</v>
      </c>
      <c r="AS15" s="187">
        <f t="shared" si="2"/>
        <v>6026.381829371051</v>
      </c>
      <c r="AT15" s="187">
        <f t="shared" si="2"/>
        <v>6084.1451976841845</v>
      </c>
      <c r="AU15" s="187">
        <f t="shared" si="2"/>
        <v>6141.1168223255727</v>
      </c>
      <c r="AV15" s="187">
        <f t="shared" si="2"/>
        <v>6201.4526596052656</v>
      </c>
      <c r="AW15" s="187">
        <f t="shared" si="2"/>
        <v>6257.6741481705667</v>
      </c>
      <c r="AX15" s="187">
        <f t="shared" si="2"/>
        <v>6312.9292443942777</v>
      </c>
      <c r="AY15" s="187">
        <f t="shared" si="2"/>
        <v>6367.8890743028605</v>
      </c>
      <c r="AZ15" s="187">
        <f t="shared" si="2"/>
        <v>6421.8992593159546</v>
      </c>
      <c r="BA15" s="187">
        <f t="shared" si="2"/>
        <v>6475.6238671683905</v>
      </c>
      <c r="BB15" s="187">
        <f t="shared" si="2"/>
        <v>6527.1198896887845</v>
      </c>
      <c r="BC15" s="187">
        <f t="shared" si="2"/>
        <v>6577.7374277145345</v>
      </c>
      <c r="BD15" s="187">
        <f t="shared" si="2"/>
        <v>6627.4221107007625</v>
      </c>
      <c r="BE15" s="187">
        <f t="shared" si="2"/>
        <v>6675.9771872953079</v>
      </c>
      <c r="BF15" s="187">
        <f t="shared" si="2"/>
        <v>6723.2285699870845</v>
      </c>
      <c r="BG15" s="187">
        <f t="shared" si="2"/>
        <v>6769.2666490885367</v>
      </c>
      <c r="BH15" s="187">
        <f t="shared" si="2"/>
        <v>6814.1176041129656</v>
      </c>
      <c r="BI15" s="187">
        <f t="shared" si="2"/>
        <v>6857.7683721448384</v>
      </c>
      <c r="BJ15" s="187">
        <f t="shared" si="2"/>
        <v>6900.1091800194154</v>
      </c>
      <c r="BK15" s="187">
        <f t="shared" si="2"/>
        <v>6941.1126421928329</v>
      </c>
      <c r="BL15" s="187">
        <f t="shared" si="2"/>
        <v>6980.7188681591679</v>
      </c>
      <c r="BM15" s="187">
        <f t="shared" si="2"/>
        <v>7018.9741370100974</v>
      </c>
      <c r="BN15" s="187">
        <f t="shared" si="2"/>
        <v>7055.8450224248709</v>
      </c>
      <c r="BO15" s="187">
        <f t="shared" si="2"/>
        <v>7091.2975767179405</v>
      </c>
      <c r="BP15" s="182"/>
    </row>
    <row r="16" spans="1:96" ht="14.25" hidden="1" customHeight="1" x14ac:dyDescent="0.3">
      <c r="A16" s="982"/>
      <c r="D16" s="944"/>
      <c r="E16" s="183"/>
      <c r="F16" s="185" t="s">
        <v>370</v>
      </c>
      <c r="G16" s="186">
        <v>118954</v>
      </c>
      <c r="H16" s="186">
        <v>153977</v>
      </c>
      <c r="I16" s="186">
        <v>113577</v>
      </c>
      <c r="J16" s="186">
        <v>94706</v>
      </c>
      <c r="K16" s="186">
        <v>81821</v>
      </c>
      <c r="L16" s="187">
        <v>79090</v>
      </c>
      <c r="M16" s="187">
        <v>62613</v>
      </c>
      <c r="N16" s="187">
        <v>73792</v>
      </c>
      <c r="O16" s="187">
        <v>45638</v>
      </c>
      <c r="P16" s="187">
        <v>47367</v>
      </c>
      <c r="Q16" s="187">
        <v>41949</v>
      </c>
      <c r="R16" s="187">
        <v>59410</v>
      </c>
      <c r="S16" s="187">
        <v>50866.617530966163</v>
      </c>
      <c r="T16" s="187">
        <f t="shared" si="2"/>
        <v>50614.648515007997</v>
      </c>
      <c r="U16" s="187">
        <f t="shared" si="2"/>
        <v>53698.840700689834</v>
      </c>
      <c r="V16" s="187">
        <f t="shared" si="2"/>
        <v>53791.545049425345</v>
      </c>
      <c r="W16" s="187">
        <f t="shared" si="2"/>
        <v>57020.042710886097</v>
      </c>
      <c r="X16" s="187">
        <f t="shared" si="2"/>
        <v>58437.776313543014</v>
      </c>
      <c r="Y16" s="187">
        <f t="shared" si="2"/>
        <v>59919.447477153837</v>
      </c>
      <c r="Z16" s="187">
        <f t="shared" si="2"/>
        <v>61238.810688026242</v>
      </c>
      <c r="AA16" s="187">
        <f t="shared" si="2"/>
        <v>62781.506940434425</v>
      </c>
      <c r="AB16" s="187">
        <f t="shared" si="2"/>
        <v>62002.392410901157</v>
      </c>
      <c r="AC16" s="187">
        <f t="shared" si="2"/>
        <v>63155.853554359346</v>
      </c>
      <c r="AD16" s="187">
        <f t="shared" si="2"/>
        <v>64550.505154135935</v>
      </c>
      <c r="AE16" s="187">
        <f t="shared" si="2"/>
        <v>65568.690477639117</v>
      </c>
      <c r="AF16" s="187">
        <f t="shared" si="2"/>
        <v>66542.608175855377</v>
      </c>
      <c r="AG16" s="187">
        <f t="shared" si="2"/>
        <v>67483.691727022611</v>
      </c>
      <c r="AH16" s="187">
        <f t="shared" si="2"/>
        <v>68296.552541632322</v>
      </c>
      <c r="AI16" s="187">
        <f t="shared" si="2"/>
        <v>69005.744659012606</v>
      </c>
      <c r="AJ16" s="187">
        <f t="shared" si="2"/>
        <v>70023.846083550307</v>
      </c>
      <c r="AK16" s="187">
        <f t="shared" si="2"/>
        <v>70967.261317735931</v>
      </c>
      <c r="AL16" s="187">
        <f t="shared" si="2"/>
        <v>71858.880338193077</v>
      </c>
      <c r="AM16" s="187">
        <f t="shared" si="2"/>
        <v>72720.571416224964</v>
      </c>
      <c r="AN16" s="187">
        <f t="shared" si="2"/>
        <v>73466.567808087377</v>
      </c>
      <c r="AO16" s="187">
        <f t="shared" si="2"/>
        <v>74298.724263439799</v>
      </c>
      <c r="AP16" s="187">
        <f t="shared" si="2"/>
        <v>75064.000199189395</v>
      </c>
      <c r="AQ16" s="187">
        <f t="shared" si="2"/>
        <v>75944.890032187264</v>
      </c>
      <c r="AR16" s="187">
        <f t="shared" si="2"/>
        <v>76714.009429211656</v>
      </c>
      <c r="AS16" s="187">
        <f t="shared" si="2"/>
        <v>77457.111887289037</v>
      </c>
      <c r="AT16" s="187">
        <f t="shared" si="2"/>
        <v>78199.544711676484</v>
      </c>
      <c r="AU16" s="187">
        <f t="shared" si="2"/>
        <v>78931.801251204321</v>
      </c>
      <c r="AV16" s="187">
        <f t="shared" si="2"/>
        <v>79707.298030417573</v>
      </c>
      <c r="AW16" s="187">
        <f t="shared" si="2"/>
        <v>80429.913067693895</v>
      </c>
      <c r="AX16" s="187">
        <f t="shared" si="2"/>
        <v>81140.107059996837</v>
      </c>
      <c r="AY16" s="187">
        <f t="shared" si="2"/>
        <v>81846.505993066065</v>
      </c>
      <c r="AZ16" s="187">
        <f t="shared" si="2"/>
        <v>82540.699136159528</v>
      </c>
      <c r="BA16" s="187">
        <f t="shared" si="2"/>
        <v>83231.221754763857</v>
      </c>
      <c r="BB16" s="187">
        <f t="shared" si="2"/>
        <v>83893.100356393843</v>
      </c>
      <c r="BC16" s="187">
        <f t="shared" si="2"/>
        <v>84543.687792989935</v>
      </c>
      <c r="BD16" s="187">
        <f t="shared" si="2"/>
        <v>85182.285239702062</v>
      </c>
      <c r="BE16" s="187">
        <f t="shared" si="2"/>
        <v>85806.36385054444</v>
      </c>
      <c r="BF16" s="187">
        <f t="shared" si="2"/>
        <v>86413.686077979204</v>
      </c>
      <c r="BG16" s="187">
        <f t="shared" si="2"/>
        <v>87005.413709085711</v>
      </c>
      <c r="BH16" s="187">
        <f t="shared" si="2"/>
        <v>87581.883229262385</v>
      </c>
      <c r="BI16" s="187">
        <f t="shared" si="2"/>
        <v>88142.926740799012</v>
      </c>
      <c r="BJ16" s="187">
        <f t="shared" si="2"/>
        <v>88687.133328731332</v>
      </c>
      <c r="BK16" s="187">
        <f t="shared" si="2"/>
        <v>89214.151006544824</v>
      </c>
      <c r="BL16" s="187">
        <f t="shared" si="2"/>
        <v>89723.210001306172</v>
      </c>
      <c r="BM16" s="187">
        <f t="shared" si="2"/>
        <v>90214.90513838215</v>
      </c>
      <c r="BN16" s="187">
        <f t="shared" si="2"/>
        <v>90688.80678912664</v>
      </c>
      <c r="BO16" s="187">
        <f t="shared" si="2"/>
        <v>91144.478623789502</v>
      </c>
      <c r="BP16" s="182"/>
    </row>
    <row r="17" spans="1:68" ht="14.25" hidden="1" customHeight="1" x14ac:dyDescent="0.3">
      <c r="A17" s="982"/>
      <c r="D17" s="944"/>
      <c r="E17" s="183"/>
      <c r="F17" s="185" t="s">
        <v>371</v>
      </c>
      <c r="G17" s="186">
        <v>37898</v>
      </c>
      <c r="H17" s="186">
        <v>38441</v>
      </c>
      <c r="I17" s="186">
        <v>30415</v>
      </c>
      <c r="J17" s="186">
        <v>35697</v>
      </c>
      <c r="K17" s="186">
        <v>23299</v>
      </c>
      <c r="L17" s="187">
        <v>22364</v>
      </c>
      <c r="M17" s="187">
        <v>26372</v>
      </c>
      <c r="N17" s="187">
        <v>18065</v>
      </c>
      <c r="O17" s="187">
        <v>15675</v>
      </c>
      <c r="P17" s="187">
        <v>15810</v>
      </c>
      <c r="Q17" s="187">
        <v>23879</v>
      </c>
      <c r="R17" s="187">
        <v>19669</v>
      </c>
      <c r="S17" s="187">
        <v>13838.983196032719</v>
      </c>
      <c r="T17" s="187">
        <f t="shared" si="2"/>
        <v>13770.431459215481</v>
      </c>
      <c r="U17" s="187">
        <f t="shared" si="2"/>
        <v>14609.529592780245</v>
      </c>
      <c r="V17" s="187">
        <f t="shared" si="2"/>
        <v>14634.751122864662</v>
      </c>
      <c r="W17" s="187">
        <f t="shared" si="2"/>
        <v>15513.109603417985</v>
      </c>
      <c r="X17" s="187">
        <f t="shared" si="2"/>
        <v>15898.824094688727</v>
      </c>
      <c r="Y17" s="187">
        <f t="shared" si="2"/>
        <v>16301.93370430202</v>
      </c>
      <c r="Z17" s="187">
        <f t="shared" si="2"/>
        <v>16660.885138287416</v>
      </c>
      <c r="AA17" s="187">
        <f t="shared" si="2"/>
        <v>17080.597486973908</v>
      </c>
      <c r="AB17" s="187">
        <f t="shared" si="2"/>
        <v>16868.628352689877</v>
      </c>
      <c r="AC17" s="187">
        <f t="shared" si="2"/>
        <v>17182.443781283626</v>
      </c>
      <c r="AD17" s="187">
        <f t="shared" si="2"/>
        <v>17561.878486999587</v>
      </c>
      <c r="AE17" s="187">
        <f t="shared" si="2"/>
        <v>17838.890214265113</v>
      </c>
      <c r="AF17" s="187">
        <f t="shared" si="2"/>
        <v>18103.858307567727</v>
      </c>
      <c r="AG17" s="187">
        <f t="shared" si="2"/>
        <v>18359.89340647592</v>
      </c>
      <c r="AH17" s="187">
        <f t="shared" si="2"/>
        <v>18581.043695213895</v>
      </c>
      <c r="AI17" s="187">
        <f t="shared" si="2"/>
        <v>18773.989447685246</v>
      </c>
      <c r="AJ17" s="187">
        <f t="shared" si="2"/>
        <v>19050.978349049816</v>
      </c>
      <c r="AK17" s="187">
        <f t="shared" si="2"/>
        <v>19307.647815322624</v>
      </c>
      <c r="AL17" s="187">
        <f t="shared" si="2"/>
        <v>19550.225388597632</v>
      </c>
      <c r="AM17" s="187">
        <f t="shared" si="2"/>
        <v>19784.66064157656</v>
      </c>
      <c r="AN17" s="187">
        <f t="shared" si="2"/>
        <v>19987.619517798281</v>
      </c>
      <c r="AO17" s="187">
        <f t="shared" si="2"/>
        <v>20214.019458684492</v>
      </c>
      <c r="AP17" s="187">
        <f t="shared" si="2"/>
        <v>20422.223607677097</v>
      </c>
      <c r="AQ17" s="187">
        <f t="shared" si="2"/>
        <v>20661.88215365752</v>
      </c>
      <c r="AR17" s="187">
        <f t="shared" si="2"/>
        <v>20871.131970685037</v>
      </c>
      <c r="AS17" s="187">
        <f t="shared" si="2"/>
        <v>21073.303511263748</v>
      </c>
      <c r="AT17" s="187">
        <f t="shared" si="2"/>
        <v>21275.292868520024</v>
      </c>
      <c r="AU17" s="187">
        <f t="shared" si="2"/>
        <v>21474.513623458992</v>
      </c>
      <c r="AV17" s="187">
        <f t="shared" si="2"/>
        <v>21685.498497567758</v>
      </c>
      <c r="AW17" s="187">
        <f t="shared" si="2"/>
        <v>21882.096145366533</v>
      </c>
      <c r="AX17" s="187">
        <f t="shared" si="2"/>
        <v>22075.314472089762</v>
      </c>
      <c r="AY17" s="187">
        <f t="shared" si="2"/>
        <v>22267.500299238367</v>
      </c>
      <c r="AZ17" s="187">
        <f t="shared" si="2"/>
        <v>22456.365368479961</v>
      </c>
      <c r="BA17" s="187">
        <f t="shared" si="2"/>
        <v>22644.231819586686</v>
      </c>
      <c r="BB17" s="187">
        <f t="shared" si="2"/>
        <v>22824.305260487195</v>
      </c>
      <c r="BC17" s="187">
        <f t="shared" si="2"/>
        <v>23001.306780140472</v>
      </c>
      <c r="BD17" s="187">
        <f t="shared" si="2"/>
        <v>23175.046253355857</v>
      </c>
      <c r="BE17" s="187">
        <f t="shared" si="2"/>
        <v>23344.835671793073</v>
      </c>
      <c r="BF17" s="187">
        <f t="shared" si="2"/>
        <v>23510.066278977254</v>
      </c>
      <c r="BG17" s="187">
        <f t="shared" si="2"/>
        <v>23671.054155525679</v>
      </c>
      <c r="BH17" s="187">
        <f t="shared" si="2"/>
        <v>23827.890847053153</v>
      </c>
      <c r="BI17" s="187">
        <f t="shared" si="2"/>
        <v>23980.530674611411</v>
      </c>
      <c r="BJ17" s="187">
        <f t="shared" si="2"/>
        <v>24128.589778816266</v>
      </c>
      <c r="BK17" s="187">
        <f t="shared" si="2"/>
        <v>24271.9723967549</v>
      </c>
      <c r="BL17" s="187">
        <f t="shared" si="2"/>
        <v>24410.469100806487</v>
      </c>
      <c r="BM17" s="187">
        <f t="shared" si="2"/>
        <v>24544.241721630413</v>
      </c>
      <c r="BN17" s="187">
        <f t="shared" si="2"/>
        <v>24673.173372673114</v>
      </c>
      <c r="BO17" s="187">
        <f t="shared" si="2"/>
        <v>24797.145344250857</v>
      </c>
      <c r="BP17" s="182"/>
    </row>
    <row r="18" spans="1:68" ht="14.25" hidden="1" customHeight="1" x14ac:dyDescent="0.3">
      <c r="A18" s="982"/>
      <c r="D18" s="944"/>
      <c r="E18" s="183"/>
      <c r="F18" s="185" t="s">
        <v>372</v>
      </c>
      <c r="G18" s="186">
        <v>68726</v>
      </c>
      <c r="H18" s="186">
        <v>68434</v>
      </c>
      <c r="I18" s="186">
        <v>52699</v>
      </c>
      <c r="J18" s="186">
        <v>70423</v>
      </c>
      <c r="K18" s="186">
        <v>54781</v>
      </c>
      <c r="L18" s="187">
        <v>51131</v>
      </c>
      <c r="M18" s="187">
        <v>51262</v>
      </c>
      <c r="N18" s="187">
        <v>49539</v>
      </c>
      <c r="O18" s="187">
        <v>39402</v>
      </c>
      <c r="P18" s="187">
        <v>35995</v>
      </c>
      <c r="Q18" s="187">
        <v>36186</v>
      </c>
      <c r="R18" s="187">
        <v>39581</v>
      </c>
      <c r="S18" s="187">
        <v>37412.769150859975</v>
      </c>
      <c r="T18" s="187">
        <f t="shared" si="2"/>
        <v>37227.444097125604</v>
      </c>
      <c r="U18" s="187">
        <f t="shared" si="2"/>
        <v>39495.890002528213</v>
      </c>
      <c r="V18" s="187">
        <f t="shared" si="2"/>
        <v>39564.074728914056</v>
      </c>
      <c r="W18" s="187">
        <f t="shared" si="2"/>
        <v>41938.658366970805</v>
      </c>
      <c r="X18" s="187">
        <f t="shared" si="2"/>
        <v>42981.411798754038</v>
      </c>
      <c r="Y18" s="187">
        <f t="shared" si="2"/>
        <v>44071.191774155617</v>
      </c>
      <c r="Z18" s="187">
        <f t="shared" si="2"/>
        <v>45041.593063458116</v>
      </c>
      <c r="AA18" s="187">
        <f t="shared" si="2"/>
        <v>46176.257437909742</v>
      </c>
      <c r="AB18" s="187">
        <f t="shared" si="2"/>
        <v>45603.213004244302</v>
      </c>
      <c r="AC18" s="187">
        <f t="shared" si="2"/>
        <v>46451.592109822079</v>
      </c>
      <c r="AD18" s="187">
        <f t="shared" si="2"/>
        <v>47477.368559702103</v>
      </c>
      <c r="AE18" s="187">
        <f t="shared" si="2"/>
        <v>48226.251310512664</v>
      </c>
      <c r="AF18" s="187">
        <f t="shared" si="2"/>
        <v>48942.57489922228</v>
      </c>
      <c r="AG18" s="187">
        <f t="shared" si="2"/>
        <v>49634.748732681081</v>
      </c>
      <c r="AH18" s="187">
        <f t="shared" si="2"/>
        <v>50232.61380578643</v>
      </c>
      <c r="AI18" s="187">
        <f t="shared" si="2"/>
        <v>50754.229794013016</v>
      </c>
      <c r="AJ18" s="187">
        <f t="shared" si="2"/>
        <v>51503.050836520953</v>
      </c>
      <c r="AK18" s="187">
        <f t="shared" si="2"/>
        <v>52196.939639889955</v>
      </c>
      <c r="AL18" s="187">
        <f t="shared" si="2"/>
        <v>52852.731949307279</v>
      </c>
      <c r="AM18" s="187">
        <f t="shared" si="2"/>
        <v>53486.512038225846</v>
      </c>
      <c r="AN18" s="187">
        <f t="shared" si="2"/>
        <v>54035.197839461434</v>
      </c>
      <c r="AO18" s="187">
        <f t="shared" si="2"/>
        <v>54647.254997430413</v>
      </c>
      <c r="AP18" s="187">
        <f t="shared" si="2"/>
        <v>55210.121044174703</v>
      </c>
      <c r="AQ18" s="187">
        <f t="shared" si="2"/>
        <v>55858.021957759651</v>
      </c>
      <c r="AR18" s="187">
        <f t="shared" si="2"/>
        <v>56423.714898376442</v>
      </c>
      <c r="AS18" s="187">
        <f t="shared" si="2"/>
        <v>56970.272190151562</v>
      </c>
      <c r="AT18" s="187">
        <f t="shared" si="2"/>
        <v>57516.336961451103</v>
      </c>
      <c r="AU18" s="187">
        <f t="shared" si="2"/>
        <v>58054.917000823378</v>
      </c>
      <c r="AV18" s="187">
        <f t="shared" si="2"/>
        <v>58625.300552674023</v>
      </c>
      <c r="AW18" s="187">
        <f t="shared" si="2"/>
        <v>59156.789196637845</v>
      </c>
      <c r="AX18" s="187">
        <f t="shared" si="2"/>
        <v>59679.14207119614</v>
      </c>
      <c r="AY18" s="187">
        <f t="shared" si="2"/>
        <v>60198.703651937059</v>
      </c>
      <c r="AZ18" s="187">
        <f t="shared" si="2"/>
        <v>60709.287784897242</v>
      </c>
      <c r="BA18" s="187">
        <f t="shared" si="2"/>
        <v>61217.172220255343</v>
      </c>
      <c r="BB18" s="187">
        <f t="shared" si="2"/>
        <v>61703.988771672426</v>
      </c>
      <c r="BC18" s="187">
        <f t="shared" si="2"/>
        <v>62182.500588641611</v>
      </c>
      <c r="BD18" s="187">
        <f t="shared" si="2"/>
        <v>62652.193680375596</v>
      </c>
      <c r="BE18" s="187">
        <f t="shared" si="2"/>
        <v>63111.208062159902</v>
      </c>
      <c r="BF18" s="187">
        <f t="shared" si="2"/>
        <v>63557.898001418602</v>
      </c>
      <c r="BG18" s="187">
        <f t="shared" si="2"/>
        <v>63993.118001044015</v>
      </c>
      <c r="BH18" s="187">
        <f t="shared" si="2"/>
        <v>64417.115548507194</v>
      </c>
      <c r="BI18" s="187">
        <f t="shared" si="2"/>
        <v>64829.76715381453</v>
      </c>
      <c r="BJ18" s="187">
        <f t="shared" si="2"/>
        <v>65230.035078692657</v>
      </c>
      <c r="BK18" s="187">
        <f t="shared" si="2"/>
        <v>65617.660434486272</v>
      </c>
      <c r="BL18" s="187">
        <f t="shared" si="2"/>
        <v>65992.077047574043</v>
      </c>
      <c r="BM18" s="187">
        <f t="shared" ref="T18:BO21" si="3">BM34*1000000</f>
        <v>66353.722416362827</v>
      </c>
      <c r="BN18" s="187">
        <f t="shared" si="3"/>
        <v>66702.280545841772</v>
      </c>
      <c r="BO18" s="187">
        <f t="shared" si="3"/>
        <v>67037.430512289066</v>
      </c>
      <c r="BP18" s="182"/>
    </row>
    <row r="19" spans="1:68" ht="14.25" hidden="1" customHeight="1" x14ac:dyDescent="0.3">
      <c r="A19" s="982"/>
      <c r="D19" s="944"/>
      <c r="E19" s="183"/>
      <c r="F19" s="185" t="s">
        <v>373</v>
      </c>
      <c r="G19" s="186">
        <v>196972</v>
      </c>
      <c r="H19" s="186">
        <v>176326</v>
      </c>
      <c r="I19" s="186">
        <v>145661</v>
      </c>
      <c r="J19" s="186">
        <v>180049</v>
      </c>
      <c r="K19" s="186">
        <v>175841</v>
      </c>
      <c r="L19" s="187">
        <v>175367</v>
      </c>
      <c r="M19" s="187">
        <v>149696</v>
      </c>
      <c r="N19" s="187">
        <v>172057</v>
      </c>
      <c r="O19" s="187">
        <v>163504</v>
      </c>
      <c r="P19" s="187">
        <v>195711</v>
      </c>
      <c r="Q19" s="187">
        <v>186835</v>
      </c>
      <c r="R19" s="187">
        <v>170843</v>
      </c>
      <c r="S19" s="187">
        <v>176892.30288687302</v>
      </c>
      <c r="T19" s="187">
        <f t="shared" si="3"/>
        <v>176016.06260095575</v>
      </c>
      <c r="U19" s="187">
        <f t="shared" si="3"/>
        <v>186741.56165618252</v>
      </c>
      <c r="V19" s="187">
        <f t="shared" si="3"/>
        <v>187063.94766357663</v>
      </c>
      <c r="W19" s="187">
        <f t="shared" si="3"/>
        <v>198291.27933848134</v>
      </c>
      <c r="X19" s="187">
        <f t="shared" si="3"/>
        <v>203221.54940610306</v>
      </c>
      <c r="Y19" s="187">
        <f t="shared" si="3"/>
        <v>208374.16691782646</v>
      </c>
      <c r="Z19" s="187">
        <f t="shared" si="3"/>
        <v>212962.34690784369</v>
      </c>
      <c r="AA19" s="187">
        <f t="shared" si="3"/>
        <v>218327.18353330443</v>
      </c>
      <c r="AB19" s="187">
        <f t="shared" si="3"/>
        <v>215617.75699717077</v>
      </c>
      <c r="AC19" s="187">
        <f t="shared" si="3"/>
        <v>219629.00067447309</v>
      </c>
      <c r="AD19" s="187">
        <f t="shared" si="3"/>
        <v>224479.00142514534</v>
      </c>
      <c r="AE19" s="187">
        <f t="shared" si="3"/>
        <v>228019.81375713204</v>
      </c>
      <c r="AF19" s="187">
        <f t="shared" si="3"/>
        <v>231406.68225403724</v>
      </c>
      <c r="AG19" s="187">
        <f t="shared" si="3"/>
        <v>234679.36765470469</v>
      </c>
      <c r="AH19" s="187">
        <f t="shared" si="3"/>
        <v>237506.14931234639</v>
      </c>
      <c r="AI19" s="187">
        <f t="shared" si="3"/>
        <v>239972.41565600972</v>
      </c>
      <c r="AJ19" s="187">
        <f t="shared" si="3"/>
        <v>243512.93622333943</v>
      </c>
      <c r="AK19" s="187">
        <f t="shared" si="3"/>
        <v>246793.73021857726</v>
      </c>
      <c r="AL19" s="187">
        <f t="shared" si="3"/>
        <v>249894.39917362208</v>
      </c>
      <c r="AM19" s="187">
        <f t="shared" si="3"/>
        <v>252890.99156699952</v>
      </c>
      <c r="AN19" s="187">
        <f t="shared" si="3"/>
        <v>255485.24740918333</v>
      </c>
      <c r="AO19" s="187">
        <f t="shared" si="3"/>
        <v>258379.13103845855</v>
      </c>
      <c r="AP19" s="187">
        <f t="shared" si="3"/>
        <v>261040.43287430884</v>
      </c>
      <c r="AQ19" s="187">
        <f t="shared" si="3"/>
        <v>264103.79031209735</v>
      </c>
      <c r="AR19" s="187">
        <f t="shared" si="3"/>
        <v>266778.45805959962</v>
      </c>
      <c r="AS19" s="187">
        <f t="shared" si="3"/>
        <v>269362.65003993292</v>
      </c>
      <c r="AT19" s="187">
        <f t="shared" si="3"/>
        <v>271944.51332118508</v>
      </c>
      <c r="AU19" s="187">
        <f t="shared" si="3"/>
        <v>274490.98784354149</v>
      </c>
      <c r="AV19" s="187">
        <f t="shared" si="3"/>
        <v>277187.83339402208</v>
      </c>
      <c r="AW19" s="187">
        <f t="shared" si="3"/>
        <v>279700.77890227566</v>
      </c>
      <c r="AX19" s="187">
        <f t="shared" si="3"/>
        <v>282170.52933768474</v>
      </c>
      <c r="AY19" s="187">
        <f t="shared" si="3"/>
        <v>284627.08218300366</v>
      </c>
      <c r="AZ19" s="187">
        <f t="shared" si="3"/>
        <v>287041.18852013769</v>
      </c>
      <c r="BA19" s="187">
        <f t="shared" si="3"/>
        <v>289442.53034566861</v>
      </c>
      <c r="BB19" s="187">
        <f t="shared" si="3"/>
        <v>291744.26055217581</v>
      </c>
      <c r="BC19" s="187">
        <f t="shared" si="3"/>
        <v>294006.72492419119</v>
      </c>
      <c r="BD19" s="187">
        <f t="shared" si="3"/>
        <v>296227.49324828543</v>
      </c>
      <c r="BE19" s="187">
        <f t="shared" si="3"/>
        <v>298397.77128155832</v>
      </c>
      <c r="BF19" s="187">
        <f t="shared" si="3"/>
        <v>300509.77779231011</v>
      </c>
      <c r="BG19" s="187">
        <f t="shared" si="3"/>
        <v>302567.55297825602</v>
      </c>
      <c r="BH19" s="187">
        <f t="shared" si="3"/>
        <v>304572.26699145074</v>
      </c>
      <c r="BI19" s="187">
        <f t="shared" si="3"/>
        <v>306523.33595559077</v>
      </c>
      <c r="BJ19" s="187">
        <f t="shared" si="3"/>
        <v>308415.85331291164</v>
      </c>
      <c r="BK19" s="187">
        <f t="shared" si="3"/>
        <v>310248.59500511811</v>
      </c>
      <c r="BL19" s="187">
        <f t="shared" si="3"/>
        <v>312018.88409174338</v>
      </c>
      <c r="BM19" s="187">
        <f t="shared" si="3"/>
        <v>313728.78912057093</v>
      </c>
      <c r="BN19" s="187">
        <f t="shared" si="3"/>
        <v>315376.81602723623</v>
      </c>
      <c r="BO19" s="187">
        <f t="shared" si="3"/>
        <v>316961.44744380587</v>
      </c>
      <c r="BP19" s="182"/>
    </row>
    <row r="20" spans="1:68" ht="14.25" hidden="1" customHeight="1" x14ac:dyDescent="0.3">
      <c r="A20" s="982"/>
      <c r="D20" s="944"/>
      <c r="E20" s="183"/>
      <c r="F20" s="185" t="s">
        <v>374</v>
      </c>
      <c r="G20" s="186">
        <v>2798</v>
      </c>
      <c r="H20" s="186">
        <v>1668</v>
      </c>
      <c r="I20" s="186">
        <v>3115</v>
      </c>
      <c r="J20" s="186">
        <v>1353</v>
      </c>
      <c r="K20" s="186">
        <v>9844</v>
      </c>
      <c r="L20" s="187">
        <v>10361</v>
      </c>
      <c r="M20" s="187">
        <v>15758</v>
      </c>
      <c r="N20" s="187">
        <v>22174</v>
      </c>
      <c r="O20" s="187">
        <v>22916</v>
      </c>
      <c r="P20" s="187">
        <v>18966</v>
      </c>
      <c r="Q20" s="187">
        <v>17248</v>
      </c>
      <c r="R20" s="187">
        <v>13711</v>
      </c>
      <c r="S20" s="187">
        <v>15923.912236602624</v>
      </c>
      <c r="T20" s="187">
        <f t="shared" si="3"/>
        <v>15845.032753530681</v>
      </c>
      <c r="U20" s="187">
        <f t="shared" si="3"/>
        <v>16810.54624881499</v>
      </c>
      <c r="V20" s="187">
        <f t="shared" si="3"/>
        <v>16839.567559546274</v>
      </c>
      <c r="W20" s="187">
        <f t="shared" si="3"/>
        <v>17850.256217699742</v>
      </c>
      <c r="X20" s="187">
        <f t="shared" si="3"/>
        <v>18294.081000227256</v>
      </c>
      <c r="Y20" s="187">
        <f t="shared" si="3"/>
        <v>18757.921584053773</v>
      </c>
      <c r="Z20" s="187">
        <f t="shared" si="3"/>
        <v>19170.951287971959</v>
      </c>
      <c r="AA20" s="187">
        <f t="shared" si="3"/>
        <v>19653.895916954385</v>
      </c>
      <c r="AB20" s="187">
        <f t="shared" si="3"/>
        <v>19409.992311942769</v>
      </c>
      <c r="AC20" s="187">
        <f t="shared" si="3"/>
        <v>19771.085990042709</v>
      </c>
      <c r="AD20" s="187">
        <f t="shared" si="3"/>
        <v>20207.684898196178</v>
      </c>
      <c r="AE20" s="187">
        <f t="shared" si="3"/>
        <v>20526.430168061848</v>
      </c>
      <c r="AF20" s="187">
        <f t="shared" si="3"/>
        <v>20831.317355471714</v>
      </c>
      <c r="AG20" s="187">
        <f t="shared" si="3"/>
        <v>21125.925737225709</v>
      </c>
      <c r="AH20" s="187">
        <f t="shared" si="3"/>
        <v>21380.39369481181</v>
      </c>
      <c r="AI20" s="187">
        <f t="shared" si="3"/>
        <v>21602.407927017819</v>
      </c>
      <c r="AJ20" s="187">
        <f t="shared" si="3"/>
        <v>21921.126932118343</v>
      </c>
      <c r="AK20" s="187">
        <f t="shared" si="3"/>
        <v>22216.465252632781</v>
      </c>
      <c r="AL20" s="187">
        <f t="shared" si="3"/>
        <v>22495.588648671492</v>
      </c>
      <c r="AM20" s="187">
        <f t="shared" si="3"/>
        <v>22765.34303313179</v>
      </c>
      <c r="AN20" s="187">
        <f t="shared" si="3"/>
        <v>22998.878928566701</v>
      </c>
      <c r="AO20" s="187">
        <f t="shared" si="3"/>
        <v>23259.387431104486</v>
      </c>
      <c r="AP20" s="187">
        <f t="shared" si="3"/>
        <v>23498.958832333239</v>
      </c>
      <c r="AQ20" s="187">
        <f t="shared" si="3"/>
        <v>23774.723431428789</v>
      </c>
      <c r="AR20" s="187">
        <f t="shared" si="3"/>
        <v>24015.498037096822</v>
      </c>
      <c r="AS20" s="187">
        <f t="shared" si="3"/>
        <v>24248.127979868706</v>
      </c>
      <c r="AT20" s="187">
        <f t="shared" si="3"/>
        <v>24480.548292265561</v>
      </c>
      <c r="AU20" s="187">
        <f t="shared" si="3"/>
        <v>24709.782895156564</v>
      </c>
      <c r="AV20" s="187">
        <f t="shared" si="3"/>
        <v>24952.553955065196</v>
      </c>
      <c r="AW20" s="187">
        <f t="shared" si="3"/>
        <v>25178.77026338239</v>
      </c>
      <c r="AX20" s="187">
        <f t="shared" si="3"/>
        <v>25401.098134849559</v>
      </c>
      <c r="AY20" s="187">
        <f t="shared" si="3"/>
        <v>25622.237954248329</v>
      </c>
      <c r="AZ20" s="187">
        <f t="shared" si="3"/>
        <v>25839.556722871821</v>
      </c>
      <c r="BA20" s="187">
        <f t="shared" si="3"/>
        <v>26055.726425316658</v>
      </c>
      <c r="BB20" s="187">
        <f t="shared" si="3"/>
        <v>26262.929052014315</v>
      </c>
      <c r="BC20" s="187">
        <f t="shared" si="3"/>
        <v>26466.59695338962</v>
      </c>
      <c r="BD20" s="187">
        <f t="shared" si="3"/>
        <v>26666.511360707384</v>
      </c>
      <c r="BE20" s="187">
        <f t="shared" si="3"/>
        <v>26861.880612884313</v>
      </c>
      <c r="BF20" s="187">
        <f t="shared" si="3"/>
        <v>27052.004240489823</v>
      </c>
      <c r="BG20" s="187">
        <f t="shared" si="3"/>
        <v>27237.245943655489</v>
      </c>
      <c r="BH20" s="187">
        <f t="shared" si="3"/>
        <v>27417.711059913348</v>
      </c>
      <c r="BI20" s="187">
        <f t="shared" si="3"/>
        <v>27593.347028496984</v>
      </c>
      <c r="BJ20" s="187">
        <f t="shared" si="3"/>
        <v>27763.712159214389</v>
      </c>
      <c r="BK20" s="187">
        <f t="shared" si="3"/>
        <v>27928.696261873294</v>
      </c>
      <c r="BL20" s="187">
        <f t="shared" si="3"/>
        <v>28088.058357276986</v>
      </c>
      <c r="BM20" s="187">
        <f t="shared" si="3"/>
        <v>28241.984656881938</v>
      </c>
      <c r="BN20" s="187">
        <f t="shared" si="3"/>
        <v>28390.340664447063</v>
      </c>
      <c r="BO20" s="187">
        <f t="shared" si="3"/>
        <v>28532.989785935159</v>
      </c>
      <c r="BP20" s="182"/>
    </row>
    <row r="21" spans="1:68" ht="14.25" hidden="1" customHeight="1" x14ac:dyDescent="0.3">
      <c r="A21" s="960"/>
      <c r="B21" s="960"/>
      <c r="C21" s="960"/>
      <c r="D21" s="944"/>
      <c r="E21" s="183"/>
      <c r="F21" s="185" t="s">
        <v>375</v>
      </c>
      <c r="G21" s="186">
        <v>5961</v>
      </c>
      <c r="H21" s="186">
        <v>6595</v>
      </c>
      <c r="I21" s="186">
        <v>6682</v>
      </c>
      <c r="J21" s="186">
        <v>9327</v>
      </c>
      <c r="K21" s="186">
        <v>6867</v>
      </c>
      <c r="L21" s="187">
        <v>7724</v>
      </c>
      <c r="M21" s="187">
        <v>8454</v>
      </c>
      <c r="N21" s="187">
        <v>9986</v>
      </c>
      <c r="O21" s="187">
        <v>7508</v>
      </c>
      <c r="P21" s="187">
        <v>9316</v>
      </c>
      <c r="Q21" s="187">
        <v>5218</v>
      </c>
      <c r="R21" s="187">
        <v>7464</v>
      </c>
      <c r="S21" s="187">
        <v>7854</v>
      </c>
      <c r="T21" s="187">
        <f t="shared" si="3"/>
        <v>7815.0950216980591</v>
      </c>
      <c r="U21" s="187">
        <f t="shared" si="3"/>
        <v>8291.3060733096336</v>
      </c>
      <c r="V21" s="187">
        <f t="shared" si="3"/>
        <v>8305.6199787806527</v>
      </c>
      <c r="W21" s="187">
        <f t="shared" si="3"/>
        <v>8804.1123469369668</v>
      </c>
      <c r="X21" s="187">
        <f t="shared" si="3"/>
        <v>9023.0158293336244</v>
      </c>
      <c r="Y21" s="187">
        <f t="shared" si="3"/>
        <v>9251.7915153110753</v>
      </c>
      <c r="Z21" s="187">
        <f t="shared" si="3"/>
        <v>9455.5062335520452</v>
      </c>
      <c r="AA21" s="187">
        <f t="shared" si="3"/>
        <v>9693.7044262869513</v>
      </c>
      <c r="AB21" s="187">
        <f t="shared" si="3"/>
        <v>9573.406167586556</v>
      </c>
      <c r="AC21" s="187">
        <f t="shared" si="3"/>
        <v>9751.5049730596256</v>
      </c>
      <c r="AD21" s="187">
        <f t="shared" si="3"/>
        <v>9966.8445060642935</v>
      </c>
      <c r="AE21" s="187">
        <f t="shared" si="3"/>
        <v>10124.056208334958</v>
      </c>
      <c r="AF21" s="187">
        <f t="shared" si="3"/>
        <v>10274.432820208824</v>
      </c>
      <c r="AG21" s="187">
        <f t="shared" si="3"/>
        <v>10419.739714388839</v>
      </c>
      <c r="AH21" s="187">
        <f t="shared" si="3"/>
        <v>10545.248528377859</v>
      </c>
      <c r="AI21" s="187">
        <f t="shared" si="3"/>
        <v>10654.750499616932</v>
      </c>
      <c r="AJ21" s="187">
        <f t="shared" si="3"/>
        <v>10811.949247566927</v>
      </c>
      <c r="AK21" s="187">
        <f t="shared" si="3"/>
        <v>10957.616162509386</v>
      </c>
      <c r="AL21" s="187">
        <f t="shared" si="3"/>
        <v>11095.285544248942</v>
      </c>
      <c r="AM21" s="187">
        <f t="shared" si="3"/>
        <v>11228.333937386982</v>
      </c>
      <c r="AN21" s="187">
        <f t="shared" si="3"/>
        <v>11343.518629156992</v>
      </c>
      <c r="AO21" s="187">
        <f t="shared" si="3"/>
        <v>11472.006763764313</v>
      </c>
      <c r="AP21" s="187">
        <f t="shared" si="3"/>
        <v>11590.168290736661</v>
      </c>
      <c r="AQ21" s="187">
        <f t="shared" si="3"/>
        <v>11726.181044959085</v>
      </c>
      <c r="AR21" s="187">
        <f t="shared" si="3"/>
        <v>11844.936017029955</v>
      </c>
      <c r="AS21" s="187">
        <f t="shared" si="3"/>
        <v>11959.673874371991</v>
      </c>
      <c r="AT21" s="187">
        <f t="shared" si="3"/>
        <v>12074.308337715047</v>
      </c>
      <c r="AU21" s="187">
        <f t="shared" si="3"/>
        <v>12187.371543813832</v>
      </c>
      <c r="AV21" s="187">
        <f t="shared" si="3"/>
        <v>12307.111208049082</v>
      </c>
      <c r="AW21" s="187">
        <f t="shared" si="3"/>
        <v>12418.68572938055</v>
      </c>
      <c r="AX21" s="187">
        <f t="shared" si="3"/>
        <v>12528.342393933714</v>
      </c>
      <c r="AY21" s="187">
        <f t="shared" si="3"/>
        <v>12637.413086848339</v>
      </c>
      <c r="AZ21" s="187">
        <f t="shared" si="3"/>
        <v>12744.599159178331</v>
      </c>
      <c r="BA21" s="187">
        <f t="shared" si="3"/>
        <v>12851.218488509927</v>
      </c>
      <c r="BB21" s="187">
        <f t="shared" si="3"/>
        <v>12953.415072232783</v>
      </c>
      <c r="BC21" s="187">
        <f t="shared" si="3"/>
        <v>13053.868256954866</v>
      </c>
      <c r="BD21" s="187">
        <f t="shared" si="3"/>
        <v>13152.4701414506</v>
      </c>
      <c r="BE21" s="187">
        <f t="shared" si="3"/>
        <v>13248.830262242436</v>
      </c>
      <c r="BF21" s="187">
        <f t="shared" si="3"/>
        <v>13342.603133445615</v>
      </c>
      <c r="BG21" s="187">
        <f t="shared" si="3"/>
        <v>13433.968139421908</v>
      </c>
      <c r="BH21" s="187">
        <f t="shared" si="3"/>
        <v>13522.977234801827</v>
      </c>
      <c r="BI21" s="187">
        <f t="shared" si="3"/>
        <v>13609.604495537735</v>
      </c>
      <c r="BJ21" s="187">
        <f t="shared" si="3"/>
        <v>13693.632070971042</v>
      </c>
      <c r="BK21" s="187">
        <f t="shared" si="3"/>
        <v>13775.005613039717</v>
      </c>
      <c r="BL21" s="187">
        <f t="shared" si="3"/>
        <v>13853.606265863185</v>
      </c>
      <c r="BM21" s="187">
        <f t="shared" si="3"/>
        <v>13929.525872749644</v>
      </c>
      <c r="BN21" s="187">
        <f t="shared" si="3"/>
        <v>14002.698097395431</v>
      </c>
      <c r="BO21" s="187">
        <f t="shared" si="3"/>
        <v>14073.055568820841</v>
      </c>
      <c r="BP21" s="182"/>
    </row>
    <row r="22" spans="1:68" ht="14.25" hidden="1" customHeight="1" x14ac:dyDescent="0.3">
      <c r="A22" s="960"/>
      <c r="B22" s="960"/>
      <c r="C22" s="960"/>
      <c r="D22" s="944"/>
      <c r="E22" s="183"/>
      <c r="F22" s="185"/>
      <c r="G22" s="186"/>
      <c r="H22" s="186"/>
      <c r="I22" s="186"/>
      <c r="J22" s="186"/>
      <c r="K22" s="186"/>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2"/>
    </row>
    <row r="23" spans="1:68" ht="14.25" customHeight="1" x14ac:dyDescent="0.3">
      <c r="A23" s="960"/>
      <c r="B23" s="960"/>
      <c r="C23" s="960"/>
      <c r="D23" s="944"/>
      <c r="E23" s="183"/>
      <c r="F23" s="184" t="s">
        <v>376</v>
      </c>
      <c r="G23" s="179"/>
      <c r="H23" s="179"/>
      <c r="I23" s="179"/>
      <c r="J23" s="179"/>
      <c r="K23" s="179"/>
      <c r="L23" s="180"/>
      <c r="M23" s="181"/>
      <c r="N23" s="181"/>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2"/>
    </row>
    <row r="24" spans="1:68" ht="14.25" customHeight="1" x14ac:dyDescent="0.3">
      <c r="A24" s="1178" t="s">
        <v>6</v>
      </c>
      <c r="B24" s="960"/>
      <c r="C24" s="960"/>
      <c r="D24" s="944"/>
      <c r="E24" s="183"/>
      <c r="F24" s="185" t="s">
        <v>377</v>
      </c>
      <c r="G24" s="190">
        <f t="shared" ref="G24:R24" si="4">G8/1000000</f>
        <v>0.23577300000000001</v>
      </c>
      <c r="H24" s="190">
        <f t="shared" si="4"/>
        <v>0.20011000000000001</v>
      </c>
      <c r="I24" s="190">
        <f t="shared" si="4"/>
        <v>0.221775</v>
      </c>
      <c r="J24" s="190">
        <f t="shared" si="4"/>
        <v>0.21787400000000001</v>
      </c>
      <c r="K24" s="190">
        <f t="shared" si="4"/>
        <v>0.19667299999999999</v>
      </c>
      <c r="L24" s="191">
        <f t="shared" si="4"/>
        <v>0.19553300000000001</v>
      </c>
      <c r="M24" s="191">
        <f t="shared" si="4"/>
        <v>0.186222</v>
      </c>
      <c r="N24" s="191">
        <f t="shared" si="4"/>
        <v>0.16697200000000001</v>
      </c>
      <c r="O24" s="191">
        <f t="shared" si="4"/>
        <v>0.173706</v>
      </c>
      <c r="P24" s="191">
        <f t="shared" si="4"/>
        <v>0.19038099999999999</v>
      </c>
      <c r="Q24" s="191">
        <f t="shared" si="4"/>
        <v>0.16508</v>
      </c>
      <c r="R24" s="191">
        <f t="shared" si="4"/>
        <v>0.16789299999999999</v>
      </c>
      <c r="S24" s="191">
        <f t="shared" ref="S24" si="5">S8/1000000</f>
        <v>0.172653</v>
      </c>
      <c r="T24" s="192">
        <f>S24*(1+(0.29*Driver_macroeconómicos_Agricult!I$40+(1-0.29)*Driver_macroeconómicos_Agricult!I$8))</f>
        <v>0.17179775920311113</v>
      </c>
      <c r="U24" s="192">
        <f>T24*(1+(0.29*Driver_macroeconómicos_Agricult!J$40+(1-0.29)*Driver_macroeconómicos_Agricult!J$8))</f>
        <v>0.18226621689268246</v>
      </c>
      <c r="V24" s="192">
        <f>U24*(1+(0.29*Driver_macroeconómicos_Agricult!K$40+(1-0.29)*Driver_macroeconómicos_Agricult!K$8))</f>
        <v>0.18258087677570864</v>
      </c>
      <c r="W24" s="192">
        <f>V24*(1+(0.29*Driver_macroeconómicos_Agricult!L$40+(1-0.29)*Driver_macroeconómicos_Agricult!L$8))</f>
        <v>0.19353914044253984</v>
      </c>
      <c r="X24" s="192">
        <f>W24*(1+(0.29*Driver_macroeconómicos_Agricult!M$40+(1-0.29)*Driver_macroeconómicos_Agricult!M$8))</f>
        <v>0.19835125439036647</v>
      </c>
      <c r="Y24" s="383">
        <f t="shared" ref="Y24:AU24" si="6">1.005*X24</f>
        <v>0.19934301066231827</v>
      </c>
      <c r="Z24" s="383">
        <f t="shared" si="6"/>
        <v>0.20033972571562983</v>
      </c>
      <c r="AA24" s="383">
        <f t="shared" si="6"/>
        <v>0.20134142434420796</v>
      </c>
      <c r="AB24" s="383">
        <f t="shared" si="6"/>
        <v>0.20234813146592898</v>
      </c>
      <c r="AC24" s="383">
        <f t="shared" si="6"/>
        <v>0.20335987212325859</v>
      </c>
      <c r="AD24" s="383">
        <f t="shared" si="6"/>
        <v>0.20437667148387487</v>
      </c>
      <c r="AE24" s="383">
        <f t="shared" si="6"/>
        <v>0.20539855484129421</v>
      </c>
      <c r="AF24" s="383">
        <f t="shared" si="6"/>
        <v>0.20642554761550067</v>
      </c>
      <c r="AG24" s="383">
        <f t="shared" si="6"/>
        <v>0.20745767535357815</v>
      </c>
      <c r="AH24" s="383">
        <f t="shared" si="6"/>
        <v>0.20849496373034601</v>
      </c>
      <c r="AI24" s="383">
        <f t="shared" si="6"/>
        <v>0.20953743854899773</v>
      </c>
      <c r="AJ24" s="383">
        <f t="shared" si="6"/>
        <v>0.21058512574174271</v>
      </c>
      <c r="AK24" s="383">
        <f t="shared" si="6"/>
        <v>0.21163805137045139</v>
      </c>
      <c r="AL24" s="383">
        <f t="shared" si="6"/>
        <v>0.21269624162730361</v>
      </c>
      <c r="AM24" s="383">
        <f t="shared" si="6"/>
        <v>0.21375972283544009</v>
      </c>
      <c r="AN24" s="383">
        <f t="shared" si="6"/>
        <v>0.21482852144961728</v>
      </c>
      <c r="AO24" s="383">
        <f t="shared" si="6"/>
        <v>0.21590266405686534</v>
      </c>
      <c r="AP24" s="383">
        <f t="shared" si="6"/>
        <v>0.21698217737714964</v>
      </c>
      <c r="AQ24" s="383">
        <f t="shared" si="6"/>
        <v>0.21806708826403537</v>
      </c>
      <c r="AR24" s="383">
        <f t="shared" si="6"/>
        <v>0.21915742370535551</v>
      </c>
      <c r="AS24" s="383">
        <f t="shared" si="6"/>
        <v>0.22025321082388227</v>
      </c>
      <c r="AT24" s="383">
        <f t="shared" si="6"/>
        <v>0.22135447687800167</v>
      </c>
      <c r="AU24" s="383">
        <f t="shared" si="6"/>
        <v>0.22246124926239166</v>
      </c>
      <c r="AV24" s="383">
        <f t="shared" ref="AV24" si="7">1.005*AU24</f>
        <v>0.22357355550870359</v>
      </c>
      <c r="AW24" s="383">
        <f t="shared" ref="AW24" si="8">1.005*AV24</f>
        <v>0.22469142328624708</v>
      </c>
      <c r="AX24" s="383">
        <f t="shared" ref="AX24" si="9">1.005*AW24</f>
        <v>0.2258148804026783</v>
      </c>
      <c r="AY24" s="383">
        <f t="shared" ref="AY24" si="10">1.005*AX24</f>
        <v>0.22694395480469168</v>
      </c>
      <c r="AZ24" s="383">
        <f t="shared" ref="AZ24" si="11">1.005*AY24</f>
        <v>0.22807867457871511</v>
      </c>
      <c r="BA24" s="383">
        <f t="shared" ref="BA24" si="12">1.005*AZ24</f>
        <v>0.22921906795160865</v>
      </c>
      <c r="BB24" s="383">
        <f t="shared" ref="BB24" si="13">1.005*BA24</f>
        <v>0.23036516329136666</v>
      </c>
      <c r="BC24" s="383">
        <f t="shared" ref="BC24" si="14">1.005*BB24</f>
        <v>0.23151698910782348</v>
      </c>
      <c r="BD24" s="383">
        <f t="shared" ref="BD24" si="15">1.005*BC24</f>
        <v>0.23267457405336256</v>
      </c>
      <c r="BE24" s="383">
        <f t="shared" ref="BE24" si="16">1.005*BD24</f>
        <v>0.23383794692362936</v>
      </c>
      <c r="BF24" s="383">
        <f t="shared" ref="BF24" si="17">1.005*BE24</f>
        <v>0.23500713665824749</v>
      </c>
      <c r="BG24" s="383">
        <f t="shared" ref="BG24" si="18">1.005*BF24</f>
        <v>0.23618217234153871</v>
      </c>
      <c r="BH24" s="383">
        <f t="shared" ref="BH24" si="19">1.005*BG24</f>
        <v>0.23736308320324637</v>
      </c>
      <c r="BI24" s="383">
        <f t="shared" ref="BI24" si="20">1.005*BH24</f>
        <v>0.23854989861926257</v>
      </c>
      <c r="BJ24" s="383">
        <f t="shared" ref="BJ24" si="21">1.005*BI24</f>
        <v>0.23974264811235885</v>
      </c>
      <c r="BK24" s="383">
        <f t="shared" ref="BK24" si="22">1.005*BJ24</f>
        <v>0.2409413613529206</v>
      </c>
      <c r="BL24" s="383">
        <f t="shared" ref="BL24" si="23">1.005*BK24</f>
        <v>0.24214606815968517</v>
      </c>
      <c r="BM24" s="383">
        <f t="shared" ref="BM24" si="24">1.005*BL24</f>
        <v>0.24335679850048358</v>
      </c>
      <c r="BN24" s="383">
        <f t="shared" ref="BN24" si="25">1.005*BM24</f>
        <v>0.24457358249298597</v>
      </c>
      <c r="BO24" s="383">
        <f t="shared" ref="BO24" si="26">1.005*BN24</f>
        <v>0.24579645040545087</v>
      </c>
      <c r="BP24" s="182"/>
    </row>
    <row r="25" spans="1:68" ht="14.25" customHeight="1" x14ac:dyDescent="0.3">
      <c r="A25" s="982"/>
      <c r="D25" s="944"/>
      <c r="E25" s="183"/>
      <c r="F25" s="185" t="s">
        <v>378</v>
      </c>
      <c r="G25" s="190">
        <f t="shared" ref="G25:R25" si="27">G9/1000000</f>
        <v>0.47005400000000003</v>
      </c>
      <c r="H25" s="190">
        <f t="shared" si="27"/>
        <v>0.52109099999999997</v>
      </c>
      <c r="I25" s="190">
        <f t="shared" si="27"/>
        <v>0.50772099999999998</v>
      </c>
      <c r="J25" s="190">
        <f t="shared" si="27"/>
        <v>0.50888500000000003</v>
      </c>
      <c r="K25" s="190">
        <f t="shared" si="27"/>
        <v>0.48731600000000003</v>
      </c>
      <c r="L25" s="191">
        <f t="shared" si="27"/>
        <v>0.53741000000000005</v>
      </c>
      <c r="M25" s="191">
        <f t="shared" si="27"/>
        <v>0.55961700000000003</v>
      </c>
      <c r="N25" s="191">
        <f t="shared" si="27"/>
        <v>0.57351600000000003</v>
      </c>
      <c r="O25" s="191">
        <f t="shared" si="27"/>
        <v>0.57383300000000004</v>
      </c>
      <c r="P25" s="191">
        <f t="shared" si="27"/>
        <v>0.60195399999999999</v>
      </c>
      <c r="Q25" s="191">
        <f t="shared" si="27"/>
        <v>0.59057899999999997</v>
      </c>
      <c r="R25" s="191">
        <f t="shared" si="27"/>
        <v>0.62696200000000002</v>
      </c>
      <c r="S25" s="191">
        <f t="shared" ref="S25" si="28">S9/1000000</f>
        <v>0.59155680703088576</v>
      </c>
      <c r="T25" s="192">
        <f>S25*(1+(0.29*Driver_macroeconómicos_Agricult!I$40+(1-0.29)*Driver_macroeconómicos_Agricult!I$8))</f>
        <v>0.58862651612919203</v>
      </c>
      <c r="U25" s="192">
        <f>T25*(1+(0.29*Driver_macroeconómicos_Agricult!J$40+(1-0.29)*Driver_macroeconómicos_Agricult!J$8))</f>
        <v>0.62449434006147664</v>
      </c>
      <c r="V25" s="192">
        <f>U25*(1+(0.29*Driver_macroeconómicos_Agricult!K$40+(1-0.29)*Driver_macroeconómicos_Agricult!K$8))</f>
        <v>0.62557245162457531</v>
      </c>
      <c r="W25" s="383">
        <f>1.02*V25*(1+(0.29*Driver_macroeconómicos_Agricult!L$40+(1-0.29)*Driver_macroeconómicos_Agricult!L$8))</f>
        <v>0.67638085567470507</v>
      </c>
      <c r="X25" s="383">
        <f>1.02*W25*(1+(0.29*Driver_macroeconómicos_Agricult!M$40+(1-0.29)*Driver_macroeconómicos_Agricult!M$8))</f>
        <v>0.7070622029176018</v>
      </c>
      <c r="Y25" s="383">
        <f>1.02*X25*(1+(0.29*Driver_macroeconómicos_Agricult!N$40+(1-0.29)*Driver_macroeconómicos_Agricult!N$8))</f>
        <v>0.73948933014761298</v>
      </c>
      <c r="Z25" s="383">
        <f>1.02*Y25*(1+(0.29*Driver_macroeconómicos_Agricult!O$40+(1-0.29)*Driver_macroeconómicos_Agricult!O$8))</f>
        <v>0.77088754955945371</v>
      </c>
      <c r="AA25" s="383">
        <f>1.02*Z25*(1+(0.29*Driver_macroeconómicos_Agricult!P$40+(1-0.29)*Driver_macroeconómicos_Agricult!P$8))</f>
        <v>0.80611349451750147</v>
      </c>
      <c r="AB25" s="383">
        <f>1.02*AA25*(1+(0.29*Driver_macroeconómicos_Agricult!Q$40+(1-0.29)*Driver_macroeconómicos_Agricult!Q$8))</f>
        <v>0.81203187058670045</v>
      </c>
      <c r="AC25" s="383">
        <f>1.02*AB25*(1+(0.29*Driver_macroeconómicos_Agricult!R$40+(1-0.29)*Driver_macroeconómicos_Agricult!R$8))</f>
        <v>0.84368127074164234</v>
      </c>
      <c r="AD25" s="383">
        <f>1.02*AC25*(1+(0.29*Driver_macroeconómicos_Agricult!S$40+(1-0.29)*Driver_macroeconómicos_Agricult!S$8))</f>
        <v>0.87955826947938021</v>
      </c>
      <c r="AE25" s="383">
        <f>1.02*AD25*(1+(0.29*Driver_macroeconómicos_Agricult!T$40+(1-0.29)*Driver_macroeconómicos_Agricult!T$8))</f>
        <v>0.91130059271647901</v>
      </c>
      <c r="AF25" s="383">
        <f>1.02*AE25*(1+(0.29*Driver_macroeconómicos_Agricult!U$40+(1-0.29)*Driver_macroeconómicos_Agricult!U$8))</f>
        <v>0.94333323094324006</v>
      </c>
      <c r="AG25" s="856">
        <f>AF25*(1+(0.29*Driver_macroeconómicos_Agricult!V$40+(1-0.29)*Driver_macroeconómicos_Agricult!V$8))</f>
        <v>0.95667438800405158</v>
      </c>
      <c r="AH25" s="856">
        <f>AG25*(1+(0.29*Driver_macroeconómicos_Agricult!W$40+(1-0.29)*Driver_macroeconómicos_Agricult!W$8))</f>
        <v>0.96819781095925761</v>
      </c>
      <c r="AI25" s="856">
        <f>AH25*(1+(0.29*Driver_macroeconómicos_Agricult!X$40+(1-0.29)*Driver_macroeconómicos_Agricult!X$8))</f>
        <v>0.97825158717554017</v>
      </c>
      <c r="AJ25" s="856">
        <f>AI25*(1+(0.29*Driver_macroeconómicos_Agricult!Y$40+(1-0.29)*Driver_macroeconómicos_Agricult!Y$8))</f>
        <v>0.99268457879647198</v>
      </c>
      <c r="AK25" s="856">
        <f>AJ25*(1+(0.29*Driver_macroeconómicos_Agricult!Z$40+(1-0.29)*Driver_macroeconómicos_Agricult!Z$8))</f>
        <v>1.0060587906793828</v>
      </c>
      <c r="AL25" s="856">
        <f>AK25*(1+(0.29*Driver_macroeconómicos_Agricult!AA$40+(1-0.29)*Driver_macroeconómicos_Agricult!AA$8))</f>
        <v>1.0186987198074311</v>
      </c>
      <c r="AM25" s="856">
        <f>AL25*(1+(0.29*Driver_macroeconómicos_Agricult!AB$40+(1-0.29)*Driver_macroeconómicos_Agricult!AB$8))</f>
        <v>1.0309143790819608</v>
      </c>
      <c r="AN25" s="856">
        <f>AM25*(1+(0.29*Driver_macroeconómicos_Agricult!AC$40+(1-0.29)*Driver_macroeconómicos_Agricult!AC$8))</f>
        <v>1.0414899066409018</v>
      </c>
      <c r="AO25" s="856">
        <f>AN25*(1+(0.29*Driver_macroeconómicos_Agricult!AD$40+(1-0.29)*Driver_macroeconómicos_Agricult!AD$8))</f>
        <v>1.0532868719116846</v>
      </c>
      <c r="AP25" s="856">
        <f>AO25*(1+(0.29*Driver_macroeconómicos_Agricult!AE$40+(1-0.29)*Driver_macroeconómicos_Agricult!AE$8))</f>
        <v>1.0641357135910783</v>
      </c>
      <c r="AQ25" s="856">
        <f>AP25*(1+(0.29*Driver_macroeconómicos_Agricult!AF$40+(1-0.29)*Driver_macroeconómicos_Agricult!AF$8))</f>
        <v>1.0766235416916974</v>
      </c>
      <c r="AR25" s="856">
        <f>AQ25*(1+(0.29*Driver_macroeconómicos_Agricult!AG$40+(1-0.29)*Driver_macroeconómicos_Agricult!AG$8))</f>
        <v>1.0875268697346667</v>
      </c>
      <c r="AS25" s="856">
        <f>AR25*(1+(0.29*Driver_macroeconómicos_Agricult!AH$40+(1-0.29)*Driver_macroeconómicos_Agricult!AH$8))</f>
        <v>1.0980613717915662</v>
      </c>
      <c r="AT25" s="856">
        <f>AS25*(1+(0.29*Driver_macroeconómicos_Agricult!AI$40+(1-0.29)*Driver_macroeconómicos_Agricult!AI$8))</f>
        <v>1.1085863808675078</v>
      </c>
      <c r="AU25" s="856">
        <f>AT25*(1+(0.29*Driver_macroeconómicos_Agricult!AJ$40+(1-0.29)*Driver_macroeconómicos_Agricult!AJ$8))</f>
        <v>1.1189671270728054</v>
      </c>
      <c r="AV25" s="856">
        <f>AU25*(1+(0.29*Driver_macroeconómicos_Agricult!AK$40+(1-0.29)*Driver_macroeconómicos_Agricult!AK$8))</f>
        <v>1.1299608633025007</v>
      </c>
      <c r="AW25" s="856">
        <f>AV25*(1+(0.29*Driver_macroeconómicos_Agricult!AL$40+(1-0.29)*Driver_macroeconómicos_Agricult!AL$8))</f>
        <v>1.1402049279180713</v>
      </c>
      <c r="AX25" s="856">
        <f>AW25*(1+(0.29*Driver_macroeconómicos_Agricult!AM$40+(1-0.29)*Driver_macroeconómicos_Agricult!AM$8))</f>
        <v>1.1502729070929347</v>
      </c>
      <c r="AY25" s="856">
        <f>AX25*(1+(0.29*Driver_macroeconómicos_Agricult!AN$40+(1-0.29)*Driver_macroeconómicos_Agricult!AN$8))</f>
        <v>1.1602870860698995</v>
      </c>
      <c r="AZ25" s="856">
        <f>AY25*(1+(0.29*Driver_macroeconómicos_Agricult!AO$40+(1-0.29)*Driver_macroeconómicos_Agricult!AO$8))</f>
        <v>1.1701282311425782</v>
      </c>
      <c r="BA25" s="856">
        <f>AZ25*(1+(0.29*Driver_macroeconómicos_Agricult!AP$40+(1-0.29)*Driver_macroeconómicos_Agricult!AP$8))</f>
        <v>1.1799173414690918</v>
      </c>
      <c r="BB25" s="856">
        <f>BA25*(1+(0.29*Driver_macroeconómicos_Agricult!AQ$40+(1-0.29)*Driver_macroeconómicos_Agricult!AQ$8))</f>
        <v>1.1893003833558442</v>
      </c>
      <c r="BC25" s="856">
        <f>BB25*(1+(0.29*Driver_macroeconómicos_Agricult!AR$40+(1-0.29)*Driver_macroeconómicos_Agricult!AR$8))</f>
        <v>1.1985233574080989</v>
      </c>
      <c r="BD25" s="856">
        <f>BC25*(1+(0.29*Driver_macroeconómicos_Agricult!AS$40+(1-0.29)*Driver_macroeconómicos_Agricult!AS$8))</f>
        <v>1.20757635681995</v>
      </c>
      <c r="BE25" s="856">
        <f>BD25*(1+(0.29*Driver_macroeconómicos_Agricult!AT$40+(1-0.29)*Driver_macroeconómicos_Agricult!AT$8))</f>
        <v>1.216423531712354</v>
      </c>
      <c r="BF25" s="856">
        <f>BE25*(1+(0.29*Driver_macroeconómicos_Agricult!AU$40+(1-0.29)*Driver_macroeconómicos_Agricult!AU$8))</f>
        <v>1.225033161763458</v>
      </c>
      <c r="BG25" s="856">
        <f>BF25*(1+(0.29*Driver_macroeconómicos_Agricult!AV$40+(1-0.29)*Driver_macroeconómicos_Agricult!AV$8))</f>
        <v>1.2334217169071775</v>
      </c>
      <c r="BH25" s="856">
        <f>BG25*(1+(0.29*Driver_macroeconómicos_Agricult!AW$40+(1-0.29)*Driver_macroeconómicos_Agricult!AW$8))</f>
        <v>1.2415939672880378</v>
      </c>
      <c r="BI25" s="856">
        <f>BH25*(1+(0.29*Driver_macroeconómicos_Agricult!AX$40+(1-0.29)*Driver_macroeconómicos_Agricult!AX$8))</f>
        <v>1.2495475327244707</v>
      </c>
      <c r="BJ25" s="856">
        <f>BI25*(1+(0.29*Driver_macroeconómicos_Agricult!AY$40+(1-0.29)*Driver_macroeconómicos_Agricult!AY$8))</f>
        <v>1.2572624115512532</v>
      </c>
      <c r="BK25" s="856">
        <f>BJ25*(1+(0.29*Driver_macroeconómicos_Agricult!AZ$40+(1-0.29)*Driver_macroeconómicos_Agricult!AZ$8))</f>
        <v>1.2647336138741643</v>
      </c>
      <c r="BL25" s="856">
        <f>BK25*(1+(0.29*Driver_macroeconómicos_Agricult!BA$40+(1-0.29)*Driver_macroeconómicos_Agricult!BA$8))</f>
        <v>1.2719502271003826</v>
      </c>
      <c r="BM25" s="856">
        <f>BL25*(1+(0.29*Driver_macroeconómicos_Agricult!BB$40+(1-0.29)*Driver_macroeconómicos_Agricult!BB$8))</f>
        <v>1.2789206836997269</v>
      </c>
      <c r="BN25" s="856">
        <f>BM25*(1+(0.29*Driver_macroeconómicos_Agricult!BC$40+(1-0.29)*Driver_macroeconómicos_Agricult!BC$8))</f>
        <v>1.2856388930936944</v>
      </c>
      <c r="BO25" s="856">
        <f>BN25*(1+(0.29*Driver_macroeconómicos_Agricult!BD$40+(1-0.29)*Driver_macroeconómicos_Agricult!BD$8))</f>
        <v>1.292098669706393</v>
      </c>
      <c r="BP25" s="182"/>
    </row>
    <row r="26" spans="1:68" ht="14.25" customHeight="1" x14ac:dyDescent="0.3">
      <c r="A26" s="982"/>
      <c r="D26" s="944"/>
      <c r="E26" s="183"/>
      <c r="F26" s="185" t="s">
        <v>379</v>
      </c>
      <c r="G26" s="190">
        <f t="shared" ref="G26:R26" si="29">G10/1000000</f>
        <v>0.19108</v>
      </c>
      <c r="H26" s="190">
        <f t="shared" si="29"/>
        <v>0.12285600000000001</v>
      </c>
      <c r="I26" s="190">
        <f t="shared" si="29"/>
        <v>0.113029</v>
      </c>
      <c r="J26" s="190">
        <f t="shared" si="29"/>
        <v>9.7683999999999993E-2</v>
      </c>
      <c r="K26" s="190">
        <f t="shared" si="29"/>
        <v>7.0268999999999998E-2</v>
      </c>
      <c r="L26" s="191">
        <f t="shared" si="29"/>
        <v>7.9743999999999995E-2</v>
      </c>
      <c r="M26" s="191">
        <f t="shared" si="29"/>
        <v>5.5898000000000003E-2</v>
      </c>
      <c r="N26" s="191">
        <f t="shared" si="29"/>
        <v>5.2713999999999997E-2</v>
      </c>
      <c r="O26" s="191">
        <f t="shared" si="29"/>
        <v>4.5851999999999997E-2</v>
      </c>
      <c r="P26" s="191">
        <f t="shared" si="29"/>
        <v>4.8097000000000001E-2</v>
      </c>
      <c r="Q26" s="191">
        <f t="shared" si="29"/>
        <v>3.4789E-2</v>
      </c>
      <c r="R26" s="191">
        <f t="shared" si="29"/>
        <v>3.4930999999999997E-2</v>
      </c>
      <c r="S26" s="191">
        <f t="shared" ref="S26" si="30">S10/1000000</f>
        <v>3.6397649194333068E-2</v>
      </c>
      <c r="T26" s="192">
        <f>S26*(1+(0.29*Driver_macroeconómicos_Agricult!I$40+(1-0.29)*Driver_macroeconómicos_Agricult!I$8))</f>
        <v>3.6217352561770395E-2</v>
      </c>
      <c r="U26" s="192">
        <f>T26*(1+(0.29*Driver_macroeconómicos_Agricult!J$40+(1-0.29)*Driver_macroeconómicos_Agricult!J$8))</f>
        <v>3.842424876740097E-2</v>
      </c>
      <c r="V26" s="192">
        <f>U26*(1+(0.29*Driver_macroeconómicos_Agricult!K$40+(1-0.29)*Driver_macroeconómicos_Agricult!K$8))</f>
        <v>3.8490583438897656E-2</v>
      </c>
      <c r="W26" s="192">
        <f>V26*(1+(0.29*Driver_macroeconómicos_Agricult!L$40+(1-0.29)*Driver_macroeconómicos_Agricult!L$8))</f>
        <v>4.0800737544093205E-2</v>
      </c>
      <c r="X26" s="192">
        <f>W26*(1+(0.29*Driver_macroeconómicos_Agricult!M$40+(1-0.29)*Driver_macroeconómicos_Agricult!M$8))</f>
        <v>4.1815197966768462E-2</v>
      </c>
      <c r="Y26" s="192">
        <f>X26*(1+(0.29*Driver_macroeconómicos_Agricult!N$40+(1-0.29)*Driver_macroeconómicos_Agricult!N$8))</f>
        <v>4.2875408962745054E-2</v>
      </c>
      <c r="Z26" s="192">
        <f>Y26*(1+(0.29*Driver_macroeconómicos_Agricult!O$40+(1-0.29)*Driver_macroeconómicos_Agricult!O$8))</f>
        <v>4.3819480372250676E-2</v>
      </c>
      <c r="AA26" s="192">
        <f>Z26*(1+(0.29*Driver_macroeconómicos_Agricult!P$40+(1-0.29)*Driver_macroeconómicos_Agricult!P$8))</f>
        <v>4.4923357919728298E-2</v>
      </c>
      <c r="AB26" s="192">
        <f>AA26*(1+(0.29*Driver_macroeconómicos_Agricult!Q$40+(1-0.29)*Driver_macroeconómicos_Agricult!Q$8))</f>
        <v>4.4365861889824283E-2</v>
      </c>
      <c r="AC26" s="192">
        <f>AB26*(1+(0.29*Driver_macroeconómicos_Agricult!R$40+(1-0.29)*Driver_macroeconómicos_Agricult!R$8))</f>
        <v>4.5191221941204292E-2</v>
      </c>
      <c r="AD26" s="192">
        <f>AC26*(1+(0.29*Driver_macroeconómicos_Agricult!S$40+(1-0.29)*Driver_macroeconómicos_Agricult!S$8))</f>
        <v>4.6189166018104653E-2</v>
      </c>
      <c r="AE26" s="192">
        <f>AD26*(1+(0.29*Driver_macroeconómicos_Agricult!T$40+(1-0.29)*Driver_macroeconómicos_Agricult!T$8))</f>
        <v>4.6917729347426225E-2</v>
      </c>
      <c r="AF26" s="192">
        <f>AE26*(1+(0.29*Driver_macroeconómicos_Agricult!U$40+(1-0.29)*Driver_macroeconómicos_Agricult!U$8))</f>
        <v>4.761461694177526E-2</v>
      </c>
      <c r="AG26" s="192">
        <f>AF26*(1+(0.29*Driver_macroeconómicos_Agricult!V$40+(1-0.29)*Driver_macroeconómicos_Agricult!V$8))</f>
        <v>4.8288010035725137E-2</v>
      </c>
      <c r="AH26" s="192">
        <f>AG26*(1+(0.29*Driver_macroeconómicos_Agricult!W$40+(1-0.29)*Driver_macroeconómicos_Agricult!W$8))</f>
        <v>4.8869653247129406E-2</v>
      </c>
      <c r="AI26" s="192">
        <f>AH26*(1+(0.29*Driver_macroeconómicos_Agricult!X$40+(1-0.29)*Driver_macroeconómicos_Agricult!X$8))</f>
        <v>4.937711623863026E-2</v>
      </c>
      <c r="AJ26" s="192">
        <f>AI26*(1+(0.29*Driver_macroeconómicos_Agricult!Y$40+(1-0.29)*Driver_macroeconómicos_Agricult!Y$8))</f>
        <v>5.010561953397942E-2</v>
      </c>
      <c r="AK26" s="192">
        <f>AJ26*(1+(0.29*Driver_macroeconómicos_Agricult!Z$40+(1-0.29)*Driver_macroeconómicos_Agricult!Z$8))</f>
        <v>5.0780681065593421E-2</v>
      </c>
      <c r="AL26" s="192">
        <f>AK26*(1+(0.29*Driver_macroeconómicos_Agricult!AA$40+(1-0.29)*Driver_macroeconómicos_Agricult!AA$8))</f>
        <v>5.141867977470433E-2</v>
      </c>
      <c r="AM26" s="192">
        <f>AL26*(1+(0.29*Driver_macroeconómicos_Agricult!AB$40+(1-0.29)*Driver_macroeconómicos_Agricult!AB$8))</f>
        <v>5.2035263520478228E-2</v>
      </c>
      <c r="AN26" s="192">
        <f>AM26*(1+(0.29*Driver_macroeconómicos_Agricult!AC$40+(1-0.29)*Driver_macroeconómicos_Agricult!AC$8))</f>
        <v>5.2569061840264608E-2</v>
      </c>
      <c r="AO26" s="192">
        <f>AN26*(1+(0.29*Driver_macroeconómicos_Agricult!AD$40+(1-0.29)*Driver_macroeconómicos_Agricult!AD$8))</f>
        <v>5.3164512062962792E-2</v>
      </c>
      <c r="AP26" s="192">
        <f>AO26*(1+(0.29*Driver_macroeconómicos_Agricult!AE$40+(1-0.29)*Driver_macroeconómicos_Agricult!AE$8))</f>
        <v>5.3712105875925134E-2</v>
      </c>
      <c r="AQ26" s="192">
        <f>AP26*(1+(0.29*Driver_macroeconómicos_Agricult!AF$40+(1-0.29)*Driver_macroeconómicos_Agricult!AF$8))</f>
        <v>5.4342427306297278E-2</v>
      </c>
      <c r="AR26" s="192">
        <f>AQ26*(1+(0.29*Driver_macroeconómicos_Agricult!AG$40+(1-0.29)*Driver_macroeconómicos_Agricult!AG$8))</f>
        <v>5.489277131107425E-2</v>
      </c>
      <c r="AS26" s="192">
        <f>AR26*(1+(0.29*Driver_macroeconómicos_Agricult!AH$40+(1-0.29)*Driver_macroeconómicos_Agricult!AH$8))</f>
        <v>5.5424498874207022E-2</v>
      </c>
      <c r="AT26" s="192">
        <f>AS26*(1+(0.29*Driver_macroeconómicos_Agricult!AI$40+(1-0.29)*Driver_macroeconómicos_Agricult!AI$8))</f>
        <v>5.5955747280412936E-2</v>
      </c>
      <c r="AU26" s="192">
        <f>AT26*(1+(0.29*Driver_macroeconómicos_Agricult!AJ$40+(1-0.29)*Driver_macroeconómicos_Agricult!AJ$8))</f>
        <v>5.6479714037781167E-2</v>
      </c>
      <c r="AV26" s="192">
        <f>AU26*(1+(0.29*Driver_macroeconómicos_Agricult!AK$40+(1-0.29)*Driver_macroeconómicos_Agricult!AK$8))</f>
        <v>5.7034621383526253E-2</v>
      </c>
      <c r="AW26" s="192">
        <f>AV26*(1+(0.29*Driver_macroeconómicos_Agricult!AL$40+(1-0.29)*Driver_macroeconómicos_Agricult!AL$8))</f>
        <v>5.7551689156183292E-2</v>
      </c>
      <c r="AX26" s="192">
        <f>AW26*(1+(0.29*Driver_macroeconómicos_Agricult!AM$40+(1-0.29)*Driver_macroeconómicos_Agricult!AM$8))</f>
        <v>5.8059869040092985E-2</v>
      </c>
      <c r="AY26" s="192">
        <f>AX26*(1+(0.29*Driver_macroeconómicos_Agricult!AN$40+(1-0.29)*Driver_macroeconómicos_Agricult!AN$8))</f>
        <v>5.8565333366307572E-2</v>
      </c>
      <c r="AZ26" s="192">
        <f>AY26*(1+(0.29*Driver_macroeconómicos_Agricult!AO$40+(1-0.29)*Driver_macroeconómicos_Agricult!AO$8))</f>
        <v>5.9062063829661969E-2</v>
      </c>
      <c r="BA26" s="192">
        <f>AZ26*(1+(0.29*Driver_macroeconómicos_Agricult!AP$40+(1-0.29)*Driver_macroeconómicos_Agricult!AP$8))</f>
        <v>5.9556167846258161E-2</v>
      </c>
      <c r="BB26" s="192">
        <f>BA26*(1+(0.29*Driver_macroeconómicos_Agricult!AQ$40+(1-0.29)*Driver_macroeconómicos_Agricult!AQ$8))</f>
        <v>6.0029775613409143E-2</v>
      </c>
      <c r="BC26" s="192">
        <f>BB26*(1+(0.29*Driver_macroeconómicos_Agricult!AR$40+(1-0.29)*Driver_macroeconómicos_Agricult!AR$8))</f>
        <v>6.0495303978314652E-2</v>
      </c>
      <c r="BD26" s="192">
        <f>BC26*(1+(0.29*Driver_macroeconómicos_Agricult!AS$40+(1-0.29)*Driver_macroeconómicos_Agricult!AS$8))</f>
        <v>6.0952252896289687E-2</v>
      </c>
      <c r="BE26" s="192">
        <f>BD26*(1+(0.29*Driver_macroeconómicos_Agricult!AT$40+(1-0.29)*Driver_macroeconómicos_Agricult!AT$8))</f>
        <v>6.1398812849549782E-2</v>
      </c>
      <c r="BF26" s="192">
        <f>BE26*(1+(0.29*Driver_macroeconómicos_Agricult!AU$40+(1-0.29)*Driver_macroeconómicos_Agricult!AU$8))</f>
        <v>6.1833382759149819E-2</v>
      </c>
      <c r="BG26" s="192">
        <f>BF26*(1+(0.29*Driver_macroeconómicos_Agricult!AV$40+(1-0.29)*Driver_macroeconómicos_Agricult!AV$8))</f>
        <v>6.225679394277131E-2</v>
      </c>
      <c r="BH26" s="192">
        <f>BG26*(1+(0.29*Driver_macroeconómicos_Agricult!AW$40+(1-0.29)*Driver_macroeconómicos_Agricult!AW$8))</f>
        <v>6.2669287172812463E-2</v>
      </c>
      <c r="BI26" s="192">
        <f>BH26*(1+(0.29*Driver_macroeconómicos_Agricult!AX$40+(1-0.29)*Driver_macroeconómicos_Agricult!AX$8))</f>
        <v>6.307074230993133E-2</v>
      </c>
      <c r="BJ26" s="192">
        <f>BI26*(1+(0.29*Driver_macroeconómicos_Agricult!AY$40+(1-0.29)*Driver_macroeconómicos_Agricult!AY$8))</f>
        <v>6.3460149772787439E-2</v>
      </c>
      <c r="BK26" s="192">
        <f>BJ26*(1+(0.29*Driver_macroeconómicos_Agricult!AZ$40+(1-0.29)*Driver_macroeconómicos_Agricult!AZ$8))</f>
        <v>6.3837257697146474E-2</v>
      </c>
      <c r="BL26" s="192">
        <f>BK26*(1+(0.29*Driver_macroeconómicos_Agricult!BA$40+(1-0.29)*Driver_macroeconómicos_Agricult!BA$8))</f>
        <v>6.4201515271365237E-2</v>
      </c>
      <c r="BM26" s="192">
        <f>BL26*(1+(0.29*Driver_macroeconómicos_Agricult!BB$40+(1-0.29)*Driver_macroeconómicos_Agricult!BB$8))</f>
        <v>6.4553348123214602E-2</v>
      </c>
      <c r="BN26" s="192">
        <f>BM26*(1+(0.29*Driver_macroeconómicos_Agricult!BC$40+(1-0.29)*Driver_macroeconómicos_Agricult!BC$8))</f>
        <v>6.4892448831570387E-2</v>
      </c>
      <c r="BO26" s="192">
        <f>BN26*(1+(0.29*Driver_macroeconómicos_Agricult!BD$40+(1-0.29)*Driver_macroeconómicos_Agricult!BD$8))</f>
        <v>6.5218505180328012E-2</v>
      </c>
      <c r="BP26" s="182"/>
    </row>
    <row r="27" spans="1:68" ht="14.25" customHeight="1" x14ac:dyDescent="0.3">
      <c r="A27" s="982"/>
      <c r="D27" s="944"/>
      <c r="E27" s="183"/>
      <c r="F27" s="185" t="s">
        <v>380</v>
      </c>
      <c r="G27" s="190">
        <f t="shared" ref="G27:R27" si="31">G11/1000000</f>
        <v>0.15653</v>
      </c>
      <c r="H27" s="190">
        <f t="shared" si="31"/>
        <v>0.13782900000000001</v>
      </c>
      <c r="I27" s="190">
        <f t="shared" si="31"/>
        <v>0.150448</v>
      </c>
      <c r="J27" s="190">
        <f t="shared" si="31"/>
        <v>0.16347600000000001</v>
      </c>
      <c r="K27" s="190">
        <f t="shared" si="31"/>
        <v>0.13946700000000001</v>
      </c>
      <c r="L27" s="191">
        <f t="shared" si="31"/>
        <v>0.10455778184174712</v>
      </c>
      <c r="M27" s="191">
        <f t="shared" si="31"/>
        <v>0.125587</v>
      </c>
      <c r="N27" s="191">
        <f t="shared" si="31"/>
        <v>0.13494999999999999</v>
      </c>
      <c r="O27" s="191">
        <f t="shared" si="31"/>
        <v>0.132771</v>
      </c>
      <c r="P27" s="191">
        <f t="shared" si="31"/>
        <v>0.14411599999999999</v>
      </c>
      <c r="Q27" s="191">
        <f t="shared" si="31"/>
        <v>0.15798599999999999</v>
      </c>
      <c r="R27" s="191">
        <f t="shared" si="31"/>
        <v>0.15176400000000001</v>
      </c>
      <c r="S27" s="191">
        <f t="shared" ref="S27" si="32">S11/1000000</f>
        <v>0.14103099999999999</v>
      </c>
      <c r="T27" s="192">
        <f>S27*(1+(0.29*Driver_macroeconómicos_Agricult!I$40+(1-0.29)*Driver_macroeconómicos_Agricult!I$8))</f>
        <v>0.14033239954228405</v>
      </c>
      <c r="U27" s="192">
        <f>T27*(1+(0.29*Driver_macroeconómicos_Agricult!J$40+(1-0.29)*Driver_macroeconómicos_Agricult!J$8))</f>
        <v>0.14888352264132046</v>
      </c>
      <c r="V27" s="192">
        <f>U27*(1+(0.29*Driver_macroeconómicos_Agricult!K$40+(1-0.29)*Driver_macroeconómicos_Agricult!K$8))</f>
        <v>0.14914055146771252</v>
      </c>
      <c r="W27" s="192">
        <f>V27*(1+(0.29*Driver_macroeconómicos_Agricult!L$40+(1-0.29)*Driver_macroeconómicos_Agricult!L$8))</f>
        <v>0.15809177086845777</v>
      </c>
      <c r="X27" s="383">
        <f>W27</f>
        <v>0.15809177086845777</v>
      </c>
      <c r="Y27" s="383">
        <f t="shared" ref="Y27:BO27" si="33">X27</f>
        <v>0.15809177086845777</v>
      </c>
      <c r="Z27" s="383">
        <f t="shared" si="33"/>
        <v>0.15809177086845777</v>
      </c>
      <c r="AA27" s="383">
        <f t="shared" si="33"/>
        <v>0.15809177086845777</v>
      </c>
      <c r="AB27" s="383">
        <f t="shared" si="33"/>
        <v>0.15809177086845777</v>
      </c>
      <c r="AC27" s="383">
        <f t="shared" si="33"/>
        <v>0.15809177086845777</v>
      </c>
      <c r="AD27" s="383">
        <f t="shared" si="33"/>
        <v>0.15809177086845777</v>
      </c>
      <c r="AE27" s="383">
        <f t="shared" si="33"/>
        <v>0.15809177086845777</v>
      </c>
      <c r="AF27" s="383">
        <f t="shared" si="33"/>
        <v>0.15809177086845777</v>
      </c>
      <c r="AG27" s="383">
        <f t="shared" si="33"/>
        <v>0.15809177086845777</v>
      </c>
      <c r="AH27" s="383">
        <f t="shared" si="33"/>
        <v>0.15809177086845777</v>
      </c>
      <c r="AI27" s="383">
        <f t="shared" si="33"/>
        <v>0.15809177086845777</v>
      </c>
      <c r="AJ27" s="383">
        <f t="shared" si="33"/>
        <v>0.15809177086845777</v>
      </c>
      <c r="AK27" s="383">
        <f t="shared" si="33"/>
        <v>0.15809177086845777</v>
      </c>
      <c r="AL27" s="383">
        <f t="shared" si="33"/>
        <v>0.15809177086845777</v>
      </c>
      <c r="AM27" s="383">
        <f t="shared" si="33"/>
        <v>0.15809177086845777</v>
      </c>
      <c r="AN27" s="383">
        <f t="shared" si="33"/>
        <v>0.15809177086845777</v>
      </c>
      <c r="AO27" s="383">
        <f t="shared" si="33"/>
        <v>0.15809177086845777</v>
      </c>
      <c r="AP27" s="383">
        <f t="shared" si="33"/>
        <v>0.15809177086845777</v>
      </c>
      <c r="AQ27" s="383">
        <f t="shared" si="33"/>
        <v>0.15809177086845777</v>
      </c>
      <c r="AR27" s="383">
        <f t="shared" si="33"/>
        <v>0.15809177086845777</v>
      </c>
      <c r="AS27" s="383">
        <f t="shared" si="33"/>
        <v>0.15809177086845777</v>
      </c>
      <c r="AT27" s="383">
        <f t="shared" si="33"/>
        <v>0.15809177086845777</v>
      </c>
      <c r="AU27" s="383">
        <f t="shared" si="33"/>
        <v>0.15809177086845777</v>
      </c>
      <c r="AV27" s="383">
        <f t="shared" si="33"/>
        <v>0.15809177086845777</v>
      </c>
      <c r="AW27" s="383">
        <f t="shared" si="33"/>
        <v>0.15809177086845777</v>
      </c>
      <c r="AX27" s="383">
        <f t="shared" si="33"/>
        <v>0.15809177086845777</v>
      </c>
      <c r="AY27" s="383">
        <f t="shared" si="33"/>
        <v>0.15809177086845777</v>
      </c>
      <c r="AZ27" s="383">
        <f t="shared" si="33"/>
        <v>0.15809177086845777</v>
      </c>
      <c r="BA27" s="383">
        <f t="shared" si="33"/>
        <v>0.15809177086845777</v>
      </c>
      <c r="BB27" s="383">
        <f t="shared" si="33"/>
        <v>0.15809177086845777</v>
      </c>
      <c r="BC27" s="383">
        <f t="shared" si="33"/>
        <v>0.15809177086845777</v>
      </c>
      <c r="BD27" s="383">
        <f t="shared" si="33"/>
        <v>0.15809177086845777</v>
      </c>
      <c r="BE27" s="383">
        <f t="shared" si="33"/>
        <v>0.15809177086845777</v>
      </c>
      <c r="BF27" s="383">
        <f t="shared" si="33"/>
        <v>0.15809177086845777</v>
      </c>
      <c r="BG27" s="383">
        <f t="shared" si="33"/>
        <v>0.15809177086845777</v>
      </c>
      <c r="BH27" s="383">
        <f t="shared" si="33"/>
        <v>0.15809177086845777</v>
      </c>
      <c r="BI27" s="383">
        <f t="shared" si="33"/>
        <v>0.15809177086845777</v>
      </c>
      <c r="BJ27" s="383">
        <f t="shared" si="33"/>
        <v>0.15809177086845777</v>
      </c>
      <c r="BK27" s="383">
        <f t="shared" si="33"/>
        <v>0.15809177086845777</v>
      </c>
      <c r="BL27" s="383">
        <f t="shared" si="33"/>
        <v>0.15809177086845777</v>
      </c>
      <c r="BM27" s="383">
        <f t="shared" si="33"/>
        <v>0.15809177086845777</v>
      </c>
      <c r="BN27" s="383">
        <f t="shared" si="33"/>
        <v>0.15809177086845777</v>
      </c>
      <c r="BO27" s="383">
        <f t="shared" si="33"/>
        <v>0.15809177086845777</v>
      </c>
      <c r="BP27" s="182"/>
    </row>
    <row r="28" spans="1:68" ht="14.25" customHeight="1" x14ac:dyDescent="0.3">
      <c r="A28" s="982"/>
      <c r="D28" s="944"/>
      <c r="E28" s="183"/>
      <c r="F28" s="185" t="s">
        <v>381</v>
      </c>
      <c r="G28" s="190">
        <f t="shared" ref="G28:R28" si="34">G12/1000000</f>
        <v>0.47614800000000002</v>
      </c>
      <c r="H28" s="190">
        <f t="shared" si="34"/>
        <v>0.65010500000000004</v>
      </c>
      <c r="I28" s="190">
        <f t="shared" si="34"/>
        <v>0.532003</v>
      </c>
      <c r="J28" s="190">
        <f t="shared" si="34"/>
        <v>0.53061199999999997</v>
      </c>
      <c r="K28" s="190">
        <f t="shared" si="34"/>
        <v>0.51839299999999999</v>
      </c>
      <c r="L28" s="191">
        <f t="shared" si="34"/>
        <v>0.57212300000000005</v>
      </c>
      <c r="M28" s="191">
        <f t="shared" si="34"/>
        <v>0.42573699999999998</v>
      </c>
      <c r="N28" s="191">
        <f t="shared" si="34"/>
        <v>0.48248200000000002</v>
      </c>
      <c r="O28" s="191">
        <f t="shared" si="34"/>
        <v>0.46154699999999999</v>
      </c>
      <c r="P28" s="191">
        <f t="shared" si="34"/>
        <v>0.40525899999999998</v>
      </c>
      <c r="Q28" s="191">
        <f t="shared" si="34"/>
        <v>0.44468099999999999</v>
      </c>
      <c r="R28" s="191">
        <f t="shared" si="34"/>
        <v>0.45371800000000001</v>
      </c>
      <c r="S28" s="191">
        <f t="shared" ref="S28" si="35">S12/1000000</f>
        <v>0.43321599999999999</v>
      </c>
      <c r="T28" s="192">
        <f>S28*(1+(0.29*Driver_macroeconómicos_Agricult!I$40+(1-0.29)*Driver_macroeconómicos_Agricult!I$8))</f>
        <v>0.43107005410236138</v>
      </c>
      <c r="U28" s="192">
        <f>T28*(1+(0.29*Driver_macroeconómicos_Agricult!J$40+(1-0.29)*Driver_macroeconómicos_Agricult!J$8))</f>
        <v>0.45733721057485438</v>
      </c>
      <c r="V28" s="192">
        <f>U28*(1+(0.29*Driver_macroeconómicos_Agricult!K$40+(1-0.29)*Driver_macroeconómicos_Agricult!K$8))</f>
        <v>0.45812674620924865</v>
      </c>
      <c r="W28" s="192">
        <f>V28*(1+(0.29*Driver_macroeconómicos_Agricult!L$40+(1-0.29)*Driver_macroeconómicos_Agricult!L$8))</f>
        <v>0.48562290991732171</v>
      </c>
      <c r="X28" s="192">
        <f>W28*(1+(0.29*Driver_macroeconómicos_Agricult!M$40+(1-0.29)*Driver_macroeconómicos_Agricult!M$8))</f>
        <v>0.4976973294525841</v>
      </c>
      <c r="Y28" s="192">
        <f>X28*(1+(0.29*Driver_macroeconómicos_Agricult!N$40+(1-0.29)*Driver_macroeconómicos_Agricult!N$8))</f>
        <v>0.51031628636325477</v>
      </c>
      <c r="Z28" s="192">
        <f>Y28*(1+(0.29*Driver_macroeconómicos_Agricult!O$40+(1-0.29)*Driver_macroeconómicos_Agricult!O$8))</f>
        <v>0.5215529142442682</v>
      </c>
      <c r="AA28" s="192">
        <f>Z28*(1+(0.29*Driver_macroeconómicos_Agricult!P$40+(1-0.29)*Driver_macroeconómicos_Agricult!P$8))</f>
        <v>0.5346916038627868</v>
      </c>
      <c r="AB28" s="192">
        <f>AA28*(1+(0.29*Driver_macroeconómicos_Agricult!Q$40+(1-0.29)*Driver_macroeconómicos_Agricult!Q$8))</f>
        <v>0.52805611488377602</v>
      </c>
      <c r="AC28" s="192">
        <f>AB28*(1+(0.29*Driver_macroeconómicos_Agricult!R$40+(1-0.29)*Driver_macroeconómicos_Agricult!R$8))</f>
        <v>0.53787980371899646</v>
      </c>
      <c r="AD28" s="192">
        <f>AC28*(1+(0.29*Driver_macroeconómicos_Agricult!S$40+(1-0.29)*Driver_macroeconómicos_Agricult!S$8))</f>
        <v>0.54975764063396348</v>
      </c>
      <c r="AE28" s="192">
        <f>AD28*(1+(0.29*Driver_macroeconómicos_Agricult!T$40+(1-0.29)*Driver_macroeconómicos_Agricult!T$8))</f>
        <v>0.55842922515279314</v>
      </c>
      <c r="AF28" s="192">
        <f>AE28*(1+(0.29*Driver_macroeconómicos_Agricult!U$40+(1-0.29)*Driver_macroeconómicos_Agricult!U$8))</f>
        <v>0.56672379534499429</v>
      </c>
      <c r="AG28" s="192">
        <f>AF28*(1+(0.29*Driver_macroeconómicos_Agricult!V$40+(1-0.29)*Driver_macroeconómicos_Agricult!V$8))</f>
        <v>0.57473872677726956</v>
      </c>
      <c r="AH28" s="192">
        <f>AG28*(1+(0.29*Driver_macroeconómicos_Agricult!W$40+(1-0.29)*Driver_macroeconómicos_Agricult!W$8))</f>
        <v>0.58166162292713808</v>
      </c>
      <c r="AI28" s="192">
        <f>AH28*(1+(0.29*Driver_macroeconómicos_Agricult!X$40+(1-0.29)*Driver_macroeconómicos_Agricult!X$8))</f>
        <v>0.58770160331576882</v>
      </c>
      <c r="AJ28" s="192">
        <f>AI28*(1+(0.29*Driver_macroeconómicos_Agricult!Y$40+(1-0.29)*Driver_macroeconómicos_Agricult!Y$8))</f>
        <v>0.59637247329181986</v>
      </c>
      <c r="AK28" s="192">
        <f>AJ28*(1+(0.29*Driver_macroeconómicos_Agricult!Z$40+(1-0.29)*Driver_macroeconómicos_Agricult!Z$8))</f>
        <v>0.60440726298162284</v>
      </c>
      <c r="AL28" s="192">
        <f>AK28*(1+(0.29*Driver_macroeconómicos_Agricult!AA$40+(1-0.29)*Driver_macroeconómicos_Agricult!AA$8))</f>
        <v>0.6120009195744015</v>
      </c>
      <c r="AM28" s="192">
        <f>AL28*(1+(0.29*Driver_macroeconómicos_Agricult!AB$40+(1-0.29)*Driver_macroeconómicos_Agricult!AB$8))</f>
        <v>0.61933968869608347</v>
      </c>
      <c r="AN28" s="192">
        <f>AM28*(1+(0.29*Driver_macroeconómicos_Agricult!AC$40+(1-0.29)*Driver_macroeconómicos_Agricult!AC$8))</f>
        <v>0.62569312025068458</v>
      </c>
      <c r="AO28" s="192">
        <f>AN28*(1+(0.29*Driver_macroeconómicos_Agricult!AD$40+(1-0.29)*Driver_macroeconómicos_Agricult!AD$8))</f>
        <v>0.63278035168970237</v>
      </c>
      <c r="AP28" s="192">
        <f>AO28*(1+(0.29*Driver_macroeconómicos_Agricult!AE$40+(1-0.29)*Driver_macroeconómicos_Agricult!AE$8))</f>
        <v>0.63929798144127514</v>
      </c>
      <c r="AQ28" s="192">
        <f>AP28*(1+(0.29*Driver_macroeconómicos_Agricult!AF$40+(1-0.29)*Driver_macroeconómicos_Agricult!AF$8))</f>
        <v>0.64680026070448138</v>
      </c>
      <c r="AR28" s="192">
        <f>AQ28*(1+(0.29*Driver_macroeconómicos_Agricult!AG$40+(1-0.29)*Driver_macroeconómicos_Agricult!AG$8))</f>
        <v>0.65335062408373445</v>
      </c>
      <c r="AS28" s="192">
        <f>AR28*(1+(0.29*Driver_macroeconómicos_Agricult!AH$40+(1-0.29)*Driver_macroeconómicos_Agricult!AH$8))</f>
        <v>0.65967940885662557</v>
      </c>
      <c r="AT28" s="192">
        <f>AS28*(1+(0.29*Driver_macroeconómicos_Agricult!AI$40+(1-0.29)*Driver_macroeconómicos_Agricult!AI$8))</f>
        <v>0.66600249055660343</v>
      </c>
      <c r="AU28" s="192">
        <f>AT28*(1+(0.29*Driver_macroeconómicos_Agricult!AJ$40+(1-0.29)*Driver_macroeconómicos_Agricult!AJ$8))</f>
        <v>0.67223890383560658</v>
      </c>
      <c r="AV28" s="192">
        <f>AU28*(1+(0.29*Driver_macroeconómicos_Agricult!AK$40+(1-0.29)*Driver_macroeconómicos_Agricult!AK$8))</f>
        <v>0.67884358150066115</v>
      </c>
      <c r="AW28" s="192">
        <f>AV28*(1+(0.29*Driver_macroeconómicos_Agricult!AL$40+(1-0.29)*Driver_macroeconómicos_Agricult!AL$8))</f>
        <v>0.68499788094465563</v>
      </c>
      <c r="AX28" s="192">
        <f>AW28*(1+(0.29*Driver_macroeconómicos_Agricult!AM$40+(1-0.29)*Driver_macroeconómicos_Agricult!AM$8))</f>
        <v>0.69104639400692502</v>
      </c>
      <c r="AY28" s="192">
        <f>AX28*(1+(0.29*Driver_macroeconómicos_Agricult!AN$40+(1-0.29)*Driver_macroeconómicos_Agricult!AN$8))</f>
        <v>0.69706258566744228</v>
      </c>
      <c r="AZ28" s="192">
        <f>AY28*(1+(0.29*Driver_macroeconómicos_Agricult!AO$40+(1-0.29)*Driver_macroeconómicos_Agricult!AO$8))</f>
        <v>0.70297482420965129</v>
      </c>
      <c r="BA28" s="192">
        <f>AZ28*(1+(0.29*Driver_macroeconómicos_Agricult!AP$40+(1-0.29)*Driver_macroeconómicos_Agricult!AP$8))</f>
        <v>0.70885580197584896</v>
      </c>
      <c r="BB28" s="192">
        <f>BA28*(1+(0.29*Driver_macroeconómicos_Agricult!AQ$40+(1-0.29)*Driver_macroeconómicos_Agricult!AQ$8))</f>
        <v>0.71449282708586692</v>
      </c>
      <c r="BC28" s="192">
        <f>BB28*(1+(0.29*Driver_macroeconómicos_Agricult!AR$40+(1-0.29)*Driver_macroeconómicos_Agricult!AR$8))</f>
        <v>0.72003368866882611</v>
      </c>
      <c r="BD28" s="192">
        <f>BC28*(1+(0.29*Driver_macroeconómicos_Agricult!AS$40+(1-0.29)*Driver_macroeconómicos_Agricult!AS$8))</f>
        <v>0.72547243503930037</v>
      </c>
      <c r="BE28" s="192">
        <f>BD28*(1+(0.29*Driver_macroeconómicos_Agricult!AT$40+(1-0.29)*Driver_macroeconómicos_Agricult!AT$8))</f>
        <v>0.73078752876083786</v>
      </c>
      <c r="BF28" s="192">
        <f>BE28*(1+(0.29*Driver_macroeconómicos_Agricult!AU$40+(1-0.29)*Driver_macroeconómicos_Agricult!AU$8))</f>
        <v>0.73595991330007349</v>
      </c>
      <c r="BG28" s="192">
        <f>BF28*(1+(0.29*Driver_macroeconómicos_Agricult!AV$40+(1-0.29)*Driver_macroeconómicos_Agricult!AV$8))</f>
        <v>0.74099948325538612</v>
      </c>
      <c r="BH28" s="192">
        <f>BG28*(1+(0.29*Driver_macroeconómicos_Agricult!AW$40+(1-0.29)*Driver_macroeconómicos_Agricult!AW$8))</f>
        <v>0.74590910437381075</v>
      </c>
      <c r="BI28" s="192">
        <f>BH28*(1+(0.29*Driver_macroeconómicos_Agricult!AX$40+(1-0.29)*Driver_macroeconómicos_Agricult!AX$8))</f>
        <v>0.75068734671999948</v>
      </c>
      <c r="BJ28" s="192">
        <f>BI28*(1+(0.29*Driver_macroeconómicos_Agricult!AY$40+(1-0.29)*Driver_macroeconómicos_Agricult!AY$8))</f>
        <v>0.75532219394675215</v>
      </c>
      <c r="BK28" s="192">
        <f>BJ28*(1+(0.29*Driver_macroeconómicos_Agricult!AZ$40+(1-0.29)*Driver_macroeconómicos_Agricult!AZ$8))</f>
        <v>0.75981064828859357</v>
      </c>
      <c r="BL28" s="192">
        <f>BK28*(1+(0.29*Driver_macroeconómicos_Agricult!BA$40+(1-0.29)*Driver_macroeconómicos_Agricult!BA$8))</f>
        <v>0.76414615381616835</v>
      </c>
      <c r="BM28" s="192">
        <f>BL28*(1+(0.29*Driver_macroeconómicos_Agricult!BB$40+(1-0.29)*Driver_macroeconómicos_Agricult!BB$8))</f>
        <v>0.76833377648193402</v>
      </c>
      <c r="BN28" s="192">
        <f>BM28*(1+(0.29*Driver_macroeconómicos_Agricult!BC$40+(1-0.29)*Driver_macroeconómicos_Agricult!BC$8))</f>
        <v>0.77236985726524821</v>
      </c>
      <c r="BO28" s="192">
        <f>BN28*(1+(0.29*Driver_macroeconómicos_Agricult!BD$40+(1-0.29)*Driver_macroeconómicos_Agricult!BD$8))</f>
        <v>0.77625068007413922</v>
      </c>
      <c r="BP28" s="182"/>
    </row>
    <row r="29" spans="1:68" ht="14.25" customHeight="1" x14ac:dyDescent="0.3">
      <c r="A29" s="982"/>
      <c r="D29" s="944"/>
      <c r="E29" s="183"/>
      <c r="F29" s="185" t="s">
        <v>382</v>
      </c>
      <c r="G29" s="190">
        <f t="shared" ref="G29:R29" si="36">G13/1000000</f>
        <v>0.248199</v>
      </c>
      <c r="H29" s="190">
        <f t="shared" si="36"/>
        <v>0.24457400000000001</v>
      </c>
      <c r="I29" s="190">
        <f t="shared" si="36"/>
        <v>0.24033299999999999</v>
      </c>
      <c r="J29" s="190">
        <f t="shared" si="36"/>
        <v>0.28819899999999998</v>
      </c>
      <c r="K29" s="190">
        <f t="shared" si="36"/>
        <v>0.387799</v>
      </c>
      <c r="L29" s="191">
        <f t="shared" si="36"/>
        <v>0.36940600000000001</v>
      </c>
      <c r="M29" s="191">
        <f t="shared" si="36"/>
        <v>0.319602</v>
      </c>
      <c r="N29" s="191">
        <f t="shared" si="36"/>
        <v>0.31388199999999999</v>
      </c>
      <c r="O29" s="191">
        <f t="shared" si="36"/>
        <v>0.26776</v>
      </c>
      <c r="P29" s="191">
        <f t="shared" si="36"/>
        <v>0.24657399999999999</v>
      </c>
      <c r="Q29" s="191">
        <f t="shared" si="36"/>
        <v>0.25685400000000003</v>
      </c>
      <c r="R29" s="191">
        <f t="shared" si="36"/>
        <v>0.225575</v>
      </c>
      <c r="S29" s="191">
        <f t="shared" ref="S29" si="37">S13/1000000</f>
        <v>0.19608229763042201</v>
      </c>
      <c r="T29" s="192">
        <f>S29*(1+(0.29*Driver_macroeconómicos_Agricult!I$40+(1-0.29)*Driver_macroeconómicos_Agricult!I$8))</f>
        <v>0.19511099924301351</v>
      </c>
      <c r="U29" s="192">
        <f>T29*(1+(0.29*Driver_macroeconómicos_Agricult!J$40+(1-0.29)*Driver_macroeconómicos_Agricult!J$8))</f>
        <v>0.20700004395360647</v>
      </c>
      <c r="V29" s="192">
        <f>U29*(1+(0.29*Driver_macroeconómicos_Agricult!K$40+(1-0.29)*Driver_macroeconómicos_Agricult!K$8))</f>
        <v>0.20735740370313815</v>
      </c>
      <c r="W29" s="192">
        <f>V29*(1+(0.29*Driver_macroeconómicos_Agricult!L$40+(1-0.29)*Driver_macroeconómicos_Agricult!L$8))</f>
        <v>0.21980272187213742</v>
      </c>
      <c r="X29" s="192">
        <f>W29*(1+(0.29*Driver_macroeconómicos_Agricult!M$40+(1-0.29)*Driver_macroeconómicos_Agricult!M$8))</f>
        <v>0.22526784764087152</v>
      </c>
      <c r="Y29" s="192">
        <f>X29*(1+(0.29*Driver_macroeconómicos_Agricult!N$40+(1-0.29)*Driver_macroeconómicos_Agricult!N$8))</f>
        <v>0.23097944200660037</v>
      </c>
      <c r="Z29" s="192">
        <f>Y29*(1+(0.29*Driver_macroeconómicos_Agricult!O$40+(1-0.29)*Driver_macroeconómicos_Agricult!O$8))</f>
        <v>0.23606536637810827</v>
      </c>
      <c r="AA29" s="192">
        <f>Z29*(1+(0.29*Driver_macroeconómicos_Agricult!P$40+(1-0.29)*Driver_macroeconómicos_Agricult!P$8))</f>
        <v>0.2420122022480948</v>
      </c>
      <c r="AB29" s="192">
        <f>AA29*(1+(0.29*Driver_macroeconómicos_Agricult!Q$40+(1-0.29)*Driver_macroeconómicos_Agricult!Q$8))</f>
        <v>0.23900884612803971</v>
      </c>
      <c r="AC29" s="192">
        <f>AB29*(1+(0.29*Driver_macroeconómicos_Agricult!R$40+(1-0.29)*Driver_macroeconómicos_Agricult!R$8))</f>
        <v>0.24345524579475644</v>
      </c>
      <c r="AD29" s="192">
        <f>AC29*(1+(0.29*Driver_macroeconómicos_Agricult!S$40+(1-0.29)*Driver_macroeconómicos_Agricult!S$8))</f>
        <v>0.248831394305352</v>
      </c>
      <c r="AE29" s="192">
        <f>AD29*(1+(0.29*Driver_macroeconómicos_Agricult!T$40+(1-0.29)*Driver_macroeconómicos_Agricult!T$8))</f>
        <v>0.25275632832567563</v>
      </c>
      <c r="AF29" s="192">
        <f>AE29*(1+(0.29*Driver_macroeconómicos_Agricult!U$40+(1-0.29)*Driver_macroeconómicos_Agricult!U$8))</f>
        <v>0.25651061805907333</v>
      </c>
      <c r="AG29" s="192">
        <f>AF29*(1+(0.29*Driver_macroeconómicos_Agricult!V$40+(1-0.29)*Driver_macroeconómicos_Agricult!V$8))</f>
        <v>0.26013833765066463</v>
      </c>
      <c r="AH29" s="192">
        <f>AG29*(1+(0.29*Driver_macroeconómicos_Agricult!W$40+(1-0.29)*Driver_macroeconómicos_Agricult!W$8))</f>
        <v>0.26327178005196794</v>
      </c>
      <c r="AI29" s="192">
        <f>AH29*(1+(0.29*Driver_macroeconómicos_Agricult!X$40+(1-0.29)*Driver_macroeconómicos_Agricult!X$8))</f>
        <v>0.26600559697527043</v>
      </c>
      <c r="AJ29" s="192">
        <f>AI29*(1+(0.29*Driver_macroeconómicos_Agricult!Y$40+(1-0.29)*Driver_macroeconómicos_Agricult!Y$8))</f>
        <v>0.26993020757912328</v>
      </c>
      <c r="AK29" s="192">
        <f>AJ29*(1+(0.29*Driver_macroeconómicos_Agricult!Z$40+(1-0.29)*Driver_macroeconómicos_Agricult!Z$8))</f>
        <v>0.2735669154185239</v>
      </c>
      <c r="AL29" s="192">
        <f>AK29*(1+(0.29*Driver_macroeconómicos_Agricult!AA$40+(1-0.29)*Driver_macroeconómicos_Agricult!AA$8))</f>
        <v>0.27700395752252843</v>
      </c>
      <c r="AM29" s="192">
        <f>AL29*(1+(0.29*Driver_macroeconómicos_Agricult!AB$40+(1-0.29)*Driver_macroeconómicos_Agricult!AB$8))</f>
        <v>0.28032563241717356</v>
      </c>
      <c r="AN29" s="192">
        <f>AM29*(1+(0.29*Driver_macroeconómicos_Agricult!AC$40+(1-0.29)*Driver_macroeconómicos_Agricult!AC$8))</f>
        <v>0.28320132365910322</v>
      </c>
      <c r="AO29" s="192">
        <f>AN29*(1+(0.29*Driver_macroeconómicos_Agricult!AD$40+(1-0.29)*Driver_macroeconómicos_Agricult!AD$8))</f>
        <v>0.28640914752618374</v>
      </c>
      <c r="AP29" s="192">
        <f>AO29*(1+(0.29*Driver_macroeconómicos_Agricult!AE$40+(1-0.29)*Driver_macroeconómicos_Agricult!AE$8))</f>
        <v>0.28935915818320657</v>
      </c>
      <c r="AQ29" s="192">
        <f>AP29*(1+(0.29*Driver_macroeconómicos_Agricult!AF$40+(1-0.29)*Driver_macroeconómicos_Agricult!AF$8))</f>
        <v>0.2927548410651743</v>
      </c>
      <c r="AR29" s="192">
        <f>AQ29*(1+(0.29*Driver_macroeconómicos_Agricult!AG$40+(1-0.29)*Driver_macroeconómicos_Agricult!AG$8))</f>
        <v>0.29571966762217616</v>
      </c>
      <c r="AS29" s="192">
        <f>AR29*(1+(0.29*Driver_macroeconómicos_Agricult!AH$40+(1-0.29)*Driver_macroeconómicos_Agricult!AH$8))</f>
        <v>0.29858420323368845</v>
      </c>
      <c r="AT29" s="192">
        <f>AS29*(1+(0.29*Driver_macroeconómicos_Agricult!AI$40+(1-0.29)*Driver_macroeconómicos_Agricult!AI$8))</f>
        <v>0.30144615751939474</v>
      </c>
      <c r="AU29" s="192">
        <f>AT29*(1+(0.29*Driver_macroeconómicos_Agricult!AJ$40+(1-0.29)*Driver_macroeconómicos_Agricult!AJ$8))</f>
        <v>0.30426888393005319</v>
      </c>
      <c r="AV29" s="192">
        <f>AU29*(1+(0.29*Driver_macroeconómicos_Agricult!AK$40+(1-0.29)*Driver_macroeconómicos_Agricult!AK$8))</f>
        <v>0.3072582942280852</v>
      </c>
      <c r="AW29" s="192">
        <f>AV29*(1+(0.29*Driver_macroeconómicos_Agricult!AL$40+(1-0.29)*Driver_macroeconómicos_Agricult!AL$8))</f>
        <v>0.31004385426114972</v>
      </c>
      <c r="AX29" s="192">
        <f>AW29*(1+(0.29*Driver_macroeconómicos_Agricult!AM$40+(1-0.29)*Driver_macroeconómicos_Agricult!AM$8))</f>
        <v>0.31278153324460695</v>
      </c>
      <c r="AY29" s="192">
        <f>AX29*(1+(0.29*Driver_macroeconómicos_Agricult!AN$40+(1-0.29)*Driver_macroeconómicos_Agricult!AN$8))</f>
        <v>0.31550458290985295</v>
      </c>
      <c r="AZ29" s="192">
        <f>AY29*(1+(0.29*Driver_macroeconómicos_Agricult!AO$40+(1-0.29)*Driver_macroeconómicos_Agricult!AO$8))</f>
        <v>0.31818058129748283</v>
      </c>
      <c r="BA29" s="192">
        <f>AZ29*(1+(0.29*Driver_macroeconómicos_Agricult!AP$40+(1-0.29)*Driver_macroeconómicos_Agricult!AP$8))</f>
        <v>0.32084243042749988</v>
      </c>
      <c r="BB29" s="192">
        <f>BA29*(1+(0.29*Driver_macroeconómicos_Agricult!AQ$40+(1-0.29)*Driver_macroeconómicos_Agricult!AQ$8))</f>
        <v>0.32339386166589529</v>
      </c>
      <c r="BC29" s="192">
        <f>BB29*(1+(0.29*Driver_macroeconómicos_Agricult!AR$40+(1-0.29)*Driver_macroeconómicos_Agricult!AR$8))</f>
        <v>0.32590176735275533</v>
      </c>
      <c r="BD29" s="192">
        <f>BC29*(1+(0.29*Driver_macroeconómicos_Agricult!AS$40+(1-0.29)*Driver_macroeconómicos_Agricult!AS$8))</f>
        <v>0.32836345363523728</v>
      </c>
      <c r="BE29" s="192">
        <f>BD29*(1+(0.29*Driver_macroeconómicos_Agricult!AT$40+(1-0.29)*Driver_macroeconómicos_Agricult!AT$8))</f>
        <v>0.33076917223528923</v>
      </c>
      <c r="BF29" s="192">
        <f>BE29*(1+(0.29*Driver_macroeconómicos_Agricult!AU$40+(1-0.29)*Driver_macroeconómicos_Agricult!AU$8))</f>
        <v>0.33311029778162499</v>
      </c>
      <c r="BG29" s="192">
        <f>BF29*(1+(0.29*Driver_macroeconómicos_Agricult!AV$40+(1-0.29)*Driver_macroeconómicos_Agricult!AV$8))</f>
        <v>0.33539130876900064</v>
      </c>
      <c r="BH29" s="192">
        <f>BG29*(1+(0.29*Driver_macroeconómicos_Agricult!AW$40+(1-0.29)*Driver_macroeconómicos_Agricult!AW$8))</f>
        <v>0.33761350229231363</v>
      </c>
      <c r="BI29" s="192">
        <f>BH29*(1+(0.29*Driver_macroeconómicos_Agricult!AX$40+(1-0.29)*Driver_macroeconómicos_Agricult!AX$8))</f>
        <v>0.33977623113398997</v>
      </c>
      <c r="BJ29" s="192">
        <f>BI29*(1+(0.29*Driver_macroeconómicos_Agricult!AY$40+(1-0.29)*Driver_macroeconómicos_Agricult!AY$8))</f>
        <v>0.34187405645297092</v>
      </c>
      <c r="BK29" s="192">
        <f>BJ29*(1+(0.29*Driver_macroeconómicos_Agricult!AZ$40+(1-0.29)*Driver_macroeconómicos_Agricult!AZ$8))</f>
        <v>0.34390562140015085</v>
      </c>
      <c r="BL29" s="192">
        <f>BK29*(1+(0.29*Driver_macroeconómicos_Agricult!BA$40+(1-0.29)*Driver_macroeconómicos_Agricult!BA$8))</f>
        <v>0.34586795862969971</v>
      </c>
      <c r="BM29" s="192">
        <f>BL29*(1+(0.29*Driver_macroeconómicos_Agricult!BB$40+(1-0.29)*Driver_macroeconómicos_Agricult!BB$8))</f>
        <v>0.34776336109385747</v>
      </c>
      <c r="BN29" s="192">
        <f>BM29*(1+(0.29*Driver_macroeconómicos_Agricult!BC$40+(1-0.29)*Driver_macroeconómicos_Agricult!BC$8))</f>
        <v>0.34959017264609521</v>
      </c>
      <c r="BO29" s="192">
        <f>BN29*(1+(0.29*Driver_macroeconómicos_Agricult!BD$40+(1-0.29)*Driver_macroeconómicos_Agricult!BD$8))</f>
        <v>0.35134671130824963</v>
      </c>
      <c r="BP29" s="182"/>
    </row>
    <row r="30" spans="1:68" ht="14.25" customHeight="1" x14ac:dyDescent="0.3">
      <c r="A30" s="982"/>
      <c r="D30" s="944" t="s">
        <v>367</v>
      </c>
      <c r="E30" s="183"/>
      <c r="F30" s="185" t="s">
        <v>383</v>
      </c>
      <c r="G30" s="193">
        <f t="shared" ref="G30:R30" si="38">G14/1000000</f>
        <v>0</v>
      </c>
      <c r="H30" s="193">
        <f t="shared" si="38"/>
        <v>0</v>
      </c>
      <c r="I30" s="193">
        <f t="shared" si="38"/>
        <v>0</v>
      </c>
      <c r="J30" s="193">
        <f t="shared" si="38"/>
        <v>0</v>
      </c>
      <c r="K30" s="190">
        <f t="shared" si="38"/>
        <v>2.8290797925940001E-2</v>
      </c>
      <c r="L30" s="191">
        <f t="shared" si="38"/>
        <v>2.3277033257341456E-2</v>
      </c>
      <c r="M30" s="191">
        <f t="shared" si="38"/>
        <v>2.7322836046693558E-2</v>
      </c>
      <c r="N30" s="191">
        <f t="shared" si="38"/>
        <v>2.854258061590375E-2</v>
      </c>
      <c r="O30" s="191">
        <f t="shared" si="38"/>
        <v>2.3358380584547072E-2</v>
      </c>
      <c r="P30" s="191">
        <f t="shared" si="38"/>
        <v>2.7960008202566927E-2</v>
      </c>
      <c r="Q30" s="191">
        <f t="shared" si="38"/>
        <v>2.0921872758601575E-2</v>
      </c>
      <c r="R30" s="191">
        <f t="shared" si="38"/>
        <v>1.8807754924945446E-2</v>
      </c>
      <c r="S30" s="191">
        <f t="shared" ref="S30" si="39">S14/1000000</f>
        <v>2.2163448591049351E-2</v>
      </c>
      <c r="T30" s="192">
        <f>S30*(1+(0.29*Driver_macroeconómicos_Agricult!I$40+(1-0.29)*Driver_macroeconómicos_Agricult!I$8))</f>
        <v>2.205366141425651E-2</v>
      </c>
      <c r="U30" s="192">
        <f>T30*(1+(0.29*Driver_macroeconómicos_Agricult!J$40+(1-0.29)*Driver_macroeconómicos_Agricult!J$8))</f>
        <v>2.3397496295957894E-2</v>
      </c>
      <c r="V30" s="192">
        <f>U30*(1+(0.29*Driver_macroeconómicos_Agricult!K$40+(1-0.29)*Driver_macroeconómicos_Agricult!K$8))</f>
        <v>2.3437889154124949E-2</v>
      </c>
      <c r="W30" s="192">
        <f>V30*(1+(0.29*Driver_macroeconómicos_Agricult!L$40+(1-0.29)*Driver_macroeconómicos_Agricult!L$8))</f>
        <v>2.4844600380845464E-2</v>
      </c>
      <c r="X30" s="192">
        <f>W30*(1+(0.29*Driver_macroeconómicos_Agricult!M$40+(1-0.29)*Driver_macroeconómicos_Agricult!M$8))</f>
        <v>2.5462330973982723E-2</v>
      </c>
      <c r="Y30" s="192">
        <f>X30*(1+(0.29*Driver_macroeconómicos_Agricult!N$40+(1-0.29)*Driver_macroeconómicos_Agricult!N$8))</f>
        <v>2.6107920247606772E-2</v>
      </c>
      <c r="Z30" s="192">
        <f>Y30*(1+(0.29*Driver_macroeconómicos_Agricult!O$40+(1-0.29)*Driver_macroeconómicos_Agricult!O$8))</f>
        <v>2.6682789191453705E-2</v>
      </c>
      <c r="AA30" s="192">
        <f>Z30*(1+(0.29*Driver_macroeconómicos_Agricult!P$40+(1-0.29)*Driver_macroeconómicos_Agricult!P$8))</f>
        <v>2.7354968132014049E-2</v>
      </c>
      <c r="AB30" s="192">
        <f>AA30*(1+(0.29*Driver_macroeconómicos_Agricult!Q$40+(1-0.29)*Driver_macroeconómicos_Agricult!Q$8))</f>
        <v>2.7015494707988204E-2</v>
      </c>
      <c r="AC30" s="192">
        <f>AB30*(1+(0.29*Driver_macroeconómicos_Agricult!R$40+(1-0.29)*Driver_macroeconómicos_Agricult!R$8))</f>
        <v>2.7518077305292724E-2</v>
      </c>
      <c r="AD30" s="192">
        <f>AC30*(1+(0.29*Driver_macroeconómicos_Agricult!S$40+(1-0.29)*Driver_macroeconómicos_Agricult!S$8))</f>
        <v>2.812575067801612E-2</v>
      </c>
      <c r="AE30" s="192">
        <f>AD30*(1+(0.29*Driver_macroeconómicos_Agricult!T$40+(1-0.29)*Driver_macroeconómicos_Agricult!T$8))</f>
        <v>2.8569391304599675E-2</v>
      </c>
      <c r="AF30" s="192">
        <f>AE30*(1+(0.29*Driver_macroeconómicos_Agricult!U$40+(1-0.29)*Driver_macroeconómicos_Agricult!U$8))</f>
        <v>2.8993743775514186E-2</v>
      </c>
      <c r="AG30" s="192">
        <f>AF30*(1+(0.29*Driver_macroeconómicos_Agricult!V$40+(1-0.29)*Driver_macroeconómicos_Agricult!V$8))</f>
        <v>2.9403789851282437E-2</v>
      </c>
      <c r="AH30" s="192">
        <f>AG30*(1+(0.29*Driver_macroeconómicos_Agricult!W$40+(1-0.29)*Driver_macroeconómicos_Agricult!W$8))</f>
        <v>2.9757967104474342E-2</v>
      </c>
      <c r="AI30" s="192">
        <f>AH30*(1+(0.29*Driver_macroeconómicos_Agricult!X$40+(1-0.29)*Driver_macroeconómicos_Agricult!X$8))</f>
        <v>3.0066974146768174E-2</v>
      </c>
      <c r="AJ30" s="192">
        <f>AI30*(1+(0.29*Driver_macroeconómicos_Agricult!Y$40+(1-0.29)*Driver_macroeconómicos_Agricult!Y$8))</f>
        <v>3.0510578217148494E-2</v>
      </c>
      <c r="AK30" s="192">
        <f>AJ30*(1+(0.29*Driver_macroeconómicos_Agricult!Z$40+(1-0.29)*Driver_macroeconómicos_Agricult!Z$8))</f>
        <v>3.0921640246782303E-2</v>
      </c>
      <c r="AL30" s="192">
        <f>AK30*(1+(0.29*Driver_macroeconómicos_Agricult!AA$40+(1-0.29)*Driver_macroeconómicos_Agricult!AA$8))</f>
        <v>3.1310133786984259E-2</v>
      </c>
      <c r="AM30" s="192">
        <f>AL30*(1+(0.29*Driver_macroeconómicos_Agricult!AB$40+(1-0.29)*Driver_macroeconómicos_Agricult!AB$8))</f>
        <v>3.1685587214720028E-2</v>
      </c>
      <c r="AN30" s="192">
        <f>AM30*(1+(0.29*Driver_macroeconómicos_Agricult!AC$40+(1-0.29)*Driver_macroeconómicos_Agricult!AC$8))</f>
        <v>3.2010630504065649E-2</v>
      </c>
      <c r="AO30" s="192">
        <f>AN30*(1+(0.29*Driver_macroeconómicos_Agricult!AD$40+(1-0.29)*Driver_macroeconómicos_Agricult!AD$8))</f>
        <v>3.237321519542409E-2</v>
      </c>
      <c r="AP30" s="192">
        <f>AO30*(1+(0.29*Driver_macroeconómicos_Agricult!AE$40+(1-0.29)*Driver_macroeconómicos_Agricult!AE$8))</f>
        <v>3.2706658909263095E-2</v>
      </c>
      <c r="AQ30" s="192">
        <f>AP30*(1+(0.29*Driver_macroeconómicos_Agricult!AF$40+(1-0.29)*Driver_macroeconómicos_Agricult!AF$8))</f>
        <v>3.309047756038809E-2</v>
      </c>
      <c r="AR30" s="192">
        <f>AQ30*(1+(0.29*Driver_macroeconómicos_Agricult!AG$40+(1-0.29)*Driver_macroeconómicos_Agricult!AG$8))</f>
        <v>3.3425595935537594E-2</v>
      </c>
      <c r="AS30" s="192">
        <f>AR30*(1+(0.29*Driver_macroeconómicos_Agricult!AH$40+(1-0.29)*Driver_macroeconómicos_Agricult!AH$8))</f>
        <v>3.3749378288815836E-2</v>
      </c>
      <c r="AT30" s="192">
        <f>AS30*(1+(0.29*Driver_macroeconómicos_Agricult!AI$40+(1-0.29)*Driver_macroeconómicos_Agricult!AI$8))</f>
        <v>3.4072868871330021E-2</v>
      </c>
      <c r="AU30" s="192">
        <f>AT30*(1+(0.29*Driver_macroeconómicos_Agricult!AJ$40+(1-0.29)*Driver_macroeconómicos_Agricult!AJ$8))</f>
        <v>3.4391925473814054E-2</v>
      </c>
      <c r="AV30" s="192">
        <f>AU30*(1+(0.29*Driver_macroeconómicos_Agricult!AK$40+(1-0.29)*Driver_macroeconómicos_Agricult!AK$8))</f>
        <v>3.4729822582623263E-2</v>
      </c>
      <c r="AW30" s="192">
        <f>AV30*(1+(0.29*Driver_macroeconómicos_Agricult!AL$40+(1-0.29)*Driver_macroeconómicos_Agricult!AL$8))</f>
        <v>3.5044678218936087E-2</v>
      </c>
      <c r="AX30" s="192">
        <f>AW30*(1+(0.29*Driver_macroeconómicos_Agricult!AM$40+(1-0.29)*Driver_macroeconómicos_Agricult!AM$8))</f>
        <v>3.535412179513802E-2</v>
      </c>
      <c r="AY30" s="192">
        <f>AX30*(1+(0.29*Driver_macroeconómicos_Agricult!AN$40+(1-0.29)*Driver_macroeconómicos_Agricult!AN$8))</f>
        <v>3.5661911799620249E-2</v>
      </c>
      <c r="AZ30" s="192">
        <f>AY30*(1+(0.29*Driver_macroeconómicos_Agricult!AO$40+(1-0.29)*Driver_macroeconómicos_Agricult!AO$8))</f>
        <v>3.5964383534247475E-2</v>
      </c>
      <c r="BA30" s="192">
        <f>AZ30*(1+(0.29*Driver_macroeconómicos_Agricult!AP$40+(1-0.29)*Driver_macroeconómicos_Agricult!AP$8))</f>
        <v>3.6265255959056872E-2</v>
      </c>
      <c r="BB30" s="192">
        <f>BA30*(1+(0.29*Driver_macroeconómicos_Agricult!AQ$40+(1-0.29)*Driver_macroeconómicos_Agricult!AQ$8))</f>
        <v>3.6553647699510451E-2</v>
      </c>
      <c r="BC30" s="192">
        <f>BB30*(1+(0.29*Driver_macroeconómicos_Agricult!AR$40+(1-0.29)*Driver_macroeconómicos_Agricult!AR$8))</f>
        <v>3.6837119687719647E-2</v>
      </c>
      <c r="BD30" s="192">
        <f>BC30*(1+(0.29*Driver_macroeconómicos_Agricult!AS$40+(1-0.29)*Driver_macroeconómicos_Agricult!AS$8))</f>
        <v>3.7115367433836505E-2</v>
      </c>
      <c r="BE30" s="192">
        <f>BD30*(1+(0.29*Driver_macroeconómicos_Agricult!AT$40+(1-0.29)*Driver_macroeconómicos_Agricult!AT$8))</f>
        <v>3.7387289076744212E-2</v>
      </c>
      <c r="BF30" s="192">
        <f>BE30*(1+(0.29*Driver_macroeconómicos_Agricult!AU$40+(1-0.29)*Driver_macroeconómicos_Agricult!AU$8))</f>
        <v>3.7651909679003795E-2</v>
      </c>
      <c r="BG30" s="192">
        <f>BF30*(1+(0.29*Driver_macroeconómicos_Agricult!AV$40+(1-0.29)*Driver_macroeconómicos_Agricult!AV$8))</f>
        <v>3.7909735450964127E-2</v>
      </c>
      <c r="BH30" s="192">
        <f>BG30*(1+(0.29*Driver_macroeconómicos_Agricult!AW$40+(1-0.29)*Driver_macroeconómicos_Agricult!AW$8))</f>
        <v>3.8160913005024305E-2</v>
      </c>
      <c r="BI30" s="192">
        <f>BH30*(1+(0.29*Driver_macroeconómicos_Agricult!AX$40+(1-0.29)*Driver_macroeconómicos_Agricult!AX$8))</f>
        <v>3.8405369185302338E-2</v>
      </c>
      <c r="BJ30" s="192">
        <f>BI30*(1+(0.29*Driver_macroeconómicos_Agricult!AY$40+(1-0.29)*Driver_macroeconómicos_Agricult!AY$8))</f>
        <v>3.8642489232201579E-2</v>
      </c>
      <c r="BK30" s="192">
        <f>BJ30*(1+(0.29*Driver_macroeconómicos_Agricult!AZ$40+(1-0.29)*Driver_macroeconómicos_Agricult!AZ$8))</f>
        <v>3.8872119779223557E-2</v>
      </c>
      <c r="BL30" s="192">
        <f>BK30*(1+(0.29*Driver_macroeconómicos_Agricult!BA$40+(1-0.29)*Driver_macroeconómicos_Agricult!BA$8))</f>
        <v>3.9093925423236274E-2</v>
      </c>
      <c r="BM30" s="192">
        <f>BL30*(1+(0.29*Driver_macroeconómicos_Agricult!BB$40+(1-0.29)*Driver_macroeconómicos_Agricult!BB$8))</f>
        <v>3.9308165339747694E-2</v>
      </c>
      <c r="BN30" s="192">
        <f>BM30*(1+(0.29*Driver_macroeconómicos_Agricult!BC$40+(1-0.29)*Driver_macroeconómicos_Agricult!BC$8))</f>
        <v>3.9514652332264838E-2</v>
      </c>
      <c r="BO30" s="192">
        <f>BN30*(1+(0.29*Driver_macroeconómicos_Agricult!BD$40+(1-0.29)*Driver_macroeconómicos_Agricult!BD$8))</f>
        <v>3.971319628450997E-2</v>
      </c>
      <c r="BP30" s="182"/>
    </row>
    <row r="31" spans="1:68" ht="14.25" customHeight="1" x14ac:dyDescent="0.3">
      <c r="A31" s="982"/>
      <c r="D31" s="944" t="s">
        <v>367</v>
      </c>
      <c r="E31" s="183"/>
      <c r="F31" s="185" t="s">
        <v>384</v>
      </c>
      <c r="G31" s="193">
        <f t="shared" ref="G31:R31" si="40">G15/1000000</f>
        <v>0</v>
      </c>
      <c r="H31" s="193">
        <f t="shared" si="40"/>
        <v>0</v>
      </c>
      <c r="I31" s="193">
        <f t="shared" si="40"/>
        <v>0</v>
      </c>
      <c r="J31" s="193">
        <f t="shared" si="40"/>
        <v>0</v>
      </c>
      <c r="K31" s="193">
        <f t="shared" si="40"/>
        <v>0</v>
      </c>
      <c r="L31" s="191">
        <f t="shared" si="40"/>
        <v>1.1011083479568758E-2</v>
      </c>
      <c r="M31" s="191">
        <f t="shared" si="40"/>
        <v>6.8589586998662154E-3</v>
      </c>
      <c r="N31" s="191">
        <f t="shared" si="40"/>
        <v>7.691335586589655E-3</v>
      </c>
      <c r="O31" s="191">
        <f t="shared" si="40"/>
        <v>6.376215061464699E-3</v>
      </c>
      <c r="P31" s="191">
        <f t="shared" si="40"/>
        <v>5.2425295496718273E-3</v>
      </c>
      <c r="Q31" s="191">
        <f t="shared" si="40"/>
        <v>7.438902636199618E-3</v>
      </c>
      <c r="R31" s="191">
        <f t="shared" si="40"/>
        <v>4.3327007360931232E-3</v>
      </c>
      <c r="S31" s="191">
        <f t="shared" ref="S31" si="41">S15/1000000</f>
        <v>3.9575663504758931E-3</v>
      </c>
      <c r="T31" s="192">
        <f>S31*(1+(0.29*Driver_macroeconómicos_Agricult!I$40+(1-0.29)*Driver_macroeconómicos_Agricult!I$8))</f>
        <v>3.937962450171111E-3</v>
      </c>
      <c r="U31" s="192">
        <f>T31*(1+(0.29*Driver_macroeconómicos_Agricult!J$40+(1-0.29)*Driver_macroeconómicos_Agricult!J$8))</f>
        <v>4.1779213034411275E-3</v>
      </c>
      <c r="V31" s="192">
        <f>U31*(1+(0.29*Driver_macroeconómicos_Agricult!K$40+(1-0.29)*Driver_macroeconómicos_Agricult!K$8))</f>
        <v>4.1851339633132935E-3</v>
      </c>
      <c r="W31" s="192">
        <f>V31*(1+(0.29*Driver_macroeconómicos_Agricult!L$40+(1-0.29)*Driver_macroeconómicos_Agricult!L$8))</f>
        <v>4.4363201897182425E-3</v>
      </c>
      <c r="X31" s="192">
        <f>W31*(1+(0.29*Driver_macroeconómicos_Agricult!M$40+(1-0.29)*Driver_macroeconómicos_Agricult!M$8))</f>
        <v>4.5466238637614067E-3</v>
      </c>
      <c r="Y31" s="192">
        <f>X31*(1+(0.29*Driver_macroeconómicos_Agricult!N$40+(1-0.29)*Driver_macroeconómicos_Agricult!N$8))</f>
        <v>4.661902060429525E-3</v>
      </c>
      <c r="Z31" s="192">
        <f>Y31*(1+(0.29*Driver_macroeconómicos_Agricult!O$40+(1-0.29)*Driver_macroeconómicos_Agricult!O$8))</f>
        <v>4.7645522404660837E-3</v>
      </c>
      <c r="AA31" s="192">
        <f>Z31*(1+(0.29*Driver_macroeconómicos_Agricult!P$40+(1-0.29)*Driver_macroeconómicos_Agricult!P$8))</f>
        <v>4.8845783612086139E-3</v>
      </c>
      <c r="AB31" s="192">
        <f>AA31*(1+(0.29*Driver_macroeconómicos_Agricult!Q$40+(1-0.29)*Driver_macroeconómicos_Agricult!Q$8))</f>
        <v>4.8239610527475068E-3</v>
      </c>
      <c r="AC31" s="192">
        <f>AB31*(1+(0.29*Driver_macroeconómicos_Agricult!R$40+(1-0.29)*Driver_macroeconómicos_Agricult!R$8))</f>
        <v>4.913703583890895E-3</v>
      </c>
      <c r="AD31" s="192">
        <f>AC31*(1+(0.29*Driver_macroeconómicos_Agricult!S$40+(1-0.29)*Driver_macroeconómicos_Agricult!S$8))</f>
        <v>5.0222114129902674E-3</v>
      </c>
      <c r="AE31" s="192">
        <f>AD31*(1+(0.29*Driver_macroeconómicos_Agricult!T$40+(1-0.29)*Driver_macroeconómicos_Agricult!T$8))</f>
        <v>5.1014291036965854E-3</v>
      </c>
      <c r="AF31" s="192">
        <f>AE31*(1+(0.29*Driver_macroeconómicos_Agricult!U$40+(1-0.29)*Driver_macroeconómicos_Agricult!U$8))</f>
        <v>5.1772026482663049E-3</v>
      </c>
      <c r="AG31" s="192">
        <f>AF31*(1+(0.29*Driver_macroeconómicos_Agricult!V$40+(1-0.29)*Driver_macroeconómicos_Agricult!V$8))</f>
        <v>5.2504216035628411E-3</v>
      </c>
      <c r="AH31" s="192">
        <f>AG31*(1+(0.29*Driver_macroeconómicos_Agricult!W$40+(1-0.29)*Driver_macroeconómicos_Agricult!W$8))</f>
        <v>5.3136644682090194E-3</v>
      </c>
      <c r="AI31" s="192">
        <f>AH31*(1+(0.29*Driver_macroeconómicos_Agricult!X$40+(1-0.29)*Driver_macroeconómicos_Agricult!X$8))</f>
        <v>5.368841615737226E-3</v>
      </c>
      <c r="AJ31" s="192">
        <f>AI31*(1+(0.29*Driver_macroeconómicos_Agricult!Y$40+(1-0.29)*Driver_macroeconómicos_Agricult!Y$8))</f>
        <v>5.4480527788673301E-3</v>
      </c>
      <c r="AK31" s="192">
        <f>AJ31*(1+(0.29*Driver_macroeconómicos_Agricult!Z$40+(1-0.29)*Driver_macroeconómicos_Agricult!Z$8))</f>
        <v>5.5214531456809169E-3</v>
      </c>
      <c r="AL31" s="192">
        <f>AK31*(1+(0.29*Driver_macroeconómicos_Agricult!AA$40+(1-0.29)*Driver_macroeconómicos_Agricult!AA$8))</f>
        <v>5.5908236209372556E-3</v>
      </c>
      <c r="AM31" s="192">
        <f>AL31*(1+(0.29*Driver_macroeconómicos_Agricult!AB$40+(1-0.29)*Driver_macroeconómicos_Agricult!AB$8))</f>
        <v>5.6578656178392171E-3</v>
      </c>
      <c r="AN31" s="192">
        <f>AM31*(1+(0.29*Driver_macroeconómicos_Agricult!AC$40+(1-0.29)*Driver_macroeconómicos_Agricult!AC$8))</f>
        <v>5.7159062417555563E-3</v>
      </c>
      <c r="AO31" s="192">
        <f>AN31*(1+(0.29*Driver_macroeconómicos_Agricult!AD$40+(1-0.29)*Driver_macroeconómicos_Agricult!AD$8))</f>
        <v>5.7806503616890112E-3</v>
      </c>
      <c r="AP31" s="192">
        <f>AO31*(1+(0.29*Driver_macroeconómicos_Agricult!AE$40+(1-0.29)*Driver_macroeconómicos_Agricult!AE$8))</f>
        <v>5.8401909885118551E-3</v>
      </c>
      <c r="AQ31" s="192">
        <f>AP31*(1+(0.29*Driver_macroeconómicos_Agricult!AF$40+(1-0.29)*Driver_macroeconómicos_Agricult!AF$8))</f>
        <v>5.9087267027143264E-3</v>
      </c>
      <c r="AR31" s="192">
        <f>AQ31*(1+(0.29*Driver_macroeconómicos_Agricult!AG$40+(1-0.29)*Driver_macroeconómicos_Agricult!AG$8))</f>
        <v>5.968566361667647E-3</v>
      </c>
      <c r="AS31" s="192">
        <f>AR31*(1+(0.29*Driver_macroeconómicos_Agricult!AH$40+(1-0.29)*Driver_macroeconómicos_Agricult!AH$8))</f>
        <v>6.0263818293710509E-3</v>
      </c>
      <c r="AT31" s="192">
        <f>AS31*(1+(0.29*Driver_macroeconómicos_Agricult!AI$40+(1-0.29)*Driver_macroeconómicos_Agricult!AI$8))</f>
        <v>6.0841451976841841E-3</v>
      </c>
      <c r="AU31" s="192">
        <f>AT31*(1+(0.29*Driver_macroeconómicos_Agricult!AJ$40+(1-0.29)*Driver_macroeconómicos_Agricult!AJ$8))</f>
        <v>6.1411168223255725E-3</v>
      </c>
      <c r="AV31" s="192">
        <f>AU31*(1+(0.29*Driver_macroeconómicos_Agricult!AK$40+(1-0.29)*Driver_macroeconómicos_Agricult!AK$8))</f>
        <v>6.2014526596052659E-3</v>
      </c>
      <c r="AW31" s="192">
        <f>AV31*(1+(0.29*Driver_macroeconómicos_Agricult!AL$40+(1-0.29)*Driver_macroeconómicos_Agricult!AL$8))</f>
        <v>6.2576741481705665E-3</v>
      </c>
      <c r="AX31" s="192">
        <f>AW31*(1+(0.29*Driver_macroeconómicos_Agricult!AM$40+(1-0.29)*Driver_macroeconómicos_Agricult!AM$8))</f>
        <v>6.3129292443942775E-3</v>
      </c>
      <c r="AY31" s="192">
        <f>AX31*(1+(0.29*Driver_macroeconómicos_Agricult!AN$40+(1-0.29)*Driver_macroeconómicos_Agricult!AN$8))</f>
        <v>6.3678890743028606E-3</v>
      </c>
      <c r="AZ31" s="192">
        <f>AY31*(1+(0.29*Driver_macroeconómicos_Agricult!AO$40+(1-0.29)*Driver_macroeconómicos_Agricult!AO$8))</f>
        <v>6.421899259315955E-3</v>
      </c>
      <c r="BA31" s="192">
        <f>AZ31*(1+(0.29*Driver_macroeconómicos_Agricult!AP$40+(1-0.29)*Driver_macroeconómicos_Agricult!AP$8))</f>
        <v>6.4756238671683907E-3</v>
      </c>
      <c r="BB31" s="192">
        <f>BA31*(1+(0.29*Driver_macroeconómicos_Agricult!AQ$40+(1-0.29)*Driver_macroeconómicos_Agricult!AQ$8))</f>
        <v>6.5271198896887841E-3</v>
      </c>
      <c r="BC31" s="192">
        <f>BB31*(1+(0.29*Driver_macroeconómicos_Agricult!AR$40+(1-0.29)*Driver_macroeconómicos_Agricult!AR$8))</f>
        <v>6.577737427714535E-3</v>
      </c>
      <c r="BD31" s="192">
        <f>BC31*(1+(0.29*Driver_macroeconómicos_Agricult!AS$40+(1-0.29)*Driver_macroeconómicos_Agricult!AS$8))</f>
        <v>6.6274221107007628E-3</v>
      </c>
      <c r="BE31" s="192">
        <f>BD31*(1+(0.29*Driver_macroeconómicos_Agricult!AT$40+(1-0.29)*Driver_macroeconómicos_Agricult!AT$8))</f>
        <v>6.6759771872953082E-3</v>
      </c>
      <c r="BF31" s="192">
        <f>BE31*(1+(0.29*Driver_macroeconómicos_Agricult!AU$40+(1-0.29)*Driver_macroeconómicos_Agricult!AU$8))</f>
        <v>6.7232285699870848E-3</v>
      </c>
      <c r="BG31" s="192">
        <f>BF31*(1+(0.29*Driver_macroeconómicos_Agricult!AV$40+(1-0.29)*Driver_macroeconómicos_Agricult!AV$8))</f>
        <v>6.7692666490885367E-3</v>
      </c>
      <c r="BH31" s="192">
        <f>BG31*(1+(0.29*Driver_macroeconómicos_Agricult!AW$40+(1-0.29)*Driver_macroeconómicos_Agricult!AW$8))</f>
        <v>6.814117604112966E-3</v>
      </c>
      <c r="BI31" s="192">
        <f>BH31*(1+(0.29*Driver_macroeconómicos_Agricult!AX$40+(1-0.29)*Driver_macroeconómicos_Agricult!AX$8))</f>
        <v>6.8577683721448386E-3</v>
      </c>
      <c r="BJ31" s="192">
        <f>BI31*(1+(0.29*Driver_macroeconómicos_Agricult!AY$40+(1-0.29)*Driver_macroeconómicos_Agricult!AY$8))</f>
        <v>6.9001091800194158E-3</v>
      </c>
      <c r="BK31" s="192">
        <f>BJ31*(1+(0.29*Driver_macroeconómicos_Agricult!AZ$40+(1-0.29)*Driver_macroeconómicos_Agricult!AZ$8))</f>
        <v>6.9411126421928329E-3</v>
      </c>
      <c r="BL31" s="192">
        <f>BK31*(1+(0.29*Driver_macroeconómicos_Agricult!BA$40+(1-0.29)*Driver_macroeconómicos_Agricult!BA$8))</f>
        <v>6.9807188681591682E-3</v>
      </c>
      <c r="BM31" s="192">
        <f>BL31*(1+(0.29*Driver_macroeconómicos_Agricult!BB$40+(1-0.29)*Driver_macroeconómicos_Agricult!BB$8))</f>
        <v>7.0189741370100976E-3</v>
      </c>
      <c r="BN31" s="192">
        <f>BM31*(1+(0.29*Driver_macroeconómicos_Agricult!BC$40+(1-0.29)*Driver_macroeconómicos_Agricult!BC$8))</f>
        <v>7.0558450224248708E-3</v>
      </c>
      <c r="BO31" s="192">
        <f>BN31*(1+(0.29*Driver_macroeconómicos_Agricult!BD$40+(1-0.29)*Driver_macroeconómicos_Agricult!BD$8))</f>
        <v>7.0912975767179406E-3</v>
      </c>
      <c r="BP31" s="182"/>
    </row>
    <row r="32" spans="1:68" ht="14.25" customHeight="1" x14ac:dyDescent="0.3">
      <c r="A32" s="982"/>
      <c r="D32" s="944"/>
      <c r="E32" s="183"/>
      <c r="F32" s="185" t="s">
        <v>385</v>
      </c>
      <c r="G32" s="190">
        <f t="shared" ref="G32:R32" si="42">G16/1000000</f>
        <v>0.118954</v>
      </c>
      <c r="H32" s="190">
        <f t="shared" si="42"/>
        <v>0.153977</v>
      </c>
      <c r="I32" s="190">
        <f t="shared" si="42"/>
        <v>0.113577</v>
      </c>
      <c r="J32" s="190">
        <f t="shared" si="42"/>
        <v>9.4705999999999999E-2</v>
      </c>
      <c r="K32" s="190">
        <f t="shared" si="42"/>
        <v>8.1821000000000005E-2</v>
      </c>
      <c r="L32" s="191">
        <f t="shared" si="42"/>
        <v>7.9089999999999994E-2</v>
      </c>
      <c r="M32" s="191">
        <f t="shared" si="42"/>
        <v>6.2613000000000002E-2</v>
      </c>
      <c r="N32" s="191">
        <f t="shared" si="42"/>
        <v>7.3791999999999996E-2</v>
      </c>
      <c r="O32" s="191">
        <f t="shared" si="42"/>
        <v>4.5637999999999998E-2</v>
      </c>
      <c r="P32" s="191">
        <f t="shared" si="42"/>
        <v>4.7366999999999999E-2</v>
      </c>
      <c r="Q32" s="191">
        <f t="shared" si="42"/>
        <v>4.1949E-2</v>
      </c>
      <c r="R32" s="191">
        <f t="shared" si="42"/>
        <v>5.9409999999999998E-2</v>
      </c>
      <c r="S32" s="191">
        <f t="shared" ref="S32" si="43">S16/1000000</f>
        <v>5.0866617530966163E-2</v>
      </c>
      <c r="T32" s="192">
        <f>S32*(1+(0.29*Driver_macroeconómicos_Agricult!I$40+(1-0.29)*Driver_macroeconómicos_Agricult!I$8))</f>
        <v>5.0614648515008E-2</v>
      </c>
      <c r="U32" s="192">
        <f>T32*(1+(0.29*Driver_macroeconómicos_Agricult!J$40+(1-0.29)*Driver_macroeconómicos_Agricult!J$8))</f>
        <v>5.3698840700689837E-2</v>
      </c>
      <c r="V32" s="192">
        <f>U32*(1+(0.29*Driver_macroeconómicos_Agricult!K$40+(1-0.29)*Driver_macroeconómicos_Agricult!K$8))</f>
        <v>5.3791545049425342E-2</v>
      </c>
      <c r="W32" s="192">
        <f>V32*(1+(0.29*Driver_macroeconómicos_Agricult!L$40+(1-0.29)*Driver_macroeconómicos_Agricult!L$8))</f>
        <v>5.70200427108861E-2</v>
      </c>
      <c r="X32" s="192">
        <f>W32*(1+(0.29*Driver_macroeconómicos_Agricult!M$40+(1-0.29)*Driver_macroeconómicos_Agricult!M$8))</f>
        <v>5.8437776313543015E-2</v>
      </c>
      <c r="Y32" s="192">
        <f>X32*(1+(0.29*Driver_macroeconómicos_Agricult!N$40+(1-0.29)*Driver_macroeconómicos_Agricult!N$8))</f>
        <v>5.9919447477153838E-2</v>
      </c>
      <c r="Z32" s="192">
        <f>Y32*(1+(0.29*Driver_macroeconómicos_Agricult!O$40+(1-0.29)*Driver_macroeconómicos_Agricult!O$8))</f>
        <v>6.1238810688026245E-2</v>
      </c>
      <c r="AA32" s="192">
        <f>Z32*(1+(0.29*Driver_macroeconómicos_Agricult!P$40+(1-0.29)*Driver_macroeconómicos_Agricult!P$8))</f>
        <v>6.2781506940434426E-2</v>
      </c>
      <c r="AB32" s="192">
        <f>AA32*(1+(0.29*Driver_macroeconómicos_Agricult!Q$40+(1-0.29)*Driver_macroeconómicos_Agricult!Q$8))</f>
        <v>6.2002392410901157E-2</v>
      </c>
      <c r="AC32" s="192">
        <f>AB32*(1+(0.29*Driver_macroeconómicos_Agricult!R$40+(1-0.29)*Driver_macroeconómicos_Agricult!R$8))</f>
        <v>6.3155853554359348E-2</v>
      </c>
      <c r="AD32" s="192">
        <f>AC32*(1+(0.29*Driver_macroeconómicos_Agricult!S$40+(1-0.29)*Driver_macroeconómicos_Agricult!S$8))</f>
        <v>6.4550505154135934E-2</v>
      </c>
      <c r="AE32" s="192">
        <f>AD32*(1+(0.29*Driver_macroeconómicos_Agricult!T$40+(1-0.29)*Driver_macroeconómicos_Agricult!T$8))</f>
        <v>6.5568690477639122E-2</v>
      </c>
      <c r="AF32" s="192">
        <f>AE32*(1+(0.29*Driver_macroeconómicos_Agricult!U$40+(1-0.29)*Driver_macroeconómicos_Agricult!U$8))</f>
        <v>6.6542608175855375E-2</v>
      </c>
      <c r="AG32" s="192">
        <f>AF32*(1+(0.29*Driver_macroeconómicos_Agricult!V$40+(1-0.29)*Driver_macroeconómicos_Agricult!V$8))</f>
        <v>6.7483691727022607E-2</v>
      </c>
      <c r="AH32" s="192">
        <f>AG32*(1+(0.29*Driver_macroeconómicos_Agricult!W$40+(1-0.29)*Driver_macroeconómicos_Agricult!W$8))</f>
        <v>6.8296552541632319E-2</v>
      </c>
      <c r="AI32" s="192">
        <f>AH32*(1+(0.29*Driver_macroeconómicos_Agricult!X$40+(1-0.29)*Driver_macroeconómicos_Agricult!X$8))</f>
        <v>6.9005744659012602E-2</v>
      </c>
      <c r="AJ32" s="192">
        <f>AI32*(1+(0.29*Driver_macroeconómicos_Agricult!Y$40+(1-0.29)*Driver_macroeconómicos_Agricult!Y$8))</f>
        <v>7.0023846083550306E-2</v>
      </c>
      <c r="AK32" s="192">
        <f>AJ32*(1+(0.29*Driver_macroeconómicos_Agricult!Z$40+(1-0.29)*Driver_macroeconómicos_Agricult!Z$8))</f>
        <v>7.0967261317735925E-2</v>
      </c>
      <c r="AL32" s="192">
        <f>AK32*(1+(0.29*Driver_macroeconómicos_Agricult!AA$40+(1-0.29)*Driver_macroeconómicos_Agricult!AA$8))</f>
        <v>7.1858880338193085E-2</v>
      </c>
      <c r="AM32" s="192">
        <f>AL32*(1+(0.29*Driver_macroeconómicos_Agricult!AB$40+(1-0.29)*Driver_macroeconómicos_Agricult!AB$8))</f>
        <v>7.2720571416224969E-2</v>
      </c>
      <c r="AN32" s="192">
        <f>AM32*(1+(0.29*Driver_macroeconómicos_Agricult!AC$40+(1-0.29)*Driver_macroeconómicos_Agricult!AC$8))</f>
        <v>7.3466567808087371E-2</v>
      </c>
      <c r="AO32" s="192">
        <f>AN32*(1+(0.29*Driver_macroeconómicos_Agricult!AD$40+(1-0.29)*Driver_macroeconómicos_Agricult!AD$8))</f>
        <v>7.4298724263439794E-2</v>
      </c>
      <c r="AP32" s="192">
        <f>AO32*(1+(0.29*Driver_macroeconómicos_Agricult!AE$40+(1-0.29)*Driver_macroeconómicos_Agricult!AE$8))</f>
        <v>7.5064000199189393E-2</v>
      </c>
      <c r="AQ32" s="192">
        <f>AP32*(1+(0.29*Driver_macroeconómicos_Agricult!AF$40+(1-0.29)*Driver_macroeconómicos_Agricult!AF$8))</f>
        <v>7.5944890032187268E-2</v>
      </c>
      <c r="AR32" s="192">
        <f>AQ32*(1+(0.29*Driver_macroeconómicos_Agricult!AG$40+(1-0.29)*Driver_macroeconómicos_Agricult!AG$8))</f>
        <v>7.6714009429211652E-2</v>
      </c>
      <c r="AS32" s="192">
        <f>AR32*(1+(0.29*Driver_macroeconómicos_Agricult!AH$40+(1-0.29)*Driver_macroeconómicos_Agricult!AH$8))</f>
        <v>7.7457111887289043E-2</v>
      </c>
      <c r="AT32" s="192">
        <f>AS32*(1+(0.29*Driver_macroeconómicos_Agricult!AI$40+(1-0.29)*Driver_macroeconómicos_Agricult!AI$8))</f>
        <v>7.8199544711676477E-2</v>
      </c>
      <c r="AU32" s="192">
        <f>AT32*(1+(0.29*Driver_macroeconómicos_Agricult!AJ$40+(1-0.29)*Driver_macroeconómicos_Agricult!AJ$8))</f>
        <v>7.8931801251204317E-2</v>
      </c>
      <c r="AV32" s="192">
        <f>AU32*(1+(0.29*Driver_macroeconómicos_Agricult!AK$40+(1-0.29)*Driver_macroeconómicos_Agricult!AK$8))</f>
        <v>7.9707298030417567E-2</v>
      </c>
      <c r="AW32" s="192">
        <f>AV32*(1+(0.29*Driver_macroeconómicos_Agricult!AL$40+(1-0.29)*Driver_macroeconómicos_Agricult!AL$8))</f>
        <v>8.0429913067693898E-2</v>
      </c>
      <c r="AX32" s="192">
        <f>AW32*(1+(0.29*Driver_macroeconómicos_Agricult!AM$40+(1-0.29)*Driver_macroeconómicos_Agricult!AM$8))</f>
        <v>8.114010705999683E-2</v>
      </c>
      <c r="AY32" s="192">
        <f>AX32*(1+(0.29*Driver_macroeconómicos_Agricult!AN$40+(1-0.29)*Driver_macroeconómicos_Agricult!AN$8))</f>
        <v>8.184650599306606E-2</v>
      </c>
      <c r="AZ32" s="192">
        <f>AY32*(1+(0.29*Driver_macroeconómicos_Agricult!AO$40+(1-0.29)*Driver_macroeconómicos_Agricult!AO$8))</f>
        <v>8.2540699136159523E-2</v>
      </c>
      <c r="BA32" s="192">
        <f>AZ32*(1+(0.29*Driver_macroeconómicos_Agricult!AP$40+(1-0.29)*Driver_macroeconómicos_Agricult!AP$8))</f>
        <v>8.3231221754763857E-2</v>
      </c>
      <c r="BB32" s="192">
        <f>BA32*(1+(0.29*Driver_macroeconómicos_Agricult!AQ$40+(1-0.29)*Driver_macroeconómicos_Agricult!AQ$8))</f>
        <v>8.3893100356393843E-2</v>
      </c>
      <c r="BC32" s="192">
        <f>BB32*(1+(0.29*Driver_macroeconómicos_Agricult!AR$40+(1-0.29)*Driver_macroeconómicos_Agricult!AR$8))</f>
        <v>8.454368779298993E-2</v>
      </c>
      <c r="BD32" s="192">
        <f>BC32*(1+(0.29*Driver_macroeconómicos_Agricult!AS$40+(1-0.29)*Driver_macroeconómicos_Agricult!AS$8))</f>
        <v>8.518228523970206E-2</v>
      </c>
      <c r="BE32" s="192">
        <f>BD32*(1+(0.29*Driver_macroeconómicos_Agricult!AT$40+(1-0.29)*Driver_macroeconómicos_Agricult!AT$8))</f>
        <v>8.5806363850544437E-2</v>
      </c>
      <c r="BF32" s="192">
        <f>BE32*(1+(0.29*Driver_macroeconómicos_Agricult!AU$40+(1-0.29)*Driver_macroeconómicos_Agricult!AU$8))</f>
        <v>8.641368607797921E-2</v>
      </c>
      <c r="BG32" s="192">
        <f>BF32*(1+(0.29*Driver_macroeconómicos_Agricult!AV$40+(1-0.29)*Driver_macroeconómicos_Agricult!AV$8))</f>
        <v>8.700541370908571E-2</v>
      </c>
      <c r="BH32" s="192">
        <f>BG32*(1+(0.29*Driver_macroeconómicos_Agricult!AW$40+(1-0.29)*Driver_macroeconómicos_Agricult!AW$8))</f>
        <v>8.7581883229262386E-2</v>
      </c>
      <c r="BI32" s="192">
        <f>BH32*(1+(0.29*Driver_macroeconómicos_Agricult!AX$40+(1-0.29)*Driver_macroeconómicos_Agricult!AX$8))</f>
        <v>8.8142926740799016E-2</v>
      </c>
      <c r="BJ32" s="192">
        <f>BI32*(1+(0.29*Driver_macroeconómicos_Agricult!AY$40+(1-0.29)*Driver_macroeconómicos_Agricult!AY$8))</f>
        <v>8.8687133328731335E-2</v>
      </c>
      <c r="BK32" s="192">
        <f>BJ32*(1+(0.29*Driver_macroeconómicos_Agricult!AZ$40+(1-0.29)*Driver_macroeconómicos_Agricult!AZ$8))</f>
        <v>8.9214151006544826E-2</v>
      </c>
      <c r="BL32" s="192">
        <f>BK32*(1+(0.29*Driver_macroeconómicos_Agricult!BA$40+(1-0.29)*Driver_macroeconómicos_Agricult!BA$8))</f>
        <v>8.9723210001306175E-2</v>
      </c>
      <c r="BM32" s="192">
        <f>BL32*(1+(0.29*Driver_macroeconómicos_Agricult!BB$40+(1-0.29)*Driver_macroeconómicos_Agricult!BB$8))</f>
        <v>9.0214905138382151E-2</v>
      </c>
      <c r="BN32" s="192">
        <f>BM32*(1+(0.29*Driver_macroeconómicos_Agricult!BC$40+(1-0.29)*Driver_macroeconómicos_Agricult!BC$8))</f>
        <v>9.0688806789126636E-2</v>
      </c>
      <c r="BO32" s="192">
        <f>BN32*(1+(0.29*Driver_macroeconómicos_Agricult!BD$40+(1-0.29)*Driver_macroeconómicos_Agricult!BD$8))</f>
        <v>9.1144478623789507E-2</v>
      </c>
      <c r="BP32" s="182"/>
    </row>
    <row r="33" spans="1:96" ht="14.25" customHeight="1" x14ac:dyDescent="0.3">
      <c r="A33" s="982"/>
      <c r="D33" s="944"/>
      <c r="E33" s="183"/>
      <c r="F33" s="185" t="s">
        <v>386</v>
      </c>
      <c r="G33" s="190">
        <f t="shared" ref="G33:R33" si="44">G17/1000000</f>
        <v>3.7898000000000001E-2</v>
      </c>
      <c r="H33" s="190">
        <f t="shared" si="44"/>
        <v>3.8441000000000003E-2</v>
      </c>
      <c r="I33" s="190">
        <f t="shared" si="44"/>
        <v>3.0415000000000001E-2</v>
      </c>
      <c r="J33" s="190">
        <f t="shared" si="44"/>
        <v>3.5697E-2</v>
      </c>
      <c r="K33" s="190">
        <f t="shared" si="44"/>
        <v>2.3299E-2</v>
      </c>
      <c r="L33" s="191">
        <f t="shared" si="44"/>
        <v>2.2363999999999998E-2</v>
      </c>
      <c r="M33" s="191">
        <f t="shared" si="44"/>
        <v>2.6372E-2</v>
      </c>
      <c r="N33" s="191">
        <f t="shared" si="44"/>
        <v>1.8065000000000001E-2</v>
      </c>
      <c r="O33" s="191">
        <f t="shared" si="44"/>
        <v>1.5675000000000001E-2</v>
      </c>
      <c r="P33" s="191">
        <f t="shared" si="44"/>
        <v>1.5810000000000001E-2</v>
      </c>
      <c r="Q33" s="191">
        <f t="shared" si="44"/>
        <v>2.3879000000000001E-2</v>
      </c>
      <c r="R33" s="191">
        <f t="shared" si="44"/>
        <v>1.9668999999999999E-2</v>
      </c>
      <c r="S33" s="191">
        <f t="shared" ref="S33" si="45">S17/1000000</f>
        <v>1.3838983196032719E-2</v>
      </c>
      <c r="T33" s="192">
        <f>S33*(1+(0.29*Driver_macroeconómicos_Agricult!I$40+(1-0.29)*Driver_macroeconómicos_Agricult!I$8))</f>
        <v>1.3770431459215481E-2</v>
      </c>
      <c r="U33" s="192">
        <f>T33*(1+(0.29*Driver_macroeconómicos_Agricult!J$40+(1-0.29)*Driver_macroeconómicos_Agricult!J$8))</f>
        <v>1.4609529592780245E-2</v>
      </c>
      <c r="V33" s="192">
        <f>U33*(1+(0.29*Driver_macroeconómicos_Agricult!K$40+(1-0.29)*Driver_macroeconómicos_Agricult!K$8))</f>
        <v>1.4634751122864663E-2</v>
      </c>
      <c r="W33" s="192">
        <f>V33*(1+(0.29*Driver_macroeconómicos_Agricult!L$40+(1-0.29)*Driver_macroeconómicos_Agricult!L$8))</f>
        <v>1.5513109603417985E-2</v>
      </c>
      <c r="X33" s="192">
        <f>W33*(1+(0.29*Driver_macroeconómicos_Agricult!M$40+(1-0.29)*Driver_macroeconómicos_Agricult!M$8))</f>
        <v>1.5898824094688728E-2</v>
      </c>
      <c r="Y33" s="192">
        <f>X33*(1+(0.29*Driver_macroeconómicos_Agricult!N$40+(1-0.29)*Driver_macroeconómicos_Agricult!N$8))</f>
        <v>1.6301933704302021E-2</v>
      </c>
      <c r="Z33" s="192">
        <f>Y33*(1+(0.29*Driver_macroeconómicos_Agricult!O$40+(1-0.29)*Driver_macroeconómicos_Agricult!O$8))</f>
        <v>1.6660885138287417E-2</v>
      </c>
      <c r="AA33" s="192">
        <f>Z33*(1+(0.29*Driver_macroeconómicos_Agricult!P$40+(1-0.29)*Driver_macroeconómicos_Agricult!P$8))</f>
        <v>1.7080597486973909E-2</v>
      </c>
      <c r="AB33" s="192">
        <f>AA33*(1+(0.29*Driver_macroeconómicos_Agricult!Q$40+(1-0.29)*Driver_macroeconómicos_Agricult!Q$8))</f>
        <v>1.6868628352689877E-2</v>
      </c>
      <c r="AC33" s="192">
        <f>AB33*(1+(0.29*Driver_macroeconómicos_Agricult!R$40+(1-0.29)*Driver_macroeconómicos_Agricult!R$8))</f>
        <v>1.7182443781283627E-2</v>
      </c>
      <c r="AD33" s="192">
        <f>AC33*(1+(0.29*Driver_macroeconómicos_Agricult!S$40+(1-0.29)*Driver_macroeconómicos_Agricult!S$8))</f>
        <v>1.7561878486999586E-2</v>
      </c>
      <c r="AE33" s="192">
        <f>AD33*(1+(0.29*Driver_macroeconómicos_Agricult!T$40+(1-0.29)*Driver_macroeconómicos_Agricult!T$8))</f>
        <v>1.7838890214265112E-2</v>
      </c>
      <c r="AF33" s="192">
        <f>AE33*(1+(0.29*Driver_macroeconómicos_Agricult!U$40+(1-0.29)*Driver_macroeconómicos_Agricult!U$8))</f>
        <v>1.8103858307567729E-2</v>
      </c>
      <c r="AG33" s="192">
        <f>AF33*(1+(0.29*Driver_macroeconómicos_Agricult!V$40+(1-0.29)*Driver_macroeconómicos_Agricult!V$8))</f>
        <v>1.8359893406475921E-2</v>
      </c>
      <c r="AH33" s="192">
        <f>AG33*(1+(0.29*Driver_macroeconómicos_Agricult!W$40+(1-0.29)*Driver_macroeconómicos_Agricult!W$8))</f>
        <v>1.8581043695213895E-2</v>
      </c>
      <c r="AI33" s="192">
        <f>AH33*(1+(0.29*Driver_macroeconómicos_Agricult!X$40+(1-0.29)*Driver_macroeconómicos_Agricult!X$8))</f>
        <v>1.8773989447685244E-2</v>
      </c>
      <c r="AJ33" s="192">
        <f>AI33*(1+(0.29*Driver_macroeconómicos_Agricult!Y$40+(1-0.29)*Driver_macroeconómicos_Agricult!Y$8))</f>
        <v>1.9050978349049816E-2</v>
      </c>
      <c r="AK33" s="192">
        <f>AJ33*(1+(0.29*Driver_macroeconómicos_Agricult!Z$40+(1-0.29)*Driver_macroeconómicos_Agricult!Z$8))</f>
        <v>1.9307647815322623E-2</v>
      </c>
      <c r="AL33" s="192">
        <f>AK33*(1+(0.29*Driver_macroeconómicos_Agricult!AA$40+(1-0.29)*Driver_macroeconómicos_Agricult!AA$8))</f>
        <v>1.9550225388597631E-2</v>
      </c>
      <c r="AM33" s="192">
        <f>AL33*(1+(0.29*Driver_macroeconómicos_Agricult!AB$40+(1-0.29)*Driver_macroeconómicos_Agricult!AB$8))</f>
        <v>1.9784660641576562E-2</v>
      </c>
      <c r="AN33" s="192">
        <f>AM33*(1+(0.29*Driver_macroeconómicos_Agricult!AC$40+(1-0.29)*Driver_macroeconómicos_Agricult!AC$8))</f>
        <v>1.9987619517798282E-2</v>
      </c>
      <c r="AO33" s="192">
        <f>AN33*(1+(0.29*Driver_macroeconómicos_Agricult!AD$40+(1-0.29)*Driver_macroeconómicos_Agricult!AD$8))</f>
        <v>2.0214019458684493E-2</v>
      </c>
      <c r="AP33" s="192">
        <f>AO33*(1+(0.29*Driver_macroeconómicos_Agricult!AE$40+(1-0.29)*Driver_macroeconómicos_Agricult!AE$8))</f>
        <v>2.0422223607677096E-2</v>
      </c>
      <c r="AQ33" s="192">
        <f>AP33*(1+(0.29*Driver_macroeconómicos_Agricult!AF$40+(1-0.29)*Driver_macroeconómicos_Agricult!AF$8))</f>
        <v>2.066188215365752E-2</v>
      </c>
      <c r="AR33" s="192">
        <f>AQ33*(1+(0.29*Driver_macroeconómicos_Agricult!AG$40+(1-0.29)*Driver_macroeconómicos_Agricult!AG$8))</f>
        <v>2.0871131970685037E-2</v>
      </c>
      <c r="AS33" s="192">
        <f>AR33*(1+(0.29*Driver_macroeconómicos_Agricult!AH$40+(1-0.29)*Driver_macroeconómicos_Agricult!AH$8))</f>
        <v>2.1073303511263748E-2</v>
      </c>
      <c r="AT33" s="192">
        <f>AS33*(1+(0.29*Driver_macroeconómicos_Agricult!AI$40+(1-0.29)*Driver_macroeconómicos_Agricult!AI$8))</f>
        <v>2.1275292868520024E-2</v>
      </c>
      <c r="AU33" s="192">
        <f>AT33*(1+(0.29*Driver_macroeconómicos_Agricult!AJ$40+(1-0.29)*Driver_macroeconómicos_Agricult!AJ$8))</f>
        <v>2.1474513623458993E-2</v>
      </c>
      <c r="AV33" s="192">
        <f>AU33*(1+(0.29*Driver_macroeconómicos_Agricult!AK$40+(1-0.29)*Driver_macroeconómicos_Agricult!AK$8))</f>
        <v>2.1685498497567759E-2</v>
      </c>
      <c r="AW33" s="192">
        <f>AV33*(1+(0.29*Driver_macroeconómicos_Agricult!AL$40+(1-0.29)*Driver_macroeconómicos_Agricult!AL$8))</f>
        <v>2.1882096145366531E-2</v>
      </c>
      <c r="AX33" s="192">
        <f>AW33*(1+(0.29*Driver_macroeconómicos_Agricult!AM$40+(1-0.29)*Driver_macroeconómicos_Agricult!AM$8))</f>
        <v>2.2075314472089762E-2</v>
      </c>
      <c r="AY33" s="192">
        <f>AX33*(1+(0.29*Driver_macroeconómicos_Agricult!AN$40+(1-0.29)*Driver_macroeconómicos_Agricult!AN$8))</f>
        <v>2.2267500299238366E-2</v>
      </c>
      <c r="AZ33" s="192">
        <f>AY33*(1+(0.29*Driver_macroeconómicos_Agricult!AO$40+(1-0.29)*Driver_macroeconómicos_Agricult!AO$8))</f>
        <v>2.2456365368479961E-2</v>
      </c>
      <c r="BA33" s="192">
        <f>AZ33*(1+(0.29*Driver_macroeconómicos_Agricult!AP$40+(1-0.29)*Driver_macroeconómicos_Agricult!AP$8))</f>
        <v>2.2644231819586687E-2</v>
      </c>
      <c r="BB33" s="192">
        <f>BA33*(1+(0.29*Driver_macroeconómicos_Agricult!AQ$40+(1-0.29)*Driver_macroeconómicos_Agricult!AQ$8))</f>
        <v>2.2824305260487194E-2</v>
      </c>
      <c r="BC33" s="192">
        <f>BB33*(1+(0.29*Driver_macroeconómicos_Agricult!AR$40+(1-0.29)*Driver_macroeconómicos_Agricult!AR$8))</f>
        <v>2.3001306780140472E-2</v>
      </c>
      <c r="BD33" s="192">
        <f>BC33*(1+(0.29*Driver_macroeconómicos_Agricult!AS$40+(1-0.29)*Driver_macroeconómicos_Agricult!AS$8))</f>
        <v>2.3175046253355858E-2</v>
      </c>
      <c r="BE33" s="192">
        <f>BD33*(1+(0.29*Driver_macroeconómicos_Agricult!AT$40+(1-0.29)*Driver_macroeconómicos_Agricult!AT$8))</f>
        <v>2.3344835671793074E-2</v>
      </c>
      <c r="BF33" s="192">
        <f>BE33*(1+(0.29*Driver_macroeconómicos_Agricult!AU$40+(1-0.29)*Driver_macroeconómicos_Agricult!AU$8))</f>
        <v>2.3510066278977254E-2</v>
      </c>
      <c r="BG33" s="192">
        <f>BF33*(1+(0.29*Driver_macroeconómicos_Agricult!AV$40+(1-0.29)*Driver_macroeconómicos_Agricult!AV$8))</f>
        <v>2.367105415552568E-2</v>
      </c>
      <c r="BH33" s="192">
        <f>BG33*(1+(0.29*Driver_macroeconómicos_Agricult!AW$40+(1-0.29)*Driver_macroeconómicos_Agricult!AW$8))</f>
        <v>2.3827890847053154E-2</v>
      </c>
      <c r="BI33" s="192">
        <f>BH33*(1+(0.29*Driver_macroeconómicos_Agricult!AX$40+(1-0.29)*Driver_macroeconómicos_Agricult!AX$8))</f>
        <v>2.3980530674611412E-2</v>
      </c>
      <c r="BJ33" s="192">
        <f>BI33*(1+(0.29*Driver_macroeconómicos_Agricult!AY$40+(1-0.29)*Driver_macroeconómicos_Agricult!AY$8))</f>
        <v>2.4128589778816264E-2</v>
      </c>
      <c r="BK33" s="192">
        <f>BJ33*(1+(0.29*Driver_macroeconómicos_Agricult!AZ$40+(1-0.29)*Driver_macroeconómicos_Agricult!AZ$8))</f>
        <v>2.4271972396754899E-2</v>
      </c>
      <c r="BL33" s="192">
        <f>BK33*(1+(0.29*Driver_macroeconómicos_Agricult!BA$40+(1-0.29)*Driver_macroeconómicos_Agricult!BA$8))</f>
        <v>2.4410469100806489E-2</v>
      </c>
      <c r="BM33" s="192">
        <f>BL33*(1+(0.29*Driver_macroeconómicos_Agricult!BB$40+(1-0.29)*Driver_macroeconómicos_Agricult!BB$8))</f>
        <v>2.4544241721630413E-2</v>
      </c>
      <c r="BN33" s="192">
        <f>BM33*(1+(0.29*Driver_macroeconómicos_Agricult!BC$40+(1-0.29)*Driver_macroeconómicos_Agricult!BC$8))</f>
        <v>2.4673173372673114E-2</v>
      </c>
      <c r="BO33" s="192">
        <f>BN33*(1+(0.29*Driver_macroeconómicos_Agricult!BD$40+(1-0.29)*Driver_macroeconómicos_Agricult!BD$8))</f>
        <v>2.4797145344250857E-2</v>
      </c>
      <c r="BP33" s="182"/>
    </row>
    <row r="34" spans="1:96" ht="14.25" customHeight="1" x14ac:dyDescent="0.3">
      <c r="A34" s="982"/>
      <c r="D34" s="944"/>
      <c r="E34" s="183"/>
      <c r="F34" s="185" t="s">
        <v>387</v>
      </c>
      <c r="G34" s="190">
        <f t="shared" ref="G34:R34" si="46">G18/1000000</f>
        <v>6.8725999999999995E-2</v>
      </c>
      <c r="H34" s="190">
        <f t="shared" si="46"/>
        <v>6.8433999999999995E-2</v>
      </c>
      <c r="I34" s="190">
        <f t="shared" si="46"/>
        <v>5.2699000000000003E-2</v>
      </c>
      <c r="J34" s="190">
        <f t="shared" si="46"/>
        <v>7.0422999999999999E-2</v>
      </c>
      <c r="K34" s="190">
        <f t="shared" si="46"/>
        <v>5.4781000000000003E-2</v>
      </c>
      <c r="L34" s="191">
        <f t="shared" si="46"/>
        <v>5.1131000000000003E-2</v>
      </c>
      <c r="M34" s="191">
        <f t="shared" si="46"/>
        <v>5.1262000000000002E-2</v>
      </c>
      <c r="N34" s="191">
        <f t="shared" si="46"/>
        <v>4.9539E-2</v>
      </c>
      <c r="O34" s="191">
        <f t="shared" si="46"/>
        <v>3.9402E-2</v>
      </c>
      <c r="P34" s="191">
        <f t="shared" si="46"/>
        <v>3.5994999999999999E-2</v>
      </c>
      <c r="Q34" s="191">
        <f t="shared" si="46"/>
        <v>3.6186000000000003E-2</v>
      </c>
      <c r="R34" s="191">
        <f t="shared" si="46"/>
        <v>3.9580999999999998E-2</v>
      </c>
      <c r="S34" s="191">
        <f t="shared" ref="S34" si="47">S18/1000000</f>
        <v>3.7412769150859976E-2</v>
      </c>
      <c r="T34" s="192">
        <f>S34*(1+(0.29*Driver_macroeconómicos_Agricult!I$40+(1-0.29)*Driver_macroeconómicos_Agricult!I$8))</f>
        <v>3.7227444097125605E-2</v>
      </c>
      <c r="U34" s="192">
        <f>T34*(1+(0.29*Driver_macroeconómicos_Agricult!J$40+(1-0.29)*Driver_macroeconómicos_Agricult!J$8))</f>
        <v>3.9495890002528213E-2</v>
      </c>
      <c r="V34" s="192">
        <f>U34*(1+(0.29*Driver_macroeconómicos_Agricult!K$40+(1-0.29)*Driver_macroeconómicos_Agricult!K$8))</f>
        <v>3.9564074728914059E-2</v>
      </c>
      <c r="W34" s="192">
        <f>V34*(1+(0.29*Driver_macroeconómicos_Agricult!L$40+(1-0.29)*Driver_macroeconómicos_Agricult!L$8))</f>
        <v>4.1938658366970805E-2</v>
      </c>
      <c r="X34" s="192">
        <f>W34*(1+(0.29*Driver_macroeconómicos_Agricult!M$40+(1-0.29)*Driver_macroeconómicos_Agricult!M$8))</f>
        <v>4.2981411798754039E-2</v>
      </c>
      <c r="Y34" s="192">
        <f>X34*(1+(0.29*Driver_macroeconómicos_Agricult!N$40+(1-0.29)*Driver_macroeconómicos_Agricult!N$8))</f>
        <v>4.4071191774155617E-2</v>
      </c>
      <c r="Z34" s="192">
        <f>Y34*(1+(0.29*Driver_macroeconómicos_Agricult!O$40+(1-0.29)*Driver_macroeconómicos_Agricult!O$8))</f>
        <v>4.5041593063458119E-2</v>
      </c>
      <c r="AA34" s="192">
        <f>Z34*(1+(0.29*Driver_macroeconómicos_Agricult!P$40+(1-0.29)*Driver_macroeconómicos_Agricult!P$8))</f>
        <v>4.6176257437909742E-2</v>
      </c>
      <c r="AB34" s="192">
        <f>AA34*(1+(0.29*Driver_macroeconómicos_Agricult!Q$40+(1-0.29)*Driver_macroeconómicos_Agricult!Q$8))</f>
        <v>4.5603213004244303E-2</v>
      </c>
      <c r="AC34" s="192">
        <f>AB34*(1+(0.29*Driver_macroeconómicos_Agricult!R$40+(1-0.29)*Driver_macroeconómicos_Agricult!R$8))</f>
        <v>4.6451592109822082E-2</v>
      </c>
      <c r="AD34" s="192">
        <f>AC34*(1+(0.29*Driver_macroeconómicos_Agricult!S$40+(1-0.29)*Driver_macroeconómicos_Agricult!S$8))</f>
        <v>4.7477368559702103E-2</v>
      </c>
      <c r="AE34" s="192">
        <f>AD34*(1+(0.29*Driver_macroeconómicos_Agricult!T$40+(1-0.29)*Driver_macroeconómicos_Agricult!T$8))</f>
        <v>4.8226251310512662E-2</v>
      </c>
      <c r="AF34" s="192">
        <f>AE34*(1+(0.29*Driver_macroeconómicos_Agricult!U$40+(1-0.29)*Driver_macroeconómicos_Agricult!U$8))</f>
        <v>4.8942574899222283E-2</v>
      </c>
      <c r="AG34" s="192">
        <f>AF34*(1+(0.29*Driver_macroeconómicos_Agricult!V$40+(1-0.29)*Driver_macroeconómicos_Agricult!V$8))</f>
        <v>4.9634748732681082E-2</v>
      </c>
      <c r="AH34" s="192">
        <f>AG34*(1+(0.29*Driver_macroeconómicos_Agricult!W$40+(1-0.29)*Driver_macroeconómicos_Agricult!W$8))</f>
        <v>5.0232613805786433E-2</v>
      </c>
      <c r="AI34" s="192">
        <f>AH34*(1+(0.29*Driver_macroeconómicos_Agricult!X$40+(1-0.29)*Driver_macroeconómicos_Agricult!X$8))</f>
        <v>5.0754229794013013E-2</v>
      </c>
      <c r="AJ34" s="192">
        <f>AI34*(1+(0.29*Driver_macroeconómicos_Agricult!Y$40+(1-0.29)*Driver_macroeconómicos_Agricult!Y$8))</f>
        <v>5.1503050836520951E-2</v>
      </c>
      <c r="AK34" s="192">
        <f>AJ34*(1+(0.29*Driver_macroeconómicos_Agricult!Z$40+(1-0.29)*Driver_macroeconómicos_Agricult!Z$8))</f>
        <v>5.2196939639889958E-2</v>
      </c>
      <c r="AL34" s="192">
        <f>AK34*(1+(0.29*Driver_macroeconómicos_Agricult!AA$40+(1-0.29)*Driver_macroeconómicos_Agricult!AA$8))</f>
        <v>5.2852731949307279E-2</v>
      </c>
      <c r="AM34" s="192">
        <f>AL34*(1+(0.29*Driver_macroeconómicos_Agricult!AB$40+(1-0.29)*Driver_macroeconómicos_Agricult!AB$8))</f>
        <v>5.3486512038225846E-2</v>
      </c>
      <c r="AN34" s="192">
        <f>AM34*(1+(0.29*Driver_macroeconómicos_Agricult!AC$40+(1-0.29)*Driver_macroeconómicos_Agricult!AC$8))</f>
        <v>5.4035197839461438E-2</v>
      </c>
      <c r="AO34" s="192">
        <f>AN34*(1+(0.29*Driver_macroeconómicos_Agricult!AD$40+(1-0.29)*Driver_macroeconómicos_Agricult!AD$8))</f>
        <v>5.4647254997430415E-2</v>
      </c>
      <c r="AP34" s="192">
        <f>AO34*(1+(0.29*Driver_macroeconómicos_Agricult!AE$40+(1-0.29)*Driver_macroeconómicos_Agricult!AE$8))</f>
        <v>5.52101210441747E-2</v>
      </c>
      <c r="AQ34" s="192">
        <f>AP34*(1+(0.29*Driver_macroeconómicos_Agricult!AF$40+(1-0.29)*Driver_macroeconómicos_Agricult!AF$8))</f>
        <v>5.585802195775965E-2</v>
      </c>
      <c r="AR34" s="192">
        <f>AQ34*(1+(0.29*Driver_macroeconómicos_Agricult!AG$40+(1-0.29)*Driver_macroeconómicos_Agricult!AG$8))</f>
        <v>5.6423714898376442E-2</v>
      </c>
      <c r="AS34" s="192">
        <f>AR34*(1+(0.29*Driver_macroeconómicos_Agricult!AH$40+(1-0.29)*Driver_macroeconómicos_Agricult!AH$8))</f>
        <v>5.6970272190151564E-2</v>
      </c>
      <c r="AT34" s="192">
        <f>AS34*(1+(0.29*Driver_macroeconómicos_Agricult!AI$40+(1-0.29)*Driver_macroeconómicos_Agricult!AI$8))</f>
        <v>5.7516336961451101E-2</v>
      </c>
      <c r="AU34" s="192">
        <f>AT34*(1+(0.29*Driver_macroeconómicos_Agricult!AJ$40+(1-0.29)*Driver_macroeconómicos_Agricult!AJ$8))</f>
        <v>5.8054917000823381E-2</v>
      </c>
      <c r="AV34" s="192">
        <f>AU34*(1+(0.29*Driver_macroeconómicos_Agricult!AK$40+(1-0.29)*Driver_macroeconómicos_Agricult!AK$8))</f>
        <v>5.8625300552674023E-2</v>
      </c>
      <c r="AW34" s="192">
        <f>AV34*(1+(0.29*Driver_macroeconómicos_Agricult!AL$40+(1-0.29)*Driver_macroeconómicos_Agricult!AL$8))</f>
        <v>5.9156789196637846E-2</v>
      </c>
      <c r="AX34" s="192">
        <f>AW34*(1+(0.29*Driver_macroeconómicos_Agricult!AM$40+(1-0.29)*Driver_macroeconómicos_Agricult!AM$8))</f>
        <v>5.9679142071196137E-2</v>
      </c>
      <c r="AY34" s="192">
        <f>AX34*(1+(0.29*Driver_macroeconómicos_Agricult!AN$40+(1-0.29)*Driver_macroeconómicos_Agricult!AN$8))</f>
        <v>6.0198703651937059E-2</v>
      </c>
      <c r="AZ34" s="192">
        <f>AY34*(1+(0.29*Driver_macroeconómicos_Agricult!AO$40+(1-0.29)*Driver_macroeconómicos_Agricult!AO$8))</f>
        <v>6.0709287784897245E-2</v>
      </c>
      <c r="BA34" s="192">
        <f>AZ34*(1+(0.29*Driver_macroeconómicos_Agricult!AP$40+(1-0.29)*Driver_macroeconómicos_Agricult!AP$8))</f>
        <v>6.1217172220255342E-2</v>
      </c>
      <c r="BB34" s="192">
        <f>BA34*(1+(0.29*Driver_macroeconómicos_Agricult!AQ$40+(1-0.29)*Driver_macroeconómicos_Agricult!AQ$8))</f>
        <v>6.1703988771672429E-2</v>
      </c>
      <c r="BC34" s="192">
        <f>BB34*(1+(0.29*Driver_macroeconómicos_Agricult!AR$40+(1-0.29)*Driver_macroeconómicos_Agricult!AR$8))</f>
        <v>6.2182500588641609E-2</v>
      </c>
      <c r="BD34" s="192">
        <f>BC34*(1+(0.29*Driver_macroeconómicos_Agricult!AS$40+(1-0.29)*Driver_macroeconómicos_Agricult!AS$8))</f>
        <v>6.2652193680375598E-2</v>
      </c>
      <c r="BE34" s="192">
        <f>BD34*(1+(0.29*Driver_macroeconómicos_Agricult!AT$40+(1-0.29)*Driver_macroeconómicos_Agricult!AT$8))</f>
        <v>6.3111208062159904E-2</v>
      </c>
      <c r="BF34" s="192">
        <f>BE34*(1+(0.29*Driver_macroeconómicos_Agricult!AU$40+(1-0.29)*Driver_macroeconómicos_Agricult!AU$8))</f>
        <v>6.3557898001418603E-2</v>
      </c>
      <c r="BG34" s="192">
        <f>BF34*(1+(0.29*Driver_macroeconómicos_Agricult!AV$40+(1-0.29)*Driver_macroeconómicos_Agricult!AV$8))</f>
        <v>6.3993118001044014E-2</v>
      </c>
      <c r="BH34" s="192">
        <f>BG34*(1+(0.29*Driver_macroeconómicos_Agricult!AW$40+(1-0.29)*Driver_macroeconómicos_Agricult!AW$8))</f>
        <v>6.4417115548507195E-2</v>
      </c>
      <c r="BI34" s="192">
        <f>BH34*(1+(0.29*Driver_macroeconómicos_Agricult!AX$40+(1-0.29)*Driver_macroeconómicos_Agricult!AX$8))</f>
        <v>6.4829767153814527E-2</v>
      </c>
      <c r="BJ34" s="192">
        <f>BI34*(1+(0.29*Driver_macroeconómicos_Agricult!AY$40+(1-0.29)*Driver_macroeconómicos_Agricult!AY$8))</f>
        <v>6.5230035078692655E-2</v>
      </c>
      <c r="BK34" s="192">
        <f>BJ34*(1+(0.29*Driver_macroeconómicos_Agricult!AZ$40+(1-0.29)*Driver_macroeconómicos_Agricult!AZ$8))</f>
        <v>6.5617660434486275E-2</v>
      </c>
      <c r="BL34" s="192">
        <f>BK34*(1+(0.29*Driver_macroeconómicos_Agricult!BA$40+(1-0.29)*Driver_macroeconómicos_Agricult!BA$8))</f>
        <v>6.5992077047574038E-2</v>
      </c>
      <c r="BM34" s="192">
        <f>BL34*(1+(0.29*Driver_macroeconómicos_Agricult!BB$40+(1-0.29)*Driver_macroeconómicos_Agricult!BB$8))</f>
        <v>6.6353722416362823E-2</v>
      </c>
      <c r="BN34" s="192">
        <f>BM34*(1+(0.29*Driver_macroeconómicos_Agricult!BC$40+(1-0.29)*Driver_macroeconómicos_Agricult!BC$8))</f>
        <v>6.6702280545841777E-2</v>
      </c>
      <c r="BO34" s="192">
        <f>BN34*(1+(0.29*Driver_macroeconómicos_Agricult!BD$40+(1-0.29)*Driver_macroeconómicos_Agricult!BD$8))</f>
        <v>6.7037430512289067E-2</v>
      </c>
      <c r="BP34" s="182"/>
    </row>
    <row r="35" spans="1:96" ht="14.25" customHeight="1" x14ac:dyDescent="0.3">
      <c r="A35" s="982"/>
      <c r="D35" s="944"/>
      <c r="E35" s="183"/>
      <c r="F35" s="185" t="s">
        <v>388</v>
      </c>
      <c r="G35" s="190">
        <f t="shared" ref="G35:R35" si="48">G19/1000000</f>
        <v>0.19697200000000001</v>
      </c>
      <c r="H35" s="190">
        <f t="shared" si="48"/>
        <v>0.17632600000000001</v>
      </c>
      <c r="I35" s="190">
        <f t="shared" si="48"/>
        <v>0.14566100000000001</v>
      </c>
      <c r="J35" s="190">
        <f t="shared" si="48"/>
        <v>0.18004899999999999</v>
      </c>
      <c r="K35" s="190">
        <f t="shared" si="48"/>
        <v>0.175841</v>
      </c>
      <c r="L35" s="191">
        <f t="shared" si="48"/>
        <v>0.175367</v>
      </c>
      <c r="M35" s="191">
        <f t="shared" si="48"/>
        <v>0.149696</v>
      </c>
      <c r="N35" s="191">
        <f t="shared" si="48"/>
        <v>0.17205699999999999</v>
      </c>
      <c r="O35" s="191">
        <f t="shared" si="48"/>
        <v>0.16350400000000001</v>
      </c>
      <c r="P35" s="191">
        <f t="shared" si="48"/>
        <v>0.195711</v>
      </c>
      <c r="Q35" s="191">
        <f t="shared" si="48"/>
        <v>0.186835</v>
      </c>
      <c r="R35" s="191">
        <f t="shared" si="48"/>
        <v>0.17084299999999999</v>
      </c>
      <c r="S35" s="191">
        <f t="shared" ref="S35" si="49">S19/1000000</f>
        <v>0.17689230288687302</v>
      </c>
      <c r="T35" s="192">
        <f>S35*(1+(0.29*Driver_macroeconómicos_Agricult!I$40+(1-0.29)*Driver_macroeconómicos_Agricult!I$8))</f>
        <v>0.17601606260095576</v>
      </c>
      <c r="U35" s="192">
        <f>T35*(1+(0.29*Driver_macroeconómicos_Agricult!J$40+(1-0.29)*Driver_macroeconómicos_Agricult!J$8))</f>
        <v>0.18674156165618253</v>
      </c>
      <c r="V35" s="192">
        <f>U35*(1+(0.29*Driver_macroeconómicos_Agricult!K$40+(1-0.29)*Driver_macroeconómicos_Agricult!K$8))</f>
        <v>0.18706394766357665</v>
      </c>
      <c r="W35" s="192">
        <f>V35*(1+(0.29*Driver_macroeconómicos_Agricult!L$40+(1-0.29)*Driver_macroeconómicos_Agricult!L$8))</f>
        <v>0.19829127933848134</v>
      </c>
      <c r="X35" s="192">
        <f>W35*(1+(0.29*Driver_macroeconómicos_Agricult!M$40+(1-0.29)*Driver_macroeconómicos_Agricult!M$8))</f>
        <v>0.20322154940610307</v>
      </c>
      <c r="Y35" s="192">
        <f>X35*(1+(0.29*Driver_macroeconómicos_Agricult!N$40+(1-0.29)*Driver_macroeconómicos_Agricult!N$8))</f>
        <v>0.20837416691782645</v>
      </c>
      <c r="Z35" s="192">
        <f>Y35*(1+(0.29*Driver_macroeconómicos_Agricult!O$40+(1-0.29)*Driver_macroeconómicos_Agricult!O$8))</f>
        <v>0.21296234690784369</v>
      </c>
      <c r="AA35" s="192">
        <f>Z35*(1+(0.29*Driver_macroeconómicos_Agricult!P$40+(1-0.29)*Driver_macroeconómicos_Agricult!P$8))</f>
        <v>0.21832718353330444</v>
      </c>
      <c r="AB35" s="192">
        <f>AA35*(1+(0.29*Driver_macroeconómicos_Agricult!Q$40+(1-0.29)*Driver_macroeconómicos_Agricult!Q$8))</f>
        <v>0.21561775699717076</v>
      </c>
      <c r="AC35" s="192">
        <f>AB35*(1+(0.29*Driver_macroeconómicos_Agricult!R$40+(1-0.29)*Driver_macroeconómicos_Agricult!R$8))</f>
        <v>0.21962900067447311</v>
      </c>
      <c r="AD35" s="192">
        <f>AC35*(1+(0.29*Driver_macroeconómicos_Agricult!S$40+(1-0.29)*Driver_macroeconómicos_Agricult!S$8))</f>
        <v>0.22447900142514535</v>
      </c>
      <c r="AE35" s="192">
        <f>AD35*(1+(0.29*Driver_macroeconómicos_Agricult!T$40+(1-0.29)*Driver_macroeconómicos_Agricult!T$8))</f>
        <v>0.22801981375713204</v>
      </c>
      <c r="AF35" s="192">
        <f>AE35*(1+(0.29*Driver_macroeconómicos_Agricult!U$40+(1-0.29)*Driver_macroeconómicos_Agricult!U$8))</f>
        <v>0.23140668225403724</v>
      </c>
      <c r="AG35" s="192">
        <f>AF35*(1+(0.29*Driver_macroeconómicos_Agricult!V$40+(1-0.29)*Driver_macroeconómicos_Agricult!V$8))</f>
        <v>0.23467936765470471</v>
      </c>
      <c r="AH35" s="192">
        <f>AG35*(1+(0.29*Driver_macroeconómicos_Agricult!W$40+(1-0.29)*Driver_macroeconómicos_Agricult!W$8))</f>
        <v>0.2375061493123464</v>
      </c>
      <c r="AI35" s="192">
        <f>AH35*(1+(0.29*Driver_macroeconómicos_Agricult!X$40+(1-0.29)*Driver_macroeconómicos_Agricult!X$8))</f>
        <v>0.23997241565600971</v>
      </c>
      <c r="AJ35" s="192">
        <f>AI35*(1+(0.29*Driver_macroeconómicos_Agricult!Y$40+(1-0.29)*Driver_macroeconómicos_Agricult!Y$8))</f>
        <v>0.24351293622333944</v>
      </c>
      <c r="AK35" s="192">
        <f>AJ35*(1+(0.29*Driver_macroeconómicos_Agricult!Z$40+(1-0.29)*Driver_macroeconómicos_Agricult!Z$8))</f>
        <v>0.24679373021857726</v>
      </c>
      <c r="AL35" s="192">
        <f>AK35*(1+(0.29*Driver_macroeconómicos_Agricult!AA$40+(1-0.29)*Driver_macroeconómicos_Agricult!AA$8))</f>
        <v>0.24989439917362208</v>
      </c>
      <c r="AM35" s="192">
        <f>AL35*(1+(0.29*Driver_macroeconómicos_Agricult!AB$40+(1-0.29)*Driver_macroeconómicos_Agricult!AB$8))</f>
        <v>0.25289099156699951</v>
      </c>
      <c r="AN35" s="192">
        <f>AM35*(1+(0.29*Driver_macroeconómicos_Agricult!AC$40+(1-0.29)*Driver_macroeconómicos_Agricult!AC$8))</f>
        <v>0.25548524740918332</v>
      </c>
      <c r="AO35" s="192">
        <f>AN35*(1+(0.29*Driver_macroeconómicos_Agricult!AD$40+(1-0.29)*Driver_macroeconómicos_Agricult!AD$8))</f>
        <v>0.25837913103845855</v>
      </c>
      <c r="AP35" s="192">
        <f>AO35*(1+(0.29*Driver_macroeconómicos_Agricult!AE$40+(1-0.29)*Driver_macroeconómicos_Agricult!AE$8))</f>
        <v>0.26104043287430884</v>
      </c>
      <c r="AQ35" s="192">
        <f>AP35*(1+(0.29*Driver_macroeconómicos_Agricult!AF$40+(1-0.29)*Driver_macroeconómicos_Agricult!AF$8))</f>
        <v>0.26410379031209735</v>
      </c>
      <c r="AR35" s="192">
        <f>AQ35*(1+(0.29*Driver_macroeconómicos_Agricult!AG$40+(1-0.29)*Driver_macroeconómicos_Agricult!AG$8))</f>
        <v>0.2667784580595996</v>
      </c>
      <c r="AS35" s="192">
        <f>AR35*(1+(0.29*Driver_macroeconómicos_Agricult!AH$40+(1-0.29)*Driver_macroeconómicos_Agricult!AH$8))</f>
        <v>0.26936265003993293</v>
      </c>
      <c r="AT35" s="192">
        <f>AS35*(1+(0.29*Driver_macroeconómicos_Agricult!AI$40+(1-0.29)*Driver_macroeconómicos_Agricult!AI$8))</f>
        <v>0.27194451332118508</v>
      </c>
      <c r="AU35" s="192">
        <f>AT35*(1+(0.29*Driver_macroeconómicos_Agricult!AJ$40+(1-0.29)*Driver_macroeconómicos_Agricult!AJ$8))</f>
        <v>0.27449098784354148</v>
      </c>
      <c r="AV35" s="192">
        <f>AU35*(1+(0.29*Driver_macroeconómicos_Agricult!AK$40+(1-0.29)*Driver_macroeconómicos_Agricult!AK$8))</f>
        <v>0.27718783339402209</v>
      </c>
      <c r="AW35" s="192">
        <f>AV35*(1+(0.29*Driver_macroeconómicos_Agricult!AL$40+(1-0.29)*Driver_macroeconómicos_Agricult!AL$8))</f>
        <v>0.27970077890227568</v>
      </c>
      <c r="AX35" s="192">
        <f>AW35*(1+(0.29*Driver_macroeconómicos_Agricult!AM$40+(1-0.29)*Driver_macroeconómicos_Agricult!AM$8))</f>
        <v>0.28217052933768472</v>
      </c>
      <c r="AY35" s="192">
        <f>AX35*(1+(0.29*Driver_macroeconómicos_Agricult!AN$40+(1-0.29)*Driver_macroeconómicos_Agricult!AN$8))</f>
        <v>0.28462708218300364</v>
      </c>
      <c r="AZ35" s="192">
        <f>AY35*(1+(0.29*Driver_macroeconómicos_Agricult!AO$40+(1-0.29)*Driver_macroeconómicos_Agricult!AO$8))</f>
        <v>0.28704118852013771</v>
      </c>
      <c r="BA35" s="192">
        <f>AZ35*(1+(0.29*Driver_macroeconómicos_Agricult!AP$40+(1-0.29)*Driver_macroeconómicos_Agricult!AP$8))</f>
        <v>0.28944253034566864</v>
      </c>
      <c r="BB35" s="192">
        <f>BA35*(1+(0.29*Driver_macroeconómicos_Agricult!AQ$40+(1-0.29)*Driver_macroeconómicos_Agricult!AQ$8))</f>
        <v>0.29174426055217578</v>
      </c>
      <c r="BC35" s="192">
        <f>BB35*(1+(0.29*Driver_macroeconómicos_Agricult!AR$40+(1-0.29)*Driver_macroeconómicos_Agricult!AR$8))</f>
        <v>0.29400672492419122</v>
      </c>
      <c r="BD35" s="192">
        <f>BC35*(1+(0.29*Driver_macroeconómicos_Agricult!AS$40+(1-0.29)*Driver_macroeconómicos_Agricult!AS$8))</f>
        <v>0.29622749324828546</v>
      </c>
      <c r="BE35" s="192">
        <f>BD35*(1+(0.29*Driver_macroeconómicos_Agricult!AT$40+(1-0.29)*Driver_macroeconómicos_Agricult!AT$8))</f>
        <v>0.29839777128155831</v>
      </c>
      <c r="BF35" s="192">
        <f>BE35*(1+(0.29*Driver_macroeconómicos_Agricult!AU$40+(1-0.29)*Driver_macroeconómicos_Agricult!AU$8))</f>
        <v>0.30050977779231008</v>
      </c>
      <c r="BG35" s="192">
        <f>BF35*(1+(0.29*Driver_macroeconómicos_Agricult!AV$40+(1-0.29)*Driver_macroeconómicos_Agricult!AV$8))</f>
        <v>0.30256755297825599</v>
      </c>
      <c r="BH35" s="192">
        <f>BG35*(1+(0.29*Driver_macroeconómicos_Agricult!AW$40+(1-0.29)*Driver_macroeconómicos_Agricult!AW$8))</f>
        <v>0.30457226699145074</v>
      </c>
      <c r="BI35" s="192">
        <f>BH35*(1+(0.29*Driver_macroeconómicos_Agricult!AX$40+(1-0.29)*Driver_macroeconómicos_Agricult!AX$8))</f>
        <v>0.30652333595559078</v>
      </c>
      <c r="BJ35" s="192">
        <f>BI35*(1+(0.29*Driver_macroeconómicos_Agricult!AY$40+(1-0.29)*Driver_macroeconómicos_Agricult!AY$8))</f>
        <v>0.30841585331291166</v>
      </c>
      <c r="BK35" s="192">
        <f>BJ35*(1+(0.29*Driver_macroeconómicos_Agricult!AZ$40+(1-0.29)*Driver_macroeconómicos_Agricult!AZ$8))</f>
        <v>0.31024859500511809</v>
      </c>
      <c r="BL35" s="192">
        <f>BK35*(1+(0.29*Driver_macroeconómicos_Agricult!BA$40+(1-0.29)*Driver_macroeconómicos_Agricult!BA$8))</f>
        <v>0.31201888409174339</v>
      </c>
      <c r="BM35" s="192">
        <f>BL35*(1+(0.29*Driver_macroeconómicos_Agricult!BB$40+(1-0.29)*Driver_macroeconómicos_Agricult!BB$8))</f>
        <v>0.31372878912057095</v>
      </c>
      <c r="BN35" s="192">
        <f>BM35*(1+(0.29*Driver_macroeconómicos_Agricult!BC$40+(1-0.29)*Driver_macroeconómicos_Agricult!BC$8))</f>
        <v>0.31537681602723622</v>
      </c>
      <c r="BO35" s="192">
        <f>BN35*(1+(0.29*Driver_macroeconómicos_Agricult!BD$40+(1-0.29)*Driver_macroeconómicos_Agricult!BD$8))</f>
        <v>0.31696144744380589</v>
      </c>
      <c r="BP35" s="182"/>
    </row>
    <row r="36" spans="1:96" ht="13.5" customHeight="1" x14ac:dyDescent="0.3">
      <c r="A36" s="982"/>
      <c r="D36" s="944"/>
      <c r="E36" s="183"/>
      <c r="F36" s="185" t="s">
        <v>389</v>
      </c>
      <c r="G36" s="190">
        <f t="shared" ref="G36:R36" si="50">G20/1000000</f>
        <v>2.7980000000000001E-3</v>
      </c>
      <c r="H36" s="190">
        <f t="shared" si="50"/>
        <v>1.668E-3</v>
      </c>
      <c r="I36" s="190">
        <f t="shared" si="50"/>
        <v>3.1150000000000001E-3</v>
      </c>
      <c r="J36" s="190">
        <f t="shared" si="50"/>
        <v>1.353E-3</v>
      </c>
      <c r="K36" s="190">
        <f t="shared" si="50"/>
        <v>9.8440000000000003E-3</v>
      </c>
      <c r="L36" s="191">
        <f t="shared" si="50"/>
        <v>1.0361E-2</v>
      </c>
      <c r="M36" s="191">
        <f t="shared" si="50"/>
        <v>1.5758000000000001E-2</v>
      </c>
      <c r="N36" s="191">
        <f t="shared" si="50"/>
        <v>2.2173999999999999E-2</v>
      </c>
      <c r="O36" s="191">
        <f t="shared" si="50"/>
        <v>2.2915999999999999E-2</v>
      </c>
      <c r="P36" s="191">
        <f t="shared" si="50"/>
        <v>1.8966E-2</v>
      </c>
      <c r="Q36" s="191">
        <f t="shared" si="50"/>
        <v>1.7247999999999999E-2</v>
      </c>
      <c r="R36" s="191">
        <f t="shared" si="50"/>
        <v>1.3710999999999999E-2</v>
      </c>
      <c r="S36" s="191">
        <f t="shared" ref="S36" si="51">S20/1000000</f>
        <v>1.5923912236602625E-2</v>
      </c>
      <c r="T36" s="192">
        <f>S36*(1+(0.29*Driver_macroeconómicos_Agricult!I$40+(1-0.29)*Driver_macroeconómicos_Agricult!I$8))</f>
        <v>1.5845032753530681E-2</v>
      </c>
      <c r="U36" s="192">
        <f>T36*(1+(0.29*Driver_macroeconómicos_Agricult!J$40+(1-0.29)*Driver_macroeconómicos_Agricult!J$8))</f>
        <v>1.6810546248814989E-2</v>
      </c>
      <c r="V36" s="192">
        <f>U36*(1+(0.29*Driver_macroeconómicos_Agricult!K$40+(1-0.29)*Driver_macroeconómicos_Agricult!K$8))</f>
        <v>1.6839567559546274E-2</v>
      </c>
      <c r="W36" s="192">
        <f>V36*(1+(0.29*Driver_macroeconómicos_Agricult!L$40+(1-0.29)*Driver_macroeconómicos_Agricult!L$8))</f>
        <v>1.7850256217699742E-2</v>
      </c>
      <c r="X36" s="192">
        <f>W36*(1+(0.29*Driver_macroeconómicos_Agricult!M$40+(1-0.29)*Driver_macroeconómicos_Agricult!M$8))</f>
        <v>1.8294081000227256E-2</v>
      </c>
      <c r="Y36" s="192">
        <f>X36*(1+(0.29*Driver_macroeconómicos_Agricult!N$40+(1-0.29)*Driver_macroeconómicos_Agricult!N$8))</f>
        <v>1.8757921584053774E-2</v>
      </c>
      <c r="Z36" s="192">
        <f>Y36*(1+(0.29*Driver_macroeconómicos_Agricult!O$40+(1-0.29)*Driver_macroeconómicos_Agricult!O$8))</f>
        <v>1.9170951287971957E-2</v>
      </c>
      <c r="AA36" s="192">
        <f>Z36*(1+(0.29*Driver_macroeconómicos_Agricult!P$40+(1-0.29)*Driver_macroeconómicos_Agricult!P$8))</f>
        <v>1.9653895916954385E-2</v>
      </c>
      <c r="AB36" s="192">
        <f>AA36*(1+(0.29*Driver_macroeconómicos_Agricult!Q$40+(1-0.29)*Driver_macroeconómicos_Agricult!Q$8))</f>
        <v>1.9409992311942768E-2</v>
      </c>
      <c r="AC36" s="192">
        <f>AB36*(1+(0.29*Driver_macroeconómicos_Agricult!R$40+(1-0.29)*Driver_macroeconómicos_Agricult!R$8))</f>
        <v>1.9771085990042708E-2</v>
      </c>
      <c r="AD36" s="192">
        <f>AC36*(1+(0.29*Driver_macroeconómicos_Agricult!S$40+(1-0.29)*Driver_macroeconómicos_Agricult!S$8))</f>
        <v>2.0207684898196177E-2</v>
      </c>
      <c r="AE36" s="192">
        <f>AD36*(1+(0.29*Driver_macroeconómicos_Agricult!T$40+(1-0.29)*Driver_macroeconómicos_Agricult!T$8))</f>
        <v>2.0526430168061847E-2</v>
      </c>
      <c r="AF36" s="192">
        <f>AE36*(1+(0.29*Driver_macroeconómicos_Agricult!U$40+(1-0.29)*Driver_macroeconómicos_Agricult!U$8))</f>
        <v>2.0831317355471713E-2</v>
      </c>
      <c r="AG36" s="192">
        <f>AF36*(1+(0.29*Driver_macroeconómicos_Agricult!V$40+(1-0.29)*Driver_macroeconómicos_Agricult!V$8))</f>
        <v>2.1125925737225708E-2</v>
      </c>
      <c r="AH36" s="192">
        <f>AG36*(1+(0.29*Driver_macroeconómicos_Agricult!W$40+(1-0.29)*Driver_macroeconómicos_Agricult!W$8))</f>
        <v>2.138039369481181E-2</v>
      </c>
      <c r="AI36" s="192">
        <f>AH36*(1+(0.29*Driver_macroeconómicos_Agricult!X$40+(1-0.29)*Driver_macroeconómicos_Agricult!X$8))</f>
        <v>2.1602407927017817E-2</v>
      </c>
      <c r="AJ36" s="192">
        <f>AI36*(1+(0.29*Driver_macroeconómicos_Agricult!Y$40+(1-0.29)*Driver_macroeconómicos_Agricult!Y$8))</f>
        <v>2.1921126932118343E-2</v>
      </c>
      <c r="AK36" s="192">
        <f>AJ36*(1+(0.29*Driver_macroeconómicos_Agricult!Z$40+(1-0.29)*Driver_macroeconómicos_Agricult!Z$8))</f>
        <v>2.221646525263278E-2</v>
      </c>
      <c r="AL36" s="192">
        <f>AK36*(1+(0.29*Driver_macroeconómicos_Agricult!AA$40+(1-0.29)*Driver_macroeconómicos_Agricult!AA$8))</f>
        <v>2.2495588648671492E-2</v>
      </c>
      <c r="AM36" s="192">
        <f>AL36*(1+(0.29*Driver_macroeconómicos_Agricult!AB$40+(1-0.29)*Driver_macroeconómicos_Agricult!AB$8))</f>
        <v>2.2765343033131789E-2</v>
      </c>
      <c r="AN36" s="192">
        <f>AM36*(1+(0.29*Driver_macroeconómicos_Agricult!AC$40+(1-0.29)*Driver_macroeconómicos_Agricult!AC$8))</f>
        <v>2.29988789285667E-2</v>
      </c>
      <c r="AO36" s="192">
        <f>AN36*(1+(0.29*Driver_macroeconómicos_Agricult!AD$40+(1-0.29)*Driver_macroeconómicos_Agricult!AD$8))</f>
        <v>2.3259387431104485E-2</v>
      </c>
      <c r="AP36" s="192">
        <f>AO36*(1+(0.29*Driver_macroeconómicos_Agricult!AE$40+(1-0.29)*Driver_macroeconómicos_Agricult!AE$8))</f>
        <v>2.3498958832333237E-2</v>
      </c>
      <c r="AQ36" s="192">
        <f>AP36*(1+(0.29*Driver_macroeconómicos_Agricult!AF$40+(1-0.29)*Driver_macroeconómicos_Agricult!AF$8))</f>
        <v>2.377472343142879E-2</v>
      </c>
      <c r="AR36" s="192">
        <f>AQ36*(1+(0.29*Driver_macroeconómicos_Agricult!AG$40+(1-0.29)*Driver_macroeconómicos_Agricult!AG$8))</f>
        <v>2.4015498037096822E-2</v>
      </c>
      <c r="AS36" s="192">
        <f>AR36*(1+(0.29*Driver_macroeconómicos_Agricult!AH$40+(1-0.29)*Driver_macroeconómicos_Agricult!AH$8))</f>
        <v>2.4248127979868705E-2</v>
      </c>
      <c r="AT36" s="192">
        <f>AS36*(1+(0.29*Driver_macroeconómicos_Agricult!AI$40+(1-0.29)*Driver_macroeconómicos_Agricult!AI$8))</f>
        <v>2.448054829226556E-2</v>
      </c>
      <c r="AU36" s="192">
        <f>AT36*(1+(0.29*Driver_macroeconómicos_Agricult!AJ$40+(1-0.29)*Driver_macroeconómicos_Agricult!AJ$8))</f>
        <v>2.4709782895156563E-2</v>
      </c>
      <c r="AV36" s="192">
        <f>AU36*(1+(0.29*Driver_macroeconómicos_Agricult!AK$40+(1-0.29)*Driver_macroeconómicos_Agricult!AK$8))</f>
        <v>2.4952553955065196E-2</v>
      </c>
      <c r="AW36" s="192">
        <f>AV36*(1+(0.29*Driver_macroeconómicos_Agricult!AL$40+(1-0.29)*Driver_macroeconómicos_Agricult!AL$8))</f>
        <v>2.5178770263382388E-2</v>
      </c>
      <c r="AX36" s="192">
        <f>AW36*(1+(0.29*Driver_macroeconómicos_Agricult!AM$40+(1-0.29)*Driver_macroeconómicos_Agricult!AM$8))</f>
        <v>2.5401098134849559E-2</v>
      </c>
      <c r="AY36" s="192">
        <f>AX36*(1+(0.29*Driver_macroeconómicos_Agricult!AN$40+(1-0.29)*Driver_macroeconómicos_Agricult!AN$8))</f>
        <v>2.5622237954248329E-2</v>
      </c>
      <c r="AZ36" s="192">
        <f>AY36*(1+(0.29*Driver_macroeconómicos_Agricult!AO$40+(1-0.29)*Driver_macroeconómicos_Agricult!AO$8))</f>
        <v>2.5839556722871821E-2</v>
      </c>
      <c r="BA36" s="192">
        <f>AZ36*(1+(0.29*Driver_macroeconómicos_Agricult!AP$40+(1-0.29)*Driver_macroeconómicos_Agricult!AP$8))</f>
        <v>2.6055726425316658E-2</v>
      </c>
      <c r="BB36" s="192">
        <f>BA36*(1+(0.29*Driver_macroeconómicos_Agricult!AQ$40+(1-0.29)*Driver_macroeconómicos_Agricult!AQ$8))</f>
        <v>2.6262929052014314E-2</v>
      </c>
      <c r="BC36" s="192">
        <f>BB36*(1+(0.29*Driver_macroeconómicos_Agricult!AR$40+(1-0.29)*Driver_macroeconómicos_Agricult!AR$8))</f>
        <v>2.6466596953389619E-2</v>
      </c>
      <c r="BD36" s="192">
        <f>BC36*(1+(0.29*Driver_macroeconómicos_Agricult!AS$40+(1-0.29)*Driver_macroeconómicos_Agricult!AS$8))</f>
        <v>2.6666511360707384E-2</v>
      </c>
      <c r="BE36" s="192">
        <f>BD36*(1+(0.29*Driver_macroeconómicos_Agricult!AT$40+(1-0.29)*Driver_macroeconómicos_Agricult!AT$8))</f>
        <v>2.6861880612884314E-2</v>
      </c>
      <c r="BF36" s="192">
        <f>BE36*(1+(0.29*Driver_macroeconómicos_Agricult!AU$40+(1-0.29)*Driver_macroeconómicos_Agricult!AU$8))</f>
        <v>2.7052004240489824E-2</v>
      </c>
      <c r="BG36" s="192">
        <f>BF36*(1+(0.29*Driver_macroeconómicos_Agricult!AV$40+(1-0.29)*Driver_macroeconómicos_Agricult!AV$8))</f>
        <v>2.7237245943655491E-2</v>
      </c>
      <c r="BH36" s="192">
        <f>BG36*(1+(0.29*Driver_macroeconómicos_Agricult!AW$40+(1-0.29)*Driver_macroeconómicos_Agricult!AW$8))</f>
        <v>2.7417711059913349E-2</v>
      </c>
      <c r="BI36" s="192">
        <f>BH36*(1+(0.29*Driver_macroeconómicos_Agricult!AX$40+(1-0.29)*Driver_macroeconómicos_Agricult!AX$8))</f>
        <v>2.7593347028496983E-2</v>
      </c>
      <c r="BJ36" s="192">
        <f>BI36*(1+(0.29*Driver_macroeconómicos_Agricult!AY$40+(1-0.29)*Driver_macroeconómicos_Agricult!AY$8))</f>
        <v>2.7763712159214388E-2</v>
      </c>
      <c r="BK36" s="192">
        <f>BJ36*(1+(0.29*Driver_macroeconómicos_Agricult!AZ$40+(1-0.29)*Driver_macroeconómicos_Agricult!AZ$8))</f>
        <v>2.7928696261873293E-2</v>
      </c>
      <c r="BL36" s="192">
        <f>BK36*(1+(0.29*Driver_macroeconómicos_Agricult!BA$40+(1-0.29)*Driver_macroeconómicos_Agricult!BA$8))</f>
        <v>2.8088058357276985E-2</v>
      </c>
      <c r="BM36" s="192">
        <f>BL36*(1+(0.29*Driver_macroeconómicos_Agricult!BB$40+(1-0.29)*Driver_macroeconómicos_Agricult!BB$8))</f>
        <v>2.8241984656881939E-2</v>
      </c>
      <c r="BN36" s="192">
        <f>BM36*(1+(0.29*Driver_macroeconómicos_Agricult!BC$40+(1-0.29)*Driver_macroeconómicos_Agricult!BC$8))</f>
        <v>2.8390340664447063E-2</v>
      </c>
      <c r="BO36" s="192">
        <f>BN36*(1+(0.29*Driver_macroeconómicos_Agricult!BD$40+(1-0.29)*Driver_macroeconómicos_Agricult!BD$8))</f>
        <v>2.8532989785935159E-2</v>
      </c>
      <c r="BP36" s="182"/>
    </row>
    <row r="37" spans="1:96" ht="13.5" customHeight="1" x14ac:dyDescent="0.3">
      <c r="A37" s="960"/>
      <c r="B37" s="960"/>
      <c r="C37" s="960"/>
      <c r="D37" s="944"/>
      <c r="E37" s="183"/>
      <c r="F37" s="185" t="s">
        <v>390</v>
      </c>
      <c r="G37" s="190">
        <f t="shared" ref="G37:R37" si="52">G21/1000000</f>
        <v>5.9610000000000002E-3</v>
      </c>
      <c r="H37" s="190">
        <f t="shared" si="52"/>
        <v>6.5950000000000002E-3</v>
      </c>
      <c r="I37" s="190">
        <f t="shared" si="52"/>
        <v>6.6819999999999996E-3</v>
      </c>
      <c r="J37" s="190">
        <f t="shared" si="52"/>
        <v>9.3270000000000002E-3</v>
      </c>
      <c r="K37" s="190">
        <f t="shared" si="52"/>
        <v>6.8669999999999998E-3</v>
      </c>
      <c r="L37" s="191">
        <f t="shared" si="52"/>
        <v>7.724E-3</v>
      </c>
      <c r="M37" s="191">
        <f t="shared" si="52"/>
        <v>8.4539999999999997E-3</v>
      </c>
      <c r="N37" s="191">
        <f t="shared" si="52"/>
        <v>9.9860000000000001E-3</v>
      </c>
      <c r="O37" s="191">
        <f t="shared" si="52"/>
        <v>7.5079999999999999E-3</v>
      </c>
      <c r="P37" s="191">
        <f t="shared" si="52"/>
        <v>9.3159999999999996E-3</v>
      </c>
      <c r="Q37" s="191">
        <f t="shared" si="52"/>
        <v>5.2180000000000004E-3</v>
      </c>
      <c r="R37" s="191">
        <f t="shared" si="52"/>
        <v>7.4640000000000001E-3</v>
      </c>
      <c r="S37" s="191">
        <f t="shared" ref="S37" si="53">S21/1000000</f>
        <v>7.8539999999999999E-3</v>
      </c>
      <c r="T37" s="192">
        <f>S37*(1+(0.29*Driver_macroeconómicos_Agricult!I$40+(1-0.29)*Driver_macroeconómicos_Agricult!I$8))</f>
        <v>7.8150950216980593E-3</v>
      </c>
      <c r="U37" s="192">
        <f>T37*(1+(0.29*Driver_macroeconómicos_Agricult!J$40+(1-0.29)*Driver_macroeconómicos_Agricult!J$8))</f>
        <v>8.2913060733096344E-3</v>
      </c>
      <c r="V37" s="192">
        <f>U37*(1+(0.29*Driver_macroeconómicos_Agricult!K$40+(1-0.29)*Driver_macroeconómicos_Agricult!K$8))</f>
        <v>8.3056199787806522E-3</v>
      </c>
      <c r="W37" s="192">
        <f>V37*(1+(0.29*Driver_macroeconómicos_Agricult!L$40+(1-0.29)*Driver_macroeconómicos_Agricult!L$8))</f>
        <v>8.8041123469369664E-3</v>
      </c>
      <c r="X37" s="192">
        <f>W37*(1+(0.29*Driver_macroeconómicos_Agricult!M$40+(1-0.29)*Driver_macroeconómicos_Agricult!M$8))</f>
        <v>9.0230158293336249E-3</v>
      </c>
      <c r="Y37" s="192">
        <f>X37*(1+(0.29*Driver_macroeconómicos_Agricult!N$40+(1-0.29)*Driver_macroeconómicos_Agricult!N$8))</f>
        <v>9.2517915153110756E-3</v>
      </c>
      <c r="Z37" s="192">
        <f>Y37*(1+(0.29*Driver_macroeconómicos_Agricult!O$40+(1-0.29)*Driver_macroeconómicos_Agricult!O$8))</f>
        <v>9.4555062335520447E-3</v>
      </c>
      <c r="AA37" s="192">
        <f>Z37*(1+(0.29*Driver_macroeconómicos_Agricult!P$40+(1-0.29)*Driver_macroeconómicos_Agricult!P$8))</f>
        <v>9.6937044262869511E-3</v>
      </c>
      <c r="AB37" s="192">
        <f>AA37*(1+(0.29*Driver_macroeconómicos_Agricult!Q$40+(1-0.29)*Driver_macroeconómicos_Agricult!Q$8))</f>
        <v>9.5734061675865553E-3</v>
      </c>
      <c r="AC37" s="192">
        <f>AB37*(1+(0.29*Driver_macroeconómicos_Agricult!R$40+(1-0.29)*Driver_macroeconómicos_Agricult!R$8))</f>
        <v>9.7515049730596253E-3</v>
      </c>
      <c r="AD37" s="192">
        <f>AC37*(1+(0.29*Driver_macroeconómicos_Agricult!S$40+(1-0.29)*Driver_macroeconómicos_Agricult!S$8))</f>
        <v>9.9668445060642936E-3</v>
      </c>
      <c r="AE37" s="192">
        <f>AD37*(1+(0.29*Driver_macroeconómicos_Agricult!T$40+(1-0.29)*Driver_macroeconómicos_Agricult!T$8))</f>
        <v>1.0124056208334958E-2</v>
      </c>
      <c r="AF37" s="192">
        <f>AE37*(1+(0.29*Driver_macroeconómicos_Agricult!U$40+(1-0.29)*Driver_macroeconómicos_Agricult!U$8))</f>
        <v>1.0274432820208823E-2</v>
      </c>
      <c r="AG37" s="192">
        <f>AF37*(1+(0.29*Driver_macroeconómicos_Agricult!V$40+(1-0.29)*Driver_macroeconómicos_Agricult!V$8))</f>
        <v>1.0419739714388839E-2</v>
      </c>
      <c r="AH37" s="192">
        <f>AG37*(1+(0.29*Driver_macroeconómicos_Agricult!W$40+(1-0.29)*Driver_macroeconómicos_Agricult!W$8))</f>
        <v>1.0545248528377859E-2</v>
      </c>
      <c r="AI37" s="192">
        <f>AH37*(1+(0.29*Driver_macroeconómicos_Agricult!X$40+(1-0.29)*Driver_macroeconómicos_Agricult!X$8))</f>
        <v>1.0654750499616932E-2</v>
      </c>
      <c r="AJ37" s="192">
        <f>AI37*(1+(0.29*Driver_macroeconómicos_Agricult!Y$40+(1-0.29)*Driver_macroeconómicos_Agricult!Y$8))</f>
        <v>1.0811949247566927E-2</v>
      </c>
      <c r="AK37" s="192">
        <f>AJ37*(1+(0.29*Driver_macroeconómicos_Agricult!Z$40+(1-0.29)*Driver_macroeconómicos_Agricult!Z$8))</f>
        <v>1.0957616162509386E-2</v>
      </c>
      <c r="AL37" s="192">
        <f>AK37*(1+(0.29*Driver_macroeconómicos_Agricult!AA$40+(1-0.29)*Driver_macroeconómicos_Agricult!AA$8))</f>
        <v>1.1095285544248941E-2</v>
      </c>
      <c r="AM37" s="192">
        <f>AL37*(1+(0.29*Driver_macroeconómicos_Agricult!AB$40+(1-0.29)*Driver_macroeconómicos_Agricult!AB$8))</f>
        <v>1.1228333937386982E-2</v>
      </c>
      <c r="AN37" s="192">
        <f>AM37*(1+(0.29*Driver_macroeconómicos_Agricult!AC$40+(1-0.29)*Driver_macroeconómicos_Agricult!AC$8))</f>
        <v>1.1343518629156992E-2</v>
      </c>
      <c r="AO37" s="192">
        <f>AN37*(1+(0.29*Driver_macroeconómicos_Agricult!AD$40+(1-0.29)*Driver_macroeconómicos_Agricult!AD$8))</f>
        <v>1.1472006763764314E-2</v>
      </c>
      <c r="AP37" s="192">
        <f>AO37*(1+(0.29*Driver_macroeconómicos_Agricult!AE$40+(1-0.29)*Driver_macroeconómicos_Agricult!AE$8))</f>
        <v>1.1590168290736662E-2</v>
      </c>
      <c r="AQ37" s="192">
        <f>AP37*(1+(0.29*Driver_macroeconómicos_Agricult!AF$40+(1-0.29)*Driver_macroeconómicos_Agricult!AF$8))</f>
        <v>1.1726181044959086E-2</v>
      </c>
      <c r="AR37" s="192">
        <f>AQ37*(1+(0.29*Driver_macroeconómicos_Agricult!AG$40+(1-0.29)*Driver_macroeconómicos_Agricult!AG$8))</f>
        <v>1.1844936017029956E-2</v>
      </c>
      <c r="AS37" s="192">
        <f>AR37*(1+(0.29*Driver_macroeconómicos_Agricult!AH$40+(1-0.29)*Driver_macroeconómicos_Agricult!AH$8))</f>
        <v>1.195967387437199E-2</v>
      </c>
      <c r="AT37" s="192">
        <f>AS37*(1+(0.29*Driver_macroeconómicos_Agricult!AI$40+(1-0.29)*Driver_macroeconómicos_Agricult!AI$8))</f>
        <v>1.2074308337715048E-2</v>
      </c>
      <c r="AU37" s="192">
        <f>AT37*(1+(0.29*Driver_macroeconómicos_Agricult!AJ$40+(1-0.29)*Driver_macroeconómicos_Agricult!AJ$8))</f>
        <v>1.2187371543813831E-2</v>
      </c>
      <c r="AV37" s="192">
        <f>AU37*(1+(0.29*Driver_macroeconómicos_Agricult!AK$40+(1-0.29)*Driver_macroeconómicos_Agricult!AK$8))</f>
        <v>1.2307111208049082E-2</v>
      </c>
      <c r="AW37" s="192">
        <f>AV37*(1+(0.29*Driver_macroeconómicos_Agricult!AL$40+(1-0.29)*Driver_macroeconómicos_Agricult!AL$8))</f>
        <v>1.241868572938055E-2</v>
      </c>
      <c r="AX37" s="192">
        <f>AW37*(1+(0.29*Driver_macroeconómicos_Agricult!AM$40+(1-0.29)*Driver_macroeconómicos_Agricult!AM$8))</f>
        <v>1.2528342393933713E-2</v>
      </c>
      <c r="AY37" s="192">
        <f>AX37*(1+(0.29*Driver_macroeconómicos_Agricult!AN$40+(1-0.29)*Driver_macroeconómicos_Agricult!AN$8))</f>
        <v>1.2637413086848339E-2</v>
      </c>
      <c r="AZ37" s="192">
        <f>AY37*(1+(0.29*Driver_macroeconómicos_Agricult!AO$40+(1-0.29)*Driver_macroeconómicos_Agricult!AO$8))</f>
        <v>1.2744599159178331E-2</v>
      </c>
      <c r="BA37" s="192">
        <f>AZ37*(1+(0.29*Driver_macroeconómicos_Agricult!AP$40+(1-0.29)*Driver_macroeconómicos_Agricult!AP$8))</f>
        <v>1.2851218488509926E-2</v>
      </c>
      <c r="BB37" s="192">
        <f>BA37*(1+(0.29*Driver_macroeconómicos_Agricult!AQ$40+(1-0.29)*Driver_macroeconómicos_Agricult!AQ$8))</f>
        <v>1.2953415072232783E-2</v>
      </c>
      <c r="BC37" s="192">
        <f>BB37*(1+(0.29*Driver_macroeconómicos_Agricult!AR$40+(1-0.29)*Driver_macroeconómicos_Agricult!AR$8))</f>
        <v>1.3053868256954865E-2</v>
      </c>
      <c r="BD37" s="192">
        <f>BC37*(1+(0.29*Driver_macroeconómicos_Agricult!AS$40+(1-0.29)*Driver_macroeconómicos_Agricult!AS$8))</f>
        <v>1.3152470141450601E-2</v>
      </c>
      <c r="BE37" s="192">
        <f>BD37*(1+(0.29*Driver_macroeconómicos_Agricult!AT$40+(1-0.29)*Driver_macroeconómicos_Agricult!AT$8))</f>
        <v>1.3248830262242436E-2</v>
      </c>
      <c r="BF37" s="192">
        <f>BE37*(1+(0.29*Driver_macroeconómicos_Agricult!AU$40+(1-0.29)*Driver_macroeconómicos_Agricult!AU$8))</f>
        <v>1.3342603133445615E-2</v>
      </c>
      <c r="BG37" s="192">
        <f>BF37*(1+(0.29*Driver_macroeconómicos_Agricult!AV$40+(1-0.29)*Driver_macroeconómicos_Agricult!AV$8))</f>
        <v>1.3433968139421907E-2</v>
      </c>
      <c r="BH37" s="192">
        <f>BG37*(1+(0.29*Driver_macroeconómicos_Agricult!AW$40+(1-0.29)*Driver_macroeconómicos_Agricult!AW$8))</f>
        <v>1.3522977234801828E-2</v>
      </c>
      <c r="BI37" s="192">
        <f>BH37*(1+(0.29*Driver_macroeconómicos_Agricult!AX$40+(1-0.29)*Driver_macroeconómicos_Agricult!AX$8))</f>
        <v>1.3609604495537735E-2</v>
      </c>
      <c r="BJ37" s="192">
        <f>BI37*(1+(0.29*Driver_macroeconómicos_Agricult!AY$40+(1-0.29)*Driver_macroeconómicos_Agricult!AY$8))</f>
        <v>1.3693632070971042E-2</v>
      </c>
      <c r="BK37" s="192">
        <f>BJ37*(1+(0.29*Driver_macroeconómicos_Agricult!AZ$40+(1-0.29)*Driver_macroeconómicos_Agricult!AZ$8))</f>
        <v>1.3775005613039716E-2</v>
      </c>
      <c r="BL37" s="192">
        <f>BK37*(1+(0.29*Driver_macroeconómicos_Agricult!BA$40+(1-0.29)*Driver_macroeconómicos_Agricult!BA$8))</f>
        <v>1.3853606265863185E-2</v>
      </c>
      <c r="BM37" s="192">
        <f>BL37*(1+(0.29*Driver_macroeconómicos_Agricult!BB$40+(1-0.29)*Driver_macroeconómicos_Agricult!BB$8))</f>
        <v>1.3929525872749643E-2</v>
      </c>
      <c r="BN37" s="192">
        <f>BM37*(1+(0.29*Driver_macroeconómicos_Agricult!BC$40+(1-0.29)*Driver_macroeconómicos_Agricult!BC$8))</f>
        <v>1.4002698097395431E-2</v>
      </c>
      <c r="BO37" s="192">
        <f>BN37*(1+(0.29*Driver_macroeconómicos_Agricult!BD$40+(1-0.29)*Driver_macroeconómicos_Agricult!BD$8))</f>
        <v>1.407305556882084E-2</v>
      </c>
      <c r="BP37" s="182"/>
    </row>
    <row r="38" spans="1:96" ht="13.5" customHeight="1" x14ac:dyDescent="0.3">
      <c r="A38" s="48"/>
      <c r="B38" s="48"/>
      <c r="C38" s="48"/>
      <c r="D38" s="49"/>
      <c r="E38" s="194"/>
      <c r="F38" s="179" t="s">
        <v>391</v>
      </c>
      <c r="G38" s="195">
        <f t="shared" ref="G38:BO38" si="54">SUM(G24:G37)</f>
        <v>2.2090930000000002</v>
      </c>
      <c r="H38" s="195">
        <f t="shared" si="54"/>
        <v>2.322006</v>
      </c>
      <c r="I38" s="195">
        <f t="shared" si="54"/>
        <v>2.1174580000000005</v>
      </c>
      <c r="J38" s="195">
        <f t="shared" si="54"/>
        <v>2.1982849999999998</v>
      </c>
      <c r="K38" s="195">
        <f t="shared" si="54"/>
        <v>2.18066079792594</v>
      </c>
      <c r="L38" s="196">
        <f t="shared" si="54"/>
        <v>2.239098898578658</v>
      </c>
      <c r="M38" s="196">
        <f t="shared" si="54"/>
        <v>2.0209997947465599</v>
      </c>
      <c r="N38" s="196">
        <f t="shared" si="54"/>
        <v>2.1063629162024937</v>
      </c>
      <c r="O38" s="196">
        <f t="shared" si="54"/>
        <v>1.9798465956460121</v>
      </c>
      <c r="P38" s="196">
        <f t="shared" si="54"/>
        <v>1.9927485377522389</v>
      </c>
      <c r="Q38" s="196">
        <f t="shared" si="54"/>
        <v>1.9896447753948012</v>
      </c>
      <c r="R38" s="196">
        <f t="shared" si="54"/>
        <v>1.9946614556610387</v>
      </c>
      <c r="S38" s="180">
        <f t="shared" si="54"/>
        <v>1.8998463537985006</v>
      </c>
      <c r="T38" s="180">
        <f t="shared" si="54"/>
        <v>1.8904354190936938</v>
      </c>
      <c r="U38" s="180">
        <f t="shared" si="54"/>
        <v>2.0056286747650458</v>
      </c>
      <c r="V38" s="180">
        <f t="shared" si="54"/>
        <v>2.0090911424398268</v>
      </c>
      <c r="W38" s="180">
        <f t="shared" si="54"/>
        <v>2.1429365154742115</v>
      </c>
      <c r="X38" s="180">
        <f t="shared" si="54"/>
        <v>2.2061512165170445</v>
      </c>
      <c r="Y38" s="180">
        <f t="shared" si="54"/>
        <v>2.2685415242918276</v>
      </c>
      <c r="Z38" s="180">
        <f t="shared" si="54"/>
        <v>2.3267342418892278</v>
      </c>
      <c r="AA38" s="180">
        <f t="shared" si="54"/>
        <v>2.3931265459958642</v>
      </c>
      <c r="AB38" s="180">
        <f t="shared" si="54"/>
        <v>2.384817440827999</v>
      </c>
      <c r="AC38" s="180">
        <f t="shared" si="54"/>
        <v>2.4400324471605397</v>
      </c>
      <c r="AD38" s="180">
        <f t="shared" si="54"/>
        <v>2.5041961579103824</v>
      </c>
      <c r="AE38" s="180">
        <f t="shared" si="54"/>
        <v>2.5568691537963675</v>
      </c>
      <c r="AF38" s="180">
        <f t="shared" si="54"/>
        <v>2.6089720000091847</v>
      </c>
      <c r="AG38" s="180">
        <f t="shared" si="54"/>
        <v>2.6417464871170906</v>
      </c>
      <c r="AH38" s="180">
        <f t="shared" si="54"/>
        <v>2.6702012349351483</v>
      </c>
      <c r="AI38" s="180">
        <f t="shared" si="54"/>
        <v>2.6951644668685257</v>
      </c>
      <c r="AJ38" s="180">
        <f t="shared" si="54"/>
        <v>2.7305522944797564</v>
      </c>
      <c r="AK38" s="180">
        <f t="shared" si="54"/>
        <v>2.7634262261831632</v>
      </c>
      <c r="AL38" s="180">
        <f t="shared" si="54"/>
        <v>2.7945583576253883</v>
      </c>
      <c r="AM38" s="180">
        <f t="shared" si="54"/>
        <v>2.8246863228856993</v>
      </c>
      <c r="AN38" s="180">
        <f t="shared" si="54"/>
        <v>2.8509172715871052</v>
      </c>
      <c r="AO38" s="180">
        <f t="shared" si="54"/>
        <v>2.880059707625851</v>
      </c>
      <c r="AP38" s="180">
        <f t="shared" si="54"/>
        <v>2.9069516620832871</v>
      </c>
      <c r="AQ38" s="180">
        <f t="shared" si="54"/>
        <v>2.9377486230953362</v>
      </c>
      <c r="AR38" s="180">
        <f t="shared" si="54"/>
        <v>2.96478103803467</v>
      </c>
      <c r="AS38" s="180">
        <f t="shared" si="54"/>
        <v>2.9909413640494917</v>
      </c>
      <c r="AT38" s="180">
        <f t="shared" si="54"/>
        <v>3.0170845825322052</v>
      </c>
      <c r="AU38" s="180">
        <f t="shared" si="54"/>
        <v>3.0428900654612332</v>
      </c>
      <c r="AV38" s="180">
        <f t="shared" si="54"/>
        <v>3.0701595576719587</v>
      </c>
      <c r="AW38" s="180">
        <f t="shared" si="54"/>
        <v>3.0956509321066084</v>
      </c>
      <c r="AX38" s="180">
        <f t="shared" si="54"/>
        <v>3.1207289391649784</v>
      </c>
      <c r="AY38" s="180">
        <f t="shared" si="54"/>
        <v>3.145684557728917</v>
      </c>
      <c r="AZ38" s="180">
        <f t="shared" si="54"/>
        <v>3.1702341254118349</v>
      </c>
      <c r="BA38" s="180">
        <f t="shared" si="54"/>
        <v>3.1946655614190917</v>
      </c>
      <c r="BB38" s="180">
        <f t="shared" si="54"/>
        <v>3.2181365485350151</v>
      </c>
      <c r="BC38" s="180">
        <f t="shared" si="54"/>
        <v>3.2412324197960185</v>
      </c>
      <c r="BD38" s="180">
        <f t="shared" si="54"/>
        <v>3.2639296327810117</v>
      </c>
      <c r="BE38" s="180">
        <f t="shared" si="54"/>
        <v>3.2861429193553398</v>
      </c>
      <c r="BF38" s="180">
        <f t="shared" si="54"/>
        <v>3.3077968369046231</v>
      </c>
      <c r="BG38" s="180">
        <f t="shared" si="54"/>
        <v>3.3289306011113733</v>
      </c>
      <c r="BH38" s="180">
        <f t="shared" si="54"/>
        <v>3.349555590718805</v>
      </c>
      <c r="BI38" s="180">
        <f t="shared" si="54"/>
        <v>3.3696661719824093</v>
      </c>
      <c r="BJ38" s="180">
        <f t="shared" si="54"/>
        <v>3.3892147848461387</v>
      </c>
      <c r="BK38" s="180">
        <f t="shared" si="54"/>
        <v>3.4081895866206664</v>
      </c>
      <c r="BL38" s="180">
        <f t="shared" si="54"/>
        <v>3.4265646430017256</v>
      </c>
      <c r="BM38" s="180">
        <f t="shared" si="54"/>
        <v>3.4443600471710094</v>
      </c>
      <c r="BN38" s="180">
        <f t="shared" si="54"/>
        <v>3.4615613380494619</v>
      </c>
      <c r="BO38" s="180">
        <f t="shared" si="54"/>
        <v>3.4781538286831375</v>
      </c>
      <c r="BP38" s="197"/>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ht="14.25" customHeight="1" x14ac:dyDescent="0.3">
      <c r="A39" s="960"/>
      <c r="B39" s="960"/>
      <c r="C39" s="960"/>
      <c r="D39" s="944"/>
      <c r="E39" s="183"/>
      <c r="F39" s="198"/>
      <c r="G39" s="198"/>
      <c r="H39" s="198"/>
      <c r="I39" s="198"/>
      <c r="J39" s="198"/>
      <c r="K39" s="198"/>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82"/>
    </row>
    <row r="40" spans="1:96" ht="14.25" customHeight="1" x14ac:dyDescent="0.3">
      <c r="A40" s="960"/>
      <c r="B40" s="960"/>
      <c r="C40" s="960"/>
      <c r="D40" s="944"/>
      <c r="E40" s="177"/>
      <c r="F40" s="178" t="s">
        <v>392</v>
      </c>
      <c r="G40" s="179"/>
      <c r="H40" s="179"/>
      <c r="I40" s="179"/>
      <c r="J40" s="179"/>
      <c r="K40" s="179"/>
      <c r="L40" s="180"/>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2"/>
    </row>
    <row r="41" spans="1:96" ht="14.25" hidden="1" customHeight="1" x14ac:dyDescent="0.3">
      <c r="A41" s="960"/>
      <c r="B41" s="960"/>
      <c r="C41" s="960"/>
      <c r="D41" s="944"/>
      <c r="E41" s="183"/>
      <c r="F41" s="184" t="s">
        <v>360</v>
      </c>
      <c r="G41" s="179"/>
      <c r="H41" s="179"/>
      <c r="I41" s="179"/>
      <c r="J41" s="179"/>
      <c r="K41" s="179"/>
      <c r="L41" s="180"/>
      <c r="M41" s="181"/>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2"/>
    </row>
    <row r="42" spans="1:96" ht="14.25" hidden="1" customHeight="1" x14ac:dyDescent="0.3">
      <c r="A42" s="1178" t="s">
        <v>6</v>
      </c>
      <c r="B42" s="960"/>
      <c r="C42" s="960"/>
      <c r="D42" s="944"/>
      <c r="E42" s="183"/>
      <c r="F42" s="185" t="s">
        <v>393</v>
      </c>
      <c r="G42" s="186">
        <v>215647</v>
      </c>
      <c r="H42" s="186">
        <v>191973</v>
      </c>
      <c r="I42" s="186">
        <v>210894</v>
      </c>
      <c r="J42" s="186">
        <v>188658</v>
      </c>
      <c r="K42" s="186">
        <v>186225</v>
      </c>
      <c r="L42" s="187">
        <v>185489</v>
      </c>
      <c r="M42" s="187">
        <v>180337</v>
      </c>
      <c r="N42" s="187">
        <v>158057</v>
      </c>
      <c r="O42" s="187">
        <v>161583</v>
      </c>
      <c r="P42" s="187">
        <v>183347</v>
      </c>
      <c r="Q42" s="187">
        <v>160630</v>
      </c>
      <c r="R42" s="187">
        <v>164085</v>
      </c>
      <c r="S42" s="187">
        <v>167544</v>
      </c>
      <c r="T42" s="187">
        <f t="shared" ref="T42:BO47" si="55">T58*1000000</f>
        <v>166714.06675775143</v>
      </c>
      <c r="U42" s="187">
        <f t="shared" si="55"/>
        <v>176872.75079533859</v>
      </c>
      <c r="V42" s="187">
        <f t="shared" si="55"/>
        <v>177178.09953206335</v>
      </c>
      <c r="W42" s="187">
        <f t="shared" si="55"/>
        <v>178063.99002972365</v>
      </c>
      <c r="X42" s="187">
        <f t="shared" si="55"/>
        <v>178954.30997987225</v>
      </c>
      <c r="Y42" s="187">
        <f t="shared" si="55"/>
        <v>179849.08152977159</v>
      </c>
      <c r="Z42" s="187">
        <f t="shared" si="55"/>
        <v>180748.32693742044</v>
      </c>
      <c r="AA42" s="187">
        <f t="shared" si="55"/>
        <v>181652.06857210753</v>
      </c>
      <c r="AB42" s="187">
        <f t="shared" si="55"/>
        <v>182560.32891496803</v>
      </c>
      <c r="AC42" s="187">
        <f t="shared" si="55"/>
        <v>183473.13055954286</v>
      </c>
      <c r="AD42" s="187">
        <f t="shared" si="55"/>
        <v>184390.49621234057</v>
      </c>
      <c r="AE42" s="187">
        <f t="shared" si="55"/>
        <v>185312.44869340226</v>
      </c>
      <c r="AF42" s="187">
        <f t="shared" si="55"/>
        <v>186239.01093686925</v>
      </c>
      <c r="AG42" s="187">
        <f t="shared" si="55"/>
        <v>187170.20599155361</v>
      </c>
      <c r="AH42" s="187">
        <f t="shared" si="55"/>
        <v>188106.05702151134</v>
      </c>
      <c r="AI42" s="187">
        <f t="shared" si="55"/>
        <v>189046.58730661889</v>
      </c>
      <c r="AJ42" s="187">
        <f t="shared" si="55"/>
        <v>189991.82024315195</v>
      </c>
      <c r="AK42" s="187">
        <f t="shared" si="55"/>
        <v>190941.77934436768</v>
      </c>
      <c r="AL42" s="187">
        <f t="shared" si="55"/>
        <v>191896.48824108948</v>
      </c>
      <c r="AM42" s="187">
        <f t="shared" si="55"/>
        <v>192855.97068229489</v>
      </c>
      <c r="AN42" s="187">
        <f t="shared" si="55"/>
        <v>193820.25053570638</v>
      </c>
      <c r="AO42" s="187">
        <f t="shared" si="55"/>
        <v>194789.3517883849</v>
      </c>
      <c r="AP42" s="187">
        <f t="shared" si="55"/>
        <v>195763.29854732679</v>
      </c>
      <c r="AQ42" s="187">
        <f t="shared" si="55"/>
        <v>196742.11504006342</v>
      </c>
      <c r="AR42" s="187">
        <f t="shared" si="55"/>
        <v>197725.82561526372</v>
      </c>
      <c r="AS42" s="187">
        <f t="shared" si="55"/>
        <v>198714.45474334</v>
      </c>
      <c r="AT42" s="187">
        <f t="shared" si="55"/>
        <v>199708.02701705671</v>
      </c>
      <c r="AU42" s="187">
        <f t="shared" si="55"/>
        <v>200706.56715214197</v>
      </c>
      <c r="AV42" s="187">
        <f t="shared" si="55"/>
        <v>201710.09998790265</v>
      </c>
      <c r="AW42" s="187">
        <f t="shared" si="55"/>
        <v>202718.65048784215</v>
      </c>
      <c r="AX42" s="187">
        <f t="shared" si="55"/>
        <v>203732.24374028135</v>
      </c>
      <c r="AY42" s="187">
        <f t="shared" si="55"/>
        <v>204750.90495898275</v>
      </c>
      <c r="AZ42" s="187">
        <f t="shared" si="55"/>
        <v>205774.65948377762</v>
      </c>
      <c r="BA42" s="187">
        <f t="shared" si="55"/>
        <v>206803.53278119647</v>
      </c>
      <c r="BB42" s="187">
        <f t="shared" si="55"/>
        <v>207837.55044510245</v>
      </c>
      <c r="BC42" s="187">
        <f t="shared" si="55"/>
        <v>208876.73819732794</v>
      </c>
      <c r="BD42" s="187">
        <f t="shared" si="55"/>
        <v>209921.12188831455</v>
      </c>
      <c r="BE42" s="187">
        <f t="shared" si="55"/>
        <v>210970.7274977561</v>
      </c>
      <c r="BF42" s="187">
        <f t="shared" si="55"/>
        <v>212025.58113524487</v>
      </c>
      <c r="BG42" s="187">
        <f t="shared" si="55"/>
        <v>213085.70904092107</v>
      </c>
      <c r="BH42" s="187">
        <f t="shared" si="55"/>
        <v>214151.13758612564</v>
      </c>
      <c r="BI42" s="187">
        <f t="shared" si="55"/>
        <v>215221.89327405626</v>
      </c>
      <c r="BJ42" s="187">
        <f t="shared" si="55"/>
        <v>216298.00274042651</v>
      </c>
      <c r="BK42" s="187">
        <f t="shared" si="55"/>
        <v>217379.49275412862</v>
      </c>
      <c r="BL42" s="187">
        <f t="shared" si="55"/>
        <v>218466.39021789923</v>
      </c>
      <c r="BM42" s="187">
        <f t="shared" si="55"/>
        <v>219558.72216898869</v>
      </c>
      <c r="BN42" s="187">
        <f t="shared" si="55"/>
        <v>220656.5157798336</v>
      </c>
      <c r="BO42" s="187">
        <f t="shared" si="55"/>
        <v>221759.79835873275</v>
      </c>
      <c r="BP42" s="182"/>
    </row>
    <row r="43" spans="1:96" ht="14.25" hidden="1" customHeight="1" x14ac:dyDescent="0.3">
      <c r="A43" s="982"/>
      <c r="D43" s="944"/>
      <c r="E43" s="183"/>
      <c r="F43" s="185" t="s">
        <v>362</v>
      </c>
      <c r="G43" s="186">
        <v>360025</v>
      </c>
      <c r="H43" s="186">
        <v>399467</v>
      </c>
      <c r="I43" s="186">
        <v>390176</v>
      </c>
      <c r="J43" s="186">
        <v>402434</v>
      </c>
      <c r="K43" s="186">
        <v>372637</v>
      </c>
      <c r="L43" s="187">
        <v>432094</v>
      </c>
      <c r="M43" s="187">
        <v>454257</v>
      </c>
      <c r="N43" s="187">
        <v>467327</v>
      </c>
      <c r="O43" s="187">
        <v>501950</v>
      </c>
      <c r="P43" s="187">
        <v>525435</v>
      </c>
      <c r="Q43" s="187">
        <v>527347</v>
      </c>
      <c r="R43" s="187">
        <v>543547</v>
      </c>
      <c r="S43" s="187">
        <v>509178.59212063102</v>
      </c>
      <c r="T43" s="187">
        <f t="shared" ref="T43:AH43" si="56">T59*1000000</f>
        <v>506656.36369202571</v>
      </c>
      <c r="U43" s="187">
        <f t="shared" si="56"/>
        <v>537529.3548827396</v>
      </c>
      <c r="V43" s="187">
        <f t="shared" si="56"/>
        <v>538457.33224911091</v>
      </c>
      <c r="W43" s="187">
        <f t="shared" si="56"/>
        <v>582190.32853054919</v>
      </c>
      <c r="X43" s="187">
        <f t="shared" si="56"/>
        <v>608599.0943630531</v>
      </c>
      <c r="Y43" s="187">
        <f t="shared" si="56"/>
        <v>636510.5287227825</v>
      </c>
      <c r="Z43" s="187">
        <f t="shared" si="56"/>
        <v>663536.33751274203</v>
      </c>
      <c r="AA43" s="187">
        <f t="shared" si="56"/>
        <v>693856.83564018738</v>
      </c>
      <c r="AB43" s="187">
        <f t="shared" si="56"/>
        <v>698951.03852778568</v>
      </c>
      <c r="AC43" s="187">
        <f t="shared" si="56"/>
        <v>726193.04947385262</v>
      </c>
      <c r="AD43" s="187">
        <f t="shared" si="56"/>
        <v>757073.93781741511</v>
      </c>
      <c r="AE43" s="187">
        <f t="shared" si="56"/>
        <v>784395.93168918882</v>
      </c>
      <c r="AF43" s="187">
        <f t="shared" si="56"/>
        <v>811967.81225984066</v>
      </c>
      <c r="AG43" s="187">
        <f t="shared" si="56"/>
        <v>839920.14707027643</v>
      </c>
      <c r="AH43" s="187">
        <f t="shared" si="56"/>
        <v>850037.23102763284</v>
      </c>
      <c r="AI43" s="187">
        <f t="shared" si="55"/>
        <v>858864.02654351317</v>
      </c>
      <c r="AJ43" s="187">
        <f t="shared" si="55"/>
        <v>871535.59024054999</v>
      </c>
      <c r="AK43" s="187">
        <f t="shared" si="55"/>
        <v>883277.58955870848</v>
      </c>
      <c r="AL43" s="187">
        <f t="shared" si="55"/>
        <v>894374.91929316276</v>
      </c>
      <c r="AM43" s="187">
        <f t="shared" si="55"/>
        <v>905099.75782033359</v>
      </c>
      <c r="AN43" s="187">
        <f t="shared" si="55"/>
        <v>914384.62921861943</v>
      </c>
      <c r="AO43" s="187">
        <f t="shared" si="55"/>
        <v>924741.8719016721</v>
      </c>
      <c r="AP43" s="187">
        <f t="shared" si="55"/>
        <v>934266.70167986827</v>
      </c>
      <c r="AQ43" s="187">
        <f t="shared" si="55"/>
        <v>945230.4930663436</v>
      </c>
      <c r="AR43" s="187">
        <f t="shared" si="55"/>
        <v>954803.15959556145</v>
      </c>
      <c r="AS43" s="187">
        <f t="shared" si="55"/>
        <v>964052.01231691777</v>
      </c>
      <c r="AT43" s="187">
        <f t="shared" si="55"/>
        <v>973292.53059756756</v>
      </c>
      <c r="AU43" s="187">
        <f t="shared" si="55"/>
        <v>982406.39210445248</v>
      </c>
      <c r="AV43" s="187">
        <f t="shared" si="55"/>
        <v>992058.43324476399</v>
      </c>
      <c r="AW43" s="187">
        <f t="shared" si="55"/>
        <v>1001052.2940258168</v>
      </c>
      <c r="AX43" s="187">
        <f t="shared" si="55"/>
        <v>1009891.5591459947</v>
      </c>
      <c r="AY43" s="187">
        <f t="shared" si="55"/>
        <v>1018683.5899399505</v>
      </c>
      <c r="AZ43" s="187">
        <f t="shared" si="55"/>
        <v>1027323.7041945291</v>
      </c>
      <c r="BA43" s="187">
        <f t="shared" si="55"/>
        <v>1035918.1341157549</v>
      </c>
      <c r="BB43" s="187">
        <f t="shared" si="55"/>
        <v>1044156.0529106022</v>
      </c>
      <c r="BC43" s="187">
        <f t="shared" si="55"/>
        <v>1052253.4388336821</v>
      </c>
      <c r="BD43" s="187">
        <f t="shared" si="55"/>
        <v>1060201.5941232715</v>
      </c>
      <c r="BE43" s="187">
        <f t="shared" si="55"/>
        <v>1067969.0440832186</v>
      </c>
      <c r="BF43" s="187">
        <f t="shared" si="55"/>
        <v>1075527.9395960702</v>
      </c>
      <c r="BG43" s="187">
        <f t="shared" si="55"/>
        <v>1082892.7405757639</v>
      </c>
      <c r="BH43" s="187">
        <f t="shared" si="55"/>
        <v>1090067.635009917</v>
      </c>
      <c r="BI43" s="187">
        <f t="shared" si="55"/>
        <v>1097050.5331985466</v>
      </c>
      <c r="BJ43" s="187">
        <f t="shared" si="55"/>
        <v>1103823.874515167</v>
      </c>
      <c r="BK43" s="187">
        <f t="shared" si="55"/>
        <v>1110383.2780411078</v>
      </c>
      <c r="BL43" s="187">
        <f t="shared" si="55"/>
        <v>1116719.1629757518</v>
      </c>
      <c r="BM43" s="187">
        <f t="shared" si="55"/>
        <v>1122838.9326753283</v>
      </c>
      <c r="BN43" s="187">
        <f t="shared" si="55"/>
        <v>1128737.2398663496</v>
      </c>
      <c r="BO43" s="187">
        <f t="shared" si="55"/>
        <v>1134408.6538715879</v>
      </c>
      <c r="BP43" s="182"/>
    </row>
    <row r="44" spans="1:96" ht="14.25" hidden="1" customHeight="1" x14ac:dyDescent="0.3">
      <c r="A44" s="982"/>
      <c r="D44" s="944"/>
      <c r="E44" s="183"/>
      <c r="F44" s="185" t="s">
        <v>363</v>
      </c>
      <c r="G44" s="186">
        <v>144931</v>
      </c>
      <c r="H44" s="186">
        <v>98347</v>
      </c>
      <c r="I44" s="186">
        <v>78710</v>
      </c>
      <c r="J44" s="186">
        <v>61627</v>
      </c>
      <c r="K44" s="186">
        <v>35483</v>
      </c>
      <c r="L44" s="187">
        <v>44027</v>
      </c>
      <c r="M44" s="187">
        <v>29872</v>
      </c>
      <c r="N44" s="187">
        <v>37260</v>
      </c>
      <c r="O44" s="187">
        <v>31924</v>
      </c>
      <c r="P44" s="187">
        <v>36047</v>
      </c>
      <c r="Q44" s="187">
        <v>26909</v>
      </c>
      <c r="R44" s="187">
        <v>29481</v>
      </c>
      <c r="S44" s="187">
        <v>29901.328666485719</v>
      </c>
      <c r="T44" s="187">
        <f t="shared" si="55"/>
        <v>29753.211714236058</v>
      </c>
      <c r="U44" s="187">
        <f t="shared" si="55"/>
        <v>31566.216956004646</v>
      </c>
      <c r="V44" s="187">
        <f t="shared" si="55"/>
        <v>31620.712091221081</v>
      </c>
      <c r="W44" s="187">
        <f t="shared" si="55"/>
        <v>33518.545569445778</v>
      </c>
      <c r="X44" s="187">
        <f t="shared" si="55"/>
        <v>34351.94319783651</v>
      </c>
      <c r="Y44" s="187">
        <f t="shared" si="55"/>
        <v>35222.925751606876</v>
      </c>
      <c r="Z44" s="187">
        <f t="shared" si="55"/>
        <v>35998.497529595632</v>
      </c>
      <c r="AA44" s="187">
        <f t="shared" si="55"/>
        <v>36905.352947055442</v>
      </c>
      <c r="AB44" s="187">
        <f t="shared" si="55"/>
        <v>36447.35985163827</v>
      </c>
      <c r="AC44" s="187">
        <f t="shared" si="55"/>
        <v>37125.408096807456</v>
      </c>
      <c r="AD44" s="187">
        <f t="shared" si="55"/>
        <v>37945.237247719117</v>
      </c>
      <c r="AE44" s="187">
        <f t="shared" si="55"/>
        <v>38543.765230888566</v>
      </c>
      <c r="AF44" s="187">
        <f t="shared" si="55"/>
        <v>39116.271023528367</v>
      </c>
      <c r="AG44" s="187">
        <f t="shared" si="55"/>
        <v>39669.475658158233</v>
      </c>
      <c r="AH44" s="187">
        <f t="shared" si="55"/>
        <v>40147.306100942355</v>
      </c>
      <c r="AI44" s="187">
        <f t="shared" si="55"/>
        <v>40564.196148261879</v>
      </c>
      <c r="AJ44" s="187">
        <f t="shared" si="55"/>
        <v>41162.674812434634</v>
      </c>
      <c r="AK44" s="187">
        <f t="shared" si="55"/>
        <v>41717.250098852703</v>
      </c>
      <c r="AL44" s="187">
        <f t="shared" si="55"/>
        <v>42241.377604672198</v>
      </c>
      <c r="AM44" s="187">
        <f t="shared" si="55"/>
        <v>42747.912329878258</v>
      </c>
      <c r="AN44" s="187">
        <f t="shared" si="55"/>
        <v>43186.437326817766</v>
      </c>
      <c r="AO44" s="187">
        <f t="shared" si="55"/>
        <v>43675.61047968729</v>
      </c>
      <c r="AP44" s="187">
        <f t="shared" si="55"/>
        <v>44125.468724369486</v>
      </c>
      <c r="AQ44" s="187">
        <f t="shared" si="55"/>
        <v>44643.289206523637</v>
      </c>
      <c r="AR44" s="187">
        <f t="shared" si="55"/>
        <v>45095.406783639803</v>
      </c>
      <c r="AS44" s="187">
        <f t="shared" si="55"/>
        <v>45532.23061644761</v>
      </c>
      <c r="AT44" s="187">
        <f t="shared" si="55"/>
        <v>45968.660813153358</v>
      </c>
      <c r="AU44" s="187">
        <f t="shared" si="55"/>
        <v>46399.109003329875</v>
      </c>
      <c r="AV44" s="187">
        <f t="shared" si="55"/>
        <v>46854.975447780205</v>
      </c>
      <c r="AW44" s="187">
        <f t="shared" si="55"/>
        <v>47279.75599694471</v>
      </c>
      <c r="AX44" s="187">
        <f t="shared" si="55"/>
        <v>47697.234984374649</v>
      </c>
      <c r="AY44" s="187">
        <f t="shared" si="55"/>
        <v>48112.483091927686</v>
      </c>
      <c r="AZ44" s="187">
        <f t="shared" si="55"/>
        <v>48520.556172804791</v>
      </c>
      <c r="BA44" s="187">
        <f t="shared" si="55"/>
        <v>48926.471580055149</v>
      </c>
      <c r="BB44" s="187">
        <f t="shared" si="55"/>
        <v>49315.548946809562</v>
      </c>
      <c r="BC44" s="187">
        <f t="shared" si="55"/>
        <v>49697.988938147755</v>
      </c>
      <c r="BD44" s="187">
        <f t="shared" si="55"/>
        <v>50073.380758295687</v>
      </c>
      <c r="BE44" s="187">
        <f t="shared" si="55"/>
        <v>50440.237855588646</v>
      </c>
      <c r="BF44" s="187">
        <f t="shared" si="55"/>
        <v>50797.24491464725</v>
      </c>
      <c r="BG44" s="187">
        <f t="shared" si="55"/>
        <v>51145.084878017835</v>
      </c>
      <c r="BH44" s="187">
        <f t="shared" si="55"/>
        <v>51483.955544590477</v>
      </c>
      <c r="BI44" s="187">
        <f t="shared" si="55"/>
        <v>51813.758217717761</v>
      </c>
      <c r="BJ44" s="187">
        <f t="shared" si="55"/>
        <v>52133.663508025784</v>
      </c>
      <c r="BK44" s="187">
        <f t="shared" si="55"/>
        <v>52443.464504480013</v>
      </c>
      <c r="BL44" s="187">
        <f t="shared" si="55"/>
        <v>52742.708705329882</v>
      </c>
      <c r="BM44" s="187">
        <f t="shared" si="55"/>
        <v>53031.745771505375</v>
      </c>
      <c r="BN44" s="187">
        <f t="shared" si="55"/>
        <v>53310.323150979733</v>
      </c>
      <c r="BO44" s="187">
        <f t="shared" si="55"/>
        <v>53578.184352562879</v>
      </c>
      <c r="BP44" s="182"/>
    </row>
    <row r="45" spans="1:96" ht="14.25" hidden="1" customHeight="1" x14ac:dyDescent="0.3">
      <c r="A45" s="982"/>
      <c r="D45" s="944"/>
      <c r="E45" s="183"/>
      <c r="F45" s="185" t="s">
        <v>364</v>
      </c>
      <c r="G45" s="186">
        <v>106928</v>
      </c>
      <c r="H45" s="186">
        <v>86455</v>
      </c>
      <c r="I45" s="186">
        <v>95239</v>
      </c>
      <c r="J45" s="186">
        <v>101066</v>
      </c>
      <c r="K45" s="186">
        <v>96892</v>
      </c>
      <c r="L45" s="187">
        <v>102616</v>
      </c>
      <c r="M45" s="187">
        <v>104661</v>
      </c>
      <c r="N45" s="187">
        <v>127081</v>
      </c>
      <c r="O45" s="187">
        <v>115321</v>
      </c>
      <c r="P45" s="187">
        <v>137337</v>
      </c>
      <c r="Q45" s="187">
        <v>153207</v>
      </c>
      <c r="R45" s="187">
        <v>150189</v>
      </c>
      <c r="S45" s="187">
        <v>135649</v>
      </c>
      <c r="T45" s="187">
        <f t="shared" si="55"/>
        <v>134977.05940900432</v>
      </c>
      <c r="U45" s="187">
        <f t="shared" si="55"/>
        <v>143201.85606549255</v>
      </c>
      <c r="V45" s="187">
        <f t="shared" si="55"/>
        <v>143449.07620341438</v>
      </c>
      <c r="W45" s="187">
        <f t="shared" si="55"/>
        <v>152058.70075753151</v>
      </c>
      <c r="X45" s="187">
        <f t="shared" si="55"/>
        <v>152058.70075753151</v>
      </c>
      <c r="Y45" s="187">
        <f t="shared" si="55"/>
        <v>152058.70075753151</v>
      </c>
      <c r="Z45" s="187">
        <f t="shared" si="55"/>
        <v>152058.70075753151</v>
      </c>
      <c r="AA45" s="187">
        <f t="shared" si="55"/>
        <v>152058.70075753151</v>
      </c>
      <c r="AB45" s="187">
        <f t="shared" si="55"/>
        <v>152058.70075753151</v>
      </c>
      <c r="AC45" s="187">
        <f t="shared" si="55"/>
        <v>152058.70075753151</v>
      </c>
      <c r="AD45" s="187">
        <f t="shared" si="55"/>
        <v>152058.70075753151</v>
      </c>
      <c r="AE45" s="187">
        <f t="shared" si="55"/>
        <v>152058.70075753151</v>
      </c>
      <c r="AF45" s="187">
        <f t="shared" si="55"/>
        <v>152058.70075753151</v>
      </c>
      <c r="AG45" s="187">
        <f t="shared" si="55"/>
        <v>152058.70075753151</v>
      </c>
      <c r="AH45" s="187">
        <f t="shared" si="55"/>
        <v>152058.70075753151</v>
      </c>
      <c r="AI45" s="187">
        <f t="shared" si="55"/>
        <v>152058.70075753151</v>
      </c>
      <c r="AJ45" s="187">
        <f t="shared" si="55"/>
        <v>152058.70075753151</v>
      </c>
      <c r="AK45" s="187">
        <f t="shared" si="55"/>
        <v>152058.70075753151</v>
      </c>
      <c r="AL45" s="187">
        <f t="shared" si="55"/>
        <v>152058.70075753151</v>
      </c>
      <c r="AM45" s="187">
        <f t="shared" si="55"/>
        <v>152058.70075753151</v>
      </c>
      <c r="AN45" s="187">
        <f t="shared" si="55"/>
        <v>152058.70075753151</v>
      </c>
      <c r="AO45" s="187">
        <f t="shared" si="55"/>
        <v>152058.70075753151</v>
      </c>
      <c r="AP45" s="187">
        <f t="shared" si="55"/>
        <v>152058.70075753151</v>
      </c>
      <c r="AQ45" s="187">
        <f t="shared" si="55"/>
        <v>152058.70075753151</v>
      </c>
      <c r="AR45" s="187">
        <f t="shared" si="55"/>
        <v>152058.70075753151</v>
      </c>
      <c r="AS45" s="187">
        <f t="shared" si="55"/>
        <v>152058.70075753151</v>
      </c>
      <c r="AT45" s="187">
        <f t="shared" si="55"/>
        <v>152058.70075753151</v>
      </c>
      <c r="AU45" s="187">
        <f t="shared" si="55"/>
        <v>152058.70075753151</v>
      </c>
      <c r="AV45" s="187">
        <f t="shared" si="55"/>
        <v>152058.70075753151</v>
      </c>
      <c r="AW45" s="187">
        <f t="shared" si="55"/>
        <v>152058.70075753151</v>
      </c>
      <c r="AX45" s="187">
        <f t="shared" si="55"/>
        <v>152058.70075753151</v>
      </c>
      <c r="AY45" s="187">
        <f t="shared" si="55"/>
        <v>152058.70075753151</v>
      </c>
      <c r="AZ45" s="187">
        <f t="shared" si="55"/>
        <v>152058.70075753151</v>
      </c>
      <c r="BA45" s="187">
        <f t="shared" si="55"/>
        <v>152058.70075753151</v>
      </c>
      <c r="BB45" s="187">
        <f t="shared" si="55"/>
        <v>152058.70075753151</v>
      </c>
      <c r="BC45" s="187">
        <f t="shared" si="55"/>
        <v>152058.70075753151</v>
      </c>
      <c r="BD45" s="187">
        <f t="shared" si="55"/>
        <v>152058.70075753151</v>
      </c>
      <c r="BE45" s="187">
        <f t="shared" si="55"/>
        <v>152058.70075753151</v>
      </c>
      <c r="BF45" s="187">
        <f t="shared" si="55"/>
        <v>152058.70075753151</v>
      </c>
      <c r="BG45" s="187">
        <f t="shared" si="55"/>
        <v>152058.70075753151</v>
      </c>
      <c r="BH45" s="187">
        <f t="shared" si="55"/>
        <v>152058.70075753151</v>
      </c>
      <c r="BI45" s="187">
        <f t="shared" si="55"/>
        <v>152058.70075753151</v>
      </c>
      <c r="BJ45" s="187">
        <f t="shared" si="55"/>
        <v>152058.70075753151</v>
      </c>
      <c r="BK45" s="187">
        <f t="shared" si="55"/>
        <v>152058.70075753151</v>
      </c>
      <c r="BL45" s="187">
        <f t="shared" si="55"/>
        <v>152058.70075753151</v>
      </c>
      <c r="BM45" s="187">
        <f t="shared" si="55"/>
        <v>152058.70075753151</v>
      </c>
      <c r="BN45" s="187">
        <f t="shared" si="55"/>
        <v>152058.70075753151</v>
      </c>
      <c r="BO45" s="187">
        <f t="shared" si="55"/>
        <v>152058.70075753151</v>
      </c>
      <c r="BP45" s="182"/>
    </row>
    <row r="46" spans="1:96" ht="14.25" hidden="1" customHeight="1" x14ac:dyDescent="0.3">
      <c r="A46" s="982"/>
      <c r="D46" s="944"/>
      <c r="E46" s="183"/>
      <c r="F46" s="185" t="s">
        <v>365</v>
      </c>
      <c r="G46" s="186">
        <v>440346</v>
      </c>
      <c r="H46" s="186">
        <v>577784</v>
      </c>
      <c r="I46" s="186">
        <v>486580</v>
      </c>
      <c r="J46" s="186">
        <v>496652</v>
      </c>
      <c r="K46" s="186">
        <v>485696</v>
      </c>
      <c r="L46" s="187">
        <v>533290</v>
      </c>
      <c r="M46" s="187">
        <v>378335</v>
      </c>
      <c r="N46" s="187">
        <v>444623</v>
      </c>
      <c r="O46" s="187">
        <v>435391</v>
      </c>
      <c r="P46" s="187">
        <v>388838</v>
      </c>
      <c r="Q46" s="187">
        <v>415235</v>
      </c>
      <c r="R46" s="187">
        <v>439400</v>
      </c>
      <c r="S46" s="187">
        <v>416091</v>
      </c>
      <c r="T46" s="187">
        <f t="shared" si="55"/>
        <v>414029.88320261863</v>
      </c>
      <c r="U46" s="187">
        <f t="shared" si="55"/>
        <v>439258.7007065799</v>
      </c>
      <c r="V46" s="187">
        <f t="shared" si="55"/>
        <v>440017.02604925132</v>
      </c>
      <c r="W46" s="187">
        <f t="shared" si="55"/>
        <v>466426.26821356622</v>
      </c>
      <c r="X46" s="187">
        <f t="shared" si="55"/>
        <v>478023.38673838263</v>
      </c>
      <c r="Y46" s="187">
        <f t="shared" si="55"/>
        <v>490143.51711195573</v>
      </c>
      <c r="Z46" s="187">
        <f t="shared" si="55"/>
        <v>500935.96183153841</v>
      </c>
      <c r="AA46" s="187">
        <f t="shared" si="55"/>
        <v>513555.27991318592</v>
      </c>
      <c r="AB46" s="187">
        <f t="shared" si="55"/>
        <v>507182.09137729253</v>
      </c>
      <c r="AC46" s="187">
        <f t="shared" si="55"/>
        <v>516617.45043867471</v>
      </c>
      <c r="AD46" s="187">
        <f t="shared" si="55"/>
        <v>528025.75724125246</v>
      </c>
      <c r="AE46" s="187">
        <f t="shared" si="55"/>
        <v>536354.55459413037</v>
      </c>
      <c r="AF46" s="187">
        <f t="shared" si="55"/>
        <v>544321.24097192625</v>
      </c>
      <c r="AG46" s="187">
        <f t="shared" si="55"/>
        <v>552019.34269159241</v>
      </c>
      <c r="AH46" s="187">
        <f t="shared" si="55"/>
        <v>558668.57721177384</v>
      </c>
      <c r="AI46" s="187">
        <f t="shared" si="55"/>
        <v>564469.79757271567</v>
      </c>
      <c r="AJ46" s="187">
        <f t="shared" si="55"/>
        <v>572797.90862864396</v>
      </c>
      <c r="AK46" s="187">
        <f t="shared" si="55"/>
        <v>580515.08361022314</v>
      </c>
      <c r="AL46" s="187">
        <f t="shared" si="55"/>
        <v>587808.56345710298</v>
      </c>
      <c r="AM46" s="187">
        <f t="shared" si="55"/>
        <v>594857.23151786195</v>
      </c>
      <c r="AN46" s="187">
        <f t="shared" si="55"/>
        <v>600959.51234078978</v>
      </c>
      <c r="AO46" s="187">
        <f t="shared" si="55"/>
        <v>607766.58598694403</v>
      </c>
      <c r="AP46" s="187">
        <f t="shared" si="55"/>
        <v>614026.5742629118</v>
      </c>
      <c r="AQ46" s="187">
        <f t="shared" si="55"/>
        <v>621232.2889200499</v>
      </c>
      <c r="AR46" s="187">
        <f t="shared" si="55"/>
        <v>627523.7168655477</v>
      </c>
      <c r="AS46" s="187">
        <f t="shared" si="55"/>
        <v>633602.32519242633</v>
      </c>
      <c r="AT46" s="187">
        <f t="shared" si="55"/>
        <v>639675.45588848891</v>
      </c>
      <c r="AU46" s="187">
        <f t="shared" si="55"/>
        <v>645665.3441605604</v>
      </c>
      <c r="AV46" s="187">
        <f t="shared" si="55"/>
        <v>652008.9393517127</v>
      </c>
      <c r="AW46" s="187">
        <f t="shared" si="55"/>
        <v>657919.95974327507</v>
      </c>
      <c r="AX46" s="187">
        <f t="shared" si="55"/>
        <v>663729.37548182753</v>
      </c>
      <c r="AY46" s="187">
        <f t="shared" si="55"/>
        <v>669507.74748151423</v>
      </c>
      <c r="AZ46" s="187">
        <f t="shared" si="55"/>
        <v>675186.27562282537</v>
      </c>
      <c r="BA46" s="187">
        <f t="shared" si="55"/>
        <v>680834.77872454585</v>
      </c>
      <c r="BB46" s="187">
        <f t="shared" si="55"/>
        <v>686248.97260254784</v>
      </c>
      <c r="BC46" s="187">
        <f t="shared" si="55"/>
        <v>691570.80429139372</v>
      </c>
      <c r="BD46" s="187">
        <f t="shared" si="55"/>
        <v>696794.55737539113</v>
      </c>
      <c r="BE46" s="187">
        <f t="shared" si="55"/>
        <v>701899.54579153517</v>
      </c>
      <c r="BF46" s="187">
        <f t="shared" si="55"/>
        <v>706867.46630997187</v>
      </c>
      <c r="BG46" s="187">
        <f t="shared" si="55"/>
        <v>711707.82239625673</v>
      </c>
      <c r="BH46" s="187">
        <f t="shared" si="55"/>
        <v>716423.36651463294</v>
      </c>
      <c r="BI46" s="187">
        <f t="shared" si="55"/>
        <v>721012.72525500273</v>
      </c>
      <c r="BJ46" s="187">
        <f t="shared" si="55"/>
        <v>725464.35727558075</v>
      </c>
      <c r="BK46" s="187">
        <f t="shared" si="55"/>
        <v>729775.38331236411</v>
      </c>
      <c r="BL46" s="187">
        <f t="shared" si="55"/>
        <v>733939.5065914538</v>
      </c>
      <c r="BM46" s="187">
        <f t="shared" si="55"/>
        <v>737961.59280853975</v>
      </c>
      <c r="BN46" s="187">
        <f t="shared" si="55"/>
        <v>741838.12758382503</v>
      </c>
      <c r="BO46" s="187">
        <f t="shared" si="55"/>
        <v>745565.54172220931</v>
      </c>
      <c r="BP46" s="182"/>
    </row>
    <row r="47" spans="1:96" ht="13.5" hidden="1" customHeight="1" x14ac:dyDescent="0.3">
      <c r="A47" s="982"/>
      <c r="D47" s="944"/>
      <c r="E47" s="183"/>
      <c r="F47" s="185" t="s">
        <v>366</v>
      </c>
      <c r="G47" s="186">
        <v>193502</v>
      </c>
      <c r="H47" s="186">
        <v>202651</v>
      </c>
      <c r="I47" s="186">
        <v>198578</v>
      </c>
      <c r="J47" s="186">
        <v>218833</v>
      </c>
      <c r="K47" s="186">
        <v>272011</v>
      </c>
      <c r="L47" s="187">
        <v>290343</v>
      </c>
      <c r="M47" s="187">
        <v>263839</v>
      </c>
      <c r="N47" s="187">
        <v>260292</v>
      </c>
      <c r="O47" s="187">
        <v>223962</v>
      </c>
      <c r="P47" s="187">
        <v>200908</v>
      </c>
      <c r="Q47" s="187">
        <v>188469</v>
      </c>
      <c r="R47" s="187">
        <v>152529</v>
      </c>
      <c r="S47" s="187">
        <v>141381.08868806413</v>
      </c>
      <c r="T47" s="187">
        <f t="shared" si="55"/>
        <v>140680.75405759379</v>
      </c>
      <c r="U47" s="187">
        <f t="shared" si="55"/>
        <v>149253.10406041174</v>
      </c>
      <c r="V47" s="187">
        <f t="shared" si="55"/>
        <v>149510.77092301304</v>
      </c>
      <c r="W47" s="187">
        <f t="shared" si="55"/>
        <v>158484.21040768723</v>
      </c>
      <c r="X47" s="187">
        <f t="shared" si="55"/>
        <v>162424.72640703127</v>
      </c>
      <c r="Y47" s="187">
        <f t="shared" si="55"/>
        <v>166542.95349499289</v>
      </c>
      <c r="Z47" s="187">
        <f t="shared" si="55"/>
        <v>170210.05416302072</v>
      </c>
      <c r="AA47" s="187">
        <f t="shared" si="55"/>
        <v>174497.89727638845</v>
      </c>
      <c r="AB47" s="187">
        <f t="shared" si="55"/>
        <v>172332.38941003496</v>
      </c>
      <c r="AC47" s="187">
        <f t="shared" si="55"/>
        <v>175538.37400537828</v>
      </c>
      <c r="AD47" s="187">
        <f t="shared" si="55"/>
        <v>179414.73479144645</v>
      </c>
      <c r="AE47" s="187">
        <f t="shared" si="55"/>
        <v>182244.72735848624</v>
      </c>
      <c r="AF47" s="187">
        <f t="shared" si="55"/>
        <v>184951.68038878281</v>
      </c>
      <c r="AG47" s="187">
        <f t="shared" si="55"/>
        <v>187567.37263388748</v>
      </c>
      <c r="AH47" s="187">
        <f t="shared" si="55"/>
        <v>189826.67652511684</v>
      </c>
      <c r="AI47" s="187">
        <f t="shared" si="55"/>
        <v>191797.83872364869</v>
      </c>
      <c r="AJ47" s="187">
        <f t="shared" si="55"/>
        <v>194627.5980979256</v>
      </c>
      <c r="AK47" s="187">
        <f t="shared" si="55"/>
        <v>197249.77113337207</v>
      </c>
      <c r="AL47" s="187">
        <f t="shared" si="55"/>
        <v>199727.97931638084</v>
      </c>
      <c r="AM47" s="187">
        <f t="shared" si="55"/>
        <v>202123.00435713129</v>
      </c>
      <c r="AN47" s="187">
        <f t="shared" si="55"/>
        <v>204196.46210129262</v>
      </c>
      <c r="AO47" s="187">
        <f t="shared" si="55"/>
        <v>206509.39721133615</v>
      </c>
      <c r="AP47" s="187">
        <f t="shared" si="55"/>
        <v>208636.44143394817</v>
      </c>
      <c r="AQ47" s="187">
        <f t="shared" si="55"/>
        <v>211084.82840459095</v>
      </c>
      <c r="AR47" s="187">
        <f t="shared" si="55"/>
        <v>213222.55532571397</v>
      </c>
      <c r="AS47" s="187">
        <f t="shared" si="55"/>
        <v>215287.96953309269</v>
      </c>
      <c r="AT47" s="187">
        <f t="shared" si="55"/>
        <v>217351.52252884183</v>
      </c>
      <c r="AU47" s="187">
        <f t="shared" si="55"/>
        <v>219386.79107592726</v>
      </c>
      <c r="AV47" s="187">
        <f t="shared" si="55"/>
        <v>221542.24359549984</v>
      </c>
      <c r="AW47" s="187">
        <f t="shared" si="55"/>
        <v>223550.71409406012</v>
      </c>
      <c r="AX47" s="187">
        <f t="shared" ref="T47:BO52" si="57">AX63*1000000</f>
        <v>225524.66095125751</v>
      </c>
      <c r="AY47" s="187">
        <f t="shared" si="57"/>
        <v>227488.05964087188</v>
      </c>
      <c r="AZ47" s="187">
        <f t="shared" si="57"/>
        <v>229417.53297907047</v>
      </c>
      <c r="BA47" s="187">
        <f t="shared" si="57"/>
        <v>231336.80428746011</v>
      </c>
      <c r="BB47" s="187">
        <f t="shared" si="57"/>
        <v>233176.46105686913</v>
      </c>
      <c r="BC47" s="187">
        <f t="shared" si="57"/>
        <v>234984.73462679415</v>
      </c>
      <c r="BD47" s="187">
        <f t="shared" si="57"/>
        <v>236759.68265031106</v>
      </c>
      <c r="BE47" s="187">
        <f t="shared" si="57"/>
        <v>238494.27633297761</v>
      </c>
      <c r="BF47" s="187">
        <f t="shared" si="57"/>
        <v>240182.29652907015</v>
      </c>
      <c r="BG47" s="187">
        <f t="shared" si="57"/>
        <v>241826.97236468509</v>
      </c>
      <c r="BH47" s="187">
        <f t="shared" si="57"/>
        <v>243429.23908329377</v>
      </c>
      <c r="BI47" s="187">
        <f t="shared" si="57"/>
        <v>244988.63002203929</v>
      </c>
      <c r="BJ47" s="187">
        <f t="shared" si="57"/>
        <v>246501.22361696919</v>
      </c>
      <c r="BK47" s="187">
        <f t="shared" si="57"/>
        <v>247966.04154007501</v>
      </c>
      <c r="BL47" s="187">
        <f t="shared" si="57"/>
        <v>249380.94424796585</v>
      </c>
      <c r="BM47" s="187">
        <f t="shared" si="57"/>
        <v>250747.58502647071</v>
      </c>
      <c r="BN47" s="187">
        <f t="shared" si="57"/>
        <v>252064.76974535908</v>
      </c>
      <c r="BO47" s="187">
        <f t="shared" si="57"/>
        <v>253331.28564903411</v>
      </c>
      <c r="BP47" s="182"/>
    </row>
    <row r="48" spans="1:96" ht="14.25" hidden="1" customHeight="1" x14ac:dyDescent="0.3">
      <c r="A48" s="982"/>
      <c r="D48" s="944" t="s">
        <v>367</v>
      </c>
      <c r="E48" s="183"/>
      <c r="F48" s="185" t="s">
        <v>368</v>
      </c>
      <c r="G48" s="188">
        <v>0</v>
      </c>
      <c r="H48" s="188">
        <v>0</v>
      </c>
      <c r="I48" s="188">
        <v>0</v>
      </c>
      <c r="J48" s="188">
        <v>0</v>
      </c>
      <c r="K48" s="186">
        <v>26517</v>
      </c>
      <c r="L48" s="187">
        <v>22493</v>
      </c>
      <c r="M48" s="187">
        <v>26280</v>
      </c>
      <c r="N48" s="187">
        <v>28021</v>
      </c>
      <c r="O48" s="187">
        <v>23134</v>
      </c>
      <c r="P48" s="187">
        <v>27020</v>
      </c>
      <c r="Q48" s="187">
        <v>19682</v>
      </c>
      <c r="R48" s="187">
        <v>18807</v>
      </c>
      <c r="S48" s="187">
        <v>22113.025127347406</v>
      </c>
      <c r="T48" s="187">
        <f t="shared" si="57"/>
        <v>22003.48772439735</v>
      </c>
      <c r="U48" s="187">
        <f t="shared" si="57"/>
        <v>23344.26528362924</v>
      </c>
      <c r="V48" s="187">
        <f t="shared" si="57"/>
        <v>23384.566245094873</v>
      </c>
      <c r="W48" s="187">
        <f t="shared" si="57"/>
        <v>24788.077101070361</v>
      </c>
      <c r="X48" s="187">
        <f t="shared" si="57"/>
        <v>25404.402312007613</v>
      </c>
      <c r="Y48" s="187">
        <f t="shared" si="57"/>
        <v>26048.52282289958</v>
      </c>
      <c r="Z48" s="187">
        <f t="shared" si="57"/>
        <v>26622.083897927976</v>
      </c>
      <c r="AA48" s="187">
        <f t="shared" si="57"/>
        <v>27292.733582322642</v>
      </c>
      <c r="AB48" s="187">
        <f t="shared" si="57"/>
        <v>26954.032485121472</v>
      </c>
      <c r="AC48" s="187">
        <f t="shared" si="57"/>
        <v>27455.471670323477</v>
      </c>
      <c r="AD48" s="187">
        <f t="shared" si="57"/>
        <v>28061.762541757587</v>
      </c>
      <c r="AE48" s="187">
        <f t="shared" si="57"/>
        <v>28504.393853525384</v>
      </c>
      <c r="AF48" s="187">
        <f t="shared" si="57"/>
        <v>28927.780891586517</v>
      </c>
      <c r="AG48" s="187">
        <f t="shared" si="57"/>
        <v>29336.894082594856</v>
      </c>
      <c r="AH48" s="187">
        <f t="shared" si="57"/>
        <v>29690.265556677205</v>
      </c>
      <c r="AI48" s="187">
        <f t="shared" si="57"/>
        <v>29998.569585389159</v>
      </c>
      <c r="AJ48" s="187">
        <f t="shared" si="57"/>
        <v>30441.164424121751</v>
      </c>
      <c r="AK48" s="187">
        <f t="shared" si="57"/>
        <v>30851.291257626435</v>
      </c>
      <c r="AL48" s="187">
        <f t="shared" si="57"/>
        <v>31238.900946660451</v>
      </c>
      <c r="AM48" s="187">
        <f t="shared" si="57"/>
        <v>31613.500190436196</v>
      </c>
      <c r="AN48" s="187">
        <f t="shared" si="57"/>
        <v>31937.803982567086</v>
      </c>
      <c r="AO48" s="187">
        <f t="shared" si="57"/>
        <v>32299.563767280313</v>
      </c>
      <c r="AP48" s="187">
        <f t="shared" si="57"/>
        <v>32632.248872325548</v>
      </c>
      <c r="AQ48" s="187">
        <f t="shared" si="57"/>
        <v>33015.194307996564</v>
      </c>
      <c r="AR48" s="187">
        <f t="shared" si="57"/>
        <v>33349.550264375554</v>
      </c>
      <c r="AS48" s="187">
        <f t="shared" si="57"/>
        <v>33672.595989160684</v>
      </c>
      <c r="AT48" s="187">
        <f t="shared" si="57"/>
        <v>33995.350606981541</v>
      </c>
      <c r="AU48" s="187">
        <f t="shared" si="57"/>
        <v>34313.681332400549</v>
      </c>
      <c r="AV48" s="187">
        <f t="shared" si="57"/>
        <v>34650.80970061729</v>
      </c>
      <c r="AW48" s="187">
        <f t="shared" si="57"/>
        <v>34964.949017369836</v>
      </c>
      <c r="AX48" s="187">
        <f t="shared" si="57"/>
        <v>35273.688586843382</v>
      </c>
      <c r="AY48" s="187">
        <f t="shared" si="57"/>
        <v>35580.778346593615</v>
      </c>
      <c r="AZ48" s="187">
        <f t="shared" si="57"/>
        <v>35882.561935941056</v>
      </c>
      <c r="BA48" s="187">
        <f t="shared" si="57"/>
        <v>36182.74985401726</v>
      </c>
      <c r="BB48" s="187">
        <f t="shared" si="57"/>
        <v>36470.485482205775</v>
      </c>
      <c r="BC48" s="187">
        <f t="shared" si="57"/>
        <v>36753.312550945455</v>
      </c>
      <c r="BD48" s="187">
        <f t="shared" si="57"/>
        <v>37030.927263124977</v>
      </c>
      <c r="BE48" s="187">
        <f t="shared" si="57"/>
        <v>37302.23026444202</v>
      </c>
      <c r="BF48" s="187">
        <f t="shared" si="57"/>
        <v>37566.248835511469</v>
      </c>
      <c r="BG48" s="187">
        <f t="shared" si="57"/>
        <v>37823.488035016686</v>
      </c>
      <c r="BH48" s="187">
        <f t="shared" si="57"/>
        <v>38074.094141802867</v>
      </c>
      <c r="BI48" s="187">
        <f t="shared" si="57"/>
        <v>38317.994166422977</v>
      </c>
      <c r="BJ48" s="187">
        <f t="shared" si="57"/>
        <v>38554.574747903345</v>
      </c>
      <c r="BK48" s="187">
        <f t="shared" si="57"/>
        <v>38783.682868665477</v>
      </c>
      <c r="BL48" s="187">
        <f t="shared" si="57"/>
        <v>39004.983888643997</v>
      </c>
      <c r="BM48" s="187">
        <f t="shared" si="57"/>
        <v>39218.736393703657</v>
      </c>
      <c r="BN48" s="187">
        <f t="shared" si="57"/>
        <v>39424.753613237168</v>
      </c>
      <c r="BO48" s="187">
        <f t="shared" si="57"/>
        <v>39622.845863495219</v>
      </c>
      <c r="BP48" s="182"/>
    </row>
    <row r="49" spans="1:68" ht="13.5" hidden="1" customHeight="1" x14ac:dyDescent="0.3">
      <c r="A49" s="982"/>
      <c r="D49" s="944"/>
      <c r="E49" s="183"/>
      <c r="F49" s="185" t="s">
        <v>369</v>
      </c>
      <c r="G49" s="189">
        <v>0</v>
      </c>
      <c r="H49" s="189">
        <v>0</v>
      </c>
      <c r="I49" s="189">
        <v>0</v>
      </c>
      <c r="J49" s="189">
        <v>0</v>
      </c>
      <c r="K49" s="189">
        <v>0</v>
      </c>
      <c r="L49" s="187">
        <v>10472.114714214915</v>
      </c>
      <c r="M49" s="187">
        <v>6695.6319092416825</v>
      </c>
      <c r="N49" s="187">
        <v>7335.2687453287053</v>
      </c>
      <c r="O49" s="187">
        <v>6007.0091686241994</v>
      </c>
      <c r="P49" s="187">
        <v>5242.5295496718272</v>
      </c>
      <c r="Q49" s="187">
        <v>5495.9927723928777</v>
      </c>
      <c r="R49" s="187">
        <v>4252.7158461846493</v>
      </c>
      <c r="S49" s="187">
        <v>3905.8495068835796</v>
      </c>
      <c r="T49" s="187">
        <f t="shared" si="57"/>
        <v>3886.5017872100434</v>
      </c>
      <c r="U49" s="187">
        <f t="shared" si="57"/>
        <v>4123.3248965950161</v>
      </c>
      <c r="V49" s="187">
        <f t="shared" si="57"/>
        <v>4130.4433025824819</v>
      </c>
      <c r="W49" s="187">
        <f t="shared" si="57"/>
        <v>4378.3470675873923</v>
      </c>
      <c r="X49" s="187">
        <f t="shared" si="57"/>
        <v>4487.2093108741374</v>
      </c>
      <c r="Y49" s="187">
        <f t="shared" si="57"/>
        <v>4600.9810705204291</v>
      </c>
      <c r="Z49" s="187">
        <f t="shared" si="57"/>
        <v>4702.2898344351752</v>
      </c>
      <c r="AA49" s="187">
        <f t="shared" si="57"/>
        <v>4820.7474730440617</v>
      </c>
      <c r="AB49" s="187">
        <f t="shared" si="57"/>
        <v>4760.9223018670946</v>
      </c>
      <c r="AC49" s="187">
        <f t="shared" si="57"/>
        <v>4849.4920919783181</v>
      </c>
      <c r="AD49" s="187">
        <f t="shared" si="57"/>
        <v>4956.5819581355399</v>
      </c>
      <c r="AE49" s="187">
        <f t="shared" si="57"/>
        <v>5034.7644447398443</v>
      </c>
      <c r="AF49" s="187">
        <f t="shared" si="57"/>
        <v>5109.5477927579705</v>
      </c>
      <c r="AG49" s="187">
        <f t="shared" si="57"/>
        <v>5181.8099344666289</v>
      </c>
      <c r="AH49" s="187">
        <f t="shared" si="57"/>
        <v>5244.2263514807055</v>
      </c>
      <c r="AI49" s="187">
        <f t="shared" si="57"/>
        <v>5298.6824528770521</v>
      </c>
      <c r="AJ49" s="187">
        <f t="shared" si="57"/>
        <v>5376.8584972064646</v>
      </c>
      <c r="AK49" s="187">
        <f t="shared" si="57"/>
        <v>5449.2996797755059</v>
      </c>
      <c r="AL49" s="187">
        <f t="shared" si="57"/>
        <v>5517.763632765118</v>
      </c>
      <c r="AM49" s="187">
        <f t="shared" si="57"/>
        <v>5583.9295355827744</v>
      </c>
      <c r="AN49" s="187">
        <f t="shared" si="57"/>
        <v>5641.2116939161633</v>
      </c>
      <c r="AO49" s="187">
        <f t="shared" si="57"/>
        <v>5705.1097480537237</v>
      </c>
      <c r="AP49" s="187">
        <f t="shared" si="57"/>
        <v>5763.8723074957352</v>
      </c>
      <c r="AQ49" s="187">
        <f t="shared" si="57"/>
        <v>5831.5124079553143</v>
      </c>
      <c r="AR49" s="187">
        <f t="shared" si="57"/>
        <v>5890.5700918237872</v>
      </c>
      <c r="AS49" s="187">
        <f t="shared" si="57"/>
        <v>5947.6300362495904</v>
      </c>
      <c r="AT49" s="187">
        <f t="shared" si="57"/>
        <v>6004.638562111616</v>
      </c>
      <c r="AU49" s="187">
        <f t="shared" si="57"/>
        <v>6060.8656906814667</v>
      </c>
      <c r="AV49" s="187">
        <f t="shared" si="57"/>
        <v>6120.4130688973646</v>
      </c>
      <c r="AW49" s="187">
        <f t="shared" si="57"/>
        <v>6175.8998640492964</v>
      </c>
      <c r="AX49" s="187">
        <f t="shared" si="57"/>
        <v>6230.4328955200735</v>
      </c>
      <c r="AY49" s="187">
        <f t="shared" si="57"/>
        <v>6284.674519168665</v>
      </c>
      <c r="AZ49" s="187">
        <f t="shared" si="57"/>
        <v>6337.9789077292562</v>
      </c>
      <c r="BA49" s="187">
        <f t="shared" si="57"/>
        <v>6391.0014510058127</v>
      </c>
      <c r="BB49" s="187">
        <f t="shared" si="57"/>
        <v>6441.8245317467226</v>
      </c>
      <c r="BC49" s="187">
        <f t="shared" si="57"/>
        <v>6491.7806078877493</v>
      </c>
      <c r="BD49" s="187">
        <f t="shared" si="57"/>
        <v>6540.816019389591</v>
      </c>
      <c r="BE49" s="187">
        <f t="shared" si="57"/>
        <v>6588.736586015264</v>
      </c>
      <c r="BF49" s="187">
        <f t="shared" si="57"/>
        <v>6635.3704952014104</v>
      </c>
      <c r="BG49" s="187">
        <f t="shared" si="57"/>
        <v>6680.8069560543408</v>
      </c>
      <c r="BH49" s="187">
        <f t="shared" si="57"/>
        <v>6725.0718059776682</v>
      </c>
      <c r="BI49" s="187">
        <f t="shared" si="57"/>
        <v>6768.1521527599461</v>
      </c>
      <c r="BJ49" s="187">
        <f t="shared" si="57"/>
        <v>6809.9396577345842</v>
      </c>
      <c r="BK49" s="187">
        <f t="shared" si="57"/>
        <v>6850.4072932276185</v>
      </c>
      <c r="BL49" s="187">
        <f t="shared" si="57"/>
        <v>6889.4959513726753</v>
      </c>
      <c r="BM49" s="187">
        <f t="shared" si="57"/>
        <v>6927.2513064936657</v>
      </c>
      <c r="BN49" s="187">
        <f t="shared" si="57"/>
        <v>6963.6403690796506</v>
      </c>
      <c r="BO49" s="187">
        <f t="shared" si="57"/>
        <v>6998.6296350680022</v>
      </c>
      <c r="BP49" s="182"/>
    </row>
    <row r="50" spans="1:68" ht="14.25" hidden="1" customHeight="1" x14ac:dyDescent="0.3">
      <c r="A50" s="982"/>
      <c r="D50" s="944"/>
      <c r="E50" s="183"/>
      <c r="F50" s="185" t="s">
        <v>394</v>
      </c>
      <c r="G50" s="186">
        <v>103211</v>
      </c>
      <c r="H50" s="186">
        <v>143087</v>
      </c>
      <c r="I50" s="186">
        <v>104271</v>
      </c>
      <c r="J50" s="186">
        <v>79623</v>
      </c>
      <c r="K50" s="186">
        <v>71840</v>
      </c>
      <c r="L50" s="187">
        <v>67872</v>
      </c>
      <c r="M50" s="187">
        <v>60317</v>
      </c>
      <c r="N50" s="187">
        <v>70583</v>
      </c>
      <c r="O50" s="187">
        <v>43719</v>
      </c>
      <c r="P50" s="187">
        <v>52715</v>
      </c>
      <c r="Q50" s="187">
        <v>44457</v>
      </c>
      <c r="R50" s="187">
        <v>62112</v>
      </c>
      <c r="S50" s="187">
        <v>44762.764854781381</v>
      </c>
      <c r="T50" s="187">
        <f t="shared" si="57"/>
        <v>44541.031420173516</v>
      </c>
      <c r="U50" s="187">
        <f t="shared" si="57"/>
        <v>47255.129118739475</v>
      </c>
      <c r="V50" s="187">
        <f t="shared" si="57"/>
        <v>47336.709203378232</v>
      </c>
      <c r="W50" s="187">
        <f t="shared" si="57"/>
        <v>50177.796121850879</v>
      </c>
      <c r="X50" s="187">
        <f t="shared" si="57"/>
        <v>51425.405633999399</v>
      </c>
      <c r="Y50" s="187">
        <f t="shared" si="57"/>
        <v>52729.28037755681</v>
      </c>
      <c r="Z50" s="187">
        <f t="shared" si="57"/>
        <v>53890.323671429804</v>
      </c>
      <c r="AA50" s="187">
        <f t="shared" si="57"/>
        <v>55247.900662800632</v>
      </c>
      <c r="AB50" s="187">
        <f t="shared" si="57"/>
        <v>54562.277710592141</v>
      </c>
      <c r="AC50" s="187">
        <f t="shared" si="57"/>
        <v>55577.326723873077</v>
      </c>
      <c r="AD50" s="187">
        <f t="shared" si="57"/>
        <v>56804.62400931061</v>
      </c>
      <c r="AE50" s="187">
        <f t="shared" si="57"/>
        <v>57700.629924915615</v>
      </c>
      <c r="AF50" s="187">
        <f t="shared" si="57"/>
        <v>58557.680207188147</v>
      </c>
      <c r="AG50" s="187">
        <f t="shared" si="57"/>
        <v>59385.836348766796</v>
      </c>
      <c r="AH50" s="187">
        <f t="shared" si="57"/>
        <v>60101.156125669397</v>
      </c>
      <c r="AI50" s="187">
        <f t="shared" si="57"/>
        <v>60725.247160773761</v>
      </c>
      <c r="AJ50" s="187">
        <f t="shared" si="57"/>
        <v>61621.179245055864</v>
      </c>
      <c r="AK50" s="187">
        <f t="shared" si="57"/>
        <v>62451.387274173605</v>
      </c>
      <c r="AL50" s="187">
        <f t="shared" si="57"/>
        <v>63236.014491198155</v>
      </c>
      <c r="AM50" s="187">
        <f t="shared" si="57"/>
        <v>63994.305035678</v>
      </c>
      <c r="AN50" s="187">
        <f t="shared" si="57"/>
        <v>64650.783934655774</v>
      </c>
      <c r="AO50" s="187">
        <f t="shared" si="57"/>
        <v>65383.083929060798</v>
      </c>
      <c r="AP50" s="187">
        <f t="shared" si="57"/>
        <v>66056.528880263373</v>
      </c>
      <c r="AQ50" s="187">
        <f t="shared" si="57"/>
        <v>66831.714382492763</v>
      </c>
      <c r="AR50" s="187">
        <f t="shared" si="57"/>
        <v>67508.541590303372</v>
      </c>
      <c r="AS50" s="187">
        <f t="shared" si="57"/>
        <v>68162.473819504143</v>
      </c>
      <c r="AT50" s="187">
        <f t="shared" si="57"/>
        <v>68815.816769195939</v>
      </c>
      <c r="AU50" s="187">
        <f t="shared" si="57"/>
        <v>69460.204559917547</v>
      </c>
      <c r="AV50" s="187">
        <f t="shared" si="57"/>
        <v>70142.643881785771</v>
      </c>
      <c r="AW50" s="187">
        <f t="shared" si="57"/>
        <v>70778.547123719211</v>
      </c>
      <c r="AX50" s="187">
        <f t="shared" si="57"/>
        <v>71403.519811541089</v>
      </c>
      <c r="AY50" s="187">
        <f t="shared" si="57"/>
        <v>72025.152836685651</v>
      </c>
      <c r="AZ50" s="187">
        <f t="shared" si="57"/>
        <v>72636.044732715047</v>
      </c>
      <c r="BA50" s="187">
        <f t="shared" si="57"/>
        <v>73243.706556988647</v>
      </c>
      <c r="BB50" s="187">
        <f t="shared" si="57"/>
        <v>73826.161566684124</v>
      </c>
      <c r="BC50" s="187">
        <f t="shared" si="57"/>
        <v>74398.68031975624</v>
      </c>
      <c r="BD50" s="187">
        <f t="shared" si="57"/>
        <v>74960.647848394001</v>
      </c>
      <c r="BE50" s="187">
        <f t="shared" si="57"/>
        <v>75509.83876109877</v>
      </c>
      <c r="BF50" s="187">
        <f t="shared" si="57"/>
        <v>76044.284009816052</v>
      </c>
      <c r="BG50" s="187">
        <f t="shared" si="57"/>
        <v>76565.005970405866</v>
      </c>
      <c r="BH50" s="187">
        <f t="shared" si="57"/>
        <v>77072.300750954411</v>
      </c>
      <c r="BI50" s="187">
        <f t="shared" si="57"/>
        <v>77566.020601009819</v>
      </c>
      <c r="BJ50" s="187">
        <f t="shared" si="57"/>
        <v>78044.923911480742</v>
      </c>
      <c r="BK50" s="187">
        <f t="shared" si="57"/>
        <v>78508.700933255721</v>
      </c>
      <c r="BL50" s="187">
        <f t="shared" si="57"/>
        <v>78956.6742640132</v>
      </c>
      <c r="BM50" s="187">
        <f t="shared" si="57"/>
        <v>79389.367351729772</v>
      </c>
      <c r="BN50" s="187">
        <f t="shared" si="57"/>
        <v>79806.402122002328</v>
      </c>
      <c r="BO50" s="187">
        <f t="shared" si="57"/>
        <v>80207.394603437599</v>
      </c>
      <c r="BP50" s="182"/>
    </row>
    <row r="51" spans="1:68" ht="14.25" hidden="1" customHeight="1" x14ac:dyDescent="0.3">
      <c r="A51" s="982"/>
      <c r="D51" s="944"/>
      <c r="E51" s="183"/>
      <c r="F51" s="185" t="s">
        <v>370</v>
      </c>
      <c r="G51" s="186">
        <v>34907</v>
      </c>
      <c r="H51" s="186">
        <v>35226</v>
      </c>
      <c r="I51" s="186">
        <v>29336</v>
      </c>
      <c r="J51" s="186">
        <v>34471</v>
      </c>
      <c r="K51" s="186">
        <v>21770</v>
      </c>
      <c r="L51" s="187">
        <v>20313</v>
      </c>
      <c r="M51" s="187">
        <v>23958</v>
      </c>
      <c r="N51" s="187">
        <v>16581</v>
      </c>
      <c r="O51" s="187">
        <v>14676</v>
      </c>
      <c r="P51" s="187">
        <v>14842</v>
      </c>
      <c r="Q51" s="187">
        <v>23120</v>
      </c>
      <c r="R51" s="187">
        <v>18135</v>
      </c>
      <c r="S51" s="187">
        <v>12868.210280214884</v>
      </c>
      <c r="T51" s="187">
        <f t="shared" si="57"/>
        <v>12804.467290434315</v>
      </c>
      <c r="U51" s="187">
        <f t="shared" si="57"/>
        <v>13584.704615351555</v>
      </c>
      <c r="V51" s="187">
        <f t="shared" si="57"/>
        <v>13608.1569129747</v>
      </c>
      <c r="W51" s="187">
        <f t="shared" si="57"/>
        <v>14424.900561627328</v>
      </c>
      <c r="X51" s="187">
        <f t="shared" si="57"/>
        <v>14783.558066408526</v>
      </c>
      <c r="Y51" s="187">
        <f t="shared" si="57"/>
        <v>15158.390461895953</v>
      </c>
      <c r="Z51" s="187">
        <f t="shared" si="57"/>
        <v>15492.162276448984</v>
      </c>
      <c r="AA51" s="187">
        <f t="shared" si="57"/>
        <v>15882.432766960812</v>
      </c>
      <c r="AB51" s="187">
        <f t="shared" si="57"/>
        <v>15685.332781055491</v>
      </c>
      <c r="AC51" s="187">
        <f t="shared" si="57"/>
        <v>15977.134777424546</v>
      </c>
      <c r="AD51" s="187">
        <f t="shared" si="57"/>
        <v>16329.953009197829</v>
      </c>
      <c r="AE51" s="187">
        <f t="shared" si="57"/>
        <v>16587.532999435851</v>
      </c>
      <c r="AF51" s="187">
        <f t="shared" si="57"/>
        <v>16833.914188997751</v>
      </c>
      <c r="AG51" s="187">
        <f t="shared" si="57"/>
        <v>17071.989013224054</v>
      </c>
      <c r="AH51" s="187">
        <f t="shared" si="57"/>
        <v>17277.62611666575</v>
      </c>
      <c r="AI51" s="187">
        <f t="shared" si="57"/>
        <v>17457.037167340877</v>
      </c>
      <c r="AJ51" s="187">
        <f t="shared" si="57"/>
        <v>17714.595932862521</v>
      </c>
      <c r="AK51" s="187">
        <f t="shared" si="57"/>
        <v>17953.260625038449</v>
      </c>
      <c r="AL51" s="187">
        <f t="shared" si="57"/>
        <v>18178.821938174657</v>
      </c>
      <c r="AM51" s="187">
        <f t="shared" si="57"/>
        <v>18396.812096099922</v>
      </c>
      <c r="AN51" s="187">
        <f t="shared" si="57"/>
        <v>18585.533872870768</v>
      </c>
      <c r="AO51" s="187">
        <f t="shared" si="57"/>
        <v>18796.05237740853</v>
      </c>
      <c r="AP51" s="187">
        <f t="shared" si="57"/>
        <v>18989.651483101356</v>
      </c>
      <c r="AQ51" s="187">
        <f t="shared" si="57"/>
        <v>19212.498532009598</v>
      </c>
      <c r="AR51" s="187">
        <f t="shared" si="57"/>
        <v>19407.069954524111</v>
      </c>
      <c r="AS51" s="187">
        <f t="shared" si="57"/>
        <v>19595.059625440663</v>
      </c>
      <c r="AT51" s="187">
        <f t="shared" si="57"/>
        <v>19782.879892776804</v>
      </c>
      <c r="AU51" s="187">
        <f t="shared" si="57"/>
        <v>19968.125768895272</v>
      </c>
      <c r="AV51" s="187">
        <f t="shared" si="57"/>
        <v>20164.310538218102</v>
      </c>
      <c r="AW51" s="187">
        <f t="shared" si="57"/>
        <v>20347.117312143189</v>
      </c>
      <c r="AX51" s="187">
        <f t="shared" si="57"/>
        <v>20526.781816611881</v>
      </c>
      <c r="AY51" s="187">
        <f t="shared" si="57"/>
        <v>20705.486248981902</v>
      </c>
      <c r="AZ51" s="187">
        <f t="shared" si="57"/>
        <v>20881.102866992172</v>
      </c>
      <c r="BA51" s="187">
        <f t="shared" si="57"/>
        <v>21055.790917638267</v>
      </c>
      <c r="BB51" s="187">
        <f t="shared" si="57"/>
        <v>21223.232619862018</v>
      </c>
      <c r="BC51" s="187">
        <f t="shared" si="57"/>
        <v>21387.8178890651</v>
      </c>
      <c r="BD51" s="187">
        <f t="shared" si="57"/>
        <v>21549.369936902709</v>
      </c>
      <c r="BE51" s="187">
        <f t="shared" si="57"/>
        <v>21707.249017240913</v>
      </c>
      <c r="BF51" s="187">
        <f t="shared" si="57"/>
        <v>21860.889076474679</v>
      </c>
      <c r="BG51" s="187">
        <f t="shared" si="57"/>
        <v>22010.584022891282</v>
      </c>
      <c r="BH51" s="187">
        <f t="shared" si="57"/>
        <v>22156.41898039071</v>
      </c>
      <c r="BI51" s="187">
        <f t="shared" si="57"/>
        <v>22298.351474298102</v>
      </c>
      <c r="BJ51" s="187">
        <f t="shared" si="57"/>
        <v>22436.02457208425</v>
      </c>
      <c r="BK51" s="187">
        <f t="shared" si="57"/>
        <v>22569.349228384937</v>
      </c>
      <c r="BL51" s="187">
        <f t="shared" si="57"/>
        <v>22698.13070644638</v>
      </c>
      <c r="BM51" s="187">
        <f t="shared" si="57"/>
        <v>22822.51948487854</v>
      </c>
      <c r="BN51" s="187">
        <f t="shared" si="57"/>
        <v>22942.406876451383</v>
      </c>
      <c r="BO51" s="187">
        <f t="shared" si="57"/>
        <v>23057.682498693091</v>
      </c>
      <c r="BP51" s="182"/>
    </row>
    <row r="52" spans="1:68" ht="14.25" hidden="1" customHeight="1" x14ac:dyDescent="0.3">
      <c r="A52" s="982"/>
      <c r="D52" s="944"/>
      <c r="E52" s="183"/>
      <c r="F52" s="185" t="s">
        <v>371</v>
      </c>
      <c r="G52" s="186">
        <v>61058</v>
      </c>
      <c r="H52" s="186">
        <v>61837</v>
      </c>
      <c r="I52" s="186">
        <v>49937</v>
      </c>
      <c r="J52" s="186">
        <v>65528</v>
      </c>
      <c r="K52" s="186">
        <v>51978</v>
      </c>
      <c r="L52" s="187">
        <v>47607</v>
      </c>
      <c r="M52" s="187">
        <v>47680</v>
      </c>
      <c r="N52" s="187">
        <v>46607</v>
      </c>
      <c r="O52" s="187">
        <v>34856</v>
      </c>
      <c r="P52" s="187">
        <v>33276</v>
      </c>
      <c r="Q52" s="187">
        <v>39844</v>
      </c>
      <c r="R52" s="187">
        <v>36564</v>
      </c>
      <c r="S52" s="187">
        <v>35622.878195690326</v>
      </c>
      <c r="T52" s="187">
        <f t="shared" si="57"/>
        <v>35446.419409943446</v>
      </c>
      <c r="U52" s="187">
        <f t="shared" si="57"/>
        <v>37606.338977934378</v>
      </c>
      <c r="V52" s="187">
        <f t="shared" si="57"/>
        <v>37671.261630226036</v>
      </c>
      <c r="W52" s="187">
        <f t="shared" si="57"/>
        <v>39932.241119952749</v>
      </c>
      <c r="X52" s="187">
        <f t="shared" si="57"/>
        <v>40925.10744157595</v>
      </c>
      <c r="Y52" s="187">
        <f t="shared" si="57"/>
        <v>41962.750476425739</v>
      </c>
      <c r="Z52" s="187">
        <f t="shared" si="57"/>
        <v>42886.726105986141</v>
      </c>
      <c r="AA52" s="187">
        <f t="shared" si="57"/>
        <v>43967.106193359345</v>
      </c>
      <c r="AB52" s="187">
        <f t="shared" si="57"/>
        <v>43421.477186886477</v>
      </c>
      <c r="AC52" s="187">
        <f t="shared" si="57"/>
        <v>44229.268382985938</v>
      </c>
      <c r="AD52" s="187">
        <f t="shared" si="57"/>
        <v>45205.969930597617</v>
      </c>
      <c r="AE52" s="187">
        <f t="shared" si="57"/>
        <v>45919.024847955021</v>
      </c>
      <c r="AF52" s="187">
        <f t="shared" si="57"/>
        <v>46601.078289292338</v>
      </c>
      <c r="AG52" s="187">
        <f t="shared" si="57"/>
        <v>47260.137341032692</v>
      </c>
      <c r="AH52" s="187">
        <f t="shared" si="57"/>
        <v>47829.399525042936</v>
      </c>
      <c r="AI52" s="187">
        <f t="shared" si="57"/>
        <v>48326.060510991178</v>
      </c>
      <c r="AJ52" s="187">
        <f t="shared" si="57"/>
        <v>49039.056672276849</v>
      </c>
      <c r="AK52" s="187">
        <f t="shared" si="57"/>
        <v>49699.748646829583</v>
      </c>
      <c r="AL52" s="187">
        <f t="shared" si="57"/>
        <v>50324.166728951335</v>
      </c>
      <c r="AM52" s="187">
        <f t="shared" si="57"/>
        <v>50927.625692904578</v>
      </c>
      <c r="AN52" s="187">
        <f t="shared" si="57"/>
        <v>51450.061425643464</v>
      </c>
      <c r="AO52" s="187">
        <f t="shared" si="57"/>
        <v>52032.836720869855</v>
      </c>
      <c r="AP52" s="187">
        <f t="shared" si="57"/>
        <v>52568.774291884976</v>
      </c>
      <c r="AQ52" s="187">
        <f t="shared" si="57"/>
        <v>53185.678516067019</v>
      </c>
      <c r="AR52" s="187">
        <f t="shared" si="57"/>
        <v>53724.307737510004</v>
      </c>
      <c r="AS52" s="187">
        <f t="shared" si="57"/>
        <v>54244.716792326624</v>
      </c>
      <c r="AT52" s="187">
        <f t="shared" si="57"/>
        <v>54764.656889690785</v>
      </c>
      <c r="AU52" s="187">
        <f t="shared" si="57"/>
        <v>55277.470337522616</v>
      </c>
      <c r="AV52" s="187">
        <f t="shared" si="57"/>
        <v>55820.56576332415</v>
      </c>
      <c r="AW52" s="187">
        <f t="shared" si="57"/>
        <v>56326.627080249702</v>
      </c>
      <c r="AX52" s="187">
        <f t="shared" si="57"/>
        <v>56823.989698625439</v>
      </c>
      <c r="AY52" s="187">
        <f t="shared" si="57"/>
        <v>57318.694563460842</v>
      </c>
      <c r="AZ52" s="187">
        <f t="shared" si="57"/>
        <v>57804.851476993535</v>
      </c>
      <c r="BA52" s="187">
        <f t="shared" si="57"/>
        <v>58288.437851081333</v>
      </c>
      <c r="BB52" s="187">
        <f t="shared" si="57"/>
        <v>58751.964264880036</v>
      </c>
      <c r="BC52" s="187">
        <f t="shared" si="57"/>
        <v>59207.583256950813</v>
      </c>
      <c r="BD52" s="187">
        <f t="shared" si="57"/>
        <v>59654.805426705985</v>
      </c>
      <c r="BE52" s="187">
        <f t="shared" si="57"/>
        <v>60091.859774285505</v>
      </c>
      <c r="BF52" s="187">
        <f t="shared" si="57"/>
        <v>60517.179301778633</v>
      </c>
      <c r="BG52" s="187">
        <f t="shared" si="57"/>
        <v>60931.577631195745</v>
      </c>
      <c r="BH52" s="187">
        <f t="shared" si="57"/>
        <v>61335.290409783403</v>
      </c>
      <c r="BI52" s="187">
        <f t="shared" si="57"/>
        <v>61728.2000555208</v>
      </c>
      <c r="BJ52" s="187">
        <f t="shared" si="57"/>
        <v>62109.318477310961</v>
      </c>
      <c r="BK52" s="187">
        <f t="shared" si="57"/>
        <v>62478.399172175261</v>
      </c>
      <c r="BL52" s="187">
        <f t="shared" si="57"/>
        <v>62834.903053208131</v>
      </c>
      <c r="BM52" s="187">
        <f t="shared" ref="T52:BO55" si="58">BM68*1000000</f>
        <v>63179.246688143314</v>
      </c>
      <c r="BN52" s="187">
        <f t="shared" si="58"/>
        <v>63511.129199712523</v>
      </c>
      <c r="BO52" s="187">
        <f t="shared" si="58"/>
        <v>63830.245017734436</v>
      </c>
      <c r="BP52" s="182"/>
    </row>
    <row r="53" spans="1:68" ht="14.25" hidden="1" customHeight="1" x14ac:dyDescent="0.3">
      <c r="A53" s="982"/>
      <c r="D53" s="944"/>
      <c r="E53" s="183"/>
      <c r="F53" s="185" t="s">
        <v>372</v>
      </c>
      <c r="G53" s="186">
        <v>155148</v>
      </c>
      <c r="H53" s="186">
        <v>150426</v>
      </c>
      <c r="I53" s="186">
        <v>119044</v>
      </c>
      <c r="J53" s="186">
        <v>145853</v>
      </c>
      <c r="K53" s="186">
        <v>159208</v>
      </c>
      <c r="L53" s="187">
        <v>163672</v>
      </c>
      <c r="M53" s="187">
        <v>162337</v>
      </c>
      <c r="N53" s="187">
        <v>168953</v>
      </c>
      <c r="O53" s="187">
        <v>168889</v>
      </c>
      <c r="P53" s="187">
        <v>200348</v>
      </c>
      <c r="Q53" s="187">
        <v>191969.33089279878</v>
      </c>
      <c r="R53" s="187">
        <v>182185</v>
      </c>
      <c r="S53" s="187">
        <v>145998.2969841749</v>
      </c>
      <c r="T53" s="187">
        <f t="shared" si="58"/>
        <v>145275.09090112301</v>
      </c>
      <c r="U53" s="187">
        <f t="shared" si="58"/>
        <v>154127.39578275438</v>
      </c>
      <c r="V53" s="187">
        <f t="shared" si="58"/>
        <v>154393.47750187342</v>
      </c>
      <c r="W53" s="187">
        <f t="shared" si="58"/>
        <v>163659.97060225927</v>
      </c>
      <c r="X53" s="187">
        <f t="shared" si="58"/>
        <v>167729.17554672289</v>
      </c>
      <c r="Y53" s="187">
        <f t="shared" si="58"/>
        <v>171981.89524930684</v>
      </c>
      <c r="Z53" s="187">
        <f t="shared" si="58"/>
        <v>175768.75569414924</v>
      </c>
      <c r="AA53" s="187">
        <f t="shared" si="58"/>
        <v>180196.63072394353</v>
      </c>
      <c r="AB53" s="187">
        <f t="shared" si="58"/>
        <v>177960.40193601133</v>
      </c>
      <c r="AC53" s="187">
        <f t="shared" si="58"/>
        <v>181271.08722936304</v>
      </c>
      <c r="AD53" s="187">
        <f t="shared" si="58"/>
        <v>185274.04178653762</v>
      </c>
      <c r="AE53" s="187">
        <f t="shared" si="58"/>
        <v>188196.45594460994</v>
      </c>
      <c r="AF53" s="187">
        <f t="shared" si="58"/>
        <v>190991.81235406175</v>
      </c>
      <c r="AG53" s="187">
        <f t="shared" si="58"/>
        <v>193692.92759347378</v>
      </c>
      <c r="AH53" s="187">
        <f t="shared" si="58"/>
        <v>196026.01558671295</v>
      </c>
      <c r="AI53" s="187">
        <f t="shared" si="58"/>
        <v>198061.55178703312</v>
      </c>
      <c r="AJ53" s="187">
        <f t="shared" si="58"/>
        <v>200983.72513675858</v>
      </c>
      <c r="AK53" s="187">
        <f t="shared" si="58"/>
        <v>203691.53281546212</v>
      </c>
      <c r="AL53" s="187">
        <f t="shared" si="58"/>
        <v>206250.67405315494</v>
      </c>
      <c r="AM53" s="187">
        <f t="shared" si="58"/>
        <v>208723.91556253046</v>
      </c>
      <c r="AN53" s="187">
        <f t="shared" si="58"/>
        <v>210865.08806534033</v>
      </c>
      <c r="AO53" s="187">
        <f t="shared" si="58"/>
        <v>213253.55875993447</v>
      </c>
      <c r="AP53" s="187">
        <f t="shared" si="58"/>
        <v>215450.06776260986</v>
      </c>
      <c r="AQ53" s="187">
        <f t="shared" si="58"/>
        <v>217978.41389001004</v>
      </c>
      <c r="AR53" s="187">
        <f t="shared" si="58"/>
        <v>220185.95446560852</v>
      </c>
      <c r="AS53" s="187">
        <f t="shared" si="58"/>
        <v>222318.82074668189</v>
      </c>
      <c r="AT53" s="187">
        <f t="shared" si="58"/>
        <v>224449.76503287762</v>
      </c>
      <c r="AU53" s="187">
        <f t="shared" si="58"/>
        <v>226551.50115994576</v>
      </c>
      <c r="AV53" s="187">
        <f t="shared" si="58"/>
        <v>228777.34621466993</v>
      </c>
      <c r="AW53" s="187">
        <f t="shared" si="58"/>
        <v>230851.4091254439</v>
      </c>
      <c r="AX53" s="187">
        <f t="shared" si="58"/>
        <v>232889.82092551098</v>
      </c>
      <c r="AY53" s="187">
        <f t="shared" si="58"/>
        <v>234917.34007707951</v>
      </c>
      <c r="AZ53" s="187">
        <f t="shared" si="58"/>
        <v>236909.82594677666</v>
      </c>
      <c r="BA53" s="187">
        <f t="shared" si="58"/>
        <v>238891.77660987925</v>
      </c>
      <c r="BB53" s="187">
        <f t="shared" si="58"/>
        <v>240791.51269100196</v>
      </c>
      <c r="BC53" s="187">
        <f t="shared" si="58"/>
        <v>242658.84066350776</v>
      </c>
      <c r="BD53" s="187">
        <f t="shared" si="58"/>
        <v>244491.75474751688</v>
      </c>
      <c r="BE53" s="187">
        <f t="shared" si="58"/>
        <v>246282.99660297873</v>
      </c>
      <c r="BF53" s="187">
        <f t="shared" si="58"/>
        <v>248026.1439799816</v>
      </c>
      <c r="BG53" s="187">
        <f t="shared" si="58"/>
        <v>249724.53146107245</v>
      </c>
      <c r="BH53" s="187">
        <f t="shared" si="58"/>
        <v>251379.12483280283</v>
      </c>
      <c r="BI53" s="187">
        <f t="shared" si="58"/>
        <v>252989.44219209062</v>
      </c>
      <c r="BJ53" s="187">
        <f t="shared" si="58"/>
        <v>254551.43390497225</v>
      </c>
      <c r="BK53" s="187">
        <f t="shared" si="58"/>
        <v>256064.08969330895</v>
      </c>
      <c r="BL53" s="187">
        <f t="shared" si="58"/>
        <v>257525.20014073333</v>
      </c>
      <c r="BM53" s="187">
        <f t="shared" si="58"/>
        <v>258936.47252590407</v>
      </c>
      <c r="BN53" s="187">
        <f t="shared" si="58"/>
        <v>260296.67372081478</v>
      </c>
      <c r="BO53" s="187">
        <f t="shared" si="58"/>
        <v>261604.55136382754</v>
      </c>
      <c r="BP53" s="182"/>
    </row>
    <row r="54" spans="1:68" ht="14.25" hidden="1" customHeight="1" x14ac:dyDescent="0.3">
      <c r="A54" s="982"/>
      <c r="D54" s="944"/>
      <c r="E54" s="183"/>
      <c r="F54" s="185" t="s">
        <v>373</v>
      </c>
      <c r="G54" s="186">
        <v>2664</v>
      </c>
      <c r="H54" s="186">
        <v>1583</v>
      </c>
      <c r="I54" s="186">
        <v>3077</v>
      </c>
      <c r="J54" s="186">
        <v>1325</v>
      </c>
      <c r="K54" s="186">
        <v>9670</v>
      </c>
      <c r="L54" s="187">
        <v>9951.4822792642935</v>
      </c>
      <c r="M54" s="187">
        <v>15220.368090758318</v>
      </c>
      <c r="N54" s="187">
        <v>21834.731254671293</v>
      </c>
      <c r="O54" s="187">
        <v>22317.990831375799</v>
      </c>
      <c r="P54" s="187">
        <v>18864.470450328172</v>
      </c>
      <c r="Q54" s="187">
        <v>16995.821880195614</v>
      </c>
      <c r="R54" s="187">
        <v>13486.945735989684</v>
      </c>
      <c r="S54" s="187">
        <v>15333.459965277645</v>
      </c>
      <c r="T54" s="187">
        <f t="shared" si="58"/>
        <v>15257.505301763154</v>
      </c>
      <c r="U54" s="187">
        <f t="shared" si="58"/>
        <v>16187.217944354043</v>
      </c>
      <c r="V54" s="187">
        <f t="shared" si="58"/>
        <v>16215.163156537215</v>
      </c>
      <c r="W54" s="187">
        <f t="shared" si="58"/>
        <v>17188.375885098623</v>
      </c>
      <c r="X54" s="187">
        <f t="shared" si="58"/>
        <v>17615.743822912351</v>
      </c>
      <c r="Y54" s="187">
        <f t="shared" si="58"/>
        <v>18062.385384150468</v>
      </c>
      <c r="Z54" s="187">
        <f t="shared" si="58"/>
        <v>18460.100112503627</v>
      </c>
      <c r="AA54" s="187">
        <f t="shared" si="58"/>
        <v>18925.137348574695</v>
      </c>
      <c r="AB54" s="187">
        <f t="shared" si="58"/>
        <v>18690.277591294944</v>
      </c>
      <c r="AC54" s="187">
        <f t="shared" si="58"/>
        <v>19037.982060811762</v>
      </c>
      <c r="AD54" s="187">
        <f t="shared" si="58"/>
        <v>19458.392056771616</v>
      </c>
      <c r="AE54" s="187">
        <f t="shared" si="58"/>
        <v>19765.318380026059</v>
      </c>
      <c r="AF54" s="187">
        <f t="shared" si="58"/>
        <v>20058.900472957306</v>
      </c>
      <c r="AG54" s="187">
        <f t="shared" si="58"/>
        <v>20342.584894218846</v>
      </c>
      <c r="AH54" s="187">
        <f t="shared" si="58"/>
        <v>20587.617282121839</v>
      </c>
      <c r="AI54" s="187">
        <f t="shared" si="58"/>
        <v>20801.39931574971</v>
      </c>
      <c r="AJ54" s="187">
        <f t="shared" si="58"/>
        <v>21108.300348125951</v>
      </c>
      <c r="AK54" s="187">
        <f t="shared" si="58"/>
        <v>21392.687642311805</v>
      </c>
      <c r="AL54" s="187">
        <f t="shared" si="58"/>
        <v>21661.461254910224</v>
      </c>
      <c r="AM54" s="187">
        <f t="shared" si="58"/>
        <v>21921.213255117342</v>
      </c>
      <c r="AN54" s="187">
        <f t="shared" si="58"/>
        <v>22146.08973332823</v>
      </c>
      <c r="AO54" s="187">
        <f t="shared" si="58"/>
        <v>22396.938685201741</v>
      </c>
      <c r="AP54" s="187">
        <f t="shared" si="58"/>
        <v>22627.626875075253</v>
      </c>
      <c r="AQ54" s="187">
        <f t="shared" si="58"/>
        <v>22893.16623357241</v>
      </c>
      <c r="AR54" s="187">
        <f t="shared" si="58"/>
        <v>23125.013013547756</v>
      </c>
      <c r="AS54" s="187">
        <f t="shared" si="58"/>
        <v>23349.017131456567</v>
      </c>
      <c r="AT54" s="187">
        <f t="shared" si="58"/>
        <v>23572.819392000474</v>
      </c>
      <c r="AU54" s="187">
        <f t="shared" si="58"/>
        <v>23793.554067867757</v>
      </c>
      <c r="AV54" s="187">
        <f t="shared" si="58"/>
        <v>24027.323274362159</v>
      </c>
      <c r="AW54" s="187">
        <f t="shared" si="58"/>
        <v>24245.151572806401</v>
      </c>
      <c r="AX54" s="187">
        <f t="shared" si="58"/>
        <v>24459.235616077578</v>
      </c>
      <c r="AY54" s="187">
        <f t="shared" si="58"/>
        <v>24672.175659773973</v>
      </c>
      <c r="AZ54" s="187">
        <f t="shared" si="58"/>
        <v>24881.436335723458</v>
      </c>
      <c r="BA54" s="187">
        <f t="shared" si="58"/>
        <v>25089.590552406778</v>
      </c>
      <c r="BB54" s="187">
        <f t="shared" si="58"/>
        <v>25289.110188910796</v>
      </c>
      <c r="BC54" s="187">
        <f t="shared" si="58"/>
        <v>25485.226166288016</v>
      </c>
      <c r="BD54" s="187">
        <f t="shared" si="58"/>
        <v>25677.727827660092</v>
      </c>
      <c r="BE54" s="187">
        <f t="shared" si="58"/>
        <v>25865.852866418802</v>
      </c>
      <c r="BF54" s="187">
        <f t="shared" si="58"/>
        <v>26048.926786258766</v>
      </c>
      <c r="BG54" s="187">
        <f t="shared" si="58"/>
        <v>26227.299801456735</v>
      </c>
      <c r="BH54" s="187">
        <f t="shared" si="58"/>
        <v>26401.073343671345</v>
      </c>
      <c r="BI54" s="187">
        <f t="shared" si="58"/>
        <v>26570.196801068301</v>
      </c>
      <c r="BJ54" s="187">
        <f t="shared" si="58"/>
        <v>26734.244861150546</v>
      </c>
      <c r="BK54" s="187">
        <f t="shared" si="58"/>
        <v>26893.1114195339</v>
      </c>
      <c r="BL54" s="187">
        <f t="shared" si="58"/>
        <v>27046.564432433483</v>
      </c>
      <c r="BM54" s="187">
        <f t="shared" si="58"/>
        <v>27194.783206659751</v>
      </c>
      <c r="BN54" s="187">
        <f t="shared" si="58"/>
        <v>27337.638233038218</v>
      </c>
      <c r="BO54" s="187">
        <f t="shared" si="58"/>
        <v>27474.997982383735</v>
      </c>
      <c r="BP54" s="182"/>
    </row>
    <row r="55" spans="1:68" ht="14.25" hidden="1" customHeight="1" x14ac:dyDescent="0.3">
      <c r="A55" s="982"/>
      <c r="D55" s="944"/>
      <c r="E55" s="183"/>
      <c r="F55" s="185" t="s">
        <v>374</v>
      </c>
      <c r="G55" s="186">
        <v>5411</v>
      </c>
      <c r="H55" s="186">
        <v>5823</v>
      </c>
      <c r="I55" s="186">
        <v>6293</v>
      </c>
      <c r="J55" s="186">
        <v>9202</v>
      </c>
      <c r="K55" s="186">
        <v>6731</v>
      </c>
      <c r="L55" s="187">
        <v>7628</v>
      </c>
      <c r="M55" s="187">
        <v>8352</v>
      </c>
      <c r="N55" s="187">
        <v>8848</v>
      </c>
      <c r="O55" s="187">
        <v>6960</v>
      </c>
      <c r="P55" s="187">
        <v>8618</v>
      </c>
      <c r="Q55" s="187">
        <v>4930</v>
      </c>
      <c r="R55" s="187">
        <v>6963</v>
      </c>
      <c r="S55" s="187">
        <v>7111</v>
      </c>
      <c r="T55" s="187">
        <f t="shared" si="58"/>
        <v>7075.7754901063026</v>
      </c>
      <c r="U55" s="187">
        <f t="shared" si="58"/>
        <v>7506.9362728934057</v>
      </c>
      <c r="V55" s="187">
        <f t="shared" si="58"/>
        <v>7519.8960617658786</v>
      </c>
      <c r="W55" s="187">
        <f t="shared" si="58"/>
        <v>7971.2303156441003</v>
      </c>
      <c r="X55" s="187">
        <f t="shared" si="58"/>
        <v>8169.4252052955699</v>
      </c>
      <c r="Y55" s="187">
        <f t="shared" si="58"/>
        <v>8376.558373488293</v>
      </c>
      <c r="Z55" s="187">
        <f t="shared" si="58"/>
        <v>8561.0013785063129</v>
      </c>
      <c r="AA55" s="187">
        <f t="shared" si="58"/>
        <v>8776.6656704006236</v>
      </c>
      <c r="AB55" s="187">
        <f t="shared" si="58"/>
        <v>8667.7478046483284</v>
      </c>
      <c r="AC55" s="187">
        <f t="shared" si="58"/>
        <v>8828.9982000798282</v>
      </c>
      <c r="AD55" s="187">
        <f t="shared" si="58"/>
        <v>9023.9662952155813</v>
      </c>
      <c r="AE55" s="187">
        <f t="shared" si="58"/>
        <v>9166.3055382569237</v>
      </c>
      <c r="AF55" s="187">
        <f t="shared" si="58"/>
        <v>9302.4563005481177</v>
      </c>
      <c r="AG55" s="187">
        <f t="shared" si="58"/>
        <v>9434.0169479270462</v>
      </c>
      <c r="AH55" s="187">
        <f t="shared" si="58"/>
        <v>9547.6524427419081</v>
      </c>
      <c r="AI55" s="187">
        <f t="shared" si="58"/>
        <v>9646.7953657723447</v>
      </c>
      <c r="AJ55" s="187">
        <f t="shared" si="58"/>
        <v>9789.1228799908822</v>
      </c>
      <c r="AK55" s="187">
        <f t="shared" si="58"/>
        <v>9921.0094896363917</v>
      </c>
      <c r="AL55" s="187">
        <f t="shared" si="58"/>
        <v>10045.655144531984</v>
      </c>
      <c r="AM55" s="187">
        <f t="shared" si="58"/>
        <v>10166.116963172755</v>
      </c>
      <c r="AN55" s="187">
        <f t="shared" si="58"/>
        <v>10270.405012978785</v>
      </c>
      <c r="AO55" s="187">
        <f t="shared" si="58"/>
        <v>10386.737980281136</v>
      </c>
      <c r="AP55" s="187">
        <f t="shared" si="58"/>
        <v>10493.721252282712</v>
      </c>
      <c r="AQ55" s="187">
        <f t="shared" si="58"/>
        <v>10616.866999071055</v>
      </c>
      <c r="AR55" s="187">
        <f t="shared" si="58"/>
        <v>10724.387575388342</v>
      </c>
      <c r="AS55" s="187">
        <f t="shared" si="58"/>
        <v>10828.271061963234</v>
      </c>
      <c r="AT55" s="187">
        <f t="shared" si="58"/>
        <v>10932.060935764161</v>
      </c>
      <c r="AU55" s="187">
        <f t="shared" si="58"/>
        <v>11034.428195576798</v>
      </c>
      <c r="AV55" s="187">
        <f t="shared" si="58"/>
        <v>11142.840310725369</v>
      </c>
      <c r="AW55" s="187">
        <f t="shared" si="58"/>
        <v>11243.859717548396</v>
      </c>
      <c r="AX55" s="187">
        <f t="shared" si="58"/>
        <v>11343.142699676937</v>
      </c>
      <c r="AY55" s="187">
        <f t="shared" si="58"/>
        <v>11441.895143949396</v>
      </c>
      <c r="AZ55" s="187">
        <f t="shared" si="58"/>
        <v>11538.941255528027</v>
      </c>
      <c r="BA55" s="187">
        <f t="shared" si="58"/>
        <v>11635.474238832963</v>
      </c>
      <c r="BB55" s="187">
        <f t="shared" si="58"/>
        <v>11728.002874795942</v>
      </c>
      <c r="BC55" s="187">
        <f t="shared" si="58"/>
        <v>11818.953039878539</v>
      </c>
      <c r="BD55" s="187">
        <f t="shared" si="58"/>
        <v>11908.22704047049</v>
      </c>
      <c r="BE55" s="187">
        <f t="shared" si="58"/>
        <v>11995.471351515913</v>
      </c>
      <c r="BF55" s="187">
        <f t="shared" si="58"/>
        <v>12080.373170605015</v>
      </c>
      <c r="BG55" s="187">
        <f t="shared" si="58"/>
        <v>12163.094912074001</v>
      </c>
      <c r="BH55" s="187">
        <f t="shared" si="58"/>
        <v>12243.683615568603</v>
      </c>
      <c r="BI55" s="187">
        <f t="shared" si="58"/>
        <v>12322.115809494378</v>
      </c>
      <c r="BJ55" s="187">
        <f t="shared" si="58"/>
        <v>12398.194252186795</v>
      </c>
      <c r="BK55" s="187">
        <f t="shared" si="58"/>
        <v>12471.86973699076</v>
      </c>
      <c r="BL55" s="187">
        <f t="shared" si="58"/>
        <v>12543.034651967548</v>
      </c>
      <c r="BM55" s="187">
        <f t="shared" si="58"/>
        <v>12611.772151912746</v>
      </c>
      <c r="BN55" s="187">
        <f t="shared" si="58"/>
        <v>12678.022176035001</v>
      </c>
      <c r="BO55" s="187">
        <f t="shared" si="58"/>
        <v>12741.723726748787</v>
      </c>
      <c r="BP55" s="182"/>
    </row>
    <row r="56" spans="1:68" ht="14.25" hidden="1" customHeight="1" x14ac:dyDescent="0.3">
      <c r="A56" s="960"/>
      <c r="B56" s="960"/>
      <c r="C56" s="960"/>
      <c r="D56" s="944"/>
      <c r="E56" s="183"/>
      <c r="F56" s="185"/>
      <c r="G56" s="186"/>
      <c r="H56" s="186"/>
      <c r="I56" s="186"/>
      <c r="J56" s="186"/>
      <c r="K56" s="186"/>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c r="AO56" s="187"/>
      <c r="AP56" s="187"/>
      <c r="AQ56" s="187"/>
      <c r="AR56" s="187"/>
      <c r="AS56" s="187"/>
      <c r="AT56" s="187"/>
      <c r="AU56" s="187"/>
      <c r="AV56" s="187"/>
      <c r="AW56" s="187"/>
      <c r="AX56" s="187"/>
      <c r="AY56" s="187"/>
      <c r="AZ56" s="187"/>
      <c r="BA56" s="187"/>
      <c r="BB56" s="187"/>
      <c r="BC56" s="187"/>
      <c r="BD56" s="187"/>
      <c r="BE56" s="187"/>
      <c r="BF56" s="187"/>
      <c r="BG56" s="187"/>
      <c r="BH56" s="187"/>
      <c r="BI56" s="187"/>
      <c r="BJ56" s="187"/>
      <c r="BK56" s="187"/>
      <c r="BL56" s="187"/>
      <c r="BM56" s="187"/>
      <c r="BN56" s="187"/>
      <c r="BO56" s="187"/>
      <c r="BP56" s="182"/>
    </row>
    <row r="57" spans="1:68" ht="14.25" customHeight="1" x14ac:dyDescent="0.3">
      <c r="A57" s="960"/>
      <c r="B57" s="960"/>
      <c r="C57" s="960"/>
      <c r="D57" s="944"/>
      <c r="E57" s="183"/>
      <c r="F57" s="184" t="s">
        <v>376</v>
      </c>
      <c r="G57" s="179"/>
      <c r="H57" s="179"/>
      <c r="I57" s="179"/>
      <c r="J57" s="179"/>
      <c r="K57" s="179"/>
      <c r="L57" s="180"/>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2"/>
    </row>
    <row r="58" spans="1:68" ht="14.25" customHeight="1" x14ac:dyDescent="0.3">
      <c r="A58" s="1178" t="s">
        <v>6</v>
      </c>
      <c r="B58" s="960"/>
      <c r="C58" s="960"/>
      <c r="D58" s="944"/>
      <c r="E58" s="183"/>
      <c r="F58" s="185" t="s">
        <v>377</v>
      </c>
      <c r="G58" s="190">
        <f t="shared" ref="G58" si="59">G42/1000000</f>
        <v>0.21564700000000001</v>
      </c>
      <c r="H58" s="190">
        <f t="shared" ref="H58:O58" si="60">H42/1000000</f>
        <v>0.191973</v>
      </c>
      <c r="I58" s="190">
        <f t="shared" si="60"/>
        <v>0.210894</v>
      </c>
      <c r="J58" s="190">
        <f t="shared" si="60"/>
        <v>0.18865799999999999</v>
      </c>
      <c r="K58" s="190">
        <f t="shared" si="60"/>
        <v>0.186225</v>
      </c>
      <c r="L58" s="190">
        <f t="shared" si="60"/>
        <v>0.18548899999999999</v>
      </c>
      <c r="M58" s="190">
        <f t="shared" si="60"/>
        <v>0.180337</v>
      </c>
      <c r="N58" s="190">
        <f t="shared" si="60"/>
        <v>0.158057</v>
      </c>
      <c r="O58" s="190">
        <f t="shared" si="60"/>
        <v>0.161583</v>
      </c>
      <c r="P58" s="190">
        <f t="shared" ref="P58:S58" si="61">P42/1000000</f>
        <v>0.18334700000000001</v>
      </c>
      <c r="Q58" s="190">
        <f t="shared" si="61"/>
        <v>0.16063</v>
      </c>
      <c r="R58" s="190">
        <f t="shared" si="61"/>
        <v>0.16408500000000001</v>
      </c>
      <c r="S58" s="190">
        <f t="shared" si="61"/>
        <v>0.167544</v>
      </c>
      <c r="T58" s="192">
        <f>S58*(1+(0.29*Driver_macroeconómicos_Agricult!I$40+(1-0.29)*Driver_macroeconómicos_Agricult!I$8))</f>
        <v>0.16671406675775141</v>
      </c>
      <c r="U58" s="192">
        <f>T58*(1+(0.29*Driver_macroeconómicos_Agricult!J$40+(1-0.29)*Driver_macroeconómicos_Agricult!J$8))</f>
        <v>0.1768727507953386</v>
      </c>
      <c r="V58" s="192">
        <f>U58*(1+(0.29*Driver_macroeconómicos_Agricult!K$40+(1-0.29)*Driver_macroeconómicos_Agricult!K$8))</f>
        <v>0.17717809953206334</v>
      </c>
      <c r="W58" s="383">
        <f>V58*1.005</f>
        <v>0.17806399002972365</v>
      </c>
      <c r="X58" s="383">
        <f t="shared" ref="X58:AU58" si="62">W58*1.005</f>
        <v>0.17895430997987224</v>
      </c>
      <c r="Y58" s="383">
        <f t="shared" si="62"/>
        <v>0.17984908152977158</v>
      </c>
      <c r="Z58" s="383">
        <f t="shared" si="62"/>
        <v>0.18074832693742043</v>
      </c>
      <c r="AA58" s="383">
        <f t="shared" si="62"/>
        <v>0.18165206857210753</v>
      </c>
      <c r="AB58" s="383">
        <f t="shared" si="62"/>
        <v>0.18256032891496804</v>
      </c>
      <c r="AC58" s="383">
        <f t="shared" si="62"/>
        <v>0.18347313055954287</v>
      </c>
      <c r="AD58" s="383">
        <f t="shared" si="62"/>
        <v>0.18439049621234058</v>
      </c>
      <c r="AE58" s="383">
        <f t="shared" si="62"/>
        <v>0.18531244869340227</v>
      </c>
      <c r="AF58" s="383">
        <f t="shared" si="62"/>
        <v>0.18623901093686926</v>
      </c>
      <c r="AG58" s="383">
        <f t="shared" si="62"/>
        <v>0.1871702059915536</v>
      </c>
      <c r="AH58" s="383">
        <f t="shared" si="62"/>
        <v>0.18810605702151134</v>
      </c>
      <c r="AI58" s="383">
        <f t="shared" si="62"/>
        <v>0.18904658730661889</v>
      </c>
      <c r="AJ58" s="383">
        <f t="shared" si="62"/>
        <v>0.18999182024315195</v>
      </c>
      <c r="AK58" s="383">
        <f t="shared" si="62"/>
        <v>0.19094177934436768</v>
      </c>
      <c r="AL58" s="383">
        <f t="shared" si="62"/>
        <v>0.19189648824108949</v>
      </c>
      <c r="AM58" s="383">
        <f t="shared" si="62"/>
        <v>0.1928559706822949</v>
      </c>
      <c r="AN58" s="383">
        <f t="shared" si="62"/>
        <v>0.19382025053570637</v>
      </c>
      <c r="AO58" s="383">
        <f t="shared" si="62"/>
        <v>0.19478935178838488</v>
      </c>
      <c r="AP58" s="383">
        <f t="shared" si="62"/>
        <v>0.1957632985473268</v>
      </c>
      <c r="AQ58" s="383">
        <f t="shared" si="62"/>
        <v>0.19674211504006342</v>
      </c>
      <c r="AR58" s="383">
        <f t="shared" si="62"/>
        <v>0.19772582561526372</v>
      </c>
      <c r="AS58" s="383">
        <f t="shared" si="62"/>
        <v>0.19871445474334001</v>
      </c>
      <c r="AT58" s="383">
        <f t="shared" si="62"/>
        <v>0.1997080270170567</v>
      </c>
      <c r="AU58" s="383">
        <f t="shared" si="62"/>
        <v>0.20070656715214197</v>
      </c>
      <c r="AV58" s="383">
        <f t="shared" ref="AV58" si="63">AU58*1.005</f>
        <v>0.20171009998790265</v>
      </c>
      <c r="AW58" s="383">
        <f t="shared" ref="AW58" si="64">AV58*1.005</f>
        <v>0.20271865048784216</v>
      </c>
      <c r="AX58" s="383">
        <f t="shared" ref="AX58" si="65">AW58*1.005</f>
        <v>0.20373224374028134</v>
      </c>
      <c r="AY58" s="383">
        <f t="shared" ref="AY58" si="66">AX58*1.005</f>
        <v>0.20475090495898274</v>
      </c>
      <c r="AZ58" s="383">
        <f t="shared" ref="AZ58" si="67">AY58*1.005</f>
        <v>0.20577465948377763</v>
      </c>
      <c r="BA58" s="383">
        <f t="shared" ref="BA58" si="68">AZ58*1.005</f>
        <v>0.20680353278119648</v>
      </c>
      <c r="BB58" s="383">
        <f t="shared" ref="BB58" si="69">BA58*1.005</f>
        <v>0.20783755044510244</v>
      </c>
      <c r="BC58" s="383">
        <f t="shared" ref="BC58" si="70">BB58*1.005</f>
        <v>0.20887673819732794</v>
      </c>
      <c r="BD58" s="383">
        <f t="shared" ref="BD58" si="71">BC58*1.005</f>
        <v>0.20992112188831455</v>
      </c>
      <c r="BE58" s="383">
        <f t="shared" ref="BE58" si="72">BD58*1.005</f>
        <v>0.21097072749775611</v>
      </c>
      <c r="BF58" s="383">
        <f t="shared" ref="BF58" si="73">BE58*1.005</f>
        <v>0.21202558113524486</v>
      </c>
      <c r="BG58" s="383">
        <f t="shared" ref="BG58" si="74">BF58*1.005</f>
        <v>0.21308570904092106</v>
      </c>
      <c r="BH58" s="383">
        <f t="shared" ref="BH58" si="75">BG58*1.005</f>
        <v>0.21415113758612564</v>
      </c>
      <c r="BI58" s="383">
        <f t="shared" ref="BI58" si="76">BH58*1.005</f>
        <v>0.21522189327405625</v>
      </c>
      <c r="BJ58" s="383">
        <f t="shared" ref="BJ58" si="77">BI58*1.005</f>
        <v>0.21629800274042651</v>
      </c>
      <c r="BK58" s="383">
        <f t="shared" ref="BK58" si="78">BJ58*1.005</f>
        <v>0.21737949275412863</v>
      </c>
      <c r="BL58" s="383">
        <f t="shared" ref="BL58" si="79">BK58*1.005</f>
        <v>0.21846639021789924</v>
      </c>
      <c r="BM58" s="383">
        <f t="shared" ref="BM58" si="80">BL58*1.005</f>
        <v>0.2195587221689887</v>
      </c>
      <c r="BN58" s="383">
        <f t="shared" ref="BN58" si="81">BM58*1.005</f>
        <v>0.22065651577983361</v>
      </c>
      <c r="BO58" s="383">
        <f t="shared" ref="BO58" si="82">BN58*1.005</f>
        <v>0.22175979835873275</v>
      </c>
      <c r="BP58" s="182"/>
    </row>
    <row r="59" spans="1:68" ht="14.25" customHeight="1" x14ac:dyDescent="0.3">
      <c r="A59" s="982"/>
      <c r="D59" s="944"/>
      <c r="E59" s="183"/>
      <c r="F59" s="185" t="s">
        <v>378</v>
      </c>
      <c r="G59" s="190">
        <f t="shared" ref="G59:O59" si="83">G43/1000000</f>
        <v>0.36002499999999998</v>
      </c>
      <c r="H59" s="190">
        <f t="shared" si="83"/>
        <v>0.39946700000000002</v>
      </c>
      <c r="I59" s="190">
        <f t="shared" si="83"/>
        <v>0.39017600000000002</v>
      </c>
      <c r="J59" s="190">
        <f t="shared" si="83"/>
        <v>0.40243400000000001</v>
      </c>
      <c r="K59" s="190">
        <f t="shared" si="83"/>
        <v>0.372637</v>
      </c>
      <c r="L59" s="190">
        <f t="shared" si="83"/>
        <v>0.43209399999999998</v>
      </c>
      <c r="M59" s="190">
        <f t="shared" si="83"/>
        <v>0.45425700000000002</v>
      </c>
      <c r="N59" s="190">
        <f t="shared" si="83"/>
        <v>0.46732699999999999</v>
      </c>
      <c r="O59" s="190">
        <f t="shared" si="83"/>
        <v>0.50195000000000001</v>
      </c>
      <c r="P59" s="190">
        <f t="shared" ref="P59:S59" si="84">P43/1000000</f>
        <v>0.52543499999999999</v>
      </c>
      <c r="Q59" s="190">
        <f t="shared" si="84"/>
        <v>0.52734700000000001</v>
      </c>
      <c r="R59" s="190">
        <f t="shared" si="84"/>
        <v>0.543547</v>
      </c>
      <c r="S59" s="190">
        <f t="shared" si="84"/>
        <v>0.50917859212063099</v>
      </c>
      <c r="T59" s="192">
        <f>S59*(1+(0.29*Driver_macroeconómicos_Agricult!I$40+(1-0.29)*Driver_macroeconómicos_Agricult!I$8))</f>
        <v>0.50665636369202571</v>
      </c>
      <c r="U59" s="192">
        <f>T59*(1+(0.29*Driver_macroeconómicos_Agricult!J$40+(1-0.29)*Driver_macroeconómicos_Agricult!J$8))</f>
        <v>0.53752935488273956</v>
      </c>
      <c r="V59" s="192">
        <f>U59*(1+(0.29*Driver_macroeconómicos_Agricult!K$40+(1-0.29)*Driver_macroeconómicos_Agricult!K$8))</f>
        <v>0.53845733224911096</v>
      </c>
      <c r="W59" s="383">
        <f>1.02*V59*(1+(0.29*Driver_macroeconómicos_Agricult!L$40+(1-0.29)*Driver_macroeconómicos_Agricult!L$8))</f>
        <v>0.58219032853054919</v>
      </c>
      <c r="X59" s="383">
        <f>1.02*W59*(1+(0.29*Driver_macroeconómicos_Agricult!M$40+(1-0.29)*Driver_macroeconómicos_Agricult!M$8))</f>
        <v>0.60859909436305304</v>
      </c>
      <c r="Y59" s="383">
        <f>1.02*X59*(1+(0.29*Driver_macroeconómicos_Agricult!N$40+(1-0.29)*Driver_macroeconómicos_Agricult!N$8))</f>
        <v>0.63651052872278246</v>
      </c>
      <c r="Z59" s="383">
        <f>1.02*Y59*(1+(0.29*Driver_macroeconómicos_Agricult!O$40+(1-0.29)*Driver_macroeconómicos_Agricult!O$8))</f>
        <v>0.66353633751274199</v>
      </c>
      <c r="AA59" s="383">
        <f>1.02*Z59*(1+(0.29*Driver_macroeconómicos_Agricult!P$40+(1-0.29)*Driver_macroeconómicos_Agricult!P$8))</f>
        <v>0.69385683564018741</v>
      </c>
      <c r="AB59" s="383">
        <f>1.02*AA59*(1+(0.29*Driver_macroeconómicos_Agricult!Q$40+(1-0.29)*Driver_macroeconómicos_Agricult!Q$8))</f>
        <v>0.69895103852778573</v>
      </c>
      <c r="AC59" s="383">
        <f>1.02*AB59*(1+(0.29*Driver_macroeconómicos_Agricult!R$40+(1-0.29)*Driver_macroeconómicos_Agricult!R$8))</f>
        <v>0.72619304947385266</v>
      </c>
      <c r="AD59" s="383">
        <f>1.02*AC59*(1+(0.29*Driver_macroeconómicos_Agricult!S$40+(1-0.29)*Driver_macroeconómicos_Agricult!S$8))</f>
        <v>0.75707393781741505</v>
      </c>
      <c r="AE59" s="383">
        <f>1.02*AD59*(1+(0.29*Driver_macroeconómicos_Agricult!T$40+(1-0.29)*Driver_macroeconómicos_Agricult!T$8))</f>
        <v>0.78439593168918886</v>
      </c>
      <c r="AF59" s="383">
        <f>1.02*AE59*(1+(0.29*Driver_macroeconómicos_Agricult!U$40+(1-0.29)*Driver_macroeconómicos_Agricult!U$8))</f>
        <v>0.81196781225984072</v>
      </c>
      <c r="AG59" s="383">
        <f>1.02*AF59*(1+(0.29*Driver_macroeconómicos_Agricult!V$40+(1-0.29)*Driver_macroeconómicos_Agricult!V$8))</f>
        <v>0.8399201470702764</v>
      </c>
      <c r="AH59" s="856">
        <f>AG59*(1+(0.29*Driver_macroeconómicos_Agricult!W$40+(1-0.29)*Driver_macroeconómicos_Agricult!W$8))</f>
        <v>0.85003723102763284</v>
      </c>
      <c r="AI59" s="856">
        <f>AH59*(1+(0.29*Driver_macroeconómicos_Agricult!X$40+(1-0.29)*Driver_macroeconómicos_Agricult!X$8))</f>
        <v>0.85886402654351313</v>
      </c>
      <c r="AJ59" s="856">
        <f>AI59*(1+(0.29*Driver_macroeconómicos_Agricult!Y$40+(1-0.29)*Driver_macroeconómicos_Agricult!Y$8))</f>
        <v>0.87153559024054994</v>
      </c>
      <c r="AK59" s="856">
        <f>AJ59*(1+(0.29*Driver_macroeconómicos_Agricult!Z$40+(1-0.29)*Driver_macroeconómicos_Agricult!Z$8))</f>
        <v>0.8832775895587085</v>
      </c>
      <c r="AL59" s="856">
        <f>AK59*(1+(0.29*Driver_macroeconómicos_Agricult!AA$40+(1-0.29)*Driver_macroeconómicos_Agricult!AA$8))</f>
        <v>0.89437491929316282</v>
      </c>
      <c r="AM59" s="856">
        <f>AL59*(1+(0.29*Driver_macroeconómicos_Agricult!AB$40+(1-0.29)*Driver_macroeconómicos_Agricult!AB$8))</f>
        <v>0.90509975782033358</v>
      </c>
      <c r="AN59" s="856">
        <f>AM59*(1+(0.29*Driver_macroeconómicos_Agricult!AC$40+(1-0.29)*Driver_macroeconómicos_Agricult!AC$8))</f>
        <v>0.9143846292186194</v>
      </c>
      <c r="AO59" s="856">
        <f>AN59*(1+(0.29*Driver_macroeconómicos_Agricult!AD$40+(1-0.29)*Driver_macroeconómicos_Agricult!AD$8))</f>
        <v>0.92474187190167212</v>
      </c>
      <c r="AP59" s="856">
        <f>AO59*(1+(0.29*Driver_macroeconómicos_Agricult!AE$40+(1-0.29)*Driver_macroeconómicos_Agricult!AE$8))</f>
        <v>0.93426670167986825</v>
      </c>
      <c r="AQ59" s="856">
        <f>AP59*(1+(0.29*Driver_macroeconómicos_Agricult!AF$40+(1-0.29)*Driver_macroeconómicos_Agricult!AF$8))</f>
        <v>0.94523049306634355</v>
      </c>
      <c r="AR59" s="856">
        <f>AQ59*(1+(0.29*Driver_macroeconómicos_Agricult!AG$40+(1-0.29)*Driver_macroeconómicos_Agricult!AG$8))</f>
        <v>0.95480315959556139</v>
      </c>
      <c r="AS59" s="856">
        <f>AR59*(1+(0.29*Driver_macroeconómicos_Agricult!AH$40+(1-0.29)*Driver_macroeconómicos_Agricult!AH$8))</f>
        <v>0.96405201231691773</v>
      </c>
      <c r="AT59" s="856">
        <f>AS59*(1+(0.29*Driver_macroeconómicos_Agricult!AI$40+(1-0.29)*Driver_macroeconómicos_Agricult!AI$8))</f>
        <v>0.9732925305975676</v>
      </c>
      <c r="AU59" s="856">
        <f>AT59*(1+(0.29*Driver_macroeconómicos_Agricult!AJ$40+(1-0.29)*Driver_macroeconómicos_Agricult!AJ$8))</f>
        <v>0.98240639210445246</v>
      </c>
      <c r="AV59" s="856">
        <f>AU59*(1+(0.29*Driver_macroeconómicos_Agricult!AK$40+(1-0.29)*Driver_macroeconómicos_Agricult!AK$8))</f>
        <v>0.99205843324476395</v>
      </c>
      <c r="AW59" s="856">
        <f>AV59*(1+(0.29*Driver_macroeconómicos_Agricult!AL$40+(1-0.29)*Driver_macroeconómicos_Agricult!AL$8))</f>
        <v>1.0010522940258169</v>
      </c>
      <c r="AX59" s="856">
        <f>AW59*(1+(0.29*Driver_macroeconómicos_Agricult!AM$40+(1-0.29)*Driver_macroeconómicos_Agricult!AM$8))</f>
        <v>1.0098915591459947</v>
      </c>
      <c r="AY59" s="856">
        <f>AX59*(1+(0.29*Driver_macroeconómicos_Agricult!AN$40+(1-0.29)*Driver_macroeconómicos_Agricult!AN$8))</f>
        <v>1.0186835899399505</v>
      </c>
      <c r="AZ59" s="856">
        <f>AY59*(1+(0.29*Driver_macroeconómicos_Agricult!AO$40+(1-0.29)*Driver_macroeconómicos_Agricult!AO$8))</f>
        <v>1.0273237041945291</v>
      </c>
      <c r="BA59" s="856">
        <f>AZ59*(1+(0.29*Driver_macroeconómicos_Agricult!AP$40+(1-0.29)*Driver_macroeconómicos_Agricult!AP$8))</f>
        <v>1.0359181341157548</v>
      </c>
      <c r="BB59" s="856">
        <f>BA59*(1+(0.29*Driver_macroeconómicos_Agricult!AQ$40+(1-0.29)*Driver_macroeconómicos_Agricult!AQ$8))</f>
        <v>1.0441560529106022</v>
      </c>
      <c r="BC59" s="856">
        <f>BB59*(1+(0.29*Driver_macroeconómicos_Agricult!AR$40+(1-0.29)*Driver_macroeconómicos_Agricult!AR$8))</f>
        <v>1.0522534388336822</v>
      </c>
      <c r="BD59" s="856">
        <f>BC59*(1+(0.29*Driver_macroeconómicos_Agricult!AS$40+(1-0.29)*Driver_macroeconómicos_Agricult!AS$8))</f>
        <v>1.0602015941232716</v>
      </c>
      <c r="BE59" s="856">
        <f>BD59*(1+(0.29*Driver_macroeconómicos_Agricult!AT$40+(1-0.29)*Driver_macroeconómicos_Agricult!AT$8))</f>
        <v>1.0679690440832186</v>
      </c>
      <c r="BF59" s="856">
        <f>BE59*(1+(0.29*Driver_macroeconómicos_Agricult!AU$40+(1-0.29)*Driver_macroeconómicos_Agricult!AU$8))</f>
        <v>1.0755279395960702</v>
      </c>
      <c r="BG59" s="856">
        <f>BF59*(1+(0.29*Driver_macroeconómicos_Agricult!AV$40+(1-0.29)*Driver_macroeconómicos_Agricult!AV$8))</f>
        <v>1.0828927405757638</v>
      </c>
      <c r="BH59" s="856">
        <f>BG59*(1+(0.29*Driver_macroeconómicos_Agricult!AW$40+(1-0.29)*Driver_macroeconómicos_Agricult!AW$8))</f>
        <v>1.090067635009917</v>
      </c>
      <c r="BI59" s="856">
        <f>BH59*(1+(0.29*Driver_macroeconómicos_Agricult!AX$40+(1-0.29)*Driver_macroeconómicos_Agricult!AX$8))</f>
        <v>1.0970505331985465</v>
      </c>
      <c r="BJ59" s="856">
        <f>BI59*(1+(0.29*Driver_macroeconómicos_Agricult!AY$40+(1-0.29)*Driver_macroeconómicos_Agricult!AY$8))</f>
        <v>1.1038238745151669</v>
      </c>
      <c r="BK59" s="856">
        <f>BJ59*(1+(0.29*Driver_macroeconómicos_Agricult!AZ$40+(1-0.29)*Driver_macroeconómicos_Agricult!AZ$8))</f>
        <v>1.1103832780411078</v>
      </c>
      <c r="BL59" s="856">
        <f>BK59*(1+(0.29*Driver_macroeconómicos_Agricult!BA$40+(1-0.29)*Driver_macroeconómicos_Agricult!BA$8))</f>
        <v>1.1167191629757518</v>
      </c>
      <c r="BM59" s="856">
        <f>BL59*(1+(0.29*Driver_macroeconómicos_Agricult!BB$40+(1-0.29)*Driver_macroeconómicos_Agricult!BB$8))</f>
        <v>1.1228389326753283</v>
      </c>
      <c r="BN59" s="856">
        <f>BM59*(1+(0.29*Driver_macroeconómicos_Agricult!BC$40+(1-0.29)*Driver_macroeconómicos_Agricult!BC$8))</f>
        <v>1.1287372398663496</v>
      </c>
      <c r="BO59" s="856">
        <f>BN59*(1+(0.29*Driver_macroeconómicos_Agricult!BD$40+(1-0.29)*Driver_macroeconómicos_Agricult!BD$8))</f>
        <v>1.1344086538715878</v>
      </c>
      <c r="BP59" s="182"/>
    </row>
    <row r="60" spans="1:68" ht="14.25" customHeight="1" x14ac:dyDescent="0.3">
      <c r="A60" s="982"/>
      <c r="D60" s="944"/>
      <c r="E60" s="183"/>
      <c r="F60" s="185" t="s">
        <v>379</v>
      </c>
      <c r="G60" s="190">
        <f t="shared" ref="G60:O60" si="85">G44/1000000</f>
        <v>0.144931</v>
      </c>
      <c r="H60" s="190">
        <f t="shared" si="85"/>
        <v>9.8347000000000004E-2</v>
      </c>
      <c r="I60" s="190">
        <f t="shared" si="85"/>
        <v>7.8710000000000002E-2</v>
      </c>
      <c r="J60" s="190">
        <f t="shared" si="85"/>
        <v>6.1627000000000001E-2</v>
      </c>
      <c r="K60" s="190">
        <f t="shared" si="85"/>
        <v>3.5483000000000001E-2</v>
      </c>
      <c r="L60" s="190">
        <f t="shared" si="85"/>
        <v>4.4026999999999997E-2</v>
      </c>
      <c r="M60" s="190">
        <f t="shared" si="85"/>
        <v>2.9871999999999999E-2</v>
      </c>
      <c r="N60" s="190">
        <f t="shared" si="85"/>
        <v>3.7260000000000001E-2</v>
      </c>
      <c r="O60" s="190">
        <f t="shared" si="85"/>
        <v>3.1924000000000001E-2</v>
      </c>
      <c r="P60" s="190">
        <f t="shared" ref="P60:S60" si="86">P44/1000000</f>
        <v>3.6047000000000003E-2</v>
      </c>
      <c r="Q60" s="190">
        <f t="shared" si="86"/>
        <v>2.6908999999999999E-2</v>
      </c>
      <c r="R60" s="190">
        <f t="shared" si="86"/>
        <v>2.9481E-2</v>
      </c>
      <c r="S60" s="190">
        <f t="shared" si="86"/>
        <v>2.9901328666485719E-2</v>
      </c>
      <c r="T60" s="192">
        <f>S60*(1+(0.29*Driver_macroeconómicos_Agricult!I$40+(1-0.29)*Driver_macroeconómicos_Agricult!I$8))</f>
        <v>2.9753211714236057E-2</v>
      </c>
      <c r="U60" s="192">
        <f>T60*(1+(0.29*Driver_macroeconómicos_Agricult!J$40+(1-0.29)*Driver_macroeconómicos_Agricult!J$8))</f>
        <v>3.1566216956004645E-2</v>
      </c>
      <c r="V60" s="192">
        <f>U60*(1+(0.29*Driver_macroeconómicos_Agricult!K$40+(1-0.29)*Driver_macroeconómicos_Agricult!K$8))</f>
        <v>3.1620712091221082E-2</v>
      </c>
      <c r="W60" s="192">
        <f>V60*(1+(0.29*Driver_macroeconómicos_Agricult!L$40+(1-0.29)*Driver_macroeconómicos_Agricult!L$8))</f>
        <v>3.3518545569445779E-2</v>
      </c>
      <c r="X60" s="192">
        <f>W60*(1+(0.29*Driver_macroeconómicos_Agricult!M$40+(1-0.29)*Driver_macroeconómicos_Agricult!M$8))</f>
        <v>3.4351943197836507E-2</v>
      </c>
      <c r="Y60" s="192">
        <f>X60*(1+(0.29*Driver_macroeconómicos_Agricult!N$40+(1-0.29)*Driver_macroeconómicos_Agricult!N$8))</f>
        <v>3.5222925751606876E-2</v>
      </c>
      <c r="Z60" s="192">
        <f>Y60*(1+(0.29*Driver_macroeconómicos_Agricult!O$40+(1-0.29)*Driver_macroeconómicos_Agricult!O$8))</f>
        <v>3.5998497529595636E-2</v>
      </c>
      <c r="AA60" s="192">
        <f>Z60*(1+(0.29*Driver_macroeconómicos_Agricult!P$40+(1-0.29)*Driver_macroeconómicos_Agricult!P$8))</f>
        <v>3.6905352947055443E-2</v>
      </c>
      <c r="AB60" s="192">
        <f>AA60*(1+(0.29*Driver_macroeconómicos_Agricult!Q$40+(1-0.29)*Driver_macroeconómicos_Agricult!Q$8))</f>
        <v>3.6447359851638272E-2</v>
      </c>
      <c r="AC60" s="192">
        <f>AB60*(1+(0.29*Driver_macroeconómicos_Agricult!R$40+(1-0.29)*Driver_macroeconómicos_Agricult!R$8))</f>
        <v>3.7125408096807457E-2</v>
      </c>
      <c r="AD60" s="192">
        <f>AC60*(1+(0.29*Driver_macroeconómicos_Agricult!S$40+(1-0.29)*Driver_macroeconómicos_Agricult!S$8))</f>
        <v>3.7945237247719116E-2</v>
      </c>
      <c r="AE60" s="192">
        <f>AD60*(1+(0.29*Driver_macroeconómicos_Agricult!T$40+(1-0.29)*Driver_macroeconómicos_Agricult!T$8))</f>
        <v>3.8543765230888566E-2</v>
      </c>
      <c r="AF60" s="192">
        <f>AE60*(1+(0.29*Driver_macroeconómicos_Agricult!U$40+(1-0.29)*Driver_macroeconómicos_Agricult!U$8))</f>
        <v>3.9116271023528368E-2</v>
      </c>
      <c r="AG60" s="192">
        <f>AF60*(1+(0.29*Driver_macroeconómicos_Agricult!V$40+(1-0.29)*Driver_macroeconómicos_Agricult!V$8))</f>
        <v>3.9669475658158232E-2</v>
      </c>
      <c r="AH60" s="192">
        <f>AG60*(1+(0.29*Driver_macroeconómicos_Agricult!W$40+(1-0.29)*Driver_macroeconómicos_Agricult!W$8))</f>
        <v>4.0147306100942352E-2</v>
      </c>
      <c r="AI60" s="192">
        <f>AH60*(1+(0.29*Driver_macroeconómicos_Agricult!X$40+(1-0.29)*Driver_macroeconómicos_Agricult!X$8))</f>
        <v>4.0564196148261879E-2</v>
      </c>
      <c r="AJ60" s="192">
        <f>AI60*(1+(0.29*Driver_macroeconómicos_Agricult!Y$40+(1-0.29)*Driver_macroeconómicos_Agricult!Y$8))</f>
        <v>4.1162674812434637E-2</v>
      </c>
      <c r="AK60" s="192">
        <f>AJ60*(1+(0.29*Driver_macroeconómicos_Agricult!Z$40+(1-0.29)*Driver_macroeconómicos_Agricult!Z$8))</f>
        <v>4.1717250098852701E-2</v>
      </c>
      <c r="AL60" s="192">
        <f>AK60*(1+(0.29*Driver_macroeconómicos_Agricult!AA$40+(1-0.29)*Driver_macroeconómicos_Agricult!AA$8))</f>
        <v>4.2241377604672198E-2</v>
      </c>
      <c r="AM60" s="192">
        <f>AL60*(1+(0.29*Driver_macroeconómicos_Agricult!AB$40+(1-0.29)*Driver_macroeconómicos_Agricult!AB$8))</f>
        <v>4.2747912329878256E-2</v>
      </c>
      <c r="AN60" s="192">
        <f>AM60*(1+(0.29*Driver_macroeconómicos_Agricult!AC$40+(1-0.29)*Driver_macroeconómicos_Agricult!AC$8))</f>
        <v>4.3186437326817768E-2</v>
      </c>
      <c r="AO60" s="192">
        <f>AN60*(1+(0.29*Driver_macroeconómicos_Agricult!AD$40+(1-0.29)*Driver_macroeconómicos_Agricult!AD$8))</f>
        <v>4.3675610479687287E-2</v>
      </c>
      <c r="AP60" s="192">
        <f>AO60*(1+(0.29*Driver_macroeconómicos_Agricult!AE$40+(1-0.29)*Driver_macroeconómicos_Agricult!AE$8))</f>
        <v>4.4125468724369489E-2</v>
      </c>
      <c r="AQ60" s="192">
        <f>AP60*(1+(0.29*Driver_macroeconómicos_Agricult!AF$40+(1-0.29)*Driver_macroeconómicos_Agricult!AF$8))</f>
        <v>4.4643289206523634E-2</v>
      </c>
      <c r="AR60" s="192">
        <f>AQ60*(1+(0.29*Driver_macroeconómicos_Agricult!AG$40+(1-0.29)*Driver_macroeconómicos_Agricult!AG$8))</f>
        <v>4.5095406783639803E-2</v>
      </c>
      <c r="AS60" s="192">
        <f>AR60*(1+(0.29*Driver_macroeconómicos_Agricult!AH$40+(1-0.29)*Driver_macroeconómicos_Agricult!AH$8))</f>
        <v>4.5532230616447608E-2</v>
      </c>
      <c r="AT60" s="192">
        <f>AS60*(1+(0.29*Driver_macroeconómicos_Agricult!AI$40+(1-0.29)*Driver_macroeconómicos_Agricult!AI$8))</f>
        <v>4.5968660813153359E-2</v>
      </c>
      <c r="AU60" s="192">
        <f>AT60*(1+(0.29*Driver_macroeconómicos_Agricult!AJ$40+(1-0.29)*Driver_macroeconómicos_Agricult!AJ$8))</f>
        <v>4.6399109003329872E-2</v>
      </c>
      <c r="AV60" s="192">
        <f>AU60*(1+(0.29*Driver_macroeconómicos_Agricult!AK$40+(1-0.29)*Driver_macroeconómicos_Agricult!AK$8))</f>
        <v>4.6854975447780202E-2</v>
      </c>
      <c r="AW60" s="192">
        <f>AV60*(1+(0.29*Driver_macroeconómicos_Agricult!AL$40+(1-0.29)*Driver_macroeconómicos_Agricult!AL$8))</f>
        <v>4.7279755996944707E-2</v>
      </c>
      <c r="AX60" s="192">
        <f>AW60*(1+(0.29*Driver_macroeconómicos_Agricult!AM$40+(1-0.29)*Driver_macroeconómicos_Agricult!AM$8))</f>
        <v>4.7697234984374649E-2</v>
      </c>
      <c r="AY60" s="192">
        <f>AX60*(1+(0.29*Driver_macroeconómicos_Agricult!AN$40+(1-0.29)*Driver_macroeconómicos_Agricult!AN$8))</f>
        <v>4.8112483091927685E-2</v>
      </c>
      <c r="AZ60" s="192">
        <f>AY60*(1+(0.29*Driver_macroeconómicos_Agricult!AO$40+(1-0.29)*Driver_macroeconómicos_Agricult!AO$8))</f>
        <v>4.8520556172804791E-2</v>
      </c>
      <c r="BA60" s="192">
        <f>AZ60*(1+(0.29*Driver_macroeconómicos_Agricult!AP$40+(1-0.29)*Driver_macroeconómicos_Agricult!AP$8))</f>
        <v>4.8926471580055149E-2</v>
      </c>
      <c r="BB60" s="192">
        <f>BA60*(1+(0.29*Driver_macroeconómicos_Agricult!AQ$40+(1-0.29)*Driver_macroeconómicos_Agricult!AQ$8))</f>
        <v>4.9315548946809562E-2</v>
      </c>
      <c r="BC60" s="192">
        <f>BB60*(1+(0.29*Driver_macroeconómicos_Agricult!AR$40+(1-0.29)*Driver_macroeconómicos_Agricult!AR$8))</f>
        <v>4.9697988938147752E-2</v>
      </c>
      <c r="BD60" s="192">
        <f>BC60*(1+(0.29*Driver_macroeconómicos_Agricult!AS$40+(1-0.29)*Driver_macroeconómicos_Agricult!AS$8))</f>
        <v>5.0073380758295684E-2</v>
      </c>
      <c r="BE60" s="192">
        <f>BD60*(1+(0.29*Driver_macroeconómicos_Agricult!AT$40+(1-0.29)*Driver_macroeconómicos_Agricult!AT$8))</f>
        <v>5.0440237855588647E-2</v>
      </c>
      <c r="BF60" s="192">
        <f>BE60*(1+(0.29*Driver_macroeconómicos_Agricult!AU$40+(1-0.29)*Driver_macroeconómicos_Agricult!AU$8))</f>
        <v>5.0797244914647252E-2</v>
      </c>
      <c r="BG60" s="192">
        <f>BF60*(1+(0.29*Driver_macroeconómicos_Agricult!AV$40+(1-0.29)*Driver_macroeconómicos_Agricult!AV$8))</f>
        <v>5.1145084878017832E-2</v>
      </c>
      <c r="BH60" s="192">
        <f>BG60*(1+(0.29*Driver_macroeconómicos_Agricult!AW$40+(1-0.29)*Driver_macroeconómicos_Agricult!AW$8))</f>
        <v>5.1483955544590475E-2</v>
      </c>
      <c r="BI60" s="192">
        <f>BH60*(1+(0.29*Driver_macroeconómicos_Agricult!AX$40+(1-0.29)*Driver_macroeconómicos_Agricult!AX$8))</f>
        <v>5.1813758217717762E-2</v>
      </c>
      <c r="BJ60" s="192">
        <f>BI60*(1+(0.29*Driver_macroeconómicos_Agricult!AY$40+(1-0.29)*Driver_macroeconómicos_Agricult!AY$8))</f>
        <v>5.2133663508025785E-2</v>
      </c>
      <c r="BK60" s="192">
        <f>BJ60*(1+(0.29*Driver_macroeconómicos_Agricult!AZ$40+(1-0.29)*Driver_macroeconómicos_Agricult!AZ$8))</f>
        <v>5.2443464504480015E-2</v>
      </c>
      <c r="BL60" s="192">
        <f>BK60*(1+(0.29*Driver_macroeconómicos_Agricult!BA$40+(1-0.29)*Driver_macroeconómicos_Agricult!BA$8))</f>
        <v>5.2742708705329884E-2</v>
      </c>
      <c r="BM60" s="192">
        <f>BL60*(1+(0.29*Driver_macroeconómicos_Agricult!BB$40+(1-0.29)*Driver_macroeconómicos_Agricult!BB$8))</f>
        <v>5.3031745771505379E-2</v>
      </c>
      <c r="BN60" s="192">
        <f>BM60*(1+(0.29*Driver_macroeconómicos_Agricult!BC$40+(1-0.29)*Driver_macroeconómicos_Agricult!BC$8))</f>
        <v>5.3310323150979735E-2</v>
      </c>
      <c r="BO60" s="192">
        <f>BN60*(1+(0.29*Driver_macroeconómicos_Agricult!BD$40+(1-0.29)*Driver_macroeconómicos_Agricult!BD$8))</f>
        <v>5.3578184352562883E-2</v>
      </c>
      <c r="BP60" s="182"/>
    </row>
    <row r="61" spans="1:68" ht="14.25" customHeight="1" x14ac:dyDescent="0.3">
      <c r="A61" s="982"/>
      <c r="D61" s="944"/>
      <c r="E61" s="183"/>
      <c r="F61" s="185" t="s">
        <v>380</v>
      </c>
      <c r="G61" s="190">
        <f t="shared" ref="G61:O61" si="87">G45/1000000</f>
        <v>0.106928</v>
      </c>
      <c r="H61" s="190">
        <f t="shared" si="87"/>
        <v>8.6455000000000004E-2</v>
      </c>
      <c r="I61" s="190">
        <f t="shared" si="87"/>
        <v>9.5239000000000004E-2</v>
      </c>
      <c r="J61" s="190">
        <f t="shared" si="87"/>
        <v>0.101066</v>
      </c>
      <c r="K61" s="190">
        <f t="shared" si="87"/>
        <v>9.6892000000000006E-2</v>
      </c>
      <c r="L61" s="190">
        <f t="shared" si="87"/>
        <v>0.102616</v>
      </c>
      <c r="M61" s="190">
        <f t="shared" si="87"/>
        <v>0.104661</v>
      </c>
      <c r="N61" s="190">
        <f t="shared" si="87"/>
        <v>0.127081</v>
      </c>
      <c r="O61" s="190">
        <f t="shared" si="87"/>
        <v>0.11532100000000001</v>
      </c>
      <c r="P61" s="190">
        <f t="shared" ref="P61:S61" si="88">P45/1000000</f>
        <v>0.13733699999999999</v>
      </c>
      <c r="Q61" s="190">
        <f t="shared" si="88"/>
        <v>0.15320700000000001</v>
      </c>
      <c r="R61" s="190">
        <f t="shared" si="88"/>
        <v>0.15018899999999999</v>
      </c>
      <c r="S61" s="190">
        <f t="shared" si="88"/>
        <v>0.13564899999999999</v>
      </c>
      <c r="T61" s="192">
        <f>S61*(1+(0.29*Driver_macroeconómicos_Agricult!I$40+(1-0.29)*Driver_macroeconómicos_Agricult!I$8))</f>
        <v>0.13497705940900431</v>
      </c>
      <c r="U61" s="192">
        <f>T61*(1+(0.29*Driver_macroeconómicos_Agricult!J$40+(1-0.29)*Driver_macroeconómicos_Agricult!J$8))</f>
        <v>0.14320185606549254</v>
      </c>
      <c r="V61" s="192">
        <f>U61*(1+(0.29*Driver_macroeconómicos_Agricult!K$40+(1-0.29)*Driver_macroeconómicos_Agricult!K$8))</f>
        <v>0.14344907620341438</v>
      </c>
      <c r="W61" s="192">
        <f>V61*(1+(0.29*Driver_macroeconómicos_Agricult!L$40+(1-0.29)*Driver_macroeconómicos_Agricult!L$8))</f>
        <v>0.1520587007575315</v>
      </c>
      <c r="X61" s="383">
        <f>W61</f>
        <v>0.1520587007575315</v>
      </c>
      <c r="Y61" s="383">
        <f t="shared" ref="Y61:BO61" si="89">X61</f>
        <v>0.1520587007575315</v>
      </c>
      <c r="Z61" s="383">
        <f t="shared" si="89"/>
        <v>0.1520587007575315</v>
      </c>
      <c r="AA61" s="383">
        <f t="shared" si="89"/>
        <v>0.1520587007575315</v>
      </c>
      <c r="AB61" s="383">
        <f t="shared" si="89"/>
        <v>0.1520587007575315</v>
      </c>
      <c r="AC61" s="383">
        <f t="shared" si="89"/>
        <v>0.1520587007575315</v>
      </c>
      <c r="AD61" s="383">
        <f t="shared" si="89"/>
        <v>0.1520587007575315</v>
      </c>
      <c r="AE61" s="383">
        <f t="shared" si="89"/>
        <v>0.1520587007575315</v>
      </c>
      <c r="AF61" s="383">
        <f t="shared" si="89"/>
        <v>0.1520587007575315</v>
      </c>
      <c r="AG61" s="383">
        <f t="shared" si="89"/>
        <v>0.1520587007575315</v>
      </c>
      <c r="AH61" s="383">
        <f t="shared" si="89"/>
        <v>0.1520587007575315</v>
      </c>
      <c r="AI61" s="383">
        <f t="shared" si="89"/>
        <v>0.1520587007575315</v>
      </c>
      <c r="AJ61" s="383">
        <f t="shared" si="89"/>
        <v>0.1520587007575315</v>
      </c>
      <c r="AK61" s="383">
        <f t="shared" si="89"/>
        <v>0.1520587007575315</v>
      </c>
      <c r="AL61" s="383">
        <f t="shared" si="89"/>
        <v>0.1520587007575315</v>
      </c>
      <c r="AM61" s="383">
        <f t="shared" si="89"/>
        <v>0.1520587007575315</v>
      </c>
      <c r="AN61" s="383">
        <f t="shared" si="89"/>
        <v>0.1520587007575315</v>
      </c>
      <c r="AO61" s="383">
        <f t="shared" si="89"/>
        <v>0.1520587007575315</v>
      </c>
      <c r="AP61" s="383">
        <f t="shared" si="89"/>
        <v>0.1520587007575315</v>
      </c>
      <c r="AQ61" s="383">
        <f t="shared" si="89"/>
        <v>0.1520587007575315</v>
      </c>
      <c r="AR61" s="383">
        <f t="shared" si="89"/>
        <v>0.1520587007575315</v>
      </c>
      <c r="AS61" s="383">
        <f t="shared" si="89"/>
        <v>0.1520587007575315</v>
      </c>
      <c r="AT61" s="383">
        <f t="shared" si="89"/>
        <v>0.1520587007575315</v>
      </c>
      <c r="AU61" s="383">
        <f t="shared" si="89"/>
        <v>0.1520587007575315</v>
      </c>
      <c r="AV61" s="383">
        <f t="shared" si="89"/>
        <v>0.1520587007575315</v>
      </c>
      <c r="AW61" s="383">
        <f t="shared" si="89"/>
        <v>0.1520587007575315</v>
      </c>
      <c r="AX61" s="383">
        <f t="shared" si="89"/>
        <v>0.1520587007575315</v>
      </c>
      <c r="AY61" s="383">
        <f t="shared" si="89"/>
        <v>0.1520587007575315</v>
      </c>
      <c r="AZ61" s="383">
        <f t="shared" si="89"/>
        <v>0.1520587007575315</v>
      </c>
      <c r="BA61" s="383">
        <f t="shared" si="89"/>
        <v>0.1520587007575315</v>
      </c>
      <c r="BB61" s="383">
        <f t="shared" si="89"/>
        <v>0.1520587007575315</v>
      </c>
      <c r="BC61" s="383">
        <f t="shared" si="89"/>
        <v>0.1520587007575315</v>
      </c>
      <c r="BD61" s="383">
        <f t="shared" si="89"/>
        <v>0.1520587007575315</v>
      </c>
      <c r="BE61" s="383">
        <f t="shared" si="89"/>
        <v>0.1520587007575315</v>
      </c>
      <c r="BF61" s="383">
        <f t="shared" si="89"/>
        <v>0.1520587007575315</v>
      </c>
      <c r="BG61" s="383">
        <f t="shared" si="89"/>
        <v>0.1520587007575315</v>
      </c>
      <c r="BH61" s="383">
        <f t="shared" si="89"/>
        <v>0.1520587007575315</v>
      </c>
      <c r="BI61" s="383">
        <f t="shared" si="89"/>
        <v>0.1520587007575315</v>
      </c>
      <c r="BJ61" s="383">
        <f t="shared" si="89"/>
        <v>0.1520587007575315</v>
      </c>
      <c r="BK61" s="383">
        <f t="shared" si="89"/>
        <v>0.1520587007575315</v>
      </c>
      <c r="BL61" s="383">
        <f t="shared" si="89"/>
        <v>0.1520587007575315</v>
      </c>
      <c r="BM61" s="383">
        <f t="shared" si="89"/>
        <v>0.1520587007575315</v>
      </c>
      <c r="BN61" s="383">
        <f t="shared" si="89"/>
        <v>0.1520587007575315</v>
      </c>
      <c r="BO61" s="383">
        <f t="shared" si="89"/>
        <v>0.1520587007575315</v>
      </c>
      <c r="BP61" s="182"/>
    </row>
    <row r="62" spans="1:68" ht="14.25" customHeight="1" x14ac:dyDescent="0.3">
      <c r="A62" s="982"/>
      <c r="D62" s="944"/>
      <c r="E62" s="183"/>
      <c r="F62" s="185" t="s">
        <v>381</v>
      </c>
      <c r="G62" s="190">
        <f t="shared" ref="G62:O62" si="90">G46/1000000</f>
        <v>0.44034600000000002</v>
      </c>
      <c r="H62" s="190">
        <f t="shared" si="90"/>
        <v>0.57778399999999996</v>
      </c>
      <c r="I62" s="190">
        <f t="shared" si="90"/>
        <v>0.48658000000000001</v>
      </c>
      <c r="J62" s="190">
        <f t="shared" si="90"/>
        <v>0.49665199999999998</v>
      </c>
      <c r="K62" s="190">
        <f t="shared" si="90"/>
        <v>0.48569600000000002</v>
      </c>
      <c r="L62" s="190">
        <f t="shared" si="90"/>
        <v>0.53329000000000004</v>
      </c>
      <c r="M62" s="190">
        <f t="shared" si="90"/>
        <v>0.37833499999999998</v>
      </c>
      <c r="N62" s="190">
        <f t="shared" si="90"/>
        <v>0.44462299999999999</v>
      </c>
      <c r="O62" s="190">
        <f t="shared" si="90"/>
        <v>0.43539099999999997</v>
      </c>
      <c r="P62" s="190">
        <f t="shared" ref="P62:S62" si="91">P46/1000000</f>
        <v>0.38883800000000002</v>
      </c>
      <c r="Q62" s="190">
        <f t="shared" si="91"/>
        <v>0.41523500000000002</v>
      </c>
      <c r="R62" s="190">
        <f t="shared" si="91"/>
        <v>0.43940000000000001</v>
      </c>
      <c r="S62" s="190">
        <f t="shared" si="91"/>
        <v>0.41609099999999999</v>
      </c>
      <c r="T62" s="192">
        <f>S62*(1+(0.29*Driver_macroeconómicos_Agricult!I$40+(1-0.29)*Driver_macroeconómicos_Agricult!I$8))</f>
        <v>0.41402988320261863</v>
      </c>
      <c r="U62" s="192">
        <f>T62*(1+(0.29*Driver_macroeconómicos_Agricult!J$40+(1-0.29)*Driver_macroeconómicos_Agricult!J$8))</f>
        <v>0.43925870070657991</v>
      </c>
      <c r="V62" s="192">
        <f>U62*(1+(0.29*Driver_macroeconómicos_Agricult!K$40+(1-0.29)*Driver_macroeconómicos_Agricult!K$8))</f>
        <v>0.4400170260492513</v>
      </c>
      <c r="W62" s="192">
        <f>V62*(1+(0.29*Driver_macroeconómicos_Agricult!L$40+(1-0.29)*Driver_macroeconómicos_Agricult!L$8))</f>
        <v>0.4664262682135662</v>
      </c>
      <c r="X62" s="192">
        <f>W62*(1+(0.29*Driver_macroeconómicos_Agricult!M$40+(1-0.29)*Driver_macroeconómicos_Agricult!M$8))</f>
        <v>0.47802338673838263</v>
      </c>
      <c r="Y62" s="192">
        <f>X62*(1+(0.29*Driver_macroeconómicos_Agricult!N$40+(1-0.29)*Driver_macroeconómicos_Agricult!N$8))</f>
        <v>0.49014351711195575</v>
      </c>
      <c r="Z62" s="192">
        <f>Y62*(1+(0.29*Driver_macroeconómicos_Agricult!O$40+(1-0.29)*Driver_macroeconómicos_Agricult!O$8))</f>
        <v>0.50093596183153843</v>
      </c>
      <c r="AA62" s="192">
        <f>Z62*(1+(0.29*Driver_macroeconómicos_Agricult!P$40+(1-0.29)*Driver_macroeconómicos_Agricult!P$8))</f>
        <v>0.51355527991318595</v>
      </c>
      <c r="AB62" s="192">
        <f>AA62*(1+(0.29*Driver_macroeconómicos_Agricult!Q$40+(1-0.29)*Driver_macroeconómicos_Agricult!Q$8))</f>
        <v>0.50718209137729253</v>
      </c>
      <c r="AC62" s="192">
        <f>AB62*(1+(0.29*Driver_macroeconómicos_Agricult!R$40+(1-0.29)*Driver_macroeconómicos_Agricult!R$8))</f>
        <v>0.51661745043867469</v>
      </c>
      <c r="AD62" s="192">
        <f>AC62*(1+(0.29*Driver_macroeconómicos_Agricult!S$40+(1-0.29)*Driver_macroeconómicos_Agricult!S$8))</f>
        <v>0.52802575724125245</v>
      </c>
      <c r="AE62" s="192">
        <f>AD62*(1+(0.29*Driver_macroeconómicos_Agricult!T$40+(1-0.29)*Driver_macroeconómicos_Agricult!T$8))</f>
        <v>0.53635455459413039</v>
      </c>
      <c r="AF62" s="192">
        <f>AE62*(1+(0.29*Driver_macroeconómicos_Agricult!U$40+(1-0.29)*Driver_macroeconómicos_Agricult!U$8))</f>
        <v>0.54432124097192625</v>
      </c>
      <c r="AG62" s="192">
        <f>AF62*(1+(0.29*Driver_macroeconómicos_Agricult!V$40+(1-0.29)*Driver_macroeconómicos_Agricult!V$8))</f>
        <v>0.55201934269159236</v>
      </c>
      <c r="AH62" s="192">
        <f>AG62*(1+(0.29*Driver_macroeconómicos_Agricult!W$40+(1-0.29)*Driver_macroeconómicos_Agricult!W$8))</f>
        <v>0.55866857721177388</v>
      </c>
      <c r="AI62" s="192">
        <f>AH62*(1+(0.29*Driver_macroeconómicos_Agricult!X$40+(1-0.29)*Driver_macroeconómicos_Agricult!X$8))</f>
        <v>0.56446979757271565</v>
      </c>
      <c r="AJ62" s="192">
        <f>AI62*(1+(0.29*Driver_macroeconómicos_Agricult!Y$40+(1-0.29)*Driver_macroeconómicos_Agricult!Y$8))</f>
        <v>0.57279790862864399</v>
      </c>
      <c r="AK62" s="192">
        <f>AJ62*(1+(0.29*Driver_macroeconómicos_Agricult!Z$40+(1-0.29)*Driver_macroeconómicos_Agricult!Z$8))</f>
        <v>0.58051508361022319</v>
      </c>
      <c r="AL62" s="192">
        <f>AK62*(1+(0.29*Driver_macroeconómicos_Agricult!AA$40+(1-0.29)*Driver_macroeconómicos_Agricult!AA$8))</f>
        <v>0.58780856345710297</v>
      </c>
      <c r="AM62" s="192">
        <f>AL62*(1+(0.29*Driver_macroeconómicos_Agricult!AB$40+(1-0.29)*Driver_macroeconómicos_Agricult!AB$8))</f>
        <v>0.59485723151786196</v>
      </c>
      <c r="AN62" s="192">
        <f>AM62*(1+(0.29*Driver_macroeconómicos_Agricult!AC$40+(1-0.29)*Driver_macroeconómicos_Agricult!AC$8))</f>
        <v>0.60095951234078981</v>
      </c>
      <c r="AO62" s="192">
        <f>AN62*(1+(0.29*Driver_macroeconómicos_Agricult!AD$40+(1-0.29)*Driver_macroeconómicos_Agricult!AD$8))</f>
        <v>0.607766585986944</v>
      </c>
      <c r="AP62" s="192">
        <f>AO62*(1+(0.29*Driver_macroeconómicos_Agricult!AE$40+(1-0.29)*Driver_macroeconómicos_Agricult!AE$8))</f>
        <v>0.61402657426291185</v>
      </c>
      <c r="AQ62" s="192">
        <f>AP62*(1+(0.29*Driver_macroeconómicos_Agricult!AF$40+(1-0.29)*Driver_macroeconómicos_Agricult!AF$8))</f>
        <v>0.62123228892004989</v>
      </c>
      <c r="AR62" s="192">
        <f>AQ62*(1+(0.29*Driver_macroeconómicos_Agricult!AG$40+(1-0.29)*Driver_macroeconómicos_Agricult!AG$8))</f>
        <v>0.62752371686554775</v>
      </c>
      <c r="AS62" s="192">
        <f>AR62*(1+(0.29*Driver_macroeconómicos_Agricult!AH$40+(1-0.29)*Driver_macroeconómicos_Agricult!AH$8))</f>
        <v>0.63360232519242632</v>
      </c>
      <c r="AT62" s="192">
        <f>AS62*(1+(0.29*Driver_macroeconómicos_Agricult!AI$40+(1-0.29)*Driver_macroeconómicos_Agricult!AI$8))</f>
        <v>0.63967545588848895</v>
      </c>
      <c r="AU62" s="192">
        <f>AT62*(1+(0.29*Driver_macroeconómicos_Agricult!AJ$40+(1-0.29)*Driver_macroeconómicos_Agricult!AJ$8))</f>
        <v>0.64566534416056043</v>
      </c>
      <c r="AV62" s="192">
        <f>AU62*(1+(0.29*Driver_macroeconómicos_Agricult!AK$40+(1-0.29)*Driver_macroeconómicos_Agricult!AK$8))</f>
        <v>0.65200893935171267</v>
      </c>
      <c r="AW62" s="192">
        <f>AV62*(1+(0.29*Driver_macroeconómicos_Agricult!AL$40+(1-0.29)*Driver_macroeconómicos_Agricult!AL$8))</f>
        <v>0.65791995974327511</v>
      </c>
      <c r="AX62" s="192">
        <f>AW62*(1+(0.29*Driver_macroeconómicos_Agricult!AM$40+(1-0.29)*Driver_macroeconómicos_Agricult!AM$8))</f>
        <v>0.66372937548182753</v>
      </c>
      <c r="AY62" s="192">
        <f>AX62*(1+(0.29*Driver_macroeconómicos_Agricult!AN$40+(1-0.29)*Driver_macroeconómicos_Agricult!AN$8))</f>
        <v>0.6695077474815142</v>
      </c>
      <c r="AZ62" s="192">
        <f>AY62*(1+(0.29*Driver_macroeconómicos_Agricult!AO$40+(1-0.29)*Driver_macroeconómicos_Agricult!AO$8))</f>
        <v>0.6751862756228254</v>
      </c>
      <c r="BA62" s="192">
        <f>AZ62*(1+(0.29*Driver_macroeconómicos_Agricult!AP$40+(1-0.29)*Driver_macroeconómicos_Agricult!AP$8))</f>
        <v>0.6808347787245459</v>
      </c>
      <c r="BB62" s="192">
        <f>BA62*(1+(0.29*Driver_macroeconómicos_Agricult!AQ$40+(1-0.29)*Driver_macroeconómicos_Agricult!AQ$8))</f>
        <v>0.6862489726025478</v>
      </c>
      <c r="BC62" s="192">
        <f>BB62*(1+(0.29*Driver_macroeconómicos_Agricult!AR$40+(1-0.29)*Driver_macroeconómicos_Agricult!AR$8))</f>
        <v>0.69157080429139373</v>
      </c>
      <c r="BD62" s="192">
        <f>BC62*(1+(0.29*Driver_macroeconómicos_Agricult!AS$40+(1-0.29)*Driver_macroeconómicos_Agricult!AS$8))</f>
        <v>0.69679455737539109</v>
      </c>
      <c r="BE62" s="192">
        <f>BD62*(1+(0.29*Driver_macroeconómicos_Agricult!AT$40+(1-0.29)*Driver_macroeconómicos_Agricult!AT$8))</f>
        <v>0.70189954579153513</v>
      </c>
      <c r="BF62" s="192">
        <f>BE62*(1+(0.29*Driver_macroeconómicos_Agricult!AU$40+(1-0.29)*Driver_macroeconómicos_Agricult!AU$8))</f>
        <v>0.70686746630997188</v>
      </c>
      <c r="BG62" s="192">
        <f>BF62*(1+(0.29*Driver_macroeconómicos_Agricult!AV$40+(1-0.29)*Driver_macroeconómicos_Agricult!AV$8))</f>
        <v>0.71170782239625674</v>
      </c>
      <c r="BH62" s="192">
        <f>BG62*(1+(0.29*Driver_macroeconómicos_Agricult!AW$40+(1-0.29)*Driver_macroeconómicos_Agricult!AW$8))</f>
        <v>0.7164233665146329</v>
      </c>
      <c r="BI62" s="192">
        <f>BH62*(1+(0.29*Driver_macroeconómicos_Agricult!AX$40+(1-0.29)*Driver_macroeconómicos_Agricult!AX$8))</f>
        <v>0.72101272525500271</v>
      </c>
      <c r="BJ62" s="192">
        <f>BI62*(1+(0.29*Driver_macroeconómicos_Agricult!AY$40+(1-0.29)*Driver_macroeconómicos_Agricult!AY$8))</f>
        <v>0.72546435727558078</v>
      </c>
      <c r="BK62" s="192">
        <f>BJ62*(1+(0.29*Driver_macroeconómicos_Agricult!AZ$40+(1-0.29)*Driver_macroeconómicos_Agricult!AZ$8))</f>
        <v>0.72977538331236413</v>
      </c>
      <c r="BL62" s="192">
        <f>BK62*(1+(0.29*Driver_macroeconómicos_Agricult!BA$40+(1-0.29)*Driver_macroeconómicos_Agricult!BA$8))</f>
        <v>0.73393950659145379</v>
      </c>
      <c r="BM62" s="192">
        <f>BL62*(1+(0.29*Driver_macroeconómicos_Agricult!BB$40+(1-0.29)*Driver_macroeconómicos_Agricult!BB$8))</f>
        <v>0.73796159280853979</v>
      </c>
      <c r="BN62" s="192">
        <f>BM62*(1+(0.29*Driver_macroeconómicos_Agricult!BC$40+(1-0.29)*Driver_macroeconómicos_Agricult!BC$8))</f>
        <v>0.74183812758382506</v>
      </c>
      <c r="BO62" s="192">
        <f>BN62*(1+(0.29*Driver_macroeconómicos_Agricult!BD$40+(1-0.29)*Driver_macroeconómicos_Agricult!BD$8))</f>
        <v>0.74556554172220935</v>
      </c>
      <c r="BP62" s="182"/>
    </row>
    <row r="63" spans="1:68" ht="14.25" customHeight="1" x14ac:dyDescent="0.3">
      <c r="A63" s="982"/>
      <c r="D63" s="944"/>
      <c r="E63" s="183"/>
      <c r="F63" s="185" t="s">
        <v>382</v>
      </c>
      <c r="G63" s="190">
        <f t="shared" ref="G63:O63" si="92">G47/1000000</f>
        <v>0.19350200000000001</v>
      </c>
      <c r="H63" s="190">
        <f t="shared" si="92"/>
        <v>0.202651</v>
      </c>
      <c r="I63" s="190">
        <f t="shared" si="92"/>
        <v>0.198578</v>
      </c>
      <c r="J63" s="190">
        <f t="shared" si="92"/>
        <v>0.218833</v>
      </c>
      <c r="K63" s="190">
        <f t="shared" si="92"/>
        <v>0.272011</v>
      </c>
      <c r="L63" s="190">
        <f t="shared" si="92"/>
        <v>0.29034300000000002</v>
      </c>
      <c r="M63" s="190">
        <f t="shared" si="92"/>
        <v>0.26383899999999999</v>
      </c>
      <c r="N63" s="190">
        <f t="shared" si="92"/>
        <v>0.26029200000000002</v>
      </c>
      <c r="O63" s="190">
        <f t="shared" si="92"/>
        <v>0.22396199999999999</v>
      </c>
      <c r="P63" s="190">
        <f t="shared" ref="P63:S63" si="93">P47/1000000</f>
        <v>0.200908</v>
      </c>
      <c r="Q63" s="190">
        <f t="shared" si="93"/>
        <v>0.188469</v>
      </c>
      <c r="R63" s="190">
        <f t="shared" si="93"/>
        <v>0.152529</v>
      </c>
      <c r="S63" s="190">
        <f t="shared" si="93"/>
        <v>0.14138108868806412</v>
      </c>
      <c r="T63" s="192">
        <f>S63*(1+(0.29*Driver_macroeconómicos_Agricult!I$40+(1-0.29)*Driver_macroeconómicos_Agricult!I$8))</f>
        <v>0.14068075405759378</v>
      </c>
      <c r="U63" s="192">
        <f>T63*(1+(0.29*Driver_macroeconómicos_Agricult!J$40+(1-0.29)*Driver_macroeconómicos_Agricult!J$8))</f>
        <v>0.14925310406041176</v>
      </c>
      <c r="V63" s="192">
        <f>U63*(1+(0.29*Driver_macroeconómicos_Agricult!K$40+(1-0.29)*Driver_macroeconómicos_Agricult!K$8))</f>
        <v>0.14951077092301304</v>
      </c>
      <c r="W63" s="192">
        <f>V63*(1+(0.29*Driver_macroeconómicos_Agricult!L$40+(1-0.29)*Driver_macroeconómicos_Agricult!L$8))</f>
        <v>0.15848421040768723</v>
      </c>
      <c r="X63" s="192">
        <f>W63*(1+(0.29*Driver_macroeconómicos_Agricult!M$40+(1-0.29)*Driver_macroeconómicos_Agricult!M$8))</f>
        <v>0.16242472640703126</v>
      </c>
      <c r="Y63" s="192">
        <f>X63*(1+(0.29*Driver_macroeconómicos_Agricult!N$40+(1-0.29)*Driver_macroeconómicos_Agricult!N$8))</f>
        <v>0.1665429534949929</v>
      </c>
      <c r="Z63" s="192">
        <f>Y63*(1+(0.29*Driver_macroeconómicos_Agricult!O$40+(1-0.29)*Driver_macroeconómicos_Agricult!O$8))</f>
        <v>0.17021005416302071</v>
      </c>
      <c r="AA63" s="192">
        <f>Z63*(1+(0.29*Driver_macroeconómicos_Agricult!P$40+(1-0.29)*Driver_macroeconómicos_Agricult!P$8))</f>
        <v>0.17449789727638845</v>
      </c>
      <c r="AB63" s="192">
        <f>AA63*(1+(0.29*Driver_macroeconómicos_Agricult!Q$40+(1-0.29)*Driver_macroeconómicos_Agricult!Q$8))</f>
        <v>0.17233238941003495</v>
      </c>
      <c r="AC63" s="192">
        <f>AB63*(1+(0.29*Driver_macroeconómicos_Agricult!R$40+(1-0.29)*Driver_macroeconómicos_Agricult!R$8))</f>
        <v>0.17553837400537828</v>
      </c>
      <c r="AD63" s="192">
        <f>AC63*(1+(0.29*Driver_macroeconómicos_Agricult!S$40+(1-0.29)*Driver_macroeconómicos_Agricult!S$8))</f>
        <v>0.17941473479144646</v>
      </c>
      <c r="AE63" s="192">
        <f>AD63*(1+(0.29*Driver_macroeconómicos_Agricult!T$40+(1-0.29)*Driver_macroeconómicos_Agricult!T$8))</f>
        <v>0.18224472735848624</v>
      </c>
      <c r="AF63" s="192">
        <f>AE63*(1+(0.29*Driver_macroeconómicos_Agricult!U$40+(1-0.29)*Driver_macroeconómicos_Agricult!U$8))</f>
        <v>0.18495168038878282</v>
      </c>
      <c r="AG63" s="192">
        <f>AF63*(1+(0.29*Driver_macroeconómicos_Agricult!V$40+(1-0.29)*Driver_macroeconómicos_Agricult!V$8))</f>
        <v>0.18756737263388748</v>
      </c>
      <c r="AH63" s="192">
        <f>AG63*(1+(0.29*Driver_macroeconómicos_Agricult!W$40+(1-0.29)*Driver_macroeconómicos_Agricult!W$8))</f>
        <v>0.18982667652511684</v>
      </c>
      <c r="AI63" s="192">
        <f>AH63*(1+(0.29*Driver_macroeconómicos_Agricult!X$40+(1-0.29)*Driver_macroeconómicos_Agricult!X$8))</f>
        <v>0.19179783872364869</v>
      </c>
      <c r="AJ63" s="192">
        <f>AI63*(1+(0.29*Driver_macroeconómicos_Agricult!Y$40+(1-0.29)*Driver_macroeconómicos_Agricult!Y$8))</f>
        <v>0.1946275980979256</v>
      </c>
      <c r="AK63" s="192">
        <f>AJ63*(1+(0.29*Driver_macroeconómicos_Agricult!Z$40+(1-0.29)*Driver_macroeconómicos_Agricult!Z$8))</f>
        <v>0.19724977113337205</v>
      </c>
      <c r="AL63" s="192">
        <f>AK63*(1+(0.29*Driver_macroeconómicos_Agricult!AA$40+(1-0.29)*Driver_macroeconómicos_Agricult!AA$8))</f>
        <v>0.19972797931638084</v>
      </c>
      <c r="AM63" s="192">
        <f>AL63*(1+(0.29*Driver_macroeconómicos_Agricult!AB$40+(1-0.29)*Driver_macroeconómicos_Agricult!AB$8))</f>
        <v>0.20212300435713129</v>
      </c>
      <c r="AN63" s="192">
        <f>AM63*(1+(0.29*Driver_macroeconómicos_Agricult!AC$40+(1-0.29)*Driver_macroeconómicos_Agricult!AC$8))</f>
        <v>0.20419646210129264</v>
      </c>
      <c r="AO63" s="192">
        <f>AN63*(1+(0.29*Driver_macroeconómicos_Agricult!AD$40+(1-0.29)*Driver_macroeconómicos_Agricult!AD$8))</f>
        <v>0.20650939721133615</v>
      </c>
      <c r="AP63" s="192">
        <f>AO63*(1+(0.29*Driver_macroeconómicos_Agricult!AE$40+(1-0.29)*Driver_macroeconómicos_Agricult!AE$8))</f>
        <v>0.20863644143394816</v>
      </c>
      <c r="AQ63" s="192">
        <f>AP63*(1+(0.29*Driver_macroeconómicos_Agricult!AF$40+(1-0.29)*Driver_macroeconómicos_Agricult!AF$8))</f>
        <v>0.21108482840459095</v>
      </c>
      <c r="AR63" s="192">
        <f>AQ63*(1+(0.29*Driver_macroeconómicos_Agricult!AG$40+(1-0.29)*Driver_macroeconómicos_Agricult!AG$8))</f>
        <v>0.21322255532571396</v>
      </c>
      <c r="AS63" s="192">
        <f>AR63*(1+(0.29*Driver_macroeconómicos_Agricult!AH$40+(1-0.29)*Driver_macroeconómicos_Agricult!AH$8))</f>
        <v>0.2152879695330927</v>
      </c>
      <c r="AT63" s="192">
        <f>AS63*(1+(0.29*Driver_macroeconómicos_Agricult!AI$40+(1-0.29)*Driver_macroeconómicos_Agricult!AI$8))</f>
        <v>0.21735152252884182</v>
      </c>
      <c r="AU63" s="192">
        <f>AT63*(1+(0.29*Driver_macroeconómicos_Agricult!AJ$40+(1-0.29)*Driver_macroeconómicos_Agricult!AJ$8))</f>
        <v>0.21938679107592726</v>
      </c>
      <c r="AV63" s="192">
        <f>AU63*(1+(0.29*Driver_macroeconómicos_Agricult!AK$40+(1-0.29)*Driver_macroeconómicos_Agricult!AK$8))</f>
        <v>0.22154224359549984</v>
      </c>
      <c r="AW63" s="192">
        <f>AV63*(1+(0.29*Driver_macroeconómicos_Agricult!AL$40+(1-0.29)*Driver_macroeconómicos_Agricult!AL$8))</f>
        <v>0.22355071409406013</v>
      </c>
      <c r="AX63" s="192">
        <f>AW63*(1+(0.29*Driver_macroeconómicos_Agricult!AM$40+(1-0.29)*Driver_macroeconómicos_Agricult!AM$8))</f>
        <v>0.22552466095125751</v>
      </c>
      <c r="AY63" s="192">
        <f>AX63*(1+(0.29*Driver_macroeconómicos_Agricult!AN$40+(1-0.29)*Driver_macroeconómicos_Agricult!AN$8))</f>
        <v>0.22748805964087188</v>
      </c>
      <c r="AZ63" s="192">
        <f>AY63*(1+(0.29*Driver_macroeconómicos_Agricult!AO$40+(1-0.29)*Driver_macroeconómicos_Agricult!AO$8))</f>
        <v>0.22941753297907047</v>
      </c>
      <c r="BA63" s="192">
        <f>AZ63*(1+(0.29*Driver_macroeconómicos_Agricult!AP$40+(1-0.29)*Driver_macroeconómicos_Agricult!AP$8))</f>
        <v>0.23133680428746012</v>
      </c>
      <c r="BB63" s="192">
        <f>BA63*(1+(0.29*Driver_macroeconómicos_Agricult!AQ$40+(1-0.29)*Driver_macroeconómicos_Agricult!AQ$8))</f>
        <v>0.23317646105686912</v>
      </c>
      <c r="BC63" s="192">
        <f>BB63*(1+(0.29*Driver_macroeconómicos_Agricult!AR$40+(1-0.29)*Driver_macroeconómicos_Agricult!AR$8))</f>
        <v>0.23498473462679415</v>
      </c>
      <c r="BD63" s="192">
        <f>BC63*(1+(0.29*Driver_macroeconómicos_Agricult!AS$40+(1-0.29)*Driver_macroeconómicos_Agricult!AS$8))</f>
        <v>0.23675968265031105</v>
      </c>
      <c r="BE63" s="192">
        <f>BD63*(1+(0.29*Driver_macroeconómicos_Agricult!AT$40+(1-0.29)*Driver_macroeconómicos_Agricult!AT$8))</f>
        <v>0.23849427633297759</v>
      </c>
      <c r="BF63" s="192">
        <f>BE63*(1+(0.29*Driver_macroeconómicos_Agricult!AU$40+(1-0.29)*Driver_macroeconómicos_Agricult!AU$8))</f>
        <v>0.24018229652907017</v>
      </c>
      <c r="BG63" s="192">
        <f>BF63*(1+(0.29*Driver_macroeconómicos_Agricult!AV$40+(1-0.29)*Driver_macroeconómicos_Agricult!AV$8))</f>
        <v>0.24182697236468509</v>
      </c>
      <c r="BH63" s="192">
        <f>BG63*(1+(0.29*Driver_macroeconómicos_Agricult!AW$40+(1-0.29)*Driver_macroeconómicos_Agricult!AW$8))</f>
        <v>0.24342923908329378</v>
      </c>
      <c r="BI63" s="192">
        <f>BH63*(1+(0.29*Driver_macroeconómicos_Agricult!AX$40+(1-0.29)*Driver_macroeconómicos_Agricult!AX$8))</f>
        <v>0.2449886300220393</v>
      </c>
      <c r="BJ63" s="192">
        <f>BI63*(1+(0.29*Driver_macroeconómicos_Agricult!AY$40+(1-0.29)*Driver_macroeconómicos_Agricult!AY$8))</f>
        <v>0.24650122361696919</v>
      </c>
      <c r="BK63" s="192">
        <f>BJ63*(1+(0.29*Driver_macroeconómicos_Agricult!AZ$40+(1-0.29)*Driver_macroeconómicos_Agricult!AZ$8))</f>
        <v>0.24796604154007501</v>
      </c>
      <c r="BL63" s="192">
        <f>BK63*(1+(0.29*Driver_macroeconómicos_Agricult!BA$40+(1-0.29)*Driver_macroeconómicos_Agricult!BA$8))</f>
        <v>0.24938094424796584</v>
      </c>
      <c r="BM63" s="192">
        <f>BL63*(1+(0.29*Driver_macroeconómicos_Agricult!BB$40+(1-0.29)*Driver_macroeconómicos_Agricult!BB$8))</f>
        <v>0.25074758502647071</v>
      </c>
      <c r="BN63" s="192">
        <f>BM63*(1+(0.29*Driver_macroeconómicos_Agricult!BC$40+(1-0.29)*Driver_macroeconómicos_Agricult!BC$8))</f>
        <v>0.25206476974535907</v>
      </c>
      <c r="BO63" s="192">
        <f>BN63*(1+(0.29*Driver_macroeconómicos_Agricult!BD$40+(1-0.29)*Driver_macroeconómicos_Agricult!BD$8))</f>
        <v>0.25333128564903412</v>
      </c>
      <c r="BP63" s="182"/>
    </row>
    <row r="64" spans="1:68" ht="14.25" customHeight="1" x14ac:dyDescent="0.3">
      <c r="A64" s="982"/>
      <c r="D64" s="944" t="s">
        <v>367</v>
      </c>
      <c r="E64" s="183"/>
      <c r="F64" s="185" t="s">
        <v>383</v>
      </c>
      <c r="G64" s="190">
        <f t="shared" ref="G64:O64" si="94">G48/1000000</f>
        <v>0</v>
      </c>
      <c r="H64" s="190">
        <f t="shared" si="94"/>
        <v>0</v>
      </c>
      <c r="I64" s="190">
        <f t="shared" si="94"/>
        <v>0</v>
      </c>
      <c r="J64" s="190">
        <f t="shared" si="94"/>
        <v>0</v>
      </c>
      <c r="K64" s="190">
        <f t="shared" si="94"/>
        <v>2.6516999999999999E-2</v>
      </c>
      <c r="L64" s="190">
        <f t="shared" si="94"/>
        <v>2.2492999999999999E-2</v>
      </c>
      <c r="M64" s="190">
        <f t="shared" si="94"/>
        <v>2.6280000000000001E-2</v>
      </c>
      <c r="N64" s="190">
        <f t="shared" si="94"/>
        <v>2.8021000000000001E-2</v>
      </c>
      <c r="O64" s="190">
        <f t="shared" si="94"/>
        <v>2.3133999999999998E-2</v>
      </c>
      <c r="P64" s="190">
        <f t="shared" ref="P64:S64" si="95">P48/1000000</f>
        <v>2.7019999999999999E-2</v>
      </c>
      <c r="Q64" s="190">
        <f t="shared" si="95"/>
        <v>1.9682000000000002E-2</v>
      </c>
      <c r="R64" s="190">
        <f t="shared" si="95"/>
        <v>1.8807000000000001E-2</v>
      </c>
      <c r="S64" s="190">
        <f t="shared" si="95"/>
        <v>2.2113025127347405E-2</v>
      </c>
      <c r="T64" s="192">
        <f>S64*(1+(0.29*Driver_macroeconómicos_Agricult!I$40+(1-0.29)*Driver_macroeconómicos_Agricult!I$8))</f>
        <v>2.200348772439735E-2</v>
      </c>
      <c r="U64" s="192">
        <f>T64*(1+(0.29*Driver_macroeconómicos_Agricult!J$40+(1-0.29)*Driver_macroeconómicos_Agricult!J$8))</f>
        <v>2.3344265283629241E-2</v>
      </c>
      <c r="V64" s="192">
        <f>U64*(1+(0.29*Driver_macroeconómicos_Agricult!K$40+(1-0.29)*Driver_macroeconómicos_Agricult!K$8))</f>
        <v>2.3384566245094874E-2</v>
      </c>
      <c r="W64" s="192">
        <f>V64*(1+(0.29*Driver_macroeconómicos_Agricult!L$40+(1-0.29)*Driver_macroeconómicos_Agricult!L$8))</f>
        <v>2.4788077101070363E-2</v>
      </c>
      <c r="X64" s="192">
        <f>W64*(1+(0.29*Driver_macroeconómicos_Agricult!M$40+(1-0.29)*Driver_macroeconómicos_Agricult!M$8))</f>
        <v>2.5404402312007614E-2</v>
      </c>
      <c r="Y64" s="192">
        <f>X64*(1+(0.29*Driver_macroeconómicos_Agricult!N$40+(1-0.29)*Driver_macroeconómicos_Agricult!N$8))</f>
        <v>2.6048522822899579E-2</v>
      </c>
      <c r="Z64" s="192">
        <f>Y64*(1+(0.29*Driver_macroeconómicos_Agricult!O$40+(1-0.29)*Driver_macroeconómicos_Agricult!O$8))</f>
        <v>2.6622083897927976E-2</v>
      </c>
      <c r="AA64" s="192">
        <f>Z64*(1+(0.29*Driver_macroeconómicos_Agricult!P$40+(1-0.29)*Driver_macroeconómicos_Agricult!P$8))</f>
        <v>2.7292733582322641E-2</v>
      </c>
      <c r="AB64" s="192">
        <f>AA64*(1+(0.29*Driver_macroeconómicos_Agricult!Q$40+(1-0.29)*Driver_macroeconómicos_Agricult!Q$8))</f>
        <v>2.695403248512147E-2</v>
      </c>
      <c r="AC64" s="192">
        <f>AB64*(1+(0.29*Driver_macroeconómicos_Agricult!R$40+(1-0.29)*Driver_macroeconómicos_Agricult!R$8))</f>
        <v>2.7455471670323476E-2</v>
      </c>
      <c r="AD64" s="192">
        <f>AC64*(1+(0.29*Driver_macroeconómicos_Agricult!S$40+(1-0.29)*Driver_macroeconómicos_Agricult!S$8))</f>
        <v>2.8061762541757587E-2</v>
      </c>
      <c r="AE64" s="192">
        <f>AD64*(1+(0.29*Driver_macroeconómicos_Agricult!T$40+(1-0.29)*Driver_macroeconómicos_Agricult!T$8))</f>
        <v>2.8504393853525385E-2</v>
      </c>
      <c r="AF64" s="192">
        <f>AE64*(1+(0.29*Driver_macroeconómicos_Agricult!U$40+(1-0.29)*Driver_macroeconómicos_Agricult!U$8))</f>
        <v>2.8927780891586517E-2</v>
      </c>
      <c r="AG64" s="192">
        <f>AF64*(1+(0.29*Driver_macroeconómicos_Agricult!V$40+(1-0.29)*Driver_macroeconómicos_Agricult!V$8))</f>
        <v>2.9336894082594857E-2</v>
      </c>
      <c r="AH64" s="192">
        <f>AG64*(1+(0.29*Driver_macroeconómicos_Agricult!W$40+(1-0.29)*Driver_macroeconómicos_Agricult!W$8))</f>
        <v>2.9690265556677205E-2</v>
      </c>
      <c r="AI64" s="192">
        <f>AH64*(1+(0.29*Driver_macroeconómicos_Agricult!X$40+(1-0.29)*Driver_macroeconómicos_Agricult!X$8))</f>
        <v>2.999856958538916E-2</v>
      </c>
      <c r="AJ64" s="192">
        <f>AI64*(1+(0.29*Driver_macroeconómicos_Agricult!Y$40+(1-0.29)*Driver_macroeconómicos_Agricult!Y$8))</f>
        <v>3.0441164424121751E-2</v>
      </c>
      <c r="AK64" s="192">
        <f>AJ64*(1+(0.29*Driver_macroeconómicos_Agricult!Z$40+(1-0.29)*Driver_macroeconómicos_Agricult!Z$8))</f>
        <v>3.0851291257626434E-2</v>
      </c>
      <c r="AL64" s="192">
        <f>AK64*(1+(0.29*Driver_macroeconómicos_Agricult!AA$40+(1-0.29)*Driver_macroeconómicos_Agricult!AA$8))</f>
        <v>3.1238900946660451E-2</v>
      </c>
      <c r="AM64" s="192">
        <f>AL64*(1+(0.29*Driver_macroeconómicos_Agricult!AB$40+(1-0.29)*Driver_macroeconómicos_Agricult!AB$8))</f>
        <v>3.1613500190436197E-2</v>
      </c>
      <c r="AN64" s="192">
        <f>AM64*(1+(0.29*Driver_macroeconómicos_Agricult!AC$40+(1-0.29)*Driver_macroeconómicos_Agricult!AC$8))</f>
        <v>3.1937803982567084E-2</v>
      </c>
      <c r="AO64" s="192">
        <f>AN64*(1+(0.29*Driver_macroeconómicos_Agricult!AD$40+(1-0.29)*Driver_macroeconómicos_Agricult!AD$8))</f>
        <v>3.2299563767280312E-2</v>
      </c>
      <c r="AP64" s="192">
        <f>AO64*(1+(0.29*Driver_macroeconómicos_Agricult!AE$40+(1-0.29)*Driver_macroeconómicos_Agricult!AE$8))</f>
        <v>3.2632248872325548E-2</v>
      </c>
      <c r="AQ64" s="192">
        <f>AP64*(1+(0.29*Driver_macroeconómicos_Agricult!AF$40+(1-0.29)*Driver_macroeconómicos_Agricult!AF$8))</f>
        <v>3.3015194307996563E-2</v>
      </c>
      <c r="AR64" s="192">
        <f>AQ64*(1+(0.29*Driver_macroeconómicos_Agricult!AG$40+(1-0.29)*Driver_macroeconómicos_Agricult!AG$8))</f>
        <v>3.3349550264375555E-2</v>
      </c>
      <c r="AS64" s="192">
        <f>AR64*(1+(0.29*Driver_macroeconómicos_Agricult!AH$40+(1-0.29)*Driver_macroeconómicos_Agricult!AH$8))</f>
        <v>3.3672595989160684E-2</v>
      </c>
      <c r="AT64" s="192">
        <f>AS64*(1+(0.29*Driver_macroeconómicos_Agricult!AI$40+(1-0.29)*Driver_macroeconómicos_Agricult!AI$8))</f>
        <v>3.3995350606981542E-2</v>
      </c>
      <c r="AU64" s="192">
        <f>AT64*(1+(0.29*Driver_macroeconómicos_Agricult!AJ$40+(1-0.29)*Driver_macroeconómicos_Agricult!AJ$8))</f>
        <v>3.431368133240055E-2</v>
      </c>
      <c r="AV64" s="192">
        <f>AU64*(1+(0.29*Driver_macroeconómicos_Agricult!AK$40+(1-0.29)*Driver_macroeconómicos_Agricult!AK$8))</f>
        <v>3.4650809700617291E-2</v>
      </c>
      <c r="AW64" s="192">
        <f>AV64*(1+(0.29*Driver_macroeconómicos_Agricult!AL$40+(1-0.29)*Driver_macroeconómicos_Agricult!AL$8))</f>
        <v>3.4964949017369837E-2</v>
      </c>
      <c r="AX64" s="192">
        <f>AW64*(1+(0.29*Driver_macroeconómicos_Agricult!AM$40+(1-0.29)*Driver_macroeconómicos_Agricult!AM$8))</f>
        <v>3.5273688586843384E-2</v>
      </c>
      <c r="AY64" s="192">
        <f>AX64*(1+(0.29*Driver_macroeconómicos_Agricult!AN$40+(1-0.29)*Driver_macroeconómicos_Agricult!AN$8))</f>
        <v>3.5580778346593615E-2</v>
      </c>
      <c r="AZ64" s="192">
        <f>AY64*(1+(0.29*Driver_macroeconómicos_Agricult!AO$40+(1-0.29)*Driver_macroeconómicos_Agricult!AO$8))</f>
        <v>3.5882561935941054E-2</v>
      </c>
      <c r="BA64" s="192">
        <f>AZ64*(1+(0.29*Driver_macroeconómicos_Agricult!AP$40+(1-0.29)*Driver_macroeconómicos_Agricult!AP$8))</f>
        <v>3.618274985401726E-2</v>
      </c>
      <c r="BB64" s="192">
        <f>BA64*(1+(0.29*Driver_macroeconómicos_Agricult!AQ$40+(1-0.29)*Driver_macroeconómicos_Agricult!AQ$8))</f>
        <v>3.6470485482205772E-2</v>
      </c>
      <c r="BC64" s="192">
        <f>BB64*(1+(0.29*Driver_macroeconómicos_Agricult!AR$40+(1-0.29)*Driver_macroeconómicos_Agricult!AR$8))</f>
        <v>3.6753312550945452E-2</v>
      </c>
      <c r="BD64" s="192">
        <f>BC64*(1+(0.29*Driver_macroeconómicos_Agricult!AS$40+(1-0.29)*Driver_macroeconómicos_Agricult!AS$8))</f>
        <v>3.7030927263124978E-2</v>
      </c>
      <c r="BE64" s="192">
        <f>BD64*(1+(0.29*Driver_macroeconómicos_Agricult!AT$40+(1-0.29)*Driver_macroeconómicos_Agricult!AT$8))</f>
        <v>3.7302230264442023E-2</v>
      </c>
      <c r="BF64" s="192">
        <f>BE64*(1+(0.29*Driver_macroeconómicos_Agricult!AU$40+(1-0.29)*Driver_macroeconómicos_Agricult!AU$8))</f>
        <v>3.7566248835511469E-2</v>
      </c>
      <c r="BG64" s="192">
        <f>BF64*(1+(0.29*Driver_macroeconómicos_Agricult!AV$40+(1-0.29)*Driver_macroeconómicos_Agricult!AV$8))</f>
        <v>3.7823488035016686E-2</v>
      </c>
      <c r="BH64" s="192">
        <f>BG64*(1+(0.29*Driver_macroeconómicos_Agricult!AW$40+(1-0.29)*Driver_macroeconómicos_Agricult!AW$8))</f>
        <v>3.8074094141802864E-2</v>
      </c>
      <c r="BI64" s="192">
        <f>BH64*(1+(0.29*Driver_macroeconómicos_Agricult!AX$40+(1-0.29)*Driver_macroeconómicos_Agricult!AX$8))</f>
        <v>3.8317994166422981E-2</v>
      </c>
      <c r="BJ64" s="192">
        <f>BI64*(1+(0.29*Driver_macroeconómicos_Agricult!AY$40+(1-0.29)*Driver_macroeconómicos_Agricult!AY$8))</f>
        <v>3.8554574747903345E-2</v>
      </c>
      <c r="BK64" s="192">
        <f>BJ64*(1+(0.29*Driver_macroeconómicos_Agricult!AZ$40+(1-0.29)*Driver_macroeconómicos_Agricult!AZ$8))</f>
        <v>3.878368286866548E-2</v>
      </c>
      <c r="BL64" s="192">
        <f>BK64*(1+(0.29*Driver_macroeconómicos_Agricult!BA$40+(1-0.29)*Driver_macroeconómicos_Agricult!BA$8))</f>
        <v>3.9004983888643999E-2</v>
      </c>
      <c r="BM64" s="192">
        <f>BL64*(1+(0.29*Driver_macroeconómicos_Agricult!BB$40+(1-0.29)*Driver_macroeconómicos_Agricult!BB$8))</f>
        <v>3.9218736393703657E-2</v>
      </c>
      <c r="BN64" s="192">
        <f>BM64*(1+(0.29*Driver_macroeconómicos_Agricult!BC$40+(1-0.29)*Driver_macroeconómicos_Agricult!BC$8))</f>
        <v>3.9424753613237169E-2</v>
      </c>
      <c r="BO64" s="192">
        <f>BN64*(1+(0.29*Driver_macroeconómicos_Agricult!BD$40+(1-0.29)*Driver_macroeconómicos_Agricult!BD$8))</f>
        <v>3.9622845863495217E-2</v>
      </c>
      <c r="BP64" s="182"/>
    </row>
    <row r="65" spans="1:96" ht="14.25" customHeight="1" x14ac:dyDescent="0.3">
      <c r="A65" s="982"/>
      <c r="D65" s="944" t="s">
        <v>367</v>
      </c>
      <c r="E65" s="183"/>
      <c r="F65" s="185" t="s">
        <v>384</v>
      </c>
      <c r="G65" s="190">
        <f t="shared" ref="G65:O65" si="96">G49/1000000</f>
        <v>0</v>
      </c>
      <c r="H65" s="190">
        <f t="shared" si="96"/>
        <v>0</v>
      </c>
      <c r="I65" s="190">
        <f t="shared" si="96"/>
        <v>0</v>
      </c>
      <c r="J65" s="190">
        <f t="shared" si="96"/>
        <v>0</v>
      </c>
      <c r="K65" s="190">
        <f t="shared" si="96"/>
        <v>0</v>
      </c>
      <c r="L65" s="190">
        <f t="shared" si="96"/>
        <v>1.0472114714214914E-2</v>
      </c>
      <c r="M65" s="190">
        <f t="shared" si="96"/>
        <v>6.6956319092416824E-3</v>
      </c>
      <c r="N65" s="190">
        <f t="shared" si="96"/>
        <v>7.3352687453287057E-3</v>
      </c>
      <c r="O65" s="190">
        <f t="shared" si="96"/>
        <v>6.0070091686241995E-3</v>
      </c>
      <c r="P65" s="190">
        <f t="shared" ref="P65:S65" si="97">P49/1000000</f>
        <v>5.2425295496718273E-3</v>
      </c>
      <c r="Q65" s="190">
        <f t="shared" si="97"/>
        <v>5.4959927723928778E-3</v>
      </c>
      <c r="R65" s="190">
        <f t="shared" si="97"/>
        <v>4.2527158461846491E-3</v>
      </c>
      <c r="S65" s="190">
        <f t="shared" si="97"/>
        <v>3.9058495068835797E-3</v>
      </c>
      <c r="T65" s="192">
        <f>S65*(1+(0.29*Driver_macroeconómicos_Agricult!I$40+(1-0.29)*Driver_macroeconómicos_Agricult!I$8))</f>
        <v>3.8865017872100434E-3</v>
      </c>
      <c r="U65" s="192">
        <f>T65*(1+(0.29*Driver_macroeconómicos_Agricult!J$40+(1-0.29)*Driver_macroeconómicos_Agricult!J$8))</f>
        <v>4.1233248965950164E-3</v>
      </c>
      <c r="V65" s="192">
        <f>U65*(1+(0.29*Driver_macroeconómicos_Agricult!K$40+(1-0.29)*Driver_macroeconómicos_Agricult!K$8))</f>
        <v>4.1304433025824818E-3</v>
      </c>
      <c r="W65" s="192">
        <f>V65*(1+(0.29*Driver_macroeconómicos_Agricult!L$40+(1-0.29)*Driver_macroeconómicos_Agricult!L$8))</f>
        <v>4.3783470675873926E-3</v>
      </c>
      <c r="X65" s="192">
        <f>W65*(1+(0.29*Driver_macroeconómicos_Agricult!M$40+(1-0.29)*Driver_macroeconómicos_Agricult!M$8))</f>
        <v>4.487209310874137E-3</v>
      </c>
      <c r="Y65" s="192">
        <f>X65*(1+(0.29*Driver_macroeconómicos_Agricult!N$40+(1-0.29)*Driver_macroeconómicos_Agricult!N$8))</f>
        <v>4.6009810705204294E-3</v>
      </c>
      <c r="Z65" s="192">
        <f>Y65*(1+(0.29*Driver_macroeconómicos_Agricult!O$40+(1-0.29)*Driver_macroeconómicos_Agricult!O$8))</f>
        <v>4.7022898344351756E-3</v>
      </c>
      <c r="AA65" s="192">
        <f>Z65*(1+(0.29*Driver_macroeconómicos_Agricult!P$40+(1-0.29)*Driver_macroeconómicos_Agricult!P$8))</f>
        <v>4.8207474730440616E-3</v>
      </c>
      <c r="AB65" s="192">
        <f>AA65*(1+(0.29*Driver_macroeconómicos_Agricult!Q$40+(1-0.29)*Driver_macroeconómicos_Agricult!Q$8))</f>
        <v>4.7609223018670946E-3</v>
      </c>
      <c r="AC65" s="192">
        <f>AB65*(1+(0.29*Driver_macroeconómicos_Agricult!R$40+(1-0.29)*Driver_macroeconómicos_Agricult!R$8))</f>
        <v>4.8494920919783177E-3</v>
      </c>
      <c r="AD65" s="192">
        <f>AC65*(1+(0.29*Driver_macroeconómicos_Agricult!S$40+(1-0.29)*Driver_macroeconómicos_Agricult!S$8))</f>
        <v>4.9565819581355404E-3</v>
      </c>
      <c r="AE65" s="192">
        <f>AD65*(1+(0.29*Driver_macroeconómicos_Agricult!T$40+(1-0.29)*Driver_macroeconómicos_Agricult!T$8))</f>
        <v>5.0347644447398445E-3</v>
      </c>
      <c r="AF65" s="192">
        <f>AE65*(1+(0.29*Driver_macroeconómicos_Agricult!U$40+(1-0.29)*Driver_macroeconómicos_Agricult!U$8))</f>
        <v>5.1095477927579703E-3</v>
      </c>
      <c r="AG65" s="192">
        <f>AF65*(1+(0.29*Driver_macroeconómicos_Agricult!V$40+(1-0.29)*Driver_macroeconómicos_Agricult!V$8))</f>
        <v>5.181809934466629E-3</v>
      </c>
      <c r="AH65" s="192">
        <f>AG65*(1+(0.29*Driver_macroeconómicos_Agricult!W$40+(1-0.29)*Driver_macroeconómicos_Agricult!W$8))</f>
        <v>5.2442263514807051E-3</v>
      </c>
      <c r="AI65" s="192">
        <f>AH65*(1+(0.29*Driver_macroeconómicos_Agricult!X$40+(1-0.29)*Driver_macroeconómicos_Agricult!X$8))</f>
        <v>5.2986824528770526E-3</v>
      </c>
      <c r="AJ65" s="192">
        <f>AI65*(1+(0.29*Driver_macroeconómicos_Agricult!Y$40+(1-0.29)*Driver_macroeconómicos_Agricult!Y$8))</f>
        <v>5.3768584972064644E-3</v>
      </c>
      <c r="AK65" s="192">
        <f>AJ65*(1+(0.29*Driver_macroeconómicos_Agricult!Z$40+(1-0.29)*Driver_macroeconómicos_Agricult!Z$8))</f>
        <v>5.4492996797755062E-3</v>
      </c>
      <c r="AL65" s="192">
        <f>AK65*(1+(0.29*Driver_macroeconómicos_Agricult!AA$40+(1-0.29)*Driver_macroeconómicos_Agricult!AA$8))</f>
        <v>5.5177636327651183E-3</v>
      </c>
      <c r="AM65" s="192">
        <f>AL65*(1+(0.29*Driver_macroeconómicos_Agricult!AB$40+(1-0.29)*Driver_macroeconómicos_Agricult!AB$8))</f>
        <v>5.5839295355827748E-3</v>
      </c>
      <c r="AN65" s="192">
        <f>AM65*(1+(0.29*Driver_macroeconómicos_Agricult!AC$40+(1-0.29)*Driver_macroeconómicos_Agricult!AC$8))</f>
        <v>5.6412116939161634E-3</v>
      </c>
      <c r="AO65" s="192">
        <f>AN65*(1+(0.29*Driver_macroeconómicos_Agricult!AD$40+(1-0.29)*Driver_macroeconómicos_Agricult!AD$8))</f>
        <v>5.7051097480537239E-3</v>
      </c>
      <c r="AP65" s="192">
        <f>AO65*(1+(0.29*Driver_macroeconómicos_Agricult!AE$40+(1-0.29)*Driver_macroeconómicos_Agricult!AE$8))</f>
        <v>5.7638723074957352E-3</v>
      </c>
      <c r="AQ65" s="192">
        <f>AP65*(1+(0.29*Driver_macroeconómicos_Agricult!AF$40+(1-0.29)*Driver_macroeconómicos_Agricult!AF$8))</f>
        <v>5.8315124079553141E-3</v>
      </c>
      <c r="AR65" s="192">
        <f>AQ65*(1+(0.29*Driver_macroeconómicos_Agricult!AG$40+(1-0.29)*Driver_macroeconómicos_Agricult!AG$8))</f>
        <v>5.8905700918237868E-3</v>
      </c>
      <c r="AS65" s="192">
        <f>AR65*(1+(0.29*Driver_macroeconómicos_Agricult!AH$40+(1-0.29)*Driver_macroeconómicos_Agricult!AH$8))</f>
        <v>5.9476300362495908E-3</v>
      </c>
      <c r="AT65" s="192">
        <f>AS65*(1+(0.29*Driver_macroeconómicos_Agricult!AI$40+(1-0.29)*Driver_macroeconómicos_Agricult!AI$8))</f>
        <v>6.0046385621116156E-3</v>
      </c>
      <c r="AU65" s="192">
        <f>AT65*(1+(0.29*Driver_macroeconómicos_Agricult!AJ$40+(1-0.29)*Driver_macroeconómicos_Agricult!AJ$8))</f>
        <v>6.0608656906814664E-3</v>
      </c>
      <c r="AV65" s="192">
        <f>AU65*(1+(0.29*Driver_macroeconómicos_Agricult!AK$40+(1-0.29)*Driver_macroeconómicos_Agricult!AK$8))</f>
        <v>6.1204130688973643E-3</v>
      </c>
      <c r="AW65" s="192">
        <f>AV65*(1+(0.29*Driver_macroeconómicos_Agricult!AL$40+(1-0.29)*Driver_macroeconómicos_Agricult!AL$8))</f>
        <v>6.1758998640492968E-3</v>
      </c>
      <c r="AX65" s="192">
        <f>AW65*(1+(0.29*Driver_macroeconómicos_Agricult!AM$40+(1-0.29)*Driver_macroeconómicos_Agricult!AM$8))</f>
        <v>6.2304328955200732E-3</v>
      </c>
      <c r="AY65" s="192">
        <f>AX65*(1+(0.29*Driver_macroeconómicos_Agricult!AN$40+(1-0.29)*Driver_macroeconómicos_Agricult!AN$8))</f>
        <v>6.2846745191686652E-3</v>
      </c>
      <c r="AZ65" s="192">
        <f>AY65*(1+(0.29*Driver_macroeconómicos_Agricult!AO$40+(1-0.29)*Driver_macroeconómicos_Agricult!AO$8))</f>
        <v>6.3379789077292565E-3</v>
      </c>
      <c r="BA65" s="192">
        <f>AZ65*(1+(0.29*Driver_macroeconómicos_Agricult!AP$40+(1-0.29)*Driver_macroeconómicos_Agricult!AP$8))</f>
        <v>6.3910014510058129E-3</v>
      </c>
      <c r="BB65" s="192">
        <f>BA65*(1+(0.29*Driver_macroeconómicos_Agricult!AQ$40+(1-0.29)*Driver_macroeconómicos_Agricult!AQ$8))</f>
        <v>6.4418245317467227E-3</v>
      </c>
      <c r="BC65" s="192">
        <f>BB65*(1+(0.29*Driver_macroeconómicos_Agricult!AR$40+(1-0.29)*Driver_macroeconómicos_Agricult!AR$8))</f>
        <v>6.4917806078877496E-3</v>
      </c>
      <c r="BD65" s="192">
        <f>BC65*(1+(0.29*Driver_macroeconómicos_Agricult!AS$40+(1-0.29)*Driver_macroeconómicos_Agricult!AS$8))</f>
        <v>6.5408160193895911E-3</v>
      </c>
      <c r="BE65" s="192">
        <f>BD65*(1+(0.29*Driver_macroeconómicos_Agricult!AT$40+(1-0.29)*Driver_macroeconómicos_Agricult!AT$8))</f>
        <v>6.5887365860152636E-3</v>
      </c>
      <c r="BF65" s="192">
        <f>BE65*(1+(0.29*Driver_macroeconómicos_Agricult!AU$40+(1-0.29)*Driver_macroeconómicos_Agricult!AU$8))</f>
        <v>6.6353704952014101E-3</v>
      </c>
      <c r="BG65" s="192">
        <f>BF65*(1+(0.29*Driver_macroeconómicos_Agricult!AV$40+(1-0.29)*Driver_macroeconómicos_Agricult!AV$8))</f>
        <v>6.6808069560543408E-3</v>
      </c>
      <c r="BH65" s="192">
        <f>BG65*(1+(0.29*Driver_macroeconómicos_Agricult!AW$40+(1-0.29)*Driver_macroeconómicos_Agricult!AW$8))</f>
        <v>6.7250718059776683E-3</v>
      </c>
      <c r="BI65" s="192">
        <f>BH65*(1+(0.29*Driver_macroeconómicos_Agricult!AX$40+(1-0.29)*Driver_macroeconómicos_Agricult!AX$8))</f>
        <v>6.7681521527599466E-3</v>
      </c>
      <c r="BJ65" s="192">
        <f>BI65*(1+(0.29*Driver_macroeconómicos_Agricult!AY$40+(1-0.29)*Driver_macroeconómicos_Agricult!AY$8))</f>
        <v>6.8099396577345839E-3</v>
      </c>
      <c r="BK65" s="192">
        <f>BJ65*(1+(0.29*Driver_macroeconómicos_Agricult!AZ$40+(1-0.29)*Driver_macroeconómicos_Agricult!AZ$8))</f>
        <v>6.8504072932276186E-3</v>
      </c>
      <c r="BL65" s="192">
        <f>BK65*(1+(0.29*Driver_macroeconómicos_Agricult!BA$40+(1-0.29)*Driver_macroeconómicos_Agricult!BA$8))</f>
        <v>6.8894959513726749E-3</v>
      </c>
      <c r="BM65" s="192">
        <f>BL65*(1+(0.29*Driver_macroeconómicos_Agricult!BB$40+(1-0.29)*Driver_macroeconómicos_Agricult!BB$8))</f>
        <v>6.9272513064936661E-3</v>
      </c>
      <c r="BN65" s="192">
        <f>BM65*(1+(0.29*Driver_macroeconómicos_Agricult!BC$40+(1-0.29)*Driver_macroeconómicos_Agricult!BC$8))</f>
        <v>6.9636403690796506E-3</v>
      </c>
      <c r="BO65" s="192">
        <f>BN65*(1+(0.29*Driver_macroeconómicos_Agricult!BD$40+(1-0.29)*Driver_macroeconómicos_Agricult!BD$8))</f>
        <v>6.9986296350680018E-3</v>
      </c>
      <c r="BP65" s="182"/>
    </row>
    <row r="66" spans="1:96" ht="14.25" customHeight="1" x14ac:dyDescent="0.3">
      <c r="A66" s="982"/>
      <c r="D66" s="944"/>
      <c r="E66" s="183"/>
      <c r="F66" s="185" t="s">
        <v>385</v>
      </c>
      <c r="G66" s="190">
        <f t="shared" ref="G66:O66" si="98">G50/1000000</f>
        <v>0.103211</v>
      </c>
      <c r="H66" s="190">
        <f t="shared" si="98"/>
        <v>0.14308699999999999</v>
      </c>
      <c r="I66" s="190">
        <f t="shared" si="98"/>
        <v>0.104271</v>
      </c>
      <c r="J66" s="190">
        <f t="shared" si="98"/>
        <v>7.9622999999999999E-2</v>
      </c>
      <c r="K66" s="190">
        <f t="shared" si="98"/>
        <v>7.1840000000000001E-2</v>
      </c>
      <c r="L66" s="190">
        <f t="shared" si="98"/>
        <v>6.7872000000000002E-2</v>
      </c>
      <c r="M66" s="190">
        <f t="shared" si="98"/>
        <v>6.0317000000000003E-2</v>
      </c>
      <c r="N66" s="190">
        <f t="shared" si="98"/>
        <v>7.0583000000000007E-2</v>
      </c>
      <c r="O66" s="190">
        <f t="shared" si="98"/>
        <v>4.3719000000000001E-2</v>
      </c>
      <c r="P66" s="190">
        <f t="shared" ref="P66:S66" si="99">P50/1000000</f>
        <v>5.2714999999999998E-2</v>
      </c>
      <c r="Q66" s="190">
        <f t="shared" si="99"/>
        <v>4.4457000000000003E-2</v>
      </c>
      <c r="R66" s="190">
        <f t="shared" si="99"/>
        <v>6.2112000000000001E-2</v>
      </c>
      <c r="S66" s="190">
        <f t="shared" si="99"/>
        <v>4.4762764854781381E-2</v>
      </c>
      <c r="T66" s="192">
        <f>S66*(1+(0.29*Driver_macroeconómicos_Agricult!I$40+(1-0.29)*Driver_macroeconómicos_Agricult!I$8))</f>
        <v>4.4541031420173516E-2</v>
      </c>
      <c r="U66" s="192">
        <f>T66*(1+(0.29*Driver_macroeconómicos_Agricult!J$40+(1-0.29)*Driver_macroeconómicos_Agricult!J$8))</f>
        <v>4.7255129118739476E-2</v>
      </c>
      <c r="V66" s="192">
        <f>U66*(1+(0.29*Driver_macroeconómicos_Agricult!K$40+(1-0.29)*Driver_macroeconómicos_Agricult!K$8))</f>
        <v>4.7336709203378229E-2</v>
      </c>
      <c r="W66" s="192">
        <f>V66*(1+(0.29*Driver_macroeconómicos_Agricult!L$40+(1-0.29)*Driver_macroeconómicos_Agricult!L$8))</f>
        <v>5.017779612185088E-2</v>
      </c>
      <c r="X66" s="192">
        <f>W66*(1+(0.29*Driver_macroeconómicos_Agricult!M$40+(1-0.29)*Driver_macroeconómicos_Agricult!M$8))</f>
        <v>5.1425405633999395E-2</v>
      </c>
      <c r="Y66" s="192">
        <f>X66*(1+(0.29*Driver_macroeconómicos_Agricult!N$40+(1-0.29)*Driver_macroeconómicos_Agricult!N$8))</f>
        <v>5.2729280377556809E-2</v>
      </c>
      <c r="Z66" s="192">
        <f>Y66*(1+(0.29*Driver_macroeconómicos_Agricult!O$40+(1-0.29)*Driver_macroeconómicos_Agricult!O$8))</f>
        <v>5.3890323671429805E-2</v>
      </c>
      <c r="AA66" s="192">
        <f>Z66*(1+(0.29*Driver_macroeconómicos_Agricult!P$40+(1-0.29)*Driver_macroeconómicos_Agricult!P$8))</f>
        <v>5.5247900662800629E-2</v>
      </c>
      <c r="AB66" s="192">
        <f>AA66*(1+(0.29*Driver_macroeconómicos_Agricult!Q$40+(1-0.29)*Driver_macroeconómicos_Agricult!Q$8))</f>
        <v>5.456227771059214E-2</v>
      </c>
      <c r="AC66" s="192">
        <f>AB66*(1+(0.29*Driver_macroeconómicos_Agricult!R$40+(1-0.29)*Driver_macroeconómicos_Agricult!R$8))</f>
        <v>5.5577326723873076E-2</v>
      </c>
      <c r="AD66" s="192">
        <f>AC66*(1+(0.29*Driver_macroeconómicos_Agricult!S$40+(1-0.29)*Driver_macroeconómicos_Agricult!S$8))</f>
        <v>5.6804624009310613E-2</v>
      </c>
      <c r="AE66" s="192">
        <f>AD66*(1+(0.29*Driver_macroeconómicos_Agricult!T$40+(1-0.29)*Driver_macroeconómicos_Agricult!T$8))</f>
        <v>5.7700629924915613E-2</v>
      </c>
      <c r="AF66" s="192">
        <f>AE66*(1+(0.29*Driver_macroeconómicos_Agricult!U$40+(1-0.29)*Driver_macroeconómicos_Agricult!U$8))</f>
        <v>5.8557680207188149E-2</v>
      </c>
      <c r="AG66" s="192">
        <f>AF66*(1+(0.29*Driver_macroeconómicos_Agricult!V$40+(1-0.29)*Driver_macroeconómicos_Agricult!V$8))</f>
        <v>5.9385836348766798E-2</v>
      </c>
      <c r="AH66" s="192">
        <f>AG66*(1+(0.29*Driver_macroeconómicos_Agricult!W$40+(1-0.29)*Driver_macroeconómicos_Agricult!W$8))</f>
        <v>6.0101156125669394E-2</v>
      </c>
      <c r="AI66" s="192">
        <f>AH66*(1+(0.29*Driver_macroeconómicos_Agricult!X$40+(1-0.29)*Driver_macroeconómicos_Agricult!X$8))</f>
        <v>6.0725247160773758E-2</v>
      </c>
      <c r="AJ66" s="192">
        <f>AI66*(1+(0.29*Driver_macroeconómicos_Agricult!Y$40+(1-0.29)*Driver_macroeconómicos_Agricult!Y$8))</f>
        <v>6.1621179245055863E-2</v>
      </c>
      <c r="AK66" s="192">
        <f>AJ66*(1+(0.29*Driver_macroeconómicos_Agricult!Z$40+(1-0.29)*Driver_macroeconómicos_Agricult!Z$8))</f>
        <v>6.2451387274173605E-2</v>
      </c>
      <c r="AL66" s="192">
        <f>AK66*(1+(0.29*Driver_macroeconómicos_Agricult!AA$40+(1-0.29)*Driver_macroeconómicos_Agricult!AA$8))</f>
        <v>6.3236014491198159E-2</v>
      </c>
      <c r="AM66" s="192">
        <f>AL66*(1+(0.29*Driver_macroeconómicos_Agricult!AB$40+(1-0.29)*Driver_macroeconómicos_Agricult!AB$8))</f>
        <v>6.3994305035678004E-2</v>
      </c>
      <c r="AN66" s="192">
        <f>AM66*(1+(0.29*Driver_macroeconómicos_Agricult!AC$40+(1-0.29)*Driver_macroeconómicos_Agricult!AC$8))</f>
        <v>6.4650783934655773E-2</v>
      </c>
      <c r="AO66" s="192">
        <f>AN66*(1+(0.29*Driver_macroeconómicos_Agricult!AD$40+(1-0.29)*Driver_macroeconómicos_Agricult!AD$8))</f>
        <v>6.5383083929060795E-2</v>
      </c>
      <c r="AP66" s="192">
        <f>AO66*(1+(0.29*Driver_macroeconómicos_Agricult!AE$40+(1-0.29)*Driver_macroeconómicos_Agricult!AE$8))</f>
        <v>6.6056528880263379E-2</v>
      </c>
      <c r="AQ66" s="192">
        <f>AP66*(1+(0.29*Driver_macroeconómicos_Agricult!AF$40+(1-0.29)*Driver_macroeconómicos_Agricult!AF$8))</f>
        <v>6.683171438249276E-2</v>
      </c>
      <c r="AR66" s="192">
        <f>AQ66*(1+(0.29*Driver_macroeconómicos_Agricult!AG$40+(1-0.29)*Driver_macroeconómicos_Agricult!AG$8))</f>
        <v>6.7508541590303367E-2</v>
      </c>
      <c r="AS66" s="192">
        <f>AR66*(1+(0.29*Driver_macroeconómicos_Agricult!AH$40+(1-0.29)*Driver_macroeconómicos_Agricult!AH$8))</f>
        <v>6.8162473819504146E-2</v>
      </c>
      <c r="AT66" s="192">
        <f>AS66*(1+(0.29*Driver_macroeconómicos_Agricult!AI$40+(1-0.29)*Driver_macroeconómicos_Agricult!AI$8))</f>
        <v>6.8815816769195945E-2</v>
      </c>
      <c r="AU66" s="192">
        <f>AT66*(1+(0.29*Driver_macroeconómicos_Agricult!AJ$40+(1-0.29)*Driver_macroeconómicos_Agricult!AJ$8))</f>
        <v>6.9460204559917554E-2</v>
      </c>
      <c r="AV66" s="192">
        <f>AU66*(1+(0.29*Driver_macroeconómicos_Agricult!AK$40+(1-0.29)*Driver_macroeconómicos_Agricult!AK$8))</f>
        <v>7.0142643881785774E-2</v>
      </c>
      <c r="AW66" s="192">
        <f>AV66*(1+(0.29*Driver_macroeconómicos_Agricult!AL$40+(1-0.29)*Driver_macroeconómicos_Agricult!AL$8))</f>
        <v>7.0778547123719213E-2</v>
      </c>
      <c r="AX66" s="192">
        <f>AW66*(1+(0.29*Driver_macroeconómicos_Agricult!AM$40+(1-0.29)*Driver_macroeconómicos_Agricult!AM$8))</f>
        <v>7.1403519811541083E-2</v>
      </c>
      <c r="AY66" s="192">
        <f>AX66*(1+(0.29*Driver_macroeconómicos_Agricult!AN$40+(1-0.29)*Driver_macroeconómicos_Agricult!AN$8))</f>
        <v>7.2025152836685646E-2</v>
      </c>
      <c r="AZ66" s="192">
        <f>AY66*(1+(0.29*Driver_macroeconómicos_Agricult!AO$40+(1-0.29)*Driver_macroeconómicos_Agricult!AO$8))</f>
        <v>7.2636044732715052E-2</v>
      </c>
      <c r="BA66" s="192">
        <f>AZ66*(1+(0.29*Driver_macroeconómicos_Agricult!AP$40+(1-0.29)*Driver_macroeconómicos_Agricult!AP$8))</f>
        <v>7.3243706556988641E-2</v>
      </c>
      <c r="BB66" s="192">
        <f>BA66*(1+(0.29*Driver_macroeconómicos_Agricult!AQ$40+(1-0.29)*Driver_macroeconómicos_Agricult!AQ$8))</f>
        <v>7.3826161566684118E-2</v>
      </c>
      <c r="BC66" s="192">
        <f>BB66*(1+(0.29*Driver_macroeconómicos_Agricult!AR$40+(1-0.29)*Driver_macroeconómicos_Agricult!AR$8))</f>
        <v>7.4398680319756244E-2</v>
      </c>
      <c r="BD66" s="192">
        <f>BC66*(1+(0.29*Driver_macroeconómicos_Agricult!AS$40+(1-0.29)*Driver_macroeconómicos_Agricult!AS$8))</f>
        <v>7.4960647848393999E-2</v>
      </c>
      <c r="BE66" s="192">
        <f>BD66*(1+(0.29*Driver_macroeconómicos_Agricult!AT$40+(1-0.29)*Driver_macroeconómicos_Agricult!AT$8))</f>
        <v>7.5509838761098763E-2</v>
      </c>
      <c r="BF66" s="192">
        <f>BE66*(1+(0.29*Driver_macroeconómicos_Agricult!AU$40+(1-0.29)*Driver_macroeconómicos_Agricult!AU$8))</f>
        <v>7.6044284009816054E-2</v>
      </c>
      <c r="BG66" s="192">
        <f>BF66*(1+(0.29*Driver_macroeconómicos_Agricult!AV$40+(1-0.29)*Driver_macroeconómicos_Agricult!AV$8))</f>
        <v>7.6565005970405872E-2</v>
      </c>
      <c r="BH66" s="192">
        <f>BG66*(1+(0.29*Driver_macroeconómicos_Agricult!AW$40+(1-0.29)*Driver_macroeconómicos_Agricult!AW$8))</f>
        <v>7.7072300750954406E-2</v>
      </c>
      <c r="BI66" s="192">
        <f>BH66*(1+(0.29*Driver_macroeconómicos_Agricult!AX$40+(1-0.29)*Driver_macroeconómicos_Agricult!AX$8))</f>
        <v>7.7566020601009825E-2</v>
      </c>
      <c r="BJ66" s="192">
        <f>BI66*(1+(0.29*Driver_macroeconómicos_Agricult!AY$40+(1-0.29)*Driver_macroeconómicos_Agricult!AY$8))</f>
        <v>7.804492391148074E-2</v>
      </c>
      <c r="BK66" s="192">
        <f>BJ66*(1+(0.29*Driver_macroeconómicos_Agricult!AZ$40+(1-0.29)*Driver_macroeconómicos_Agricult!AZ$8))</f>
        <v>7.8508700933255723E-2</v>
      </c>
      <c r="BL66" s="192">
        <f>BK66*(1+(0.29*Driver_macroeconómicos_Agricult!BA$40+(1-0.29)*Driver_macroeconómicos_Agricult!BA$8))</f>
        <v>7.8956674264013205E-2</v>
      </c>
      <c r="BM66" s="192">
        <f>BL66*(1+(0.29*Driver_macroeconómicos_Agricult!BB$40+(1-0.29)*Driver_macroeconómicos_Agricult!BB$8))</f>
        <v>7.9389367351729773E-2</v>
      </c>
      <c r="BN66" s="192">
        <f>BM66*(1+(0.29*Driver_macroeconómicos_Agricult!BC$40+(1-0.29)*Driver_macroeconómicos_Agricult!BC$8))</f>
        <v>7.9806402122002323E-2</v>
      </c>
      <c r="BO66" s="192">
        <f>BN66*(1+(0.29*Driver_macroeconómicos_Agricult!BD$40+(1-0.29)*Driver_macroeconómicos_Agricult!BD$8))</f>
        <v>8.0207394603437593E-2</v>
      </c>
      <c r="BP66" s="182"/>
    </row>
    <row r="67" spans="1:96" ht="14.25" customHeight="1" x14ac:dyDescent="0.3">
      <c r="A67" s="982"/>
      <c r="D67" s="944"/>
      <c r="E67" s="183"/>
      <c r="F67" s="185" t="s">
        <v>386</v>
      </c>
      <c r="G67" s="190">
        <f t="shared" ref="G67:O67" si="100">G51/1000000</f>
        <v>3.4907000000000001E-2</v>
      </c>
      <c r="H67" s="190">
        <f t="shared" si="100"/>
        <v>3.5226E-2</v>
      </c>
      <c r="I67" s="190">
        <f t="shared" si="100"/>
        <v>2.9336000000000001E-2</v>
      </c>
      <c r="J67" s="190">
        <f t="shared" si="100"/>
        <v>3.4471000000000002E-2</v>
      </c>
      <c r="K67" s="190">
        <f t="shared" si="100"/>
        <v>2.1770000000000001E-2</v>
      </c>
      <c r="L67" s="190">
        <f t="shared" si="100"/>
        <v>2.0313000000000001E-2</v>
      </c>
      <c r="M67" s="190">
        <f t="shared" si="100"/>
        <v>2.3958E-2</v>
      </c>
      <c r="N67" s="190">
        <f t="shared" si="100"/>
        <v>1.6580999999999999E-2</v>
      </c>
      <c r="O67" s="190">
        <f t="shared" si="100"/>
        <v>1.4676E-2</v>
      </c>
      <c r="P67" s="190">
        <f t="shared" ref="P67:S67" si="101">P51/1000000</f>
        <v>1.4841999999999999E-2</v>
      </c>
      <c r="Q67" s="190">
        <f t="shared" si="101"/>
        <v>2.3120000000000002E-2</v>
      </c>
      <c r="R67" s="190">
        <f t="shared" si="101"/>
        <v>1.8134999999999998E-2</v>
      </c>
      <c r="S67" s="190">
        <f t="shared" si="101"/>
        <v>1.2868210280214884E-2</v>
      </c>
      <c r="T67" s="192">
        <f>S67*(1+(0.29*Driver_macroeconómicos_Agricult!I$40+(1-0.29)*Driver_macroeconómicos_Agricult!I$8))</f>
        <v>1.2804467290434315E-2</v>
      </c>
      <c r="U67" s="192">
        <f>T67*(1+(0.29*Driver_macroeconómicos_Agricult!J$40+(1-0.29)*Driver_macroeconómicos_Agricult!J$8))</f>
        <v>1.3584704615351556E-2</v>
      </c>
      <c r="V67" s="192">
        <f>U67*(1+(0.29*Driver_macroeconómicos_Agricult!K$40+(1-0.29)*Driver_macroeconómicos_Agricult!K$8))</f>
        <v>1.3608156912974701E-2</v>
      </c>
      <c r="W67" s="192">
        <f>V67*(1+(0.29*Driver_macroeconómicos_Agricult!L$40+(1-0.29)*Driver_macroeconómicos_Agricult!L$8))</f>
        <v>1.4424900561627329E-2</v>
      </c>
      <c r="X67" s="192">
        <f>W67*(1+(0.29*Driver_macroeconómicos_Agricult!M$40+(1-0.29)*Driver_macroeconómicos_Agricult!M$8))</f>
        <v>1.4783558066408527E-2</v>
      </c>
      <c r="Y67" s="192">
        <f>X67*(1+(0.29*Driver_macroeconómicos_Agricult!N$40+(1-0.29)*Driver_macroeconómicos_Agricult!N$8))</f>
        <v>1.5158390461895953E-2</v>
      </c>
      <c r="Z67" s="192">
        <f>Y67*(1+(0.29*Driver_macroeconómicos_Agricult!O$40+(1-0.29)*Driver_macroeconómicos_Agricult!O$8))</f>
        <v>1.5492162276448984E-2</v>
      </c>
      <c r="AA67" s="192">
        <f>Z67*(1+(0.29*Driver_macroeconómicos_Agricult!P$40+(1-0.29)*Driver_macroeconómicos_Agricult!P$8))</f>
        <v>1.5882432766960813E-2</v>
      </c>
      <c r="AB67" s="192">
        <f>AA67*(1+(0.29*Driver_macroeconómicos_Agricult!Q$40+(1-0.29)*Driver_macroeconómicos_Agricult!Q$8))</f>
        <v>1.5685332781055491E-2</v>
      </c>
      <c r="AC67" s="192">
        <f>AB67*(1+(0.29*Driver_macroeconómicos_Agricult!R$40+(1-0.29)*Driver_macroeconómicos_Agricult!R$8))</f>
        <v>1.5977134777424545E-2</v>
      </c>
      <c r="AD67" s="192">
        <f>AC67*(1+(0.29*Driver_macroeconómicos_Agricult!S$40+(1-0.29)*Driver_macroeconómicos_Agricult!S$8))</f>
        <v>1.6329953009197828E-2</v>
      </c>
      <c r="AE67" s="192">
        <f>AD67*(1+(0.29*Driver_macroeconómicos_Agricult!T$40+(1-0.29)*Driver_macroeconómicos_Agricult!T$8))</f>
        <v>1.6587532999435852E-2</v>
      </c>
      <c r="AF67" s="192">
        <f>AE67*(1+(0.29*Driver_macroeconómicos_Agricult!U$40+(1-0.29)*Driver_macroeconómicos_Agricult!U$8))</f>
        <v>1.683391418899775E-2</v>
      </c>
      <c r="AG67" s="192">
        <f>AF67*(1+(0.29*Driver_macroeconómicos_Agricult!V$40+(1-0.29)*Driver_macroeconómicos_Agricult!V$8))</f>
        <v>1.7071989013224053E-2</v>
      </c>
      <c r="AH67" s="192">
        <f>AG67*(1+(0.29*Driver_macroeconómicos_Agricult!W$40+(1-0.29)*Driver_macroeconómicos_Agricult!W$8))</f>
        <v>1.7277626116665751E-2</v>
      </c>
      <c r="AI67" s="192">
        <f>AH67*(1+(0.29*Driver_macroeconómicos_Agricult!X$40+(1-0.29)*Driver_macroeconómicos_Agricult!X$8))</f>
        <v>1.7457037167340875E-2</v>
      </c>
      <c r="AJ67" s="192">
        <f>AI67*(1+(0.29*Driver_macroeconómicos_Agricult!Y$40+(1-0.29)*Driver_macroeconómicos_Agricult!Y$8))</f>
        <v>1.7714595932862523E-2</v>
      </c>
      <c r="AK67" s="192">
        <f>AJ67*(1+(0.29*Driver_macroeconómicos_Agricult!Z$40+(1-0.29)*Driver_macroeconómicos_Agricult!Z$8))</f>
        <v>1.795326062503845E-2</v>
      </c>
      <c r="AL67" s="192">
        <f>AK67*(1+(0.29*Driver_macroeconómicos_Agricult!AA$40+(1-0.29)*Driver_macroeconómicos_Agricult!AA$8))</f>
        <v>1.8178821938174657E-2</v>
      </c>
      <c r="AM67" s="192">
        <f>AL67*(1+(0.29*Driver_macroeconómicos_Agricult!AB$40+(1-0.29)*Driver_macroeconómicos_Agricult!AB$8))</f>
        <v>1.8396812096099922E-2</v>
      </c>
      <c r="AN67" s="192">
        <f>AM67*(1+(0.29*Driver_macroeconómicos_Agricult!AC$40+(1-0.29)*Driver_macroeconómicos_Agricult!AC$8))</f>
        <v>1.858553387287077E-2</v>
      </c>
      <c r="AO67" s="192">
        <f>AN67*(1+(0.29*Driver_macroeconómicos_Agricult!AD$40+(1-0.29)*Driver_macroeconómicos_Agricult!AD$8))</f>
        <v>1.8796052377408532E-2</v>
      </c>
      <c r="AP67" s="192">
        <f>AO67*(1+(0.29*Driver_macroeconómicos_Agricult!AE$40+(1-0.29)*Driver_macroeconómicos_Agricult!AE$8))</f>
        <v>1.8989651483101357E-2</v>
      </c>
      <c r="AQ67" s="192">
        <f>AP67*(1+(0.29*Driver_macroeconómicos_Agricult!AF$40+(1-0.29)*Driver_macroeconómicos_Agricult!AF$8))</f>
        <v>1.9212498532009598E-2</v>
      </c>
      <c r="AR67" s="192">
        <f>AQ67*(1+(0.29*Driver_macroeconómicos_Agricult!AG$40+(1-0.29)*Driver_macroeconómicos_Agricult!AG$8))</f>
        <v>1.9407069954524112E-2</v>
      </c>
      <c r="AS67" s="192">
        <f>AR67*(1+(0.29*Driver_macroeconómicos_Agricult!AH$40+(1-0.29)*Driver_macroeconómicos_Agricult!AH$8))</f>
        <v>1.9595059625440663E-2</v>
      </c>
      <c r="AT67" s="192">
        <f>AS67*(1+(0.29*Driver_macroeconómicos_Agricult!AI$40+(1-0.29)*Driver_macroeconómicos_Agricult!AI$8))</f>
        <v>1.9782879892776804E-2</v>
      </c>
      <c r="AU67" s="192">
        <f>AT67*(1+(0.29*Driver_macroeconómicos_Agricult!AJ$40+(1-0.29)*Driver_macroeconómicos_Agricult!AJ$8))</f>
        <v>1.996812576889527E-2</v>
      </c>
      <c r="AV67" s="192">
        <f>AU67*(1+(0.29*Driver_macroeconómicos_Agricult!AK$40+(1-0.29)*Driver_macroeconómicos_Agricult!AK$8))</f>
        <v>2.0164310538218103E-2</v>
      </c>
      <c r="AW67" s="192">
        <f>AV67*(1+(0.29*Driver_macroeconómicos_Agricult!AL$40+(1-0.29)*Driver_macroeconómicos_Agricult!AL$8))</f>
        <v>2.0347117312143191E-2</v>
      </c>
      <c r="AX67" s="192">
        <f>AW67*(1+(0.29*Driver_macroeconómicos_Agricult!AM$40+(1-0.29)*Driver_macroeconómicos_Agricult!AM$8))</f>
        <v>2.0526781816611883E-2</v>
      </c>
      <c r="AY67" s="192">
        <f>AX67*(1+(0.29*Driver_macroeconómicos_Agricult!AN$40+(1-0.29)*Driver_macroeconómicos_Agricult!AN$8))</f>
        <v>2.0705486248981903E-2</v>
      </c>
      <c r="AZ67" s="192">
        <f>AY67*(1+(0.29*Driver_macroeconómicos_Agricult!AO$40+(1-0.29)*Driver_macroeconómicos_Agricult!AO$8))</f>
        <v>2.0881102866992171E-2</v>
      </c>
      <c r="BA67" s="192">
        <f>AZ67*(1+(0.29*Driver_macroeconómicos_Agricult!AP$40+(1-0.29)*Driver_macroeconómicos_Agricult!AP$8))</f>
        <v>2.1055790917638269E-2</v>
      </c>
      <c r="BB67" s="192">
        <f>BA67*(1+(0.29*Driver_macroeconómicos_Agricult!AQ$40+(1-0.29)*Driver_macroeconómicos_Agricult!AQ$8))</f>
        <v>2.1223232619862017E-2</v>
      </c>
      <c r="BC67" s="192">
        <f>BB67*(1+(0.29*Driver_macroeconómicos_Agricult!AR$40+(1-0.29)*Driver_macroeconómicos_Agricult!AR$8))</f>
        <v>2.1387817889065099E-2</v>
      </c>
      <c r="BD67" s="192">
        <f>BC67*(1+(0.29*Driver_macroeconómicos_Agricult!AS$40+(1-0.29)*Driver_macroeconómicos_Agricult!AS$8))</f>
        <v>2.154936993690271E-2</v>
      </c>
      <c r="BE67" s="192">
        <f>BD67*(1+(0.29*Driver_macroeconómicos_Agricult!AT$40+(1-0.29)*Driver_macroeconómicos_Agricult!AT$8))</f>
        <v>2.1707249017240911E-2</v>
      </c>
      <c r="BF67" s="192">
        <f>BE67*(1+(0.29*Driver_macroeconómicos_Agricult!AU$40+(1-0.29)*Driver_macroeconómicos_Agricult!AU$8))</f>
        <v>2.1860889076474679E-2</v>
      </c>
      <c r="BG67" s="192">
        <f>BF67*(1+(0.29*Driver_macroeconómicos_Agricult!AV$40+(1-0.29)*Driver_macroeconómicos_Agricult!AV$8))</f>
        <v>2.2010584022891282E-2</v>
      </c>
      <c r="BH67" s="192">
        <f>BG67*(1+(0.29*Driver_macroeconómicos_Agricult!AW$40+(1-0.29)*Driver_macroeconómicos_Agricult!AW$8))</f>
        <v>2.215641898039071E-2</v>
      </c>
      <c r="BI67" s="192">
        <f>BH67*(1+(0.29*Driver_macroeconómicos_Agricult!AX$40+(1-0.29)*Driver_macroeconómicos_Agricult!AX$8))</f>
        <v>2.2298351474298102E-2</v>
      </c>
      <c r="BJ67" s="192">
        <f>BI67*(1+(0.29*Driver_macroeconómicos_Agricult!AY$40+(1-0.29)*Driver_macroeconómicos_Agricult!AY$8))</f>
        <v>2.243602457208425E-2</v>
      </c>
      <c r="BK67" s="192">
        <f>BJ67*(1+(0.29*Driver_macroeconómicos_Agricult!AZ$40+(1-0.29)*Driver_macroeconómicos_Agricult!AZ$8))</f>
        <v>2.2569349228384938E-2</v>
      </c>
      <c r="BL67" s="192">
        <f>BK67*(1+(0.29*Driver_macroeconómicos_Agricult!BA$40+(1-0.29)*Driver_macroeconómicos_Agricult!BA$8))</f>
        <v>2.2698130706446381E-2</v>
      </c>
      <c r="BM67" s="192">
        <f>BL67*(1+(0.29*Driver_macroeconómicos_Agricult!BB$40+(1-0.29)*Driver_macroeconómicos_Agricult!BB$8))</f>
        <v>2.282251948487854E-2</v>
      </c>
      <c r="BN67" s="192">
        <f>BM67*(1+(0.29*Driver_macroeconómicos_Agricult!BC$40+(1-0.29)*Driver_macroeconómicos_Agricult!BC$8))</f>
        <v>2.2942406876451382E-2</v>
      </c>
      <c r="BO67" s="192">
        <f>BN67*(1+(0.29*Driver_macroeconómicos_Agricult!BD$40+(1-0.29)*Driver_macroeconómicos_Agricult!BD$8))</f>
        <v>2.305768249869309E-2</v>
      </c>
      <c r="BP67" s="182"/>
    </row>
    <row r="68" spans="1:96" ht="14.25" customHeight="1" x14ac:dyDescent="0.3">
      <c r="A68" s="982"/>
      <c r="D68" s="944"/>
      <c r="E68" s="183"/>
      <c r="F68" s="185" t="s">
        <v>387</v>
      </c>
      <c r="G68" s="190">
        <f t="shared" ref="G68:O68" si="102">G52/1000000</f>
        <v>6.1058000000000001E-2</v>
      </c>
      <c r="H68" s="190">
        <f t="shared" si="102"/>
        <v>6.1837000000000003E-2</v>
      </c>
      <c r="I68" s="190">
        <f t="shared" si="102"/>
        <v>4.9937000000000002E-2</v>
      </c>
      <c r="J68" s="190">
        <f t="shared" si="102"/>
        <v>6.5528000000000003E-2</v>
      </c>
      <c r="K68" s="190">
        <f t="shared" si="102"/>
        <v>5.1978000000000003E-2</v>
      </c>
      <c r="L68" s="190">
        <f t="shared" si="102"/>
        <v>4.7606999999999997E-2</v>
      </c>
      <c r="M68" s="190">
        <f t="shared" si="102"/>
        <v>4.768E-2</v>
      </c>
      <c r="N68" s="190">
        <f t="shared" si="102"/>
        <v>4.6607000000000003E-2</v>
      </c>
      <c r="O68" s="190">
        <f t="shared" si="102"/>
        <v>3.4855999999999998E-2</v>
      </c>
      <c r="P68" s="190">
        <f t="shared" ref="P68:S68" si="103">P52/1000000</f>
        <v>3.3276E-2</v>
      </c>
      <c r="Q68" s="190">
        <f t="shared" si="103"/>
        <v>3.9843999999999997E-2</v>
      </c>
      <c r="R68" s="190">
        <f t="shared" si="103"/>
        <v>3.6563999999999999E-2</v>
      </c>
      <c r="S68" s="190">
        <f t="shared" si="103"/>
        <v>3.5622878195690329E-2</v>
      </c>
      <c r="T68" s="192">
        <f>S68*(1+(0.29*Driver_macroeconómicos_Agricult!I$40+(1-0.29)*Driver_macroeconómicos_Agricult!I$8))</f>
        <v>3.5446419409943447E-2</v>
      </c>
      <c r="U68" s="192">
        <f>T68*(1+(0.29*Driver_macroeconómicos_Agricult!J$40+(1-0.29)*Driver_macroeconómicos_Agricult!J$8))</f>
        <v>3.7606338977934375E-2</v>
      </c>
      <c r="V68" s="192">
        <f>U68*(1+(0.29*Driver_macroeconómicos_Agricult!K$40+(1-0.29)*Driver_macroeconómicos_Agricult!K$8))</f>
        <v>3.7671261630226036E-2</v>
      </c>
      <c r="W68" s="192">
        <f>V68*(1+(0.29*Driver_macroeconómicos_Agricult!L$40+(1-0.29)*Driver_macroeconómicos_Agricult!L$8))</f>
        <v>3.9932241119952749E-2</v>
      </c>
      <c r="X68" s="192">
        <f>W68*(1+(0.29*Driver_macroeconómicos_Agricult!M$40+(1-0.29)*Driver_macroeconómicos_Agricult!M$8))</f>
        <v>4.0925107441575952E-2</v>
      </c>
      <c r="Y68" s="192">
        <f>X68*(1+(0.29*Driver_macroeconómicos_Agricult!N$40+(1-0.29)*Driver_macroeconómicos_Agricult!N$8))</f>
        <v>4.1962750476425739E-2</v>
      </c>
      <c r="Z68" s="192">
        <f>Y68*(1+(0.29*Driver_macroeconómicos_Agricult!O$40+(1-0.29)*Driver_macroeconómicos_Agricult!O$8))</f>
        <v>4.2886726105986143E-2</v>
      </c>
      <c r="AA68" s="192">
        <f>Z68*(1+(0.29*Driver_macroeconómicos_Agricult!P$40+(1-0.29)*Driver_macroeconómicos_Agricult!P$8))</f>
        <v>4.3967106193359341E-2</v>
      </c>
      <c r="AB68" s="192">
        <f>AA68*(1+(0.29*Driver_macroeconómicos_Agricult!Q$40+(1-0.29)*Driver_macroeconómicos_Agricult!Q$8))</f>
        <v>4.3421477186886479E-2</v>
      </c>
      <c r="AC68" s="192">
        <f>AB68*(1+(0.29*Driver_macroeconómicos_Agricult!R$40+(1-0.29)*Driver_macroeconómicos_Agricult!R$8))</f>
        <v>4.4229268382985937E-2</v>
      </c>
      <c r="AD68" s="192">
        <f>AC68*(1+(0.29*Driver_macroeconómicos_Agricult!S$40+(1-0.29)*Driver_macroeconómicos_Agricult!S$8))</f>
        <v>4.5205969930597618E-2</v>
      </c>
      <c r="AE68" s="192">
        <f>AD68*(1+(0.29*Driver_macroeconómicos_Agricult!T$40+(1-0.29)*Driver_macroeconómicos_Agricult!T$8))</f>
        <v>4.5919024847955021E-2</v>
      </c>
      <c r="AF68" s="192">
        <f>AE68*(1+(0.29*Driver_macroeconómicos_Agricult!U$40+(1-0.29)*Driver_macroeconómicos_Agricult!U$8))</f>
        <v>4.6601078289292337E-2</v>
      </c>
      <c r="AG68" s="192">
        <f>AF68*(1+(0.29*Driver_macroeconómicos_Agricult!V$40+(1-0.29)*Driver_macroeconómicos_Agricult!V$8))</f>
        <v>4.7260137341032696E-2</v>
      </c>
      <c r="AH68" s="192">
        <f>AG68*(1+(0.29*Driver_macroeconómicos_Agricult!W$40+(1-0.29)*Driver_macroeconómicos_Agricult!W$8))</f>
        <v>4.7829399525042934E-2</v>
      </c>
      <c r="AI68" s="192">
        <f>AH68*(1+(0.29*Driver_macroeconómicos_Agricult!X$40+(1-0.29)*Driver_macroeconómicos_Agricult!X$8))</f>
        <v>4.8326060510991177E-2</v>
      </c>
      <c r="AJ68" s="192">
        <f>AI68*(1+(0.29*Driver_macroeconómicos_Agricult!Y$40+(1-0.29)*Driver_macroeconómicos_Agricult!Y$8))</f>
        <v>4.903905667227685E-2</v>
      </c>
      <c r="AK68" s="192">
        <f>AJ68*(1+(0.29*Driver_macroeconómicos_Agricult!Z$40+(1-0.29)*Driver_macroeconómicos_Agricult!Z$8))</f>
        <v>4.9699748646829585E-2</v>
      </c>
      <c r="AL68" s="192">
        <f>AK68*(1+(0.29*Driver_macroeconómicos_Agricult!AA$40+(1-0.29)*Driver_macroeconómicos_Agricult!AA$8))</f>
        <v>5.0324166728951333E-2</v>
      </c>
      <c r="AM68" s="192">
        <f>AL68*(1+(0.29*Driver_macroeconómicos_Agricult!AB$40+(1-0.29)*Driver_macroeconómicos_Agricult!AB$8))</f>
        <v>5.0927625692904578E-2</v>
      </c>
      <c r="AN68" s="192">
        <f>AM68*(1+(0.29*Driver_macroeconómicos_Agricult!AC$40+(1-0.29)*Driver_macroeconómicos_Agricult!AC$8))</f>
        <v>5.1450061425643463E-2</v>
      </c>
      <c r="AO68" s="192">
        <f>AN68*(1+(0.29*Driver_macroeconómicos_Agricult!AD$40+(1-0.29)*Driver_macroeconómicos_Agricult!AD$8))</f>
        <v>5.2032836720869856E-2</v>
      </c>
      <c r="AP68" s="192">
        <f>AO68*(1+(0.29*Driver_macroeconómicos_Agricult!AE$40+(1-0.29)*Driver_macroeconómicos_Agricult!AE$8))</f>
        <v>5.2568774291884973E-2</v>
      </c>
      <c r="AQ68" s="192">
        <f>AP68*(1+(0.29*Driver_macroeconómicos_Agricult!AF$40+(1-0.29)*Driver_macroeconómicos_Agricult!AF$8))</f>
        <v>5.3185678516067016E-2</v>
      </c>
      <c r="AR68" s="192">
        <f>AQ68*(1+(0.29*Driver_macroeconómicos_Agricult!AG$40+(1-0.29)*Driver_macroeconómicos_Agricult!AG$8))</f>
        <v>5.3724307737510003E-2</v>
      </c>
      <c r="AS68" s="192">
        <f>AR68*(1+(0.29*Driver_macroeconómicos_Agricult!AH$40+(1-0.29)*Driver_macroeconómicos_Agricult!AH$8))</f>
        <v>5.4244716792326626E-2</v>
      </c>
      <c r="AT68" s="192">
        <f>AS68*(1+(0.29*Driver_macroeconómicos_Agricult!AI$40+(1-0.29)*Driver_macroeconómicos_Agricult!AI$8))</f>
        <v>5.4764656889690781E-2</v>
      </c>
      <c r="AU68" s="192">
        <f>AT68*(1+(0.29*Driver_macroeconómicos_Agricult!AJ$40+(1-0.29)*Driver_macroeconómicos_Agricult!AJ$8))</f>
        <v>5.5277470337522616E-2</v>
      </c>
      <c r="AV68" s="192">
        <f>AU68*(1+(0.29*Driver_macroeconómicos_Agricult!AK$40+(1-0.29)*Driver_macroeconómicos_Agricult!AK$8))</f>
        <v>5.5820565763324149E-2</v>
      </c>
      <c r="AW68" s="192">
        <f>AV68*(1+(0.29*Driver_macroeconómicos_Agricult!AL$40+(1-0.29)*Driver_macroeconómicos_Agricult!AL$8))</f>
        <v>5.63266270802497E-2</v>
      </c>
      <c r="AX68" s="192">
        <f>AW68*(1+(0.29*Driver_macroeconómicos_Agricult!AM$40+(1-0.29)*Driver_macroeconómicos_Agricult!AM$8))</f>
        <v>5.6823989698625441E-2</v>
      </c>
      <c r="AY68" s="192">
        <f>AX68*(1+(0.29*Driver_macroeconómicos_Agricult!AN$40+(1-0.29)*Driver_macroeconómicos_Agricult!AN$8))</f>
        <v>5.7318694563460844E-2</v>
      </c>
      <c r="AZ68" s="192">
        <f>AY68*(1+(0.29*Driver_macroeconómicos_Agricult!AO$40+(1-0.29)*Driver_macroeconómicos_Agricult!AO$8))</f>
        <v>5.7804851476993532E-2</v>
      </c>
      <c r="BA68" s="192">
        <f>AZ68*(1+(0.29*Driver_macroeconómicos_Agricult!AP$40+(1-0.29)*Driver_macroeconómicos_Agricult!AP$8))</f>
        <v>5.8288437851081336E-2</v>
      </c>
      <c r="BB68" s="192">
        <f>BA68*(1+(0.29*Driver_macroeconómicos_Agricult!AQ$40+(1-0.29)*Driver_macroeconómicos_Agricult!AQ$8))</f>
        <v>5.8751964264880038E-2</v>
      </c>
      <c r="BC68" s="192">
        <f>BB68*(1+(0.29*Driver_macroeconómicos_Agricult!AR$40+(1-0.29)*Driver_macroeconómicos_Agricult!AR$8))</f>
        <v>5.9207583256950816E-2</v>
      </c>
      <c r="BD68" s="192">
        <f>BC68*(1+(0.29*Driver_macroeconómicos_Agricult!AS$40+(1-0.29)*Driver_macroeconómicos_Agricult!AS$8))</f>
        <v>5.9654805426705988E-2</v>
      </c>
      <c r="BE68" s="192">
        <f>BD68*(1+(0.29*Driver_macroeconómicos_Agricult!AT$40+(1-0.29)*Driver_macroeconómicos_Agricult!AT$8))</f>
        <v>6.0091859774285508E-2</v>
      </c>
      <c r="BF68" s="192">
        <f>BE68*(1+(0.29*Driver_macroeconómicos_Agricult!AU$40+(1-0.29)*Driver_macroeconómicos_Agricult!AU$8))</f>
        <v>6.0517179301778634E-2</v>
      </c>
      <c r="BG68" s="192">
        <f>BF68*(1+(0.29*Driver_macroeconómicos_Agricult!AV$40+(1-0.29)*Driver_macroeconómicos_Agricult!AV$8))</f>
        <v>6.0931577631195742E-2</v>
      </c>
      <c r="BH68" s="192">
        <f>BG68*(1+(0.29*Driver_macroeconómicos_Agricult!AW$40+(1-0.29)*Driver_macroeconómicos_Agricult!AW$8))</f>
        <v>6.1335290409783402E-2</v>
      </c>
      <c r="BI68" s="192">
        <f>BH68*(1+(0.29*Driver_macroeconómicos_Agricult!AX$40+(1-0.29)*Driver_macroeconómicos_Agricult!AX$8))</f>
        <v>6.17282000555208E-2</v>
      </c>
      <c r="BJ68" s="192">
        <f>BI68*(1+(0.29*Driver_macroeconómicos_Agricult!AY$40+(1-0.29)*Driver_macroeconómicos_Agricult!AY$8))</f>
        <v>6.2109318477310958E-2</v>
      </c>
      <c r="BK68" s="192">
        <f>BJ68*(1+(0.29*Driver_macroeconómicos_Agricult!AZ$40+(1-0.29)*Driver_macroeconómicos_Agricult!AZ$8))</f>
        <v>6.2478399172175264E-2</v>
      </c>
      <c r="BL68" s="192">
        <f>BK68*(1+(0.29*Driver_macroeconómicos_Agricult!BA$40+(1-0.29)*Driver_macroeconómicos_Agricult!BA$8))</f>
        <v>6.283490305320813E-2</v>
      </c>
      <c r="BM68" s="192">
        <f>BL68*(1+(0.29*Driver_macroeconómicos_Agricult!BB$40+(1-0.29)*Driver_macroeconómicos_Agricult!BB$8))</f>
        <v>6.3179246688143315E-2</v>
      </c>
      <c r="BN68" s="192">
        <f>BM68*(1+(0.29*Driver_macroeconómicos_Agricult!BC$40+(1-0.29)*Driver_macroeconómicos_Agricult!BC$8))</f>
        <v>6.3511129199712524E-2</v>
      </c>
      <c r="BO68" s="192">
        <f>BN68*(1+(0.29*Driver_macroeconómicos_Agricult!BD$40+(1-0.29)*Driver_macroeconómicos_Agricult!BD$8))</f>
        <v>6.3830245017734433E-2</v>
      </c>
      <c r="BP68" s="182"/>
    </row>
    <row r="69" spans="1:96" ht="14.25" customHeight="1" x14ac:dyDescent="0.3">
      <c r="A69" s="982"/>
      <c r="D69" s="944"/>
      <c r="E69" s="183"/>
      <c r="F69" s="185" t="s">
        <v>388</v>
      </c>
      <c r="G69" s="190">
        <f t="shared" ref="G69:O69" si="104">G53/1000000</f>
        <v>0.15514800000000001</v>
      </c>
      <c r="H69" s="190">
        <f t="shared" si="104"/>
        <v>0.150426</v>
      </c>
      <c r="I69" s="190">
        <f t="shared" si="104"/>
        <v>0.119044</v>
      </c>
      <c r="J69" s="190">
        <f t="shared" si="104"/>
        <v>0.14585300000000001</v>
      </c>
      <c r="K69" s="190">
        <f t="shared" si="104"/>
        <v>0.15920799999999999</v>
      </c>
      <c r="L69" s="190">
        <f t="shared" si="104"/>
        <v>0.16367200000000001</v>
      </c>
      <c r="M69" s="190">
        <f t="shared" si="104"/>
        <v>0.16233700000000001</v>
      </c>
      <c r="N69" s="190">
        <f t="shared" si="104"/>
        <v>0.16895299999999999</v>
      </c>
      <c r="O69" s="190">
        <f t="shared" si="104"/>
        <v>0.16888900000000001</v>
      </c>
      <c r="P69" s="190">
        <f t="shared" ref="P69:S69" si="105">P53/1000000</f>
        <v>0.200348</v>
      </c>
      <c r="Q69" s="190">
        <f t="shared" si="105"/>
        <v>0.19196933089279877</v>
      </c>
      <c r="R69" s="190">
        <f t="shared" si="105"/>
        <v>0.18218500000000001</v>
      </c>
      <c r="S69" s="190">
        <f t="shared" si="105"/>
        <v>0.14599829698417491</v>
      </c>
      <c r="T69" s="192">
        <f>S69*(1+(0.29*Driver_macroeconómicos_Agricult!I$40+(1-0.29)*Driver_macroeconómicos_Agricult!I$8))</f>
        <v>0.14527509090112301</v>
      </c>
      <c r="U69" s="192">
        <f>T69*(1+(0.29*Driver_macroeconómicos_Agricult!J$40+(1-0.29)*Driver_macroeconómicos_Agricult!J$8))</f>
        <v>0.15412739578275439</v>
      </c>
      <c r="V69" s="192">
        <f>U69*(1+(0.29*Driver_macroeconómicos_Agricult!K$40+(1-0.29)*Driver_macroeconómicos_Agricult!K$8))</f>
        <v>0.15439347750187343</v>
      </c>
      <c r="W69" s="192">
        <f>V69*(1+(0.29*Driver_macroeconómicos_Agricult!L$40+(1-0.29)*Driver_macroeconómicos_Agricult!L$8))</f>
        <v>0.16365997060225926</v>
      </c>
      <c r="X69" s="192">
        <f>W69*(1+(0.29*Driver_macroeconómicos_Agricult!M$40+(1-0.29)*Driver_macroeconómicos_Agricult!M$8))</f>
        <v>0.1677291755467229</v>
      </c>
      <c r="Y69" s="192">
        <f>X69*(1+(0.29*Driver_macroeconómicos_Agricult!N$40+(1-0.29)*Driver_macroeconómicos_Agricult!N$8))</f>
        <v>0.17198189524930682</v>
      </c>
      <c r="Z69" s="192">
        <f>Y69*(1+(0.29*Driver_macroeconómicos_Agricult!O$40+(1-0.29)*Driver_macroeconómicos_Agricult!O$8))</f>
        <v>0.17576875569414924</v>
      </c>
      <c r="AA69" s="192">
        <f>Z69*(1+(0.29*Driver_macroeconómicos_Agricult!P$40+(1-0.29)*Driver_macroeconómicos_Agricult!P$8))</f>
        <v>0.18019663072394354</v>
      </c>
      <c r="AB69" s="192">
        <f>AA69*(1+(0.29*Driver_macroeconómicos_Agricult!Q$40+(1-0.29)*Driver_macroeconómicos_Agricult!Q$8))</f>
        <v>0.17796040193601134</v>
      </c>
      <c r="AC69" s="192">
        <f>AB69*(1+(0.29*Driver_macroeconómicos_Agricult!R$40+(1-0.29)*Driver_macroeconómicos_Agricult!R$8))</f>
        <v>0.18127108722936303</v>
      </c>
      <c r="AD69" s="192">
        <f>AC69*(1+(0.29*Driver_macroeconómicos_Agricult!S$40+(1-0.29)*Driver_macroeconómicos_Agricult!S$8))</f>
        <v>0.18527404178653761</v>
      </c>
      <c r="AE69" s="192">
        <f>AD69*(1+(0.29*Driver_macroeconómicos_Agricult!T$40+(1-0.29)*Driver_macroeconómicos_Agricult!T$8))</f>
        <v>0.18819645594460996</v>
      </c>
      <c r="AF69" s="192">
        <f>AE69*(1+(0.29*Driver_macroeconómicos_Agricult!U$40+(1-0.29)*Driver_macroeconómicos_Agricult!U$8))</f>
        <v>0.19099181235406176</v>
      </c>
      <c r="AG69" s="192">
        <f>AF69*(1+(0.29*Driver_macroeconómicos_Agricult!V$40+(1-0.29)*Driver_macroeconómicos_Agricult!V$8))</f>
        <v>0.19369292759347378</v>
      </c>
      <c r="AH69" s="192">
        <f>AG69*(1+(0.29*Driver_macroeconómicos_Agricult!W$40+(1-0.29)*Driver_macroeconómicos_Agricult!W$8))</f>
        <v>0.19602601558671295</v>
      </c>
      <c r="AI69" s="192">
        <f>AH69*(1+(0.29*Driver_macroeconómicos_Agricult!X$40+(1-0.29)*Driver_macroeconómicos_Agricult!X$8))</f>
        <v>0.19806155178703314</v>
      </c>
      <c r="AJ69" s="192">
        <f>AI69*(1+(0.29*Driver_macroeconómicos_Agricult!Y$40+(1-0.29)*Driver_macroeconómicos_Agricult!Y$8))</f>
        <v>0.20098372513675858</v>
      </c>
      <c r="AK69" s="192">
        <f>AJ69*(1+(0.29*Driver_macroeconómicos_Agricult!Z$40+(1-0.29)*Driver_macroeconómicos_Agricult!Z$8))</f>
        <v>0.20369153281546212</v>
      </c>
      <c r="AL69" s="192">
        <f>AK69*(1+(0.29*Driver_macroeconómicos_Agricult!AA$40+(1-0.29)*Driver_macroeconómicos_Agricult!AA$8))</f>
        <v>0.20625067405315495</v>
      </c>
      <c r="AM69" s="192">
        <f>AL69*(1+(0.29*Driver_macroeconómicos_Agricult!AB$40+(1-0.29)*Driver_macroeconómicos_Agricult!AB$8))</f>
        <v>0.20872391556253045</v>
      </c>
      <c r="AN69" s="192">
        <f>AM69*(1+(0.29*Driver_macroeconómicos_Agricult!AC$40+(1-0.29)*Driver_macroeconómicos_Agricult!AC$8))</f>
        <v>0.21086508806534032</v>
      </c>
      <c r="AO69" s="192">
        <f>AN69*(1+(0.29*Driver_macroeconómicos_Agricult!AD$40+(1-0.29)*Driver_macroeconómicos_Agricult!AD$8))</f>
        <v>0.21325355875993446</v>
      </c>
      <c r="AP69" s="192">
        <f>AO69*(1+(0.29*Driver_macroeconómicos_Agricult!AE$40+(1-0.29)*Driver_macroeconómicos_Agricult!AE$8))</f>
        <v>0.21545006776260986</v>
      </c>
      <c r="AQ69" s="192">
        <f>AP69*(1+(0.29*Driver_macroeconómicos_Agricult!AF$40+(1-0.29)*Driver_macroeconómicos_Agricult!AF$8))</f>
        <v>0.21797841389001005</v>
      </c>
      <c r="AR69" s="192">
        <f>AQ69*(1+(0.29*Driver_macroeconómicos_Agricult!AG$40+(1-0.29)*Driver_macroeconómicos_Agricult!AG$8))</f>
        <v>0.22018595446560851</v>
      </c>
      <c r="AS69" s="192">
        <f>AR69*(1+(0.29*Driver_macroeconómicos_Agricult!AH$40+(1-0.29)*Driver_macroeconómicos_Agricult!AH$8))</f>
        <v>0.22231882074668188</v>
      </c>
      <c r="AT69" s="192">
        <f>AS69*(1+(0.29*Driver_macroeconómicos_Agricult!AI$40+(1-0.29)*Driver_macroeconómicos_Agricult!AI$8))</f>
        <v>0.22444976503287761</v>
      </c>
      <c r="AU69" s="192">
        <f>AT69*(1+(0.29*Driver_macroeconómicos_Agricult!AJ$40+(1-0.29)*Driver_macroeconómicos_Agricult!AJ$8))</f>
        <v>0.22655150115994577</v>
      </c>
      <c r="AV69" s="192">
        <f>AU69*(1+(0.29*Driver_macroeconómicos_Agricult!AK$40+(1-0.29)*Driver_macroeconómicos_Agricult!AK$8))</f>
        <v>0.22877734621466994</v>
      </c>
      <c r="AW69" s="192">
        <f>AV69*(1+(0.29*Driver_macroeconómicos_Agricult!AL$40+(1-0.29)*Driver_macroeconómicos_Agricult!AL$8))</f>
        <v>0.23085140912544388</v>
      </c>
      <c r="AX69" s="192">
        <f>AW69*(1+(0.29*Driver_macroeconómicos_Agricult!AM$40+(1-0.29)*Driver_macroeconómicos_Agricult!AM$8))</f>
        <v>0.23288982092551097</v>
      </c>
      <c r="AY69" s="192">
        <f>AX69*(1+(0.29*Driver_macroeconómicos_Agricult!AN$40+(1-0.29)*Driver_macroeconómicos_Agricult!AN$8))</f>
        <v>0.23491734007707951</v>
      </c>
      <c r="AZ69" s="192">
        <f>AY69*(1+(0.29*Driver_macroeconómicos_Agricult!AO$40+(1-0.29)*Driver_macroeconómicos_Agricult!AO$8))</f>
        <v>0.23690982594677665</v>
      </c>
      <c r="BA69" s="192">
        <f>AZ69*(1+(0.29*Driver_macroeconómicos_Agricult!AP$40+(1-0.29)*Driver_macroeconómicos_Agricult!AP$8))</f>
        <v>0.23889177660987926</v>
      </c>
      <c r="BB69" s="192">
        <f>BA69*(1+(0.29*Driver_macroeconómicos_Agricult!AQ$40+(1-0.29)*Driver_macroeconómicos_Agricult!AQ$8))</f>
        <v>0.24079151269100196</v>
      </c>
      <c r="BC69" s="192">
        <f>BB69*(1+(0.29*Driver_macroeconómicos_Agricult!AR$40+(1-0.29)*Driver_macroeconómicos_Agricult!AR$8))</f>
        <v>0.24265884066350776</v>
      </c>
      <c r="BD69" s="192">
        <f>BC69*(1+(0.29*Driver_macroeconómicos_Agricult!AS$40+(1-0.29)*Driver_macroeconómicos_Agricult!AS$8))</f>
        <v>0.24449175474751689</v>
      </c>
      <c r="BE69" s="192">
        <f>BD69*(1+(0.29*Driver_macroeconómicos_Agricult!AT$40+(1-0.29)*Driver_macroeconómicos_Agricult!AT$8))</f>
        <v>0.24628299660297873</v>
      </c>
      <c r="BF69" s="192">
        <f>BE69*(1+(0.29*Driver_macroeconómicos_Agricult!AU$40+(1-0.29)*Driver_macroeconómicos_Agricult!AU$8))</f>
        <v>0.2480261439799816</v>
      </c>
      <c r="BG69" s="192">
        <f>BF69*(1+(0.29*Driver_macroeconómicos_Agricult!AV$40+(1-0.29)*Driver_macroeconómicos_Agricult!AV$8))</f>
        <v>0.24972453146107246</v>
      </c>
      <c r="BH69" s="192">
        <f>BG69*(1+(0.29*Driver_macroeconómicos_Agricult!AW$40+(1-0.29)*Driver_macroeconómicos_Agricult!AW$8))</f>
        <v>0.25137912483280284</v>
      </c>
      <c r="BI69" s="192">
        <f>BH69*(1+(0.29*Driver_macroeconómicos_Agricult!AX$40+(1-0.29)*Driver_macroeconómicos_Agricult!AX$8))</f>
        <v>0.25298944219209063</v>
      </c>
      <c r="BJ69" s="192">
        <f>BI69*(1+(0.29*Driver_macroeconómicos_Agricult!AY$40+(1-0.29)*Driver_macroeconómicos_Agricult!AY$8))</f>
        <v>0.25455143390497226</v>
      </c>
      <c r="BK69" s="192">
        <f>BJ69*(1+(0.29*Driver_macroeconómicos_Agricult!AZ$40+(1-0.29)*Driver_macroeconómicos_Agricult!AZ$8))</f>
        <v>0.25606408969330896</v>
      </c>
      <c r="BL69" s="192">
        <f>BK69*(1+(0.29*Driver_macroeconómicos_Agricult!BA$40+(1-0.29)*Driver_macroeconómicos_Agricult!BA$8))</f>
        <v>0.25752520014073332</v>
      </c>
      <c r="BM69" s="192">
        <f>BL69*(1+(0.29*Driver_macroeconómicos_Agricult!BB$40+(1-0.29)*Driver_macroeconómicos_Agricult!BB$8))</f>
        <v>0.25893647252590407</v>
      </c>
      <c r="BN69" s="192">
        <f>BM69*(1+(0.29*Driver_macroeconómicos_Agricult!BC$40+(1-0.29)*Driver_macroeconómicos_Agricult!BC$8))</f>
        <v>0.26029667372081478</v>
      </c>
      <c r="BO69" s="192">
        <f>BN69*(1+(0.29*Driver_macroeconómicos_Agricult!BD$40+(1-0.29)*Driver_macroeconómicos_Agricult!BD$8))</f>
        <v>0.26160455136382754</v>
      </c>
      <c r="BP69" s="182"/>
    </row>
    <row r="70" spans="1:96" ht="13.5" customHeight="1" x14ac:dyDescent="0.3">
      <c r="A70" s="982"/>
      <c r="D70" s="944"/>
      <c r="E70" s="183"/>
      <c r="F70" s="185" t="s">
        <v>389</v>
      </c>
      <c r="G70" s="190">
        <f t="shared" ref="G70:O71" si="106">G54/1000000</f>
        <v>2.6640000000000001E-3</v>
      </c>
      <c r="H70" s="190">
        <f t="shared" si="106"/>
        <v>1.583E-3</v>
      </c>
      <c r="I70" s="190">
        <f t="shared" si="106"/>
        <v>3.0769999999999999E-3</v>
      </c>
      <c r="J70" s="190">
        <f t="shared" si="106"/>
        <v>1.325E-3</v>
      </c>
      <c r="K70" s="190">
        <f t="shared" si="106"/>
        <v>9.6699999999999998E-3</v>
      </c>
      <c r="L70" s="190">
        <f t="shared" si="106"/>
        <v>9.9514822792642933E-3</v>
      </c>
      <c r="M70" s="190">
        <f t="shared" si="106"/>
        <v>1.5220368090758319E-2</v>
      </c>
      <c r="N70" s="190">
        <f t="shared" si="106"/>
        <v>2.1834731254671294E-2</v>
      </c>
      <c r="O70" s="190">
        <f t="shared" si="106"/>
        <v>2.2317990831375797E-2</v>
      </c>
      <c r="P70" s="190">
        <f t="shared" ref="P70:S70" si="107">P54/1000000</f>
        <v>1.8864470450328172E-2</v>
      </c>
      <c r="Q70" s="190">
        <f t="shared" si="107"/>
        <v>1.6995821880195612E-2</v>
      </c>
      <c r="R70" s="190">
        <f t="shared" si="107"/>
        <v>1.3486945735989684E-2</v>
      </c>
      <c r="S70" s="190">
        <f t="shared" si="107"/>
        <v>1.5333459965277645E-2</v>
      </c>
      <c r="T70" s="192">
        <f>S70*(1+(0.29*Driver_macroeconómicos_Agricult!I$40+(1-0.29)*Driver_macroeconómicos_Agricult!I$8))</f>
        <v>1.5257505301763154E-2</v>
      </c>
      <c r="U70" s="192">
        <f>T70*(1+(0.29*Driver_macroeconómicos_Agricult!J$40+(1-0.29)*Driver_macroeconómicos_Agricult!J$8))</f>
        <v>1.6187217944354043E-2</v>
      </c>
      <c r="V70" s="192">
        <f>U70*(1+(0.29*Driver_macroeconómicos_Agricult!K$40+(1-0.29)*Driver_macroeconómicos_Agricult!K$8))</f>
        <v>1.6215163156537215E-2</v>
      </c>
      <c r="W70" s="192">
        <f>V70*(1+(0.29*Driver_macroeconómicos_Agricult!L$40+(1-0.29)*Driver_macroeconómicos_Agricult!L$8))</f>
        <v>1.7188375885098622E-2</v>
      </c>
      <c r="X70" s="192">
        <f>W70*(1+(0.29*Driver_macroeconómicos_Agricult!M$40+(1-0.29)*Driver_macroeconómicos_Agricult!M$8))</f>
        <v>1.7615743822912353E-2</v>
      </c>
      <c r="Y70" s="192">
        <f>X70*(1+(0.29*Driver_macroeconómicos_Agricult!N$40+(1-0.29)*Driver_macroeconómicos_Agricult!N$8))</f>
        <v>1.8062385384150469E-2</v>
      </c>
      <c r="Z70" s="192">
        <f>Y70*(1+(0.29*Driver_macroeconómicos_Agricult!O$40+(1-0.29)*Driver_macroeconómicos_Agricult!O$8))</f>
        <v>1.8460100112503628E-2</v>
      </c>
      <c r="AA70" s="192">
        <f>Z70*(1+(0.29*Driver_macroeconómicos_Agricult!P$40+(1-0.29)*Driver_macroeconómicos_Agricult!P$8))</f>
        <v>1.8925137348574695E-2</v>
      </c>
      <c r="AB70" s="192">
        <f>AA70*(1+(0.29*Driver_macroeconómicos_Agricult!Q$40+(1-0.29)*Driver_macroeconómicos_Agricult!Q$8))</f>
        <v>1.8690277591294945E-2</v>
      </c>
      <c r="AC70" s="192">
        <f>AB70*(1+(0.29*Driver_macroeconómicos_Agricult!R$40+(1-0.29)*Driver_macroeconómicos_Agricult!R$8))</f>
        <v>1.9037982060811764E-2</v>
      </c>
      <c r="AD70" s="192">
        <f>AC70*(1+(0.29*Driver_macroeconómicos_Agricult!S$40+(1-0.29)*Driver_macroeconómicos_Agricult!S$8))</f>
        <v>1.9458392056771617E-2</v>
      </c>
      <c r="AE70" s="192">
        <f>AD70*(1+(0.29*Driver_macroeconómicos_Agricult!T$40+(1-0.29)*Driver_macroeconómicos_Agricult!T$8))</f>
        <v>1.976531838002606E-2</v>
      </c>
      <c r="AF70" s="192">
        <f>AE70*(1+(0.29*Driver_macroeconómicos_Agricult!U$40+(1-0.29)*Driver_macroeconómicos_Agricult!U$8))</f>
        <v>2.0058900472957306E-2</v>
      </c>
      <c r="AG70" s="192">
        <f>AF70*(1+(0.29*Driver_macroeconómicos_Agricult!V$40+(1-0.29)*Driver_macroeconómicos_Agricult!V$8))</f>
        <v>2.0342584894218845E-2</v>
      </c>
      <c r="AH70" s="192">
        <f>AG70*(1+(0.29*Driver_macroeconómicos_Agricult!W$40+(1-0.29)*Driver_macroeconómicos_Agricult!W$8))</f>
        <v>2.0587617282121839E-2</v>
      </c>
      <c r="AI70" s="192">
        <f>AH70*(1+(0.29*Driver_macroeconómicos_Agricult!X$40+(1-0.29)*Driver_macroeconómicos_Agricult!X$8))</f>
        <v>2.0801399315749709E-2</v>
      </c>
      <c r="AJ70" s="192">
        <f>AI70*(1+(0.29*Driver_macroeconómicos_Agricult!Y$40+(1-0.29)*Driver_macroeconómicos_Agricult!Y$8))</f>
        <v>2.1108300348125952E-2</v>
      </c>
      <c r="AK70" s="192">
        <f>AJ70*(1+(0.29*Driver_macroeconómicos_Agricult!Z$40+(1-0.29)*Driver_macroeconómicos_Agricult!Z$8))</f>
        <v>2.1392687642311805E-2</v>
      </c>
      <c r="AL70" s="192">
        <f>AK70*(1+(0.29*Driver_macroeconómicos_Agricult!AA$40+(1-0.29)*Driver_macroeconómicos_Agricult!AA$8))</f>
        <v>2.1661461254910225E-2</v>
      </c>
      <c r="AM70" s="192">
        <f>AL70*(1+(0.29*Driver_macroeconómicos_Agricult!AB$40+(1-0.29)*Driver_macroeconómicos_Agricult!AB$8))</f>
        <v>2.1921213255117342E-2</v>
      </c>
      <c r="AN70" s="192">
        <f>AM70*(1+(0.29*Driver_macroeconómicos_Agricult!AC$40+(1-0.29)*Driver_macroeconómicos_Agricult!AC$8))</f>
        <v>2.2146089733328229E-2</v>
      </c>
      <c r="AO70" s="192">
        <f>AN70*(1+(0.29*Driver_macroeconómicos_Agricult!AD$40+(1-0.29)*Driver_macroeconómicos_Agricult!AD$8))</f>
        <v>2.2396938685201741E-2</v>
      </c>
      <c r="AP70" s="192">
        <f>AO70*(1+(0.29*Driver_macroeconómicos_Agricult!AE$40+(1-0.29)*Driver_macroeconómicos_Agricult!AE$8))</f>
        <v>2.2627626875075253E-2</v>
      </c>
      <c r="AQ70" s="192">
        <f>AP70*(1+(0.29*Driver_macroeconómicos_Agricult!AF$40+(1-0.29)*Driver_macroeconómicos_Agricult!AF$8))</f>
        <v>2.2893166233572411E-2</v>
      </c>
      <c r="AR70" s="192">
        <f>AQ70*(1+(0.29*Driver_macroeconómicos_Agricult!AG$40+(1-0.29)*Driver_macroeconómicos_Agricult!AG$8))</f>
        <v>2.3125013013547756E-2</v>
      </c>
      <c r="AS70" s="192">
        <f>AR70*(1+(0.29*Driver_macroeconómicos_Agricult!AH$40+(1-0.29)*Driver_macroeconómicos_Agricult!AH$8))</f>
        <v>2.3349017131456568E-2</v>
      </c>
      <c r="AT70" s="192">
        <f>AS70*(1+(0.29*Driver_macroeconómicos_Agricult!AI$40+(1-0.29)*Driver_macroeconómicos_Agricult!AI$8))</f>
        <v>2.3572819392000476E-2</v>
      </c>
      <c r="AU70" s="192">
        <f>AT70*(1+(0.29*Driver_macroeconómicos_Agricult!AJ$40+(1-0.29)*Driver_macroeconómicos_Agricult!AJ$8))</f>
        <v>2.3793554067867758E-2</v>
      </c>
      <c r="AV70" s="192">
        <f>AU70*(1+(0.29*Driver_macroeconómicos_Agricult!AK$40+(1-0.29)*Driver_macroeconómicos_Agricult!AK$8))</f>
        <v>2.4027323274362158E-2</v>
      </c>
      <c r="AW70" s="192">
        <f>AV70*(1+(0.29*Driver_macroeconómicos_Agricult!AL$40+(1-0.29)*Driver_macroeconómicos_Agricult!AL$8))</f>
        <v>2.4245151572806399E-2</v>
      </c>
      <c r="AX70" s="192">
        <f>AW70*(1+(0.29*Driver_macroeconómicos_Agricult!AM$40+(1-0.29)*Driver_macroeconómicos_Agricult!AM$8))</f>
        <v>2.4459235616077577E-2</v>
      </c>
      <c r="AY70" s="192">
        <f>AX70*(1+(0.29*Driver_macroeconómicos_Agricult!AN$40+(1-0.29)*Driver_macroeconómicos_Agricult!AN$8))</f>
        <v>2.4672175659773973E-2</v>
      </c>
      <c r="AZ70" s="192">
        <f>AY70*(1+(0.29*Driver_macroeconómicos_Agricult!AO$40+(1-0.29)*Driver_macroeconómicos_Agricult!AO$8))</f>
        <v>2.4881436335723459E-2</v>
      </c>
      <c r="BA70" s="192">
        <f>AZ70*(1+(0.29*Driver_macroeconómicos_Agricult!AP$40+(1-0.29)*Driver_macroeconómicos_Agricult!AP$8))</f>
        <v>2.5089590552406778E-2</v>
      </c>
      <c r="BB70" s="192">
        <f>BA70*(1+(0.29*Driver_macroeconómicos_Agricult!AQ$40+(1-0.29)*Driver_macroeconómicos_Agricult!AQ$8))</f>
        <v>2.5289110188910797E-2</v>
      </c>
      <c r="BC70" s="192">
        <f>BB70*(1+(0.29*Driver_macroeconómicos_Agricult!AR$40+(1-0.29)*Driver_macroeconómicos_Agricult!AR$8))</f>
        <v>2.5485226166288014E-2</v>
      </c>
      <c r="BD70" s="192">
        <f>BC70*(1+(0.29*Driver_macroeconómicos_Agricult!AS$40+(1-0.29)*Driver_macroeconómicos_Agricult!AS$8))</f>
        <v>2.5677727827660091E-2</v>
      </c>
      <c r="BE70" s="192">
        <f>BD70*(1+(0.29*Driver_macroeconómicos_Agricult!AT$40+(1-0.29)*Driver_macroeconómicos_Agricult!AT$8))</f>
        <v>2.5865852866418803E-2</v>
      </c>
      <c r="BF70" s="192">
        <f>BE70*(1+(0.29*Driver_macroeconómicos_Agricult!AU$40+(1-0.29)*Driver_macroeconómicos_Agricult!AU$8))</f>
        <v>2.6048926786258766E-2</v>
      </c>
      <c r="BG70" s="192">
        <f>BF70*(1+(0.29*Driver_macroeconómicos_Agricult!AV$40+(1-0.29)*Driver_macroeconómicos_Agricult!AV$8))</f>
        <v>2.6227299801456733E-2</v>
      </c>
      <c r="BH70" s="192">
        <f>BG70*(1+(0.29*Driver_macroeconómicos_Agricult!AW$40+(1-0.29)*Driver_macroeconómicos_Agricult!AW$8))</f>
        <v>2.6401073343671345E-2</v>
      </c>
      <c r="BI70" s="192">
        <f>BH70*(1+(0.29*Driver_macroeconómicos_Agricult!AX$40+(1-0.29)*Driver_macroeconómicos_Agricult!AX$8))</f>
        <v>2.6570196801068303E-2</v>
      </c>
      <c r="BJ70" s="192">
        <f>BI70*(1+(0.29*Driver_macroeconómicos_Agricult!AY$40+(1-0.29)*Driver_macroeconómicos_Agricult!AY$8))</f>
        <v>2.6734244861150547E-2</v>
      </c>
      <c r="BK70" s="192">
        <f>BJ70*(1+(0.29*Driver_macroeconómicos_Agricult!AZ$40+(1-0.29)*Driver_macroeconómicos_Agricult!AZ$8))</f>
        <v>2.6893111419533898E-2</v>
      </c>
      <c r="BL70" s="192">
        <f>BK70*(1+(0.29*Driver_macroeconómicos_Agricult!BA$40+(1-0.29)*Driver_macroeconómicos_Agricult!BA$8))</f>
        <v>2.7046564432433483E-2</v>
      </c>
      <c r="BM70" s="192">
        <f>BL70*(1+(0.29*Driver_macroeconómicos_Agricult!BB$40+(1-0.29)*Driver_macroeconómicos_Agricult!BB$8))</f>
        <v>2.7194783206659752E-2</v>
      </c>
      <c r="BN70" s="192">
        <f>BM70*(1+(0.29*Driver_macroeconómicos_Agricult!BC$40+(1-0.29)*Driver_macroeconómicos_Agricult!BC$8))</f>
        <v>2.7337638233038218E-2</v>
      </c>
      <c r="BO70" s="192">
        <f>BN70*(1+(0.29*Driver_macroeconómicos_Agricult!BD$40+(1-0.29)*Driver_macroeconómicos_Agricult!BD$8))</f>
        <v>2.7474997982383734E-2</v>
      </c>
      <c r="BP70" s="182"/>
    </row>
    <row r="71" spans="1:96" ht="13.5" customHeight="1" x14ac:dyDescent="0.3">
      <c r="A71" s="960"/>
      <c r="B71" s="960"/>
      <c r="C71" s="960"/>
      <c r="D71" s="944"/>
      <c r="E71" s="183"/>
      <c r="F71" s="185" t="s">
        <v>390</v>
      </c>
      <c r="G71" s="190">
        <f t="shared" si="106"/>
        <v>5.411E-3</v>
      </c>
      <c r="H71" s="190">
        <f t="shared" si="106"/>
        <v>5.8230000000000001E-3</v>
      </c>
      <c r="I71" s="190">
        <f t="shared" si="106"/>
        <v>6.293E-3</v>
      </c>
      <c r="J71" s="190">
        <f t="shared" si="106"/>
        <v>9.2020000000000001E-3</v>
      </c>
      <c r="K71" s="190">
        <f t="shared" si="106"/>
        <v>6.731E-3</v>
      </c>
      <c r="L71" s="190">
        <f t="shared" si="106"/>
        <v>7.6280000000000002E-3</v>
      </c>
      <c r="M71" s="190">
        <f t="shared" si="106"/>
        <v>8.352E-3</v>
      </c>
      <c r="N71" s="190">
        <f t="shared" si="106"/>
        <v>8.848E-3</v>
      </c>
      <c r="O71" s="190">
        <f t="shared" si="106"/>
        <v>6.96E-3</v>
      </c>
      <c r="P71" s="190">
        <f t="shared" ref="P71:S71" si="108">P55/1000000</f>
        <v>8.6180000000000007E-3</v>
      </c>
      <c r="Q71" s="190">
        <f t="shared" si="108"/>
        <v>4.9300000000000004E-3</v>
      </c>
      <c r="R71" s="190">
        <f t="shared" si="108"/>
        <v>6.9629999999999996E-3</v>
      </c>
      <c r="S71" s="190">
        <f t="shared" si="108"/>
        <v>7.1110000000000001E-3</v>
      </c>
      <c r="T71" s="192">
        <f>S71*(1+(0.29*Driver_macroeconómicos_Agricult!I$40+(1-0.29)*Driver_macroeconómicos_Agricult!I$8))</f>
        <v>7.0757754901063022E-3</v>
      </c>
      <c r="U71" s="192">
        <f>T71*(1+(0.29*Driver_macroeconómicos_Agricult!J$40+(1-0.29)*Driver_macroeconómicos_Agricult!J$8))</f>
        <v>7.5069362728934054E-3</v>
      </c>
      <c r="V71" s="192">
        <f>U71*(1+(0.29*Driver_macroeconómicos_Agricult!K$40+(1-0.29)*Driver_macroeconómicos_Agricult!K$8))</f>
        <v>7.5198960617658787E-3</v>
      </c>
      <c r="W71" s="192">
        <f>V71*(1+(0.29*Driver_macroeconómicos_Agricult!L$40+(1-0.29)*Driver_macroeconómicos_Agricult!L$8))</f>
        <v>7.9712303156441004E-3</v>
      </c>
      <c r="X71" s="192">
        <f>W71*(1+(0.29*Driver_macroeconómicos_Agricult!M$40+(1-0.29)*Driver_macroeconómicos_Agricult!M$8))</f>
        <v>8.1694252052955697E-3</v>
      </c>
      <c r="Y71" s="192">
        <f>X71*(1+(0.29*Driver_macroeconómicos_Agricult!N$40+(1-0.29)*Driver_macroeconómicos_Agricult!N$8))</f>
        <v>8.3765583734882933E-3</v>
      </c>
      <c r="Z71" s="192">
        <f>Y71*(1+(0.29*Driver_macroeconómicos_Agricult!O$40+(1-0.29)*Driver_macroeconómicos_Agricult!O$8))</f>
        <v>8.5610013785063135E-3</v>
      </c>
      <c r="AA71" s="192">
        <f>Z71*(1+(0.29*Driver_macroeconómicos_Agricult!P$40+(1-0.29)*Driver_macroeconómicos_Agricult!P$8))</f>
        <v>8.7766656704006234E-3</v>
      </c>
      <c r="AB71" s="192">
        <f>AA71*(1+(0.29*Driver_macroeconómicos_Agricult!Q$40+(1-0.29)*Driver_macroeconómicos_Agricult!Q$8))</f>
        <v>8.6677478046483288E-3</v>
      </c>
      <c r="AC71" s="192">
        <f>AB71*(1+(0.29*Driver_macroeconómicos_Agricult!R$40+(1-0.29)*Driver_macroeconómicos_Agricult!R$8))</f>
        <v>8.8289982000798288E-3</v>
      </c>
      <c r="AD71" s="192">
        <f>AC71*(1+(0.29*Driver_macroeconómicos_Agricult!S$40+(1-0.29)*Driver_macroeconómicos_Agricult!S$8))</f>
        <v>9.0239662952155807E-3</v>
      </c>
      <c r="AE71" s="192">
        <f>AD71*(1+(0.29*Driver_macroeconómicos_Agricult!T$40+(1-0.29)*Driver_macroeconómicos_Agricult!T$8))</f>
        <v>9.166305538256923E-3</v>
      </c>
      <c r="AF71" s="192">
        <f>AE71*(1+(0.29*Driver_macroeconómicos_Agricult!U$40+(1-0.29)*Driver_macroeconómicos_Agricult!U$8))</f>
        <v>9.3024563005481183E-3</v>
      </c>
      <c r="AG71" s="192">
        <f>AF71*(1+(0.29*Driver_macroeconómicos_Agricult!V$40+(1-0.29)*Driver_macroeconómicos_Agricult!V$8))</f>
        <v>9.4340169479270458E-3</v>
      </c>
      <c r="AH71" s="192">
        <f>AG71*(1+(0.29*Driver_macroeconómicos_Agricult!W$40+(1-0.29)*Driver_macroeconómicos_Agricult!W$8))</f>
        <v>9.5476524427419076E-3</v>
      </c>
      <c r="AI71" s="192">
        <f>AH71*(1+(0.29*Driver_macroeconómicos_Agricult!X$40+(1-0.29)*Driver_macroeconómicos_Agricult!X$8))</f>
        <v>9.6467953657723444E-3</v>
      </c>
      <c r="AJ71" s="192">
        <f>AI71*(1+(0.29*Driver_macroeconómicos_Agricult!Y$40+(1-0.29)*Driver_macroeconómicos_Agricult!Y$8))</f>
        <v>9.789122879990883E-3</v>
      </c>
      <c r="AK71" s="192">
        <f>AJ71*(1+(0.29*Driver_macroeconómicos_Agricult!Z$40+(1-0.29)*Driver_macroeconómicos_Agricult!Z$8))</f>
        <v>9.9210094896363919E-3</v>
      </c>
      <c r="AL71" s="192">
        <f>AK71*(1+(0.29*Driver_macroeconómicos_Agricult!AA$40+(1-0.29)*Driver_macroeconómicos_Agricult!AA$8))</f>
        <v>1.0045655144531984E-2</v>
      </c>
      <c r="AM71" s="192">
        <f>AL71*(1+(0.29*Driver_macroeconómicos_Agricult!AB$40+(1-0.29)*Driver_macroeconómicos_Agricult!AB$8))</f>
        <v>1.0166116963172756E-2</v>
      </c>
      <c r="AN71" s="192">
        <f>AM71*(1+(0.29*Driver_macroeconómicos_Agricult!AC$40+(1-0.29)*Driver_macroeconómicos_Agricult!AC$8))</f>
        <v>1.0270405012978785E-2</v>
      </c>
      <c r="AO71" s="192">
        <f>AN71*(1+(0.29*Driver_macroeconómicos_Agricult!AD$40+(1-0.29)*Driver_macroeconómicos_Agricult!AD$8))</f>
        <v>1.0386737980281136E-2</v>
      </c>
      <c r="AP71" s="192">
        <f>AO71*(1+(0.29*Driver_macroeconómicos_Agricult!AE$40+(1-0.29)*Driver_macroeconómicos_Agricult!AE$8))</f>
        <v>1.0493721252282711E-2</v>
      </c>
      <c r="AQ71" s="192">
        <f>AP71*(1+(0.29*Driver_macroeconómicos_Agricult!AF$40+(1-0.29)*Driver_macroeconómicos_Agricult!AF$8))</f>
        <v>1.0616866999071056E-2</v>
      </c>
      <c r="AR71" s="192">
        <f>AQ71*(1+(0.29*Driver_macroeconómicos_Agricult!AG$40+(1-0.29)*Driver_macroeconómicos_Agricult!AG$8))</f>
        <v>1.0724387575388341E-2</v>
      </c>
      <c r="AS71" s="192">
        <f>AR71*(1+(0.29*Driver_macroeconómicos_Agricult!AH$40+(1-0.29)*Driver_macroeconómicos_Agricult!AH$8))</f>
        <v>1.0828271061963234E-2</v>
      </c>
      <c r="AT71" s="192">
        <f>AS71*(1+(0.29*Driver_macroeconómicos_Agricult!AI$40+(1-0.29)*Driver_macroeconómicos_Agricult!AI$8))</f>
        <v>1.0932060935764161E-2</v>
      </c>
      <c r="AU71" s="192">
        <f>AT71*(1+(0.29*Driver_macroeconómicos_Agricult!AJ$40+(1-0.29)*Driver_macroeconómicos_Agricult!AJ$8))</f>
        <v>1.1034428195576798E-2</v>
      </c>
      <c r="AV71" s="192">
        <f>AU71*(1+(0.29*Driver_macroeconómicos_Agricult!AK$40+(1-0.29)*Driver_macroeconómicos_Agricult!AK$8))</f>
        <v>1.1142840310725368E-2</v>
      </c>
      <c r="AW71" s="192">
        <f>AV71*(1+(0.29*Driver_macroeconómicos_Agricult!AL$40+(1-0.29)*Driver_macroeconómicos_Agricult!AL$8))</f>
        <v>1.1243859717548396E-2</v>
      </c>
      <c r="AX71" s="192">
        <f>AW71*(1+(0.29*Driver_macroeconómicos_Agricult!AM$40+(1-0.29)*Driver_macroeconómicos_Agricult!AM$8))</f>
        <v>1.1343142699676937E-2</v>
      </c>
      <c r="AY71" s="192">
        <f>AX71*(1+(0.29*Driver_macroeconómicos_Agricult!AN$40+(1-0.29)*Driver_macroeconómicos_Agricult!AN$8))</f>
        <v>1.1441895143949396E-2</v>
      </c>
      <c r="AZ71" s="192">
        <f>AY71*(1+(0.29*Driver_macroeconómicos_Agricult!AO$40+(1-0.29)*Driver_macroeconómicos_Agricult!AO$8))</f>
        <v>1.1538941255528026E-2</v>
      </c>
      <c r="BA71" s="192">
        <f>AZ71*(1+(0.29*Driver_macroeconómicos_Agricult!AP$40+(1-0.29)*Driver_macroeconómicos_Agricult!AP$8))</f>
        <v>1.1635474238832964E-2</v>
      </c>
      <c r="BB71" s="192">
        <f>BA71*(1+(0.29*Driver_macroeconómicos_Agricult!AQ$40+(1-0.29)*Driver_macroeconómicos_Agricult!AQ$8))</f>
        <v>1.1728002874795942E-2</v>
      </c>
      <c r="BC71" s="192">
        <f>BB71*(1+(0.29*Driver_macroeconómicos_Agricult!AR$40+(1-0.29)*Driver_macroeconómicos_Agricult!AR$8))</f>
        <v>1.181895303987854E-2</v>
      </c>
      <c r="BD71" s="192">
        <f>BC71*(1+(0.29*Driver_macroeconómicos_Agricult!AS$40+(1-0.29)*Driver_macroeconómicos_Agricult!AS$8))</f>
        <v>1.190822704047049E-2</v>
      </c>
      <c r="BE71" s="192">
        <f>BD71*(1+(0.29*Driver_macroeconómicos_Agricult!AT$40+(1-0.29)*Driver_macroeconómicos_Agricult!AT$8))</f>
        <v>1.1995471351515912E-2</v>
      </c>
      <c r="BF71" s="192">
        <f>BE71*(1+(0.29*Driver_macroeconómicos_Agricult!AU$40+(1-0.29)*Driver_macroeconómicos_Agricult!AU$8))</f>
        <v>1.2080373170605015E-2</v>
      </c>
      <c r="BG71" s="192">
        <f>BF71*(1+(0.29*Driver_macroeconómicos_Agricult!AV$40+(1-0.29)*Driver_macroeconómicos_Agricult!AV$8))</f>
        <v>1.2163094912074001E-2</v>
      </c>
      <c r="BH71" s="192">
        <f>BG71*(1+(0.29*Driver_macroeconómicos_Agricult!AW$40+(1-0.29)*Driver_macroeconómicos_Agricult!AW$8))</f>
        <v>1.2243683615568603E-2</v>
      </c>
      <c r="BI71" s="192">
        <f>BH71*(1+(0.29*Driver_macroeconómicos_Agricult!AX$40+(1-0.29)*Driver_macroeconómicos_Agricult!AX$8))</f>
        <v>1.2322115809494378E-2</v>
      </c>
      <c r="BJ71" s="192">
        <f>BI71*(1+(0.29*Driver_macroeconómicos_Agricult!AY$40+(1-0.29)*Driver_macroeconómicos_Agricult!AY$8))</f>
        <v>1.2398194252186795E-2</v>
      </c>
      <c r="BK71" s="192">
        <f>BJ71*(1+(0.29*Driver_macroeconómicos_Agricult!AZ$40+(1-0.29)*Driver_macroeconómicos_Agricult!AZ$8))</f>
        <v>1.247186973699076E-2</v>
      </c>
      <c r="BL71" s="192">
        <f>BK71*(1+(0.29*Driver_macroeconómicos_Agricult!BA$40+(1-0.29)*Driver_macroeconómicos_Agricult!BA$8))</f>
        <v>1.2543034651967547E-2</v>
      </c>
      <c r="BM71" s="192">
        <f>BL71*(1+(0.29*Driver_macroeconómicos_Agricult!BB$40+(1-0.29)*Driver_macroeconómicos_Agricult!BB$8))</f>
        <v>1.2611772151912747E-2</v>
      </c>
      <c r="BN71" s="192">
        <f>BM71*(1+(0.29*Driver_macroeconómicos_Agricult!BC$40+(1-0.29)*Driver_macroeconómicos_Agricult!BC$8))</f>
        <v>1.2678022176035001E-2</v>
      </c>
      <c r="BO71" s="192">
        <f>BN71*(1+(0.29*Driver_macroeconómicos_Agricult!BD$40+(1-0.29)*Driver_macroeconómicos_Agricult!BD$8))</f>
        <v>1.2741723726748788E-2</v>
      </c>
      <c r="BP71" s="182"/>
    </row>
    <row r="72" spans="1:96" ht="13.5" customHeight="1" x14ac:dyDescent="0.3">
      <c r="A72" s="48"/>
      <c r="B72" s="48"/>
      <c r="C72" s="48"/>
      <c r="D72" s="49"/>
      <c r="E72" s="194"/>
      <c r="F72" s="179" t="s">
        <v>391</v>
      </c>
      <c r="G72" s="195">
        <f t="shared" ref="G72:BO72" si="109">SUM(G58:G71)</f>
        <v>1.8237780000000001</v>
      </c>
      <c r="H72" s="195">
        <f t="shared" si="109"/>
        <v>1.9546589999999993</v>
      </c>
      <c r="I72" s="195">
        <f t="shared" si="109"/>
        <v>1.7721349999999998</v>
      </c>
      <c r="J72" s="195">
        <f t="shared" si="109"/>
        <v>1.8052719999999998</v>
      </c>
      <c r="K72" s="195">
        <f t="shared" si="109"/>
        <v>1.7966580000000001</v>
      </c>
      <c r="L72" s="196">
        <f t="shared" si="109"/>
        <v>1.9378675969934793</v>
      </c>
      <c r="M72" s="196">
        <f t="shared" si="109"/>
        <v>1.7621409999999997</v>
      </c>
      <c r="N72" s="196">
        <f t="shared" si="109"/>
        <v>1.8634029999999999</v>
      </c>
      <c r="O72" s="196">
        <f t="shared" si="109"/>
        <v>1.7906900000000001</v>
      </c>
      <c r="P72" s="196">
        <f t="shared" si="109"/>
        <v>1.8328380000000004</v>
      </c>
      <c r="Q72" s="196">
        <f t="shared" si="109"/>
        <v>1.8182911455453874</v>
      </c>
      <c r="R72" s="196">
        <f t="shared" si="109"/>
        <v>1.8217366615821744</v>
      </c>
      <c r="S72" s="180">
        <f t="shared" si="109"/>
        <v>1.6874604943895515</v>
      </c>
      <c r="T72" s="180">
        <f t="shared" si="109"/>
        <v>1.6791016181583811</v>
      </c>
      <c r="U72" s="180">
        <f t="shared" si="109"/>
        <v>1.7814172963588188</v>
      </c>
      <c r="V72" s="180">
        <f t="shared" si="109"/>
        <v>1.7844926910625067</v>
      </c>
      <c r="W72" s="180">
        <f t="shared" si="109"/>
        <v>1.893262982283594</v>
      </c>
      <c r="X72" s="180">
        <f t="shared" si="109"/>
        <v>1.9449521887835037</v>
      </c>
      <c r="Y72" s="180">
        <f t="shared" si="109"/>
        <v>1.9992484715848851</v>
      </c>
      <c r="Z72" s="180">
        <f t="shared" si="109"/>
        <v>2.0498713217032365</v>
      </c>
      <c r="AA72" s="180">
        <f t="shared" si="109"/>
        <v>2.1076354895278624</v>
      </c>
      <c r="AB72" s="180">
        <f t="shared" si="109"/>
        <v>2.1002343786367286</v>
      </c>
      <c r="AC72" s="180">
        <f t="shared" si="109"/>
        <v>2.1482328744686274</v>
      </c>
      <c r="AD72" s="180">
        <f t="shared" si="109"/>
        <v>2.2040241556552291</v>
      </c>
      <c r="AE72" s="180">
        <f t="shared" si="109"/>
        <v>2.2497845542570927</v>
      </c>
      <c r="AF72" s="180">
        <f t="shared" si="109"/>
        <v>2.2950378868358685</v>
      </c>
      <c r="AG72" s="180">
        <f t="shared" si="109"/>
        <v>2.3401114409587054</v>
      </c>
      <c r="AH72" s="180">
        <f t="shared" si="109"/>
        <v>2.3651485076316217</v>
      </c>
      <c r="AI72" s="180">
        <f t="shared" si="109"/>
        <v>2.3871164903982174</v>
      </c>
      <c r="AJ72" s="180">
        <f t="shared" si="109"/>
        <v>2.4182482959166354</v>
      </c>
      <c r="AK72" s="180">
        <f t="shared" si="109"/>
        <v>2.4471703919339096</v>
      </c>
      <c r="AL72" s="180">
        <f t="shared" si="109"/>
        <v>2.4745614868602868</v>
      </c>
      <c r="AM72" s="180">
        <f t="shared" si="109"/>
        <v>2.5010699957965543</v>
      </c>
      <c r="AN72" s="180">
        <f t="shared" si="109"/>
        <v>2.5241529700020586</v>
      </c>
      <c r="AO72" s="180">
        <f t="shared" si="109"/>
        <v>2.5497954000936476</v>
      </c>
      <c r="AP72" s="180">
        <f t="shared" si="109"/>
        <v>2.5734596771309941</v>
      </c>
      <c r="AQ72" s="180">
        <f t="shared" si="109"/>
        <v>2.6005567606642779</v>
      </c>
      <c r="AR72" s="180">
        <f t="shared" si="109"/>
        <v>2.6243447596363403</v>
      </c>
      <c r="AS72" s="180">
        <f t="shared" si="109"/>
        <v>2.6473662783625396</v>
      </c>
      <c r="AT72" s="180">
        <f t="shared" si="109"/>
        <v>2.670372885684039</v>
      </c>
      <c r="AU72" s="180">
        <f t="shared" si="109"/>
        <v>2.6930827353667515</v>
      </c>
      <c r="AV72" s="180">
        <f t="shared" si="109"/>
        <v>2.7170796451377908</v>
      </c>
      <c r="AW72" s="180">
        <f t="shared" si="109"/>
        <v>2.7395136359188013</v>
      </c>
      <c r="AX72" s="180">
        <f t="shared" si="109"/>
        <v>2.7615843871116743</v>
      </c>
      <c r="AY72" s="180">
        <f t="shared" si="109"/>
        <v>2.7835476832664723</v>
      </c>
      <c r="AZ72" s="180">
        <f t="shared" si="109"/>
        <v>2.8051541726689373</v>
      </c>
      <c r="BA72" s="180">
        <f t="shared" si="109"/>
        <v>2.8266569502783945</v>
      </c>
      <c r="BB72" s="180">
        <f t="shared" si="109"/>
        <v>2.8473155809395494</v>
      </c>
      <c r="BC72" s="180">
        <f t="shared" si="109"/>
        <v>2.8676446001391573</v>
      </c>
      <c r="BD72" s="180">
        <f t="shared" si="109"/>
        <v>2.8876233136632803</v>
      </c>
      <c r="BE72" s="180">
        <f t="shared" si="109"/>
        <v>2.907176767542603</v>
      </c>
      <c r="BF72" s="180">
        <f t="shared" si="109"/>
        <v>2.9262386448981639</v>
      </c>
      <c r="BG72" s="180">
        <f t="shared" si="109"/>
        <v>2.9448434188033428</v>
      </c>
      <c r="BH72" s="180">
        <f t="shared" si="109"/>
        <v>2.9630010923770436</v>
      </c>
      <c r="BI72" s="180">
        <f t="shared" si="109"/>
        <v>2.9807067139775589</v>
      </c>
      <c r="BJ72" s="180">
        <f t="shared" si="109"/>
        <v>2.997918476798525</v>
      </c>
      <c r="BK72" s="180">
        <f t="shared" si="109"/>
        <v>3.0146259712552297</v>
      </c>
      <c r="BL72" s="180">
        <f t="shared" si="109"/>
        <v>3.0308064005847513</v>
      </c>
      <c r="BM72" s="180">
        <f t="shared" si="109"/>
        <v>3.0464774283177896</v>
      </c>
      <c r="BN72" s="180">
        <f t="shared" si="109"/>
        <v>3.061626343194249</v>
      </c>
      <c r="BO72" s="180">
        <f t="shared" si="109"/>
        <v>3.0762402354030467</v>
      </c>
      <c r="BP72" s="197"/>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row>
    <row r="73" spans="1:96" ht="14.25" customHeight="1" thickBot="1" x14ac:dyDescent="0.35">
      <c r="A73" s="960"/>
      <c r="B73" s="960"/>
      <c r="C73" s="960"/>
      <c r="D73" s="944"/>
      <c r="E73" s="51"/>
      <c r="F73" s="200"/>
      <c r="G73" s="200"/>
      <c r="H73" s="200"/>
      <c r="I73" s="200"/>
      <c r="J73" s="200"/>
      <c r="K73" s="200"/>
      <c r="L73" s="201"/>
      <c r="M73" s="201"/>
      <c r="N73" s="201"/>
      <c r="O73" s="201"/>
      <c r="P73" s="201"/>
      <c r="Q73" s="201"/>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1"/>
      <c r="BN73" s="201"/>
      <c r="BO73" s="201"/>
      <c r="BP73" s="52"/>
    </row>
    <row r="74" spans="1:96" ht="14.25" customHeight="1" x14ac:dyDescent="0.3">
      <c r="A74" s="960"/>
      <c r="B74" s="960"/>
      <c r="C74" s="960"/>
      <c r="D74" s="944"/>
      <c r="E74" s="944"/>
      <c r="F74" s="45"/>
      <c r="G74" s="45"/>
      <c r="H74" s="45"/>
      <c r="I74" s="45"/>
      <c r="J74" s="45"/>
      <c r="K74" s="45"/>
      <c r="L74" s="944"/>
      <c r="M74" s="944"/>
      <c r="N74" s="944"/>
      <c r="O74" s="944"/>
      <c r="P74" s="944"/>
      <c r="Q74" s="944"/>
      <c r="R74" s="944"/>
      <c r="S74" s="944"/>
      <c r="T74" s="944"/>
      <c r="U74" s="944"/>
      <c r="V74" s="944"/>
      <c r="W74" s="944"/>
      <c r="X74" s="944"/>
      <c r="Y74" s="944"/>
      <c r="Z74" s="944"/>
      <c r="AA74" s="944"/>
      <c r="AB74" s="944"/>
      <c r="AC74" s="944"/>
      <c r="AD74" s="944"/>
      <c r="AE74" s="944"/>
      <c r="AF74" s="944"/>
      <c r="AG74" s="944"/>
      <c r="AH74" s="944"/>
      <c r="AI74" s="944"/>
      <c r="AJ74" s="944"/>
      <c r="AK74" s="944"/>
      <c r="AL74" s="944"/>
      <c r="AM74" s="944"/>
      <c r="AN74" s="944"/>
      <c r="AO74" s="944"/>
      <c r="AP74" s="944"/>
      <c r="AQ74" s="944"/>
      <c r="AR74" s="944"/>
      <c r="AS74" s="944"/>
      <c r="AT74" s="944"/>
      <c r="AU74" s="944"/>
      <c r="AV74" s="944"/>
      <c r="AW74" s="944"/>
      <c r="AX74" s="944"/>
      <c r="AY74" s="944"/>
      <c r="AZ74" s="944"/>
      <c r="BA74" s="944"/>
      <c r="BB74" s="944"/>
      <c r="BC74" s="944"/>
      <c r="BD74" s="944"/>
      <c r="BE74" s="944"/>
      <c r="BF74" s="944"/>
      <c r="BG74" s="944"/>
      <c r="BH74" s="944"/>
      <c r="BI74" s="944"/>
      <c r="BJ74" s="944"/>
      <c r="BK74" s="944"/>
      <c r="BL74" s="944"/>
      <c r="BM74" s="944"/>
      <c r="BN74" s="944"/>
      <c r="BO74" s="944"/>
      <c r="BP74" s="45"/>
    </row>
    <row r="75" spans="1:96" ht="14.25" customHeight="1" x14ac:dyDescent="0.3">
      <c r="A75" s="960"/>
      <c r="B75" s="960"/>
      <c r="C75" s="960"/>
      <c r="D75" s="944"/>
      <c r="E75" s="944" t="s">
        <v>367</v>
      </c>
      <c r="F75" s="45" t="s">
        <v>395</v>
      </c>
      <c r="G75" s="45"/>
      <c r="H75" s="45"/>
      <c r="I75" s="45"/>
      <c r="J75" s="45"/>
      <c r="K75" s="45"/>
      <c r="L75" s="944"/>
      <c r="M75" s="944"/>
      <c r="N75" s="944"/>
      <c r="O75" s="944"/>
      <c r="P75" s="944"/>
      <c r="Q75" s="944"/>
      <c r="R75" s="944"/>
      <c r="S75" s="944"/>
      <c r="T75" s="944"/>
      <c r="U75" s="944"/>
      <c r="V75" s="944"/>
      <c r="W75" s="944"/>
      <c r="X75" s="944"/>
      <c r="Y75" s="944"/>
      <c r="Z75" s="944"/>
      <c r="AA75" s="944"/>
      <c r="AB75" s="944"/>
      <c r="AC75" s="944"/>
      <c r="AD75" s="944"/>
      <c r="AE75" s="944"/>
      <c r="AF75" s="944"/>
      <c r="AG75" s="944"/>
      <c r="AH75" s="944"/>
      <c r="AI75" s="944"/>
      <c r="AJ75" s="944"/>
      <c r="AK75" s="944"/>
      <c r="AL75" s="944"/>
      <c r="AM75" s="944"/>
      <c r="AN75" s="944"/>
      <c r="AO75" s="944"/>
      <c r="AP75" s="944"/>
      <c r="AQ75" s="944"/>
      <c r="AR75" s="944"/>
      <c r="AS75" s="944"/>
      <c r="AT75" s="944"/>
      <c r="AU75" s="944"/>
      <c r="AV75" s="944"/>
      <c r="AW75" s="944"/>
      <c r="AX75" s="944"/>
      <c r="AY75" s="944"/>
      <c r="AZ75" s="944"/>
      <c r="BA75" s="944"/>
      <c r="BB75" s="944"/>
      <c r="BC75" s="944"/>
      <c r="BD75" s="944"/>
      <c r="BE75" s="944"/>
      <c r="BF75" s="944"/>
      <c r="BG75" s="944"/>
      <c r="BH75" s="944"/>
      <c r="BI75" s="944"/>
      <c r="BJ75" s="944"/>
      <c r="BK75" s="944"/>
      <c r="BL75" s="944"/>
      <c r="BM75" s="944"/>
      <c r="BN75" s="944"/>
      <c r="BO75" s="944"/>
      <c r="BP75" s="45"/>
    </row>
    <row r="76" spans="1:96" ht="14.25" customHeight="1" x14ac:dyDescent="0.3">
      <c r="A76" s="960"/>
      <c r="B76" s="960"/>
      <c r="C76" s="960"/>
      <c r="D76" s="944"/>
      <c r="E76" s="944"/>
      <c r="F76" s="45"/>
      <c r="G76" s="45"/>
      <c r="H76" s="45"/>
      <c r="I76" s="45"/>
      <c r="J76" s="45"/>
      <c r="K76" s="45"/>
      <c r="L76" s="944"/>
      <c r="M76" s="944"/>
      <c r="N76" s="944"/>
      <c r="O76" s="944"/>
      <c r="P76" s="944"/>
      <c r="Q76" s="944"/>
      <c r="R76" s="944"/>
      <c r="S76" s="944"/>
      <c r="T76" s="944"/>
      <c r="U76" s="944"/>
      <c r="V76" s="944"/>
      <c r="W76" s="944"/>
      <c r="X76" s="944"/>
      <c r="Y76" s="944"/>
      <c r="Z76" s="944"/>
      <c r="AA76" s="944"/>
      <c r="AB76" s="944"/>
      <c r="AC76" s="944"/>
      <c r="AD76" s="944"/>
      <c r="AE76" s="944"/>
      <c r="AF76" s="944"/>
      <c r="AG76" s="944"/>
      <c r="AH76" s="944"/>
      <c r="AI76" s="944"/>
      <c r="AJ76" s="944"/>
      <c r="AK76" s="944"/>
      <c r="AL76" s="944"/>
      <c r="AM76" s="944"/>
      <c r="AN76" s="944"/>
      <c r="AO76" s="944"/>
      <c r="AP76" s="944"/>
      <c r="AQ76" s="944"/>
      <c r="AR76" s="944"/>
      <c r="AS76" s="944"/>
      <c r="AT76" s="944"/>
      <c r="AU76" s="944"/>
      <c r="AV76" s="944"/>
      <c r="AW76" s="944"/>
      <c r="AX76" s="944"/>
      <c r="AY76" s="944"/>
      <c r="AZ76" s="944"/>
      <c r="BA76" s="944"/>
      <c r="BB76" s="944"/>
      <c r="BC76" s="944"/>
      <c r="BD76" s="944"/>
      <c r="BE76" s="944"/>
      <c r="BF76" s="944"/>
      <c r="BG76" s="944"/>
      <c r="BH76" s="944"/>
      <c r="BI76" s="944"/>
      <c r="BJ76" s="944"/>
      <c r="BK76" s="944"/>
      <c r="BL76" s="944"/>
      <c r="BM76" s="944"/>
      <c r="BN76" s="944"/>
      <c r="BO76" s="944"/>
      <c r="BP76" s="45"/>
    </row>
    <row r="77" spans="1:96" ht="15.75" customHeight="1" x14ac:dyDescent="0.3">
      <c r="A77" s="960"/>
      <c r="B77" s="960"/>
      <c r="C77" s="960"/>
      <c r="D77" s="944"/>
      <c r="E77" s="44"/>
      <c r="F77" s="44" t="s">
        <v>396</v>
      </c>
      <c r="G77" s="44"/>
      <c r="H77" s="45"/>
      <c r="I77" s="45"/>
      <c r="J77" s="45"/>
      <c r="K77" s="45"/>
      <c r="L77" s="944"/>
      <c r="M77" s="944"/>
      <c r="N77" s="944"/>
      <c r="O77" s="944"/>
      <c r="P77" s="944"/>
      <c r="Q77" s="944"/>
      <c r="R77" s="944"/>
      <c r="S77" s="944"/>
      <c r="T77" s="944"/>
      <c r="U77" s="944"/>
      <c r="V77" s="944"/>
      <c r="W77" s="944"/>
      <c r="X77" s="944"/>
      <c r="Y77" s="944"/>
      <c r="Z77" s="944"/>
      <c r="AA77" s="944"/>
      <c r="AB77" s="944"/>
      <c r="AC77" s="944"/>
      <c r="AD77" s="944"/>
      <c r="AE77" s="944"/>
      <c r="AF77" s="944"/>
      <c r="AG77" s="944"/>
      <c r="AH77" s="944"/>
      <c r="AI77" s="944"/>
      <c r="AJ77" s="944"/>
      <c r="AK77" s="944"/>
      <c r="AL77" s="944"/>
      <c r="AM77" s="944"/>
      <c r="AN77" s="944"/>
      <c r="AO77" s="944"/>
      <c r="AP77" s="944"/>
      <c r="AQ77" s="944"/>
      <c r="AR77" s="944"/>
      <c r="AS77" s="944"/>
      <c r="AT77" s="944"/>
      <c r="AU77" s="944"/>
      <c r="AV77" s="944"/>
      <c r="AW77" s="944"/>
      <c r="AX77" s="944"/>
      <c r="AY77" s="944"/>
      <c r="AZ77" s="944"/>
      <c r="BA77" s="944"/>
      <c r="BB77" s="944"/>
      <c r="BC77" s="944"/>
      <c r="BD77" s="944"/>
      <c r="BE77" s="944"/>
      <c r="BF77" s="944"/>
      <c r="BG77" s="944"/>
      <c r="BH77" s="944"/>
      <c r="BI77" s="944"/>
      <c r="BJ77" s="944"/>
      <c r="BK77" s="944"/>
      <c r="BL77" s="944"/>
      <c r="BM77" s="944"/>
      <c r="BN77" s="944"/>
      <c r="BO77" s="944"/>
      <c r="BP77" s="45"/>
    </row>
    <row r="78" spans="1:96" ht="14.25" customHeight="1" thickBot="1" x14ac:dyDescent="0.35">
      <c r="A78" s="960"/>
      <c r="B78" s="960"/>
      <c r="C78" s="960"/>
      <c r="D78" s="944"/>
      <c r="E78" s="944"/>
      <c r="F78" s="45"/>
      <c r="G78" s="45"/>
      <c r="H78" s="45"/>
      <c r="I78" s="45"/>
      <c r="J78" s="45"/>
      <c r="K78" s="45"/>
      <c r="L78" s="944"/>
      <c r="M78" s="944"/>
      <c r="N78" s="944"/>
      <c r="O78" s="944"/>
      <c r="P78" s="944"/>
      <c r="Q78" s="944"/>
      <c r="R78" s="944"/>
      <c r="S78" s="944"/>
      <c r="T78" s="944"/>
      <c r="U78" s="944"/>
      <c r="V78" s="944"/>
      <c r="W78" s="944"/>
      <c r="X78" s="944"/>
      <c r="Y78" s="944"/>
      <c r="Z78" s="944"/>
      <c r="AA78" s="944"/>
      <c r="AB78" s="944"/>
      <c r="AC78" s="944"/>
      <c r="AD78" s="944"/>
      <c r="AE78" s="944"/>
      <c r="AF78" s="944"/>
      <c r="AG78" s="944"/>
      <c r="AH78" s="944"/>
      <c r="AI78" s="944"/>
      <c r="AJ78" s="944"/>
      <c r="AK78" s="944"/>
      <c r="AL78" s="944"/>
      <c r="AM78" s="944"/>
      <c r="AN78" s="944"/>
      <c r="AO78" s="944"/>
      <c r="AP78" s="944"/>
      <c r="AQ78" s="944"/>
      <c r="AR78" s="944"/>
      <c r="AS78" s="944"/>
      <c r="AT78" s="944"/>
      <c r="AU78" s="944"/>
      <c r="AV78" s="944"/>
      <c r="AW78" s="944"/>
      <c r="AX78" s="944"/>
      <c r="AY78" s="944"/>
      <c r="AZ78" s="944"/>
      <c r="BA78" s="944"/>
      <c r="BB78" s="944"/>
      <c r="BC78" s="944"/>
      <c r="BD78" s="944"/>
      <c r="BE78" s="944"/>
      <c r="BF78" s="944"/>
      <c r="BG78" s="944"/>
      <c r="BH78" s="944"/>
      <c r="BI78" s="944"/>
      <c r="BJ78" s="944"/>
      <c r="BK78" s="944"/>
      <c r="BL78" s="944"/>
      <c r="BM78" s="944"/>
      <c r="BN78" s="944"/>
      <c r="BO78" s="944"/>
      <c r="BP78" s="45"/>
    </row>
    <row r="79" spans="1:96" ht="14.25" customHeight="1" x14ac:dyDescent="0.3">
      <c r="A79" s="960"/>
      <c r="B79" s="960"/>
      <c r="C79" s="960"/>
      <c r="D79" s="944"/>
      <c r="E79" s="46"/>
      <c r="F79" s="175"/>
      <c r="G79" s="175"/>
      <c r="H79" s="175"/>
      <c r="I79" s="175"/>
      <c r="J79" s="175"/>
      <c r="K79" s="175"/>
      <c r="L79" s="176"/>
      <c r="M79" s="176"/>
      <c r="N79" s="176"/>
      <c r="O79" s="176"/>
      <c r="P79" s="176"/>
      <c r="Q79" s="176"/>
      <c r="R79" s="176"/>
      <c r="S79" s="176"/>
      <c r="T79" s="176"/>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6"/>
      <c r="AX79" s="176"/>
      <c r="AY79" s="176"/>
      <c r="AZ79" s="176"/>
      <c r="BA79" s="176"/>
      <c r="BB79" s="176"/>
      <c r="BC79" s="176"/>
      <c r="BD79" s="176"/>
      <c r="BE79" s="176"/>
      <c r="BF79" s="176"/>
      <c r="BG79" s="176"/>
      <c r="BH79" s="176"/>
      <c r="BI79" s="176"/>
      <c r="BJ79" s="176"/>
      <c r="BK79" s="176"/>
      <c r="BL79" s="176"/>
      <c r="BM79" s="176"/>
      <c r="BN79" s="176"/>
      <c r="BO79" s="176"/>
      <c r="BP79" s="47"/>
    </row>
    <row r="80" spans="1:96" ht="12.75" customHeight="1" x14ac:dyDescent="0.3">
      <c r="A80" s="960"/>
      <c r="B80" s="960"/>
      <c r="C80" s="960"/>
      <c r="D80" s="944"/>
      <c r="E80" s="177"/>
      <c r="F80" s="178" t="s">
        <v>397</v>
      </c>
      <c r="G80" s="179"/>
      <c r="H80" s="179"/>
      <c r="I80" s="179"/>
      <c r="J80" s="179"/>
      <c r="K80" s="179"/>
      <c r="L80" s="180"/>
      <c r="M80" s="181"/>
      <c r="N80" s="181"/>
      <c r="O80" s="181"/>
      <c r="P80" s="181"/>
      <c r="Q80" s="181"/>
      <c r="R80" s="181"/>
      <c r="S80" s="181"/>
      <c r="T80" s="181"/>
      <c r="U80" s="181"/>
      <c r="V80" s="181"/>
      <c r="W80" s="181"/>
      <c r="X80" s="181"/>
      <c r="Y80" s="181"/>
      <c r="Z80" s="181"/>
      <c r="AA80" s="181"/>
      <c r="AB80" s="181"/>
      <c r="AC80" s="181"/>
      <c r="AD80" s="181"/>
      <c r="AE80" s="181"/>
      <c r="AF80" s="181"/>
      <c r="AG80" s="181"/>
      <c r="AH80" s="181"/>
      <c r="AI80" s="181"/>
      <c r="AJ80" s="181"/>
      <c r="AK80" s="181"/>
      <c r="AL80" s="181"/>
      <c r="AM80" s="181"/>
      <c r="AN80" s="181"/>
      <c r="AO80" s="181"/>
      <c r="AP80" s="181"/>
      <c r="AQ80" s="181"/>
      <c r="AR80" s="181"/>
      <c r="AS80" s="181"/>
      <c r="AT80" s="181"/>
      <c r="AU80" s="181"/>
      <c r="AV80" s="181"/>
      <c r="AW80" s="181"/>
      <c r="AX80" s="181"/>
      <c r="AY80" s="181"/>
      <c r="AZ80" s="181"/>
      <c r="BA80" s="181"/>
      <c r="BB80" s="181"/>
      <c r="BC80" s="181"/>
      <c r="BD80" s="181"/>
      <c r="BE80" s="181"/>
      <c r="BF80" s="181"/>
      <c r="BG80" s="181"/>
      <c r="BH80" s="181"/>
      <c r="BI80" s="181"/>
      <c r="BJ80" s="181"/>
      <c r="BK80" s="181"/>
      <c r="BL80" s="181"/>
      <c r="BM80" s="181"/>
      <c r="BN80" s="181"/>
      <c r="BO80" s="181"/>
      <c r="BP80" s="182"/>
    </row>
    <row r="81" spans="1:68" ht="14.25" customHeight="1" x14ac:dyDescent="0.3">
      <c r="A81" s="960"/>
      <c r="B81" s="960"/>
      <c r="C81" s="960"/>
      <c r="D81" s="944"/>
      <c r="E81" s="183"/>
      <c r="F81" s="184" t="s">
        <v>398</v>
      </c>
      <c r="G81" s="179"/>
      <c r="H81" s="179"/>
      <c r="I81" s="179"/>
      <c r="J81" s="179"/>
      <c r="K81" s="179"/>
      <c r="L81" s="180"/>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1"/>
      <c r="AK81" s="181"/>
      <c r="AL81" s="181"/>
      <c r="AM81" s="181"/>
      <c r="AN81" s="181"/>
      <c r="AO81" s="181"/>
      <c r="AP81" s="181"/>
      <c r="AQ81" s="181"/>
      <c r="AR81" s="181"/>
      <c r="AS81" s="181"/>
      <c r="AT81" s="181"/>
      <c r="AU81" s="181"/>
      <c r="AV81" s="181"/>
      <c r="AW81" s="181"/>
      <c r="AX81" s="181"/>
      <c r="AY81" s="181"/>
      <c r="AZ81" s="181"/>
      <c r="BA81" s="181"/>
      <c r="BB81" s="181"/>
      <c r="BC81" s="181"/>
      <c r="BD81" s="181"/>
      <c r="BE81" s="181"/>
      <c r="BF81" s="181"/>
      <c r="BG81" s="181"/>
      <c r="BH81" s="181"/>
      <c r="BI81" s="181"/>
      <c r="BJ81" s="181"/>
      <c r="BK81" s="181"/>
      <c r="BL81" s="181"/>
      <c r="BM81" s="181"/>
      <c r="BN81" s="181"/>
      <c r="BO81" s="181"/>
      <c r="BP81" s="182"/>
    </row>
    <row r="82" spans="1:68" ht="14.25" customHeight="1" x14ac:dyDescent="0.3">
      <c r="A82" s="1178" t="s">
        <v>6</v>
      </c>
      <c r="B82" s="960"/>
      <c r="C82" s="960"/>
      <c r="D82" s="944"/>
      <c r="E82" s="183"/>
      <c r="F82" s="185" t="s">
        <v>399</v>
      </c>
      <c r="G82" s="186">
        <v>7931060</v>
      </c>
      <c r="H82" s="186">
        <v>7427776</v>
      </c>
      <c r="I82" s="186">
        <v>7012244</v>
      </c>
      <c r="J82" s="186">
        <v>5995527</v>
      </c>
      <c r="K82" s="186">
        <v>6907376</v>
      </c>
      <c r="L82" s="187">
        <v>7194431</v>
      </c>
      <c r="M82" s="187">
        <v>6529676</v>
      </c>
      <c r="N82" s="187">
        <v>6282105</v>
      </c>
      <c r="O82" s="187">
        <v>6505635</v>
      </c>
      <c r="P82" s="187">
        <v>6583477</v>
      </c>
      <c r="Q82" s="187">
        <v>6023390</v>
      </c>
      <c r="R82" s="187">
        <v>6684916</v>
      </c>
      <c r="S82" s="207">
        <v>6078789</v>
      </c>
      <c r="T82" s="207">
        <f t="shared" ref="T82:BO87" si="110">T97*1000000</f>
        <v>6617614.8515088838</v>
      </c>
      <c r="U82" s="207">
        <f t="shared" si="110"/>
        <v>7020857.7191704838</v>
      </c>
      <c r="V82" s="207">
        <f t="shared" si="110"/>
        <v>7032978.3540655309</v>
      </c>
      <c r="W82" s="207">
        <f t="shared" si="110"/>
        <v>7068143.2458358575</v>
      </c>
      <c r="X82" s="207">
        <f t="shared" si="110"/>
        <v>7103483.9620650364</v>
      </c>
      <c r="Y82" s="207">
        <f t="shared" si="110"/>
        <v>7139001.3818753604</v>
      </c>
      <c r="Z82" s="207">
        <f t="shared" si="110"/>
        <v>7174696.3887847364</v>
      </c>
      <c r="AA82" s="207">
        <f t="shared" si="110"/>
        <v>7210569.8707286604</v>
      </c>
      <c r="AB82" s="207">
        <f t="shared" si="110"/>
        <v>7246622.7200823026</v>
      </c>
      <c r="AC82" s="207">
        <f t="shared" si="110"/>
        <v>7282855.833682714</v>
      </c>
      <c r="AD82" s="207">
        <f t="shared" si="110"/>
        <v>7319270.1128511271</v>
      </c>
      <c r="AE82" s="207">
        <f t="shared" si="110"/>
        <v>7355866.4634153824</v>
      </c>
      <c r="AF82" s="207">
        <f t="shared" si="110"/>
        <v>7392645.7957324581</v>
      </c>
      <c r="AG82" s="207">
        <f t="shared" si="110"/>
        <v>7429609.0247111199</v>
      </c>
      <c r="AH82" s="207">
        <f t="shared" si="110"/>
        <v>7466757.0698346747</v>
      </c>
      <c r="AI82" s="207">
        <f t="shared" si="110"/>
        <v>7504090.8551838482</v>
      </c>
      <c r="AJ82" s="207">
        <f t="shared" si="110"/>
        <v>7541611.3094597654</v>
      </c>
      <c r="AK82" s="207">
        <f t="shared" si="110"/>
        <v>7579319.3660070635</v>
      </c>
      <c r="AL82" s="207">
        <f t="shared" si="110"/>
        <v>7617215.9628370972</v>
      </c>
      <c r="AM82" s="207">
        <f t="shared" si="110"/>
        <v>7655302.0426512817</v>
      </c>
      <c r="AN82" s="207">
        <f t="shared" si="110"/>
        <v>7693578.5528645376</v>
      </c>
      <c r="AO82" s="207">
        <f t="shared" si="110"/>
        <v>7732046.4456288591</v>
      </c>
      <c r="AP82" s="207">
        <f t="shared" si="110"/>
        <v>7770706.6778570041</v>
      </c>
      <c r="AQ82" s="207">
        <f t="shared" si="110"/>
        <v>7809560.2112462884</v>
      </c>
      <c r="AR82" s="207">
        <f t="shared" si="110"/>
        <v>7848608.0123025188</v>
      </c>
      <c r="AS82" s="207">
        <f t="shared" si="110"/>
        <v>7887851.0523640309</v>
      </c>
      <c r="AT82" s="207">
        <f t="shared" si="110"/>
        <v>7927290.3076258507</v>
      </c>
      <c r="AU82" s="207">
        <f t="shared" si="110"/>
        <v>7966926.7591639785</v>
      </c>
      <c r="AV82" s="207">
        <f t="shared" si="110"/>
        <v>8006761.3929597968</v>
      </c>
      <c r="AW82" s="207">
        <f t="shared" si="110"/>
        <v>8046795.1999245957</v>
      </c>
      <c r="AX82" s="207">
        <f t="shared" si="110"/>
        <v>8087029.1759242183</v>
      </c>
      <c r="AY82" s="207">
        <f t="shared" si="110"/>
        <v>8127464.3218038389</v>
      </c>
      <c r="AZ82" s="207">
        <f t="shared" si="110"/>
        <v>8168101.6434128573</v>
      </c>
      <c r="BA82" s="207">
        <f t="shared" si="110"/>
        <v>8208942.1516299201</v>
      </c>
      <c r="BB82" s="207">
        <f t="shared" si="110"/>
        <v>8249986.8623880679</v>
      </c>
      <c r="BC82" s="207">
        <f t="shared" si="110"/>
        <v>8291236.7967000091</v>
      </c>
      <c r="BD82" s="207">
        <f t="shared" si="110"/>
        <v>8332692.9806835074</v>
      </c>
      <c r="BE82" s="207">
        <f t="shared" si="110"/>
        <v>8374356.4455869244</v>
      </c>
      <c r="BF82" s="207">
        <f t="shared" si="110"/>
        <v>8416228.2278148588</v>
      </c>
      <c r="BG82" s="207">
        <f t="shared" si="110"/>
        <v>8458309.3689539302</v>
      </c>
      <c r="BH82" s="207">
        <f t="shared" si="110"/>
        <v>8500600.9157986995</v>
      </c>
      <c r="BI82" s="207">
        <f t="shared" si="110"/>
        <v>8543103.9203776922</v>
      </c>
      <c r="BJ82" s="207">
        <f t="shared" si="110"/>
        <v>8585819.4399795812</v>
      </c>
      <c r="BK82" s="207">
        <f t="shared" si="110"/>
        <v>8628748.5371794775</v>
      </c>
      <c r="BL82" s="207">
        <f t="shared" si="110"/>
        <v>8671892.2798653729</v>
      </c>
      <c r="BM82" s="207">
        <f t="shared" si="110"/>
        <v>8715251.741264699</v>
      </c>
      <c r="BN82" s="207">
        <f t="shared" si="110"/>
        <v>8758827.999971021</v>
      </c>
      <c r="BO82" s="207">
        <f t="shared" si="110"/>
        <v>8802622.1399708744</v>
      </c>
      <c r="BP82" s="182"/>
    </row>
    <row r="83" spans="1:68" ht="14.25" customHeight="1" x14ac:dyDescent="0.3">
      <c r="A83" s="982"/>
      <c r="D83" s="944"/>
      <c r="E83" s="183"/>
      <c r="F83" s="185" t="s">
        <v>400</v>
      </c>
      <c r="G83" s="186">
        <v>132100</v>
      </c>
      <c r="H83" s="186">
        <v>224163</v>
      </c>
      <c r="I83" s="186">
        <v>133323</v>
      </c>
      <c r="J83" s="186">
        <v>128446</v>
      </c>
      <c r="K83" s="186">
        <v>156216</v>
      </c>
      <c r="L83" s="187">
        <v>180192</v>
      </c>
      <c r="M83" s="187">
        <v>177551</v>
      </c>
      <c r="N83" s="187">
        <v>205955</v>
      </c>
      <c r="O83" s="187">
        <v>235182</v>
      </c>
      <c r="P83" s="187">
        <v>283680</v>
      </c>
      <c r="Q83" s="187">
        <v>327903</v>
      </c>
      <c r="R83" s="187">
        <v>302094</v>
      </c>
      <c r="S83" s="207">
        <v>337149.40921686013</v>
      </c>
      <c r="T83" s="207">
        <f t="shared" ref="T83:AH83" si="111">T98*1000000</f>
        <v>358864.70240306243</v>
      </c>
      <c r="U83" s="207">
        <f t="shared" si="111"/>
        <v>381525.23381774401</v>
      </c>
      <c r="V83" s="207">
        <f t="shared" si="111"/>
        <v>382980.10596947314</v>
      </c>
      <c r="W83" s="207">
        <f t="shared" si="111"/>
        <v>414948.06657878391</v>
      </c>
      <c r="X83" s="207">
        <f t="shared" si="111"/>
        <v>434674.23609182221</v>
      </c>
      <c r="Y83" s="207">
        <f t="shared" si="111"/>
        <v>455556.2702736787</v>
      </c>
      <c r="Z83" s="207">
        <f t="shared" si="111"/>
        <v>475888.25567318872</v>
      </c>
      <c r="AA83" s="207">
        <f t="shared" si="111"/>
        <v>498670.85441778472</v>
      </c>
      <c r="AB83" s="207">
        <f t="shared" si="111"/>
        <v>503378.55333280913</v>
      </c>
      <c r="AC83" s="207">
        <f t="shared" si="111"/>
        <v>524087.5955631804</v>
      </c>
      <c r="AD83" s="207">
        <f t="shared" si="111"/>
        <v>547512.35992063419</v>
      </c>
      <c r="AE83" s="207">
        <f t="shared" si="111"/>
        <v>568453.31477086444</v>
      </c>
      <c r="AF83" s="207">
        <f t="shared" si="111"/>
        <v>589660.61791681556</v>
      </c>
      <c r="AG83" s="207">
        <f t="shared" si="111"/>
        <v>611230.68354915769</v>
      </c>
      <c r="AH83" s="207">
        <f t="shared" si="111"/>
        <v>619881.87169698125</v>
      </c>
      <c r="AI83" s="207">
        <f t="shared" si="110"/>
        <v>627623.56224013667</v>
      </c>
      <c r="AJ83" s="207">
        <f t="shared" si="110"/>
        <v>638210.2758896288</v>
      </c>
      <c r="AK83" s="207">
        <f t="shared" si="110"/>
        <v>648156.25490928919</v>
      </c>
      <c r="AL83" s="207">
        <f t="shared" si="110"/>
        <v>657666.8561827084</v>
      </c>
      <c r="AM83" s="207">
        <f t="shared" si="110"/>
        <v>666939.7946251859</v>
      </c>
      <c r="AN83" s="207">
        <f t="shared" si="110"/>
        <v>675185.23841270129</v>
      </c>
      <c r="AO83" s="207">
        <f t="shared" si="110"/>
        <v>684255.63639713288</v>
      </c>
      <c r="AP83" s="207">
        <f t="shared" si="110"/>
        <v>692743.67648454441</v>
      </c>
      <c r="AQ83" s="207">
        <f t="shared" si="110"/>
        <v>702333.3031955529</v>
      </c>
      <c r="AR83" s="207">
        <f t="shared" si="110"/>
        <v>710924.08098163735</v>
      </c>
      <c r="AS83" s="207">
        <f t="shared" si="110"/>
        <v>719305.99887220829</v>
      </c>
      <c r="AT83" s="207">
        <f t="shared" si="110"/>
        <v>727713.52429949935</v>
      </c>
      <c r="AU83" s="207">
        <f t="shared" si="110"/>
        <v>736058.06278692558</v>
      </c>
      <c r="AV83" s="207">
        <f t="shared" si="110"/>
        <v>744838.27741175424</v>
      </c>
      <c r="AW83" s="207">
        <f t="shared" si="110"/>
        <v>753156.68971454771</v>
      </c>
      <c r="AX83" s="207">
        <f t="shared" si="110"/>
        <v>761389.974584774</v>
      </c>
      <c r="AY83" s="207">
        <f t="shared" si="110"/>
        <v>769618.61021949071</v>
      </c>
      <c r="AZ83" s="207">
        <f t="shared" si="110"/>
        <v>777763.21466429194</v>
      </c>
      <c r="BA83" s="207">
        <f t="shared" si="110"/>
        <v>785903.7559860535</v>
      </c>
      <c r="BB83" s="207">
        <f t="shared" si="110"/>
        <v>793803.80834297568</v>
      </c>
      <c r="BC83" s="207">
        <f t="shared" si="110"/>
        <v>801626.3059798911</v>
      </c>
      <c r="BD83" s="207">
        <f t="shared" si="110"/>
        <v>809364.02849926741</v>
      </c>
      <c r="BE83" s="207">
        <f t="shared" si="110"/>
        <v>816992.27335561777</v>
      </c>
      <c r="BF83" s="207">
        <f t="shared" si="110"/>
        <v>824488.91395678197</v>
      </c>
      <c r="BG83" s="207">
        <f t="shared" si="110"/>
        <v>831864.14368667628</v>
      </c>
      <c r="BH83" s="207">
        <f t="shared" si="110"/>
        <v>839120.33736241749</v>
      </c>
      <c r="BI83" s="207">
        <f t="shared" si="110"/>
        <v>846255.0504562296</v>
      </c>
      <c r="BJ83" s="207">
        <f t="shared" si="110"/>
        <v>853253.86242213345</v>
      </c>
      <c r="BK83" s="207">
        <f t="shared" si="110"/>
        <v>860112.44506838941</v>
      </c>
      <c r="BL83" s="207">
        <f t="shared" si="110"/>
        <v>866822.40165161504</v>
      </c>
      <c r="BM83" s="207">
        <f t="shared" si="110"/>
        <v>873388.48029273562</v>
      </c>
      <c r="BN83" s="207">
        <f t="shared" si="110"/>
        <v>879805.53417691682</v>
      </c>
      <c r="BO83" s="207">
        <f t="shared" si="110"/>
        <v>886068.31242719479</v>
      </c>
      <c r="BP83" s="182"/>
    </row>
    <row r="84" spans="1:68" ht="14.25" customHeight="1" x14ac:dyDescent="0.3">
      <c r="A84" s="982"/>
      <c r="D84" s="944"/>
      <c r="E84" s="183"/>
      <c r="F84" s="185" t="s">
        <v>401</v>
      </c>
      <c r="G84" s="186">
        <v>31347</v>
      </c>
      <c r="H84" s="186">
        <v>23829</v>
      </c>
      <c r="I84" s="186">
        <v>7340</v>
      </c>
      <c r="J84" s="186">
        <v>7759</v>
      </c>
      <c r="K84" s="186">
        <v>4225</v>
      </c>
      <c r="L84" s="187">
        <v>5297</v>
      </c>
      <c r="M84" s="187">
        <v>3905</v>
      </c>
      <c r="N84" s="187">
        <v>7564</v>
      </c>
      <c r="O84" s="187">
        <v>5065</v>
      </c>
      <c r="P84" s="187">
        <v>8141</v>
      </c>
      <c r="Q84" s="187">
        <v>5280</v>
      </c>
      <c r="R84" s="187">
        <v>4917</v>
      </c>
      <c r="S84" s="207">
        <v>7965.968941755621</v>
      </c>
      <c r="T84" s="207">
        <f t="shared" si="110"/>
        <v>7447.2288920733172</v>
      </c>
      <c r="U84" s="207">
        <f t="shared" si="110"/>
        <v>7917.4845709715137</v>
      </c>
      <c r="V84" s="207">
        <f t="shared" si="110"/>
        <v>7947.676355925777</v>
      </c>
      <c r="W84" s="207">
        <f t="shared" si="110"/>
        <v>8442.2368473998486</v>
      </c>
      <c r="X84" s="207">
        <f t="shared" si="110"/>
        <v>8670.1680355968383</v>
      </c>
      <c r="Y84" s="207">
        <f t="shared" si="110"/>
        <v>8908.5182062737204</v>
      </c>
      <c r="Z84" s="207">
        <f t="shared" si="110"/>
        <v>9123.6424789824196</v>
      </c>
      <c r="AA84" s="207">
        <f t="shared" si="110"/>
        <v>9372.9669504784706</v>
      </c>
      <c r="AB84" s="207">
        <f t="shared" si="110"/>
        <v>9275.9337090285608</v>
      </c>
      <c r="AC84" s="207">
        <f t="shared" si="110"/>
        <v>9468.1828592127458</v>
      </c>
      <c r="AD84" s="207">
        <f t="shared" si="110"/>
        <v>9697.4268462998534</v>
      </c>
      <c r="AE84" s="207">
        <f t="shared" si="110"/>
        <v>9870.9105412889712</v>
      </c>
      <c r="AF84" s="207">
        <f t="shared" si="110"/>
        <v>10038.396928511635</v>
      </c>
      <c r="AG84" s="207">
        <f t="shared" si="110"/>
        <v>10201.574763510855</v>
      </c>
      <c r="AH84" s="207">
        <f t="shared" si="110"/>
        <v>10345.964999568308</v>
      </c>
      <c r="AI84" s="207">
        <f t="shared" si="110"/>
        <v>10475.175520240107</v>
      </c>
      <c r="AJ84" s="207">
        <f t="shared" si="110"/>
        <v>10651.870103319703</v>
      </c>
      <c r="AK84" s="207">
        <f t="shared" si="110"/>
        <v>10817.87068427257</v>
      </c>
      <c r="AL84" s="207">
        <f t="shared" si="110"/>
        <v>10976.604714726267</v>
      </c>
      <c r="AM84" s="207">
        <f t="shared" si="110"/>
        <v>11131.372100174056</v>
      </c>
      <c r="AN84" s="207">
        <f t="shared" si="110"/>
        <v>11268.990373471846</v>
      </c>
      <c r="AO84" s="207">
        <f t="shared" si="110"/>
        <v>11420.377314054866</v>
      </c>
      <c r="AP84" s="207">
        <f t="shared" si="110"/>
        <v>11562.044573042271</v>
      </c>
      <c r="AQ84" s="207">
        <f t="shared" si="110"/>
        <v>11722.097555458764</v>
      </c>
      <c r="AR84" s="207">
        <f t="shared" si="110"/>
        <v>11865.479529270295</v>
      </c>
      <c r="AS84" s="207">
        <f t="shared" si="110"/>
        <v>12005.375585413538</v>
      </c>
      <c r="AT84" s="207">
        <f t="shared" si="110"/>
        <v>12145.699036986021</v>
      </c>
      <c r="AU84" s="207">
        <f t="shared" si="110"/>
        <v>12284.971222656044</v>
      </c>
      <c r="AV84" s="207">
        <f t="shared" si="110"/>
        <v>12431.514939039447</v>
      </c>
      <c r="AW84" s="207">
        <f t="shared" si="110"/>
        <v>12570.351072932308</v>
      </c>
      <c r="AX84" s="207">
        <f t="shared" si="110"/>
        <v>12707.766411221917</v>
      </c>
      <c r="AY84" s="207">
        <f t="shared" si="110"/>
        <v>12845.104152746639</v>
      </c>
      <c r="AZ84" s="207">
        <f t="shared" si="110"/>
        <v>12981.039395199465</v>
      </c>
      <c r="BA84" s="207">
        <f t="shared" si="110"/>
        <v>13116.906823233647</v>
      </c>
      <c r="BB84" s="207">
        <f t="shared" si="110"/>
        <v>13248.760437464569</v>
      </c>
      <c r="BC84" s="207">
        <f t="shared" si="110"/>
        <v>13379.319646333146</v>
      </c>
      <c r="BD84" s="207">
        <f t="shared" si="110"/>
        <v>13508.463939813906</v>
      </c>
      <c r="BE84" s="207">
        <f t="shared" si="110"/>
        <v>13635.781026980665</v>
      </c>
      <c r="BF84" s="207">
        <f t="shared" si="110"/>
        <v>13760.901610135743</v>
      </c>
      <c r="BG84" s="207">
        <f t="shared" si="110"/>
        <v>13883.995819102323</v>
      </c>
      <c r="BH84" s="207">
        <f t="shared" si="110"/>
        <v>14005.10329010126</v>
      </c>
      <c r="BI84" s="207">
        <f t="shared" si="110"/>
        <v>14124.18322342544</v>
      </c>
      <c r="BJ84" s="207">
        <f t="shared" si="110"/>
        <v>14240.994936985595</v>
      </c>
      <c r="BK84" s="207">
        <f t="shared" si="110"/>
        <v>14355.466192308091</v>
      </c>
      <c r="BL84" s="207">
        <f t="shared" si="110"/>
        <v>14467.456845896057</v>
      </c>
      <c r="BM84" s="207">
        <f t="shared" si="110"/>
        <v>14577.046144933749</v>
      </c>
      <c r="BN84" s="207">
        <f t="shared" si="110"/>
        <v>14684.148187947734</v>
      </c>
      <c r="BO84" s="207">
        <f t="shared" si="110"/>
        <v>14788.675336644719</v>
      </c>
      <c r="BP84" s="182"/>
    </row>
    <row r="85" spans="1:68" ht="14.25" customHeight="1" x14ac:dyDescent="0.3">
      <c r="A85" s="982"/>
      <c r="D85" s="944"/>
      <c r="E85" s="183"/>
      <c r="F85" s="185" t="s">
        <v>402</v>
      </c>
      <c r="G85" s="186">
        <v>8347182</v>
      </c>
      <c r="H85" s="186">
        <v>8131819</v>
      </c>
      <c r="I85" s="186">
        <v>7378922</v>
      </c>
      <c r="J85" s="186">
        <v>7158265</v>
      </c>
      <c r="K85" s="186">
        <v>8251306</v>
      </c>
      <c r="L85" s="187">
        <v>10106105</v>
      </c>
      <c r="M85" s="187">
        <v>8661609</v>
      </c>
      <c r="N85" s="187">
        <v>9344983</v>
      </c>
      <c r="O85" s="187">
        <v>7840635</v>
      </c>
      <c r="P85" s="187">
        <v>10088870</v>
      </c>
      <c r="Q85" s="187">
        <v>11390245</v>
      </c>
      <c r="R85" s="187">
        <v>11671700</v>
      </c>
      <c r="S85" s="207">
        <v>8113293</v>
      </c>
      <c r="T85" s="207">
        <f t="shared" si="110"/>
        <v>9199226.5069613419</v>
      </c>
      <c r="U85" s="207">
        <f t="shared" si="110"/>
        <v>9789160.3005501963</v>
      </c>
      <c r="V85" s="207">
        <f t="shared" si="110"/>
        <v>9835580.3911172058</v>
      </c>
      <c r="W85" s="207">
        <f t="shared" si="110"/>
        <v>10457285.267457515</v>
      </c>
      <c r="X85" s="207">
        <f t="shared" si="110"/>
        <v>10488766.053314758</v>
      </c>
      <c r="Y85" s="207">
        <f t="shared" si="110"/>
        <v>10520341.609454425</v>
      </c>
      <c r="Z85" s="207">
        <f t="shared" si="110"/>
        <v>10552012.221174551</v>
      </c>
      <c r="AA85" s="207">
        <f t="shared" si="110"/>
        <v>10583778.174632046</v>
      </c>
      <c r="AB85" s="207">
        <f t="shared" si="110"/>
        <v>10615639.756845262</v>
      </c>
      <c r="AC85" s="207">
        <f t="shared" si="110"/>
        <v>10647597.255696598</v>
      </c>
      <c r="AD85" s="207">
        <f t="shared" si="110"/>
        <v>10679650.959935103</v>
      </c>
      <c r="AE85" s="207">
        <f t="shared" si="110"/>
        <v>10711801.159179073</v>
      </c>
      <c r="AF85" s="207">
        <f t="shared" si="110"/>
        <v>10744048.143918684</v>
      </c>
      <c r="AG85" s="207">
        <f t="shared" si="110"/>
        <v>10776392.205518605</v>
      </c>
      <c r="AH85" s="207">
        <f t="shared" si="110"/>
        <v>10808833.636220636</v>
      </c>
      <c r="AI85" s="207">
        <f t="shared" si="110"/>
        <v>10841372.729146341</v>
      </c>
      <c r="AJ85" s="207">
        <f t="shared" si="110"/>
        <v>10874009.778299708</v>
      </c>
      <c r="AK85" s="207">
        <f t="shared" si="110"/>
        <v>10906745.078569798</v>
      </c>
      <c r="AL85" s="207">
        <f t="shared" si="110"/>
        <v>10939578.92573341</v>
      </c>
      <c r="AM85" s="207">
        <f t="shared" si="110"/>
        <v>10972511.616457753</v>
      </c>
      <c r="AN85" s="207">
        <f t="shared" si="110"/>
        <v>11005543.448303133</v>
      </c>
      <c r="AO85" s="207">
        <f t="shared" si="110"/>
        <v>11038674.719725627</v>
      </c>
      <c r="AP85" s="207">
        <f t="shared" si="110"/>
        <v>11071905.730079802</v>
      </c>
      <c r="AQ85" s="207">
        <f t="shared" si="110"/>
        <v>11105236.779621398</v>
      </c>
      <c r="AR85" s="207">
        <f t="shared" si="110"/>
        <v>11138668.169510052</v>
      </c>
      <c r="AS85" s="207">
        <f t="shared" si="110"/>
        <v>11172200.201812012</v>
      </c>
      <c r="AT85" s="207">
        <f t="shared" si="110"/>
        <v>11205833.179502884</v>
      </c>
      <c r="AU85" s="207">
        <f t="shared" si="110"/>
        <v>11239567.406470349</v>
      </c>
      <c r="AV85" s="207">
        <f t="shared" si="110"/>
        <v>11273403.187516909</v>
      </c>
      <c r="AW85" s="207">
        <f t="shared" si="110"/>
        <v>11307340.828362664</v>
      </c>
      <c r="AX85" s="207">
        <f t="shared" si="110"/>
        <v>11341380.635648048</v>
      </c>
      <c r="AY85" s="207">
        <f t="shared" si="110"/>
        <v>11375522.916936612</v>
      </c>
      <c r="AZ85" s="207">
        <f t="shared" si="110"/>
        <v>11409767.980717808</v>
      </c>
      <c r="BA85" s="207">
        <f t="shared" si="110"/>
        <v>11444116.13640976</v>
      </c>
      <c r="BB85" s="207">
        <f t="shared" si="110"/>
        <v>11478567.694362076</v>
      </c>
      <c r="BC85" s="207">
        <f t="shared" si="110"/>
        <v>11513122.965858644</v>
      </c>
      <c r="BD85" s="207">
        <f t="shared" si="110"/>
        <v>11547782.263120448</v>
      </c>
      <c r="BE85" s="207">
        <f t="shared" si="110"/>
        <v>11582545.899308382</v>
      </c>
      <c r="BF85" s="207">
        <f t="shared" si="110"/>
        <v>11617414.188526092</v>
      </c>
      <c r="BG85" s="207">
        <f t="shared" si="110"/>
        <v>11652387.4458228</v>
      </c>
      <c r="BH85" s="207">
        <f t="shared" si="110"/>
        <v>11687465.987196162</v>
      </c>
      <c r="BI85" s="207">
        <f t="shared" si="110"/>
        <v>11722650.129595116</v>
      </c>
      <c r="BJ85" s="207">
        <f t="shared" si="110"/>
        <v>11757940.190922752</v>
      </c>
      <c r="BK85" s="207">
        <f t="shared" si="110"/>
        <v>11793336.490039177</v>
      </c>
      <c r="BL85" s="207">
        <f t="shared" si="110"/>
        <v>11828839.346764399</v>
      </c>
      <c r="BM85" s="207">
        <f t="shared" si="110"/>
        <v>11864449.081881221</v>
      </c>
      <c r="BN85" s="207">
        <f t="shared" si="110"/>
        <v>11900166.017138135</v>
      </c>
      <c r="BO85" s="207">
        <f t="shared" si="110"/>
        <v>11935990.47525223</v>
      </c>
      <c r="BP85" s="182"/>
    </row>
    <row r="86" spans="1:68" ht="14.25" customHeight="1" x14ac:dyDescent="0.3">
      <c r="A86" s="982"/>
      <c r="D86" s="944"/>
      <c r="E86" s="183"/>
      <c r="F86" s="185" t="s">
        <v>403</v>
      </c>
      <c r="G86" s="186">
        <v>984096</v>
      </c>
      <c r="H86" s="186">
        <v>963262</v>
      </c>
      <c r="I86" s="186">
        <v>1329532</v>
      </c>
      <c r="J86" s="186">
        <v>1177181</v>
      </c>
      <c r="K86" s="186">
        <v>1667704</v>
      </c>
      <c r="L86" s="187">
        <v>2017573</v>
      </c>
      <c r="M86" s="187">
        <v>1199075</v>
      </c>
      <c r="N86" s="187">
        <v>1572279</v>
      </c>
      <c r="O86" s="187">
        <v>1449266</v>
      </c>
      <c r="P86" s="187">
        <v>1628519</v>
      </c>
      <c r="Q86" s="187">
        <v>1463279</v>
      </c>
      <c r="R86" s="187">
        <v>1849405</v>
      </c>
      <c r="S86" s="207">
        <v>1736397</v>
      </c>
      <c r="T86" s="207">
        <f t="shared" si="110"/>
        <v>1882925.1028288906</v>
      </c>
      <c r="U86" s="207">
        <f t="shared" si="110"/>
        <v>2007107.9895573582</v>
      </c>
      <c r="V86" s="207">
        <f t="shared" si="110"/>
        <v>2020081.3459494822</v>
      </c>
      <c r="W86" s="207">
        <f t="shared" si="110"/>
        <v>2151450.6447257162</v>
      </c>
      <c r="X86" s="207">
        <f t="shared" si="110"/>
        <v>2215371.3797596195</v>
      </c>
      <c r="Y86" s="207">
        <f t="shared" si="110"/>
        <v>2282283.9118272658</v>
      </c>
      <c r="Z86" s="207">
        <f t="shared" si="110"/>
        <v>2343568.3612215868</v>
      </c>
      <c r="AA86" s="207">
        <f t="shared" si="110"/>
        <v>2413968.6415720768</v>
      </c>
      <c r="AB86" s="207">
        <f t="shared" si="110"/>
        <v>2395285.8308906038</v>
      </c>
      <c r="AC86" s="207">
        <f t="shared" si="110"/>
        <v>2451384.9576118221</v>
      </c>
      <c r="AD86" s="207">
        <f t="shared" si="110"/>
        <v>2517367.1626298218</v>
      </c>
      <c r="AE86" s="207">
        <f t="shared" si="110"/>
        <v>2569167.6056405599</v>
      </c>
      <c r="AF86" s="207">
        <f t="shared" si="110"/>
        <v>2619658.9593152716</v>
      </c>
      <c r="AG86" s="207">
        <f t="shared" si="110"/>
        <v>2669271.6851341794</v>
      </c>
      <c r="AH86" s="207">
        <f t="shared" si="110"/>
        <v>2714199.327284913</v>
      </c>
      <c r="AI86" s="207">
        <f t="shared" si="110"/>
        <v>2755352.7906614863</v>
      </c>
      <c r="AJ86" s="207">
        <f t="shared" si="110"/>
        <v>2809227.6662483267</v>
      </c>
      <c r="AK86" s="207">
        <f t="shared" si="110"/>
        <v>2860540.0426559276</v>
      </c>
      <c r="AL86" s="207">
        <f t="shared" si="110"/>
        <v>2910177.2509585787</v>
      </c>
      <c r="AM86" s="207">
        <f t="shared" si="110"/>
        <v>2959002.1996337972</v>
      </c>
      <c r="AN86" s="207">
        <f t="shared" si="110"/>
        <v>3003493.9814645839</v>
      </c>
      <c r="AO86" s="207">
        <f t="shared" si="110"/>
        <v>3051879.496750907</v>
      </c>
      <c r="AP86" s="207">
        <f t="shared" si="110"/>
        <v>3097895.3225357719</v>
      </c>
      <c r="AQ86" s="207">
        <f t="shared" si="110"/>
        <v>3149072.0824615271</v>
      </c>
      <c r="AR86" s="207">
        <f t="shared" si="110"/>
        <v>3196007.1005602386</v>
      </c>
      <c r="AS86" s="207">
        <f t="shared" si="110"/>
        <v>3242226.5906206705</v>
      </c>
      <c r="AT86" s="207">
        <f t="shared" si="110"/>
        <v>3288783.5989542031</v>
      </c>
      <c r="AU86" s="207">
        <f t="shared" si="110"/>
        <v>3335278.4456632556</v>
      </c>
      <c r="AV86" s="207">
        <f t="shared" si="110"/>
        <v>3383975.2678513071</v>
      </c>
      <c r="AW86" s="207">
        <f t="shared" si="110"/>
        <v>3430802.3741897391</v>
      </c>
      <c r="AX86" s="207">
        <f t="shared" si="110"/>
        <v>3477464.3689669226</v>
      </c>
      <c r="AY86" s="207">
        <f t="shared" si="110"/>
        <v>3524327.5624505188</v>
      </c>
      <c r="AZ86" s="207">
        <f t="shared" si="110"/>
        <v>3571028.1606608056</v>
      </c>
      <c r="BA86" s="207">
        <f t="shared" si="110"/>
        <v>3617932.0950431661</v>
      </c>
      <c r="BB86" s="207">
        <f t="shared" si="110"/>
        <v>3663948.797044307</v>
      </c>
      <c r="BC86" s="207">
        <f t="shared" si="110"/>
        <v>3709824.3625933165</v>
      </c>
      <c r="BD86" s="207">
        <f t="shared" si="110"/>
        <v>3755523.2746400069</v>
      </c>
      <c r="BE86" s="207">
        <f t="shared" si="110"/>
        <v>3800928.3171932185</v>
      </c>
      <c r="BF86" s="207">
        <f t="shared" si="110"/>
        <v>3845933.06275451</v>
      </c>
      <c r="BG86" s="207">
        <f t="shared" si="110"/>
        <v>3890581.1339697642</v>
      </c>
      <c r="BH86" s="207">
        <f t="shared" si="110"/>
        <v>3934879.9705624222</v>
      </c>
      <c r="BI86" s="207">
        <f t="shared" si="110"/>
        <v>3978814.4498938085</v>
      </c>
      <c r="BJ86" s="207">
        <f t="shared" si="110"/>
        <v>4022312.8513278067</v>
      </c>
      <c r="BK86" s="207">
        <f t="shared" si="110"/>
        <v>4065350.4169277921</v>
      </c>
      <c r="BL86" s="207">
        <f t="shared" si="110"/>
        <v>4107882.8676439938</v>
      </c>
      <c r="BM86" s="207">
        <f t="shared" si="110"/>
        <v>4149927.937228635</v>
      </c>
      <c r="BN86" s="207">
        <f t="shared" si="110"/>
        <v>4191456.4306462132</v>
      </c>
      <c r="BO86" s="207">
        <f t="shared" si="110"/>
        <v>4232438.3707746183</v>
      </c>
      <c r="BP86" s="182"/>
    </row>
    <row r="87" spans="1:68" ht="14.25" customHeight="1" x14ac:dyDescent="0.3">
      <c r="A87" s="982"/>
      <c r="D87" s="944"/>
      <c r="E87" s="183"/>
      <c r="F87" s="185" t="s">
        <v>404</v>
      </c>
      <c r="G87" s="186">
        <v>2850465</v>
      </c>
      <c r="H87" s="186">
        <v>2097356</v>
      </c>
      <c r="I87" s="186">
        <v>2649051</v>
      </c>
      <c r="J87" s="186">
        <v>2316838</v>
      </c>
      <c r="K87" s="186">
        <v>3468510</v>
      </c>
      <c r="L87" s="187">
        <v>4175659</v>
      </c>
      <c r="M87" s="187">
        <v>3124069</v>
      </c>
      <c r="N87" s="187">
        <v>3275993</v>
      </c>
      <c r="O87" s="187">
        <v>2785756</v>
      </c>
      <c r="P87" s="187">
        <v>2275948</v>
      </c>
      <c r="Q87" s="187">
        <v>2446312</v>
      </c>
      <c r="R87" s="187">
        <v>2418855</v>
      </c>
      <c r="S87" s="207">
        <v>2296402.2335077925</v>
      </c>
      <c r="T87" s="207">
        <f t="shared" si="110"/>
        <v>2031514.4970440913</v>
      </c>
      <c r="U87" s="207">
        <f t="shared" si="110"/>
        <v>2161366.1680480512</v>
      </c>
      <c r="V87" s="207">
        <f t="shared" si="110"/>
        <v>2171186.8337849239</v>
      </c>
      <c r="W87" s="207">
        <f t="shared" si="110"/>
        <v>2307971.5717594768</v>
      </c>
      <c r="X87" s="207">
        <f t="shared" si="110"/>
        <v>2372009.0263245469</v>
      </c>
      <c r="Y87" s="207">
        <f t="shared" si="110"/>
        <v>2438990.9814259396</v>
      </c>
      <c r="Z87" s="207">
        <f t="shared" si="110"/>
        <v>2499705.7022152981</v>
      </c>
      <c r="AA87" s="207">
        <f t="shared" si="110"/>
        <v>2569884.5165371583</v>
      </c>
      <c r="AB87" s="207">
        <f t="shared" si="110"/>
        <v>2545130.5159189194</v>
      </c>
      <c r="AC87" s="207">
        <f t="shared" si="110"/>
        <v>2599770.1832677168</v>
      </c>
      <c r="AD87" s="207">
        <f t="shared" si="110"/>
        <v>2664653.4404898263</v>
      </c>
      <c r="AE87" s="207">
        <f t="shared" si="110"/>
        <v>2714296.815600689</v>
      </c>
      <c r="AF87" s="207">
        <f t="shared" si="110"/>
        <v>2762360.6899797949</v>
      </c>
      <c r="AG87" s="207">
        <f t="shared" si="110"/>
        <v>2809306.5868173046</v>
      </c>
      <c r="AH87" s="207">
        <f t="shared" si="110"/>
        <v>2851141.8534808294</v>
      </c>
      <c r="AI87" s="207">
        <f t="shared" si="110"/>
        <v>2888850.2445138032</v>
      </c>
      <c r="AJ87" s="207">
        <f t="shared" si="110"/>
        <v>2939716.7152009346</v>
      </c>
      <c r="AK87" s="207">
        <f t="shared" si="110"/>
        <v>2987702.1904485147</v>
      </c>
      <c r="AL87" s="207">
        <f t="shared" si="110"/>
        <v>3033747.5910627982</v>
      </c>
      <c r="AM87" s="207">
        <f t="shared" si="110"/>
        <v>3078761.3084853189</v>
      </c>
      <c r="AN87" s="207">
        <f t="shared" si="110"/>
        <v>3119092.3038249537</v>
      </c>
      <c r="AO87" s="207">
        <f t="shared" si="110"/>
        <v>3163294.1022876827</v>
      </c>
      <c r="AP87" s="207">
        <f t="shared" si="110"/>
        <v>3204864.3934226963</v>
      </c>
      <c r="AQ87" s="207">
        <f t="shared" si="110"/>
        <v>3251593.5241832943</v>
      </c>
      <c r="AR87" s="207">
        <f t="shared" si="110"/>
        <v>3293761.2257574494</v>
      </c>
      <c r="AS87" s="207">
        <f t="shared" si="110"/>
        <v>3335020.2057162574</v>
      </c>
      <c r="AT87" s="207">
        <f t="shared" si="110"/>
        <v>3376456.3002016298</v>
      </c>
      <c r="AU87" s="207">
        <f t="shared" si="110"/>
        <v>3417658.4704660596</v>
      </c>
      <c r="AV87" s="207">
        <f t="shared" si="110"/>
        <v>3460943.2142388886</v>
      </c>
      <c r="AW87" s="207">
        <f t="shared" si="110"/>
        <v>3502141.7825773647</v>
      </c>
      <c r="AX87" s="207">
        <f t="shared" ref="AX87:BO87" si="112">AX102*1000000</f>
        <v>3543002.3483360345</v>
      </c>
      <c r="AY87" s="207">
        <f t="shared" si="112"/>
        <v>3583898.8740459611</v>
      </c>
      <c r="AZ87" s="207">
        <f t="shared" si="112"/>
        <v>3624461.4460819606</v>
      </c>
      <c r="BA87" s="207">
        <f t="shared" si="112"/>
        <v>3665062.2029266483</v>
      </c>
      <c r="BB87" s="207">
        <f t="shared" si="112"/>
        <v>3704597.7906741495</v>
      </c>
      <c r="BC87" s="207">
        <f t="shared" si="112"/>
        <v>3743826.771078954</v>
      </c>
      <c r="BD87" s="207">
        <f t="shared" si="112"/>
        <v>3782714.6675617569</v>
      </c>
      <c r="BE87" s="207">
        <f t="shared" si="112"/>
        <v>3821145.1386770043</v>
      </c>
      <c r="BF87" s="207">
        <f t="shared" si="112"/>
        <v>3859013.5622266848</v>
      </c>
      <c r="BG87" s="207">
        <f t="shared" si="112"/>
        <v>3896366.3964668377</v>
      </c>
      <c r="BH87" s="207">
        <f t="shared" si="112"/>
        <v>3933213.5887055662</v>
      </c>
      <c r="BI87" s="207">
        <f t="shared" si="112"/>
        <v>3969542.5107183722</v>
      </c>
      <c r="BJ87" s="207">
        <f t="shared" si="112"/>
        <v>4005284.2822053176</v>
      </c>
      <c r="BK87" s="207">
        <f t="shared" si="112"/>
        <v>4040417.2333773472</v>
      </c>
      <c r="BL87" s="207">
        <f t="shared" si="112"/>
        <v>4074900.5071804891</v>
      </c>
      <c r="BM87" s="207">
        <f t="shared" si="112"/>
        <v>4108754.9681221889</v>
      </c>
      <c r="BN87" s="207">
        <f t="shared" si="112"/>
        <v>4141954.9601038429</v>
      </c>
      <c r="BO87" s="207">
        <f t="shared" si="112"/>
        <v>4174474.2641408541</v>
      </c>
      <c r="BP87" s="182"/>
    </row>
    <row r="88" spans="1:68" ht="14.25" customHeight="1" x14ac:dyDescent="0.3">
      <c r="A88" s="982"/>
      <c r="D88" s="944" t="s">
        <v>367</v>
      </c>
      <c r="E88" s="183"/>
      <c r="F88" s="185" t="s">
        <v>405</v>
      </c>
      <c r="G88" s="188">
        <v>0</v>
      </c>
      <c r="H88" s="188">
        <v>0</v>
      </c>
      <c r="I88" s="188">
        <v>0</v>
      </c>
      <c r="J88" s="188">
        <v>0</v>
      </c>
      <c r="K88" s="186">
        <v>32681</v>
      </c>
      <c r="L88" s="187">
        <v>32697</v>
      </c>
      <c r="M88" s="187">
        <v>41788</v>
      </c>
      <c r="N88" s="187">
        <v>35006</v>
      </c>
      <c r="O88" s="187">
        <v>25504</v>
      </c>
      <c r="P88" s="187">
        <v>39515</v>
      </c>
      <c r="Q88" s="187">
        <v>27238</v>
      </c>
      <c r="R88" s="187">
        <v>20077</v>
      </c>
      <c r="S88" s="207">
        <v>29453.725766288386</v>
      </c>
      <c r="T88" s="207">
        <f t="shared" ref="T88:AW88" si="113">T103*1000000</f>
        <v>26954.272462386787</v>
      </c>
      <c r="U88" s="207">
        <f t="shared" si="113"/>
        <v>28566.936717266221</v>
      </c>
      <c r="V88" s="207">
        <f t="shared" si="113"/>
        <v>28586.445371470836</v>
      </c>
      <c r="W88" s="207">
        <f t="shared" si="113"/>
        <v>30270.601402522323</v>
      </c>
      <c r="X88" s="207">
        <f t="shared" si="113"/>
        <v>30990.926994803511</v>
      </c>
      <c r="Y88" s="207">
        <f t="shared" si="113"/>
        <v>31743.5913347762</v>
      </c>
      <c r="Z88" s="207">
        <f t="shared" si="113"/>
        <v>32408.75750360834</v>
      </c>
      <c r="AA88" s="207">
        <f t="shared" si="113"/>
        <v>33190.572493659245</v>
      </c>
      <c r="AB88" s="207">
        <f t="shared" si="113"/>
        <v>32744.535130764514</v>
      </c>
      <c r="AC88" s="207">
        <f t="shared" si="113"/>
        <v>33318.954462652415</v>
      </c>
      <c r="AD88" s="207">
        <f t="shared" si="113"/>
        <v>34019.253176190898</v>
      </c>
      <c r="AE88" s="207">
        <f t="shared" si="113"/>
        <v>34519.859093420782</v>
      </c>
      <c r="AF88" s="207">
        <f t="shared" si="113"/>
        <v>34996.103928644021</v>
      </c>
      <c r="AG88" s="207">
        <f t="shared" si="113"/>
        <v>35454.068976098039</v>
      </c>
      <c r="AH88" s="207">
        <f t="shared" si="113"/>
        <v>35843.747441412968</v>
      </c>
      <c r="AI88" s="207">
        <f t="shared" si="113"/>
        <v>36178.224343330512</v>
      </c>
      <c r="AJ88" s="207">
        <f t="shared" si="113"/>
        <v>36673.75131329448</v>
      </c>
      <c r="AK88" s="207">
        <f t="shared" si="113"/>
        <v>37129.131853215462</v>
      </c>
      <c r="AL88" s="207">
        <f t="shared" si="113"/>
        <v>37556.45302484592</v>
      </c>
      <c r="AM88" s="207">
        <f t="shared" si="113"/>
        <v>37967.218356617501</v>
      </c>
      <c r="AN88" s="207">
        <f t="shared" si="113"/>
        <v>38316.746206421478</v>
      </c>
      <c r="AO88" s="207">
        <f t="shared" si="113"/>
        <v>38710.394950090558</v>
      </c>
      <c r="AP88" s="207">
        <f t="shared" si="113"/>
        <v>39068.372878727081</v>
      </c>
      <c r="AQ88" s="207">
        <f t="shared" si="113"/>
        <v>39485.673612661994</v>
      </c>
      <c r="AR88" s="207">
        <f t="shared" si="113"/>
        <v>39844.010828634717</v>
      </c>
      <c r="AS88" s="207">
        <f t="shared" si="113"/>
        <v>40188.059964220352</v>
      </c>
      <c r="AT88" s="207">
        <f t="shared" si="113"/>
        <v>40531.002024589085</v>
      </c>
      <c r="AU88" s="207">
        <f t="shared" si="113"/>
        <v>40867.917118047728</v>
      </c>
      <c r="AV88" s="207">
        <f t="shared" si="113"/>
        <v>41226.451174426227</v>
      </c>
      <c r="AW88" s="207">
        <f t="shared" si="113"/>
        <v>41556.870776191055</v>
      </c>
      <c r="AX88" s="207">
        <f t="shared" ref="AX88:BO88" si="114">AX103*1000000</f>
        <v>41880.14619685564</v>
      </c>
      <c r="AY88" s="207">
        <f t="shared" si="114"/>
        <v>42200.7462705379</v>
      </c>
      <c r="AZ88" s="207">
        <f t="shared" si="114"/>
        <v>42514.346132285857</v>
      </c>
      <c r="BA88" s="207">
        <f t="shared" si="114"/>
        <v>42825.358257742846</v>
      </c>
      <c r="BB88" s="207">
        <f t="shared" si="114"/>
        <v>43120.953319762462</v>
      </c>
      <c r="BC88" s="207">
        <f t="shared" si="114"/>
        <v>43410.088490379414</v>
      </c>
      <c r="BD88" s="207">
        <f t="shared" si="114"/>
        <v>43692.424498921879</v>
      </c>
      <c r="BE88" s="207">
        <f t="shared" si="114"/>
        <v>43966.685836742618</v>
      </c>
      <c r="BF88" s="207">
        <f t="shared" si="114"/>
        <v>44231.751456886683</v>
      </c>
      <c r="BG88" s="207">
        <f t="shared" si="114"/>
        <v>44488.243207258834</v>
      </c>
      <c r="BH88" s="207">
        <f t="shared" si="114"/>
        <v>44736.358843610498</v>
      </c>
      <c r="BI88" s="207">
        <f t="shared" si="114"/>
        <v>44976.037984449336</v>
      </c>
      <c r="BJ88" s="207">
        <f t="shared" si="114"/>
        <v>45206.586948683784</v>
      </c>
      <c r="BK88" s="207">
        <f t="shared" si="114"/>
        <v>45427.854205778771</v>
      </c>
      <c r="BL88" s="207">
        <f t="shared" si="114"/>
        <v>45639.476399598039</v>
      </c>
      <c r="BM88" s="207">
        <f t="shared" si="114"/>
        <v>45841.785154048623</v>
      </c>
      <c r="BN88" s="207">
        <f t="shared" si="114"/>
        <v>46034.59074939524</v>
      </c>
      <c r="BO88" s="207">
        <f t="shared" si="114"/>
        <v>46217.700918018098</v>
      </c>
      <c r="BP88" s="182"/>
    </row>
    <row r="89" spans="1:68" ht="13.5" customHeight="1" x14ac:dyDescent="0.3">
      <c r="A89" s="982"/>
      <c r="D89" s="944" t="s">
        <v>367</v>
      </c>
      <c r="E89" s="183"/>
      <c r="F89" s="185" t="s">
        <v>369</v>
      </c>
      <c r="G89" s="188">
        <v>0</v>
      </c>
      <c r="H89" s="188">
        <v>0</v>
      </c>
      <c r="I89" s="188">
        <v>0</v>
      </c>
      <c r="J89" s="188">
        <v>0</v>
      </c>
      <c r="K89" s="188">
        <v>0</v>
      </c>
      <c r="L89" s="187">
        <v>63334.728355706735</v>
      </c>
      <c r="M89" s="187">
        <v>40803.084957981751</v>
      </c>
      <c r="N89" s="187">
        <v>65372.491848106867</v>
      </c>
      <c r="O89" s="187">
        <v>43652.64024665601</v>
      </c>
      <c r="P89" s="187">
        <v>35010.121222727226</v>
      </c>
      <c r="Q89" s="187">
        <v>37421.596562221981</v>
      </c>
      <c r="R89" s="187">
        <v>27855.525305192987</v>
      </c>
      <c r="S89" s="207">
        <v>23652.076736890878</v>
      </c>
      <c r="T89" s="207">
        <f t="shared" ref="T89:AW89" si="115">T104*1000000</f>
        <v>25810.647019040596</v>
      </c>
      <c r="U89" s="207">
        <f t="shared" si="115"/>
        <v>27354.888582265914</v>
      </c>
      <c r="V89" s="207">
        <f t="shared" si="115"/>
        <v>27373.569516362524</v>
      </c>
      <c r="W89" s="207">
        <f t="shared" si="115"/>
        <v>28986.26957729413</v>
      </c>
      <c r="X89" s="207">
        <f t="shared" si="115"/>
        <v>29676.03293956241</v>
      </c>
      <c r="Y89" s="207">
        <f t="shared" si="115"/>
        <v>30396.76296965182</v>
      </c>
      <c r="Z89" s="207">
        <f t="shared" si="115"/>
        <v>31033.707232075954</v>
      </c>
      <c r="AA89" s="207">
        <f t="shared" si="115"/>
        <v>31782.351098110837</v>
      </c>
      <c r="AB89" s="207">
        <f t="shared" si="115"/>
        <v>31355.238366834383</v>
      </c>
      <c r="AC89" s="207">
        <f t="shared" si="115"/>
        <v>31905.286031335843</v>
      </c>
      <c r="AD89" s="207">
        <f t="shared" si="115"/>
        <v>32575.872222384136</v>
      </c>
      <c r="AE89" s="207">
        <f t="shared" si="115"/>
        <v>33055.23825399542</v>
      </c>
      <c r="AF89" s="207">
        <f t="shared" si="115"/>
        <v>33511.276804237925</v>
      </c>
      <c r="AG89" s="207">
        <f t="shared" si="115"/>
        <v>33949.811148037734</v>
      </c>
      <c r="AH89" s="207">
        <f t="shared" si="115"/>
        <v>34322.956197053631</v>
      </c>
      <c r="AI89" s="207">
        <f t="shared" si="115"/>
        <v>34643.241794205729</v>
      </c>
      <c r="AJ89" s="207">
        <f t="shared" si="115"/>
        <v>35117.744369929191</v>
      </c>
      <c r="AK89" s="207">
        <f t="shared" si="115"/>
        <v>35553.803862599321</v>
      </c>
      <c r="AL89" s="207">
        <f t="shared" si="115"/>
        <v>35962.994499820474</v>
      </c>
      <c r="AM89" s="207">
        <f t="shared" si="115"/>
        <v>36356.331734235173</v>
      </c>
      <c r="AN89" s="207">
        <f t="shared" si="115"/>
        <v>36691.029692312273</v>
      </c>
      <c r="AO89" s="207">
        <f t="shared" si="115"/>
        <v>37067.976567302496</v>
      </c>
      <c r="AP89" s="207">
        <f t="shared" si="115"/>
        <v>37410.766081266862</v>
      </c>
      <c r="AQ89" s="207">
        <f t="shared" si="115"/>
        <v>37810.361431481215</v>
      </c>
      <c r="AR89" s="207">
        <f t="shared" si="115"/>
        <v>38153.4949888111</v>
      </c>
      <c r="AS89" s="207">
        <f t="shared" si="115"/>
        <v>38482.946685502182</v>
      </c>
      <c r="AT89" s="207">
        <f t="shared" si="115"/>
        <v>38811.338278356765</v>
      </c>
      <c r="AU89" s="207">
        <f t="shared" si="115"/>
        <v>39133.958618593468</v>
      </c>
      <c r="AV89" s="207">
        <f t="shared" si="115"/>
        <v>39477.28066471449</v>
      </c>
      <c r="AW89" s="207">
        <f t="shared" si="115"/>
        <v>39793.681106285476</v>
      </c>
      <c r="AX89" s="207">
        <f t="shared" ref="AX89:BO89" si="116">AX104*1000000</f>
        <v>40103.240482608795</v>
      </c>
      <c r="AY89" s="207">
        <f t="shared" si="116"/>
        <v>40410.238022521567</v>
      </c>
      <c r="AZ89" s="207">
        <f t="shared" si="116"/>
        <v>40710.532357977718</v>
      </c>
      <c r="BA89" s="207">
        <f t="shared" si="116"/>
        <v>41008.348750537138</v>
      </c>
      <c r="BB89" s="207">
        <f t="shared" si="116"/>
        <v>41291.402200301221</v>
      </c>
      <c r="BC89" s="207">
        <f t="shared" si="116"/>
        <v>41568.269841228954</v>
      </c>
      <c r="BD89" s="207">
        <f t="shared" si="116"/>
        <v>41838.62679734503</v>
      </c>
      <c r="BE89" s="207">
        <f t="shared" si="116"/>
        <v>42101.251677736043</v>
      </c>
      <c r="BF89" s="207">
        <f t="shared" si="116"/>
        <v>42355.070999625306</v>
      </c>
      <c r="BG89" s="207">
        <f t="shared" si="116"/>
        <v>42600.680226933873</v>
      </c>
      <c r="BH89" s="207">
        <f t="shared" si="116"/>
        <v>42838.268724961934</v>
      </c>
      <c r="BI89" s="207">
        <f t="shared" si="116"/>
        <v>43067.778674104527</v>
      </c>
      <c r="BJ89" s="207">
        <f t="shared" si="116"/>
        <v>43288.545825017791</v>
      </c>
      <c r="BK89" s="207">
        <f t="shared" si="116"/>
        <v>43500.425076357984</v>
      </c>
      <c r="BL89" s="207">
        <f t="shared" si="116"/>
        <v>43703.06848859202</v>
      </c>
      <c r="BM89" s="207">
        <f t="shared" si="116"/>
        <v>43896.793615370065</v>
      </c>
      <c r="BN89" s="207">
        <f t="shared" si="116"/>
        <v>44081.41878645312</v>
      </c>
      <c r="BO89" s="207">
        <f t="shared" si="116"/>
        <v>44256.759891820249</v>
      </c>
      <c r="BP89" s="182"/>
    </row>
    <row r="90" spans="1:68" ht="13.5" customHeight="1" x14ac:dyDescent="0.3">
      <c r="A90" s="982"/>
      <c r="D90" s="944"/>
      <c r="E90" s="183"/>
      <c r="F90" s="185" t="s">
        <v>406</v>
      </c>
      <c r="G90" s="186">
        <v>58133</v>
      </c>
      <c r="H90" s="186">
        <v>68072</v>
      </c>
      <c r="I90" s="186">
        <v>45975</v>
      </c>
      <c r="J90" s="186">
        <v>37544</v>
      </c>
      <c r="K90" s="186">
        <v>72494</v>
      </c>
      <c r="L90" s="187">
        <v>63077</v>
      </c>
      <c r="M90" s="187">
        <v>73829</v>
      </c>
      <c r="N90" s="187">
        <v>63367</v>
      </c>
      <c r="O90" s="187">
        <v>66623</v>
      </c>
      <c r="P90" s="187">
        <v>69686</v>
      </c>
      <c r="Q90" s="187">
        <v>77361</v>
      </c>
      <c r="R90" s="187">
        <v>87922</v>
      </c>
      <c r="S90" s="207">
        <v>68358.373950290232</v>
      </c>
      <c r="T90" s="207">
        <f t="shared" ref="T90:BO91" si="117">T106*1000000</f>
        <v>23147.915967647343</v>
      </c>
      <c r="U90" s="207">
        <f t="shared" si="117"/>
        <v>24584.010700511524</v>
      </c>
      <c r="V90" s="207">
        <f t="shared" si="117"/>
        <v>24652.104481854025</v>
      </c>
      <c r="W90" s="207">
        <f t="shared" si="117"/>
        <v>26158.911824554114</v>
      </c>
      <c r="X90" s="207">
        <f t="shared" si="117"/>
        <v>26837.247539999127</v>
      </c>
      <c r="Y90" s="207">
        <f t="shared" si="117"/>
        <v>27546.361652354903</v>
      </c>
      <c r="Z90" s="207">
        <f t="shared" si="117"/>
        <v>28182.229504209983</v>
      </c>
      <c r="AA90" s="207">
        <f t="shared" si="117"/>
        <v>28922.277587338616</v>
      </c>
      <c r="AB90" s="207">
        <f t="shared" si="117"/>
        <v>28593.107445821293</v>
      </c>
      <c r="AC90" s="207">
        <f t="shared" si="117"/>
        <v>29155.377734888945</v>
      </c>
      <c r="AD90" s="207">
        <f t="shared" si="117"/>
        <v>29830.247958213738</v>
      </c>
      <c r="AE90" s="207">
        <f t="shared" si="117"/>
        <v>30332.337724684232</v>
      </c>
      <c r="AF90" s="207">
        <f t="shared" si="117"/>
        <v>30814.941431953372</v>
      </c>
      <c r="AG90" s="207">
        <f t="shared" si="117"/>
        <v>31283.296782878071</v>
      </c>
      <c r="AH90" s="207">
        <f t="shared" si="117"/>
        <v>31693.092531693652</v>
      </c>
      <c r="AI90" s="207">
        <f t="shared" si="117"/>
        <v>32055.550388722375</v>
      </c>
      <c r="AJ90" s="207">
        <f t="shared" si="117"/>
        <v>32562.377491592375</v>
      </c>
      <c r="AK90" s="207">
        <f t="shared" si="117"/>
        <v>33035.459070800993</v>
      </c>
      <c r="AL90" s="207">
        <f t="shared" si="117"/>
        <v>33485.354505592775</v>
      </c>
      <c r="AM90" s="207">
        <f t="shared" si="117"/>
        <v>33922.190796522933</v>
      </c>
      <c r="AN90" s="207">
        <f t="shared" si="117"/>
        <v>34305.876152408789</v>
      </c>
      <c r="AO90" s="207">
        <f t="shared" si="117"/>
        <v>34730.5991728511</v>
      </c>
      <c r="AP90" s="207">
        <f t="shared" si="117"/>
        <v>35124.874249743989</v>
      </c>
      <c r="AQ90" s="207">
        <f t="shared" si="117"/>
        <v>35574.08888455898</v>
      </c>
      <c r="AR90" s="207">
        <f t="shared" si="117"/>
        <v>35971.791249978131</v>
      </c>
      <c r="AS90" s="207">
        <f t="shared" si="117"/>
        <v>36358.071310255385</v>
      </c>
      <c r="AT90" s="207">
        <f t="shared" si="117"/>
        <v>36744.802437860017</v>
      </c>
      <c r="AU90" s="207">
        <f t="shared" si="117"/>
        <v>37127.513138529175</v>
      </c>
      <c r="AV90" s="207">
        <f t="shared" si="117"/>
        <v>37531.341578800835</v>
      </c>
      <c r="AW90" s="207">
        <f t="shared" si="117"/>
        <v>37911.044966757399</v>
      </c>
      <c r="AX90" s="207">
        <f t="shared" si="117"/>
        <v>38285.637858496062</v>
      </c>
      <c r="AY90" s="207">
        <f t="shared" si="117"/>
        <v>38659.177467025591</v>
      </c>
      <c r="AZ90" s="207">
        <f t="shared" si="117"/>
        <v>39027.682482189317</v>
      </c>
      <c r="BA90" s="207">
        <f t="shared" si="117"/>
        <v>39395.17592791569</v>
      </c>
      <c r="BB90" s="207">
        <f t="shared" si="117"/>
        <v>39749.820668472785</v>
      </c>
      <c r="BC90" s="207">
        <f t="shared" si="117"/>
        <v>40099.806008014762</v>
      </c>
      <c r="BD90" s="207">
        <f t="shared" si="117"/>
        <v>40444.784472028245</v>
      </c>
      <c r="BE90" s="207">
        <f t="shared" si="117"/>
        <v>40783.537365884411</v>
      </c>
      <c r="BF90" s="207">
        <f t="shared" si="117"/>
        <v>41114.979548795236</v>
      </c>
      <c r="BG90" s="207">
        <f t="shared" si="117"/>
        <v>41439.640463115997</v>
      </c>
      <c r="BH90" s="207">
        <f t="shared" si="117"/>
        <v>41757.658315488072</v>
      </c>
      <c r="BI90" s="207">
        <f t="shared" si="117"/>
        <v>42068.931201613173</v>
      </c>
      <c r="BJ90" s="207">
        <f t="shared" si="117"/>
        <v>42372.762950938006</v>
      </c>
      <c r="BK90" s="207">
        <f t="shared" si="117"/>
        <v>42668.960997251335</v>
      </c>
      <c r="BL90" s="207">
        <f t="shared" si="117"/>
        <v>42957.131996548866</v>
      </c>
      <c r="BM90" s="207">
        <f t="shared" si="117"/>
        <v>43237.535031534535</v>
      </c>
      <c r="BN90" s="207">
        <f t="shared" si="117"/>
        <v>43509.938813750319</v>
      </c>
      <c r="BO90" s="207">
        <f t="shared" si="117"/>
        <v>43774.107924511409</v>
      </c>
      <c r="BP90" s="182"/>
    </row>
    <row r="91" spans="1:68" ht="14.25" customHeight="1" x14ac:dyDescent="0.3">
      <c r="A91" s="982"/>
      <c r="D91" s="944"/>
      <c r="E91" s="183"/>
      <c r="F91" s="185" t="s">
        <v>407</v>
      </c>
      <c r="G91" s="186">
        <v>26338</v>
      </c>
      <c r="H91" s="186">
        <v>30641</v>
      </c>
      <c r="I91" s="186">
        <v>18412</v>
      </c>
      <c r="J91" s="186">
        <v>26909</v>
      </c>
      <c r="K91" s="186">
        <v>21304</v>
      </c>
      <c r="L91" s="187">
        <v>23687</v>
      </c>
      <c r="M91" s="187">
        <v>36063</v>
      </c>
      <c r="N91" s="187">
        <v>20602</v>
      </c>
      <c r="O91" s="187">
        <v>21217</v>
      </c>
      <c r="P91" s="187">
        <v>23028</v>
      </c>
      <c r="Q91" s="187">
        <v>33657</v>
      </c>
      <c r="R91" s="187">
        <v>27061</v>
      </c>
      <c r="S91" s="207">
        <v>19469.815087454572</v>
      </c>
      <c r="T91" s="207">
        <f t="shared" si="117"/>
        <v>427108.08603816823</v>
      </c>
      <c r="U91" s="207">
        <f t="shared" si="117"/>
        <v>453605.83527746855</v>
      </c>
      <c r="V91" s="207">
        <f t="shared" si="117"/>
        <v>454862.25095916301</v>
      </c>
      <c r="W91" s="207">
        <f t="shared" si="117"/>
        <v>482664.73655088444</v>
      </c>
      <c r="X91" s="207">
        <f t="shared" si="117"/>
        <v>495180.88139606104</v>
      </c>
      <c r="Y91" s="207">
        <f t="shared" si="117"/>
        <v>508264.92627224908</v>
      </c>
      <c r="Z91" s="207">
        <f t="shared" si="117"/>
        <v>519997.48576307349</v>
      </c>
      <c r="AA91" s="207">
        <f t="shared" si="117"/>
        <v>533652.30120317859</v>
      </c>
      <c r="AB91" s="207">
        <f t="shared" si="117"/>
        <v>527578.69918557699</v>
      </c>
      <c r="AC91" s="207">
        <f t="shared" si="117"/>
        <v>537953.29132317845</v>
      </c>
      <c r="AD91" s="207">
        <f t="shared" si="117"/>
        <v>550405.49349167012</v>
      </c>
      <c r="AE91" s="207">
        <f t="shared" si="117"/>
        <v>559669.67949771427</v>
      </c>
      <c r="AF91" s="207">
        <f t="shared" si="117"/>
        <v>568574.32326844241</v>
      </c>
      <c r="AG91" s="207">
        <f t="shared" si="117"/>
        <v>577216.06699166843</v>
      </c>
      <c r="AH91" s="207">
        <f t="shared" si="117"/>
        <v>584777.3125996025</v>
      </c>
      <c r="AI91" s="207">
        <f t="shared" si="117"/>
        <v>591465.11472405319</v>
      </c>
      <c r="AJ91" s="207">
        <f t="shared" si="117"/>
        <v>600816.71052911936</v>
      </c>
      <c r="AK91" s="207">
        <f t="shared" si="117"/>
        <v>609545.65909270104</v>
      </c>
      <c r="AL91" s="207">
        <f t="shared" si="117"/>
        <v>617846.7942074039</v>
      </c>
      <c r="AM91" s="207">
        <f t="shared" si="117"/>
        <v>625906.97173664509</v>
      </c>
      <c r="AN91" s="207">
        <f t="shared" si="117"/>
        <v>632986.44784249936</v>
      </c>
      <c r="AO91" s="207">
        <f t="shared" si="117"/>
        <v>640823.12033651571</v>
      </c>
      <c r="AP91" s="207">
        <f t="shared" si="117"/>
        <v>648097.99007855356</v>
      </c>
      <c r="AQ91" s="207">
        <f t="shared" si="117"/>
        <v>656386.56357969821</v>
      </c>
      <c r="AR91" s="207">
        <f t="shared" si="117"/>
        <v>663724.67109419045</v>
      </c>
      <c r="AS91" s="207">
        <f t="shared" si="117"/>
        <v>670852.0227508283</v>
      </c>
      <c r="AT91" s="207">
        <f t="shared" si="117"/>
        <v>677987.69716546917</v>
      </c>
      <c r="AU91" s="207">
        <f t="shared" si="117"/>
        <v>685049.18965998082</v>
      </c>
      <c r="AV91" s="207">
        <f t="shared" si="117"/>
        <v>692500.330939968</v>
      </c>
      <c r="AW91" s="207">
        <f t="shared" si="117"/>
        <v>699506.33474259987</v>
      </c>
      <c r="AX91" s="207">
        <f t="shared" si="117"/>
        <v>706418.04347947333</v>
      </c>
      <c r="AY91" s="207">
        <f t="shared" si="117"/>
        <v>713310.31781991397</v>
      </c>
      <c r="AZ91" s="207">
        <f t="shared" si="117"/>
        <v>720109.69759742939</v>
      </c>
      <c r="BA91" s="207">
        <f t="shared" si="117"/>
        <v>726890.4126499265</v>
      </c>
      <c r="BB91" s="207">
        <f t="shared" si="117"/>
        <v>733434.05297480675</v>
      </c>
      <c r="BC91" s="207">
        <f t="shared" si="117"/>
        <v>739891.72150626848</v>
      </c>
      <c r="BD91" s="207">
        <f t="shared" si="117"/>
        <v>746257.00690367189</v>
      </c>
      <c r="BE91" s="207">
        <f t="shared" si="117"/>
        <v>752507.42272240098</v>
      </c>
      <c r="BF91" s="207">
        <f t="shared" si="117"/>
        <v>758622.946753731</v>
      </c>
      <c r="BG91" s="207">
        <f t="shared" si="117"/>
        <v>764613.34787324222</v>
      </c>
      <c r="BH91" s="207">
        <f t="shared" si="117"/>
        <v>770481.17616683221</v>
      </c>
      <c r="BI91" s="207">
        <f t="shared" si="117"/>
        <v>776224.55137237057</v>
      </c>
      <c r="BJ91" s="207">
        <f t="shared" si="117"/>
        <v>781830.62826988171</v>
      </c>
      <c r="BK91" s="207">
        <f t="shared" si="117"/>
        <v>787295.85377121624</v>
      </c>
      <c r="BL91" s="207">
        <f t="shared" si="117"/>
        <v>792612.97018608882</v>
      </c>
      <c r="BM91" s="207">
        <f t="shared" ref="T91:BO94" si="118">BM107*1000000</f>
        <v>797786.75791537773</v>
      </c>
      <c r="BN91" s="207">
        <f t="shared" si="118"/>
        <v>802812.94939690689</v>
      </c>
      <c r="BO91" s="207">
        <f t="shared" si="118"/>
        <v>807687.20086063561</v>
      </c>
      <c r="BP91" s="182"/>
    </row>
    <row r="92" spans="1:68" ht="14.25" customHeight="1" x14ac:dyDescent="0.3">
      <c r="A92" s="982"/>
      <c r="D92" s="944"/>
      <c r="E92" s="183"/>
      <c r="F92" s="185" t="s">
        <v>408</v>
      </c>
      <c r="G92" s="186">
        <v>440656</v>
      </c>
      <c r="H92" s="186">
        <v>390719</v>
      </c>
      <c r="I92" s="186">
        <v>356046</v>
      </c>
      <c r="J92" s="186">
        <v>391691</v>
      </c>
      <c r="K92" s="186">
        <v>532354</v>
      </c>
      <c r="L92" s="187">
        <v>472720</v>
      </c>
      <c r="M92" s="187">
        <v>513316</v>
      </c>
      <c r="N92" s="187">
        <v>479769</v>
      </c>
      <c r="O92" s="187">
        <v>346093</v>
      </c>
      <c r="P92" s="187">
        <v>345209</v>
      </c>
      <c r="Q92" s="187">
        <v>472586</v>
      </c>
      <c r="R92" s="187">
        <v>340959</v>
      </c>
      <c r="S92" s="207">
        <v>397733.16804241942</v>
      </c>
      <c r="T92" s="207">
        <f t="shared" si="118"/>
        <v>1114376.1672843322</v>
      </c>
      <c r="U92" s="207">
        <f t="shared" si="118"/>
        <v>1185975.0539065078</v>
      </c>
      <c r="V92" s="207">
        <f t="shared" si="118"/>
        <v>1191735.0621560258</v>
      </c>
      <c r="W92" s="207">
        <f t="shared" si="118"/>
        <v>1267209.1224004715</v>
      </c>
      <c r="X92" s="207">
        <f t="shared" si="118"/>
        <v>1302775.2166740205</v>
      </c>
      <c r="Y92" s="207">
        <f t="shared" si="118"/>
        <v>1339981.0622464712</v>
      </c>
      <c r="Z92" s="207">
        <f t="shared" si="118"/>
        <v>1373765.6797227836</v>
      </c>
      <c r="AA92" s="207">
        <f t="shared" si="118"/>
        <v>1412774.0350871219</v>
      </c>
      <c r="AB92" s="207">
        <f t="shared" si="118"/>
        <v>1399601.7286805522</v>
      </c>
      <c r="AC92" s="207">
        <f t="shared" si="118"/>
        <v>1430094.3337639139</v>
      </c>
      <c r="AD92" s="207">
        <f t="shared" si="118"/>
        <v>1466242.4074716931</v>
      </c>
      <c r="AE92" s="207">
        <f t="shared" si="118"/>
        <v>1494024.4167490513</v>
      </c>
      <c r="AF92" s="207">
        <f t="shared" si="118"/>
        <v>1520953.9266638339</v>
      </c>
      <c r="AG92" s="207">
        <f t="shared" si="118"/>
        <v>1547284.325734305</v>
      </c>
      <c r="AH92" s="207">
        <f t="shared" si="118"/>
        <v>1570815.3239016384</v>
      </c>
      <c r="AI92" s="207">
        <f t="shared" si="118"/>
        <v>1592086.4575840007</v>
      </c>
      <c r="AJ92" s="207">
        <f t="shared" si="118"/>
        <v>1620624.5605128147</v>
      </c>
      <c r="AK92" s="207">
        <f t="shared" si="118"/>
        <v>1647591.5478433466</v>
      </c>
      <c r="AL92" s="207">
        <f t="shared" si="118"/>
        <v>1673504.9822916815</v>
      </c>
      <c r="AM92" s="207">
        <f t="shared" si="118"/>
        <v>1698865.1228793028</v>
      </c>
      <c r="AN92" s="207">
        <f t="shared" si="118"/>
        <v>1721656.1682824173</v>
      </c>
      <c r="AO92" s="207">
        <f t="shared" si="118"/>
        <v>1746598.4995616835</v>
      </c>
      <c r="AP92" s="207">
        <f t="shared" si="118"/>
        <v>1770102.7812645677</v>
      </c>
      <c r="AQ92" s="207">
        <f t="shared" si="118"/>
        <v>1796471.7477993227</v>
      </c>
      <c r="AR92" s="207">
        <f t="shared" si="118"/>
        <v>1820336.0491011692</v>
      </c>
      <c r="AS92" s="207">
        <f t="shared" si="118"/>
        <v>1843712.6770687157</v>
      </c>
      <c r="AT92" s="207">
        <f t="shared" si="118"/>
        <v>1867201.6431317807</v>
      </c>
      <c r="AU92" s="207">
        <f t="shared" si="118"/>
        <v>1890575.6677010849</v>
      </c>
      <c r="AV92" s="207">
        <f t="shared" si="118"/>
        <v>1915116.4729255114</v>
      </c>
      <c r="AW92" s="207">
        <f t="shared" si="118"/>
        <v>1938517.6424957619</v>
      </c>
      <c r="AX92" s="207">
        <f t="shared" si="118"/>
        <v>1961746.0601415944</v>
      </c>
      <c r="AY92" s="207">
        <f t="shared" si="118"/>
        <v>1985008.6836679524</v>
      </c>
      <c r="AZ92" s="207">
        <f t="shared" si="118"/>
        <v>2008100.590994271</v>
      </c>
      <c r="BA92" s="207">
        <f t="shared" si="118"/>
        <v>2031227.8600685177</v>
      </c>
      <c r="BB92" s="207">
        <f t="shared" si="118"/>
        <v>2053778.8328226791</v>
      </c>
      <c r="BC92" s="207">
        <f t="shared" si="118"/>
        <v>2076173.6312276588</v>
      </c>
      <c r="BD92" s="207">
        <f t="shared" si="118"/>
        <v>2098392.9775096383</v>
      </c>
      <c r="BE92" s="207">
        <f t="shared" si="118"/>
        <v>2120372.1427438441</v>
      </c>
      <c r="BF92" s="207">
        <f t="shared" si="118"/>
        <v>2142052.8225205299</v>
      </c>
      <c r="BG92" s="207">
        <f t="shared" si="118"/>
        <v>2163460.5274382131</v>
      </c>
      <c r="BH92" s="207">
        <f t="shared" si="118"/>
        <v>2184600.5210205633</v>
      </c>
      <c r="BI92" s="207">
        <f t="shared" si="118"/>
        <v>2205465.530617828</v>
      </c>
      <c r="BJ92" s="207">
        <f t="shared" si="118"/>
        <v>2226017.0114551964</v>
      </c>
      <c r="BK92" s="207">
        <f t="shared" si="118"/>
        <v>2246242.6172388038</v>
      </c>
      <c r="BL92" s="207">
        <f t="shared" si="118"/>
        <v>2266119.3161162091</v>
      </c>
      <c r="BM92" s="207">
        <f t="shared" si="118"/>
        <v>2285658.3827918419</v>
      </c>
      <c r="BN92" s="207">
        <f t="shared" si="118"/>
        <v>2304845.21922768</v>
      </c>
      <c r="BO92" s="207">
        <f t="shared" si="118"/>
        <v>2323664.896065528</v>
      </c>
      <c r="BP92" s="182"/>
    </row>
    <row r="93" spans="1:68" ht="14.25" customHeight="1" x14ac:dyDescent="0.3">
      <c r="A93" s="982"/>
      <c r="D93" s="944"/>
      <c r="E93" s="183"/>
      <c r="F93" s="185" t="s">
        <v>409</v>
      </c>
      <c r="G93" s="186">
        <v>735563</v>
      </c>
      <c r="H93" s="186">
        <v>730053</v>
      </c>
      <c r="I93" s="186">
        <v>697183</v>
      </c>
      <c r="J93" s="186">
        <v>681966</v>
      </c>
      <c r="K93" s="186">
        <v>1032816</v>
      </c>
      <c r="L93" s="187">
        <v>1202233</v>
      </c>
      <c r="M93" s="187">
        <v>944376</v>
      </c>
      <c r="N93" s="187">
        <v>1209236</v>
      </c>
      <c r="O93" s="187">
        <v>994889</v>
      </c>
      <c r="P93" s="187">
        <v>1014123</v>
      </c>
      <c r="Q93" s="187">
        <v>1069938.6608636191</v>
      </c>
      <c r="R93" s="187">
        <v>1214711</v>
      </c>
      <c r="S93" s="207">
        <v>1432546.4089448899</v>
      </c>
      <c r="T93" s="207">
        <f t="shared" si="118"/>
        <v>161299.29454918223</v>
      </c>
      <c r="U93" s="207">
        <f t="shared" si="118"/>
        <v>171841.0641252253</v>
      </c>
      <c r="V93" s="207">
        <f t="shared" si="118"/>
        <v>172854.96680887023</v>
      </c>
      <c r="W93" s="207">
        <f t="shared" si="118"/>
        <v>183992.95039947185</v>
      </c>
      <c r="X93" s="207">
        <f t="shared" si="118"/>
        <v>189353.40880257075</v>
      </c>
      <c r="Y93" s="207">
        <f t="shared" si="118"/>
        <v>194963.38071983823</v>
      </c>
      <c r="Z93" s="207">
        <f t="shared" si="118"/>
        <v>200086.50375851349</v>
      </c>
      <c r="AA93" s="207">
        <f t="shared" si="118"/>
        <v>205981.67458865681</v>
      </c>
      <c r="AB93" s="207">
        <f t="shared" si="118"/>
        <v>204273.06110019796</v>
      </c>
      <c r="AC93" s="207">
        <f t="shared" si="118"/>
        <v>208940.22568474655</v>
      </c>
      <c r="AD93" s="207">
        <f t="shared" si="118"/>
        <v>214443.99857502093</v>
      </c>
      <c r="AE93" s="207">
        <f t="shared" si="118"/>
        <v>218734.13462841249</v>
      </c>
      <c r="AF93" s="207">
        <f t="shared" si="118"/>
        <v>222908.00875678001</v>
      </c>
      <c r="AG93" s="207">
        <f t="shared" si="118"/>
        <v>227002.41981975696</v>
      </c>
      <c r="AH93" s="207">
        <f t="shared" si="118"/>
        <v>230693.96677086348</v>
      </c>
      <c r="AI93" s="207">
        <f t="shared" si="118"/>
        <v>234060.7015702021</v>
      </c>
      <c r="AJ93" s="207">
        <f t="shared" si="118"/>
        <v>238503.64318034245</v>
      </c>
      <c r="AK93" s="207">
        <f t="shared" si="118"/>
        <v>242724.10206865027</v>
      </c>
      <c r="AL93" s="207">
        <f t="shared" si="118"/>
        <v>246797.69783591648</v>
      </c>
      <c r="AM93" s="207">
        <f t="shared" si="118"/>
        <v>250797.81115519395</v>
      </c>
      <c r="AN93" s="207">
        <f t="shared" si="118"/>
        <v>254426.30513427904</v>
      </c>
      <c r="AO93" s="207">
        <f t="shared" si="118"/>
        <v>258380.31159063551</v>
      </c>
      <c r="AP93" s="207">
        <f t="shared" si="118"/>
        <v>262129.29902610084</v>
      </c>
      <c r="AQ93" s="207">
        <f t="shared" si="118"/>
        <v>266310.45715200988</v>
      </c>
      <c r="AR93" s="207">
        <f t="shared" si="118"/>
        <v>270128.33702438703</v>
      </c>
      <c r="AS93" s="207">
        <f t="shared" si="118"/>
        <v>273881.41554922011</v>
      </c>
      <c r="AT93" s="207">
        <f t="shared" si="118"/>
        <v>277658.70236986852</v>
      </c>
      <c r="AU93" s="207">
        <f t="shared" si="118"/>
        <v>281426.42878417391</v>
      </c>
      <c r="AV93" s="207">
        <f t="shared" si="118"/>
        <v>285375.5452172152</v>
      </c>
      <c r="AW93" s="207">
        <f t="shared" si="118"/>
        <v>289162.56402134628</v>
      </c>
      <c r="AX93" s="207">
        <f t="shared" si="118"/>
        <v>292931.34452496184</v>
      </c>
      <c r="AY93" s="207">
        <f t="shared" si="118"/>
        <v>296712.75337081379</v>
      </c>
      <c r="AZ93" s="207">
        <f t="shared" si="118"/>
        <v>300476.15512586862</v>
      </c>
      <c r="BA93" s="207">
        <f t="shared" si="118"/>
        <v>304252.34966958815</v>
      </c>
      <c r="BB93" s="207">
        <f t="shared" si="118"/>
        <v>307949.6511992641</v>
      </c>
      <c r="BC93" s="207">
        <f t="shared" si="118"/>
        <v>311630.86180408602</v>
      </c>
      <c r="BD93" s="207">
        <f t="shared" si="118"/>
        <v>315293.02316403989</v>
      </c>
      <c r="BE93" s="207">
        <f t="shared" si="118"/>
        <v>318926.32845913025</v>
      </c>
      <c r="BF93" s="207">
        <f t="shared" si="118"/>
        <v>322521.89759252872</v>
      </c>
      <c r="BG93" s="207">
        <f t="shared" si="118"/>
        <v>326083.44664168631</v>
      </c>
      <c r="BH93" s="207">
        <f t="shared" si="118"/>
        <v>329611.65250897902</v>
      </c>
      <c r="BI93" s="207">
        <f t="shared" si="118"/>
        <v>333105.30172730854</v>
      </c>
      <c r="BJ93" s="207">
        <f t="shared" si="118"/>
        <v>336558.44789049297</v>
      </c>
      <c r="BK93" s="207">
        <f t="shared" si="118"/>
        <v>339969.08527503</v>
      </c>
      <c r="BL93" s="207">
        <f t="shared" si="118"/>
        <v>343333.5811636367</v>
      </c>
      <c r="BM93" s="207">
        <f t="shared" si="118"/>
        <v>346653.49113059638</v>
      </c>
      <c r="BN93" s="207">
        <f t="shared" si="118"/>
        <v>349926.44947079383</v>
      </c>
      <c r="BO93" s="207">
        <f t="shared" si="118"/>
        <v>353150.03060189809</v>
      </c>
      <c r="BP93" s="182"/>
    </row>
    <row r="94" spans="1:68" ht="13.5" customHeight="1" x14ac:dyDescent="0.3">
      <c r="A94" s="982"/>
      <c r="D94" s="944"/>
      <c r="E94" s="183"/>
      <c r="F94" s="185" t="s">
        <v>410</v>
      </c>
      <c r="G94" s="186">
        <v>53518</v>
      </c>
      <c r="H94" s="186">
        <v>36221</v>
      </c>
      <c r="I94" s="186">
        <v>62956</v>
      </c>
      <c r="J94" s="186">
        <v>13121</v>
      </c>
      <c r="K94" s="186">
        <v>184964</v>
      </c>
      <c r="L94" s="187">
        <v>175741.34622532772</v>
      </c>
      <c r="M94" s="187">
        <v>148851.91504201826</v>
      </c>
      <c r="N94" s="187">
        <v>245267.50815189313</v>
      </c>
      <c r="O94" s="187">
        <v>254020.35975334398</v>
      </c>
      <c r="P94" s="187">
        <v>243770.87877727277</v>
      </c>
      <c r="Q94" s="187">
        <v>243796.78429693205</v>
      </c>
      <c r="R94" s="187">
        <v>197232.67877640869</v>
      </c>
      <c r="S94" s="207">
        <v>205030.22433716798</v>
      </c>
      <c r="T94" s="207">
        <f t="shared" si="118"/>
        <v>408321.06863001635</v>
      </c>
      <c r="U94" s="207">
        <f t="shared" si="118"/>
        <v>435413.15612076526</v>
      </c>
      <c r="V94" s="207">
        <f t="shared" si="118"/>
        <v>438391.100661323</v>
      </c>
      <c r="W94" s="207">
        <f t="shared" si="118"/>
        <v>467074.67724788311</v>
      </c>
      <c r="X94" s="207">
        <f t="shared" si="118"/>
        <v>481131.22058317007</v>
      </c>
      <c r="Y94" s="207">
        <f t="shared" si="118"/>
        <v>495848.1883944344</v>
      </c>
      <c r="Z94" s="207">
        <f t="shared" si="118"/>
        <v>509352.86334584263</v>
      </c>
      <c r="AA94" s="207">
        <f t="shared" si="118"/>
        <v>524849.53089787089</v>
      </c>
      <c r="AB94" s="207">
        <f t="shared" si="118"/>
        <v>520981.85568107915</v>
      </c>
      <c r="AC94" s="207">
        <f t="shared" si="118"/>
        <v>533382.58680487773</v>
      </c>
      <c r="AD94" s="207">
        <f t="shared" si="118"/>
        <v>547943.70622096397</v>
      </c>
      <c r="AE94" s="207">
        <f t="shared" si="118"/>
        <v>559427.58987603569</v>
      </c>
      <c r="AF94" s="207">
        <f t="shared" si="118"/>
        <v>570634.8133899956</v>
      </c>
      <c r="AG94" s="207">
        <f t="shared" si="118"/>
        <v>581658.8637321943</v>
      </c>
      <c r="AH94" s="207">
        <f t="shared" si="118"/>
        <v>591669.75981431676</v>
      </c>
      <c r="AI94" s="207">
        <f t="shared" si="118"/>
        <v>600865.00538203167</v>
      </c>
      <c r="AJ94" s="207">
        <f t="shared" si="118"/>
        <v>612842.25039471115</v>
      </c>
      <c r="AK94" s="207">
        <f t="shared" si="118"/>
        <v>624269.12609148526</v>
      </c>
      <c r="AL94" s="207">
        <f t="shared" si="118"/>
        <v>635338.72996213252</v>
      </c>
      <c r="AM94" s="207">
        <f t="shared" si="118"/>
        <v>646239.11440418055</v>
      </c>
      <c r="AN94" s="207">
        <f t="shared" si="118"/>
        <v>656200.84049887315</v>
      </c>
      <c r="AO94" s="207">
        <f t="shared" si="118"/>
        <v>667020.92982086353</v>
      </c>
      <c r="AP94" s="207">
        <f t="shared" si="118"/>
        <v>677330.89029065729</v>
      </c>
      <c r="AQ94" s="207">
        <f t="shared" si="118"/>
        <v>688777.2734706928</v>
      </c>
      <c r="AR94" s="207">
        <f t="shared" si="118"/>
        <v>699303.99015621608</v>
      </c>
      <c r="AS94" s="207">
        <f t="shared" si="118"/>
        <v>709681.8488509208</v>
      </c>
      <c r="AT94" s="207">
        <f t="shared" si="118"/>
        <v>720141.26288629498</v>
      </c>
      <c r="AU94" s="207">
        <f t="shared" si="118"/>
        <v>730594.76915525249</v>
      </c>
      <c r="AV94" s="207">
        <f t="shared" si="118"/>
        <v>741538.50242603407</v>
      </c>
      <c r="AW94" s="207">
        <f t="shared" si="118"/>
        <v>752080.43491300428</v>
      </c>
      <c r="AX94" s="207">
        <f t="shared" si="118"/>
        <v>762593.92503478855</v>
      </c>
      <c r="AY94" s="207">
        <f t="shared" si="118"/>
        <v>773159.29692517268</v>
      </c>
      <c r="AZ94" s="207">
        <f t="shared" si="118"/>
        <v>783696.76620441442</v>
      </c>
      <c r="BA94" s="207">
        <f t="shared" si="118"/>
        <v>794286.6344324802</v>
      </c>
      <c r="BB94" s="207">
        <f t="shared" si="118"/>
        <v>804689.44138011546</v>
      </c>
      <c r="BC94" s="207">
        <f t="shared" si="118"/>
        <v>815068.89460388105</v>
      </c>
      <c r="BD94" s="207">
        <f t="shared" si="118"/>
        <v>825417.15744385379</v>
      </c>
      <c r="BE94" s="207">
        <f t="shared" si="118"/>
        <v>835708.4184523056</v>
      </c>
      <c r="BF94" s="207">
        <f t="shared" si="118"/>
        <v>845919.200621219</v>
      </c>
      <c r="BG94" s="207">
        <f t="shared" si="118"/>
        <v>856059.00803281495</v>
      </c>
      <c r="BH94" s="207">
        <f t="shared" si="118"/>
        <v>866129.39459350135</v>
      </c>
      <c r="BI94" s="207">
        <f t="shared" si="118"/>
        <v>876126.94840419397</v>
      </c>
      <c r="BJ94" s="207">
        <f t="shared" si="118"/>
        <v>886035.78511529521</v>
      </c>
      <c r="BK94" s="207">
        <f t="shared" si="118"/>
        <v>895850.34553861991</v>
      </c>
      <c r="BL94" s="207">
        <f t="shared" si="118"/>
        <v>905560.75893790857</v>
      </c>
      <c r="BM94" s="207">
        <f t="shared" si="118"/>
        <v>915170.8154133939</v>
      </c>
      <c r="BN94" s="207">
        <f t="shared" si="118"/>
        <v>924673.95788924757</v>
      </c>
      <c r="BO94" s="207">
        <f t="shared" si="118"/>
        <v>934063.44698628783</v>
      </c>
      <c r="BP94" s="182"/>
    </row>
    <row r="95" spans="1:68" ht="13.5" customHeight="1" x14ac:dyDescent="0.3">
      <c r="A95" s="960"/>
      <c r="B95" s="960"/>
      <c r="C95" s="960"/>
      <c r="D95" s="944"/>
      <c r="E95" s="183"/>
      <c r="F95" s="185"/>
      <c r="G95" s="203">
        <v>0</v>
      </c>
      <c r="H95" s="203">
        <v>0</v>
      </c>
      <c r="I95" s="203">
        <v>0</v>
      </c>
      <c r="J95" s="203">
        <v>0</v>
      </c>
      <c r="K95" s="203">
        <v>480014.1409</v>
      </c>
      <c r="L95" s="204">
        <v>591934.2709</v>
      </c>
      <c r="M95" s="204">
        <v>533950.91830000002</v>
      </c>
      <c r="N95" s="204">
        <v>601688.43839999998</v>
      </c>
      <c r="O95" s="204">
        <v>505686.82919999998</v>
      </c>
      <c r="P95" s="204">
        <v>524165.41610000003</v>
      </c>
      <c r="Q95" s="204">
        <v>392111.25349999999</v>
      </c>
      <c r="R95" s="204">
        <v>438748.6275</v>
      </c>
      <c r="S95" s="202">
        <v>339569.45422631124</v>
      </c>
      <c r="T95" s="202"/>
      <c r="U95" s="202"/>
      <c r="V95" s="202"/>
      <c r="W95" s="202"/>
      <c r="X95" s="202"/>
      <c r="Y95" s="202"/>
      <c r="Z95" s="202"/>
      <c r="AA95" s="202"/>
      <c r="AB95" s="202"/>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182"/>
    </row>
    <row r="96" spans="1:68" ht="14.25" customHeight="1" x14ac:dyDescent="0.3">
      <c r="A96" s="960"/>
      <c r="B96" s="960"/>
      <c r="C96" s="960"/>
      <c r="D96" s="944"/>
      <c r="E96" s="183"/>
      <c r="F96" s="184" t="s">
        <v>411</v>
      </c>
      <c r="G96" s="179"/>
      <c r="H96" s="179"/>
      <c r="I96" s="179"/>
      <c r="J96" s="179"/>
      <c r="K96" s="179"/>
      <c r="L96" s="180"/>
      <c r="M96" s="181"/>
      <c r="N96" s="181"/>
      <c r="O96" s="181"/>
      <c r="P96" s="181"/>
      <c r="Q96" s="181"/>
      <c r="R96" s="181"/>
      <c r="S96" s="181"/>
      <c r="T96" s="181"/>
      <c r="U96" s="181"/>
      <c r="V96" s="181"/>
      <c r="W96" s="181"/>
      <c r="X96" s="181"/>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c r="BP96" s="182"/>
    </row>
    <row r="97" spans="1:96" ht="14.25" customHeight="1" x14ac:dyDescent="0.3">
      <c r="A97" s="1178" t="s">
        <v>6</v>
      </c>
      <c r="B97" s="960"/>
      <c r="C97" s="960"/>
      <c r="D97" s="944" t="s">
        <v>412</v>
      </c>
      <c r="E97" s="183"/>
      <c r="F97" s="185" t="s">
        <v>413</v>
      </c>
      <c r="G97" s="190">
        <f>G82/1000000</f>
        <v>7.9310600000000004</v>
      </c>
      <c r="H97" s="190">
        <f>H82/1000000</f>
        <v>7.4277759999999997</v>
      </c>
      <c r="I97" s="190">
        <f>I82/1000000</f>
        <v>7.0122439999999999</v>
      </c>
      <c r="J97" s="190">
        <f t="shared" ref="J97:S97" si="119">J82/1000000</f>
        <v>5.9955270000000001</v>
      </c>
      <c r="K97" s="190">
        <f t="shared" si="119"/>
        <v>6.9073760000000002</v>
      </c>
      <c r="L97" s="190">
        <f t="shared" si="119"/>
        <v>7.1944309999999998</v>
      </c>
      <c r="M97" s="190">
        <f t="shared" si="119"/>
        <v>6.5296760000000003</v>
      </c>
      <c r="N97" s="190">
        <f t="shared" si="119"/>
        <v>6.2821049999999996</v>
      </c>
      <c r="O97" s="190">
        <f t="shared" si="119"/>
        <v>6.5056349999999998</v>
      </c>
      <c r="P97" s="190">
        <f t="shared" si="119"/>
        <v>6.5834770000000002</v>
      </c>
      <c r="Q97" s="911">
        <f>AVERAGE(O97:P97)</f>
        <v>6.544556</v>
      </c>
      <c r="R97" s="190">
        <f t="shared" si="119"/>
        <v>6.6849160000000003</v>
      </c>
      <c r="S97" s="190">
        <f t="shared" si="119"/>
        <v>6.0787890000000004</v>
      </c>
      <c r="T97" s="900">
        <f t="shared" ref="T97:BO97" si="120">T115*T58</f>
        <v>6.6176148515088835</v>
      </c>
      <c r="U97" s="900">
        <f t="shared" si="120"/>
        <v>7.0208577191704835</v>
      </c>
      <c r="V97" s="900">
        <f t="shared" si="120"/>
        <v>7.0329783540655306</v>
      </c>
      <c r="W97" s="900">
        <f t="shared" si="120"/>
        <v>7.0681432458358575</v>
      </c>
      <c r="X97" s="900">
        <f t="shared" si="120"/>
        <v>7.1034839620650363</v>
      </c>
      <c r="Y97" s="900">
        <f t="shared" si="120"/>
        <v>7.1390013818753602</v>
      </c>
      <c r="Z97" s="900">
        <f t="shared" si="120"/>
        <v>7.1746963887847368</v>
      </c>
      <c r="AA97" s="900">
        <f t="shared" si="120"/>
        <v>7.2105698707286603</v>
      </c>
      <c r="AB97" s="900">
        <f t="shared" si="120"/>
        <v>7.2466227200823026</v>
      </c>
      <c r="AC97" s="900">
        <f t="shared" si="120"/>
        <v>7.2828558336827136</v>
      </c>
      <c r="AD97" s="900">
        <f t="shared" si="120"/>
        <v>7.3192701128511271</v>
      </c>
      <c r="AE97" s="900">
        <f t="shared" si="120"/>
        <v>7.3558664634153823</v>
      </c>
      <c r="AF97" s="900">
        <f t="shared" si="120"/>
        <v>7.3926457957324585</v>
      </c>
      <c r="AG97" s="900">
        <f t="shared" si="120"/>
        <v>7.4296090247111204</v>
      </c>
      <c r="AH97" s="900">
        <f t="shared" si="120"/>
        <v>7.4667570698346744</v>
      </c>
      <c r="AI97" s="900">
        <f t="shared" si="120"/>
        <v>7.5040908551838479</v>
      </c>
      <c r="AJ97" s="900">
        <f t="shared" si="120"/>
        <v>7.5416113094597659</v>
      </c>
      <c r="AK97" s="900">
        <f t="shared" si="120"/>
        <v>7.5793193660070637</v>
      </c>
      <c r="AL97" s="900">
        <f t="shared" si="120"/>
        <v>7.617215962837097</v>
      </c>
      <c r="AM97" s="900">
        <f t="shared" si="120"/>
        <v>7.6553020426512814</v>
      </c>
      <c r="AN97" s="900">
        <f t="shared" si="120"/>
        <v>7.6935785528645377</v>
      </c>
      <c r="AO97" s="900">
        <f t="shared" si="120"/>
        <v>7.7320464456288596</v>
      </c>
      <c r="AP97" s="900">
        <f t="shared" si="120"/>
        <v>7.770706677857004</v>
      </c>
      <c r="AQ97" s="900">
        <f t="shared" si="120"/>
        <v>7.8095602112462883</v>
      </c>
      <c r="AR97" s="900">
        <f t="shared" si="120"/>
        <v>7.8486080123025186</v>
      </c>
      <c r="AS97" s="900">
        <f t="shared" si="120"/>
        <v>7.8878510523640308</v>
      </c>
      <c r="AT97" s="900">
        <f t="shared" si="120"/>
        <v>7.9272903076258503</v>
      </c>
      <c r="AU97" s="900">
        <f t="shared" si="120"/>
        <v>7.9669267591639787</v>
      </c>
      <c r="AV97" s="900">
        <f t="shared" si="120"/>
        <v>8.0067613929597972</v>
      </c>
      <c r="AW97" s="900">
        <f t="shared" si="120"/>
        <v>8.0467951999245955</v>
      </c>
      <c r="AX97" s="900">
        <f t="shared" si="120"/>
        <v>8.0870291759242185</v>
      </c>
      <c r="AY97" s="900">
        <f t="shared" si="120"/>
        <v>8.1274643218038385</v>
      </c>
      <c r="AZ97" s="900">
        <f t="shared" si="120"/>
        <v>8.1681016434128573</v>
      </c>
      <c r="BA97" s="900">
        <f t="shared" si="120"/>
        <v>8.2089421516299197</v>
      </c>
      <c r="BB97" s="900">
        <f t="shared" si="120"/>
        <v>8.2499868623880683</v>
      </c>
      <c r="BC97" s="900">
        <f t="shared" si="120"/>
        <v>8.2912367967000087</v>
      </c>
      <c r="BD97" s="900">
        <f t="shared" si="120"/>
        <v>8.3326929806835075</v>
      </c>
      <c r="BE97" s="900">
        <f t="shared" si="120"/>
        <v>8.3743564455869244</v>
      </c>
      <c r="BF97" s="900">
        <f t="shared" si="120"/>
        <v>8.4162282278148588</v>
      </c>
      <c r="BG97" s="900">
        <f t="shared" si="120"/>
        <v>8.4583093689539304</v>
      </c>
      <c r="BH97" s="900">
        <f t="shared" si="120"/>
        <v>8.5006009157986995</v>
      </c>
      <c r="BI97" s="900">
        <f t="shared" si="120"/>
        <v>8.5431039203776926</v>
      </c>
      <c r="BJ97" s="900">
        <f t="shared" si="120"/>
        <v>8.5858194399795806</v>
      </c>
      <c r="BK97" s="900">
        <f t="shared" si="120"/>
        <v>8.6287485371794777</v>
      </c>
      <c r="BL97" s="900">
        <f t="shared" si="120"/>
        <v>8.6718922798653733</v>
      </c>
      <c r="BM97" s="900">
        <f t="shared" si="120"/>
        <v>8.7152517412646997</v>
      </c>
      <c r="BN97" s="900">
        <f t="shared" si="120"/>
        <v>8.7588279999710217</v>
      </c>
      <c r="BO97" s="900">
        <f t="shared" si="120"/>
        <v>8.8026221399708753</v>
      </c>
      <c r="BP97" s="182"/>
    </row>
    <row r="98" spans="1:96" ht="14.25" customHeight="1" x14ac:dyDescent="0.3">
      <c r="A98" s="982"/>
      <c r="D98" s="944"/>
      <c r="E98" s="183"/>
      <c r="F98" s="185" t="s">
        <v>414</v>
      </c>
      <c r="G98" s="190">
        <f t="shared" ref="G98:H104" si="121">G83/1000000</f>
        <v>0.1321</v>
      </c>
      <c r="H98" s="190">
        <f t="shared" si="121"/>
        <v>0.224163</v>
      </c>
      <c r="I98" s="190">
        <f t="shared" ref="I98:S110" si="122">I83/1000000</f>
        <v>0.133323</v>
      </c>
      <c r="J98" s="190">
        <f t="shared" si="122"/>
        <v>0.128446</v>
      </c>
      <c r="K98" s="190">
        <f t="shared" si="122"/>
        <v>0.15621599999999999</v>
      </c>
      <c r="L98" s="190">
        <f t="shared" si="122"/>
        <v>0.18019199999999999</v>
      </c>
      <c r="M98" s="190">
        <f t="shared" si="122"/>
        <v>0.17755099999999999</v>
      </c>
      <c r="N98" s="190">
        <f t="shared" si="122"/>
        <v>0.205955</v>
      </c>
      <c r="O98" s="190">
        <f t="shared" si="122"/>
        <v>0.235182</v>
      </c>
      <c r="P98" s="190">
        <f t="shared" si="122"/>
        <v>0.28367999999999999</v>
      </c>
      <c r="Q98" s="190">
        <f t="shared" si="122"/>
        <v>0.327903</v>
      </c>
      <c r="R98" s="190">
        <f t="shared" si="122"/>
        <v>0.30209399999999997</v>
      </c>
      <c r="S98" s="190">
        <f t="shared" si="122"/>
        <v>0.33714940921686015</v>
      </c>
      <c r="T98" s="900">
        <f t="shared" ref="T98:BO98" si="123">T116*T59</f>
        <v>0.35886470240306245</v>
      </c>
      <c r="U98" s="900">
        <f t="shared" si="123"/>
        <v>0.381525233817744</v>
      </c>
      <c r="V98" s="900">
        <f t="shared" si="123"/>
        <v>0.38298010596947313</v>
      </c>
      <c r="W98" s="900">
        <f t="shared" si="123"/>
        <v>0.41494806657878391</v>
      </c>
      <c r="X98" s="900">
        <f t="shared" si="123"/>
        <v>0.43467423609182221</v>
      </c>
      <c r="Y98" s="900">
        <f t="shared" si="123"/>
        <v>0.45555627027367868</v>
      </c>
      <c r="Z98" s="900">
        <f t="shared" si="123"/>
        <v>0.47588825567318871</v>
      </c>
      <c r="AA98" s="900">
        <f t="shared" si="123"/>
        <v>0.49867085441778475</v>
      </c>
      <c r="AB98" s="900">
        <f t="shared" si="123"/>
        <v>0.50337855333280912</v>
      </c>
      <c r="AC98" s="900">
        <f t="shared" si="123"/>
        <v>0.52408759556318041</v>
      </c>
      <c r="AD98" s="900">
        <f t="shared" si="123"/>
        <v>0.54751235992063418</v>
      </c>
      <c r="AE98" s="900">
        <f t="shared" si="123"/>
        <v>0.56845331477086447</v>
      </c>
      <c r="AF98" s="900">
        <f t="shared" si="123"/>
        <v>0.58966061791681557</v>
      </c>
      <c r="AG98" s="900">
        <f t="shared" si="123"/>
        <v>0.61123068354915766</v>
      </c>
      <c r="AH98" s="900">
        <f t="shared" si="123"/>
        <v>0.61988187169698128</v>
      </c>
      <c r="AI98" s="900">
        <f t="shared" si="123"/>
        <v>0.62762356224013671</v>
      </c>
      <c r="AJ98" s="900">
        <f t="shared" si="123"/>
        <v>0.63821027588962875</v>
      </c>
      <c r="AK98" s="900">
        <f t="shared" si="123"/>
        <v>0.64815625490928919</v>
      </c>
      <c r="AL98" s="900">
        <f t="shared" si="123"/>
        <v>0.65766685618270837</v>
      </c>
      <c r="AM98" s="900">
        <f t="shared" si="123"/>
        <v>0.66693979462518593</v>
      </c>
      <c r="AN98" s="900">
        <f t="shared" si="123"/>
        <v>0.67518523841270128</v>
      </c>
      <c r="AO98" s="900">
        <f t="shared" si="123"/>
        <v>0.68425563639713283</v>
      </c>
      <c r="AP98" s="900">
        <f t="shared" si="123"/>
        <v>0.69274367648454438</v>
      </c>
      <c r="AQ98" s="900">
        <f t="shared" si="123"/>
        <v>0.70233330319555287</v>
      </c>
      <c r="AR98" s="900">
        <f t="shared" si="123"/>
        <v>0.7109240809816374</v>
      </c>
      <c r="AS98" s="900">
        <f t="shared" si="123"/>
        <v>0.71930599887220825</v>
      </c>
      <c r="AT98" s="900">
        <f t="shared" si="123"/>
        <v>0.72771352429949931</v>
      </c>
      <c r="AU98" s="900">
        <f t="shared" si="123"/>
        <v>0.73605806278692554</v>
      </c>
      <c r="AV98" s="900">
        <f t="shared" si="123"/>
        <v>0.74483827741175423</v>
      </c>
      <c r="AW98" s="900">
        <f t="shared" si="123"/>
        <v>0.75315668971454774</v>
      </c>
      <c r="AX98" s="900">
        <f t="shared" si="123"/>
        <v>0.76138997458477398</v>
      </c>
      <c r="AY98" s="900">
        <f t="shared" si="123"/>
        <v>0.76961861021949074</v>
      </c>
      <c r="AZ98" s="900">
        <f t="shared" si="123"/>
        <v>0.77776321466429199</v>
      </c>
      <c r="BA98" s="900">
        <f t="shared" si="123"/>
        <v>0.78590375598605355</v>
      </c>
      <c r="BB98" s="900">
        <f t="shared" si="123"/>
        <v>0.7938038083429757</v>
      </c>
      <c r="BC98" s="900">
        <f t="shared" si="123"/>
        <v>0.80162630597989104</v>
      </c>
      <c r="BD98" s="900">
        <f t="shared" si="123"/>
        <v>0.80936402849926736</v>
      </c>
      <c r="BE98" s="900">
        <f t="shared" si="123"/>
        <v>0.81699227335561775</v>
      </c>
      <c r="BF98" s="900">
        <f t="shared" si="123"/>
        <v>0.82448891395678192</v>
      </c>
      <c r="BG98" s="900">
        <f t="shared" si="123"/>
        <v>0.83186414368667627</v>
      </c>
      <c r="BH98" s="900">
        <f t="shared" si="123"/>
        <v>0.83912033736241753</v>
      </c>
      <c r="BI98" s="900">
        <f t="shared" si="123"/>
        <v>0.84625505045622962</v>
      </c>
      <c r="BJ98" s="900">
        <f t="shared" si="123"/>
        <v>0.85325386242213341</v>
      </c>
      <c r="BK98" s="900">
        <f t="shared" si="123"/>
        <v>0.86011244506838935</v>
      </c>
      <c r="BL98" s="900">
        <f t="shared" si="123"/>
        <v>0.86682240165161506</v>
      </c>
      <c r="BM98" s="900">
        <f t="shared" si="123"/>
        <v>0.87338848029273564</v>
      </c>
      <c r="BN98" s="900">
        <f t="shared" si="123"/>
        <v>0.87980553417691676</v>
      </c>
      <c r="BO98" s="900">
        <f t="shared" si="123"/>
        <v>0.88606831242719475</v>
      </c>
      <c r="BP98" s="182"/>
    </row>
    <row r="99" spans="1:96" ht="14.25" customHeight="1" x14ac:dyDescent="0.3">
      <c r="A99" s="982"/>
      <c r="D99" s="944"/>
      <c r="E99" s="183"/>
      <c r="F99" s="185" t="s">
        <v>415</v>
      </c>
      <c r="G99" s="190">
        <f t="shared" si="121"/>
        <v>3.1347E-2</v>
      </c>
      <c r="H99" s="190">
        <f t="shared" si="121"/>
        <v>2.3828999999999999E-2</v>
      </c>
      <c r="I99" s="190">
        <f t="shared" si="122"/>
        <v>7.3400000000000002E-3</v>
      </c>
      <c r="J99" s="190">
        <f t="shared" si="122"/>
        <v>7.7590000000000003E-3</v>
      </c>
      <c r="K99" s="190">
        <f t="shared" si="122"/>
        <v>4.2249999999999996E-3</v>
      </c>
      <c r="L99" s="190">
        <f t="shared" si="122"/>
        <v>5.2969999999999996E-3</v>
      </c>
      <c r="M99" s="190">
        <f t="shared" si="122"/>
        <v>3.9050000000000001E-3</v>
      </c>
      <c r="N99" s="190">
        <f t="shared" si="122"/>
        <v>7.5640000000000004E-3</v>
      </c>
      <c r="O99" s="190">
        <f t="shared" si="122"/>
        <v>5.0650000000000001E-3</v>
      </c>
      <c r="P99" s="190">
        <f t="shared" si="122"/>
        <v>8.1410000000000007E-3</v>
      </c>
      <c r="Q99" s="190">
        <f t="shared" si="122"/>
        <v>5.28E-3</v>
      </c>
      <c r="R99" s="190">
        <f t="shared" si="122"/>
        <v>4.9170000000000004E-3</v>
      </c>
      <c r="S99" s="190">
        <f t="shared" si="122"/>
        <v>7.9659689417556218E-3</v>
      </c>
      <c r="T99" s="900">
        <f t="shared" ref="T99:BO99" si="124">T117*T60</f>
        <v>7.4472288920733173E-3</v>
      </c>
      <c r="U99" s="900">
        <f t="shared" si="124"/>
        <v>7.9174845709715138E-3</v>
      </c>
      <c r="V99" s="900">
        <f t="shared" si="124"/>
        <v>7.9476763559257774E-3</v>
      </c>
      <c r="W99" s="900">
        <f t="shared" si="124"/>
        <v>8.4422368473998487E-3</v>
      </c>
      <c r="X99" s="900">
        <f t="shared" si="124"/>
        <v>8.6701680355968386E-3</v>
      </c>
      <c r="Y99" s="900">
        <f t="shared" si="124"/>
        <v>8.908518206273721E-3</v>
      </c>
      <c r="Z99" s="900">
        <f t="shared" si="124"/>
        <v>9.1236424789824192E-3</v>
      </c>
      <c r="AA99" s="900">
        <f t="shared" si="124"/>
        <v>9.3729669504784702E-3</v>
      </c>
      <c r="AB99" s="900">
        <f t="shared" si="124"/>
        <v>9.2759337090285617E-3</v>
      </c>
      <c r="AC99" s="900">
        <f t="shared" si="124"/>
        <v>9.4681828592127464E-3</v>
      </c>
      <c r="AD99" s="900">
        <f t="shared" si="124"/>
        <v>9.6974268462998534E-3</v>
      </c>
      <c r="AE99" s="900">
        <f t="shared" si="124"/>
        <v>9.8709105412889721E-3</v>
      </c>
      <c r="AF99" s="900">
        <f t="shared" si="124"/>
        <v>1.0038396928511634E-2</v>
      </c>
      <c r="AG99" s="900">
        <f t="shared" si="124"/>
        <v>1.0201574763510855E-2</v>
      </c>
      <c r="AH99" s="900">
        <f t="shared" si="124"/>
        <v>1.0345964999568309E-2</v>
      </c>
      <c r="AI99" s="900">
        <f t="shared" si="124"/>
        <v>1.0475175520240108E-2</v>
      </c>
      <c r="AJ99" s="900">
        <f t="shared" si="124"/>
        <v>1.0651870103319703E-2</v>
      </c>
      <c r="AK99" s="900">
        <f t="shared" si="124"/>
        <v>1.0817870684272569E-2</v>
      </c>
      <c r="AL99" s="900">
        <f t="shared" si="124"/>
        <v>1.0976604714726267E-2</v>
      </c>
      <c r="AM99" s="900">
        <f t="shared" si="124"/>
        <v>1.1131372100174055E-2</v>
      </c>
      <c r="AN99" s="900">
        <f t="shared" si="124"/>
        <v>1.1268990373471847E-2</v>
      </c>
      <c r="AO99" s="900">
        <f t="shared" si="124"/>
        <v>1.1420377314054866E-2</v>
      </c>
      <c r="AP99" s="900">
        <f t="shared" si="124"/>
        <v>1.156204457304227E-2</v>
      </c>
      <c r="AQ99" s="900">
        <f t="shared" si="124"/>
        <v>1.1722097555458763E-2</v>
      </c>
      <c r="AR99" s="900">
        <f t="shared" si="124"/>
        <v>1.1865479529270294E-2</v>
      </c>
      <c r="AS99" s="900">
        <f t="shared" si="124"/>
        <v>1.2005375585413538E-2</v>
      </c>
      <c r="AT99" s="900">
        <f t="shared" si="124"/>
        <v>1.2145699036986021E-2</v>
      </c>
      <c r="AU99" s="900">
        <f t="shared" si="124"/>
        <v>1.2284971222656043E-2</v>
      </c>
      <c r="AV99" s="900">
        <f t="shared" si="124"/>
        <v>1.2431514939039446E-2</v>
      </c>
      <c r="AW99" s="900">
        <f t="shared" si="124"/>
        <v>1.2570351072932308E-2</v>
      </c>
      <c r="AX99" s="900">
        <f t="shared" si="124"/>
        <v>1.2707766411221916E-2</v>
      </c>
      <c r="AY99" s="900">
        <f t="shared" si="124"/>
        <v>1.2845104152746638E-2</v>
      </c>
      <c r="AZ99" s="900">
        <f t="shared" si="124"/>
        <v>1.2981039395199465E-2</v>
      </c>
      <c r="BA99" s="900">
        <f t="shared" si="124"/>
        <v>1.3116906823233647E-2</v>
      </c>
      <c r="BB99" s="900">
        <f t="shared" si="124"/>
        <v>1.3248760437464568E-2</v>
      </c>
      <c r="BC99" s="900">
        <f t="shared" si="124"/>
        <v>1.3379319646333146E-2</v>
      </c>
      <c r="BD99" s="900">
        <f t="shared" si="124"/>
        <v>1.3508463939813906E-2</v>
      </c>
      <c r="BE99" s="900">
        <f t="shared" si="124"/>
        <v>1.3635781026980666E-2</v>
      </c>
      <c r="BF99" s="900">
        <f t="shared" si="124"/>
        <v>1.3760901610135743E-2</v>
      </c>
      <c r="BG99" s="900">
        <f t="shared" si="124"/>
        <v>1.3883995819102324E-2</v>
      </c>
      <c r="BH99" s="900">
        <f t="shared" si="124"/>
        <v>1.400510329010126E-2</v>
      </c>
      <c r="BI99" s="900">
        <f t="shared" si="124"/>
        <v>1.412418322342544E-2</v>
      </c>
      <c r="BJ99" s="900">
        <f t="shared" si="124"/>
        <v>1.4240994936985595E-2</v>
      </c>
      <c r="BK99" s="900">
        <f t="shared" si="124"/>
        <v>1.435546619230809E-2</v>
      </c>
      <c r="BL99" s="900">
        <f t="shared" si="124"/>
        <v>1.4467456845896056E-2</v>
      </c>
      <c r="BM99" s="900">
        <f t="shared" si="124"/>
        <v>1.4577046144933749E-2</v>
      </c>
      <c r="BN99" s="900">
        <f t="shared" si="124"/>
        <v>1.4684148187947735E-2</v>
      </c>
      <c r="BO99" s="900">
        <f t="shared" si="124"/>
        <v>1.4788675336644718E-2</v>
      </c>
      <c r="BP99" s="182"/>
    </row>
    <row r="100" spans="1:96" ht="14.25" customHeight="1" x14ac:dyDescent="0.3">
      <c r="A100" s="982"/>
      <c r="D100" s="944"/>
      <c r="E100" s="183"/>
      <c r="F100" s="185" t="s">
        <v>416</v>
      </c>
      <c r="G100" s="190">
        <f t="shared" si="121"/>
        <v>8.3471820000000001</v>
      </c>
      <c r="H100" s="190">
        <f t="shared" si="121"/>
        <v>8.1318190000000001</v>
      </c>
      <c r="I100" s="190">
        <f t="shared" si="122"/>
        <v>7.3789220000000002</v>
      </c>
      <c r="J100" s="190">
        <f t="shared" si="122"/>
        <v>7.1582650000000001</v>
      </c>
      <c r="K100" s="190">
        <f t="shared" si="122"/>
        <v>8.2513059999999996</v>
      </c>
      <c r="L100" s="190">
        <f t="shared" si="122"/>
        <v>10.106104999999999</v>
      </c>
      <c r="M100" s="190">
        <f t="shared" si="122"/>
        <v>8.6616090000000003</v>
      </c>
      <c r="N100" s="190">
        <f t="shared" si="122"/>
        <v>9.3449829999999992</v>
      </c>
      <c r="O100" s="190">
        <f t="shared" si="122"/>
        <v>7.8406349999999998</v>
      </c>
      <c r="P100" s="190">
        <f t="shared" si="122"/>
        <v>10.08887</v>
      </c>
      <c r="Q100" s="190">
        <f t="shared" si="122"/>
        <v>11.390245</v>
      </c>
      <c r="R100" s="190">
        <f t="shared" si="122"/>
        <v>11.6717</v>
      </c>
      <c r="S100" s="190">
        <f t="shared" si="122"/>
        <v>8.1132930000000005</v>
      </c>
      <c r="T100" s="900">
        <f t="shared" ref="T100:BO100" si="125">T118*T61</f>
        <v>9.1992265069613417</v>
      </c>
      <c r="U100" s="900">
        <f t="shared" si="125"/>
        <v>9.789160300550197</v>
      </c>
      <c r="V100" s="900">
        <f t="shared" si="125"/>
        <v>9.8355803911172064</v>
      </c>
      <c r="W100" s="900">
        <f t="shared" si="125"/>
        <v>10.457285267457515</v>
      </c>
      <c r="X100" s="900">
        <f t="shared" si="125"/>
        <v>10.488766053314759</v>
      </c>
      <c r="Y100" s="900">
        <f t="shared" si="125"/>
        <v>10.520341609454425</v>
      </c>
      <c r="Z100" s="900">
        <f t="shared" si="125"/>
        <v>10.552012221174552</v>
      </c>
      <c r="AA100" s="900">
        <f t="shared" si="125"/>
        <v>10.583778174632046</v>
      </c>
      <c r="AB100" s="900">
        <f t="shared" si="125"/>
        <v>10.615639756845262</v>
      </c>
      <c r="AC100" s="900">
        <f t="shared" si="125"/>
        <v>10.647597255696599</v>
      </c>
      <c r="AD100" s="900">
        <f t="shared" si="125"/>
        <v>10.679650959935103</v>
      </c>
      <c r="AE100" s="900">
        <f t="shared" si="125"/>
        <v>10.711801159179073</v>
      </c>
      <c r="AF100" s="900">
        <f t="shared" si="125"/>
        <v>10.744048143918684</v>
      </c>
      <c r="AG100" s="900">
        <f t="shared" si="125"/>
        <v>10.776392205518606</v>
      </c>
      <c r="AH100" s="900">
        <f t="shared" si="125"/>
        <v>10.808833636220635</v>
      </c>
      <c r="AI100" s="900">
        <f t="shared" si="125"/>
        <v>10.841372729146341</v>
      </c>
      <c r="AJ100" s="900">
        <f t="shared" si="125"/>
        <v>10.874009778299708</v>
      </c>
      <c r="AK100" s="900">
        <f t="shared" si="125"/>
        <v>10.906745078569799</v>
      </c>
      <c r="AL100" s="900">
        <f t="shared" si="125"/>
        <v>10.939578925733409</v>
      </c>
      <c r="AM100" s="900">
        <f t="shared" si="125"/>
        <v>10.972511616457753</v>
      </c>
      <c r="AN100" s="900">
        <f t="shared" si="125"/>
        <v>11.005543448303133</v>
      </c>
      <c r="AO100" s="900">
        <f t="shared" si="125"/>
        <v>11.038674719725627</v>
      </c>
      <c r="AP100" s="900">
        <f t="shared" si="125"/>
        <v>11.071905730079802</v>
      </c>
      <c r="AQ100" s="900">
        <f t="shared" si="125"/>
        <v>11.105236779621398</v>
      </c>
      <c r="AR100" s="900">
        <f t="shared" si="125"/>
        <v>11.138668169510051</v>
      </c>
      <c r="AS100" s="900">
        <f t="shared" si="125"/>
        <v>11.172200201812013</v>
      </c>
      <c r="AT100" s="900">
        <f t="shared" si="125"/>
        <v>11.205833179502884</v>
      </c>
      <c r="AU100" s="900">
        <f t="shared" si="125"/>
        <v>11.239567406470348</v>
      </c>
      <c r="AV100" s="900">
        <f t="shared" si="125"/>
        <v>11.273403187516909</v>
      </c>
      <c r="AW100" s="900">
        <f t="shared" si="125"/>
        <v>11.307340828362664</v>
      </c>
      <c r="AX100" s="900">
        <f t="shared" si="125"/>
        <v>11.341380635648047</v>
      </c>
      <c r="AY100" s="900">
        <f t="shared" si="125"/>
        <v>11.375522916936612</v>
      </c>
      <c r="AZ100" s="900">
        <f t="shared" si="125"/>
        <v>11.409767980717808</v>
      </c>
      <c r="BA100" s="900">
        <f t="shared" si="125"/>
        <v>11.444116136409759</v>
      </c>
      <c r="BB100" s="900">
        <f t="shared" si="125"/>
        <v>11.478567694362075</v>
      </c>
      <c r="BC100" s="900">
        <f t="shared" si="125"/>
        <v>11.513122965858644</v>
      </c>
      <c r="BD100" s="900">
        <f t="shared" si="125"/>
        <v>11.547782263120448</v>
      </c>
      <c r="BE100" s="900">
        <f t="shared" si="125"/>
        <v>11.582545899308382</v>
      </c>
      <c r="BF100" s="900">
        <f t="shared" si="125"/>
        <v>11.617414188526093</v>
      </c>
      <c r="BG100" s="900">
        <f t="shared" si="125"/>
        <v>11.6523874458228</v>
      </c>
      <c r="BH100" s="900">
        <f t="shared" si="125"/>
        <v>11.687465987196163</v>
      </c>
      <c r="BI100" s="900">
        <f t="shared" si="125"/>
        <v>11.722650129595117</v>
      </c>
      <c r="BJ100" s="900">
        <f t="shared" si="125"/>
        <v>11.757940190922753</v>
      </c>
      <c r="BK100" s="900">
        <f t="shared" si="125"/>
        <v>11.793336490039177</v>
      </c>
      <c r="BL100" s="900">
        <f t="shared" si="125"/>
        <v>11.828839346764399</v>
      </c>
      <c r="BM100" s="900">
        <f t="shared" si="125"/>
        <v>11.864449081881222</v>
      </c>
      <c r="BN100" s="900">
        <f t="shared" si="125"/>
        <v>11.900166017138135</v>
      </c>
      <c r="BO100" s="900">
        <f t="shared" si="125"/>
        <v>11.935990475252229</v>
      </c>
      <c r="BP100" s="182"/>
    </row>
    <row r="101" spans="1:96" ht="14.25" customHeight="1" x14ac:dyDescent="0.3">
      <c r="A101" s="982"/>
      <c r="D101" s="944"/>
      <c r="E101" s="183"/>
      <c r="F101" s="185" t="s">
        <v>417</v>
      </c>
      <c r="G101" s="190">
        <f t="shared" si="121"/>
        <v>0.98409599999999997</v>
      </c>
      <c r="H101" s="190">
        <f t="shared" si="121"/>
        <v>0.96326199999999995</v>
      </c>
      <c r="I101" s="190">
        <f t="shared" si="122"/>
        <v>1.3295319999999999</v>
      </c>
      <c r="J101" s="190">
        <f t="shared" si="122"/>
        <v>1.177181</v>
      </c>
      <c r="K101" s="190">
        <f t="shared" si="122"/>
        <v>1.6677040000000001</v>
      </c>
      <c r="L101" s="190">
        <f t="shared" si="122"/>
        <v>2.0175730000000001</v>
      </c>
      <c r="M101" s="190">
        <f t="shared" si="122"/>
        <v>1.1990749999999999</v>
      </c>
      <c r="N101" s="190">
        <f t="shared" si="122"/>
        <v>1.572279</v>
      </c>
      <c r="O101" s="190">
        <f t="shared" si="122"/>
        <v>1.4492659999999999</v>
      </c>
      <c r="P101" s="190">
        <f t="shared" si="122"/>
        <v>1.628519</v>
      </c>
      <c r="Q101" s="190">
        <f t="shared" si="122"/>
        <v>1.463279</v>
      </c>
      <c r="R101" s="190">
        <f t="shared" si="122"/>
        <v>1.849405</v>
      </c>
      <c r="S101" s="190">
        <f t="shared" si="122"/>
        <v>1.736397</v>
      </c>
      <c r="T101" s="900">
        <f t="shared" ref="T101:BO101" si="126">T119*T62</f>
        <v>1.8829251028288905</v>
      </c>
      <c r="U101" s="900">
        <f t="shared" si="126"/>
        <v>2.0071079895573583</v>
      </c>
      <c r="V101" s="900">
        <f t="shared" si="126"/>
        <v>2.0200813459494822</v>
      </c>
      <c r="W101" s="900">
        <f t="shared" si="126"/>
        <v>2.151450644725716</v>
      </c>
      <c r="X101" s="900">
        <f t="shared" si="126"/>
        <v>2.2153713797596195</v>
      </c>
      <c r="Y101" s="900">
        <f t="shared" si="126"/>
        <v>2.2822839118272658</v>
      </c>
      <c r="Z101" s="900">
        <f t="shared" si="126"/>
        <v>2.3435683612215867</v>
      </c>
      <c r="AA101" s="900">
        <f t="shared" si="126"/>
        <v>2.4139686415720769</v>
      </c>
      <c r="AB101" s="900">
        <f t="shared" si="126"/>
        <v>2.3952858308906038</v>
      </c>
      <c r="AC101" s="900">
        <f t="shared" si="126"/>
        <v>2.4513849576118218</v>
      </c>
      <c r="AD101" s="900">
        <f t="shared" si="126"/>
        <v>2.5173671626298217</v>
      </c>
      <c r="AE101" s="900">
        <f t="shared" si="126"/>
        <v>2.5691676056405601</v>
      </c>
      <c r="AF101" s="900">
        <f t="shared" si="126"/>
        <v>2.6196589593152715</v>
      </c>
      <c r="AG101" s="900">
        <f t="shared" si="126"/>
        <v>2.6692716851341793</v>
      </c>
      <c r="AH101" s="900">
        <f t="shared" si="126"/>
        <v>2.7141993272849132</v>
      </c>
      <c r="AI101" s="900">
        <f t="shared" si="126"/>
        <v>2.7553527906614863</v>
      </c>
      <c r="AJ101" s="900">
        <f t="shared" si="126"/>
        <v>2.8092276662483266</v>
      </c>
      <c r="AK101" s="900">
        <f t="shared" si="126"/>
        <v>2.8605400426559275</v>
      </c>
      <c r="AL101" s="900">
        <f t="shared" si="126"/>
        <v>2.9101772509585788</v>
      </c>
      <c r="AM101" s="900">
        <f t="shared" si="126"/>
        <v>2.959002199633797</v>
      </c>
      <c r="AN101" s="900">
        <f t="shared" si="126"/>
        <v>3.003493981464584</v>
      </c>
      <c r="AO101" s="900">
        <f t="shared" si="126"/>
        <v>3.0518794967509071</v>
      </c>
      <c r="AP101" s="900">
        <f t="shared" si="126"/>
        <v>3.0978953225357717</v>
      </c>
      <c r="AQ101" s="900">
        <f t="shared" si="126"/>
        <v>3.1490720824615273</v>
      </c>
      <c r="AR101" s="900">
        <f t="shared" si="126"/>
        <v>3.1960071005602386</v>
      </c>
      <c r="AS101" s="900">
        <f t="shared" si="126"/>
        <v>3.2422265906206706</v>
      </c>
      <c r="AT101" s="900">
        <f t="shared" si="126"/>
        <v>3.2887835989542031</v>
      </c>
      <c r="AU101" s="900">
        <f t="shared" si="126"/>
        <v>3.3352784456632558</v>
      </c>
      <c r="AV101" s="900">
        <f t="shared" si="126"/>
        <v>3.3839752678513069</v>
      </c>
      <c r="AW101" s="900">
        <f t="shared" si="126"/>
        <v>3.4308023741897391</v>
      </c>
      <c r="AX101" s="900">
        <f t="shared" si="126"/>
        <v>3.4774643689669227</v>
      </c>
      <c r="AY101" s="900">
        <f t="shared" si="126"/>
        <v>3.524327562450519</v>
      </c>
      <c r="AZ101" s="900">
        <f t="shared" si="126"/>
        <v>3.5710281606608056</v>
      </c>
      <c r="BA101" s="900">
        <f t="shared" si="126"/>
        <v>3.6179320950431659</v>
      </c>
      <c r="BB101" s="900">
        <f t="shared" si="126"/>
        <v>3.663948797044307</v>
      </c>
      <c r="BC101" s="900">
        <f t="shared" si="126"/>
        <v>3.7098243625933165</v>
      </c>
      <c r="BD101" s="900">
        <f t="shared" si="126"/>
        <v>3.7555232746400069</v>
      </c>
      <c r="BE101" s="900">
        <f t="shared" si="126"/>
        <v>3.8009283171932187</v>
      </c>
      <c r="BF101" s="900">
        <f t="shared" si="126"/>
        <v>3.8459330627545101</v>
      </c>
      <c r="BG101" s="900">
        <f t="shared" si="126"/>
        <v>3.8905811339697642</v>
      </c>
      <c r="BH101" s="900">
        <f t="shared" si="126"/>
        <v>3.934879970562422</v>
      </c>
      <c r="BI101" s="900">
        <f t="shared" si="126"/>
        <v>3.9788144498938083</v>
      </c>
      <c r="BJ101" s="900">
        <f t="shared" si="126"/>
        <v>4.0223128513278068</v>
      </c>
      <c r="BK101" s="900">
        <f t="shared" si="126"/>
        <v>4.0653504169277923</v>
      </c>
      <c r="BL101" s="900">
        <f t="shared" si="126"/>
        <v>4.107882867643994</v>
      </c>
      <c r="BM101" s="900">
        <f t="shared" si="126"/>
        <v>4.1499279372286351</v>
      </c>
      <c r="BN101" s="900">
        <f t="shared" si="126"/>
        <v>4.1914564306462134</v>
      </c>
      <c r="BO101" s="900">
        <f t="shared" si="126"/>
        <v>4.2324383707746183</v>
      </c>
      <c r="BP101" s="182"/>
    </row>
    <row r="102" spans="1:96" ht="14.25" customHeight="1" x14ac:dyDescent="0.3">
      <c r="A102" s="982"/>
      <c r="D102" s="944"/>
      <c r="E102" s="183"/>
      <c r="F102" s="185" t="s">
        <v>418</v>
      </c>
      <c r="G102" s="190">
        <f t="shared" si="121"/>
        <v>2.8504649999999998</v>
      </c>
      <c r="H102" s="190">
        <f t="shared" si="121"/>
        <v>2.097356</v>
      </c>
      <c r="I102" s="190">
        <f t="shared" si="122"/>
        <v>2.649051</v>
      </c>
      <c r="J102" s="190">
        <f t="shared" si="122"/>
        <v>2.3168380000000002</v>
      </c>
      <c r="K102" s="190">
        <f t="shared" si="122"/>
        <v>3.4685100000000002</v>
      </c>
      <c r="L102" s="190">
        <f t="shared" si="122"/>
        <v>4.1756589999999996</v>
      </c>
      <c r="M102" s="190">
        <f t="shared" si="122"/>
        <v>3.124069</v>
      </c>
      <c r="N102" s="190">
        <f t="shared" si="122"/>
        <v>3.2759930000000002</v>
      </c>
      <c r="O102" s="190">
        <f t="shared" si="122"/>
        <v>2.7857560000000001</v>
      </c>
      <c r="P102" s="190">
        <f t="shared" si="122"/>
        <v>2.2759480000000001</v>
      </c>
      <c r="Q102" s="190">
        <f t="shared" si="122"/>
        <v>2.4463119999999998</v>
      </c>
      <c r="R102" s="190">
        <f t="shared" si="122"/>
        <v>2.4188550000000002</v>
      </c>
      <c r="S102" s="190">
        <f t="shared" si="122"/>
        <v>2.2964022335077923</v>
      </c>
      <c r="T102" s="900">
        <f t="shared" ref="T102:BO102" si="127">T120*T63</f>
        <v>2.0315144970440913</v>
      </c>
      <c r="U102" s="900">
        <f t="shared" si="127"/>
        <v>2.1613661680480512</v>
      </c>
      <c r="V102" s="900">
        <f t="shared" si="127"/>
        <v>2.1711868337849238</v>
      </c>
      <c r="W102" s="900">
        <f t="shared" si="127"/>
        <v>2.3079715717594769</v>
      </c>
      <c r="X102" s="900">
        <f t="shared" si="127"/>
        <v>2.3720090263245468</v>
      </c>
      <c r="Y102" s="900">
        <f t="shared" si="127"/>
        <v>2.4389909814259396</v>
      </c>
      <c r="Z102" s="900">
        <f t="shared" si="127"/>
        <v>2.499705702215298</v>
      </c>
      <c r="AA102" s="900">
        <f t="shared" si="127"/>
        <v>2.5698845165371584</v>
      </c>
      <c r="AB102" s="900">
        <f t="shared" si="127"/>
        <v>2.5451305159189195</v>
      </c>
      <c r="AC102" s="900">
        <f t="shared" si="127"/>
        <v>2.5997701832677169</v>
      </c>
      <c r="AD102" s="900">
        <f t="shared" si="127"/>
        <v>2.6646534404898263</v>
      </c>
      <c r="AE102" s="900">
        <f t="shared" si="127"/>
        <v>2.7142968156006888</v>
      </c>
      <c r="AF102" s="900">
        <f t="shared" si="127"/>
        <v>2.7623606899797948</v>
      </c>
      <c r="AG102" s="900">
        <f t="shared" si="127"/>
        <v>2.8093065868173044</v>
      </c>
      <c r="AH102" s="900">
        <f t="shared" si="127"/>
        <v>2.8511418534808293</v>
      </c>
      <c r="AI102" s="900">
        <f t="shared" si="127"/>
        <v>2.8888502445138031</v>
      </c>
      <c r="AJ102" s="900">
        <f t="shared" si="127"/>
        <v>2.9397167152009347</v>
      </c>
      <c r="AK102" s="900">
        <f t="shared" si="127"/>
        <v>2.9877021904485148</v>
      </c>
      <c r="AL102" s="900">
        <f t="shared" si="127"/>
        <v>3.0337475910627982</v>
      </c>
      <c r="AM102" s="900">
        <f t="shared" si="127"/>
        <v>3.0787613084853187</v>
      </c>
      <c r="AN102" s="900">
        <f t="shared" si="127"/>
        <v>3.1190923038249538</v>
      </c>
      <c r="AO102" s="900">
        <f t="shared" si="127"/>
        <v>3.1632941022876828</v>
      </c>
      <c r="AP102" s="900">
        <f t="shared" si="127"/>
        <v>3.2048643934226964</v>
      </c>
      <c r="AQ102" s="900">
        <f t="shared" si="127"/>
        <v>3.2515935241832943</v>
      </c>
      <c r="AR102" s="900">
        <f t="shared" si="127"/>
        <v>3.2937612257574496</v>
      </c>
      <c r="AS102" s="900">
        <f t="shared" si="127"/>
        <v>3.3350202057162575</v>
      </c>
      <c r="AT102" s="900">
        <f t="shared" si="127"/>
        <v>3.3764563002016299</v>
      </c>
      <c r="AU102" s="900">
        <f t="shared" si="127"/>
        <v>3.4176584704660598</v>
      </c>
      <c r="AV102" s="900">
        <f t="shared" si="127"/>
        <v>3.4609432142388887</v>
      </c>
      <c r="AW102" s="900">
        <f t="shared" si="127"/>
        <v>3.5021417825773646</v>
      </c>
      <c r="AX102" s="900">
        <f t="shared" si="127"/>
        <v>3.5430023483360347</v>
      </c>
      <c r="AY102" s="900">
        <f t="shared" si="127"/>
        <v>3.583898874045961</v>
      </c>
      <c r="AZ102" s="900">
        <f t="shared" si="127"/>
        <v>3.6244614460819604</v>
      </c>
      <c r="BA102" s="900">
        <f t="shared" si="127"/>
        <v>3.6650622029266482</v>
      </c>
      <c r="BB102" s="900">
        <f t="shared" si="127"/>
        <v>3.7045977906741494</v>
      </c>
      <c r="BC102" s="900">
        <f t="shared" si="127"/>
        <v>3.7438267710789539</v>
      </c>
      <c r="BD102" s="900">
        <f t="shared" si="127"/>
        <v>3.7827146675617569</v>
      </c>
      <c r="BE102" s="900">
        <f t="shared" si="127"/>
        <v>3.8211451386770041</v>
      </c>
      <c r="BF102" s="900">
        <f t="shared" si="127"/>
        <v>3.8590135622266848</v>
      </c>
      <c r="BG102" s="900">
        <f t="shared" si="127"/>
        <v>3.8963663964668376</v>
      </c>
      <c r="BH102" s="900">
        <f t="shared" si="127"/>
        <v>3.9332135887055664</v>
      </c>
      <c r="BI102" s="900">
        <f t="shared" si="127"/>
        <v>3.9695425107183722</v>
      </c>
      <c r="BJ102" s="900">
        <f t="shared" si="127"/>
        <v>4.0052842822053174</v>
      </c>
      <c r="BK102" s="900">
        <f t="shared" si="127"/>
        <v>4.0404172333773474</v>
      </c>
      <c r="BL102" s="900">
        <f t="shared" si="127"/>
        <v>4.0749005071804891</v>
      </c>
      <c r="BM102" s="900">
        <f t="shared" si="127"/>
        <v>4.1087549681221889</v>
      </c>
      <c r="BN102" s="900">
        <f t="shared" si="127"/>
        <v>4.1419549601038428</v>
      </c>
      <c r="BO102" s="900">
        <f t="shared" si="127"/>
        <v>4.1744742641408541</v>
      </c>
      <c r="BP102" s="182"/>
    </row>
    <row r="103" spans="1:96" ht="13.5" customHeight="1" x14ac:dyDescent="0.3">
      <c r="A103" s="982"/>
      <c r="D103" s="944" t="s">
        <v>367</v>
      </c>
      <c r="E103" s="183"/>
      <c r="F103" s="185" t="s">
        <v>419</v>
      </c>
      <c r="G103" s="193">
        <f t="shared" si="121"/>
        <v>0</v>
      </c>
      <c r="H103" s="193">
        <f t="shared" si="121"/>
        <v>0</v>
      </c>
      <c r="I103" s="190">
        <f t="shared" si="122"/>
        <v>0</v>
      </c>
      <c r="J103" s="190">
        <f t="shared" si="122"/>
        <v>0</v>
      </c>
      <c r="K103" s="190">
        <f t="shared" si="122"/>
        <v>3.2681000000000002E-2</v>
      </c>
      <c r="L103" s="190">
        <f t="shared" si="122"/>
        <v>3.2696999999999997E-2</v>
      </c>
      <c r="M103" s="190">
        <f t="shared" si="122"/>
        <v>4.1787999999999999E-2</v>
      </c>
      <c r="N103" s="190">
        <f t="shared" si="122"/>
        <v>3.5006000000000002E-2</v>
      </c>
      <c r="O103" s="190">
        <f t="shared" si="122"/>
        <v>2.5503999999999999E-2</v>
      </c>
      <c r="P103" s="190">
        <f t="shared" si="122"/>
        <v>3.9515000000000002E-2</v>
      </c>
      <c r="Q103" s="190">
        <f t="shared" si="122"/>
        <v>2.7237999999999998E-2</v>
      </c>
      <c r="R103" s="190">
        <f t="shared" si="122"/>
        <v>2.0077000000000001E-2</v>
      </c>
      <c r="S103" s="190">
        <f t="shared" si="122"/>
        <v>2.9453725766288387E-2</v>
      </c>
      <c r="T103" s="900">
        <f t="shared" ref="T103:BO103" si="128">T121*T64</f>
        <v>2.6954272462386786E-2</v>
      </c>
      <c r="U103" s="900">
        <f t="shared" si="128"/>
        <v>2.856693671726622E-2</v>
      </c>
      <c r="V103" s="900">
        <f t="shared" si="128"/>
        <v>2.8586445371470835E-2</v>
      </c>
      <c r="W103" s="900">
        <f t="shared" si="128"/>
        <v>3.0270601402522322E-2</v>
      </c>
      <c r="X103" s="900">
        <f t="shared" si="128"/>
        <v>3.0990926994803512E-2</v>
      </c>
      <c r="Y103" s="900">
        <f t="shared" si="128"/>
        <v>3.1743591334776201E-2</v>
      </c>
      <c r="Z103" s="900">
        <f t="shared" si="128"/>
        <v>3.2408757503608339E-2</v>
      </c>
      <c r="AA103" s="900">
        <f t="shared" si="128"/>
        <v>3.3190572493659247E-2</v>
      </c>
      <c r="AB103" s="900">
        <f t="shared" si="128"/>
        <v>3.2744535130764515E-2</v>
      </c>
      <c r="AC103" s="900">
        <f t="shared" si="128"/>
        <v>3.3318954462652414E-2</v>
      </c>
      <c r="AD103" s="900">
        <f t="shared" si="128"/>
        <v>3.4019253176190895E-2</v>
      </c>
      <c r="AE103" s="900">
        <f t="shared" si="128"/>
        <v>3.4519859093420785E-2</v>
      </c>
      <c r="AF103" s="900">
        <f t="shared" si="128"/>
        <v>3.4996103928644023E-2</v>
      </c>
      <c r="AG103" s="900">
        <f t="shared" si="128"/>
        <v>3.5454068976098041E-2</v>
      </c>
      <c r="AH103" s="900">
        <f t="shared" si="128"/>
        <v>3.5843747441412971E-2</v>
      </c>
      <c r="AI103" s="900">
        <f t="shared" si="128"/>
        <v>3.6178224343330512E-2</v>
      </c>
      <c r="AJ103" s="900">
        <f t="shared" si="128"/>
        <v>3.6673751313294478E-2</v>
      </c>
      <c r="AK103" s="900">
        <f t="shared" si="128"/>
        <v>3.7129131853215459E-2</v>
      </c>
      <c r="AL103" s="900">
        <f t="shared" si="128"/>
        <v>3.7556453024845921E-2</v>
      </c>
      <c r="AM103" s="900">
        <f t="shared" si="128"/>
        <v>3.7967218356617503E-2</v>
      </c>
      <c r="AN103" s="900">
        <f t="shared" si="128"/>
        <v>3.8316746206421476E-2</v>
      </c>
      <c r="AO103" s="900">
        <f t="shared" si="128"/>
        <v>3.8710394950090557E-2</v>
      </c>
      <c r="AP103" s="900">
        <f t="shared" si="128"/>
        <v>3.9068372878727081E-2</v>
      </c>
      <c r="AQ103" s="900">
        <f t="shared" si="128"/>
        <v>3.9485673612661996E-2</v>
      </c>
      <c r="AR103" s="900">
        <f t="shared" si="128"/>
        <v>3.9844010828634716E-2</v>
      </c>
      <c r="AS103" s="900">
        <f t="shared" si="128"/>
        <v>4.0188059964220355E-2</v>
      </c>
      <c r="AT103" s="900">
        <f t="shared" si="128"/>
        <v>4.0531002024589084E-2</v>
      </c>
      <c r="AU103" s="900">
        <f t="shared" si="128"/>
        <v>4.0867917118047728E-2</v>
      </c>
      <c r="AV103" s="900">
        <f t="shared" si="128"/>
        <v>4.1226451174426228E-2</v>
      </c>
      <c r="AW103" s="900">
        <f t="shared" si="128"/>
        <v>4.1556870776191059E-2</v>
      </c>
      <c r="AX103" s="900">
        <f t="shared" si="128"/>
        <v>4.1880146196855643E-2</v>
      </c>
      <c r="AY103" s="900">
        <f t="shared" si="128"/>
        <v>4.2200746270537902E-2</v>
      </c>
      <c r="AZ103" s="900">
        <f t="shared" si="128"/>
        <v>4.2514346132285857E-2</v>
      </c>
      <c r="BA103" s="900">
        <f t="shared" si="128"/>
        <v>4.2825358257742849E-2</v>
      </c>
      <c r="BB103" s="900">
        <f t="shared" si="128"/>
        <v>4.3120953319762463E-2</v>
      </c>
      <c r="BC103" s="900">
        <f t="shared" si="128"/>
        <v>4.3410088490379417E-2</v>
      </c>
      <c r="BD103" s="900">
        <f t="shared" si="128"/>
        <v>4.3692424498921877E-2</v>
      </c>
      <c r="BE103" s="900">
        <f t="shared" si="128"/>
        <v>4.3966685836742618E-2</v>
      </c>
      <c r="BF103" s="900">
        <f t="shared" si="128"/>
        <v>4.4231751456886681E-2</v>
      </c>
      <c r="BG103" s="900">
        <f t="shared" si="128"/>
        <v>4.4488243207258832E-2</v>
      </c>
      <c r="BH103" s="900">
        <f t="shared" si="128"/>
        <v>4.4736358843610498E-2</v>
      </c>
      <c r="BI103" s="900">
        <f t="shared" si="128"/>
        <v>4.4976037984449338E-2</v>
      </c>
      <c r="BJ103" s="900">
        <f t="shared" si="128"/>
        <v>4.5206586948683784E-2</v>
      </c>
      <c r="BK103" s="900">
        <f t="shared" si="128"/>
        <v>4.5427854205778773E-2</v>
      </c>
      <c r="BL103" s="900">
        <f t="shared" si="128"/>
        <v>4.563947639959804E-2</v>
      </c>
      <c r="BM103" s="900">
        <f t="shared" si="128"/>
        <v>4.5841785154048624E-2</v>
      </c>
      <c r="BN103" s="900">
        <f t="shared" si="128"/>
        <v>4.6034590749395241E-2</v>
      </c>
      <c r="BO103" s="900">
        <f t="shared" si="128"/>
        <v>4.6217700918018099E-2</v>
      </c>
      <c r="BP103" s="182"/>
    </row>
    <row r="104" spans="1:96" ht="13.5" customHeight="1" x14ac:dyDescent="0.3">
      <c r="A104" s="982"/>
      <c r="D104" s="944" t="s">
        <v>367</v>
      </c>
      <c r="E104" s="183"/>
      <c r="F104" s="185" t="s">
        <v>420</v>
      </c>
      <c r="G104" s="193">
        <f t="shared" si="121"/>
        <v>0</v>
      </c>
      <c r="H104" s="193">
        <f t="shared" si="121"/>
        <v>0</v>
      </c>
      <c r="I104" s="190">
        <f t="shared" si="122"/>
        <v>0</v>
      </c>
      <c r="J104" s="190">
        <f t="shared" si="122"/>
        <v>0</v>
      </c>
      <c r="K104" s="190">
        <f t="shared" si="122"/>
        <v>0</v>
      </c>
      <c r="L104" s="190">
        <f t="shared" si="122"/>
        <v>6.3334728355706735E-2</v>
      </c>
      <c r="M104" s="190">
        <f t="shared" si="122"/>
        <v>4.0803084957981753E-2</v>
      </c>
      <c r="N104" s="190">
        <f t="shared" si="122"/>
        <v>6.5372491848106867E-2</v>
      </c>
      <c r="O104" s="190">
        <f t="shared" si="122"/>
        <v>4.3652640246656008E-2</v>
      </c>
      <c r="P104" s="190">
        <f t="shared" si="122"/>
        <v>3.5010121222727224E-2</v>
      </c>
      <c r="Q104" s="190">
        <f t="shared" si="122"/>
        <v>3.7421596562221979E-2</v>
      </c>
      <c r="R104" s="190">
        <f t="shared" si="122"/>
        <v>2.7855525305192988E-2</v>
      </c>
      <c r="S104" s="190">
        <f t="shared" si="122"/>
        <v>2.3652076736890879E-2</v>
      </c>
      <c r="T104" s="900">
        <f t="shared" ref="T104:BO104" si="129">T122*T65</f>
        <v>2.5810647019040598E-2</v>
      </c>
      <c r="U104" s="900">
        <f t="shared" si="129"/>
        <v>2.7354888582265913E-2</v>
      </c>
      <c r="V104" s="900">
        <f t="shared" si="129"/>
        <v>2.7373569516362523E-2</v>
      </c>
      <c r="W104" s="900">
        <f t="shared" si="129"/>
        <v>2.8986269577294131E-2</v>
      </c>
      <c r="X104" s="900">
        <f t="shared" si="129"/>
        <v>2.9676032939562409E-2</v>
      </c>
      <c r="Y104" s="900">
        <f t="shared" si="129"/>
        <v>3.0396762969651821E-2</v>
      </c>
      <c r="Z104" s="900">
        <f t="shared" si="129"/>
        <v>3.1033707232075953E-2</v>
      </c>
      <c r="AA104" s="900">
        <f t="shared" si="129"/>
        <v>3.1782351098110839E-2</v>
      </c>
      <c r="AB104" s="900">
        <f t="shared" si="129"/>
        <v>3.1355238366834383E-2</v>
      </c>
      <c r="AC104" s="900">
        <f t="shared" si="129"/>
        <v>3.1905286031335842E-2</v>
      </c>
      <c r="AD104" s="900">
        <f t="shared" si="129"/>
        <v>3.2575872222384138E-2</v>
      </c>
      <c r="AE104" s="900">
        <f t="shared" si="129"/>
        <v>3.3055238253995423E-2</v>
      </c>
      <c r="AF104" s="900">
        <f t="shared" si="129"/>
        <v>3.3511276804237926E-2</v>
      </c>
      <c r="AG104" s="900">
        <f t="shared" si="129"/>
        <v>3.3949811148037731E-2</v>
      </c>
      <c r="AH104" s="900">
        <f t="shared" si="129"/>
        <v>3.4322956197053632E-2</v>
      </c>
      <c r="AI104" s="900">
        <f t="shared" si="129"/>
        <v>3.4643241794205727E-2</v>
      </c>
      <c r="AJ104" s="900">
        <f t="shared" si="129"/>
        <v>3.5117744369929191E-2</v>
      </c>
      <c r="AK104" s="900">
        <f t="shared" si="129"/>
        <v>3.555380386259932E-2</v>
      </c>
      <c r="AL104" s="900">
        <f t="shared" si="129"/>
        <v>3.5962994499820475E-2</v>
      </c>
      <c r="AM104" s="900">
        <f t="shared" si="129"/>
        <v>3.6356331734235171E-2</v>
      </c>
      <c r="AN104" s="900">
        <f t="shared" si="129"/>
        <v>3.669102969231227E-2</v>
      </c>
      <c r="AO104" s="900">
        <f t="shared" si="129"/>
        <v>3.7067976567302492E-2</v>
      </c>
      <c r="AP104" s="900">
        <f t="shared" si="129"/>
        <v>3.7410766081266859E-2</v>
      </c>
      <c r="AQ104" s="900">
        <f t="shared" si="129"/>
        <v>3.7810361431481213E-2</v>
      </c>
      <c r="AR104" s="900">
        <f t="shared" si="129"/>
        <v>3.8153494988811099E-2</v>
      </c>
      <c r="AS104" s="900">
        <f t="shared" si="129"/>
        <v>3.848294668550218E-2</v>
      </c>
      <c r="AT104" s="900">
        <f t="shared" si="129"/>
        <v>3.8811338278356762E-2</v>
      </c>
      <c r="AU104" s="900">
        <f t="shared" si="129"/>
        <v>3.9133958618593465E-2</v>
      </c>
      <c r="AV104" s="900">
        <f t="shared" si="129"/>
        <v>3.9477280664714488E-2</v>
      </c>
      <c r="AW104" s="900">
        <f t="shared" si="129"/>
        <v>3.9793681106285478E-2</v>
      </c>
      <c r="AX104" s="900">
        <f t="shared" si="129"/>
        <v>4.0103240482608798E-2</v>
      </c>
      <c r="AY104" s="900">
        <f t="shared" si="129"/>
        <v>4.0410238022521569E-2</v>
      </c>
      <c r="AZ104" s="900">
        <f t="shared" si="129"/>
        <v>4.0710532357977718E-2</v>
      </c>
      <c r="BA104" s="900">
        <f t="shared" si="129"/>
        <v>4.1008348750537139E-2</v>
      </c>
      <c r="BB104" s="900">
        <f t="shared" si="129"/>
        <v>4.1291402200301225E-2</v>
      </c>
      <c r="BC104" s="900">
        <f t="shared" si="129"/>
        <v>4.1568269841228953E-2</v>
      </c>
      <c r="BD104" s="900">
        <f t="shared" si="129"/>
        <v>4.1838626797345027E-2</v>
      </c>
      <c r="BE104" s="900">
        <f t="shared" si="129"/>
        <v>4.210125167773604E-2</v>
      </c>
      <c r="BF104" s="900">
        <f t="shared" si="129"/>
        <v>4.2355070999625308E-2</v>
      </c>
      <c r="BG104" s="900">
        <f t="shared" si="129"/>
        <v>4.2600680226933876E-2</v>
      </c>
      <c r="BH104" s="900">
        <f t="shared" si="129"/>
        <v>4.2838268724961936E-2</v>
      </c>
      <c r="BI104" s="900">
        <f t="shared" si="129"/>
        <v>4.306777867410453E-2</v>
      </c>
      <c r="BJ104" s="900">
        <f t="shared" si="129"/>
        <v>4.3288545825017788E-2</v>
      </c>
      <c r="BK104" s="900">
        <f t="shared" si="129"/>
        <v>4.3500425076357985E-2</v>
      </c>
      <c r="BL104" s="900">
        <f t="shared" si="129"/>
        <v>4.3703068488592019E-2</v>
      </c>
      <c r="BM104" s="900">
        <f t="shared" si="129"/>
        <v>4.3896793615370064E-2</v>
      </c>
      <c r="BN104" s="900">
        <f t="shared" si="129"/>
        <v>4.4081418786453122E-2</v>
      </c>
      <c r="BO104" s="900">
        <f t="shared" si="129"/>
        <v>4.4256759891820249E-2</v>
      </c>
      <c r="BP104" s="182"/>
    </row>
    <row r="105" spans="1:96" ht="14.25" customHeight="1" x14ac:dyDescent="0.3">
      <c r="A105" s="982"/>
      <c r="D105" s="944"/>
      <c r="E105" s="183"/>
      <c r="F105" s="185" t="s">
        <v>421</v>
      </c>
      <c r="G105" s="190">
        <f t="shared" ref="G105:H105" si="130">G90/1000000</f>
        <v>5.8132999999999997E-2</v>
      </c>
      <c r="H105" s="190">
        <f t="shared" si="130"/>
        <v>6.8071999999999994E-2</v>
      </c>
      <c r="I105" s="190">
        <f t="shared" si="122"/>
        <v>4.5975000000000002E-2</v>
      </c>
      <c r="J105" s="190">
        <f t="shared" si="122"/>
        <v>3.7544000000000001E-2</v>
      </c>
      <c r="K105" s="190">
        <f t="shared" si="122"/>
        <v>7.2494000000000003E-2</v>
      </c>
      <c r="L105" s="190">
        <f t="shared" si="122"/>
        <v>6.3076999999999994E-2</v>
      </c>
      <c r="M105" s="190">
        <f t="shared" si="122"/>
        <v>7.3829000000000006E-2</v>
      </c>
      <c r="N105" s="190">
        <f t="shared" si="122"/>
        <v>6.3367000000000007E-2</v>
      </c>
      <c r="O105" s="190">
        <f t="shared" si="122"/>
        <v>6.6623000000000002E-2</v>
      </c>
      <c r="P105" s="190">
        <f t="shared" si="122"/>
        <v>6.9685999999999998E-2</v>
      </c>
      <c r="Q105" s="190">
        <f t="shared" si="122"/>
        <v>7.7360999999999999E-2</v>
      </c>
      <c r="R105" s="190">
        <f t="shared" si="122"/>
        <v>8.7922E-2</v>
      </c>
      <c r="S105" s="190">
        <f t="shared" si="122"/>
        <v>6.8358373950290235E-2</v>
      </c>
      <c r="T105" s="900">
        <f t="shared" ref="T105:BO105" si="131">T123*T66</f>
        <v>8.3786134204488563E-2</v>
      </c>
      <c r="U105" s="900">
        <f t="shared" si="131"/>
        <v>8.8984218826287306E-2</v>
      </c>
      <c r="V105" s="900">
        <f t="shared" si="131"/>
        <v>8.9230690893579587E-2</v>
      </c>
      <c r="W105" s="900">
        <f t="shared" si="131"/>
        <v>9.4684726687222137E-2</v>
      </c>
      <c r="X105" s="900">
        <f t="shared" si="131"/>
        <v>9.7140028813314572E-2</v>
      </c>
      <c r="Y105" s="900">
        <f t="shared" si="131"/>
        <v>9.9706736341853106E-2</v>
      </c>
      <c r="Z105" s="900">
        <f t="shared" si="131"/>
        <v>0.10200832190343508</v>
      </c>
      <c r="AA105" s="900">
        <f t="shared" si="131"/>
        <v>0.10468699794915136</v>
      </c>
      <c r="AB105" s="900">
        <f t="shared" si="131"/>
        <v>0.10349553459271671</v>
      </c>
      <c r="AC105" s="900">
        <f t="shared" si="131"/>
        <v>0.10553072661453251</v>
      </c>
      <c r="AD105" s="900">
        <f t="shared" si="131"/>
        <v>0.10797348505469334</v>
      </c>
      <c r="AE105" s="900">
        <f t="shared" si="131"/>
        <v>0.10979084781922875</v>
      </c>
      <c r="AF105" s="900">
        <f t="shared" si="131"/>
        <v>0.11153767889643459</v>
      </c>
      <c r="AG105" s="900">
        <f t="shared" si="131"/>
        <v>0.11323293666144521</v>
      </c>
      <c r="AH105" s="900">
        <f t="shared" si="131"/>
        <v>0.11471623224860215</v>
      </c>
      <c r="AI105" s="900">
        <f t="shared" si="131"/>
        <v>0.11602818373032196</v>
      </c>
      <c r="AJ105" s="900">
        <f t="shared" si="131"/>
        <v>0.11786269374491201</v>
      </c>
      <c r="AK105" s="900">
        <f t="shared" si="131"/>
        <v>0.11957505855307204</v>
      </c>
      <c r="AL105" s="900">
        <f t="shared" si="131"/>
        <v>0.12120349885543599</v>
      </c>
      <c r="AM105" s="900">
        <f t="shared" si="131"/>
        <v>0.1227846703159001</v>
      </c>
      <c r="AN105" s="900">
        <f t="shared" si="131"/>
        <v>0.12417345679523067</v>
      </c>
      <c r="AO105" s="900">
        <f t="shared" si="131"/>
        <v>0.12571078309450753</v>
      </c>
      <c r="AP105" s="900">
        <f t="shared" si="131"/>
        <v>0.12713790009943374</v>
      </c>
      <c r="AQ105" s="900">
        <f t="shared" si="131"/>
        <v>0.12876387618003787</v>
      </c>
      <c r="AR105" s="900">
        <f t="shared" si="131"/>
        <v>0.13020339858927005</v>
      </c>
      <c r="AS105" s="900">
        <f t="shared" si="131"/>
        <v>0.13160157685361759</v>
      </c>
      <c r="AT105" s="900">
        <f t="shared" si="131"/>
        <v>0.13300138780004678</v>
      </c>
      <c r="AU105" s="900">
        <f t="shared" si="131"/>
        <v>0.13438664641998371</v>
      </c>
      <c r="AV105" s="900">
        <f t="shared" si="131"/>
        <v>0.13584834275322946</v>
      </c>
      <c r="AW105" s="900">
        <f t="shared" si="131"/>
        <v>0.13722271611218295</v>
      </c>
      <c r="AX105" s="900">
        <f t="shared" si="131"/>
        <v>0.13857859153280955</v>
      </c>
      <c r="AY105" s="900">
        <f t="shared" si="131"/>
        <v>0.13993065449237313</v>
      </c>
      <c r="AZ105" s="900">
        <f t="shared" si="131"/>
        <v>0.14126449425136864</v>
      </c>
      <c r="BA105" s="900">
        <f t="shared" si="131"/>
        <v>0.14259467253635702</v>
      </c>
      <c r="BB105" s="900">
        <f t="shared" si="131"/>
        <v>0.14387834368276875</v>
      </c>
      <c r="BC105" s="900">
        <f t="shared" si="131"/>
        <v>0.14514514967383305</v>
      </c>
      <c r="BD105" s="900">
        <f t="shared" si="131"/>
        <v>0.14639383279173837</v>
      </c>
      <c r="BE105" s="900">
        <f t="shared" si="131"/>
        <v>0.14761998185269315</v>
      </c>
      <c r="BF105" s="900">
        <f t="shared" si="131"/>
        <v>0.14881966908402783</v>
      </c>
      <c r="BG105" s="900">
        <f t="shared" si="131"/>
        <v>0.14999481085386362</v>
      </c>
      <c r="BH105" s="900">
        <f t="shared" si="131"/>
        <v>0.15114590741458689</v>
      </c>
      <c r="BI105" s="900">
        <f t="shared" si="131"/>
        <v>0.1522725899136744</v>
      </c>
      <c r="BJ105" s="900">
        <f t="shared" si="131"/>
        <v>0.15337233849406906</v>
      </c>
      <c r="BK105" s="900">
        <f t="shared" si="131"/>
        <v>0.15444445614363209</v>
      </c>
      <c r="BL105" s="900">
        <f t="shared" si="131"/>
        <v>0.15548751911546635</v>
      </c>
      <c r="BM105" s="900">
        <f t="shared" si="131"/>
        <v>0.15650246518462832</v>
      </c>
      <c r="BN105" s="900">
        <f t="shared" si="131"/>
        <v>0.15748845718003915</v>
      </c>
      <c r="BO105" s="900">
        <f t="shared" si="131"/>
        <v>0.15844464298086219</v>
      </c>
      <c r="BP105" s="182"/>
    </row>
    <row r="106" spans="1:96" ht="14.25" customHeight="1" x14ac:dyDescent="0.3">
      <c r="A106" s="982"/>
      <c r="D106" s="944"/>
      <c r="E106" s="183"/>
      <c r="F106" s="185" t="s">
        <v>422</v>
      </c>
      <c r="G106" s="190">
        <f t="shared" ref="G106:H106" si="132">G91/1000000</f>
        <v>2.6338E-2</v>
      </c>
      <c r="H106" s="190">
        <f t="shared" si="132"/>
        <v>3.0641000000000002E-2</v>
      </c>
      <c r="I106" s="190">
        <f t="shared" si="122"/>
        <v>1.8412000000000001E-2</v>
      </c>
      <c r="J106" s="190">
        <f t="shared" si="122"/>
        <v>2.6908999999999999E-2</v>
      </c>
      <c r="K106" s="190">
        <f t="shared" si="122"/>
        <v>2.1304E-2</v>
      </c>
      <c r="L106" s="190">
        <f t="shared" si="122"/>
        <v>2.3687E-2</v>
      </c>
      <c r="M106" s="190">
        <f t="shared" si="122"/>
        <v>3.6062999999999998E-2</v>
      </c>
      <c r="N106" s="190">
        <f t="shared" si="122"/>
        <v>2.0601999999999999E-2</v>
      </c>
      <c r="O106" s="190">
        <f t="shared" si="122"/>
        <v>2.1217E-2</v>
      </c>
      <c r="P106" s="190">
        <f t="shared" si="122"/>
        <v>2.3028E-2</v>
      </c>
      <c r="Q106" s="190">
        <f t="shared" si="122"/>
        <v>3.3656999999999999E-2</v>
      </c>
      <c r="R106" s="190">
        <f t="shared" si="122"/>
        <v>2.7061000000000002E-2</v>
      </c>
      <c r="S106" s="190">
        <f t="shared" si="122"/>
        <v>1.9469815087454573E-2</v>
      </c>
      <c r="T106" s="900">
        <f t="shared" ref="T106:BO106" si="133">T124*T67</f>
        <v>2.3147915967647342E-2</v>
      </c>
      <c r="U106" s="900">
        <f t="shared" si="133"/>
        <v>2.4584010700511524E-2</v>
      </c>
      <c r="V106" s="900">
        <f t="shared" si="133"/>
        <v>2.4652104481854027E-2</v>
      </c>
      <c r="W106" s="900">
        <f t="shared" si="133"/>
        <v>2.6158911824554112E-2</v>
      </c>
      <c r="X106" s="900">
        <f t="shared" si="133"/>
        <v>2.6837247539999127E-2</v>
      </c>
      <c r="Y106" s="900">
        <f t="shared" si="133"/>
        <v>2.7546361652354901E-2</v>
      </c>
      <c r="Z106" s="900">
        <f t="shared" si="133"/>
        <v>2.8182229504209982E-2</v>
      </c>
      <c r="AA106" s="900">
        <f t="shared" si="133"/>
        <v>2.8922277587338615E-2</v>
      </c>
      <c r="AB106" s="900">
        <f t="shared" si="133"/>
        <v>2.8593107445821293E-2</v>
      </c>
      <c r="AC106" s="900">
        <f t="shared" si="133"/>
        <v>2.9155377734888945E-2</v>
      </c>
      <c r="AD106" s="900">
        <f t="shared" si="133"/>
        <v>2.9830247958213738E-2</v>
      </c>
      <c r="AE106" s="900">
        <f t="shared" si="133"/>
        <v>3.033233772468423E-2</v>
      </c>
      <c r="AF106" s="900">
        <f t="shared" si="133"/>
        <v>3.0814941431953371E-2</v>
      </c>
      <c r="AG106" s="900">
        <f t="shared" si="133"/>
        <v>3.128329678287807E-2</v>
      </c>
      <c r="AH106" s="900">
        <f t="shared" si="133"/>
        <v>3.1693092531693653E-2</v>
      </c>
      <c r="AI106" s="900">
        <f t="shared" si="133"/>
        <v>3.2055550388722376E-2</v>
      </c>
      <c r="AJ106" s="900">
        <f t="shared" si="133"/>
        <v>3.2562377491592374E-2</v>
      </c>
      <c r="AK106" s="900">
        <f t="shared" si="133"/>
        <v>3.3035459070800993E-2</v>
      </c>
      <c r="AL106" s="900">
        <f t="shared" si="133"/>
        <v>3.3485354505592778E-2</v>
      </c>
      <c r="AM106" s="900">
        <f t="shared" si="133"/>
        <v>3.3922190796522936E-2</v>
      </c>
      <c r="AN106" s="900">
        <f t="shared" si="133"/>
        <v>3.4305876152408793E-2</v>
      </c>
      <c r="AO106" s="900">
        <f t="shared" si="133"/>
        <v>3.4730599172851102E-2</v>
      </c>
      <c r="AP106" s="900">
        <f t="shared" si="133"/>
        <v>3.512487424974399E-2</v>
      </c>
      <c r="AQ106" s="900">
        <f t="shared" si="133"/>
        <v>3.5574088884558978E-2</v>
      </c>
      <c r="AR106" s="900">
        <f t="shared" si="133"/>
        <v>3.5971791249978131E-2</v>
      </c>
      <c r="AS106" s="900">
        <f t="shared" si="133"/>
        <v>3.6358071310255383E-2</v>
      </c>
      <c r="AT106" s="900">
        <f t="shared" si="133"/>
        <v>3.6744802437860019E-2</v>
      </c>
      <c r="AU106" s="900">
        <f t="shared" si="133"/>
        <v>3.7127513138529175E-2</v>
      </c>
      <c r="AV106" s="900">
        <f t="shared" si="133"/>
        <v>3.7531341578800836E-2</v>
      </c>
      <c r="AW106" s="900">
        <f t="shared" si="133"/>
        <v>3.7911044966757401E-2</v>
      </c>
      <c r="AX106" s="900">
        <f t="shared" si="133"/>
        <v>3.8285637858496063E-2</v>
      </c>
      <c r="AY106" s="900">
        <f t="shared" si="133"/>
        <v>3.8659177467025588E-2</v>
      </c>
      <c r="AZ106" s="900">
        <f t="shared" si="133"/>
        <v>3.9027682482189317E-2</v>
      </c>
      <c r="BA106" s="900">
        <f t="shared" si="133"/>
        <v>3.9395175927915693E-2</v>
      </c>
      <c r="BB106" s="900">
        <f t="shared" si="133"/>
        <v>3.9749820668472782E-2</v>
      </c>
      <c r="BC106" s="900">
        <f t="shared" si="133"/>
        <v>4.0099806008014764E-2</v>
      </c>
      <c r="BD106" s="900">
        <f t="shared" si="133"/>
        <v>4.0444784472028247E-2</v>
      </c>
      <c r="BE106" s="900">
        <f t="shared" si="133"/>
        <v>4.0783537365884408E-2</v>
      </c>
      <c r="BF106" s="900">
        <f t="shared" si="133"/>
        <v>4.1114979548795234E-2</v>
      </c>
      <c r="BG106" s="900">
        <f t="shared" si="133"/>
        <v>4.1439640463115997E-2</v>
      </c>
      <c r="BH106" s="900">
        <f t="shared" si="133"/>
        <v>4.1757658315488069E-2</v>
      </c>
      <c r="BI106" s="900">
        <f t="shared" si="133"/>
        <v>4.2068931201613174E-2</v>
      </c>
      <c r="BJ106" s="900">
        <f t="shared" si="133"/>
        <v>4.2372762950938003E-2</v>
      </c>
      <c r="BK106" s="900">
        <f t="shared" si="133"/>
        <v>4.2668960997251336E-2</v>
      </c>
      <c r="BL106" s="900">
        <f t="shared" si="133"/>
        <v>4.2957131996548867E-2</v>
      </c>
      <c r="BM106" s="900">
        <f t="shared" si="133"/>
        <v>4.3237535031534532E-2</v>
      </c>
      <c r="BN106" s="900">
        <f t="shared" si="133"/>
        <v>4.3509938813750322E-2</v>
      </c>
      <c r="BO106" s="900">
        <f t="shared" si="133"/>
        <v>4.3774107924511411E-2</v>
      </c>
      <c r="BP106" s="182"/>
    </row>
    <row r="107" spans="1:96" ht="14.25" customHeight="1" x14ac:dyDescent="0.3">
      <c r="A107" s="982"/>
      <c r="D107" s="944"/>
      <c r="E107" s="183"/>
      <c r="F107" s="185" t="s">
        <v>423</v>
      </c>
      <c r="G107" s="190">
        <f t="shared" ref="G107:H107" si="134">G92/1000000</f>
        <v>0.44065599999999999</v>
      </c>
      <c r="H107" s="190">
        <f t="shared" si="134"/>
        <v>0.39071899999999998</v>
      </c>
      <c r="I107" s="190">
        <f t="shared" si="122"/>
        <v>0.35604599999999997</v>
      </c>
      <c r="J107" s="190">
        <f t="shared" si="122"/>
        <v>0.39169100000000001</v>
      </c>
      <c r="K107" s="190">
        <f t="shared" si="122"/>
        <v>0.53235399999999999</v>
      </c>
      <c r="L107" s="190">
        <f t="shared" si="122"/>
        <v>0.47271999999999997</v>
      </c>
      <c r="M107" s="190">
        <f t="shared" si="122"/>
        <v>0.51331599999999999</v>
      </c>
      <c r="N107" s="190">
        <f t="shared" si="122"/>
        <v>0.479769</v>
      </c>
      <c r="O107" s="190">
        <f t="shared" si="122"/>
        <v>0.34609299999999998</v>
      </c>
      <c r="P107" s="190">
        <f t="shared" si="122"/>
        <v>0.34520899999999999</v>
      </c>
      <c r="Q107" s="190">
        <f t="shared" si="122"/>
        <v>0.47258600000000001</v>
      </c>
      <c r="R107" s="190">
        <f t="shared" si="122"/>
        <v>0.34095900000000001</v>
      </c>
      <c r="S107" s="190">
        <f t="shared" si="122"/>
        <v>0.39773316804241943</v>
      </c>
      <c r="T107" s="900">
        <f t="shared" ref="T107:BO107" si="135">T125*T68</f>
        <v>0.42710808603816824</v>
      </c>
      <c r="U107" s="900">
        <f t="shared" si="135"/>
        <v>0.45360583527746856</v>
      </c>
      <c r="V107" s="900">
        <f t="shared" si="135"/>
        <v>0.45486225095916299</v>
      </c>
      <c r="W107" s="900">
        <f t="shared" si="135"/>
        <v>0.48266473655088443</v>
      </c>
      <c r="X107" s="900">
        <f t="shared" si="135"/>
        <v>0.49518088139606103</v>
      </c>
      <c r="Y107" s="900">
        <f t="shared" si="135"/>
        <v>0.50826492627224906</v>
      </c>
      <c r="Z107" s="900">
        <f t="shared" si="135"/>
        <v>0.51999748576307347</v>
      </c>
      <c r="AA107" s="900">
        <f t="shared" si="135"/>
        <v>0.53365230120317864</v>
      </c>
      <c r="AB107" s="900">
        <f t="shared" si="135"/>
        <v>0.52757869918557698</v>
      </c>
      <c r="AC107" s="900">
        <f t="shared" si="135"/>
        <v>0.53795329132317848</v>
      </c>
      <c r="AD107" s="900">
        <f t="shared" si="135"/>
        <v>0.55040549349167012</v>
      </c>
      <c r="AE107" s="900">
        <f t="shared" si="135"/>
        <v>0.55966967949771429</v>
      </c>
      <c r="AF107" s="900">
        <f t="shared" si="135"/>
        <v>0.56857432326844237</v>
      </c>
      <c r="AG107" s="900">
        <f t="shared" si="135"/>
        <v>0.57721606699166839</v>
      </c>
      <c r="AH107" s="900">
        <f t="shared" si="135"/>
        <v>0.58477731259960253</v>
      </c>
      <c r="AI107" s="900">
        <f t="shared" si="135"/>
        <v>0.59146511472405316</v>
      </c>
      <c r="AJ107" s="900">
        <f t="shared" si="135"/>
        <v>0.60081671052911934</v>
      </c>
      <c r="AK107" s="900">
        <f t="shared" si="135"/>
        <v>0.60954565909270109</v>
      </c>
      <c r="AL107" s="900">
        <f t="shared" si="135"/>
        <v>0.61784679420740385</v>
      </c>
      <c r="AM107" s="900">
        <f t="shared" si="135"/>
        <v>0.62590697173664511</v>
      </c>
      <c r="AN107" s="900">
        <f t="shared" si="135"/>
        <v>0.63298644784249936</v>
      </c>
      <c r="AO107" s="900">
        <f t="shared" si="135"/>
        <v>0.64082312033651567</v>
      </c>
      <c r="AP107" s="900">
        <f t="shared" si="135"/>
        <v>0.64809799007855351</v>
      </c>
      <c r="AQ107" s="900">
        <f t="shared" si="135"/>
        <v>0.65638656357969827</v>
      </c>
      <c r="AR107" s="900">
        <f t="shared" si="135"/>
        <v>0.66372467109419042</v>
      </c>
      <c r="AS107" s="900">
        <f t="shared" si="135"/>
        <v>0.67085202275082834</v>
      </c>
      <c r="AT107" s="900">
        <f t="shared" si="135"/>
        <v>0.67798769716546914</v>
      </c>
      <c r="AU107" s="900">
        <f t="shared" si="135"/>
        <v>0.68504918965998085</v>
      </c>
      <c r="AV107" s="900">
        <f t="shared" si="135"/>
        <v>0.69250033093996799</v>
      </c>
      <c r="AW107" s="900">
        <f t="shared" si="135"/>
        <v>0.69950633474259982</v>
      </c>
      <c r="AX107" s="900">
        <f t="shared" si="135"/>
        <v>0.70641804347947335</v>
      </c>
      <c r="AY107" s="900">
        <f t="shared" si="135"/>
        <v>0.71331031781991394</v>
      </c>
      <c r="AZ107" s="900">
        <f t="shared" si="135"/>
        <v>0.72010969759742938</v>
      </c>
      <c r="BA107" s="900">
        <f t="shared" si="135"/>
        <v>0.72689041264992649</v>
      </c>
      <c r="BB107" s="900">
        <f t="shared" si="135"/>
        <v>0.73343405297480679</v>
      </c>
      <c r="BC107" s="900">
        <f t="shared" si="135"/>
        <v>0.73989172150626847</v>
      </c>
      <c r="BD107" s="900">
        <f t="shared" si="135"/>
        <v>0.74625700690367192</v>
      </c>
      <c r="BE107" s="900">
        <f t="shared" si="135"/>
        <v>0.75250742272240101</v>
      </c>
      <c r="BF107" s="900">
        <f t="shared" si="135"/>
        <v>0.75862294675373099</v>
      </c>
      <c r="BG107" s="900">
        <f t="shared" si="135"/>
        <v>0.7646133478732422</v>
      </c>
      <c r="BH107" s="900">
        <f t="shared" si="135"/>
        <v>0.7704811761668322</v>
      </c>
      <c r="BI107" s="900">
        <f t="shared" si="135"/>
        <v>0.77622455137237056</v>
      </c>
      <c r="BJ107" s="900">
        <f t="shared" si="135"/>
        <v>0.7818306282698817</v>
      </c>
      <c r="BK107" s="900">
        <f t="shared" si="135"/>
        <v>0.78729585377121625</v>
      </c>
      <c r="BL107" s="900">
        <f t="shared" si="135"/>
        <v>0.79261297018608878</v>
      </c>
      <c r="BM107" s="900">
        <f t="shared" si="135"/>
        <v>0.79778675791537768</v>
      </c>
      <c r="BN107" s="900">
        <f t="shared" si="135"/>
        <v>0.80281294939690684</v>
      </c>
      <c r="BO107" s="900">
        <f t="shared" si="135"/>
        <v>0.80768720086063561</v>
      </c>
      <c r="BP107" s="182"/>
    </row>
    <row r="108" spans="1:96" ht="14.25" customHeight="1" x14ac:dyDescent="0.3">
      <c r="A108" s="982"/>
      <c r="D108" s="944"/>
      <c r="E108" s="183"/>
      <c r="F108" s="185" t="s">
        <v>424</v>
      </c>
      <c r="G108" s="190">
        <f t="shared" ref="G108:H108" si="136">G93/1000000</f>
        <v>0.73556299999999997</v>
      </c>
      <c r="H108" s="190">
        <f t="shared" si="136"/>
        <v>0.73005299999999995</v>
      </c>
      <c r="I108" s="190">
        <f t="shared" si="122"/>
        <v>0.697183</v>
      </c>
      <c r="J108" s="190">
        <f t="shared" si="122"/>
        <v>0.68196599999999996</v>
      </c>
      <c r="K108" s="190">
        <f t="shared" si="122"/>
        <v>1.032816</v>
      </c>
      <c r="L108" s="190">
        <f t="shared" si="122"/>
        <v>1.2022330000000001</v>
      </c>
      <c r="M108" s="190">
        <f t="shared" si="122"/>
        <v>0.94437599999999999</v>
      </c>
      <c r="N108" s="190">
        <f t="shared" si="122"/>
        <v>1.209236</v>
      </c>
      <c r="O108" s="190">
        <f t="shared" si="122"/>
        <v>0.99488900000000002</v>
      </c>
      <c r="P108" s="190">
        <f t="shared" si="122"/>
        <v>1.0141230000000001</v>
      </c>
      <c r="Q108" s="190">
        <f t="shared" si="122"/>
        <v>1.069938660863619</v>
      </c>
      <c r="R108" s="190">
        <f t="shared" si="122"/>
        <v>1.2147110000000001</v>
      </c>
      <c r="S108" s="190">
        <f t="shared" si="122"/>
        <v>1.4325464089448898</v>
      </c>
      <c r="T108" s="900">
        <f t="shared" ref="T108:BO108" si="137">T126*T69</f>
        <v>1.1143761672843322</v>
      </c>
      <c r="U108" s="900">
        <f t="shared" si="137"/>
        <v>1.1859750539065077</v>
      </c>
      <c r="V108" s="900">
        <f t="shared" si="137"/>
        <v>1.1917350621560259</v>
      </c>
      <c r="W108" s="900">
        <f t="shared" si="137"/>
        <v>1.2672091224004716</v>
      </c>
      <c r="X108" s="900">
        <f t="shared" si="137"/>
        <v>1.3027752166740205</v>
      </c>
      <c r="Y108" s="900">
        <f t="shared" si="137"/>
        <v>1.3399810622464712</v>
      </c>
      <c r="Z108" s="900">
        <f t="shared" si="137"/>
        <v>1.3737656797227835</v>
      </c>
      <c r="AA108" s="900">
        <f t="shared" si="137"/>
        <v>1.4127740350871218</v>
      </c>
      <c r="AB108" s="900">
        <f t="shared" si="137"/>
        <v>1.3996017286805522</v>
      </c>
      <c r="AC108" s="900">
        <f t="shared" si="137"/>
        <v>1.430094333763914</v>
      </c>
      <c r="AD108" s="900">
        <f t="shared" si="137"/>
        <v>1.4662424074716931</v>
      </c>
      <c r="AE108" s="900">
        <f t="shared" si="137"/>
        <v>1.4940244167490513</v>
      </c>
      <c r="AF108" s="900">
        <f t="shared" si="137"/>
        <v>1.5209539266638339</v>
      </c>
      <c r="AG108" s="900">
        <f t="shared" si="137"/>
        <v>1.547284325734305</v>
      </c>
      <c r="AH108" s="900">
        <f t="shared" si="137"/>
        <v>1.5708153239016385</v>
      </c>
      <c r="AI108" s="900">
        <f t="shared" si="137"/>
        <v>1.5920864575840006</v>
      </c>
      <c r="AJ108" s="900">
        <f t="shared" si="137"/>
        <v>1.6206245605128147</v>
      </c>
      <c r="AK108" s="900">
        <f t="shared" si="137"/>
        <v>1.6475915478433465</v>
      </c>
      <c r="AL108" s="900">
        <f t="shared" si="137"/>
        <v>1.6735049822916814</v>
      </c>
      <c r="AM108" s="900">
        <f t="shared" si="137"/>
        <v>1.6988651228793028</v>
      </c>
      <c r="AN108" s="900">
        <f t="shared" si="137"/>
        <v>1.7216561682824174</v>
      </c>
      <c r="AO108" s="900">
        <f t="shared" si="137"/>
        <v>1.7465984995616834</v>
      </c>
      <c r="AP108" s="900">
        <f t="shared" si="137"/>
        <v>1.7701027812645678</v>
      </c>
      <c r="AQ108" s="900">
        <f t="shared" si="137"/>
        <v>1.7964717477993226</v>
      </c>
      <c r="AR108" s="900">
        <f t="shared" si="137"/>
        <v>1.8203360491011693</v>
      </c>
      <c r="AS108" s="900">
        <f t="shared" si="137"/>
        <v>1.8437126770687158</v>
      </c>
      <c r="AT108" s="900">
        <f t="shared" si="137"/>
        <v>1.8672016431317806</v>
      </c>
      <c r="AU108" s="900">
        <f t="shared" si="137"/>
        <v>1.8905756677010848</v>
      </c>
      <c r="AV108" s="900">
        <f t="shared" si="137"/>
        <v>1.9151164729255115</v>
      </c>
      <c r="AW108" s="900">
        <f t="shared" si="137"/>
        <v>1.938517642495762</v>
      </c>
      <c r="AX108" s="900">
        <f t="shared" si="137"/>
        <v>1.9617460601415944</v>
      </c>
      <c r="AY108" s="900">
        <f t="shared" si="137"/>
        <v>1.9850086836679524</v>
      </c>
      <c r="AZ108" s="900">
        <f t="shared" si="137"/>
        <v>2.0081005909942711</v>
      </c>
      <c r="BA108" s="900">
        <f t="shared" si="137"/>
        <v>2.0312278600685176</v>
      </c>
      <c r="BB108" s="900">
        <f t="shared" si="137"/>
        <v>2.0537788328226791</v>
      </c>
      <c r="BC108" s="900">
        <f t="shared" si="137"/>
        <v>2.0761736312276589</v>
      </c>
      <c r="BD108" s="900">
        <f t="shared" si="137"/>
        <v>2.0983929775096382</v>
      </c>
      <c r="BE108" s="900">
        <f t="shared" si="137"/>
        <v>2.120372142743844</v>
      </c>
      <c r="BF108" s="900">
        <f t="shared" si="137"/>
        <v>2.14205282252053</v>
      </c>
      <c r="BG108" s="900">
        <f t="shared" si="137"/>
        <v>2.1634605274382133</v>
      </c>
      <c r="BH108" s="900">
        <f t="shared" si="137"/>
        <v>2.1846005210205632</v>
      </c>
      <c r="BI108" s="900">
        <f t="shared" si="137"/>
        <v>2.2054655306178281</v>
      </c>
      <c r="BJ108" s="900">
        <f t="shared" si="137"/>
        <v>2.2260170114551965</v>
      </c>
      <c r="BK108" s="900">
        <f t="shared" si="137"/>
        <v>2.2462426172388037</v>
      </c>
      <c r="BL108" s="900">
        <f t="shared" si="137"/>
        <v>2.266119316116209</v>
      </c>
      <c r="BM108" s="900">
        <f t="shared" si="137"/>
        <v>2.285658382791842</v>
      </c>
      <c r="BN108" s="900">
        <f t="shared" si="137"/>
        <v>2.3048452192276798</v>
      </c>
      <c r="BO108" s="900">
        <f t="shared" si="137"/>
        <v>2.323664896065528</v>
      </c>
      <c r="BP108" s="182"/>
    </row>
    <row r="109" spans="1:96" ht="14.25" customHeight="1" x14ac:dyDescent="0.3">
      <c r="A109" s="982"/>
      <c r="D109" s="944" t="s">
        <v>367</v>
      </c>
      <c r="E109" s="183"/>
      <c r="F109" s="185" t="s">
        <v>425</v>
      </c>
      <c r="G109" s="190">
        <f t="shared" ref="G109:H109" si="138">G94/1000000</f>
        <v>5.3518000000000003E-2</v>
      </c>
      <c r="H109" s="190">
        <f t="shared" si="138"/>
        <v>3.6221000000000003E-2</v>
      </c>
      <c r="I109" s="190">
        <f t="shared" si="122"/>
        <v>6.2955999999999998E-2</v>
      </c>
      <c r="J109" s="190">
        <f t="shared" si="122"/>
        <v>1.3121000000000001E-2</v>
      </c>
      <c r="K109" s="190">
        <f t="shared" si="122"/>
        <v>0.18496399999999999</v>
      </c>
      <c r="L109" s="190">
        <f t="shared" si="122"/>
        <v>0.17574134622532772</v>
      </c>
      <c r="M109" s="190">
        <f t="shared" si="122"/>
        <v>0.14885191504201825</v>
      </c>
      <c r="N109" s="190">
        <f t="shared" si="122"/>
        <v>0.24526750815189313</v>
      </c>
      <c r="O109" s="190">
        <f t="shared" si="122"/>
        <v>0.25402035975334397</v>
      </c>
      <c r="P109" s="190">
        <f t="shared" si="122"/>
        <v>0.24377087877727277</v>
      </c>
      <c r="Q109" s="190">
        <f t="shared" si="122"/>
        <v>0.24379678429693205</v>
      </c>
      <c r="R109" s="190">
        <f t="shared" si="122"/>
        <v>0.19723267877640868</v>
      </c>
      <c r="S109" s="190">
        <f t="shared" si="122"/>
        <v>0.20503022433716797</v>
      </c>
      <c r="T109" s="900">
        <f t="shared" ref="T109:BO109" si="139">T127*T70</f>
        <v>0.16129929454918224</v>
      </c>
      <c r="U109" s="900">
        <f t="shared" si="139"/>
        <v>0.17184106412522529</v>
      </c>
      <c r="V109" s="900">
        <f t="shared" si="139"/>
        <v>0.17285496680887022</v>
      </c>
      <c r="W109" s="900">
        <f t="shared" si="139"/>
        <v>0.18399295039947186</v>
      </c>
      <c r="X109" s="900">
        <f t="shared" si="139"/>
        <v>0.18935340880257073</v>
      </c>
      <c r="Y109" s="900">
        <f t="shared" si="139"/>
        <v>0.19496338071983824</v>
      </c>
      <c r="Z109" s="900">
        <f t="shared" si="139"/>
        <v>0.20008650375851347</v>
      </c>
      <c r="AA109" s="900">
        <f t="shared" si="139"/>
        <v>0.20598167458865682</v>
      </c>
      <c r="AB109" s="900">
        <f t="shared" si="139"/>
        <v>0.20427306110019797</v>
      </c>
      <c r="AC109" s="900">
        <f t="shared" si="139"/>
        <v>0.20894022568474654</v>
      </c>
      <c r="AD109" s="900">
        <f t="shared" si="139"/>
        <v>0.21444399857502094</v>
      </c>
      <c r="AE109" s="900">
        <f t="shared" si="139"/>
        <v>0.21873413462841249</v>
      </c>
      <c r="AF109" s="900">
        <f t="shared" si="139"/>
        <v>0.22290800875678002</v>
      </c>
      <c r="AG109" s="900">
        <f t="shared" si="139"/>
        <v>0.22700241981975697</v>
      </c>
      <c r="AH109" s="900">
        <f t="shared" si="139"/>
        <v>0.23069396677086348</v>
      </c>
      <c r="AI109" s="900">
        <f t="shared" si="139"/>
        <v>0.23406070157020209</v>
      </c>
      <c r="AJ109" s="900">
        <f t="shared" si="139"/>
        <v>0.23850364318034245</v>
      </c>
      <c r="AK109" s="900">
        <f t="shared" si="139"/>
        <v>0.24272410206865028</v>
      </c>
      <c r="AL109" s="900">
        <f t="shared" si="139"/>
        <v>0.24679769783591649</v>
      </c>
      <c r="AM109" s="900">
        <f t="shared" si="139"/>
        <v>0.25079781115519395</v>
      </c>
      <c r="AN109" s="900">
        <f t="shared" si="139"/>
        <v>0.25442630513427905</v>
      </c>
      <c r="AO109" s="900">
        <f t="shared" si="139"/>
        <v>0.25838031159063551</v>
      </c>
      <c r="AP109" s="900">
        <f t="shared" si="139"/>
        <v>0.26212929902610083</v>
      </c>
      <c r="AQ109" s="900">
        <f t="shared" si="139"/>
        <v>0.26631045715200991</v>
      </c>
      <c r="AR109" s="900">
        <f t="shared" si="139"/>
        <v>0.27012833702438704</v>
      </c>
      <c r="AS109" s="900">
        <f t="shared" si="139"/>
        <v>0.27388141554922013</v>
      </c>
      <c r="AT109" s="900">
        <f t="shared" si="139"/>
        <v>0.2776587023698685</v>
      </c>
      <c r="AU109" s="900">
        <f t="shared" si="139"/>
        <v>0.2814264287841739</v>
      </c>
      <c r="AV109" s="900">
        <f t="shared" si="139"/>
        <v>0.2853755452172152</v>
      </c>
      <c r="AW109" s="900">
        <f t="shared" si="139"/>
        <v>0.28916256402134627</v>
      </c>
      <c r="AX109" s="900">
        <f t="shared" si="139"/>
        <v>0.29293134452496183</v>
      </c>
      <c r="AY109" s="900">
        <f t="shared" si="139"/>
        <v>0.29671275337081382</v>
      </c>
      <c r="AZ109" s="900">
        <f t="shared" si="139"/>
        <v>0.30047615512586862</v>
      </c>
      <c r="BA109" s="900">
        <f t="shared" si="139"/>
        <v>0.30425234966958814</v>
      </c>
      <c r="BB109" s="900">
        <f t="shared" si="139"/>
        <v>0.3079496511992641</v>
      </c>
      <c r="BC109" s="900">
        <f t="shared" si="139"/>
        <v>0.311630861804086</v>
      </c>
      <c r="BD109" s="900">
        <f t="shared" si="139"/>
        <v>0.3152930231640399</v>
      </c>
      <c r="BE109" s="900">
        <f t="shared" si="139"/>
        <v>0.31892632845913027</v>
      </c>
      <c r="BF109" s="900">
        <f t="shared" si="139"/>
        <v>0.32252189759252875</v>
      </c>
      <c r="BG109" s="900">
        <f t="shared" si="139"/>
        <v>0.32608344664168631</v>
      </c>
      <c r="BH109" s="900">
        <f t="shared" si="139"/>
        <v>0.329611652508979</v>
      </c>
      <c r="BI109" s="900">
        <f t="shared" si="139"/>
        <v>0.33310530172730857</v>
      </c>
      <c r="BJ109" s="900">
        <f t="shared" si="139"/>
        <v>0.336558447890493</v>
      </c>
      <c r="BK109" s="900">
        <f t="shared" si="139"/>
        <v>0.33996908527503</v>
      </c>
      <c r="BL109" s="900">
        <f t="shared" si="139"/>
        <v>0.34333358116363671</v>
      </c>
      <c r="BM109" s="900">
        <f t="shared" si="139"/>
        <v>0.34665349113059635</v>
      </c>
      <c r="BN109" s="900">
        <f t="shared" si="139"/>
        <v>0.34992644947079382</v>
      </c>
      <c r="BO109" s="900">
        <f t="shared" si="139"/>
        <v>0.35315003060189809</v>
      </c>
      <c r="BP109" s="182"/>
    </row>
    <row r="110" spans="1:96" ht="14.25" customHeight="1" x14ac:dyDescent="0.3">
      <c r="A110" s="960"/>
      <c r="B110" s="960"/>
      <c r="C110" s="960"/>
      <c r="D110" s="944" t="s">
        <v>367</v>
      </c>
      <c r="E110" s="183"/>
      <c r="F110" s="185" t="s">
        <v>426</v>
      </c>
      <c r="G110" s="193">
        <v>0</v>
      </c>
      <c r="H110" s="193">
        <v>0</v>
      </c>
      <c r="I110" s="190">
        <f t="shared" si="122"/>
        <v>0</v>
      </c>
      <c r="J110" s="190">
        <f t="shared" si="122"/>
        <v>0</v>
      </c>
      <c r="K110" s="190">
        <f t="shared" si="122"/>
        <v>0.4800141409</v>
      </c>
      <c r="L110" s="190">
        <f t="shared" si="122"/>
        <v>0.59193427089999995</v>
      </c>
      <c r="M110" s="190">
        <f t="shared" si="122"/>
        <v>0.53395091829999997</v>
      </c>
      <c r="N110" s="190">
        <f t="shared" si="122"/>
        <v>0.60168843839999997</v>
      </c>
      <c r="O110" s="190">
        <f t="shared" si="122"/>
        <v>0.50568682919999997</v>
      </c>
      <c r="P110" s="190">
        <f t="shared" si="122"/>
        <v>0.5241654161</v>
      </c>
      <c r="Q110" s="190">
        <f t="shared" si="122"/>
        <v>0.39211125349999998</v>
      </c>
      <c r="R110" s="190">
        <f t="shared" si="122"/>
        <v>0.43874862749999999</v>
      </c>
      <c r="S110" s="190">
        <f t="shared" si="122"/>
        <v>0.33956945422631124</v>
      </c>
      <c r="T110" s="900">
        <f t="shared" ref="T110:BO110" si="140">T128*T71</f>
        <v>0.40832106863001633</v>
      </c>
      <c r="U110" s="900">
        <f t="shared" si="140"/>
        <v>0.43541315612076525</v>
      </c>
      <c r="V110" s="900">
        <f t="shared" si="140"/>
        <v>0.43839110066132297</v>
      </c>
      <c r="W110" s="900">
        <f t="shared" si="140"/>
        <v>0.4670746772478831</v>
      </c>
      <c r="X110" s="900">
        <f t="shared" si="140"/>
        <v>0.48113122058317009</v>
      </c>
      <c r="Y110" s="900">
        <f t="shared" si="140"/>
        <v>0.4958481883944344</v>
      </c>
      <c r="Z110" s="900">
        <f t="shared" si="140"/>
        <v>0.50935286334584262</v>
      </c>
      <c r="AA110" s="900">
        <f t="shared" si="140"/>
        <v>0.5248495308978709</v>
      </c>
      <c r="AB110" s="900">
        <f t="shared" si="140"/>
        <v>0.52098185568107913</v>
      </c>
      <c r="AC110" s="900">
        <f t="shared" si="140"/>
        <v>0.53338258680487771</v>
      </c>
      <c r="AD110" s="900">
        <f t="shared" si="140"/>
        <v>0.547943706220964</v>
      </c>
      <c r="AE110" s="900">
        <f t="shared" si="140"/>
        <v>0.55942758987603569</v>
      </c>
      <c r="AF110" s="900">
        <f t="shared" si="140"/>
        <v>0.57063481338999555</v>
      </c>
      <c r="AG110" s="900">
        <f t="shared" si="140"/>
        <v>0.58165886373219433</v>
      </c>
      <c r="AH110" s="900">
        <f t="shared" si="140"/>
        <v>0.5916697598143168</v>
      </c>
      <c r="AI110" s="900">
        <f t="shared" si="140"/>
        <v>0.60086500538203169</v>
      </c>
      <c r="AJ110" s="900">
        <f t="shared" si="140"/>
        <v>0.61284225039471119</v>
      </c>
      <c r="AK110" s="900">
        <f t="shared" si="140"/>
        <v>0.62426912609148522</v>
      </c>
      <c r="AL110" s="900">
        <f t="shared" si="140"/>
        <v>0.63533872996213248</v>
      </c>
      <c r="AM110" s="900">
        <f t="shared" si="140"/>
        <v>0.64623911440418058</v>
      </c>
      <c r="AN110" s="900">
        <f t="shared" si="140"/>
        <v>0.65620084049887317</v>
      </c>
      <c r="AO110" s="900">
        <f t="shared" si="140"/>
        <v>0.66702092982086347</v>
      </c>
      <c r="AP110" s="900">
        <f t="shared" si="140"/>
        <v>0.67733089029065729</v>
      </c>
      <c r="AQ110" s="900">
        <f t="shared" si="140"/>
        <v>0.68877727347069284</v>
      </c>
      <c r="AR110" s="900">
        <f t="shared" si="140"/>
        <v>0.69930399015621603</v>
      </c>
      <c r="AS110" s="900">
        <f t="shared" si="140"/>
        <v>0.70968184885092078</v>
      </c>
      <c r="AT110" s="900">
        <f t="shared" si="140"/>
        <v>0.72014126288629499</v>
      </c>
      <c r="AU110" s="900">
        <f t="shared" si="140"/>
        <v>0.73059476915525245</v>
      </c>
      <c r="AV110" s="900">
        <f t="shared" si="140"/>
        <v>0.74153850242603403</v>
      </c>
      <c r="AW110" s="900">
        <f t="shared" si="140"/>
        <v>0.75208043491300425</v>
      </c>
      <c r="AX110" s="900">
        <f t="shared" si="140"/>
        <v>0.76259392503478851</v>
      </c>
      <c r="AY110" s="900">
        <f t="shared" si="140"/>
        <v>0.77315929692517271</v>
      </c>
      <c r="AZ110" s="900">
        <f t="shared" si="140"/>
        <v>0.78369676620441442</v>
      </c>
      <c r="BA110" s="900">
        <f t="shared" si="140"/>
        <v>0.79428663443248015</v>
      </c>
      <c r="BB110" s="900">
        <f t="shared" si="140"/>
        <v>0.80468944138011544</v>
      </c>
      <c r="BC110" s="900">
        <f t="shared" si="140"/>
        <v>0.8150688946038811</v>
      </c>
      <c r="BD110" s="900">
        <f t="shared" si="140"/>
        <v>0.8254171574438538</v>
      </c>
      <c r="BE110" s="900">
        <f t="shared" si="140"/>
        <v>0.83570841845230559</v>
      </c>
      <c r="BF110" s="900">
        <f t="shared" si="140"/>
        <v>0.84591920062121895</v>
      </c>
      <c r="BG110" s="900">
        <f t="shared" si="140"/>
        <v>0.85605900803281498</v>
      </c>
      <c r="BH110" s="900">
        <f t="shared" si="140"/>
        <v>0.86612939459350136</v>
      </c>
      <c r="BI110" s="900">
        <f t="shared" si="140"/>
        <v>0.87612694840419392</v>
      </c>
      <c r="BJ110" s="900">
        <f t="shared" si="140"/>
        <v>0.88603578511529524</v>
      </c>
      <c r="BK110" s="900">
        <f t="shared" si="140"/>
        <v>0.89585034553861986</v>
      </c>
      <c r="BL110" s="900">
        <f t="shared" si="140"/>
        <v>0.90556075893790855</v>
      </c>
      <c r="BM110" s="900">
        <f t="shared" si="140"/>
        <v>0.91517081541339385</v>
      </c>
      <c r="BN110" s="900">
        <f t="shared" si="140"/>
        <v>0.92467395788924756</v>
      </c>
      <c r="BO110" s="900">
        <f t="shared" si="140"/>
        <v>0.93406344698628785</v>
      </c>
      <c r="BP110" s="182"/>
    </row>
    <row r="111" spans="1:96" ht="14.25" customHeight="1" x14ac:dyDescent="0.3">
      <c r="A111" s="48"/>
      <c r="B111" s="48"/>
      <c r="C111" s="48"/>
      <c r="D111" s="49"/>
      <c r="E111" s="194"/>
      <c r="F111" s="179" t="s">
        <v>427</v>
      </c>
      <c r="G111" s="195">
        <f t="shared" ref="G111:BO111" si="141">SUM(G97:G110)</f>
        <v>21.590458000000002</v>
      </c>
      <c r="H111" s="195">
        <f t="shared" si="141"/>
        <v>20.123911000000003</v>
      </c>
      <c r="I111" s="195">
        <f t="shared" si="141"/>
        <v>19.690984</v>
      </c>
      <c r="J111" s="195">
        <f t="shared" si="141"/>
        <v>17.935247000000004</v>
      </c>
      <c r="K111" s="195">
        <f t="shared" si="141"/>
        <v>22.811964140900002</v>
      </c>
      <c r="L111" s="195">
        <f t="shared" si="141"/>
        <v>26.304681345481026</v>
      </c>
      <c r="M111" s="195">
        <f t="shared" si="141"/>
        <v>22.0288629183</v>
      </c>
      <c r="N111" s="195">
        <f t="shared" si="141"/>
        <v>23.4091874384</v>
      </c>
      <c r="O111" s="195">
        <f t="shared" si="141"/>
        <v>21.079224829200001</v>
      </c>
      <c r="P111" s="195">
        <f t="shared" si="141"/>
        <v>23.163142416100005</v>
      </c>
      <c r="Q111" s="195">
        <f t="shared" si="141"/>
        <v>24.531685295222776</v>
      </c>
      <c r="R111" s="195">
        <f t="shared" si="141"/>
        <v>25.286453831581603</v>
      </c>
      <c r="S111" s="195">
        <f t="shared" si="141"/>
        <v>21.085809858758118</v>
      </c>
      <c r="T111" s="195">
        <f t="shared" si="141"/>
        <v>22.368396475793602</v>
      </c>
      <c r="U111" s="195">
        <f t="shared" si="141"/>
        <v>23.7842600599711</v>
      </c>
      <c r="V111" s="195">
        <f t="shared" si="141"/>
        <v>23.878440898091196</v>
      </c>
      <c r="W111" s="195">
        <f t="shared" si="141"/>
        <v>24.989283029295056</v>
      </c>
      <c r="X111" s="195">
        <f t="shared" si="141"/>
        <v>25.27605978933488</v>
      </c>
      <c r="Y111" s="195">
        <f t="shared" si="141"/>
        <v>25.573533682994572</v>
      </c>
      <c r="Z111" s="195">
        <f t="shared" si="141"/>
        <v>25.851830120281885</v>
      </c>
      <c r="AA111" s="195">
        <f t="shared" si="141"/>
        <v>26.162084765743295</v>
      </c>
      <c r="AB111" s="195">
        <f t="shared" si="141"/>
        <v>26.163957070962471</v>
      </c>
      <c r="AC111" s="195">
        <f t="shared" si="141"/>
        <v>26.425444791101366</v>
      </c>
      <c r="AD111" s="195">
        <f t="shared" si="141"/>
        <v>26.721585926843638</v>
      </c>
      <c r="AE111" s="195">
        <f t="shared" si="141"/>
        <v>26.969010372790404</v>
      </c>
      <c r="AF111" s="195">
        <f t="shared" si="141"/>
        <v>27.212343676931855</v>
      </c>
      <c r="AG111" s="195">
        <f t="shared" si="141"/>
        <v>27.453093550340263</v>
      </c>
      <c r="AH111" s="195">
        <f t="shared" si="141"/>
        <v>27.665692115022782</v>
      </c>
      <c r="AI111" s="195">
        <f t="shared" si="141"/>
        <v>27.865147836782722</v>
      </c>
      <c r="AJ111" s="195">
        <f t="shared" si="141"/>
        <v>28.108431346738403</v>
      </c>
      <c r="AK111" s="195">
        <f t="shared" si="141"/>
        <v>28.342704691710736</v>
      </c>
      <c r="AL111" s="195">
        <f t="shared" si="141"/>
        <v>28.571059696672144</v>
      </c>
      <c r="AM111" s="195">
        <f t="shared" si="141"/>
        <v>28.79648776533211</v>
      </c>
      <c r="AN111" s="195">
        <f t="shared" si="141"/>
        <v>29.006919385847819</v>
      </c>
      <c r="AO111" s="195">
        <f t="shared" si="141"/>
        <v>29.230613393198716</v>
      </c>
      <c r="AP111" s="195">
        <f t="shared" si="141"/>
        <v>29.446080718921909</v>
      </c>
      <c r="AQ111" s="195">
        <f t="shared" si="141"/>
        <v>29.679098040373987</v>
      </c>
      <c r="AR111" s="195">
        <f t="shared" si="141"/>
        <v>29.897499811673825</v>
      </c>
      <c r="AS111" s="195">
        <f t="shared" si="141"/>
        <v>30.113368044003874</v>
      </c>
      <c r="AT111" s="195">
        <f t="shared" si="141"/>
        <v>30.33030044571532</v>
      </c>
      <c r="AU111" s="195">
        <f t="shared" si="141"/>
        <v>30.546936206368869</v>
      </c>
      <c r="AV111" s="195">
        <f t="shared" si="141"/>
        <v>30.770967122597593</v>
      </c>
      <c r="AW111" s="195">
        <f t="shared" si="141"/>
        <v>30.988558514975974</v>
      </c>
      <c r="AX111" s="195">
        <f t="shared" si="141"/>
        <v>31.205511259122808</v>
      </c>
      <c r="AY111" s="195">
        <f t="shared" si="141"/>
        <v>31.423069257645476</v>
      </c>
      <c r="AZ111" s="195">
        <f t="shared" si="141"/>
        <v>31.640003750078726</v>
      </c>
      <c r="BA111" s="195">
        <f t="shared" si="141"/>
        <v>31.857554061111848</v>
      </c>
      <c r="BB111" s="195">
        <f t="shared" si="141"/>
        <v>32.072046211497202</v>
      </c>
      <c r="BC111" s="195">
        <f t="shared" si="141"/>
        <v>32.286004945012493</v>
      </c>
      <c r="BD111" s="195">
        <f t="shared" si="141"/>
        <v>32.499315512026037</v>
      </c>
      <c r="BE111" s="195">
        <f t="shared" si="141"/>
        <v>32.711589624258863</v>
      </c>
      <c r="BF111" s="195">
        <f t="shared" si="141"/>
        <v>32.922477195466406</v>
      </c>
      <c r="BG111" s="195">
        <f t="shared" si="141"/>
        <v>33.13213218945625</v>
      </c>
      <c r="BH111" s="195">
        <f t="shared" si="141"/>
        <v>33.340586840503896</v>
      </c>
      <c r="BI111" s="195">
        <f t="shared" si="141"/>
        <v>33.547797914160178</v>
      </c>
      <c r="BJ111" s="195">
        <f t="shared" si="141"/>
        <v>33.753533728744159</v>
      </c>
      <c r="BK111" s="195">
        <f t="shared" si="141"/>
        <v>33.957720187031178</v>
      </c>
      <c r="BL111" s="195">
        <f t="shared" si="141"/>
        <v>34.160218682355811</v>
      </c>
      <c r="BM111" s="195">
        <f t="shared" si="141"/>
        <v>34.361097281171212</v>
      </c>
      <c r="BN111" s="195">
        <f t="shared" si="141"/>
        <v>34.560268071738342</v>
      </c>
      <c r="BO111" s="195">
        <f t="shared" si="141"/>
        <v>34.757641024131971</v>
      </c>
      <c r="BP111" s="197"/>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row>
    <row r="112" spans="1:96" ht="14.25" customHeight="1" x14ac:dyDescent="0.3">
      <c r="A112" s="960"/>
      <c r="B112" s="960"/>
      <c r="C112" s="960"/>
      <c r="D112" s="944"/>
      <c r="E112" s="183"/>
      <c r="F112" s="198"/>
      <c r="G112" s="198"/>
      <c r="H112" s="198"/>
      <c r="I112" s="198"/>
      <c r="J112" s="198"/>
      <c r="K112" s="198"/>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199"/>
      <c r="BJ112" s="199"/>
      <c r="BK112" s="199"/>
      <c r="BL112" s="199"/>
      <c r="BM112" s="199"/>
      <c r="BN112" s="199"/>
      <c r="BO112" s="199"/>
      <c r="BP112" s="182"/>
    </row>
    <row r="113" spans="1:69" ht="14.25" customHeight="1" x14ac:dyDescent="0.3">
      <c r="A113" s="960"/>
      <c r="B113" s="960"/>
      <c r="C113" s="960"/>
      <c r="D113" s="944"/>
      <c r="E113" s="177"/>
      <c r="F113" s="178" t="s">
        <v>428</v>
      </c>
      <c r="G113" s="179"/>
      <c r="H113" s="179"/>
      <c r="I113" s="179"/>
      <c r="J113" s="179"/>
      <c r="K113" s="179"/>
      <c r="L113" s="180"/>
      <c r="M113" s="181"/>
      <c r="N113" s="181"/>
      <c r="O113" s="181"/>
      <c r="P113" s="181"/>
      <c r="Q113" s="181"/>
      <c r="R113" s="181"/>
      <c r="S113" s="181"/>
      <c r="T113" s="181"/>
      <c r="U113" s="181"/>
      <c r="V113" s="181"/>
      <c r="W113" s="181"/>
      <c r="X113" s="181"/>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1"/>
      <c r="BC113" s="181"/>
      <c r="BD113" s="181"/>
      <c r="BE113" s="181"/>
      <c r="BF113" s="181"/>
      <c r="BG113" s="181"/>
      <c r="BH113" s="181"/>
      <c r="BI113" s="181"/>
      <c r="BJ113" s="181"/>
      <c r="BK113" s="181"/>
      <c r="BL113" s="181"/>
      <c r="BM113" s="181"/>
      <c r="BN113" s="181"/>
      <c r="BO113" s="181"/>
      <c r="BP113" s="182"/>
    </row>
    <row r="114" spans="1:69" ht="14.25" customHeight="1" x14ac:dyDescent="0.3">
      <c r="A114" s="960"/>
      <c r="B114" s="960" t="s">
        <v>429</v>
      </c>
      <c r="C114" s="960" t="s">
        <v>430</v>
      </c>
      <c r="D114" s="944"/>
      <c r="E114" s="183"/>
      <c r="F114" s="184" t="s">
        <v>431</v>
      </c>
      <c r="G114" s="179"/>
      <c r="H114" s="179"/>
      <c r="I114" s="179"/>
      <c r="J114" s="179"/>
      <c r="K114" s="179"/>
      <c r="L114" s="180"/>
      <c r="M114" s="181"/>
      <c r="N114" s="181"/>
      <c r="O114" s="181"/>
      <c r="P114" s="181"/>
      <c r="Q114" s="181"/>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81"/>
      <c r="BN114" s="181"/>
      <c r="BO114" s="181"/>
      <c r="BP114" s="182"/>
    </row>
    <row r="115" spans="1:69" ht="14.25" customHeight="1" x14ac:dyDescent="0.3">
      <c r="A115" s="1198" t="s">
        <v>432</v>
      </c>
      <c r="B115" s="897">
        <v>0</v>
      </c>
      <c r="C115" s="895">
        <f>B115/100</f>
        <v>0</v>
      </c>
      <c r="D115" s="944"/>
      <c r="E115" s="183"/>
      <c r="F115" s="185" t="s">
        <v>433</v>
      </c>
      <c r="G115" s="190">
        <f t="shared" ref="G115:S115" si="142">G97/G58</f>
        <v>36.777975116741715</v>
      </c>
      <c r="H115" s="190">
        <f t="shared" si="142"/>
        <v>38.691774364103281</v>
      </c>
      <c r="I115" s="190">
        <f t="shared" si="142"/>
        <v>33.250087721793889</v>
      </c>
      <c r="J115" s="190">
        <f t="shared" si="142"/>
        <v>31.779871513532424</v>
      </c>
      <c r="K115" s="190">
        <f t="shared" si="142"/>
        <v>37.091561283393744</v>
      </c>
      <c r="L115" s="191">
        <f t="shared" si="142"/>
        <v>38.786294605070921</v>
      </c>
      <c r="M115" s="191">
        <f t="shared" si="142"/>
        <v>36.208188003571095</v>
      </c>
      <c r="N115" s="191">
        <f t="shared" si="142"/>
        <v>39.745819546113111</v>
      </c>
      <c r="O115" s="191">
        <f t="shared" si="142"/>
        <v>40.26187779655038</v>
      </c>
      <c r="P115" s="191">
        <f t="shared" si="142"/>
        <v>35.907197827071073</v>
      </c>
      <c r="Q115" s="191">
        <f t="shared" si="142"/>
        <v>40.743049243603316</v>
      </c>
      <c r="R115" s="191">
        <f t="shared" si="142"/>
        <v>40.740567388853336</v>
      </c>
      <c r="S115" s="191">
        <f t="shared" si="142"/>
        <v>36.281746884400519</v>
      </c>
      <c r="T115" s="909">
        <v>39.694399999999973</v>
      </c>
      <c r="U115" s="909">
        <f>T115</f>
        <v>39.694399999999973</v>
      </c>
      <c r="V115" s="909">
        <f t="shared" ref="V115:BO115" si="143">U115</f>
        <v>39.694399999999973</v>
      </c>
      <c r="W115" s="909">
        <f t="shared" si="143"/>
        <v>39.694399999999973</v>
      </c>
      <c r="X115" s="909">
        <f t="shared" si="143"/>
        <v>39.694399999999973</v>
      </c>
      <c r="Y115" s="909">
        <f t="shared" si="143"/>
        <v>39.694399999999973</v>
      </c>
      <c r="Z115" s="909">
        <f t="shared" si="143"/>
        <v>39.694399999999973</v>
      </c>
      <c r="AA115" s="909">
        <f t="shared" si="143"/>
        <v>39.694399999999973</v>
      </c>
      <c r="AB115" s="909">
        <f t="shared" si="143"/>
        <v>39.694399999999973</v>
      </c>
      <c r="AC115" s="909">
        <f t="shared" si="143"/>
        <v>39.694399999999973</v>
      </c>
      <c r="AD115" s="909">
        <f t="shared" si="143"/>
        <v>39.694399999999973</v>
      </c>
      <c r="AE115" s="909">
        <f t="shared" si="143"/>
        <v>39.694399999999973</v>
      </c>
      <c r="AF115" s="909">
        <f t="shared" si="143"/>
        <v>39.694399999999973</v>
      </c>
      <c r="AG115" s="909">
        <f t="shared" si="143"/>
        <v>39.694399999999973</v>
      </c>
      <c r="AH115" s="909">
        <f t="shared" si="143"/>
        <v>39.694399999999973</v>
      </c>
      <c r="AI115" s="909">
        <f t="shared" si="143"/>
        <v>39.694399999999973</v>
      </c>
      <c r="AJ115" s="909">
        <f t="shared" si="143"/>
        <v>39.694399999999973</v>
      </c>
      <c r="AK115" s="909">
        <f t="shared" si="143"/>
        <v>39.694399999999973</v>
      </c>
      <c r="AL115" s="909">
        <f t="shared" si="143"/>
        <v>39.694399999999973</v>
      </c>
      <c r="AM115" s="909">
        <f t="shared" si="143"/>
        <v>39.694399999999973</v>
      </c>
      <c r="AN115" s="909">
        <f t="shared" si="143"/>
        <v>39.694399999999973</v>
      </c>
      <c r="AO115" s="909">
        <f t="shared" si="143"/>
        <v>39.694399999999973</v>
      </c>
      <c r="AP115" s="909">
        <f t="shared" si="143"/>
        <v>39.694399999999973</v>
      </c>
      <c r="AQ115" s="909">
        <f t="shared" si="143"/>
        <v>39.694399999999973</v>
      </c>
      <c r="AR115" s="909">
        <f t="shared" si="143"/>
        <v>39.694399999999973</v>
      </c>
      <c r="AS115" s="909">
        <f t="shared" si="143"/>
        <v>39.694399999999973</v>
      </c>
      <c r="AT115" s="909">
        <f t="shared" si="143"/>
        <v>39.694399999999973</v>
      </c>
      <c r="AU115" s="909">
        <f t="shared" si="143"/>
        <v>39.694399999999973</v>
      </c>
      <c r="AV115" s="909">
        <f t="shared" si="143"/>
        <v>39.694399999999973</v>
      </c>
      <c r="AW115" s="909">
        <f t="shared" si="143"/>
        <v>39.694399999999973</v>
      </c>
      <c r="AX115" s="909">
        <f t="shared" si="143"/>
        <v>39.694399999999973</v>
      </c>
      <c r="AY115" s="909">
        <f t="shared" si="143"/>
        <v>39.694399999999973</v>
      </c>
      <c r="AZ115" s="909">
        <f t="shared" si="143"/>
        <v>39.694399999999973</v>
      </c>
      <c r="BA115" s="909">
        <f t="shared" si="143"/>
        <v>39.694399999999973</v>
      </c>
      <c r="BB115" s="909">
        <f t="shared" si="143"/>
        <v>39.694399999999973</v>
      </c>
      <c r="BC115" s="909">
        <f t="shared" si="143"/>
        <v>39.694399999999973</v>
      </c>
      <c r="BD115" s="909">
        <f t="shared" si="143"/>
        <v>39.694399999999973</v>
      </c>
      <c r="BE115" s="909">
        <f t="shared" si="143"/>
        <v>39.694399999999973</v>
      </c>
      <c r="BF115" s="909">
        <f t="shared" si="143"/>
        <v>39.694399999999973</v>
      </c>
      <c r="BG115" s="909">
        <f t="shared" si="143"/>
        <v>39.694399999999973</v>
      </c>
      <c r="BH115" s="909">
        <f t="shared" si="143"/>
        <v>39.694399999999973</v>
      </c>
      <c r="BI115" s="909">
        <f t="shared" si="143"/>
        <v>39.694399999999973</v>
      </c>
      <c r="BJ115" s="909">
        <f t="shared" si="143"/>
        <v>39.694399999999973</v>
      </c>
      <c r="BK115" s="909">
        <f t="shared" si="143"/>
        <v>39.694399999999973</v>
      </c>
      <c r="BL115" s="909">
        <f t="shared" si="143"/>
        <v>39.694399999999973</v>
      </c>
      <c r="BM115" s="909">
        <f t="shared" si="143"/>
        <v>39.694399999999973</v>
      </c>
      <c r="BN115" s="909">
        <f t="shared" si="143"/>
        <v>39.694399999999973</v>
      </c>
      <c r="BO115" s="909">
        <f t="shared" si="143"/>
        <v>39.694399999999973</v>
      </c>
      <c r="BP115" s="182"/>
      <c r="BQ115" s="899"/>
    </row>
    <row r="116" spans="1:69" ht="14.25" customHeight="1" x14ac:dyDescent="0.3">
      <c r="A116" s="982"/>
      <c r="B116" s="898">
        <v>10</v>
      </c>
      <c r="C116" s="896">
        <f>B116/(2070-2022)/100</f>
        <v>2.0833333333333333E-3</v>
      </c>
      <c r="D116" s="944"/>
      <c r="E116" s="183"/>
      <c r="F116" s="185" t="s">
        <v>434</v>
      </c>
      <c r="G116" s="190">
        <f t="shared" ref="G116:S116" si="144">G98/G59</f>
        <v>0.36691896396083606</v>
      </c>
      <c r="H116" s="190">
        <f t="shared" si="144"/>
        <v>0.5611552393564424</v>
      </c>
      <c r="I116" s="190">
        <f t="shared" si="144"/>
        <v>0.34169964323792335</v>
      </c>
      <c r="J116" s="190">
        <f t="shared" si="144"/>
        <v>0.31917283330931284</v>
      </c>
      <c r="K116" s="190">
        <f t="shared" si="144"/>
        <v>0.41921763002600387</v>
      </c>
      <c r="L116" s="191">
        <f t="shared" si="144"/>
        <v>0.4170203705675154</v>
      </c>
      <c r="M116" s="191">
        <f t="shared" si="144"/>
        <v>0.3908602399082457</v>
      </c>
      <c r="N116" s="191">
        <f t="shared" si="144"/>
        <v>0.44070854027265705</v>
      </c>
      <c r="O116" s="191">
        <f t="shared" si="144"/>
        <v>0.46853670684331106</v>
      </c>
      <c r="P116" s="191">
        <f t="shared" si="144"/>
        <v>0.53989551514459444</v>
      </c>
      <c r="Q116" s="191">
        <f t="shared" si="144"/>
        <v>0.62179741233002173</v>
      </c>
      <c r="R116" s="191">
        <f t="shared" si="144"/>
        <v>0.55578266460858028</v>
      </c>
      <c r="S116" s="191">
        <f t="shared" si="144"/>
        <v>0.66214372409628941</v>
      </c>
      <c r="T116" s="909">
        <v>0.70830000000000126</v>
      </c>
      <c r="U116" s="909">
        <f>T116*(1+$C$116)</f>
        <v>0.70977562500000135</v>
      </c>
      <c r="V116" s="909">
        <f t="shared" ref="V116:BO116" si="145">U116*(1+$C$116)</f>
        <v>0.71125432421875145</v>
      </c>
      <c r="W116" s="909">
        <f t="shared" si="145"/>
        <v>0.71273610406087395</v>
      </c>
      <c r="X116" s="909">
        <f t="shared" si="145"/>
        <v>0.71422097094433423</v>
      </c>
      <c r="Y116" s="909">
        <f t="shared" si="145"/>
        <v>0.71570893130046831</v>
      </c>
      <c r="Z116" s="909">
        <f t="shared" si="145"/>
        <v>0.71719999157401104</v>
      </c>
      <c r="AA116" s="909">
        <f t="shared" si="145"/>
        <v>0.71869415822312366</v>
      </c>
      <c r="AB116" s="909">
        <f t="shared" si="145"/>
        <v>0.72019143771942196</v>
      </c>
      <c r="AC116" s="909">
        <f t="shared" si="145"/>
        <v>0.72169183654800417</v>
      </c>
      <c r="AD116" s="909">
        <f t="shared" si="145"/>
        <v>0.72319536120747929</v>
      </c>
      <c r="AE116" s="909">
        <f t="shared" si="145"/>
        <v>0.72470201820999491</v>
      </c>
      <c r="AF116" s="909">
        <f t="shared" si="145"/>
        <v>0.72621181408126578</v>
      </c>
      <c r="AG116" s="909">
        <f t="shared" si="145"/>
        <v>0.72772475536060188</v>
      </c>
      <c r="AH116" s="909">
        <f t="shared" si="145"/>
        <v>0.72924084860093652</v>
      </c>
      <c r="AI116" s="909">
        <f t="shared" si="145"/>
        <v>0.73076010036885519</v>
      </c>
      <c r="AJ116" s="909">
        <f t="shared" si="145"/>
        <v>0.73228251724462368</v>
      </c>
      <c r="AK116" s="909">
        <f t="shared" si="145"/>
        <v>0.73380810582221667</v>
      </c>
      <c r="AL116" s="909">
        <f t="shared" si="145"/>
        <v>0.73533687270934633</v>
      </c>
      <c r="AM116" s="909">
        <f t="shared" si="145"/>
        <v>0.73686882452749092</v>
      </c>
      <c r="AN116" s="909">
        <f t="shared" si="145"/>
        <v>0.73840396791192331</v>
      </c>
      <c r="AO116" s="909">
        <f t="shared" si="145"/>
        <v>0.73994230951173989</v>
      </c>
      <c r="AP116" s="909">
        <f t="shared" si="145"/>
        <v>0.74148385598988942</v>
      </c>
      <c r="AQ116" s="909">
        <f t="shared" si="145"/>
        <v>0.74302861402320175</v>
      </c>
      <c r="AR116" s="909">
        <f t="shared" si="145"/>
        <v>0.74457659030241685</v>
      </c>
      <c r="AS116" s="909">
        <f t="shared" si="145"/>
        <v>0.74612779153221365</v>
      </c>
      <c r="AT116" s="909">
        <f t="shared" si="145"/>
        <v>0.74768222443123922</v>
      </c>
      <c r="AU116" s="909">
        <f t="shared" si="145"/>
        <v>0.74923989573213767</v>
      </c>
      <c r="AV116" s="909">
        <f t="shared" si="145"/>
        <v>0.75080081218157968</v>
      </c>
      <c r="AW116" s="909">
        <f t="shared" si="145"/>
        <v>0.75236498054029133</v>
      </c>
      <c r="AX116" s="909">
        <f t="shared" si="145"/>
        <v>0.75393240758308366</v>
      </c>
      <c r="AY116" s="909">
        <f t="shared" si="145"/>
        <v>0.75550310009888189</v>
      </c>
      <c r="AZ116" s="909">
        <f t="shared" si="145"/>
        <v>0.75707706489075466</v>
      </c>
      <c r="BA116" s="909">
        <f t="shared" si="145"/>
        <v>0.75865430877594386</v>
      </c>
      <c r="BB116" s="909">
        <f t="shared" si="145"/>
        <v>0.7602348385858938</v>
      </c>
      <c r="BC116" s="909">
        <f t="shared" si="145"/>
        <v>0.76181866116628116</v>
      </c>
      <c r="BD116" s="909">
        <f t="shared" si="145"/>
        <v>0.76340578337704434</v>
      </c>
      <c r="BE116" s="909">
        <f t="shared" si="145"/>
        <v>0.76499621209241331</v>
      </c>
      <c r="BF116" s="909">
        <f t="shared" si="145"/>
        <v>0.76658995420093923</v>
      </c>
      <c r="BG116" s="909">
        <f t="shared" si="145"/>
        <v>0.76818701660552458</v>
      </c>
      <c r="BH116" s="909">
        <f t="shared" si="145"/>
        <v>0.76978740622345287</v>
      </c>
      <c r="BI116" s="909">
        <f t="shared" si="145"/>
        <v>0.77139112998641846</v>
      </c>
      <c r="BJ116" s="909">
        <f t="shared" si="145"/>
        <v>0.77299819484055687</v>
      </c>
      <c r="BK116" s="909">
        <f t="shared" si="145"/>
        <v>0.77460860774647478</v>
      </c>
      <c r="BL116" s="909">
        <f t="shared" si="145"/>
        <v>0.77622237567927999</v>
      </c>
      <c r="BM116" s="909">
        <f t="shared" si="145"/>
        <v>0.77783950562861193</v>
      </c>
      <c r="BN116" s="909">
        <f t="shared" si="145"/>
        <v>0.7794600045986716</v>
      </c>
      <c r="BO116" s="909">
        <f t="shared" si="145"/>
        <v>0.78108387960825221</v>
      </c>
      <c r="BP116" s="182"/>
      <c r="BQ116" s="899"/>
    </row>
    <row r="117" spans="1:69" ht="14.25" customHeight="1" x14ac:dyDescent="0.3">
      <c r="A117" s="982"/>
      <c r="B117" s="898">
        <v>10</v>
      </c>
      <c r="C117" s="896">
        <f t="shared" ref="C117:C128" si="146">B117/(2070-2022)/100</f>
        <v>2.0833333333333333E-3</v>
      </c>
      <c r="D117" s="944"/>
      <c r="E117" s="183"/>
      <c r="F117" s="185" t="s">
        <v>435</v>
      </c>
      <c r="G117" s="190">
        <f t="shared" ref="G117:S117" si="147">G99/G60</f>
        <v>0.21628913068977651</v>
      </c>
      <c r="H117" s="190">
        <f t="shared" si="147"/>
        <v>0.24229513864174809</v>
      </c>
      <c r="I117" s="190">
        <f t="shared" si="147"/>
        <v>9.3253716173294365E-2</v>
      </c>
      <c r="J117" s="190">
        <f t="shared" si="147"/>
        <v>0.12590260762328201</v>
      </c>
      <c r="K117" s="190">
        <f t="shared" si="147"/>
        <v>0.11907110447256432</v>
      </c>
      <c r="L117" s="191">
        <f t="shared" si="147"/>
        <v>0.12031253548958594</v>
      </c>
      <c r="M117" s="191">
        <f t="shared" si="147"/>
        <v>0.13072442420996253</v>
      </c>
      <c r="N117" s="191">
        <f t="shared" si="147"/>
        <v>0.20300590445517983</v>
      </c>
      <c r="O117" s="191">
        <f t="shared" si="147"/>
        <v>0.15865806289938603</v>
      </c>
      <c r="P117" s="191">
        <f t="shared" si="147"/>
        <v>0.22584403695175742</v>
      </c>
      <c r="Q117" s="191">
        <f t="shared" si="147"/>
        <v>0.19621687911107807</v>
      </c>
      <c r="R117" s="191">
        <f t="shared" si="147"/>
        <v>0.16678538719853467</v>
      </c>
      <c r="S117" s="191">
        <f t="shared" si="147"/>
        <v>0.26640852754761069</v>
      </c>
      <c r="T117" s="909">
        <v>0.25030000000000108</v>
      </c>
      <c r="U117" s="909">
        <f t="shared" ref="U117:BO117" si="148">T117*(1+$C$117)</f>
        <v>0.25082145833333441</v>
      </c>
      <c r="V117" s="909">
        <f t="shared" si="148"/>
        <v>0.25134400303819554</v>
      </c>
      <c r="W117" s="909">
        <f t="shared" si="148"/>
        <v>0.25186763637785847</v>
      </c>
      <c r="X117" s="909">
        <f t="shared" si="148"/>
        <v>0.25239236062031239</v>
      </c>
      <c r="Y117" s="909">
        <f t="shared" si="148"/>
        <v>0.25291817803827138</v>
      </c>
      <c r="Z117" s="909">
        <f t="shared" si="148"/>
        <v>0.25344509090918449</v>
      </c>
      <c r="AA117" s="909">
        <f t="shared" si="148"/>
        <v>0.25397310151524533</v>
      </c>
      <c r="AB117" s="909">
        <f t="shared" si="148"/>
        <v>0.25450221214340213</v>
      </c>
      <c r="AC117" s="909">
        <f t="shared" si="148"/>
        <v>0.25503242508536755</v>
      </c>
      <c r="AD117" s="909">
        <f t="shared" si="148"/>
        <v>0.25556374263762877</v>
      </c>
      <c r="AE117" s="909">
        <f t="shared" si="148"/>
        <v>0.25609616710145716</v>
      </c>
      <c r="AF117" s="909">
        <f t="shared" si="148"/>
        <v>0.25662970078291858</v>
      </c>
      <c r="AG117" s="909">
        <f t="shared" si="148"/>
        <v>0.25716434599288301</v>
      </c>
      <c r="AH117" s="909">
        <f t="shared" si="148"/>
        <v>0.25770010504703489</v>
      </c>
      <c r="AI117" s="909">
        <f t="shared" si="148"/>
        <v>0.25823698026588293</v>
      </c>
      <c r="AJ117" s="909">
        <f t="shared" si="148"/>
        <v>0.25877497397477023</v>
      </c>
      <c r="AK117" s="909">
        <f t="shared" si="148"/>
        <v>0.25931408850388438</v>
      </c>
      <c r="AL117" s="909">
        <f t="shared" si="148"/>
        <v>0.25985432618826748</v>
      </c>
      <c r="AM117" s="909">
        <f t="shared" si="148"/>
        <v>0.26039568936782642</v>
      </c>
      <c r="AN117" s="909">
        <f t="shared" si="148"/>
        <v>0.26093818038734273</v>
      </c>
      <c r="AO117" s="909">
        <f t="shared" si="148"/>
        <v>0.26148180159648304</v>
      </c>
      <c r="AP117" s="909">
        <f t="shared" si="148"/>
        <v>0.26202655534980906</v>
      </c>
      <c r="AQ117" s="909">
        <f t="shared" si="148"/>
        <v>0.26257244400678786</v>
      </c>
      <c r="AR117" s="909">
        <f t="shared" si="148"/>
        <v>0.26311946993180202</v>
      </c>
      <c r="AS117" s="909">
        <f t="shared" si="148"/>
        <v>0.26366763549415995</v>
      </c>
      <c r="AT117" s="909">
        <f t="shared" si="148"/>
        <v>0.26421694306810611</v>
      </c>
      <c r="AU117" s="909">
        <f t="shared" si="148"/>
        <v>0.26476739503283137</v>
      </c>
      <c r="AV117" s="909">
        <f t="shared" si="148"/>
        <v>0.26531899377248314</v>
      </c>
      <c r="AW117" s="909">
        <f t="shared" si="148"/>
        <v>0.26587174167617583</v>
      </c>
      <c r="AX117" s="909">
        <f t="shared" si="148"/>
        <v>0.26642564113800121</v>
      </c>
      <c r="AY117" s="909">
        <f t="shared" si="148"/>
        <v>0.26698069455703877</v>
      </c>
      <c r="AZ117" s="909">
        <f t="shared" si="148"/>
        <v>0.26753690433736593</v>
      </c>
      <c r="BA117" s="909">
        <f t="shared" si="148"/>
        <v>0.26809427288806881</v>
      </c>
      <c r="BB117" s="909">
        <f t="shared" si="148"/>
        <v>0.26865280262325231</v>
      </c>
      <c r="BC117" s="909">
        <f t="shared" si="148"/>
        <v>0.26921249596205077</v>
      </c>
      <c r="BD117" s="909">
        <f t="shared" si="148"/>
        <v>0.26977335532863839</v>
      </c>
      <c r="BE117" s="909">
        <f t="shared" si="148"/>
        <v>0.27033538315223976</v>
      </c>
      <c r="BF117" s="909">
        <f t="shared" si="148"/>
        <v>0.27089858186714028</v>
      </c>
      <c r="BG117" s="909">
        <f t="shared" si="148"/>
        <v>0.27146295391269687</v>
      </c>
      <c r="BH117" s="909">
        <f t="shared" si="148"/>
        <v>0.27202850173334836</v>
      </c>
      <c r="BI117" s="909">
        <f t="shared" si="148"/>
        <v>0.27259522777862621</v>
      </c>
      <c r="BJ117" s="909">
        <f t="shared" si="148"/>
        <v>0.27316313450316504</v>
      </c>
      <c r="BK117" s="909">
        <f t="shared" si="148"/>
        <v>0.27373222436671335</v>
      </c>
      <c r="BL117" s="909">
        <f t="shared" si="148"/>
        <v>0.27430249983414401</v>
      </c>
      <c r="BM117" s="909">
        <f t="shared" si="148"/>
        <v>0.27487396337546516</v>
      </c>
      <c r="BN117" s="909">
        <f t="shared" si="148"/>
        <v>0.27544661746583071</v>
      </c>
      <c r="BO117" s="909">
        <f t="shared" si="148"/>
        <v>0.27602046458555124</v>
      </c>
      <c r="BP117" s="182"/>
      <c r="BQ117" s="899"/>
    </row>
    <row r="118" spans="1:69" ht="14.25" customHeight="1" x14ac:dyDescent="0.3">
      <c r="A118" s="982"/>
      <c r="B118" s="898">
        <v>14.45</v>
      </c>
      <c r="C118" s="896">
        <f t="shared" si="146"/>
        <v>3.0104166666666664E-3</v>
      </c>
      <c r="D118" s="944"/>
      <c r="E118" s="183"/>
      <c r="F118" s="185" t="s">
        <v>436</v>
      </c>
      <c r="G118" s="190">
        <f t="shared" ref="G118:S118" si="149">G100/G61</f>
        <v>78.063575490049388</v>
      </c>
      <c r="H118" s="190">
        <f t="shared" si="149"/>
        <v>94.0584003238679</v>
      </c>
      <c r="I118" s="190">
        <f t="shared" si="149"/>
        <v>77.477944959522887</v>
      </c>
      <c r="J118" s="190">
        <f t="shared" si="149"/>
        <v>70.827627490946512</v>
      </c>
      <c r="K118" s="190">
        <f t="shared" si="149"/>
        <v>85.159827436733678</v>
      </c>
      <c r="L118" s="191">
        <f t="shared" si="149"/>
        <v>98.484690496608707</v>
      </c>
      <c r="M118" s="191">
        <f t="shared" si="149"/>
        <v>82.758706681571937</v>
      </c>
      <c r="N118" s="191">
        <f t="shared" si="149"/>
        <v>73.53564262163502</v>
      </c>
      <c r="O118" s="191">
        <f t="shared" si="149"/>
        <v>67.989654963102979</v>
      </c>
      <c r="P118" s="191">
        <f t="shared" si="149"/>
        <v>73.460684302118153</v>
      </c>
      <c r="Q118" s="191">
        <f t="shared" si="149"/>
        <v>74.345460716546896</v>
      </c>
      <c r="R118" s="191">
        <f t="shared" si="149"/>
        <v>77.713414431150085</v>
      </c>
      <c r="S118" s="191">
        <f t="shared" si="149"/>
        <v>59.810931153196861</v>
      </c>
      <c r="T118" s="909">
        <v>68.154000000000451</v>
      </c>
      <c r="U118" s="909">
        <f>T118*(1+$C$118)</f>
        <v>68.359171937500449</v>
      </c>
      <c r="V118" s="909">
        <f t="shared" ref="V118:BO118" si="150">U118*(1+$C$118)</f>
        <v>68.564961528020632</v>
      </c>
      <c r="W118" s="909">
        <f t="shared" si="150"/>
        <v>68.771370630953939</v>
      </c>
      <c r="X118" s="909">
        <f t="shared" si="150"/>
        <v>68.978401111290879</v>
      </c>
      <c r="Y118" s="909">
        <f t="shared" si="150"/>
        <v>69.186054839636327</v>
      </c>
      <c r="Z118" s="909">
        <f t="shared" si="150"/>
        <v>69.394333692226482</v>
      </c>
      <c r="AA118" s="909">
        <f t="shared" si="150"/>
        <v>69.603239550945787</v>
      </c>
      <c r="AB118" s="909">
        <f t="shared" si="150"/>
        <v>69.812774303343943</v>
      </c>
      <c r="AC118" s="909">
        <f t="shared" si="150"/>
        <v>70.022939842652974</v>
      </c>
      <c r="AD118" s="909">
        <f t="shared" si="150"/>
        <v>70.233738067804296</v>
      </c>
      <c r="AE118" s="909">
        <f t="shared" si="150"/>
        <v>70.445170883445911</v>
      </c>
      <c r="AF118" s="909">
        <f t="shared" si="150"/>
        <v>70.657240199959617</v>
      </c>
      <c r="AG118" s="909">
        <f t="shared" si="150"/>
        <v>70.869947933478244</v>
      </c>
      <c r="AH118" s="909">
        <f t="shared" si="150"/>
        <v>71.08329600590298</v>
      </c>
      <c r="AI118" s="909">
        <f t="shared" si="150"/>
        <v>71.297286344920749</v>
      </c>
      <c r="AJ118" s="909">
        <f t="shared" si="150"/>
        <v>71.511920884021606</v>
      </c>
      <c r="AK118" s="909">
        <f t="shared" si="150"/>
        <v>71.727201562516214</v>
      </c>
      <c r="AL118" s="909">
        <f t="shared" si="150"/>
        <v>71.943130325553369</v>
      </c>
      <c r="AM118" s="909">
        <f t="shared" si="150"/>
        <v>72.159709124137592</v>
      </c>
      <c r="AN118" s="909">
        <f t="shared" si="150"/>
        <v>72.376939915146721</v>
      </c>
      <c r="AO118" s="909">
        <f t="shared" si="150"/>
        <v>72.594824661349605</v>
      </c>
      <c r="AP118" s="909">
        <f t="shared" si="150"/>
        <v>72.813365331423881</v>
      </c>
      <c r="AQ118" s="909">
        <f t="shared" si="150"/>
        <v>73.032563899973695</v>
      </c>
      <c r="AR118" s="909">
        <f t="shared" si="150"/>
        <v>73.252422347547579</v>
      </c>
      <c r="AS118" s="909">
        <f t="shared" si="150"/>
        <v>73.472942660656344</v>
      </c>
      <c r="AT118" s="909">
        <f t="shared" si="150"/>
        <v>73.694126831791024</v>
      </c>
      <c r="AU118" s="909">
        <f t="shared" si="150"/>
        <v>73.915976859440903</v>
      </c>
      <c r="AV118" s="909">
        <f t="shared" si="150"/>
        <v>74.138494748111512</v>
      </c>
      <c r="AW118" s="909">
        <f t="shared" si="150"/>
        <v>74.36168250834281</v>
      </c>
      <c r="AX118" s="909">
        <f t="shared" si="150"/>
        <v>74.5855421567273</v>
      </c>
      <c r="AY118" s="909">
        <f t="shared" si="150"/>
        <v>74.810075715928278</v>
      </c>
      <c r="AZ118" s="909">
        <f t="shared" si="150"/>
        <v>75.035285214698106</v>
      </c>
      <c r="BA118" s="909">
        <f t="shared" si="150"/>
        <v>75.261172687896519</v>
      </c>
      <c r="BB118" s="909">
        <f t="shared" si="150"/>
        <v>75.487740176509035</v>
      </c>
      <c r="BC118" s="909">
        <f t="shared" si="150"/>
        <v>75.714989727665397</v>
      </c>
      <c r="BD118" s="909">
        <f t="shared" si="150"/>
        <v>75.942923394658052</v>
      </c>
      <c r="BE118" s="909">
        <f t="shared" si="150"/>
        <v>76.171543236960716</v>
      </c>
      <c r="BF118" s="909">
        <f t="shared" si="150"/>
        <v>76.400851320246986</v>
      </c>
      <c r="BG118" s="909">
        <f t="shared" si="150"/>
        <v>76.630849716408974</v>
      </c>
      <c r="BH118" s="909">
        <f t="shared" si="150"/>
        <v>76.86154050357608</v>
      </c>
      <c r="BI118" s="909">
        <f t="shared" si="150"/>
        <v>77.092925766133718</v>
      </c>
      <c r="BJ118" s="909">
        <f t="shared" si="150"/>
        <v>77.325007594742189</v>
      </c>
      <c r="BK118" s="909">
        <f t="shared" si="150"/>
        <v>77.557788086355529</v>
      </c>
      <c r="BL118" s="909">
        <f t="shared" si="150"/>
        <v>77.79126934424049</v>
      </c>
      <c r="BM118" s="909">
        <f t="shared" si="150"/>
        <v>78.025453477995555</v>
      </c>
      <c r="BN118" s="909">
        <f t="shared" si="150"/>
        <v>78.260342603569939</v>
      </c>
      <c r="BO118" s="909">
        <f t="shared" si="150"/>
        <v>78.495938843282772</v>
      </c>
      <c r="BP118" s="182"/>
      <c r="BQ118" s="899"/>
    </row>
    <row r="119" spans="1:69" ht="14.25" customHeight="1" x14ac:dyDescent="0.3">
      <c r="A119" s="982"/>
      <c r="B119" s="898">
        <v>22.7</v>
      </c>
      <c r="C119" s="896">
        <f t="shared" si="146"/>
        <v>4.7291666666666662E-3</v>
      </c>
      <c r="D119" s="944"/>
      <c r="E119" s="183"/>
      <c r="F119" s="185" t="s">
        <v>437</v>
      </c>
      <c r="G119" s="190">
        <f t="shared" ref="G119:S119" si="151">G101/G62</f>
        <v>2.234824433513646</v>
      </c>
      <c r="H119" s="190">
        <f t="shared" si="151"/>
        <v>1.6671662766708666</v>
      </c>
      <c r="I119" s="190">
        <f t="shared" si="151"/>
        <v>2.7324016605696904</v>
      </c>
      <c r="J119" s="190">
        <f t="shared" si="151"/>
        <v>2.3702330807084238</v>
      </c>
      <c r="K119" s="190">
        <f t="shared" si="151"/>
        <v>3.4336375016471208</v>
      </c>
      <c r="L119" s="191">
        <f t="shared" si="151"/>
        <v>3.7832567646121245</v>
      </c>
      <c r="M119" s="191">
        <f t="shared" si="151"/>
        <v>3.1693472715979225</v>
      </c>
      <c r="N119" s="191">
        <f t="shared" si="151"/>
        <v>3.5362070788060898</v>
      </c>
      <c r="O119" s="191">
        <f t="shared" si="151"/>
        <v>3.3286540144375976</v>
      </c>
      <c r="P119" s="191">
        <f t="shared" si="151"/>
        <v>4.1881683374567302</v>
      </c>
      <c r="Q119" s="191">
        <f t="shared" si="151"/>
        <v>3.5239779883680322</v>
      </c>
      <c r="R119" s="191">
        <f t="shared" si="151"/>
        <v>4.2089326354119247</v>
      </c>
      <c r="S119" s="191">
        <f t="shared" si="151"/>
        <v>4.1731183803542979</v>
      </c>
      <c r="T119" s="909">
        <v>4.547800000000052</v>
      </c>
      <c r="U119" s="909">
        <f t="shared" ref="U119:BO119" si="152">T119*(1+$C$119)</f>
        <v>4.5693073041667187</v>
      </c>
      <c r="V119" s="909">
        <f t="shared" si="152"/>
        <v>4.5909163199593408</v>
      </c>
      <c r="W119" s="909">
        <f t="shared" si="152"/>
        <v>4.6126275283891482</v>
      </c>
      <c r="X119" s="909">
        <f t="shared" si="152"/>
        <v>4.6344414127421549</v>
      </c>
      <c r="Y119" s="909">
        <f t="shared" si="152"/>
        <v>4.6563584585899145</v>
      </c>
      <c r="Z119" s="909">
        <f t="shared" si="152"/>
        <v>4.6783791538003294</v>
      </c>
      <c r="AA119" s="909">
        <f t="shared" si="152"/>
        <v>4.70050398854851</v>
      </c>
      <c r="AB119" s="909">
        <f t="shared" si="152"/>
        <v>4.7227334553276874</v>
      </c>
      <c r="AC119" s="909">
        <f t="shared" si="152"/>
        <v>4.7450680489601744</v>
      </c>
      <c r="AD119" s="909">
        <f t="shared" si="152"/>
        <v>4.7675082666083819</v>
      </c>
      <c r="AE119" s="909">
        <f t="shared" si="152"/>
        <v>4.7900546077858843</v>
      </c>
      <c r="AF119" s="909">
        <f t="shared" si="152"/>
        <v>4.8127075743685381</v>
      </c>
      <c r="AG119" s="909">
        <f t="shared" si="152"/>
        <v>4.8354676706056559</v>
      </c>
      <c r="AH119" s="909">
        <f t="shared" si="152"/>
        <v>4.8583354031312282</v>
      </c>
      <c r="AI119" s="909">
        <f t="shared" si="152"/>
        <v>4.8813112809752033</v>
      </c>
      <c r="AJ119" s="909">
        <f t="shared" si="152"/>
        <v>4.9043958155748149</v>
      </c>
      <c r="AK119" s="909">
        <f t="shared" si="152"/>
        <v>4.927589520785971</v>
      </c>
      <c r="AL119" s="909">
        <f t="shared" si="152"/>
        <v>4.9508929128946884</v>
      </c>
      <c r="AM119" s="909">
        <f t="shared" si="152"/>
        <v>4.974306510628586</v>
      </c>
      <c r="AN119" s="909">
        <f t="shared" si="152"/>
        <v>4.9978308351684335</v>
      </c>
      <c r="AO119" s="909">
        <f t="shared" si="152"/>
        <v>5.0214664101597508</v>
      </c>
      <c r="AP119" s="909">
        <f t="shared" si="152"/>
        <v>5.0452137617244643</v>
      </c>
      <c r="AQ119" s="909">
        <f t="shared" si="152"/>
        <v>5.0690734184726196</v>
      </c>
      <c r="AR119" s="909">
        <f>AQ119*(1+$C$119)</f>
        <v>5.093045911514146</v>
      </c>
      <c r="AS119" s="909">
        <f t="shared" si="152"/>
        <v>5.1171317744706819</v>
      </c>
      <c r="AT119" s="909">
        <f t="shared" si="152"/>
        <v>5.1413315434874498</v>
      </c>
      <c r="AU119" s="909">
        <f t="shared" si="152"/>
        <v>5.1656457572451924</v>
      </c>
      <c r="AV119" s="909">
        <f t="shared" si="152"/>
        <v>5.1900749569721647</v>
      </c>
      <c r="AW119" s="909">
        <f t="shared" si="152"/>
        <v>5.2146196864561789</v>
      </c>
      <c r="AX119" s="909">
        <f t="shared" si="152"/>
        <v>5.2392804920567109</v>
      </c>
      <c r="AY119" s="909">
        <f t="shared" si="152"/>
        <v>5.2640579227170621</v>
      </c>
      <c r="AZ119" s="909">
        <f t="shared" si="152"/>
        <v>5.2889525299765783</v>
      </c>
      <c r="BA119" s="909">
        <f t="shared" si="152"/>
        <v>5.3139648679829259</v>
      </c>
      <c r="BB119" s="909">
        <f t="shared" si="152"/>
        <v>5.3390954935044288</v>
      </c>
      <c r="BC119" s="909">
        <f t="shared" si="152"/>
        <v>5.3643449659424602</v>
      </c>
      <c r="BD119" s="909">
        <f t="shared" si="152"/>
        <v>5.3897138473438968</v>
      </c>
      <c r="BE119" s="909">
        <f t="shared" si="152"/>
        <v>5.4152027024136276</v>
      </c>
      <c r="BF119" s="909">
        <f t="shared" si="152"/>
        <v>5.4408120985271253</v>
      </c>
      <c r="BG119" s="909">
        <f t="shared" si="152"/>
        <v>5.4665426057430766</v>
      </c>
      <c r="BH119" s="909">
        <f t="shared" si="152"/>
        <v>5.49239479681607</v>
      </c>
      <c r="BI119" s="909">
        <f t="shared" si="152"/>
        <v>5.5183692472093462</v>
      </c>
      <c r="BJ119" s="909">
        <f t="shared" si="152"/>
        <v>5.544466535107607</v>
      </c>
      <c r="BK119" s="909">
        <f t="shared" si="152"/>
        <v>5.5706872414298871</v>
      </c>
      <c r="BL119" s="909">
        <f t="shared" si="152"/>
        <v>5.5970319498424823</v>
      </c>
      <c r="BM119" s="909">
        <f t="shared" si="152"/>
        <v>5.6235012467719461</v>
      </c>
      <c r="BN119" s="909">
        <f t="shared" si="152"/>
        <v>5.6500957214181389</v>
      </c>
      <c r="BO119" s="909">
        <f t="shared" si="152"/>
        <v>5.6768159657673456</v>
      </c>
      <c r="BP119" s="182"/>
      <c r="BQ119" s="899"/>
    </row>
    <row r="120" spans="1:69" ht="14.25" customHeight="1" x14ac:dyDescent="0.3">
      <c r="A120" s="982"/>
      <c r="B120" s="898">
        <v>13.5</v>
      </c>
      <c r="C120" s="896">
        <f t="shared" si="146"/>
        <v>2.8124999999999999E-3</v>
      </c>
      <c r="D120" s="944"/>
      <c r="E120" s="183"/>
      <c r="F120" s="185" t="s">
        <v>438</v>
      </c>
      <c r="G120" s="190">
        <f t="shared" ref="G120:S120" si="153">G102/G63</f>
        <v>14.73093301361226</v>
      </c>
      <c r="H120" s="190">
        <f t="shared" si="153"/>
        <v>10.349596103646171</v>
      </c>
      <c r="I120" s="190">
        <f t="shared" si="153"/>
        <v>13.340103133277603</v>
      </c>
      <c r="J120" s="190">
        <f t="shared" si="153"/>
        <v>10.587242326340178</v>
      </c>
      <c r="K120" s="190">
        <f t="shared" si="153"/>
        <v>12.7513593200275</v>
      </c>
      <c r="L120" s="191">
        <f t="shared" si="153"/>
        <v>14.381813923531821</v>
      </c>
      <c r="M120" s="191">
        <f t="shared" si="153"/>
        <v>11.84081580054503</v>
      </c>
      <c r="N120" s="191">
        <f t="shared" si="153"/>
        <v>12.585838212469072</v>
      </c>
      <c r="O120" s="191">
        <f t="shared" si="153"/>
        <v>12.438520820496334</v>
      </c>
      <c r="P120" s="191">
        <f t="shared" si="153"/>
        <v>11.328309474983575</v>
      </c>
      <c r="Q120" s="191">
        <f t="shared" si="153"/>
        <v>12.979917121648652</v>
      </c>
      <c r="R120" s="191">
        <f t="shared" si="153"/>
        <v>15.85832858013886</v>
      </c>
      <c r="S120" s="191">
        <f t="shared" si="153"/>
        <v>16.242640757806406</v>
      </c>
      <c r="T120" s="909">
        <v>14.440600000000018</v>
      </c>
      <c r="U120" s="909">
        <f t="shared" ref="U120:BO120" si="154">T120*(1+$C$120)</f>
        <v>14.481214187500019</v>
      </c>
      <c r="V120" s="909">
        <f t="shared" si="154"/>
        <v>14.521942602402364</v>
      </c>
      <c r="W120" s="909">
        <f t="shared" si="154"/>
        <v>14.562785565971621</v>
      </c>
      <c r="X120" s="909">
        <f t="shared" si="154"/>
        <v>14.603743400375919</v>
      </c>
      <c r="Y120" s="909">
        <f t="shared" si="154"/>
        <v>14.644816428689477</v>
      </c>
      <c r="Z120" s="909">
        <f t="shared" si="154"/>
        <v>14.686004974895168</v>
      </c>
      <c r="AA120" s="909">
        <f t="shared" si="154"/>
        <v>14.727309363887063</v>
      </c>
      <c r="AB120" s="909">
        <f t="shared" si="154"/>
        <v>14.768729921472996</v>
      </c>
      <c r="AC120" s="909">
        <f t="shared" si="154"/>
        <v>14.810266974377141</v>
      </c>
      <c r="AD120" s="909">
        <f t="shared" si="154"/>
        <v>14.851920850242578</v>
      </c>
      <c r="AE120" s="909">
        <f t="shared" si="154"/>
        <v>14.893691877633888</v>
      </c>
      <c r="AF120" s="909">
        <f t="shared" si="154"/>
        <v>14.935580386039735</v>
      </c>
      <c r="AG120" s="909">
        <f t="shared" si="154"/>
        <v>14.977586705875474</v>
      </c>
      <c r="AH120" s="909">
        <f t="shared" si="154"/>
        <v>15.019711168485751</v>
      </c>
      <c r="AI120" s="909">
        <f t="shared" si="154"/>
        <v>15.061954106147118</v>
      </c>
      <c r="AJ120" s="909">
        <f t="shared" si="154"/>
        <v>15.104315852070659</v>
      </c>
      <c r="AK120" s="909">
        <f t="shared" si="154"/>
        <v>15.146796740404609</v>
      </c>
      <c r="AL120" s="909">
        <f t="shared" si="154"/>
        <v>15.189397106236999</v>
      </c>
      <c r="AM120" s="909">
        <f t="shared" si="154"/>
        <v>15.232117285598292</v>
      </c>
      <c r="AN120" s="909">
        <f t="shared" si="154"/>
        <v>15.274957615464039</v>
      </c>
      <c r="AO120" s="909">
        <f t="shared" si="154"/>
        <v>15.317918433757534</v>
      </c>
      <c r="AP120" s="909">
        <f t="shared" si="154"/>
        <v>15.361000079352479</v>
      </c>
      <c r="AQ120" s="909">
        <f t="shared" si="154"/>
        <v>15.404202892075659</v>
      </c>
      <c r="AR120" s="909">
        <f t="shared" si="154"/>
        <v>15.447527212709623</v>
      </c>
      <c r="AS120" s="909">
        <f t="shared" si="154"/>
        <v>15.490973382995371</v>
      </c>
      <c r="AT120" s="909">
        <f t="shared" si="154"/>
        <v>15.534541745635048</v>
      </c>
      <c r="AU120" s="909">
        <f t="shared" si="154"/>
        <v>15.578232644294648</v>
      </c>
      <c r="AV120" s="909">
        <f t="shared" si="154"/>
        <v>15.622046423606728</v>
      </c>
      <c r="AW120" s="909">
        <f t="shared" si="154"/>
        <v>15.665983429173123</v>
      </c>
      <c r="AX120" s="909">
        <f t="shared" si="154"/>
        <v>15.710044007567674</v>
      </c>
      <c r="AY120" s="909">
        <f t="shared" si="154"/>
        <v>15.75422850633896</v>
      </c>
      <c r="AZ120" s="909">
        <f t="shared" si="154"/>
        <v>15.798537274013039</v>
      </c>
      <c r="BA120" s="909">
        <f t="shared" si="154"/>
        <v>15.842970660096203</v>
      </c>
      <c r="BB120" s="909">
        <f t="shared" si="154"/>
        <v>15.887529015077725</v>
      </c>
      <c r="BC120" s="909">
        <f t="shared" si="154"/>
        <v>15.932212690432632</v>
      </c>
      <c r="BD120" s="909">
        <f t="shared" si="154"/>
        <v>15.977022038624476</v>
      </c>
      <c r="BE120" s="909">
        <f t="shared" si="154"/>
        <v>16.021957413108108</v>
      </c>
      <c r="BF120" s="909">
        <f t="shared" si="154"/>
        <v>16.067019168332475</v>
      </c>
      <c r="BG120" s="909">
        <f t="shared" si="154"/>
        <v>16.112207659743412</v>
      </c>
      <c r="BH120" s="909">
        <f t="shared" si="154"/>
        <v>16.157523243786443</v>
      </c>
      <c r="BI120" s="909">
        <f t="shared" si="154"/>
        <v>16.202966277909592</v>
      </c>
      <c r="BJ120" s="909">
        <f t="shared" si="154"/>
        <v>16.248537120566215</v>
      </c>
      <c r="BK120" s="909">
        <f t="shared" si="154"/>
        <v>16.294236131217811</v>
      </c>
      <c r="BL120" s="909">
        <f t="shared" si="154"/>
        <v>16.340063670336864</v>
      </c>
      <c r="BM120" s="909">
        <f t="shared" si="154"/>
        <v>16.386020099409688</v>
      </c>
      <c r="BN120" s="909">
        <f t="shared" si="154"/>
        <v>16.432105780939278</v>
      </c>
      <c r="BO120" s="909">
        <f t="shared" si="154"/>
        <v>16.478321078448172</v>
      </c>
      <c r="BP120" s="182"/>
      <c r="BQ120" s="899"/>
    </row>
    <row r="121" spans="1:69" ht="14.25" customHeight="1" x14ac:dyDescent="0.3">
      <c r="A121" s="982"/>
      <c r="B121" s="898">
        <v>-5</v>
      </c>
      <c r="C121" s="896">
        <f t="shared" si="146"/>
        <v>-1.0416666666666667E-3</v>
      </c>
      <c r="D121" s="944" t="s">
        <v>367</v>
      </c>
      <c r="E121" s="183"/>
      <c r="F121" s="185" t="s">
        <v>439</v>
      </c>
      <c r="G121" s="193">
        <v>0</v>
      </c>
      <c r="H121" s="193">
        <v>0</v>
      </c>
      <c r="I121" s="193">
        <v>0</v>
      </c>
      <c r="J121" s="193">
        <v>0</v>
      </c>
      <c r="K121" s="190">
        <f t="shared" ref="K121:S121" si="155">K103/K64</f>
        <v>1.2324546517328507</v>
      </c>
      <c r="L121" s="191">
        <f t="shared" si="155"/>
        <v>1.4536522473658471</v>
      </c>
      <c r="M121" s="191">
        <f t="shared" si="155"/>
        <v>1.5901065449010654</v>
      </c>
      <c r="N121" s="191">
        <f t="shared" si="155"/>
        <v>1.249277327718497</v>
      </c>
      <c r="O121" s="191">
        <f t="shared" si="155"/>
        <v>1.1024466153713151</v>
      </c>
      <c r="P121" s="191">
        <f t="shared" si="155"/>
        <v>1.4624352331606219</v>
      </c>
      <c r="Q121" s="191">
        <f t="shared" si="155"/>
        <v>1.3839040747891473</v>
      </c>
      <c r="R121" s="191">
        <f t="shared" si="155"/>
        <v>1.0675280480672091</v>
      </c>
      <c r="S121" s="191">
        <f t="shared" si="155"/>
        <v>1.3319627503096654</v>
      </c>
      <c r="T121" s="909">
        <v>1.2250000000000014</v>
      </c>
      <c r="U121" s="909">
        <f t="shared" ref="U121:BO121" si="156">T121*(1+$C$121)</f>
        <v>1.2237239583333346</v>
      </c>
      <c r="V121" s="909">
        <f t="shared" si="156"/>
        <v>1.2224492458767373</v>
      </c>
      <c r="W121" s="909">
        <f t="shared" si="156"/>
        <v>1.2211758612456156</v>
      </c>
      <c r="X121" s="909">
        <f t="shared" si="156"/>
        <v>1.2199038030568181</v>
      </c>
      <c r="Y121" s="909">
        <f t="shared" si="156"/>
        <v>1.2186330699286338</v>
      </c>
      <c r="Z121" s="909">
        <f t="shared" si="156"/>
        <v>1.2173636604807914</v>
      </c>
      <c r="AA121" s="909">
        <f t="shared" si="156"/>
        <v>1.2160955733344572</v>
      </c>
      <c r="AB121" s="909">
        <f t="shared" si="156"/>
        <v>1.2148288071122337</v>
      </c>
      <c r="AC121" s="909">
        <f t="shared" si="156"/>
        <v>1.2135633604381584</v>
      </c>
      <c r="AD121" s="909">
        <f t="shared" si="156"/>
        <v>1.2122992319377019</v>
      </c>
      <c r="AE121" s="909">
        <f t="shared" si="156"/>
        <v>1.2110364202377668</v>
      </c>
      <c r="AF121" s="909">
        <f t="shared" si="156"/>
        <v>1.2097749239666857</v>
      </c>
      <c r="AG121" s="909">
        <f t="shared" si="156"/>
        <v>1.2085147417542204</v>
      </c>
      <c r="AH121" s="909">
        <f t="shared" si="156"/>
        <v>1.2072558722315596</v>
      </c>
      <c r="AI121" s="909">
        <f t="shared" si="156"/>
        <v>1.2059983140313184</v>
      </c>
      <c r="AJ121" s="909">
        <f t="shared" si="156"/>
        <v>1.2047420657875356</v>
      </c>
      <c r="AK121" s="909">
        <f t="shared" si="156"/>
        <v>1.2034871261356734</v>
      </c>
      <c r="AL121" s="909">
        <f t="shared" si="156"/>
        <v>1.2022334937126153</v>
      </c>
      <c r="AM121" s="909">
        <f t="shared" si="156"/>
        <v>1.2009811671566646</v>
      </c>
      <c r="AN121" s="909">
        <f t="shared" si="156"/>
        <v>1.1997301451075431</v>
      </c>
      <c r="AO121" s="909">
        <f t="shared" si="156"/>
        <v>1.1984804262063893</v>
      </c>
      <c r="AP121" s="909">
        <f t="shared" si="156"/>
        <v>1.1972320090957576</v>
      </c>
      <c r="AQ121" s="909">
        <f t="shared" si="156"/>
        <v>1.1959848924196161</v>
      </c>
      <c r="AR121" s="909">
        <f t="shared" si="156"/>
        <v>1.1947390748233457</v>
      </c>
      <c r="AS121" s="909">
        <f t="shared" si="156"/>
        <v>1.1934945549537381</v>
      </c>
      <c r="AT121" s="909">
        <f t="shared" si="156"/>
        <v>1.1922513314589946</v>
      </c>
      <c r="AU121" s="909">
        <f t="shared" si="156"/>
        <v>1.1910094029887248</v>
      </c>
      <c r="AV121" s="909">
        <f t="shared" si="156"/>
        <v>1.1897687681939448</v>
      </c>
      <c r="AW121" s="909">
        <f t="shared" si="156"/>
        <v>1.188529425727076</v>
      </c>
      <c r="AX121" s="909">
        <f t="shared" si="156"/>
        <v>1.1872913742419435</v>
      </c>
      <c r="AY121" s="909">
        <f t="shared" si="156"/>
        <v>1.1860546123937747</v>
      </c>
      <c r="AZ121" s="909">
        <f t="shared" si="156"/>
        <v>1.1848191388391978</v>
      </c>
      <c r="BA121" s="909">
        <f t="shared" si="156"/>
        <v>1.1835849522362403</v>
      </c>
      <c r="BB121" s="909">
        <f t="shared" si="156"/>
        <v>1.1823520512443275</v>
      </c>
      <c r="BC121" s="909">
        <f t="shared" si="156"/>
        <v>1.1811204345242814</v>
      </c>
      <c r="BD121" s="909">
        <f t="shared" si="156"/>
        <v>1.1798901007383185</v>
      </c>
      <c r="BE121" s="909">
        <f t="shared" si="156"/>
        <v>1.1786610485500493</v>
      </c>
      <c r="BF121" s="909">
        <f t="shared" si="156"/>
        <v>1.1774332766244762</v>
      </c>
      <c r="BG121" s="909">
        <f t="shared" si="156"/>
        <v>1.1762067836279924</v>
      </c>
      <c r="BH121" s="909">
        <f t="shared" si="156"/>
        <v>1.1749815682283797</v>
      </c>
      <c r="BI121" s="909">
        <f t="shared" si="156"/>
        <v>1.1737576290948084</v>
      </c>
      <c r="BJ121" s="909">
        <f t="shared" si="156"/>
        <v>1.1725349648978345</v>
      </c>
      <c r="BK121" s="909">
        <f t="shared" si="156"/>
        <v>1.1713135743093992</v>
      </c>
      <c r="BL121" s="909">
        <f t="shared" si="156"/>
        <v>1.1700934560028269</v>
      </c>
      <c r="BM121" s="909">
        <f t="shared" si="156"/>
        <v>1.1688746086528239</v>
      </c>
      <c r="BN121" s="909">
        <f t="shared" si="156"/>
        <v>1.1676570309354772</v>
      </c>
      <c r="BO121" s="909">
        <f t="shared" si="156"/>
        <v>1.1664407215282526</v>
      </c>
      <c r="BP121" s="182"/>
      <c r="BQ121" s="899"/>
    </row>
    <row r="122" spans="1:69" ht="14.25" customHeight="1" x14ac:dyDescent="0.3">
      <c r="A122" s="982"/>
      <c r="B122" s="898">
        <v>-5</v>
      </c>
      <c r="C122" s="896">
        <f t="shared" si="146"/>
        <v>-1.0416666666666667E-3</v>
      </c>
      <c r="D122" s="944" t="s">
        <v>367</v>
      </c>
      <c r="E122" s="183"/>
      <c r="F122" s="185" t="s">
        <v>440</v>
      </c>
      <c r="G122" s="193">
        <v>0</v>
      </c>
      <c r="H122" s="193">
        <v>0</v>
      </c>
      <c r="I122" s="193">
        <v>0</v>
      </c>
      <c r="J122" s="193">
        <v>0</v>
      </c>
      <c r="K122" s="193">
        <v>0</v>
      </c>
      <c r="L122" s="191">
        <f t="shared" ref="L122:S128" si="157">L104/L65</f>
        <v>6.047940658034979</v>
      </c>
      <c r="M122" s="191">
        <f t="shared" si="157"/>
        <v>6.093985677686832</v>
      </c>
      <c r="N122" s="191">
        <f t="shared" si="157"/>
        <v>8.9120786323933672</v>
      </c>
      <c r="O122" s="191">
        <f t="shared" si="157"/>
        <v>7.2669508271541199</v>
      </c>
      <c r="P122" s="191">
        <f t="shared" si="157"/>
        <v>6.6780970695565829</v>
      </c>
      <c r="Q122" s="191">
        <f t="shared" si="157"/>
        <v>6.8088875134981564</v>
      </c>
      <c r="R122" s="191">
        <f t="shared" si="157"/>
        <v>6.5500556145042585</v>
      </c>
      <c r="S122" s="191">
        <f t="shared" si="157"/>
        <v>6.0555524976594723</v>
      </c>
      <c r="T122" s="909">
        <v>6.6410999999999945</v>
      </c>
      <c r="U122" s="909">
        <f t="shared" ref="U122:BO122" si="158">T122*(1+$C$122)</f>
        <v>6.6341821874999942</v>
      </c>
      <c r="V122" s="909">
        <f t="shared" si="158"/>
        <v>6.6272715810546812</v>
      </c>
      <c r="W122" s="909">
        <f t="shared" si="158"/>
        <v>6.6203681731577486</v>
      </c>
      <c r="X122" s="909">
        <f t="shared" si="158"/>
        <v>6.6134719563107094</v>
      </c>
      <c r="Y122" s="909">
        <f t="shared" si="158"/>
        <v>6.6065829230228852</v>
      </c>
      <c r="Z122" s="909">
        <f t="shared" si="158"/>
        <v>6.599701065811403</v>
      </c>
      <c r="AA122" s="909">
        <f t="shared" si="158"/>
        <v>6.5928263772011828</v>
      </c>
      <c r="AB122" s="909">
        <f t="shared" si="158"/>
        <v>6.5859588497249311</v>
      </c>
      <c r="AC122" s="909">
        <f t="shared" si="158"/>
        <v>6.5790984759231339</v>
      </c>
      <c r="AD122" s="909">
        <f t="shared" si="158"/>
        <v>6.5722452483440472</v>
      </c>
      <c r="AE122" s="909">
        <f t="shared" si="158"/>
        <v>6.5653991595436887</v>
      </c>
      <c r="AF122" s="909">
        <f t="shared" si="158"/>
        <v>6.5585602020858307</v>
      </c>
      <c r="AG122" s="909">
        <f t="shared" si="158"/>
        <v>6.5517283685419914</v>
      </c>
      <c r="AH122" s="909">
        <f t="shared" si="158"/>
        <v>6.5449036514914267</v>
      </c>
      <c r="AI122" s="909">
        <f t="shared" si="158"/>
        <v>6.5380860435211225</v>
      </c>
      <c r="AJ122" s="909">
        <f t="shared" si="158"/>
        <v>6.5312755372257874</v>
      </c>
      <c r="AK122" s="909">
        <f t="shared" si="158"/>
        <v>6.5244721252078435</v>
      </c>
      <c r="AL122" s="909">
        <f t="shared" si="158"/>
        <v>6.5176758000774182</v>
      </c>
      <c r="AM122" s="909">
        <f t="shared" si="158"/>
        <v>6.5108865544523375</v>
      </c>
      <c r="AN122" s="909">
        <f t="shared" si="158"/>
        <v>6.5041043809581156</v>
      </c>
      <c r="AO122" s="909">
        <f t="shared" si="158"/>
        <v>6.497329272227951</v>
      </c>
      <c r="AP122" s="909">
        <f t="shared" si="158"/>
        <v>6.4905612209027135</v>
      </c>
      <c r="AQ122" s="909">
        <f t="shared" si="158"/>
        <v>6.4838002196309397</v>
      </c>
      <c r="AR122" s="909">
        <f t="shared" si="158"/>
        <v>6.477046261068824</v>
      </c>
      <c r="AS122" s="909">
        <f t="shared" si="158"/>
        <v>6.4702993378802107</v>
      </c>
      <c r="AT122" s="909">
        <f t="shared" si="158"/>
        <v>6.4635594427365852</v>
      </c>
      <c r="AU122" s="909">
        <f t="shared" si="158"/>
        <v>6.4568265683170676</v>
      </c>
      <c r="AV122" s="909">
        <f t="shared" si="158"/>
        <v>6.4501007073084038</v>
      </c>
      <c r="AW122" s="909">
        <f t="shared" si="158"/>
        <v>6.4433818524049569</v>
      </c>
      <c r="AX122" s="909">
        <f t="shared" si="158"/>
        <v>6.4366699963087015</v>
      </c>
      <c r="AY122" s="909">
        <f t="shared" si="158"/>
        <v>6.4299651317292126</v>
      </c>
      <c r="AZ122" s="909">
        <f t="shared" si="158"/>
        <v>6.4232672513836606</v>
      </c>
      <c r="BA122" s="909">
        <f t="shared" si="158"/>
        <v>6.4165763479968021</v>
      </c>
      <c r="BB122" s="909">
        <f t="shared" si="158"/>
        <v>6.4098924143009715</v>
      </c>
      <c r="BC122" s="909">
        <f t="shared" si="158"/>
        <v>6.4032154430360739</v>
      </c>
      <c r="BD122" s="909">
        <f t="shared" si="158"/>
        <v>6.3965454269495776</v>
      </c>
      <c r="BE122" s="909">
        <f t="shared" si="158"/>
        <v>6.3898823587965046</v>
      </c>
      <c r="BF122" s="909">
        <f t="shared" si="158"/>
        <v>6.3832262313394246</v>
      </c>
      <c r="BG122" s="909">
        <f t="shared" si="158"/>
        <v>6.3765770373484454</v>
      </c>
      <c r="BH122" s="909">
        <f t="shared" si="158"/>
        <v>6.3699347696012074</v>
      </c>
      <c r="BI122" s="909">
        <f t="shared" si="158"/>
        <v>6.3632994208828721</v>
      </c>
      <c r="BJ122" s="909">
        <f t="shared" si="158"/>
        <v>6.3566709839861186</v>
      </c>
      <c r="BK122" s="909">
        <f t="shared" si="158"/>
        <v>6.3500494517111328</v>
      </c>
      <c r="BL122" s="909">
        <f t="shared" si="158"/>
        <v>6.3434348168656003</v>
      </c>
      <c r="BM122" s="909">
        <f t="shared" si="158"/>
        <v>6.3368270722646987</v>
      </c>
      <c r="BN122" s="909">
        <f t="shared" si="158"/>
        <v>6.3302262107310892</v>
      </c>
      <c r="BO122" s="909">
        <f t="shared" si="158"/>
        <v>6.3236322250949106</v>
      </c>
      <c r="BP122" s="182"/>
      <c r="BQ122" s="899"/>
    </row>
    <row r="123" spans="1:69" ht="14.25" customHeight="1" x14ac:dyDescent="0.3">
      <c r="A123" s="982"/>
      <c r="B123" s="897">
        <v>5</v>
      </c>
      <c r="C123" s="896">
        <f t="shared" si="146"/>
        <v>1.0416666666666667E-3</v>
      </c>
      <c r="D123" s="944"/>
      <c r="E123" s="183"/>
      <c r="F123" s="185" t="s">
        <v>441</v>
      </c>
      <c r="G123" s="190">
        <f t="shared" ref="G123:K127" si="159">G105/G66</f>
        <v>0.56324422784393136</v>
      </c>
      <c r="H123" s="190">
        <f t="shared" si="159"/>
        <v>0.47573853669445859</v>
      </c>
      <c r="I123" s="190">
        <f t="shared" si="159"/>
        <v>0.44091837615444374</v>
      </c>
      <c r="J123" s="190">
        <f t="shared" si="159"/>
        <v>0.47152204764954853</v>
      </c>
      <c r="K123" s="190">
        <f t="shared" si="159"/>
        <v>1.0091035634743875</v>
      </c>
      <c r="L123" s="191">
        <f t="shared" si="157"/>
        <v>0.92935231023102294</v>
      </c>
      <c r="M123" s="191">
        <f t="shared" si="157"/>
        <v>1.2240164464413019</v>
      </c>
      <c r="N123" s="191">
        <f t="shared" si="157"/>
        <v>0.89776575095986288</v>
      </c>
      <c r="O123" s="191">
        <f t="shared" si="157"/>
        <v>1.5238912143461654</v>
      </c>
      <c r="P123" s="191">
        <f t="shared" si="157"/>
        <v>1.3219387271175187</v>
      </c>
      <c r="Q123" s="191">
        <f t="shared" si="157"/>
        <v>1.7401309130170726</v>
      </c>
      <c r="R123" s="191">
        <f t="shared" si="157"/>
        <v>1.4155396702730552</v>
      </c>
      <c r="S123" s="191">
        <f t="shared" si="157"/>
        <v>1.5271258192396591</v>
      </c>
      <c r="T123" s="909">
        <v>1.8811000000000035</v>
      </c>
      <c r="U123" s="909">
        <f t="shared" ref="U123:BO123" si="160">T123*(1+$C$123)</f>
        <v>1.8830594791666702</v>
      </c>
      <c r="V123" s="909">
        <f t="shared" si="160"/>
        <v>1.8850209994574687</v>
      </c>
      <c r="W123" s="909">
        <f t="shared" si="160"/>
        <v>1.8869845629985702</v>
      </c>
      <c r="X123" s="909">
        <f t="shared" si="160"/>
        <v>1.8889501719183603</v>
      </c>
      <c r="Y123" s="909">
        <f t="shared" si="160"/>
        <v>1.8909178283474419</v>
      </c>
      <c r="Z123" s="909">
        <f t="shared" si="160"/>
        <v>1.8928875344186371</v>
      </c>
      <c r="AA123" s="909">
        <f t="shared" si="160"/>
        <v>1.8948592922669898</v>
      </c>
      <c r="AB123" s="909">
        <f t="shared" si="160"/>
        <v>1.8968331040297679</v>
      </c>
      <c r="AC123" s="909">
        <f t="shared" si="160"/>
        <v>1.8988089718464654</v>
      </c>
      <c r="AD123" s="909">
        <f t="shared" si="160"/>
        <v>1.9007868978588054</v>
      </c>
      <c r="AE123" s="909">
        <f t="shared" si="160"/>
        <v>1.9027668842107415</v>
      </c>
      <c r="AF123" s="909">
        <f t="shared" si="160"/>
        <v>1.9047489330484608</v>
      </c>
      <c r="AG123" s="909">
        <f t="shared" si="160"/>
        <v>1.9067330465203862</v>
      </c>
      <c r="AH123" s="909">
        <f t="shared" si="160"/>
        <v>1.9087192267771782</v>
      </c>
      <c r="AI123" s="909">
        <f t="shared" si="160"/>
        <v>1.9107074759717377</v>
      </c>
      <c r="AJ123" s="909">
        <f t="shared" si="160"/>
        <v>1.9126977962592082</v>
      </c>
      <c r="AK123" s="909">
        <f t="shared" si="160"/>
        <v>1.9146901897969781</v>
      </c>
      <c r="AL123" s="909">
        <f t="shared" si="160"/>
        <v>1.9166846587446833</v>
      </c>
      <c r="AM123" s="909">
        <f t="shared" si="160"/>
        <v>1.9186812052642088</v>
      </c>
      <c r="AN123" s="909">
        <f t="shared" si="160"/>
        <v>1.9206798315196922</v>
      </c>
      <c r="AO123" s="909">
        <f t="shared" si="160"/>
        <v>1.9226805396775251</v>
      </c>
      <c r="AP123" s="909">
        <f t="shared" si="160"/>
        <v>1.9246833319063557</v>
      </c>
      <c r="AQ123" s="909">
        <f t="shared" si="160"/>
        <v>1.9266882103770913</v>
      </c>
      <c r="AR123" s="909">
        <f t="shared" si="160"/>
        <v>1.9286951772629006</v>
      </c>
      <c r="AS123" s="909">
        <f t="shared" si="160"/>
        <v>1.930704234739216</v>
      </c>
      <c r="AT123" s="909">
        <f t="shared" si="160"/>
        <v>1.932715384983736</v>
      </c>
      <c r="AU123" s="909">
        <f t="shared" si="160"/>
        <v>1.9347286301764273</v>
      </c>
      <c r="AV123" s="909">
        <f t="shared" si="160"/>
        <v>1.9367439724995277</v>
      </c>
      <c r="AW123" s="909">
        <f t="shared" si="160"/>
        <v>1.938761414137548</v>
      </c>
      <c r="AX123" s="909">
        <f t="shared" si="160"/>
        <v>1.9407809572772745</v>
      </c>
      <c r="AY123" s="909">
        <f t="shared" si="160"/>
        <v>1.9428026041077715</v>
      </c>
      <c r="AZ123" s="909">
        <f t="shared" si="160"/>
        <v>1.9448263568203836</v>
      </c>
      <c r="BA123" s="909">
        <f t="shared" si="160"/>
        <v>1.9468522176087382</v>
      </c>
      <c r="BB123" s="909">
        <f t="shared" si="160"/>
        <v>1.9488801886687472</v>
      </c>
      <c r="BC123" s="909">
        <f t="shared" si="160"/>
        <v>1.9509102721986105</v>
      </c>
      <c r="BD123" s="909">
        <f t="shared" si="160"/>
        <v>1.9529424703988172</v>
      </c>
      <c r="BE123" s="909">
        <f t="shared" si="160"/>
        <v>1.9549767854721491</v>
      </c>
      <c r="BF123" s="909">
        <f t="shared" si="160"/>
        <v>1.9570132196236825</v>
      </c>
      <c r="BG123" s="909">
        <f t="shared" si="160"/>
        <v>1.9590517750607903</v>
      </c>
      <c r="BH123" s="909">
        <f t="shared" si="160"/>
        <v>1.9610924539931451</v>
      </c>
      <c r="BI123" s="909">
        <f t="shared" si="160"/>
        <v>1.9631352586327213</v>
      </c>
      <c r="BJ123" s="909">
        <f t="shared" si="160"/>
        <v>1.9651801911937969</v>
      </c>
      <c r="BK123" s="909">
        <f t="shared" si="160"/>
        <v>1.9672272538929569</v>
      </c>
      <c r="BL123" s="909">
        <f t="shared" si="160"/>
        <v>1.9692764489490953</v>
      </c>
      <c r="BM123" s="909">
        <f t="shared" si="160"/>
        <v>1.9713277785834171</v>
      </c>
      <c r="BN123" s="909">
        <f t="shared" si="160"/>
        <v>1.9733812450194415</v>
      </c>
      <c r="BO123" s="909">
        <f t="shared" si="160"/>
        <v>1.9754368504830033</v>
      </c>
      <c r="BP123" s="182"/>
      <c r="BQ123" s="899"/>
    </row>
    <row r="124" spans="1:69" ht="14.25" customHeight="1" x14ac:dyDescent="0.3">
      <c r="A124" s="982"/>
      <c r="B124" s="897">
        <v>5</v>
      </c>
      <c r="C124" s="896">
        <f t="shared" si="146"/>
        <v>1.0416666666666667E-3</v>
      </c>
      <c r="D124" s="944"/>
      <c r="E124" s="183"/>
      <c r="F124" s="185" t="s">
        <v>442</v>
      </c>
      <c r="G124" s="190">
        <f t="shared" si="159"/>
        <v>0.75451915088664168</v>
      </c>
      <c r="H124" s="190">
        <f t="shared" si="159"/>
        <v>0.86984045875205818</v>
      </c>
      <c r="I124" s="190">
        <f t="shared" si="159"/>
        <v>0.62762476138532863</v>
      </c>
      <c r="J124" s="190">
        <f t="shared" si="159"/>
        <v>0.78062719387311064</v>
      </c>
      <c r="K124" s="190">
        <f t="shared" si="159"/>
        <v>0.97859439595774</v>
      </c>
      <c r="L124" s="191">
        <f t="shared" si="157"/>
        <v>1.1661005267562643</v>
      </c>
      <c r="M124" s="191">
        <f t="shared" si="157"/>
        <v>1.505259203606311</v>
      </c>
      <c r="N124" s="191">
        <f t="shared" si="157"/>
        <v>1.2425064833242869</v>
      </c>
      <c r="O124" s="191">
        <f t="shared" si="157"/>
        <v>1.4456936494957755</v>
      </c>
      <c r="P124" s="191">
        <f t="shared" si="157"/>
        <v>1.5515429187441045</v>
      </c>
      <c r="Q124" s="191">
        <f t="shared" si="157"/>
        <v>1.4557525951557093</v>
      </c>
      <c r="R124" s="191">
        <f t="shared" si="157"/>
        <v>1.4921974083264409</v>
      </c>
      <c r="S124" s="191">
        <f t="shared" si="157"/>
        <v>1.5130165472497585</v>
      </c>
      <c r="T124" s="909">
        <v>1.8078000000000145</v>
      </c>
      <c r="U124" s="909">
        <f t="shared" ref="U124:BO124" si="161">T124*(1+$C$124)</f>
        <v>1.8096831250000145</v>
      </c>
      <c r="V124" s="909">
        <f t="shared" si="161"/>
        <v>1.8115682115885561</v>
      </c>
      <c r="W124" s="909">
        <f t="shared" si="161"/>
        <v>1.8134552618089608</v>
      </c>
      <c r="X124" s="909">
        <f t="shared" si="161"/>
        <v>1.8153442777066784</v>
      </c>
      <c r="Y124" s="909">
        <f t="shared" si="161"/>
        <v>1.8172352613292895</v>
      </c>
      <c r="Z124" s="909">
        <f t="shared" si="161"/>
        <v>1.8191282147265073</v>
      </c>
      <c r="AA124" s="909">
        <f t="shared" si="161"/>
        <v>1.8210231399501806</v>
      </c>
      <c r="AB124" s="909">
        <f t="shared" si="161"/>
        <v>1.8229200390542952</v>
      </c>
      <c r="AC124" s="909">
        <f t="shared" si="161"/>
        <v>1.8248189140949767</v>
      </c>
      <c r="AD124" s="909">
        <f t="shared" si="161"/>
        <v>1.8267197671304922</v>
      </c>
      <c r="AE124" s="909">
        <f t="shared" si="161"/>
        <v>1.8286226002212531</v>
      </c>
      <c r="AF124" s="909">
        <f t="shared" si="161"/>
        <v>1.8305274154298168</v>
      </c>
      <c r="AG124" s="909">
        <f t="shared" si="161"/>
        <v>1.8324342148208894</v>
      </c>
      <c r="AH124" s="909">
        <f t="shared" si="161"/>
        <v>1.8343430004613277</v>
      </c>
      <c r="AI124" s="909">
        <f t="shared" si="161"/>
        <v>1.8362537744201415</v>
      </c>
      <c r="AJ124" s="909">
        <f t="shared" si="161"/>
        <v>1.8381665387684958</v>
      </c>
      <c r="AK124" s="909">
        <f t="shared" si="161"/>
        <v>1.8400812955797128</v>
      </c>
      <c r="AL124" s="909">
        <f t="shared" si="161"/>
        <v>1.8419980469292749</v>
      </c>
      <c r="AM124" s="909">
        <f t="shared" si="161"/>
        <v>1.8439167948948261</v>
      </c>
      <c r="AN124" s="909">
        <f t="shared" si="161"/>
        <v>1.8458375415561747</v>
      </c>
      <c r="AO124" s="909">
        <f t="shared" si="161"/>
        <v>1.8477602889952955</v>
      </c>
      <c r="AP124" s="909">
        <f t="shared" si="161"/>
        <v>1.8496850392963322</v>
      </c>
      <c r="AQ124" s="909">
        <f t="shared" si="161"/>
        <v>1.8516117945455992</v>
      </c>
      <c r="AR124" s="909">
        <f t="shared" si="161"/>
        <v>1.8535405568315841</v>
      </c>
      <c r="AS124" s="909">
        <f t="shared" si="161"/>
        <v>1.8554713282449502</v>
      </c>
      <c r="AT124" s="909">
        <f t="shared" si="161"/>
        <v>1.8574041108785386</v>
      </c>
      <c r="AU124" s="909">
        <f t="shared" si="161"/>
        <v>1.8593389068273702</v>
      </c>
      <c r="AV124" s="909">
        <f t="shared" si="161"/>
        <v>1.8612757181886486</v>
      </c>
      <c r="AW124" s="909">
        <f t="shared" si="161"/>
        <v>1.8632145470617616</v>
      </c>
      <c r="AX124" s="909">
        <f t="shared" si="161"/>
        <v>1.8651553955482842</v>
      </c>
      <c r="AY124" s="909">
        <f t="shared" si="161"/>
        <v>1.8670982657519803</v>
      </c>
      <c r="AZ124" s="909">
        <f t="shared" si="161"/>
        <v>1.8690431597788053</v>
      </c>
      <c r="BA124" s="909">
        <f t="shared" si="161"/>
        <v>1.8709900797369081</v>
      </c>
      <c r="BB124" s="909">
        <f t="shared" si="161"/>
        <v>1.872939027736634</v>
      </c>
      <c r="BC124" s="909">
        <f t="shared" si="161"/>
        <v>1.8748900058905262</v>
      </c>
      <c r="BD124" s="909">
        <f t="shared" si="161"/>
        <v>1.8768430163133287</v>
      </c>
      <c r="BE124" s="909">
        <f t="shared" si="161"/>
        <v>1.8787980611219883</v>
      </c>
      <c r="BF124" s="909">
        <f t="shared" si="161"/>
        <v>1.880755142435657</v>
      </c>
      <c r="BG124" s="909">
        <f t="shared" si="161"/>
        <v>1.8827142623756941</v>
      </c>
      <c r="BH124" s="909">
        <f t="shared" si="161"/>
        <v>1.8846754230656686</v>
      </c>
      <c r="BI124" s="909">
        <f t="shared" si="161"/>
        <v>1.8866386266313619</v>
      </c>
      <c r="BJ124" s="909">
        <f t="shared" si="161"/>
        <v>1.8886038752007694</v>
      </c>
      <c r="BK124" s="909">
        <f t="shared" si="161"/>
        <v>1.8905711709041035</v>
      </c>
      <c r="BL124" s="909">
        <f t="shared" si="161"/>
        <v>1.8925405158737951</v>
      </c>
      <c r="BM124" s="909">
        <f t="shared" si="161"/>
        <v>1.8945119122444969</v>
      </c>
      <c r="BN124" s="909">
        <f t="shared" si="161"/>
        <v>1.8964853621530848</v>
      </c>
      <c r="BO124" s="909">
        <f t="shared" si="161"/>
        <v>1.8984608677386607</v>
      </c>
      <c r="BP124" s="182"/>
      <c r="BQ124" s="899"/>
    </row>
    <row r="125" spans="1:69" ht="14.25" customHeight="1" x14ac:dyDescent="0.3">
      <c r="A125" s="982"/>
      <c r="B125" s="897">
        <v>5</v>
      </c>
      <c r="C125" s="896">
        <f t="shared" si="146"/>
        <v>1.0416666666666667E-3</v>
      </c>
      <c r="D125" s="944"/>
      <c r="E125" s="183"/>
      <c r="F125" s="185" t="s">
        <v>443</v>
      </c>
      <c r="G125" s="190">
        <f t="shared" si="159"/>
        <v>7.2170067804382718</v>
      </c>
      <c r="H125" s="190">
        <f t="shared" si="159"/>
        <v>6.3185309765997699</v>
      </c>
      <c r="I125" s="190">
        <f t="shared" si="159"/>
        <v>7.1299036786350793</v>
      </c>
      <c r="J125" s="190">
        <f t="shared" si="159"/>
        <v>5.9774600170919303</v>
      </c>
      <c r="K125" s="190">
        <f t="shared" si="159"/>
        <v>10.241910038862596</v>
      </c>
      <c r="L125" s="191">
        <f t="shared" si="157"/>
        <v>9.9296321969458283</v>
      </c>
      <c r="M125" s="191">
        <f t="shared" si="157"/>
        <v>10.765855704697987</v>
      </c>
      <c r="N125" s="191">
        <f t="shared" si="157"/>
        <v>10.293925805136567</v>
      </c>
      <c r="O125" s="191">
        <f t="shared" si="157"/>
        <v>9.9292230892816153</v>
      </c>
      <c r="P125" s="191">
        <f t="shared" si="157"/>
        <v>10.374113475177305</v>
      </c>
      <c r="Q125" s="191">
        <f t="shared" si="157"/>
        <v>11.860907539403675</v>
      </c>
      <c r="R125" s="191">
        <f t="shared" si="157"/>
        <v>9.3249917952084029</v>
      </c>
      <c r="S125" s="191">
        <f t="shared" si="157"/>
        <v>11.165104791856413</v>
      </c>
      <c r="T125" s="909">
        <v>12.049399999999878</v>
      </c>
      <c r="U125" s="909">
        <f t="shared" ref="U125:BO125" si="162">T125*(1+$C$125)</f>
        <v>12.06195145833321</v>
      </c>
      <c r="V125" s="909">
        <f t="shared" si="162"/>
        <v>12.074515991102306</v>
      </c>
      <c r="W125" s="909">
        <f t="shared" si="162"/>
        <v>12.08709361192637</v>
      </c>
      <c r="X125" s="909">
        <f t="shared" si="162"/>
        <v>12.099684334438793</v>
      </c>
      <c r="Y125" s="909">
        <f t="shared" si="162"/>
        <v>12.112288172287165</v>
      </c>
      <c r="Z125" s="909">
        <f t="shared" si="162"/>
        <v>12.124905139133297</v>
      </c>
      <c r="AA125" s="909">
        <f t="shared" si="162"/>
        <v>12.137535248653228</v>
      </c>
      <c r="AB125" s="909">
        <f t="shared" si="162"/>
        <v>12.15017851453724</v>
      </c>
      <c r="AC125" s="909">
        <f t="shared" si="162"/>
        <v>12.162834950489883</v>
      </c>
      <c r="AD125" s="909">
        <f t="shared" si="162"/>
        <v>12.175504570229975</v>
      </c>
      <c r="AE125" s="909">
        <f t="shared" si="162"/>
        <v>12.188187387490631</v>
      </c>
      <c r="AF125" s="909">
        <f t="shared" si="162"/>
        <v>12.200883416019266</v>
      </c>
      <c r="AG125" s="909">
        <f t="shared" si="162"/>
        <v>12.213592669577618</v>
      </c>
      <c r="AH125" s="909">
        <f t="shared" si="162"/>
        <v>12.226315161941761</v>
      </c>
      <c r="AI125" s="909">
        <f t="shared" si="162"/>
        <v>12.239050906902117</v>
      </c>
      <c r="AJ125" s="909">
        <f t="shared" si="162"/>
        <v>12.251799918263472</v>
      </c>
      <c r="AK125" s="909">
        <f t="shared" si="162"/>
        <v>12.264562209844996</v>
      </c>
      <c r="AL125" s="909">
        <f t="shared" si="162"/>
        <v>12.27733779548025</v>
      </c>
      <c r="AM125" s="909">
        <f t="shared" si="162"/>
        <v>12.290126689017209</v>
      </c>
      <c r="AN125" s="909">
        <f t="shared" si="162"/>
        <v>12.302928904318268</v>
      </c>
      <c r="AO125" s="909">
        <f t="shared" si="162"/>
        <v>12.315744455260266</v>
      </c>
      <c r="AP125" s="909">
        <f t="shared" si="162"/>
        <v>12.328573355734495</v>
      </c>
      <c r="AQ125" s="909">
        <f t="shared" si="162"/>
        <v>12.341415619646718</v>
      </c>
      <c r="AR125" s="909">
        <f t="shared" si="162"/>
        <v>12.354271260917182</v>
      </c>
      <c r="AS125" s="909">
        <f t="shared" si="162"/>
        <v>12.367140293480636</v>
      </c>
      <c r="AT125" s="909">
        <f t="shared" si="162"/>
        <v>12.380022731286344</v>
      </c>
      <c r="AU125" s="909">
        <f t="shared" si="162"/>
        <v>12.3929185882981</v>
      </c>
      <c r="AV125" s="909">
        <f t="shared" si="162"/>
        <v>12.405827878494243</v>
      </c>
      <c r="AW125" s="909">
        <f t="shared" si="162"/>
        <v>12.418750615867674</v>
      </c>
      <c r="AX125" s="909">
        <f t="shared" si="162"/>
        <v>12.43168681442587</v>
      </c>
      <c r="AY125" s="909">
        <f t="shared" si="162"/>
        <v>12.444636488190897</v>
      </c>
      <c r="AZ125" s="909">
        <f t="shared" si="162"/>
        <v>12.457599651199429</v>
      </c>
      <c r="BA125" s="909">
        <f t="shared" si="162"/>
        <v>12.470576317502761</v>
      </c>
      <c r="BB125" s="909">
        <f t="shared" si="162"/>
        <v>12.483566501166825</v>
      </c>
      <c r="BC125" s="909">
        <f t="shared" si="162"/>
        <v>12.496570216272206</v>
      </c>
      <c r="BD125" s="909">
        <f t="shared" si="162"/>
        <v>12.509587476914156</v>
      </c>
      <c r="BE125" s="909">
        <f t="shared" si="162"/>
        <v>12.522618297202607</v>
      </c>
      <c r="BF125" s="909">
        <f t="shared" si="162"/>
        <v>12.535662691262193</v>
      </c>
      <c r="BG125" s="909">
        <f t="shared" si="162"/>
        <v>12.548720673232257</v>
      </c>
      <c r="BH125" s="909">
        <f t="shared" si="162"/>
        <v>12.561792257266873</v>
      </c>
      <c r="BI125" s="909">
        <f t="shared" si="162"/>
        <v>12.574877457534859</v>
      </c>
      <c r="BJ125" s="909">
        <f t="shared" si="162"/>
        <v>12.587976288219791</v>
      </c>
      <c r="BK125" s="909">
        <f t="shared" si="162"/>
        <v>12.601088763520019</v>
      </c>
      <c r="BL125" s="909">
        <f t="shared" si="162"/>
        <v>12.614214897648685</v>
      </c>
      <c r="BM125" s="909">
        <f t="shared" si="162"/>
        <v>12.627354704833735</v>
      </c>
      <c r="BN125" s="909">
        <f t="shared" si="162"/>
        <v>12.640508199317935</v>
      </c>
      <c r="BO125" s="909">
        <f t="shared" si="162"/>
        <v>12.65367539535889</v>
      </c>
      <c r="BP125" s="182"/>
      <c r="BQ125" s="899"/>
    </row>
    <row r="126" spans="1:69" ht="14.25" customHeight="1" x14ac:dyDescent="0.3">
      <c r="A126" s="982"/>
      <c r="B126" s="897">
        <v>15</v>
      </c>
      <c r="C126" s="896">
        <f t="shared" si="146"/>
        <v>3.1250000000000002E-3</v>
      </c>
      <c r="D126" s="944"/>
      <c r="E126" s="183"/>
      <c r="F126" s="185" t="s">
        <v>444</v>
      </c>
      <c r="G126" s="190">
        <f t="shared" si="159"/>
        <v>4.7410408126434112</v>
      </c>
      <c r="H126" s="190">
        <f t="shared" si="159"/>
        <v>4.8532368074667938</v>
      </c>
      <c r="I126" s="190">
        <f t="shared" si="159"/>
        <v>5.8565152380632375</v>
      </c>
      <c r="J126" s="190">
        <f t="shared" si="159"/>
        <v>4.6757077331285606</v>
      </c>
      <c r="K126" s="190">
        <f t="shared" si="159"/>
        <v>6.4872116979046277</v>
      </c>
      <c r="L126" s="191">
        <f t="shared" si="157"/>
        <v>7.34537978395816</v>
      </c>
      <c r="M126" s="191">
        <f t="shared" si="157"/>
        <v>5.8173798949099709</v>
      </c>
      <c r="N126" s="191">
        <f t="shared" si="157"/>
        <v>7.1572330766544541</v>
      </c>
      <c r="O126" s="191">
        <f t="shared" si="157"/>
        <v>5.8907862560616735</v>
      </c>
      <c r="P126" s="191">
        <f t="shared" si="157"/>
        <v>5.0618074550282515</v>
      </c>
      <c r="Q126" s="191">
        <f t="shared" si="157"/>
        <v>5.5734874726479289</v>
      </c>
      <c r="R126" s="191">
        <f t="shared" si="157"/>
        <v>6.6674589016658894</v>
      </c>
      <c r="S126" s="191">
        <f t="shared" si="157"/>
        <v>9.8120761579853699</v>
      </c>
      <c r="T126" s="909">
        <v>7.6707999999999856</v>
      </c>
      <c r="U126" s="909">
        <f t="shared" ref="U126:BO126" si="163">T126*(1+$C$126)</f>
        <v>7.6947712499999863</v>
      </c>
      <c r="V126" s="909">
        <f t="shared" si="163"/>
        <v>7.7188174101562366</v>
      </c>
      <c r="W126" s="909">
        <f t="shared" si="163"/>
        <v>7.7429387145629756</v>
      </c>
      <c r="X126" s="909">
        <f t="shared" si="163"/>
        <v>7.7671353980459852</v>
      </c>
      <c r="Y126" s="909">
        <f t="shared" si="163"/>
        <v>7.791407696164879</v>
      </c>
      <c r="Z126" s="909">
        <f t="shared" si="163"/>
        <v>7.8157558452153948</v>
      </c>
      <c r="AA126" s="909">
        <f t="shared" si="163"/>
        <v>7.8401800822316936</v>
      </c>
      <c r="AB126" s="909">
        <f t="shared" si="163"/>
        <v>7.8646806449886677</v>
      </c>
      <c r="AC126" s="909">
        <f t="shared" si="163"/>
        <v>7.8892577720042576</v>
      </c>
      <c r="AD126" s="909">
        <f t="shared" si="163"/>
        <v>7.9139117025417711</v>
      </c>
      <c r="AE126" s="909">
        <f t="shared" si="163"/>
        <v>7.9386426766122149</v>
      </c>
      <c r="AF126" s="909">
        <f t="shared" si="163"/>
        <v>7.9634509349766285</v>
      </c>
      <c r="AG126" s="909">
        <f t="shared" si="163"/>
        <v>7.9883367191484309</v>
      </c>
      <c r="AH126" s="909">
        <f t="shared" si="163"/>
        <v>8.0133002713957708</v>
      </c>
      <c r="AI126" s="909">
        <f t="shared" si="163"/>
        <v>8.0383418347438838</v>
      </c>
      <c r="AJ126" s="909">
        <f t="shared" si="163"/>
        <v>8.063461652977459</v>
      </c>
      <c r="AK126" s="909">
        <f t="shared" si="163"/>
        <v>8.0886599706430147</v>
      </c>
      <c r="AL126" s="909">
        <f t="shared" si="163"/>
        <v>8.1139370330512737</v>
      </c>
      <c r="AM126" s="909">
        <f t="shared" si="163"/>
        <v>8.1392930862795598</v>
      </c>
      <c r="AN126" s="909">
        <f t="shared" si="163"/>
        <v>8.1647283771741836</v>
      </c>
      <c r="AO126" s="909">
        <f t="shared" si="163"/>
        <v>8.1902431533528528</v>
      </c>
      <c r="AP126" s="909">
        <f t="shared" si="163"/>
        <v>8.2158376632070809</v>
      </c>
      <c r="AQ126" s="909">
        <f t="shared" si="163"/>
        <v>8.2415121559046032</v>
      </c>
      <c r="AR126" s="909">
        <f t="shared" si="163"/>
        <v>8.2672668813918051</v>
      </c>
      <c r="AS126" s="909">
        <f t="shared" si="163"/>
        <v>8.2931020903961556</v>
      </c>
      <c r="AT126" s="909">
        <f t="shared" si="163"/>
        <v>8.3190180344286446</v>
      </c>
      <c r="AU126" s="909">
        <f t="shared" si="163"/>
        <v>8.345014965786234</v>
      </c>
      <c r="AV126" s="909">
        <f t="shared" si="163"/>
        <v>8.3710931375543165</v>
      </c>
      <c r="AW126" s="909">
        <f t="shared" si="163"/>
        <v>8.3972528036091738</v>
      </c>
      <c r="AX126" s="909">
        <f t="shared" si="163"/>
        <v>8.4234942186204531</v>
      </c>
      <c r="AY126" s="909">
        <f t="shared" si="163"/>
        <v>8.4498176380536432</v>
      </c>
      <c r="AZ126" s="909">
        <f t="shared" si="163"/>
        <v>8.4762233181725612</v>
      </c>
      <c r="BA126" s="909">
        <f t="shared" si="163"/>
        <v>8.5027115160418507</v>
      </c>
      <c r="BB126" s="909">
        <f t="shared" si="163"/>
        <v>8.5292824895294821</v>
      </c>
      <c r="BC126" s="909">
        <f t="shared" si="163"/>
        <v>8.5559364973092613</v>
      </c>
      <c r="BD126" s="909">
        <f t="shared" si="163"/>
        <v>8.5826737988633539</v>
      </c>
      <c r="BE126" s="909">
        <f t="shared" si="163"/>
        <v>8.6094946544848021</v>
      </c>
      <c r="BF126" s="909">
        <f t="shared" si="163"/>
        <v>8.6363993252800668</v>
      </c>
      <c r="BG126" s="909">
        <f t="shared" si="163"/>
        <v>8.6633880731715678</v>
      </c>
      <c r="BH126" s="909">
        <f t="shared" si="163"/>
        <v>8.6904611609002291</v>
      </c>
      <c r="BI126" s="909">
        <f t="shared" si="163"/>
        <v>8.7176188520280427</v>
      </c>
      <c r="BJ126" s="909">
        <f t="shared" si="163"/>
        <v>8.7448614109406311</v>
      </c>
      <c r="BK126" s="909">
        <f t="shared" si="163"/>
        <v>8.7721891028498202</v>
      </c>
      <c r="BL126" s="909">
        <f t="shared" si="163"/>
        <v>8.7996021937962254</v>
      </c>
      <c r="BM126" s="909">
        <f t="shared" si="163"/>
        <v>8.8271009506518396</v>
      </c>
      <c r="BN126" s="909">
        <f t="shared" si="163"/>
        <v>8.8546856411226269</v>
      </c>
      <c r="BO126" s="909">
        <f t="shared" si="163"/>
        <v>8.8823565337511354</v>
      </c>
      <c r="BP126" s="182"/>
      <c r="BQ126" s="899"/>
    </row>
    <row r="127" spans="1:69" ht="14.25" customHeight="1" x14ac:dyDescent="0.3">
      <c r="A127" s="982"/>
      <c r="B127" s="897">
        <v>20</v>
      </c>
      <c r="C127" s="896">
        <f t="shared" si="146"/>
        <v>4.1666666666666666E-3</v>
      </c>
      <c r="D127" s="944" t="s">
        <v>367</v>
      </c>
      <c r="E127" s="183"/>
      <c r="F127" s="185" t="s">
        <v>445</v>
      </c>
      <c r="G127" s="190">
        <f t="shared" si="159"/>
        <v>20.08933933933934</v>
      </c>
      <c r="H127" s="190">
        <f t="shared" si="159"/>
        <v>22.881238155401139</v>
      </c>
      <c r="I127" s="190">
        <f t="shared" si="159"/>
        <v>20.460188495287618</v>
      </c>
      <c r="J127" s="190">
        <f t="shared" si="159"/>
        <v>9.9026415094339626</v>
      </c>
      <c r="K127" s="190">
        <f t="shared" si="159"/>
        <v>19.127611168562563</v>
      </c>
      <c r="L127" s="191">
        <f t="shared" si="157"/>
        <v>17.659816024746032</v>
      </c>
      <c r="M127" s="191">
        <f t="shared" si="157"/>
        <v>9.779784178307743</v>
      </c>
      <c r="N127" s="191">
        <f t="shared" si="157"/>
        <v>11.232907118992863</v>
      </c>
      <c r="O127" s="191">
        <f t="shared" si="157"/>
        <v>11.381865046571704</v>
      </c>
      <c r="P127" s="191">
        <f t="shared" si="157"/>
        <v>12.922222196437646</v>
      </c>
      <c r="Q127" s="191">
        <f t="shared" si="157"/>
        <v>14.344512787640847</v>
      </c>
      <c r="R127" s="191">
        <f t="shared" si="157"/>
        <v>14.623969180071411</v>
      </c>
      <c r="S127" s="191">
        <f t="shared" si="157"/>
        <v>13.371425940489321</v>
      </c>
      <c r="T127" s="909">
        <v>10.571800000000167</v>
      </c>
      <c r="U127" s="909">
        <f t="shared" ref="U127:BO127" si="164">T127*(1+$C$127)</f>
        <v>10.615849166666834</v>
      </c>
      <c r="V127" s="909">
        <f t="shared" si="164"/>
        <v>10.660081871527945</v>
      </c>
      <c r="W127" s="909">
        <f t="shared" si="164"/>
        <v>10.704498879325978</v>
      </c>
      <c r="X127" s="909">
        <f t="shared" si="164"/>
        <v>10.749100957989837</v>
      </c>
      <c r="Y127" s="909">
        <f t="shared" si="164"/>
        <v>10.793888878648128</v>
      </c>
      <c r="Z127" s="909">
        <f t="shared" si="164"/>
        <v>10.838863415642495</v>
      </c>
      <c r="AA127" s="909">
        <f t="shared" si="164"/>
        <v>10.884025346541005</v>
      </c>
      <c r="AB127" s="909">
        <f t="shared" si="164"/>
        <v>10.929375452151593</v>
      </c>
      <c r="AC127" s="909">
        <f t="shared" si="164"/>
        <v>10.974914516535557</v>
      </c>
      <c r="AD127" s="909">
        <f t="shared" si="164"/>
        <v>11.020643327021123</v>
      </c>
      <c r="AE127" s="909">
        <f t="shared" si="164"/>
        <v>11.066562674217044</v>
      </c>
      <c r="AF127" s="909">
        <f t="shared" si="164"/>
        <v>11.112673352026281</v>
      </c>
      <c r="AG127" s="909">
        <f t="shared" si="164"/>
        <v>11.158976157659724</v>
      </c>
      <c r="AH127" s="909">
        <f t="shared" si="164"/>
        <v>11.205471891649973</v>
      </c>
      <c r="AI127" s="909">
        <f t="shared" si="164"/>
        <v>11.25216135786518</v>
      </c>
      <c r="AJ127" s="909">
        <f t="shared" si="164"/>
        <v>11.299045363522952</v>
      </c>
      <c r="AK127" s="909">
        <f t="shared" si="164"/>
        <v>11.346124719204298</v>
      </c>
      <c r="AL127" s="909">
        <f t="shared" si="164"/>
        <v>11.393400238867649</v>
      </c>
      <c r="AM127" s="909">
        <f t="shared" si="164"/>
        <v>11.440872739862931</v>
      </c>
      <c r="AN127" s="909">
        <f t="shared" si="164"/>
        <v>11.488543042945693</v>
      </c>
      <c r="AO127" s="909">
        <f t="shared" si="164"/>
        <v>11.536411972291299</v>
      </c>
      <c r="AP127" s="909">
        <f t="shared" si="164"/>
        <v>11.584480355509179</v>
      </c>
      <c r="AQ127" s="909">
        <f t="shared" si="164"/>
        <v>11.632749023657134</v>
      </c>
      <c r="AR127" s="909">
        <f t="shared" si="164"/>
        <v>11.681218811255706</v>
      </c>
      <c r="AS127" s="909">
        <f t="shared" si="164"/>
        <v>11.729890556302605</v>
      </c>
      <c r="AT127" s="909">
        <f t="shared" si="164"/>
        <v>11.778765100287199</v>
      </c>
      <c r="AU127" s="909">
        <f t="shared" si="164"/>
        <v>11.827843288205061</v>
      </c>
      <c r="AV127" s="909">
        <f t="shared" si="164"/>
        <v>11.877125968572582</v>
      </c>
      <c r="AW127" s="909">
        <f t="shared" si="164"/>
        <v>11.926613993441634</v>
      </c>
      <c r="AX127" s="909">
        <f t="shared" si="164"/>
        <v>11.976308218414308</v>
      </c>
      <c r="AY127" s="909">
        <f t="shared" si="164"/>
        <v>12.026209502657702</v>
      </c>
      <c r="AZ127" s="909">
        <f t="shared" si="164"/>
        <v>12.076318708918775</v>
      </c>
      <c r="BA127" s="909">
        <f t="shared" si="164"/>
        <v>12.126636703539269</v>
      </c>
      <c r="BB127" s="909">
        <f t="shared" si="164"/>
        <v>12.177164356470682</v>
      </c>
      <c r="BC127" s="909">
        <f t="shared" si="164"/>
        <v>12.227902541289309</v>
      </c>
      <c r="BD127" s="909">
        <f t="shared" si="164"/>
        <v>12.278852135211347</v>
      </c>
      <c r="BE127" s="909">
        <f t="shared" si="164"/>
        <v>12.330014019108061</v>
      </c>
      <c r="BF127" s="909">
        <f t="shared" si="164"/>
        <v>12.38138907752101</v>
      </c>
      <c r="BG127" s="909">
        <f t="shared" si="164"/>
        <v>12.432978198677349</v>
      </c>
      <c r="BH127" s="909">
        <f t="shared" si="164"/>
        <v>12.484782274505172</v>
      </c>
      <c r="BI127" s="909">
        <f t="shared" si="164"/>
        <v>12.536802200648943</v>
      </c>
      <c r="BJ127" s="909">
        <f t="shared" si="164"/>
        <v>12.589038876484979</v>
      </c>
      <c r="BK127" s="909">
        <f t="shared" si="164"/>
        <v>12.641493205136999</v>
      </c>
      <c r="BL127" s="909">
        <f t="shared" si="164"/>
        <v>12.694166093491736</v>
      </c>
      <c r="BM127" s="909">
        <f t="shared" si="164"/>
        <v>12.747058452214619</v>
      </c>
      <c r="BN127" s="909">
        <f t="shared" si="164"/>
        <v>12.800171195765513</v>
      </c>
      <c r="BO127" s="909">
        <f t="shared" si="164"/>
        <v>12.853505242414535</v>
      </c>
      <c r="BP127" s="182"/>
      <c r="BQ127" s="899"/>
    </row>
    <row r="128" spans="1:69" ht="14.25" customHeight="1" x14ac:dyDescent="0.3">
      <c r="A128" s="982"/>
      <c r="B128" s="897">
        <v>24.5</v>
      </c>
      <c r="C128" s="896">
        <f t="shared" si="146"/>
        <v>5.1041666666666666E-3</v>
      </c>
      <c r="D128" s="26"/>
      <c r="E128" s="183"/>
      <c r="F128" s="185" t="s">
        <v>446</v>
      </c>
      <c r="G128" s="193">
        <v>0</v>
      </c>
      <c r="H128" s="193">
        <v>0</v>
      </c>
      <c r="I128" s="193">
        <v>0</v>
      </c>
      <c r="J128" s="193">
        <v>0</v>
      </c>
      <c r="K128" s="190">
        <f>K110/K71</f>
        <v>71.313941598573763</v>
      </c>
      <c r="L128" s="191">
        <f t="shared" si="157"/>
        <v>77.600192829050854</v>
      </c>
      <c r="M128" s="191">
        <f t="shared" si="157"/>
        <v>63.930904968869726</v>
      </c>
      <c r="N128" s="191">
        <f t="shared" si="157"/>
        <v>68.002762025316457</v>
      </c>
      <c r="O128" s="191">
        <f t="shared" si="157"/>
        <v>72.656153620689651</v>
      </c>
      <c r="P128" s="191">
        <f t="shared" si="157"/>
        <v>60.822164783012298</v>
      </c>
      <c r="Q128" s="191">
        <f t="shared" si="157"/>
        <v>79.535751217038523</v>
      </c>
      <c r="R128" s="191">
        <f t="shared" si="157"/>
        <v>63.011435803532962</v>
      </c>
      <c r="S128" s="191">
        <f t="shared" si="157"/>
        <v>47.752700636522462</v>
      </c>
      <c r="T128" s="909">
        <v>57.706900000000132</v>
      </c>
      <c r="U128" s="909">
        <f t="shared" ref="U128:BO128" si="165">T128*(1+$C$128)</f>
        <v>58.0014456354168</v>
      </c>
      <c r="V128" s="909">
        <f t="shared" si="165"/>
        <v>58.297494680847578</v>
      </c>
      <c r="W128" s="909">
        <f t="shared" si="165"/>
        <v>58.59505480994774</v>
      </c>
      <c r="X128" s="909">
        <f t="shared" si="165"/>
        <v>58.89413373554018</v>
      </c>
      <c r="Y128" s="909">
        <f t="shared" si="165"/>
        <v>59.194739209815332</v>
      </c>
      <c r="Z128" s="909">
        <f t="shared" si="165"/>
        <v>59.496879024532099</v>
      </c>
      <c r="AA128" s="909">
        <f t="shared" si="165"/>
        <v>59.800561011219813</v>
      </c>
      <c r="AB128" s="909">
        <f t="shared" si="165"/>
        <v>60.105793041381247</v>
      </c>
      <c r="AC128" s="909">
        <f t="shared" si="165"/>
        <v>60.41258302669663</v>
      </c>
      <c r="AD128" s="909">
        <f t="shared" si="165"/>
        <v>60.720938919228729</v>
      </c>
      <c r="AE128" s="909">
        <f t="shared" si="165"/>
        <v>61.030868711628962</v>
      </c>
      <c r="AF128" s="909">
        <f t="shared" si="165"/>
        <v>61.342380437344566</v>
      </c>
      <c r="AG128" s="909">
        <f t="shared" si="165"/>
        <v>61.655482170826851</v>
      </c>
      <c r="AH128" s="909">
        <f t="shared" si="165"/>
        <v>61.970182027740449</v>
      </c>
      <c r="AI128" s="909">
        <f t="shared" si="165"/>
        <v>62.286488165173708</v>
      </c>
      <c r="AJ128" s="909">
        <f t="shared" si="165"/>
        <v>62.604408781850118</v>
      </c>
      <c r="AK128" s="909">
        <f t="shared" si="165"/>
        <v>62.923952118340814</v>
      </c>
      <c r="AL128" s="909">
        <f t="shared" si="165"/>
        <v>63.245126457278182</v>
      </c>
      <c r="AM128" s="909">
        <f t="shared" si="165"/>
        <v>63.567940123570544</v>
      </c>
      <c r="AN128" s="909">
        <f t="shared" si="165"/>
        <v>63.892401484617935</v>
      </c>
      <c r="AO128" s="909">
        <f t="shared" si="165"/>
        <v>64.218518950529003</v>
      </c>
      <c r="AP128" s="909">
        <f t="shared" si="165"/>
        <v>64.54630097433899</v>
      </c>
      <c r="AQ128" s="909">
        <f t="shared" si="165"/>
        <v>64.875756052228851</v>
      </c>
      <c r="AR128" s="909">
        <f t="shared" si="165"/>
        <v>65.20689272374544</v>
      </c>
      <c r="AS128" s="909">
        <f t="shared" si="165"/>
        <v>65.539719572022889</v>
      </c>
      <c r="AT128" s="909">
        <f t="shared" si="165"/>
        <v>65.874245224005094</v>
      </c>
      <c r="AU128" s="909">
        <f t="shared" si="165"/>
        <v>66.210478350669291</v>
      </c>
      <c r="AV128" s="909">
        <f t="shared" si="165"/>
        <v>66.548427667250834</v>
      </c>
      <c r="AW128" s="909">
        <f t="shared" si="165"/>
        <v>66.888101933469102</v>
      </c>
      <c r="AX128" s="909">
        <f t="shared" si="165"/>
        <v>67.229509953754516</v>
      </c>
      <c r="AY128" s="909">
        <f t="shared" si="165"/>
        <v>67.57266057747681</v>
      </c>
      <c r="AZ128" s="909">
        <f t="shared" si="165"/>
        <v>67.917562699174354</v>
      </c>
      <c r="BA128" s="909">
        <f t="shared" si="165"/>
        <v>68.26422525878472</v>
      </c>
      <c r="BB128" s="909">
        <f t="shared" si="165"/>
        <v>68.612657241876434</v>
      </c>
      <c r="BC128" s="909">
        <f t="shared" si="165"/>
        <v>68.962867679881853</v>
      </c>
      <c r="BD128" s="909">
        <f t="shared" si="165"/>
        <v>69.314865650331257</v>
      </c>
      <c r="BE128" s="909">
        <f t="shared" si="165"/>
        <v>69.668660277088151</v>
      </c>
      <c r="BF128" s="909">
        <f t="shared" si="165"/>
        <v>70.024260730585794</v>
      </c>
      <c r="BG128" s="909">
        <f t="shared" si="165"/>
        <v>70.381676228064833</v>
      </c>
      <c r="BH128" s="909">
        <f t="shared" si="165"/>
        <v>70.740916033812255</v>
      </c>
      <c r="BI128" s="909">
        <f t="shared" si="165"/>
        <v>71.101989459401508</v>
      </c>
      <c r="BJ128" s="909">
        <f t="shared" si="165"/>
        <v>71.464905863933865</v>
      </c>
      <c r="BK128" s="909">
        <f t="shared" si="165"/>
        <v>71.829674654281035</v>
      </c>
      <c r="BL128" s="909">
        <f t="shared" si="165"/>
        <v>72.196305285328933</v>
      </c>
      <c r="BM128" s="909">
        <f t="shared" si="165"/>
        <v>72.564807260222807</v>
      </c>
      <c r="BN128" s="909">
        <f t="shared" si="165"/>
        <v>72.935190130613535</v>
      </c>
      <c r="BO128" s="909">
        <f t="shared" si="165"/>
        <v>73.307463496905214</v>
      </c>
      <c r="BP128" s="182"/>
      <c r="BQ128" s="899"/>
    </row>
    <row r="129" spans="1:68" ht="14.25" customHeight="1" thickBot="1" x14ac:dyDescent="0.35">
      <c r="A129" s="960"/>
      <c r="B129" s="960"/>
      <c r="C129" s="960"/>
      <c r="D129" s="944"/>
      <c r="E129" s="51"/>
      <c r="F129" s="200"/>
      <c r="G129" s="200"/>
      <c r="H129" s="200"/>
      <c r="I129" s="200"/>
      <c r="J129" s="200"/>
      <c r="K129" s="200"/>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52"/>
    </row>
    <row r="130" spans="1:68" ht="14.25" customHeight="1" x14ac:dyDescent="0.3">
      <c r="A130" s="960"/>
      <c r="B130" s="960"/>
      <c r="C130" s="960"/>
      <c r="D130" s="944"/>
      <c r="E130" s="944"/>
      <c r="F130" s="45"/>
      <c r="G130" s="45"/>
      <c r="H130" s="45"/>
      <c r="I130" s="45"/>
      <c r="J130" s="45"/>
      <c r="K130" s="45"/>
      <c r="L130" s="944"/>
      <c r="M130" s="944"/>
      <c r="N130" s="944"/>
      <c r="O130" s="944"/>
      <c r="P130" s="944"/>
      <c r="Q130" s="944"/>
      <c r="R130" s="944"/>
      <c r="S130" s="944"/>
      <c r="T130" s="944"/>
      <c r="U130" s="944"/>
      <c r="V130" s="944"/>
      <c r="W130" s="944"/>
      <c r="X130" s="944"/>
      <c r="Y130" s="944"/>
      <c r="Z130" s="944"/>
      <c r="AA130" s="944"/>
      <c r="AB130" s="944"/>
      <c r="AC130" s="944"/>
      <c r="AD130" s="944"/>
      <c r="AE130" s="944"/>
      <c r="AF130" s="944"/>
      <c r="AG130" s="944"/>
      <c r="AH130" s="944"/>
      <c r="AI130" s="944"/>
      <c r="AJ130" s="944"/>
      <c r="AK130" s="944"/>
      <c r="AL130" s="944"/>
      <c r="AM130" s="944"/>
      <c r="AN130" s="944"/>
      <c r="AO130" s="944"/>
      <c r="AP130" s="944"/>
      <c r="AQ130" s="944"/>
      <c r="AR130" s="944"/>
      <c r="AS130" s="944"/>
      <c r="AT130" s="944"/>
      <c r="AU130" s="944"/>
      <c r="AV130" s="944"/>
      <c r="AW130" s="944"/>
      <c r="AX130" s="944"/>
      <c r="AY130" s="944"/>
      <c r="AZ130" s="944"/>
      <c r="BA130" s="944"/>
      <c r="BB130" s="944"/>
      <c r="BC130" s="944"/>
      <c r="BD130" s="944"/>
      <c r="BE130" s="944"/>
      <c r="BF130" s="944"/>
      <c r="BG130" s="944"/>
      <c r="BH130" s="944"/>
      <c r="BI130" s="944"/>
      <c r="BJ130" s="944"/>
      <c r="BK130" s="944"/>
      <c r="BL130" s="944"/>
      <c r="BM130" s="944"/>
      <c r="BN130" s="944"/>
      <c r="BO130" s="944"/>
      <c r="BP130" s="45"/>
    </row>
    <row r="131" spans="1:68" ht="14.25" customHeight="1" x14ac:dyDescent="0.3">
      <c r="A131" s="960"/>
      <c r="B131" s="960"/>
      <c r="C131" s="960"/>
      <c r="D131" s="944"/>
      <c r="E131" s="944" t="s">
        <v>367</v>
      </c>
      <c r="F131" s="45" t="s">
        <v>395</v>
      </c>
      <c r="G131" s="45"/>
      <c r="H131" s="45"/>
      <c r="I131" s="45"/>
      <c r="J131" s="45"/>
      <c r="K131" s="45"/>
      <c r="L131" s="944"/>
      <c r="M131" s="944"/>
      <c r="N131" s="944"/>
      <c r="O131" s="944"/>
      <c r="P131" s="944"/>
      <c r="Q131" s="944"/>
      <c r="R131" s="901"/>
      <c r="S131" s="944"/>
      <c r="T131" s="944"/>
      <c r="U131" s="944"/>
      <c r="V131" s="944"/>
      <c r="W131" s="944"/>
      <c r="X131" s="944"/>
      <c r="Y131" s="944"/>
      <c r="Z131" s="944"/>
      <c r="AA131" s="944"/>
      <c r="AB131" s="944"/>
      <c r="AC131" s="944"/>
      <c r="AD131" s="944"/>
      <c r="AE131" s="944"/>
      <c r="AF131" s="944"/>
      <c r="AG131" s="944"/>
      <c r="AH131" s="944"/>
      <c r="AI131" s="944"/>
      <c r="AJ131" s="944"/>
      <c r="AK131" s="944"/>
      <c r="AL131" s="944"/>
      <c r="AM131" s="944"/>
      <c r="AN131" s="944"/>
      <c r="AO131" s="944"/>
      <c r="AP131" s="944"/>
      <c r="AQ131" s="944"/>
      <c r="AR131" s="944"/>
      <c r="AS131" s="944"/>
      <c r="AT131" s="944"/>
      <c r="AU131" s="944"/>
      <c r="AV131" s="944"/>
      <c r="AW131" s="944"/>
      <c r="AX131" s="944"/>
      <c r="AY131" s="944"/>
      <c r="AZ131" s="944"/>
      <c r="BA131" s="944"/>
      <c r="BB131" s="944"/>
      <c r="BC131" s="944"/>
      <c r="BD131" s="944"/>
      <c r="BE131" s="944"/>
      <c r="BF131" s="944"/>
      <c r="BG131" s="944"/>
      <c r="BH131" s="944"/>
      <c r="BI131" s="944"/>
      <c r="BJ131" s="944"/>
      <c r="BK131" s="944"/>
      <c r="BL131" s="944"/>
      <c r="BM131" s="944"/>
      <c r="BN131" s="944"/>
      <c r="BO131" s="944"/>
      <c r="BP131" s="45"/>
    </row>
    <row r="132" spans="1:68" ht="14.25" customHeight="1" x14ac:dyDescent="0.3">
      <c r="A132" s="960"/>
      <c r="B132" s="960"/>
      <c r="C132" s="960"/>
      <c r="D132" s="944"/>
      <c r="E132" s="944" t="s">
        <v>412</v>
      </c>
      <c r="F132" s="45" t="s">
        <v>447</v>
      </c>
      <c r="G132" s="45"/>
      <c r="H132" s="45"/>
      <c r="I132" s="45"/>
      <c r="J132" s="45"/>
      <c r="K132" s="45"/>
      <c r="L132" s="944"/>
      <c r="M132" s="944"/>
      <c r="N132" s="944"/>
      <c r="O132" s="944"/>
      <c r="P132" s="944"/>
      <c r="Q132" s="944"/>
      <c r="R132" s="901"/>
      <c r="S132" s="944"/>
      <c r="T132" s="944"/>
      <c r="U132" s="944"/>
      <c r="V132" s="944"/>
      <c r="W132" s="944"/>
      <c r="X132" s="944"/>
      <c r="Y132" s="944"/>
      <c r="Z132" s="944"/>
      <c r="AA132" s="944"/>
      <c r="AB132" s="944"/>
      <c r="AC132" s="944"/>
      <c r="AD132" s="944"/>
      <c r="AE132" s="944"/>
      <c r="AF132" s="944"/>
      <c r="AG132" s="944"/>
      <c r="AH132" s="944"/>
      <c r="AI132" s="944"/>
      <c r="AJ132" s="944"/>
      <c r="AK132" s="944"/>
      <c r="AL132" s="944"/>
      <c r="AM132" s="944"/>
      <c r="AN132" s="944"/>
      <c r="AO132" s="944"/>
      <c r="AP132" s="944"/>
      <c r="AQ132" s="944"/>
      <c r="AR132" s="944"/>
      <c r="AS132" s="944"/>
      <c r="AT132" s="944"/>
      <c r="AU132" s="944"/>
      <c r="AV132" s="944"/>
      <c r="AW132" s="944"/>
      <c r="AX132" s="944"/>
      <c r="AY132" s="944"/>
      <c r="AZ132" s="944"/>
      <c r="BA132" s="944"/>
      <c r="BB132" s="944"/>
      <c r="BC132" s="944"/>
      <c r="BD132" s="944"/>
      <c r="BE132" s="944"/>
      <c r="BF132" s="944"/>
      <c r="BG132" s="944"/>
      <c r="BH132" s="944"/>
      <c r="BI132" s="944"/>
      <c r="BJ132" s="944"/>
      <c r="BK132" s="944"/>
      <c r="BL132" s="944"/>
      <c r="BM132" s="944"/>
      <c r="BN132" s="944"/>
      <c r="BO132" s="944"/>
      <c r="BP132" s="45"/>
    </row>
    <row r="133" spans="1:68" ht="14.25" customHeight="1" x14ac:dyDescent="0.3">
      <c r="A133" s="960"/>
      <c r="B133" s="960"/>
      <c r="C133" s="960"/>
      <c r="D133" s="944"/>
      <c r="E133" s="944"/>
      <c r="F133" s="45"/>
      <c r="G133" s="45"/>
      <c r="H133" s="45"/>
      <c r="I133" s="45"/>
      <c r="J133" s="45"/>
      <c r="K133" s="45"/>
      <c r="L133" s="944"/>
      <c r="M133" s="944"/>
      <c r="N133" s="944"/>
      <c r="O133" s="944"/>
      <c r="P133" s="944"/>
      <c r="Q133" s="944"/>
      <c r="R133" s="901"/>
      <c r="S133" s="944"/>
      <c r="T133" s="944"/>
      <c r="U133" s="944"/>
      <c r="V133" s="944"/>
      <c r="W133" s="944"/>
      <c r="X133" s="944"/>
      <c r="Y133" s="944"/>
      <c r="Z133" s="944"/>
      <c r="AA133" s="944"/>
      <c r="AB133" s="944"/>
      <c r="AC133" s="944"/>
      <c r="AD133" s="944"/>
      <c r="AE133" s="944"/>
      <c r="AF133" s="944"/>
      <c r="AG133" s="944"/>
      <c r="AH133" s="944"/>
      <c r="AI133" s="944"/>
      <c r="AJ133" s="944"/>
      <c r="AK133" s="944"/>
      <c r="AL133" s="944"/>
      <c r="AM133" s="944"/>
      <c r="AN133" s="944"/>
      <c r="AO133" s="944"/>
      <c r="AP133" s="944"/>
      <c r="AQ133" s="944"/>
      <c r="AR133" s="944"/>
      <c r="AS133" s="944"/>
      <c r="AT133" s="944"/>
      <c r="AU133" s="944"/>
      <c r="AV133" s="944"/>
      <c r="AW133" s="944"/>
      <c r="AX133" s="944"/>
      <c r="AY133" s="944"/>
      <c r="AZ133" s="944"/>
      <c r="BA133" s="944"/>
      <c r="BB133" s="944"/>
      <c r="BC133" s="944"/>
      <c r="BD133" s="944"/>
      <c r="BE133" s="944"/>
      <c r="BF133" s="944"/>
      <c r="BG133" s="944"/>
      <c r="BH133" s="944"/>
      <c r="BI133" s="944"/>
      <c r="BJ133" s="944"/>
      <c r="BK133" s="944"/>
      <c r="BL133" s="944"/>
      <c r="BM133" s="944"/>
      <c r="BN133" s="944"/>
      <c r="BO133" s="944"/>
      <c r="BP133" s="45"/>
    </row>
    <row r="134" spans="1:68" ht="15.75" customHeight="1" x14ac:dyDescent="0.3">
      <c r="A134" s="960"/>
      <c r="B134" s="960"/>
      <c r="C134" s="960"/>
      <c r="D134" s="944"/>
      <c r="E134" s="44"/>
      <c r="F134" s="44" t="s">
        <v>448</v>
      </c>
      <c r="G134" s="44"/>
      <c r="H134" s="45"/>
      <c r="I134" s="45">
        <v>1</v>
      </c>
      <c r="J134" s="45" t="s">
        <v>334</v>
      </c>
      <c r="K134" s="45" t="s">
        <v>449</v>
      </c>
      <c r="L134" s="944"/>
      <c r="M134" s="944"/>
      <c r="N134" s="944"/>
      <c r="O134" s="944"/>
      <c r="P134" s="944"/>
      <c r="Q134" s="944"/>
      <c r="R134" s="944"/>
      <c r="S134" s="944"/>
      <c r="T134" s="944"/>
      <c r="U134" s="944"/>
      <c r="V134" s="944"/>
      <c r="W134" s="944"/>
      <c r="X134" s="944"/>
      <c r="Y134" s="944"/>
      <c r="Z134" s="944"/>
      <c r="AA134" s="944"/>
      <c r="AB134" s="944"/>
      <c r="AC134" s="944"/>
      <c r="AD134" s="944"/>
      <c r="AE134" s="944"/>
      <c r="AF134" s="944"/>
      <c r="AG134" s="944"/>
      <c r="AH134" s="944"/>
      <c r="AI134" s="944"/>
      <c r="AJ134" s="944"/>
      <c r="AK134" s="944"/>
      <c r="AL134" s="944"/>
      <c r="AM134" s="944"/>
      <c r="AN134" s="944"/>
      <c r="AO134" s="944"/>
      <c r="AP134" s="944"/>
      <c r="AQ134" s="944"/>
      <c r="AR134" s="944"/>
      <c r="AS134" s="944"/>
      <c r="AT134" s="944"/>
      <c r="AU134" s="944"/>
      <c r="AV134" s="944"/>
      <c r="AW134" s="944"/>
      <c r="AX134" s="944"/>
      <c r="AY134" s="944"/>
      <c r="AZ134" s="944"/>
      <c r="BA134" s="944"/>
      <c r="BB134" s="944"/>
      <c r="BC134" s="944"/>
      <c r="BD134" s="944"/>
      <c r="BE134" s="944"/>
      <c r="BF134" s="944"/>
      <c r="BG134" s="944"/>
      <c r="BH134" s="944"/>
      <c r="BI134" s="944"/>
      <c r="BJ134" s="944"/>
      <c r="BK134" s="944"/>
      <c r="BL134" s="944"/>
      <c r="BM134" s="944"/>
      <c r="BN134" s="944"/>
      <c r="BO134" s="944"/>
      <c r="BP134" s="45"/>
    </row>
    <row r="135" spans="1:68" ht="15.75" customHeight="1" x14ac:dyDescent="0.3">
      <c r="A135" s="960"/>
      <c r="B135" s="960"/>
      <c r="C135" s="960"/>
      <c r="D135" s="944"/>
      <c r="E135" s="44"/>
      <c r="F135" s="44"/>
      <c r="G135" s="44"/>
      <c r="H135" s="45"/>
      <c r="I135" s="45"/>
      <c r="J135" s="45"/>
      <c r="K135" s="45"/>
      <c r="L135" s="944"/>
      <c r="M135" s="944"/>
      <c r="N135" s="944"/>
      <c r="O135" s="944"/>
      <c r="P135" s="944"/>
      <c r="Q135" s="944"/>
      <c r="R135" s="944"/>
      <c r="S135" s="944"/>
      <c r="T135" s="944"/>
      <c r="U135" s="944"/>
      <c r="V135" s="944"/>
      <c r="W135" s="944"/>
      <c r="X135" s="944"/>
      <c r="Y135" s="944"/>
      <c r="Z135" s="944"/>
      <c r="AA135" s="944"/>
      <c r="AB135" s="944"/>
      <c r="AC135" s="944"/>
      <c r="AD135" s="944"/>
      <c r="AE135" s="944"/>
      <c r="AF135" s="944"/>
      <c r="AG135" s="944"/>
      <c r="AH135" s="944"/>
      <c r="AI135" s="944"/>
      <c r="AJ135" s="944"/>
      <c r="AK135" s="944"/>
      <c r="AL135" s="944"/>
      <c r="AM135" s="944"/>
      <c r="AN135" s="944"/>
      <c r="AO135" s="944"/>
      <c r="AP135" s="944"/>
      <c r="AQ135" s="944"/>
      <c r="AR135" s="944"/>
      <c r="AS135" s="944"/>
      <c r="AT135" s="944"/>
      <c r="AU135" s="944"/>
      <c r="AV135" s="944"/>
      <c r="AW135" s="944"/>
      <c r="AX135" s="944"/>
      <c r="AY135" s="944"/>
      <c r="AZ135" s="944"/>
      <c r="BA135" s="944"/>
      <c r="BB135" s="944"/>
      <c r="BC135" s="944"/>
      <c r="BD135" s="944"/>
      <c r="BE135" s="944"/>
      <c r="BF135" s="944"/>
      <c r="BG135" s="944"/>
      <c r="BH135" s="944"/>
      <c r="BI135" s="944"/>
      <c r="BJ135" s="944"/>
      <c r="BK135" s="944"/>
      <c r="BL135" s="944"/>
      <c r="BM135" s="944"/>
      <c r="BN135" s="944"/>
      <c r="BO135" s="944"/>
      <c r="BP135" s="45"/>
    </row>
    <row r="136" spans="1:68" ht="15.75" customHeight="1" thickBot="1" x14ac:dyDescent="0.35">
      <c r="A136" s="960"/>
      <c r="B136" s="960"/>
      <c r="C136" s="960"/>
      <c r="D136" s="944"/>
      <c r="E136" s="44"/>
      <c r="F136" s="44"/>
      <c r="G136" s="44"/>
      <c r="H136" s="45"/>
      <c r="I136" s="45"/>
      <c r="J136" s="45"/>
      <c r="K136" s="45"/>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944"/>
      <c r="AS136" s="944"/>
      <c r="AT136" s="944"/>
      <c r="AU136" s="944"/>
      <c r="AV136" s="944"/>
      <c r="AW136" s="944"/>
      <c r="AX136" s="944"/>
      <c r="AY136" s="944"/>
      <c r="AZ136" s="944"/>
      <c r="BA136" s="944"/>
      <c r="BB136" s="944"/>
      <c r="BC136" s="944"/>
      <c r="BD136" s="944"/>
      <c r="BE136" s="944"/>
      <c r="BF136" s="944"/>
      <c r="BG136" s="944"/>
      <c r="BH136" s="944"/>
      <c r="BI136" s="944"/>
      <c r="BJ136" s="944"/>
      <c r="BK136" s="944"/>
      <c r="BL136" s="944"/>
      <c r="BM136" s="944"/>
      <c r="BN136" s="944"/>
      <c r="BO136" s="944"/>
      <c r="BP136" s="45"/>
    </row>
    <row r="137" spans="1:68" ht="14.25" customHeight="1" x14ac:dyDescent="0.3">
      <c r="A137" s="960"/>
      <c r="B137" s="960"/>
      <c r="C137" s="960"/>
      <c r="D137" s="944"/>
      <c r="E137" s="46"/>
      <c r="F137" s="175"/>
      <c r="G137" s="175"/>
      <c r="H137" s="175"/>
      <c r="I137" s="175"/>
      <c r="J137" s="175"/>
      <c r="K137" s="175"/>
      <c r="L137" s="176"/>
      <c r="M137" s="176"/>
      <c r="N137" s="176"/>
      <c r="O137" s="176"/>
      <c r="P137" s="176"/>
      <c r="Q137" s="176"/>
      <c r="R137" s="176"/>
      <c r="S137" s="176"/>
      <c r="T137" s="176"/>
      <c r="U137" s="176"/>
      <c r="V137" s="176"/>
      <c r="W137" s="176"/>
      <c r="X137" s="176"/>
      <c r="Y137" s="176"/>
      <c r="Z137" s="176"/>
      <c r="AA137" s="176"/>
      <c r="AB137" s="176"/>
      <c r="AC137" s="176"/>
      <c r="AD137" s="176"/>
      <c r="AE137" s="176"/>
      <c r="AF137" s="176"/>
      <c r="AG137" s="176"/>
      <c r="AH137" s="176"/>
      <c r="AI137" s="176"/>
      <c r="AJ137" s="176"/>
      <c r="AK137" s="176"/>
      <c r="AL137" s="176"/>
      <c r="AM137" s="176"/>
      <c r="AN137" s="176"/>
      <c r="AO137" s="176"/>
      <c r="AP137" s="176"/>
      <c r="AQ137" s="176"/>
      <c r="AR137" s="176"/>
      <c r="AS137" s="176"/>
      <c r="AT137" s="176"/>
      <c r="AU137" s="176"/>
      <c r="AV137" s="176"/>
      <c r="AW137" s="176"/>
      <c r="AX137" s="176"/>
      <c r="AY137" s="176"/>
      <c r="AZ137" s="176"/>
      <c r="BA137" s="176"/>
      <c r="BB137" s="176"/>
      <c r="BC137" s="176"/>
      <c r="BD137" s="176"/>
      <c r="BE137" s="176"/>
      <c r="BF137" s="176"/>
      <c r="BG137" s="176"/>
      <c r="BH137" s="176"/>
      <c r="BI137" s="176"/>
      <c r="BJ137" s="176"/>
      <c r="BK137" s="176"/>
      <c r="BL137" s="176"/>
      <c r="BM137" s="176"/>
      <c r="BN137" s="176"/>
      <c r="BO137" s="176"/>
      <c r="BP137" s="47"/>
    </row>
    <row r="138" spans="1:68" ht="14.25" customHeight="1" x14ac:dyDescent="0.3">
      <c r="A138" s="960"/>
      <c r="B138" s="960"/>
      <c r="C138" s="960"/>
      <c r="D138" s="944"/>
      <c r="E138" s="177"/>
      <c r="F138" s="178" t="s">
        <v>450</v>
      </c>
      <c r="G138" s="179"/>
      <c r="H138" s="179"/>
      <c r="I138" s="179"/>
      <c r="J138" s="179"/>
      <c r="K138" s="179"/>
      <c r="L138" s="180"/>
      <c r="M138" s="181"/>
      <c r="N138" s="181"/>
      <c r="O138" s="181"/>
      <c r="P138" s="181"/>
      <c r="Q138" s="181"/>
      <c r="R138" s="181"/>
      <c r="S138" s="181"/>
      <c r="T138" s="181"/>
      <c r="U138" s="181"/>
      <c r="V138" s="181"/>
      <c r="W138" s="181"/>
      <c r="X138" s="181"/>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81"/>
      <c r="AX138" s="181"/>
      <c r="AY138" s="181"/>
      <c r="AZ138" s="181"/>
      <c r="BA138" s="181"/>
      <c r="BB138" s="181"/>
      <c r="BC138" s="181"/>
      <c r="BD138" s="181"/>
      <c r="BE138" s="181"/>
      <c r="BF138" s="181"/>
      <c r="BG138" s="181"/>
      <c r="BH138" s="181"/>
      <c r="BI138" s="181"/>
      <c r="BJ138" s="181"/>
      <c r="BK138" s="181"/>
      <c r="BL138" s="181"/>
      <c r="BM138" s="181"/>
      <c r="BN138" s="181"/>
      <c r="BO138" s="181"/>
      <c r="BP138" s="182"/>
    </row>
    <row r="139" spans="1:68" ht="14.25" hidden="1" customHeight="1" x14ac:dyDescent="0.3">
      <c r="A139" s="960"/>
      <c r="B139" s="960"/>
      <c r="C139" s="960"/>
      <c r="D139" s="944"/>
      <c r="E139" s="183"/>
      <c r="F139" s="184" t="s">
        <v>451</v>
      </c>
      <c r="G139" s="179"/>
      <c r="H139" s="179"/>
      <c r="I139" s="179"/>
      <c r="J139" s="179"/>
      <c r="K139" s="179"/>
      <c r="L139" s="180"/>
      <c r="M139" s="181"/>
      <c r="N139" s="181"/>
      <c r="O139" s="181"/>
      <c r="P139" s="181"/>
      <c r="Q139" s="181"/>
      <c r="R139" s="181"/>
      <c r="S139" s="181"/>
      <c r="T139" s="181"/>
      <c r="U139" s="181"/>
      <c r="V139" s="181"/>
      <c r="W139" s="181"/>
      <c r="X139" s="181"/>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1"/>
      <c r="BC139" s="181"/>
      <c r="BD139" s="181"/>
      <c r="BE139" s="181"/>
      <c r="BF139" s="181"/>
      <c r="BG139" s="181"/>
      <c r="BH139" s="181"/>
      <c r="BI139" s="181"/>
      <c r="BJ139" s="181"/>
      <c r="BK139" s="181"/>
      <c r="BL139" s="181"/>
      <c r="BM139" s="181"/>
      <c r="BN139" s="181"/>
      <c r="BO139" s="181"/>
      <c r="BP139" s="182"/>
    </row>
    <row r="140" spans="1:68" ht="14.25" hidden="1" customHeight="1" x14ac:dyDescent="0.3">
      <c r="A140" s="1199" t="s">
        <v>452</v>
      </c>
      <c r="B140" s="964"/>
      <c r="C140" s="964"/>
      <c r="D140" s="944"/>
      <c r="E140" s="183"/>
      <c r="F140" s="185" t="s">
        <v>453</v>
      </c>
      <c r="G140" s="186">
        <v>4944967.803000005</v>
      </c>
      <c r="H140" s="186">
        <v>5391885.433000003</v>
      </c>
      <c r="I140" s="186">
        <v>4981161.6400000006</v>
      </c>
      <c r="J140" s="186">
        <v>5195403.6700000037</v>
      </c>
      <c r="K140" s="186">
        <v>5715769.4640000006</v>
      </c>
      <c r="L140" s="187">
        <v>6039628.5180000011</v>
      </c>
      <c r="M140" s="187">
        <v>5931393.3769999985</v>
      </c>
      <c r="N140" s="187">
        <v>6095243.5125759998</v>
      </c>
      <c r="O140" s="187">
        <v>6506357.9271820001</v>
      </c>
      <c r="P140" s="187">
        <v>6487306.9648249997</v>
      </c>
      <c r="Q140" s="187">
        <v>6564319.3855370004</v>
      </c>
      <c r="R140" s="187">
        <v>6625031.8037660001</v>
      </c>
      <c r="S140" s="202">
        <v>6018001.1100000003</v>
      </c>
      <c r="T140" s="202"/>
      <c r="U140" s="202"/>
      <c r="V140" s="202"/>
      <c r="W140" s="202"/>
      <c r="X140" s="202"/>
      <c r="Y140" s="202"/>
      <c r="Z140" s="202"/>
      <c r="AA140" s="202"/>
      <c r="AB140" s="202"/>
      <c r="AC140" s="202"/>
      <c r="AD140" s="202"/>
      <c r="AE140" s="202"/>
      <c r="AF140" s="202"/>
      <c r="AG140" s="202"/>
      <c r="AH140" s="202"/>
      <c r="AI140" s="202"/>
      <c r="AJ140" s="202"/>
      <c r="AK140" s="202"/>
      <c r="AL140" s="202"/>
      <c r="AM140" s="202"/>
      <c r="AN140" s="202"/>
      <c r="AO140" s="202"/>
      <c r="AP140" s="202"/>
      <c r="AQ140" s="202"/>
      <c r="AR140" s="202"/>
      <c r="AS140" s="202"/>
      <c r="AT140" s="202"/>
      <c r="AU140" s="202"/>
      <c r="AV140" s="202"/>
      <c r="AW140" s="202"/>
      <c r="AX140" s="202"/>
      <c r="AY140" s="202"/>
      <c r="AZ140" s="202"/>
      <c r="BA140" s="202"/>
      <c r="BB140" s="202"/>
      <c r="BC140" s="202"/>
      <c r="BD140" s="202"/>
      <c r="BE140" s="202"/>
      <c r="BF140" s="202"/>
      <c r="BG140" s="202"/>
      <c r="BH140" s="202"/>
      <c r="BI140" s="202"/>
      <c r="BJ140" s="202"/>
      <c r="BK140" s="202"/>
      <c r="BL140" s="202"/>
      <c r="BM140" s="202"/>
      <c r="BN140" s="202"/>
      <c r="BO140" s="202"/>
      <c r="BP140" s="182"/>
    </row>
    <row r="141" spans="1:68" ht="14.25" hidden="1" customHeight="1" x14ac:dyDescent="0.3">
      <c r="A141" s="982"/>
      <c r="D141" s="944"/>
      <c r="E141" s="183"/>
      <c r="F141" s="185" t="s">
        <v>400</v>
      </c>
      <c r="G141" s="186">
        <v>116317.68700000001</v>
      </c>
      <c r="H141" s="186">
        <v>158483.45099999988</v>
      </c>
      <c r="I141" s="186">
        <v>146894.47299999997</v>
      </c>
      <c r="J141" s="186">
        <v>176582.35000000003</v>
      </c>
      <c r="K141" s="186">
        <v>198878.73399999997</v>
      </c>
      <c r="L141" s="187">
        <v>236066.27899999995</v>
      </c>
      <c r="M141" s="187">
        <v>227213.22799999997</v>
      </c>
      <c r="N141" s="187">
        <v>285228.87132899999</v>
      </c>
      <c r="O141" s="187">
        <v>296776.23031100002</v>
      </c>
      <c r="P141" s="187">
        <v>270939.550369</v>
      </c>
      <c r="Q141" s="187">
        <v>323398.62394899997</v>
      </c>
      <c r="R141" s="187">
        <v>329783.60051299998</v>
      </c>
      <c r="S141" s="202"/>
      <c r="T141" s="202"/>
      <c r="U141" s="202"/>
      <c r="V141" s="202"/>
      <c r="W141" s="202"/>
      <c r="X141" s="202"/>
      <c r="Y141" s="202"/>
      <c r="Z141" s="202"/>
      <c r="AA141" s="202"/>
      <c r="AB141" s="202"/>
      <c r="AC141" s="202"/>
      <c r="AD141" s="202"/>
      <c r="AE141" s="202"/>
      <c r="AF141" s="202"/>
      <c r="AG141" s="202"/>
      <c r="AH141" s="202"/>
      <c r="AI141" s="202"/>
      <c r="AJ141" s="202"/>
      <c r="AK141" s="202"/>
      <c r="AL141" s="202"/>
      <c r="AM141" s="202"/>
      <c r="AN141" s="202"/>
      <c r="AO141" s="202"/>
      <c r="AP141" s="202"/>
      <c r="AQ141" s="202"/>
      <c r="AR141" s="202"/>
      <c r="AS141" s="202"/>
      <c r="AT141" s="202"/>
      <c r="AU141" s="202"/>
      <c r="AV141" s="202"/>
      <c r="AW141" s="202"/>
      <c r="AX141" s="202"/>
      <c r="AY141" s="202"/>
      <c r="AZ141" s="202"/>
      <c r="BA141" s="202"/>
      <c r="BB141" s="202"/>
      <c r="BC141" s="202"/>
      <c r="BD141" s="202"/>
      <c r="BE141" s="202"/>
      <c r="BF141" s="202"/>
      <c r="BG141" s="202"/>
      <c r="BH141" s="202"/>
      <c r="BI141" s="202"/>
      <c r="BJ141" s="202"/>
      <c r="BK141" s="202"/>
      <c r="BL141" s="202"/>
      <c r="BM141" s="202"/>
      <c r="BN141" s="202"/>
      <c r="BO141" s="202"/>
      <c r="BP141" s="182"/>
    </row>
    <row r="142" spans="1:68" ht="14.25" hidden="1" customHeight="1" x14ac:dyDescent="0.3">
      <c r="A142" s="982"/>
      <c r="D142" s="944"/>
      <c r="E142" s="183"/>
      <c r="F142" s="185" t="s">
        <v>401</v>
      </c>
      <c r="G142" s="186">
        <v>21352.46200000001</v>
      </c>
      <c r="H142" s="186">
        <v>35455.031000000017</v>
      </c>
      <c r="I142" s="186">
        <v>28160.931000000004</v>
      </c>
      <c r="J142" s="186">
        <v>12165.705999999998</v>
      </c>
      <c r="K142" s="186">
        <v>9027.7760000000071</v>
      </c>
      <c r="L142" s="187">
        <v>6467.6449999999968</v>
      </c>
      <c r="M142" s="187">
        <v>5283.8949999999977</v>
      </c>
      <c r="N142" s="187">
        <v>5131.5689730000004</v>
      </c>
      <c r="O142" s="187">
        <v>4624.467525</v>
      </c>
      <c r="P142" s="187">
        <v>1857.587888</v>
      </c>
      <c r="Q142" s="187">
        <v>1954.9315570000001</v>
      </c>
      <c r="R142" s="187">
        <v>4063.316671</v>
      </c>
      <c r="S142" s="202"/>
      <c r="T142" s="202"/>
      <c r="U142" s="202"/>
      <c r="V142" s="202"/>
      <c r="W142" s="202"/>
      <c r="X142" s="202"/>
      <c r="Y142" s="202"/>
      <c r="Z142" s="202"/>
      <c r="AA142" s="202"/>
      <c r="AB142" s="202"/>
      <c r="AC142" s="202"/>
      <c r="AD142" s="202"/>
      <c r="AE142" s="202"/>
      <c r="AF142" s="202"/>
      <c r="AG142" s="202"/>
      <c r="AH142" s="202"/>
      <c r="AI142" s="202"/>
      <c r="AJ142" s="202"/>
      <c r="AK142" s="202"/>
      <c r="AL142" s="202"/>
      <c r="AM142" s="202"/>
      <c r="AN142" s="202"/>
      <c r="AO142" s="202"/>
      <c r="AP142" s="202"/>
      <c r="AQ142" s="202"/>
      <c r="AR142" s="202"/>
      <c r="AS142" s="202"/>
      <c r="AT142" s="202"/>
      <c r="AU142" s="202"/>
      <c r="AV142" s="202"/>
      <c r="AW142" s="202"/>
      <c r="AX142" s="202"/>
      <c r="AY142" s="202"/>
      <c r="AZ142" s="202"/>
      <c r="BA142" s="202"/>
      <c r="BB142" s="202"/>
      <c r="BC142" s="202"/>
      <c r="BD142" s="202"/>
      <c r="BE142" s="202"/>
      <c r="BF142" s="202"/>
      <c r="BG142" s="202"/>
      <c r="BH142" s="202"/>
      <c r="BI142" s="202"/>
      <c r="BJ142" s="202"/>
      <c r="BK142" s="202"/>
      <c r="BL142" s="202"/>
      <c r="BM142" s="202"/>
      <c r="BN142" s="202"/>
      <c r="BO142" s="202"/>
      <c r="BP142" s="182"/>
    </row>
    <row r="143" spans="1:68" ht="14.25" hidden="1" customHeight="1" x14ac:dyDescent="0.3">
      <c r="A143" s="982"/>
      <c r="D143" s="944"/>
      <c r="E143" s="183"/>
      <c r="F143" s="185" t="s">
        <v>402</v>
      </c>
      <c r="G143" s="186">
        <v>18924.874999999989</v>
      </c>
      <c r="H143" s="186">
        <v>18835.76100000001</v>
      </c>
      <c r="I143" s="186">
        <v>13054.540000000005</v>
      </c>
      <c r="J143" s="186">
        <v>12073.392</v>
      </c>
      <c r="K143" s="186">
        <v>9190.0689999999977</v>
      </c>
      <c r="L143" s="187">
        <v>8284.9270000000033</v>
      </c>
      <c r="M143" s="187">
        <v>107585.09600000001</v>
      </c>
      <c r="N143" s="187">
        <v>64568.612557</v>
      </c>
      <c r="O143" s="187">
        <v>3935.9470919999999</v>
      </c>
      <c r="P143" s="187">
        <v>60333.694902000003</v>
      </c>
      <c r="Q143" s="187">
        <v>34715.71905</v>
      </c>
      <c r="R143" s="187">
        <v>21880.071449999999</v>
      </c>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202"/>
      <c r="AS143" s="202"/>
      <c r="AT143" s="202"/>
      <c r="AU143" s="202"/>
      <c r="AV143" s="202"/>
      <c r="AW143" s="202"/>
      <c r="AX143" s="202"/>
      <c r="AY143" s="202"/>
      <c r="AZ143" s="202"/>
      <c r="BA143" s="202"/>
      <c r="BB143" s="202"/>
      <c r="BC143" s="202"/>
      <c r="BD143" s="202"/>
      <c r="BE143" s="202"/>
      <c r="BF143" s="202"/>
      <c r="BG143" s="202"/>
      <c r="BH143" s="202"/>
      <c r="BI143" s="202"/>
      <c r="BJ143" s="202"/>
      <c r="BK143" s="202"/>
      <c r="BL143" s="202"/>
      <c r="BM143" s="202"/>
      <c r="BN143" s="202"/>
      <c r="BO143" s="202"/>
      <c r="BP143" s="182"/>
    </row>
    <row r="144" spans="1:68" ht="14.25" hidden="1" customHeight="1" x14ac:dyDescent="0.3">
      <c r="A144" s="982"/>
      <c r="D144" s="944"/>
      <c r="E144" s="183"/>
      <c r="F144" s="185" t="s">
        <v>403</v>
      </c>
      <c r="G144" s="186">
        <v>3819</v>
      </c>
      <c r="H144" s="186">
        <v>4042</v>
      </c>
      <c r="I144" s="186">
        <v>2773</v>
      </c>
      <c r="J144" s="186">
        <v>781</v>
      </c>
      <c r="K144" s="186">
        <v>1379</v>
      </c>
      <c r="L144" s="187">
        <v>120</v>
      </c>
      <c r="M144" s="187">
        <v>54</v>
      </c>
      <c r="N144" s="187">
        <v>55</v>
      </c>
      <c r="O144" s="187">
        <v>45</v>
      </c>
      <c r="P144" s="187">
        <v>5244</v>
      </c>
      <c r="Q144" s="187">
        <v>10</v>
      </c>
      <c r="R144" s="187">
        <v>4653</v>
      </c>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182"/>
    </row>
    <row r="145" spans="1:68" ht="14.25" hidden="1" customHeight="1" x14ac:dyDescent="0.3">
      <c r="A145" s="982"/>
      <c r="D145" s="944" t="s">
        <v>412</v>
      </c>
      <c r="E145" s="183"/>
      <c r="F145" s="185" t="s">
        <v>404</v>
      </c>
      <c r="G145" s="188">
        <v>145781.23499999999</v>
      </c>
      <c r="H145" s="188">
        <v>249883.5609999999</v>
      </c>
      <c r="I145" s="188">
        <v>276091.58200000005</v>
      </c>
      <c r="J145" s="188">
        <v>201793.09799999991</v>
      </c>
      <c r="K145" s="188">
        <v>219898.57100000005</v>
      </c>
      <c r="L145" s="205">
        <v>275119.49599999998</v>
      </c>
      <c r="M145" s="205">
        <v>312803.0780000001</v>
      </c>
      <c r="N145" s="205">
        <v>281621.354208</v>
      </c>
      <c r="O145" s="205">
        <v>283069.39843200002</v>
      </c>
      <c r="P145" s="205">
        <v>187494.43719500001</v>
      </c>
      <c r="Q145" s="205">
        <v>162655.06445999999</v>
      </c>
      <c r="R145" s="205">
        <v>113121.93489999999</v>
      </c>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2"/>
      <c r="BL145" s="202"/>
      <c r="BM145" s="202"/>
      <c r="BN145" s="202"/>
      <c r="BO145" s="202"/>
      <c r="BP145" s="182"/>
    </row>
    <row r="146" spans="1:68" ht="14.25" hidden="1" customHeight="1" x14ac:dyDescent="0.3">
      <c r="A146" s="982"/>
      <c r="D146" s="944"/>
      <c r="E146" s="183"/>
      <c r="F146" s="185" t="s">
        <v>405</v>
      </c>
      <c r="G146" s="186">
        <v>0.32700000000000001</v>
      </c>
      <c r="H146" s="186">
        <v>95</v>
      </c>
      <c r="I146" s="186">
        <v>102.08</v>
      </c>
      <c r="J146" s="186">
        <v>1.4770000000000001</v>
      </c>
      <c r="K146" s="186">
        <v>3.899</v>
      </c>
      <c r="L146" s="187">
        <v>1.177</v>
      </c>
      <c r="M146" s="187">
        <v>0</v>
      </c>
      <c r="N146" s="187">
        <v>0</v>
      </c>
      <c r="O146" s="187">
        <v>0.87678</v>
      </c>
      <c r="P146" s="187">
        <v>4.7019399999999996</v>
      </c>
      <c r="Q146" s="187">
        <v>0.5</v>
      </c>
      <c r="R146" s="187">
        <v>9.0071499999999993</v>
      </c>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202"/>
      <c r="AS146" s="202"/>
      <c r="AT146" s="202"/>
      <c r="AU146" s="202"/>
      <c r="AV146" s="202"/>
      <c r="AW146" s="202"/>
      <c r="AX146" s="202"/>
      <c r="AY146" s="202"/>
      <c r="AZ146" s="202"/>
      <c r="BA146" s="202"/>
      <c r="BB146" s="202"/>
      <c r="BC146" s="202"/>
      <c r="BD146" s="202"/>
      <c r="BE146" s="202"/>
      <c r="BF146" s="202"/>
      <c r="BG146" s="202"/>
      <c r="BH146" s="202"/>
      <c r="BI146" s="202"/>
      <c r="BJ146" s="202"/>
      <c r="BK146" s="202"/>
      <c r="BL146" s="202"/>
      <c r="BM146" s="202"/>
      <c r="BN146" s="202"/>
      <c r="BO146" s="202"/>
      <c r="BP146" s="182"/>
    </row>
    <row r="147" spans="1:68" ht="14.25" hidden="1" customHeight="1" x14ac:dyDescent="0.3">
      <c r="A147" s="982"/>
      <c r="D147" s="944"/>
      <c r="E147" s="183"/>
      <c r="F147" s="185" t="s">
        <v>454</v>
      </c>
      <c r="G147" s="206">
        <v>27658.101000000017</v>
      </c>
      <c r="H147" s="206">
        <v>31761.237999999979</v>
      </c>
      <c r="I147" s="206">
        <v>30551.026999999987</v>
      </c>
      <c r="J147" s="206">
        <v>31163.52199999999</v>
      </c>
      <c r="K147" s="206">
        <v>35245.369999999995</v>
      </c>
      <c r="L147" s="207">
        <v>30767.182999999997</v>
      </c>
      <c r="M147" s="207">
        <v>32416.964999999993</v>
      </c>
      <c r="N147" s="207">
        <v>61362.83726</v>
      </c>
      <c r="O147" s="207">
        <v>30950.832095999998</v>
      </c>
      <c r="P147" s="207">
        <v>54689.659059999998</v>
      </c>
      <c r="Q147" s="207">
        <v>60920.557809999998</v>
      </c>
      <c r="R147" s="207">
        <v>65689.546759999997</v>
      </c>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202"/>
      <c r="AS147" s="202"/>
      <c r="AT147" s="202"/>
      <c r="AU147" s="202"/>
      <c r="AV147" s="202"/>
      <c r="AW147" s="202"/>
      <c r="AX147" s="202"/>
      <c r="AY147" s="202"/>
      <c r="AZ147" s="202"/>
      <c r="BA147" s="202"/>
      <c r="BB147" s="202"/>
      <c r="BC147" s="202"/>
      <c r="BD147" s="202"/>
      <c r="BE147" s="202"/>
      <c r="BF147" s="202"/>
      <c r="BG147" s="202"/>
      <c r="BH147" s="202"/>
      <c r="BI147" s="202"/>
      <c r="BJ147" s="202"/>
      <c r="BK147" s="202"/>
      <c r="BL147" s="202"/>
      <c r="BM147" s="202"/>
      <c r="BN147" s="202"/>
      <c r="BO147" s="202"/>
      <c r="BP147" s="182"/>
    </row>
    <row r="148" spans="1:68" ht="14.25" hidden="1" customHeight="1" x14ac:dyDescent="0.3">
      <c r="A148" s="982"/>
      <c r="D148" s="944"/>
      <c r="E148" s="183"/>
      <c r="F148" s="185" t="s">
        <v>406</v>
      </c>
      <c r="G148" s="186">
        <v>20719</v>
      </c>
      <c r="H148" s="186">
        <v>23231</v>
      </c>
      <c r="I148" s="186">
        <v>22978</v>
      </c>
      <c r="J148" s="186">
        <v>24800</v>
      </c>
      <c r="K148" s="186">
        <v>20604</v>
      </c>
      <c r="L148" s="187">
        <v>11909</v>
      </c>
      <c r="M148" s="187">
        <v>8408</v>
      </c>
      <c r="N148" s="187">
        <v>12004</v>
      </c>
      <c r="O148" s="187">
        <v>9410</v>
      </c>
      <c r="P148" s="187">
        <v>2473</v>
      </c>
      <c r="Q148" s="187">
        <v>11074</v>
      </c>
      <c r="R148" s="187">
        <v>11222</v>
      </c>
      <c r="S148" s="202"/>
      <c r="T148" s="202"/>
      <c r="U148" s="202"/>
      <c r="V148" s="202"/>
      <c r="W148" s="202"/>
      <c r="X148" s="202"/>
      <c r="Y148" s="202"/>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182"/>
    </row>
    <row r="149" spans="1:68" ht="14.25" hidden="1" customHeight="1" x14ac:dyDescent="0.3">
      <c r="A149" s="982"/>
      <c r="D149" s="944"/>
      <c r="E149" s="183"/>
      <c r="F149" s="185" t="s">
        <v>455</v>
      </c>
      <c r="G149" s="186">
        <v>37.871000000000002</v>
      </c>
      <c r="H149" s="186">
        <v>100.108</v>
      </c>
      <c r="I149" s="186">
        <v>459.59000000000003</v>
      </c>
      <c r="J149" s="186">
        <v>100.00799999999998</v>
      </c>
      <c r="K149" s="186">
        <v>727.63199999999995</v>
      </c>
      <c r="L149" s="187">
        <v>1437.7820000000004</v>
      </c>
      <c r="M149" s="187">
        <v>1770.865</v>
      </c>
      <c r="N149" s="187">
        <v>1938.4321</v>
      </c>
      <c r="O149" s="187">
        <v>1719.3513499999999</v>
      </c>
      <c r="P149" s="187">
        <v>2388.8966999999998</v>
      </c>
      <c r="Q149" s="187">
        <v>1798.4292499999999</v>
      </c>
      <c r="R149" s="187">
        <v>1439.2782999999999</v>
      </c>
      <c r="S149" s="202"/>
      <c r="T149" s="202"/>
      <c r="U149" s="202"/>
      <c r="V149" s="202"/>
      <c r="W149" s="202"/>
      <c r="X149" s="202"/>
      <c r="Y149" s="202"/>
      <c r="Z149" s="202"/>
      <c r="AA149" s="202"/>
      <c r="AB149" s="202"/>
      <c r="AC149" s="202"/>
      <c r="AD149" s="202"/>
      <c r="AE149" s="202"/>
      <c r="AF149" s="202"/>
      <c r="AG149" s="202"/>
      <c r="AH149" s="202"/>
      <c r="AI149" s="202"/>
      <c r="AJ149" s="202"/>
      <c r="AK149" s="202"/>
      <c r="AL149" s="202"/>
      <c r="AM149" s="202"/>
      <c r="AN149" s="202"/>
      <c r="AO149" s="202"/>
      <c r="AP149" s="202"/>
      <c r="AQ149" s="202"/>
      <c r="AR149" s="202"/>
      <c r="AS149" s="202"/>
      <c r="AT149" s="202"/>
      <c r="AU149" s="202"/>
      <c r="AV149" s="202"/>
      <c r="AW149" s="202"/>
      <c r="AX149" s="202"/>
      <c r="AY149" s="202"/>
      <c r="AZ149" s="202"/>
      <c r="BA149" s="202"/>
      <c r="BB149" s="202"/>
      <c r="BC149" s="202"/>
      <c r="BD149" s="202"/>
      <c r="BE149" s="202"/>
      <c r="BF149" s="202"/>
      <c r="BG149" s="202"/>
      <c r="BH149" s="202"/>
      <c r="BI149" s="202"/>
      <c r="BJ149" s="202"/>
      <c r="BK149" s="202"/>
      <c r="BL149" s="202"/>
      <c r="BM149" s="202"/>
      <c r="BN149" s="202"/>
      <c r="BO149" s="202"/>
      <c r="BP149" s="182"/>
    </row>
    <row r="150" spans="1:68" ht="14.25" hidden="1" customHeight="1" x14ac:dyDescent="0.3">
      <c r="A150" s="982"/>
      <c r="D150" s="944"/>
      <c r="E150" s="183"/>
      <c r="F150" s="185" t="s">
        <v>408</v>
      </c>
      <c r="G150" s="186">
        <v>4812</v>
      </c>
      <c r="H150" s="186">
        <v>17067</v>
      </c>
      <c r="I150" s="186">
        <v>7182</v>
      </c>
      <c r="J150" s="186">
        <v>426</v>
      </c>
      <c r="K150" s="186">
        <v>434</v>
      </c>
      <c r="L150" s="187">
        <v>366</v>
      </c>
      <c r="M150" s="187">
        <v>431</v>
      </c>
      <c r="N150" s="187">
        <v>461</v>
      </c>
      <c r="O150" s="187">
        <v>362</v>
      </c>
      <c r="P150" s="187">
        <v>214</v>
      </c>
      <c r="Q150" s="187">
        <v>1178</v>
      </c>
      <c r="R150" s="187">
        <v>539</v>
      </c>
      <c r="S150" s="202"/>
      <c r="T150" s="202"/>
      <c r="U150" s="202"/>
      <c r="V150" s="202"/>
      <c r="W150" s="202"/>
      <c r="X150" s="202"/>
      <c r="Y150" s="202"/>
      <c r="Z150" s="202"/>
      <c r="AA150" s="202"/>
      <c r="AB150" s="202"/>
      <c r="AC150" s="202"/>
      <c r="AD150" s="202"/>
      <c r="AE150" s="202"/>
      <c r="AF150" s="202"/>
      <c r="AG150" s="202"/>
      <c r="AH150" s="202"/>
      <c r="AI150" s="202"/>
      <c r="AJ150" s="202"/>
      <c r="AK150" s="202"/>
      <c r="AL150" s="202"/>
      <c r="AM150" s="202"/>
      <c r="AN150" s="202"/>
      <c r="AO150" s="202"/>
      <c r="AP150" s="202"/>
      <c r="AQ150" s="202"/>
      <c r="AR150" s="202"/>
      <c r="AS150" s="202"/>
      <c r="AT150" s="202"/>
      <c r="AU150" s="202"/>
      <c r="AV150" s="202"/>
      <c r="AW150" s="202"/>
      <c r="AX150" s="202"/>
      <c r="AY150" s="202"/>
      <c r="AZ150" s="202"/>
      <c r="BA150" s="202"/>
      <c r="BB150" s="202"/>
      <c r="BC150" s="202"/>
      <c r="BD150" s="202"/>
      <c r="BE150" s="202"/>
      <c r="BF150" s="202"/>
      <c r="BG150" s="202"/>
      <c r="BH150" s="202"/>
      <c r="BI150" s="202"/>
      <c r="BJ150" s="202"/>
      <c r="BK150" s="202"/>
      <c r="BL150" s="202"/>
      <c r="BM150" s="202"/>
      <c r="BN150" s="202"/>
      <c r="BO150" s="202"/>
      <c r="BP150" s="182"/>
    </row>
    <row r="151" spans="1:68" ht="14.25" hidden="1" customHeight="1" x14ac:dyDescent="0.3">
      <c r="A151" s="982"/>
      <c r="D151" s="944"/>
      <c r="E151" s="183"/>
      <c r="F151" s="185" t="s">
        <v>409</v>
      </c>
      <c r="G151" s="186">
        <v>388956.14500000002</v>
      </c>
      <c r="H151" s="186">
        <v>435019.57799999998</v>
      </c>
      <c r="I151" s="186">
        <v>340423.04099999997</v>
      </c>
      <c r="J151" s="186">
        <v>358676.54300000001</v>
      </c>
      <c r="K151" s="186">
        <v>362894.54800000001</v>
      </c>
      <c r="L151" s="187">
        <v>374934.31599999999</v>
      </c>
      <c r="M151" s="187">
        <v>392030.53500000003</v>
      </c>
      <c r="N151" s="187">
        <v>657756.98217500001</v>
      </c>
      <c r="O151" s="187">
        <v>526102.68646999996</v>
      </c>
      <c r="P151" s="187">
        <v>567598.21365000005</v>
      </c>
      <c r="Q151" s="187">
        <v>867319.92986000003</v>
      </c>
      <c r="R151" s="187">
        <v>604131.66418999992</v>
      </c>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202"/>
      <c r="AS151" s="202"/>
      <c r="AT151" s="202"/>
      <c r="AU151" s="202"/>
      <c r="AV151" s="202"/>
      <c r="AW151" s="202"/>
      <c r="AX151" s="202"/>
      <c r="AY151" s="202"/>
      <c r="AZ151" s="202"/>
      <c r="BA151" s="202"/>
      <c r="BB151" s="202"/>
      <c r="BC151" s="202"/>
      <c r="BD151" s="202"/>
      <c r="BE151" s="202"/>
      <c r="BF151" s="202"/>
      <c r="BG151" s="202"/>
      <c r="BH151" s="202"/>
      <c r="BI151" s="202"/>
      <c r="BJ151" s="202"/>
      <c r="BK151" s="202"/>
      <c r="BL151" s="202"/>
      <c r="BM151" s="202"/>
      <c r="BN151" s="202"/>
      <c r="BO151" s="202"/>
      <c r="BP151" s="182"/>
    </row>
    <row r="152" spans="1:68" ht="13.5" hidden="1" customHeight="1" x14ac:dyDescent="0.3">
      <c r="A152" s="982"/>
      <c r="D152" s="944"/>
      <c r="E152" s="183"/>
      <c r="F152" s="185" t="s">
        <v>410</v>
      </c>
      <c r="G152" s="186">
        <v>76350.899000000005</v>
      </c>
      <c r="H152" s="186">
        <v>83205.762000000017</v>
      </c>
      <c r="I152" s="186">
        <v>76043.911000000007</v>
      </c>
      <c r="J152" s="186">
        <v>69153.828000000009</v>
      </c>
      <c r="K152" s="186">
        <v>70939.362000000008</v>
      </c>
      <c r="L152" s="187">
        <v>61315.491000000002</v>
      </c>
      <c r="M152" s="187">
        <v>62301.592000000004</v>
      </c>
      <c r="N152" s="187">
        <v>36158.52274</v>
      </c>
      <c r="O152" s="187">
        <v>74010.882603999999</v>
      </c>
      <c r="P152" s="187">
        <v>53489.69584</v>
      </c>
      <c r="Q152" s="187">
        <v>88071.677830999994</v>
      </c>
      <c r="R152" s="187">
        <v>53098.379740000004</v>
      </c>
      <c r="S152" s="202"/>
      <c r="T152" s="202"/>
      <c r="U152" s="202"/>
      <c r="V152" s="202"/>
      <c r="W152" s="202"/>
      <c r="X152" s="202"/>
      <c r="Y152" s="202"/>
      <c r="Z152" s="202"/>
      <c r="AA152" s="202"/>
      <c r="AB152" s="202"/>
      <c r="AC152" s="202"/>
      <c r="AD152" s="202"/>
      <c r="AE152" s="202"/>
      <c r="AF152" s="202"/>
      <c r="AG152" s="202"/>
      <c r="AH152" s="202"/>
      <c r="AI152" s="202"/>
      <c r="AJ152" s="202"/>
      <c r="AK152" s="202"/>
      <c r="AL152" s="202"/>
      <c r="AM152" s="202"/>
      <c r="AN152" s="202"/>
      <c r="AO152" s="202"/>
      <c r="AP152" s="202"/>
      <c r="AQ152" s="202"/>
      <c r="AR152" s="202"/>
      <c r="AS152" s="202"/>
      <c r="AT152" s="202"/>
      <c r="AU152" s="202"/>
      <c r="AV152" s="202"/>
      <c r="AW152" s="202"/>
      <c r="AX152" s="202"/>
      <c r="AY152" s="202"/>
      <c r="AZ152" s="202"/>
      <c r="BA152" s="202"/>
      <c r="BB152" s="202"/>
      <c r="BC152" s="202"/>
      <c r="BD152" s="202"/>
      <c r="BE152" s="202"/>
      <c r="BF152" s="202"/>
      <c r="BG152" s="202"/>
      <c r="BH152" s="202"/>
      <c r="BI152" s="202"/>
      <c r="BJ152" s="202"/>
      <c r="BK152" s="202"/>
      <c r="BL152" s="202"/>
      <c r="BM152" s="202"/>
      <c r="BN152" s="202"/>
      <c r="BO152" s="202"/>
      <c r="BP152" s="182"/>
    </row>
    <row r="153" spans="1:68" ht="13.5" hidden="1" customHeight="1" x14ac:dyDescent="0.3">
      <c r="A153" s="960"/>
      <c r="B153" s="960"/>
      <c r="C153" s="960"/>
      <c r="D153" s="944"/>
      <c r="E153" s="183"/>
      <c r="F153" s="185"/>
      <c r="G153" s="186"/>
      <c r="H153" s="186"/>
      <c r="I153" s="186"/>
      <c r="J153" s="186"/>
      <c r="K153" s="186"/>
      <c r="L153" s="187"/>
      <c r="M153" s="187"/>
      <c r="N153" s="187"/>
      <c r="O153" s="187"/>
      <c r="P153" s="187"/>
      <c r="Q153" s="187"/>
      <c r="R153" s="187"/>
      <c r="S153" s="202"/>
      <c r="T153" s="202"/>
      <c r="U153" s="202"/>
      <c r="V153" s="202"/>
      <c r="W153" s="202"/>
      <c r="X153" s="202"/>
      <c r="Y153" s="202"/>
      <c r="Z153" s="202"/>
      <c r="AA153" s="202"/>
      <c r="AB153" s="202"/>
      <c r="AC153" s="202"/>
      <c r="AD153" s="202"/>
      <c r="AE153" s="202"/>
      <c r="AF153" s="202"/>
      <c r="AG153" s="202"/>
      <c r="AH153" s="202"/>
      <c r="AI153" s="202"/>
      <c r="AJ153" s="202"/>
      <c r="AK153" s="202"/>
      <c r="AL153" s="202"/>
      <c r="AM153" s="202"/>
      <c r="AN153" s="202"/>
      <c r="AO153" s="202"/>
      <c r="AP153" s="202"/>
      <c r="AQ153" s="202"/>
      <c r="AR153" s="202"/>
      <c r="AS153" s="202"/>
      <c r="AT153" s="202"/>
      <c r="AU153" s="202"/>
      <c r="AV153" s="202"/>
      <c r="AW153" s="202"/>
      <c r="AX153" s="202"/>
      <c r="AY153" s="202"/>
      <c r="AZ153" s="202"/>
      <c r="BA153" s="202"/>
      <c r="BB153" s="202"/>
      <c r="BC153" s="202"/>
      <c r="BD153" s="202"/>
      <c r="BE153" s="202"/>
      <c r="BF153" s="202"/>
      <c r="BG153" s="202"/>
      <c r="BH153" s="202"/>
      <c r="BI153" s="202"/>
      <c r="BJ153" s="202"/>
      <c r="BK153" s="202"/>
      <c r="BL153" s="202"/>
      <c r="BM153" s="202"/>
      <c r="BN153" s="202"/>
      <c r="BO153" s="202"/>
      <c r="BP153" s="182"/>
    </row>
    <row r="154" spans="1:68" ht="14.25" customHeight="1" x14ac:dyDescent="0.3">
      <c r="A154" s="960"/>
      <c r="B154" s="960"/>
      <c r="C154" s="960"/>
      <c r="D154" s="944"/>
      <c r="E154" s="183"/>
      <c r="F154" s="184" t="s">
        <v>456</v>
      </c>
      <c r="G154" s="179"/>
      <c r="H154" s="179"/>
      <c r="I154" s="179"/>
      <c r="J154" s="179"/>
      <c r="K154" s="179"/>
      <c r="L154" s="180"/>
      <c r="M154" s="181"/>
      <c r="N154" s="181"/>
      <c r="O154" s="181"/>
      <c r="P154" s="181"/>
      <c r="Q154" s="181"/>
      <c r="R154" s="181"/>
      <c r="S154" s="181"/>
      <c r="T154" s="181"/>
      <c r="U154" s="181"/>
      <c r="V154" s="181"/>
      <c r="W154" s="181"/>
      <c r="X154" s="181"/>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81"/>
      <c r="AX154" s="181"/>
      <c r="AY154" s="181"/>
      <c r="AZ154" s="181"/>
      <c r="BA154" s="181"/>
      <c r="BB154" s="181"/>
      <c r="BC154" s="181"/>
      <c r="BD154" s="181"/>
      <c r="BE154" s="181"/>
      <c r="BF154" s="181"/>
      <c r="BG154" s="181"/>
      <c r="BH154" s="181"/>
      <c r="BI154" s="181"/>
      <c r="BJ154" s="181"/>
      <c r="BK154" s="181"/>
      <c r="BL154" s="181"/>
      <c r="BM154" s="181"/>
      <c r="BN154" s="181"/>
      <c r="BO154" s="181"/>
      <c r="BP154" s="182"/>
    </row>
    <row r="155" spans="1:68" ht="14.25" customHeight="1" x14ac:dyDescent="0.3">
      <c r="A155" s="1199" t="s">
        <v>452</v>
      </c>
      <c r="B155" s="964"/>
      <c r="C155" s="964"/>
      <c r="D155" s="944"/>
      <c r="E155" s="183"/>
      <c r="F155" s="185" t="s">
        <v>413</v>
      </c>
      <c r="G155" s="190">
        <v>4.895518124970005</v>
      </c>
      <c r="H155" s="190">
        <v>5.3379665786700023</v>
      </c>
      <c r="I155" s="190">
        <v>4.9313500236000012</v>
      </c>
      <c r="J155" s="190">
        <v>5.1434496333000039</v>
      </c>
      <c r="K155" s="190">
        <v>5.6586117693600002</v>
      </c>
      <c r="L155" s="191">
        <v>5.9792322328200012</v>
      </c>
      <c r="M155" s="191">
        <v>5.8720794432299988</v>
      </c>
      <c r="N155" s="191">
        <v>6.0342910774502396</v>
      </c>
      <c r="O155" s="191">
        <v>6.4412943479101799</v>
      </c>
      <c r="P155" s="191">
        <v>6.4224338951767495</v>
      </c>
      <c r="Q155" s="191">
        <v>6.4986761916816302</v>
      </c>
      <c r="R155" s="191">
        <v>6.55878148572834</v>
      </c>
      <c r="S155" s="191">
        <f>S140*(1-$I$134/100)/1000000</f>
        <v>5.9578210989000002</v>
      </c>
      <c r="T155" s="209">
        <f t="shared" ref="T155:V155" si="166">S155*1.01</f>
        <v>6.017399309889</v>
      </c>
      <c r="U155" s="209">
        <f t="shared" si="166"/>
        <v>6.07757330298789</v>
      </c>
      <c r="V155" s="209">
        <f t="shared" si="166"/>
        <v>6.138349036017769</v>
      </c>
      <c r="W155" s="381">
        <f>V155</f>
        <v>6.138349036017769</v>
      </c>
      <c r="X155" s="381">
        <f t="shared" ref="X155:AA155" si="167">W155</f>
        <v>6.138349036017769</v>
      </c>
      <c r="Y155" s="381">
        <f t="shared" si="167"/>
        <v>6.138349036017769</v>
      </c>
      <c r="Z155" s="381">
        <f t="shared" si="167"/>
        <v>6.138349036017769</v>
      </c>
      <c r="AA155" s="381">
        <f t="shared" si="167"/>
        <v>6.138349036017769</v>
      </c>
      <c r="AB155" s="381">
        <f t="shared" ref="AB155:AU155" si="168">AA155</f>
        <v>6.138349036017769</v>
      </c>
      <c r="AC155" s="381">
        <f t="shared" si="168"/>
        <v>6.138349036017769</v>
      </c>
      <c r="AD155" s="381">
        <f t="shared" si="168"/>
        <v>6.138349036017769</v>
      </c>
      <c r="AE155" s="381">
        <f t="shared" si="168"/>
        <v>6.138349036017769</v>
      </c>
      <c r="AF155" s="381">
        <f t="shared" si="168"/>
        <v>6.138349036017769</v>
      </c>
      <c r="AG155" s="381">
        <f t="shared" si="168"/>
        <v>6.138349036017769</v>
      </c>
      <c r="AH155" s="381">
        <f t="shared" si="168"/>
        <v>6.138349036017769</v>
      </c>
      <c r="AI155" s="381">
        <f t="shared" si="168"/>
        <v>6.138349036017769</v>
      </c>
      <c r="AJ155" s="381">
        <f t="shared" si="168"/>
        <v>6.138349036017769</v>
      </c>
      <c r="AK155" s="381">
        <f t="shared" si="168"/>
        <v>6.138349036017769</v>
      </c>
      <c r="AL155" s="381">
        <f t="shared" si="168"/>
        <v>6.138349036017769</v>
      </c>
      <c r="AM155" s="381">
        <f t="shared" si="168"/>
        <v>6.138349036017769</v>
      </c>
      <c r="AN155" s="381">
        <f t="shared" si="168"/>
        <v>6.138349036017769</v>
      </c>
      <c r="AO155" s="381">
        <f t="shared" si="168"/>
        <v>6.138349036017769</v>
      </c>
      <c r="AP155" s="381">
        <f t="shared" si="168"/>
        <v>6.138349036017769</v>
      </c>
      <c r="AQ155" s="381">
        <f t="shared" si="168"/>
        <v>6.138349036017769</v>
      </c>
      <c r="AR155" s="381">
        <f t="shared" si="168"/>
        <v>6.138349036017769</v>
      </c>
      <c r="AS155" s="381">
        <f t="shared" si="168"/>
        <v>6.138349036017769</v>
      </c>
      <c r="AT155" s="381">
        <f t="shared" si="168"/>
        <v>6.138349036017769</v>
      </c>
      <c r="AU155" s="381">
        <f t="shared" si="168"/>
        <v>6.138349036017769</v>
      </c>
      <c r="AV155" s="381">
        <f t="shared" ref="AV155" si="169">AU155</f>
        <v>6.138349036017769</v>
      </c>
      <c r="AW155" s="381">
        <f t="shared" ref="AW155" si="170">AV155</f>
        <v>6.138349036017769</v>
      </c>
      <c r="AX155" s="381">
        <f t="shared" ref="AX155" si="171">AW155</f>
        <v>6.138349036017769</v>
      </c>
      <c r="AY155" s="381">
        <f t="shared" ref="AY155" si="172">AX155</f>
        <v>6.138349036017769</v>
      </c>
      <c r="AZ155" s="381">
        <f t="shared" ref="AZ155" si="173">AY155</f>
        <v>6.138349036017769</v>
      </c>
      <c r="BA155" s="381">
        <f t="shared" ref="BA155" si="174">AZ155</f>
        <v>6.138349036017769</v>
      </c>
      <c r="BB155" s="381">
        <f t="shared" ref="BB155" si="175">BA155</f>
        <v>6.138349036017769</v>
      </c>
      <c r="BC155" s="381">
        <f t="shared" ref="BC155" si="176">BB155</f>
        <v>6.138349036017769</v>
      </c>
      <c r="BD155" s="381">
        <f t="shared" ref="BD155" si="177">BC155</f>
        <v>6.138349036017769</v>
      </c>
      <c r="BE155" s="381">
        <f t="shared" ref="BE155" si="178">BD155</f>
        <v>6.138349036017769</v>
      </c>
      <c r="BF155" s="381">
        <f t="shared" ref="BF155" si="179">BE155</f>
        <v>6.138349036017769</v>
      </c>
      <c r="BG155" s="381">
        <f t="shared" ref="BG155" si="180">BF155</f>
        <v>6.138349036017769</v>
      </c>
      <c r="BH155" s="381">
        <f t="shared" ref="BH155" si="181">BG155</f>
        <v>6.138349036017769</v>
      </c>
      <c r="BI155" s="381">
        <f t="shared" ref="BI155" si="182">BH155</f>
        <v>6.138349036017769</v>
      </c>
      <c r="BJ155" s="381">
        <f t="shared" ref="BJ155" si="183">BI155</f>
        <v>6.138349036017769</v>
      </c>
      <c r="BK155" s="381">
        <f t="shared" ref="BK155" si="184">BJ155</f>
        <v>6.138349036017769</v>
      </c>
      <c r="BL155" s="381">
        <f t="shared" ref="BL155" si="185">BK155</f>
        <v>6.138349036017769</v>
      </c>
      <c r="BM155" s="381">
        <f t="shared" ref="BM155" si="186">BL155</f>
        <v>6.138349036017769</v>
      </c>
      <c r="BN155" s="381">
        <f t="shared" ref="BN155" si="187">BM155</f>
        <v>6.138349036017769</v>
      </c>
      <c r="BO155" s="381">
        <f t="shared" ref="BO155" si="188">BN155</f>
        <v>6.138349036017769</v>
      </c>
      <c r="BP155" s="182"/>
    </row>
    <row r="156" spans="1:68" ht="14.25" customHeight="1" x14ac:dyDescent="0.3">
      <c r="A156" s="982"/>
      <c r="D156" s="944"/>
      <c r="E156" s="183"/>
      <c r="F156" s="185" t="s">
        <v>414</v>
      </c>
      <c r="G156" s="190">
        <v>0.11515451013000001</v>
      </c>
      <c r="H156" s="190">
        <v>0.15689861648999989</v>
      </c>
      <c r="I156" s="190">
        <v>0.14542552826999999</v>
      </c>
      <c r="J156" s="190">
        <v>0.17481652650000004</v>
      </c>
      <c r="K156" s="190">
        <v>0.19688994665999995</v>
      </c>
      <c r="L156" s="208">
        <v>0.10691755741206391</v>
      </c>
      <c r="M156" s="208">
        <v>0.10347971136207058</v>
      </c>
      <c r="N156" s="208">
        <v>0.12933425677374569</v>
      </c>
      <c r="O156" s="208">
        <v>0.15438395645991049</v>
      </c>
      <c r="P156" s="208">
        <v>0.2012267057146741</v>
      </c>
      <c r="Q156" s="208">
        <v>0.24391120485460657</v>
      </c>
      <c r="R156" s="208">
        <v>0.2146640968001953</v>
      </c>
      <c r="S156" s="209">
        <f>R156*(1+Driver_macroeconómicos_Agricult!H$40)</f>
        <v>0.21361056392682454</v>
      </c>
      <c r="T156" s="209">
        <f>S156*(1+Driver_macroeconómicos_Agricult!I$40)</f>
        <v>0.20308375212409918</v>
      </c>
      <c r="U156" s="209">
        <f>T156*(1+Driver_macroeconómicos_Agricult!J$40)</f>
        <v>0.2393607880567398</v>
      </c>
      <c r="V156" s="209">
        <f>U156*(1+Driver_macroeconómicos_Agricult!K$40)</f>
        <v>0.23341465749310975</v>
      </c>
      <c r="W156" s="381">
        <f>1.01*V156</f>
        <v>0.23574880406804086</v>
      </c>
      <c r="X156" s="381">
        <f>1.01*W156</f>
        <v>0.23810629210872128</v>
      </c>
      <c r="Y156" s="381">
        <f t="shared" ref="Y156:Z156" si="189">1.01*X156</f>
        <v>0.2404873550298085</v>
      </c>
      <c r="Z156" s="381">
        <f t="shared" si="189"/>
        <v>0.24289222858010659</v>
      </c>
      <c r="AA156" s="381">
        <f>1.01*Z156</f>
        <v>0.24532115086590767</v>
      </c>
      <c r="AB156" s="381">
        <f>1.01*AA156</f>
        <v>0.24777436237456674</v>
      </c>
      <c r="AC156" s="381">
        <f t="shared" ref="AC156" si="190">1.01*AB156</f>
        <v>0.25025210599831238</v>
      </c>
      <c r="AD156" s="381">
        <f>1.01*AC156</f>
        <v>0.25275462705829549</v>
      </c>
      <c r="AE156" s="381">
        <f>1.01*AD156</f>
        <v>0.25528217332887843</v>
      </c>
      <c r="AF156" s="381">
        <f t="shared" ref="AF156" si="191">1.01*AE156</f>
        <v>0.25783499506216723</v>
      </c>
      <c r="AG156" s="209">
        <f>AF156*(1+Driver_macroeconómicos_Agricult!V$40)</f>
        <v>0.26442319261586417</v>
      </c>
      <c r="AH156" s="209">
        <f>AG156*(1+Driver_macroeconómicos_Agricult!W$40)</f>
        <v>0.26944644125972717</v>
      </c>
      <c r="AI156" s="209">
        <f>AH156*(1+Driver_macroeconómicos_Agricult!X$40)</f>
        <v>0.27320158401019423</v>
      </c>
      <c r="AJ156" s="209">
        <f>AI156*(1+Driver_macroeconómicos_Agricult!Y$40)</f>
        <v>0.28130781924425075</v>
      </c>
      <c r="AK156" s="209">
        <f>AJ156*(1+Driver_macroeconómicos_Agricult!Z$40)</f>
        <v>0.28859768756985871</v>
      </c>
      <c r="AL156" s="209">
        <f>AK156*(1+Driver_macroeconómicos_Agricult!AA$40)</f>
        <v>0.29535890757322503</v>
      </c>
      <c r="AM156" s="209">
        <f>AL156*(1+Driver_macroeconómicos_Agricult!AB$40)</f>
        <v>0.30188471643059656</v>
      </c>
      <c r="AN156" s="209">
        <f>AM156*(1+Driver_macroeconómicos_Agricult!AC$40)</f>
        <v>0.30694334815927832</v>
      </c>
      <c r="AO156" s="209">
        <f>AN156*(1+Driver_macroeconómicos_Agricult!AD$40)</f>
        <v>0.31341033727897438</v>
      </c>
      <c r="AP156" s="209">
        <f>AO156*(1+Driver_macroeconómicos_Agricult!AE$40)</f>
        <v>0.31909988281386342</v>
      </c>
      <c r="AQ156" s="209">
        <f>AP156*(1+Driver_macroeconómicos_Agricult!AF$40)</f>
        <v>0.32666868318353931</v>
      </c>
      <c r="AR156" s="209">
        <f>AQ156*(1+Driver_macroeconómicos_Agricult!AG$40)</f>
        <v>0.33280253373059726</v>
      </c>
      <c r="AS156" s="209">
        <f>AR156*(1+Driver_macroeconómicos_Agricult!AH$40)</f>
        <v>0.33874705808284311</v>
      </c>
      <c r="AT156" s="209">
        <f>AS156*(1+Driver_macroeconómicos_Agricult!AI$40)</f>
        <v>0.34487883278384729</v>
      </c>
      <c r="AU156" s="209">
        <f>AT156*(1+Driver_macroeconómicos_Agricult!AJ$40)</f>
        <v>0.35105663719161195</v>
      </c>
      <c r="AV156" s="209">
        <f>AU156*(1+Driver_macroeconómicos_Agricult!AK$40)</f>
        <v>0.35810466410428549</v>
      </c>
      <c r="AW156" s="209">
        <f>AV156*(1+Driver_macroeconómicos_Agricult!AL$40)</f>
        <v>0.36456250825699243</v>
      </c>
      <c r="AX156" s="209">
        <f>AW156*(1+Driver_macroeconómicos_Agricult!AM$40)</f>
        <v>0.37104959467767096</v>
      </c>
      <c r="AY156" s="209">
        <f>AX156*(1+Driver_macroeconómicos_Agricult!AN$40)</f>
        <v>0.37770642722132913</v>
      </c>
      <c r="AZ156" s="209">
        <f>AY156*(1+Driver_macroeconómicos_Agricult!AO$40)</f>
        <v>0.38440745630198248</v>
      </c>
      <c r="BA156" s="209">
        <f>AZ156*(1+Driver_macroeconómicos_Agricult!AP$40)</f>
        <v>0.39129458243461984</v>
      </c>
      <c r="BB156" s="209">
        <f>BA156*(1+Driver_macroeconómicos_Agricult!AQ$40)</f>
        <v>0.39797175855918726</v>
      </c>
      <c r="BC156" s="209">
        <f>BB156*(1+Driver_macroeconómicos_Agricult!AR$40)</f>
        <v>0.40472057819084878</v>
      </c>
      <c r="BD156" s="209">
        <f>BC156*(1+Driver_macroeconómicos_Agricult!AS$40)</f>
        <v>0.4115350142096868</v>
      </c>
      <c r="BE156" s="209">
        <f>BD156*(1+Driver_macroeconómicos_Agricult!AT$40)</f>
        <v>0.41837824224718523</v>
      </c>
      <c r="BF156" s="209">
        <f>BE156*(1+Driver_macroeconómicos_Agricult!AU$40)</f>
        <v>0.42521687744617587</v>
      </c>
      <c r="BG156" s="209">
        <f>BF156*(1+Driver_macroeconómicos_Agricult!AV$40)</f>
        <v>0.43207389246963934</v>
      </c>
      <c r="BH156" s="209">
        <f>BG156*(1+Driver_macroeconómicos_Agricult!AW$40)</f>
        <v>0.43895889293993379</v>
      </c>
      <c r="BI156" s="209">
        <f>BH156*(1+Driver_macroeconómicos_Agricult!AX$40)</f>
        <v>0.44587302439938631</v>
      </c>
      <c r="BJ156" s="209">
        <f>BI156*(1+Driver_macroeconómicos_Agricult!AY$40)</f>
        <v>0.45279568554072197</v>
      </c>
      <c r="BK156" s="209">
        <f>BJ156*(1+Driver_macroeconómicos_Agricult!AZ$40)</f>
        <v>0.45972403741408635</v>
      </c>
      <c r="BL156" s="209">
        <f>BK156*(1+Driver_macroeconómicos_Agricult!BA$40)</f>
        <v>0.46664760050298321</v>
      </c>
      <c r="BM156" s="209">
        <f>BL156*(1+Driver_macroeconómicos_Agricult!BB$40)</f>
        <v>0.47357986243178296</v>
      </c>
      <c r="BN156" s="209">
        <f>BM156*(1+Driver_macroeconómicos_Agricult!BC$40)</f>
        <v>0.48051615245046136</v>
      </c>
      <c r="BO156" s="209">
        <f>BN156*(1+Driver_macroeconómicos_Agricult!BD$40)</f>
        <v>0.48745137401845479</v>
      </c>
      <c r="BP156" s="182"/>
    </row>
    <row r="157" spans="1:68" ht="14.25" customHeight="1" x14ac:dyDescent="0.3">
      <c r="A157" s="982"/>
      <c r="D157" s="944"/>
      <c r="E157" s="183"/>
      <c r="F157" s="185" t="s">
        <v>415</v>
      </c>
      <c r="G157" s="190">
        <v>2.1138937380000011E-2</v>
      </c>
      <c r="H157" s="190">
        <v>3.5100480690000019E-2</v>
      </c>
      <c r="I157" s="190">
        <v>2.7879321690000004E-2</v>
      </c>
      <c r="J157" s="190">
        <v>1.204404894E-2</v>
      </c>
      <c r="K157" s="190">
        <v>8.9374982400000063E-3</v>
      </c>
      <c r="L157" s="191">
        <v>6.4029685499999971E-3</v>
      </c>
      <c r="M157" s="191">
        <v>5.2310560499999976E-3</v>
      </c>
      <c r="N157" s="191">
        <v>5.0802532832700002E-3</v>
      </c>
      <c r="O157" s="191">
        <v>4.5782228497500002E-3</v>
      </c>
      <c r="P157" s="191">
        <v>1.83901200912E-3</v>
      </c>
      <c r="Q157" s="191">
        <v>1.9353822414299999E-3</v>
      </c>
      <c r="R157" s="191">
        <v>4.0226835042900004E-3</v>
      </c>
      <c r="S157" s="209">
        <f>R157*(1+Driver_macroeconómicos_Agricult!H$40)</f>
        <v>4.0029408953763147E-3</v>
      </c>
      <c r="T157" s="209">
        <f>S157*(1+Driver_macroeconómicos_Agricult!I$40)</f>
        <v>3.8056744086987435E-3</v>
      </c>
      <c r="U157" s="209">
        <f>T157*(1+Driver_macroeconómicos_Agricult!J$40)</f>
        <v>4.4854855005675362E-3</v>
      </c>
      <c r="V157" s="209">
        <f>U157*(1+Driver_macroeconómicos_Agricult!K$40)</f>
        <v>4.3740583840202688E-3</v>
      </c>
      <c r="W157" s="209">
        <f>V157*(1+Driver_macroeconómicos_Agricult!L$40)</f>
        <v>5.1477137832883439E-3</v>
      </c>
      <c r="X157" s="209">
        <f>W157*(1+Driver_macroeconómicos_Agricult!M$40)</f>
        <v>5.4377728313434329E-3</v>
      </c>
      <c r="Y157" s="209">
        <f>X157*(1+Driver_macroeconómicos_Agricult!N$40)</f>
        <v>5.7571744392741521E-3</v>
      </c>
      <c r="Z157" s="209">
        <f>Y157*(1+Driver_macroeconómicos_Agricult!O$40)</f>
        <v>6.0330377329810411E-3</v>
      </c>
      <c r="AA157" s="209">
        <f>Z157*(1+Driver_macroeconómicos_Agricult!P$40)</f>
        <v>6.392300531200921E-3</v>
      </c>
      <c r="AB157" s="209">
        <f>AA157*(1+Driver_macroeconómicos_Agricult!Q$40)</f>
        <v>5.9485286303006726E-3</v>
      </c>
      <c r="AC157" s="209">
        <f>AB157*(1+Driver_macroeconómicos_Agricult!R$40)</f>
        <v>6.1758059284482145E-3</v>
      </c>
      <c r="AD157" s="209">
        <f>AC157*(1+Driver_macroeconómicos_Agricult!S$40)</f>
        <v>6.490119439948411E-3</v>
      </c>
      <c r="AE157" s="209">
        <f>AD157*(1+Driver_macroeconómicos_Agricult!T$40)</f>
        <v>6.6836545585732257E-3</v>
      </c>
      <c r="AF157" s="209">
        <f>AE157*(1+Driver_macroeconómicos_Agricult!U$40)</f>
        <v>6.8663108153792602E-3</v>
      </c>
      <c r="AG157" s="209">
        <f>AF157*(1+Driver_macroeconómicos_Agricult!V$40)</f>
        <v>7.0417587296776954E-3</v>
      </c>
      <c r="AH157" s="209">
        <f>AG157*(1+Driver_macroeconómicos_Agricult!W$40)</f>
        <v>7.1755310536532656E-3</v>
      </c>
      <c r="AI157" s="209">
        <f>AH157*(1+Driver_macroeconómicos_Agricult!X$40)</f>
        <v>7.2755329066779423E-3</v>
      </c>
      <c r="AJ157" s="209">
        <f>AI157*(1+Driver_macroeconómicos_Agricult!Y$40)</f>
        <v>7.4914071352565354E-3</v>
      </c>
      <c r="AK157" s="209">
        <f>AJ157*(1+Driver_macroeconómicos_Agricult!Z$40)</f>
        <v>7.6855409909604286E-3</v>
      </c>
      <c r="AL157" s="209">
        <f>AK157*(1+Driver_macroeconómicos_Agricult!AA$40)</f>
        <v>7.8655966037490619E-3</v>
      </c>
      <c r="AM157" s="209">
        <f>AL157*(1+Driver_macroeconómicos_Agricult!AB$40)</f>
        <v>8.0393830671640232E-3</v>
      </c>
      <c r="AN157" s="209">
        <f>AM157*(1+Driver_macroeconómicos_Agricult!AC$40)</f>
        <v>8.1740976653173637E-3</v>
      </c>
      <c r="AO157" s="209">
        <f>AN157*(1+Driver_macroeconómicos_Agricult!AD$40)</f>
        <v>8.3463177215002057E-3</v>
      </c>
      <c r="AP157" s="209">
        <f>AO157*(1+Driver_macroeconómicos_Agricult!AE$40)</f>
        <v>8.4978339578101053E-3</v>
      </c>
      <c r="AQ157" s="209">
        <f>AP157*(1+Driver_macroeconómicos_Agricult!AF$40)</f>
        <v>8.6993959522368956E-3</v>
      </c>
      <c r="AR157" s="209">
        <f>AQ157*(1+Driver_macroeconómicos_Agricult!AG$40)</f>
        <v>8.862744315173544E-3</v>
      </c>
      <c r="AS157" s="209">
        <f>AR157*(1+Driver_macroeconómicos_Agricult!AH$40)</f>
        <v>9.0210508004598799E-3</v>
      </c>
      <c r="AT157" s="209">
        <f>AS157*(1+Driver_macroeconómicos_Agricult!AI$40)</f>
        <v>9.1843438822885211E-3</v>
      </c>
      <c r="AU157" s="209">
        <f>AT157*(1+Driver_macroeconómicos_Agricult!AJ$40)</f>
        <v>9.348862764646226E-3</v>
      </c>
      <c r="AV157" s="209">
        <f>AU157*(1+Driver_macroeconómicos_Agricult!AK$40)</f>
        <v>9.5365562288554032E-3</v>
      </c>
      <c r="AW157" s="209">
        <f>AV157*(1+Driver_macroeconómicos_Agricult!AL$40)</f>
        <v>9.7085327487187126E-3</v>
      </c>
      <c r="AX157" s="209">
        <f>AW157*(1+Driver_macroeconómicos_Agricult!AM$40)</f>
        <v>9.8812880088798294E-3</v>
      </c>
      <c r="AY157" s="209">
        <f>AX157*(1+Driver_macroeconómicos_Agricult!AN$40)</f>
        <v>1.0058563716856041E-2</v>
      </c>
      <c r="AZ157" s="209">
        <f>AY157*(1+Driver_macroeconómicos_Agricult!AO$40)</f>
        <v>1.0237016406878073E-2</v>
      </c>
      <c r="BA157" s="209">
        <f>AZ157*(1+Driver_macroeconómicos_Agricult!AP$40)</f>
        <v>1.0420424980411729E-2</v>
      </c>
      <c r="BB157" s="209">
        <f>BA157*(1+Driver_macroeconómicos_Agricult!AQ$40)</f>
        <v>1.0598242450958173E-2</v>
      </c>
      <c r="BC157" s="209">
        <f>BB157*(1+Driver_macroeconómicos_Agricult!AR$40)</f>
        <v>1.0777967833917722E-2</v>
      </c>
      <c r="BD157" s="209">
        <f>BC157*(1+Driver_macroeconómicos_Agricult!AS$40)</f>
        <v>1.0959440623232361E-2</v>
      </c>
      <c r="BE157" s="209">
        <f>BD157*(1+Driver_macroeconómicos_Agricult!AT$40)</f>
        <v>1.1141680162417695E-2</v>
      </c>
      <c r="BF157" s="209">
        <f>BE157*(1+Driver_macroeconómicos_Agricult!AU$40)</f>
        <v>1.1323797391376242E-2</v>
      </c>
      <c r="BG157" s="209">
        <f>BF157*(1+Driver_macroeconómicos_Agricult!AV$40)</f>
        <v>1.1506404086815213E-2</v>
      </c>
      <c r="BH157" s="209">
        <f>BG157*(1+Driver_macroeconómicos_Agricult!AW$40)</f>
        <v>1.1689756052601221E-2</v>
      </c>
      <c r="BI157" s="209">
        <f>BH157*(1+Driver_macroeconómicos_Agricult!AX$40)</f>
        <v>1.1873883795259063E-2</v>
      </c>
      <c r="BJ157" s="209">
        <f>BI157*(1+Driver_macroeconómicos_Agricult!AY$40)</f>
        <v>1.2058238688800562E-2</v>
      </c>
      <c r="BK157" s="209">
        <f>BJ157*(1+Driver_macroeconómicos_Agricult!AZ$40)</f>
        <v>1.224274513017546E-2</v>
      </c>
      <c r="BL157" s="209">
        <f>BK157*(1+Driver_macroeconómicos_Agricult!BA$40)</f>
        <v>1.2427124043157349E-2</v>
      </c>
      <c r="BM157" s="209">
        <f>BL157*(1+Driver_macroeconómicos_Agricult!BB$40)</f>
        <v>1.2611734611809144E-2</v>
      </c>
      <c r="BN157" s="209">
        <f>BM157*(1+Driver_macroeconómicos_Agricult!BC$40)</f>
        <v>1.2796452451070551E-2</v>
      </c>
      <c r="BO157" s="209">
        <f>BN157*(1+Driver_macroeconómicos_Agricult!BD$40)</f>
        <v>1.2981141836806894E-2</v>
      </c>
      <c r="BP157" s="182"/>
    </row>
    <row r="158" spans="1:68" ht="14.25" customHeight="1" x14ac:dyDescent="0.3">
      <c r="A158" s="982"/>
      <c r="D158" s="944"/>
      <c r="E158" s="183"/>
      <c r="F158" s="185" t="s">
        <v>416</v>
      </c>
      <c r="G158" s="190">
        <v>1.8735626249999991E-2</v>
      </c>
      <c r="H158" s="190">
        <v>1.8647403390000011E-2</v>
      </c>
      <c r="I158" s="190">
        <v>1.2923994600000004E-2</v>
      </c>
      <c r="J158" s="190">
        <v>1.1952658079999999E-2</v>
      </c>
      <c r="K158" s="190">
        <v>9.0981683099999981E-3</v>
      </c>
      <c r="L158" s="191">
        <v>8.2020777300000035E-3</v>
      </c>
      <c r="M158" s="191">
        <v>0.10650924504000001</v>
      </c>
      <c r="N158" s="191">
        <v>6.3922926431430008E-2</v>
      </c>
      <c r="O158" s="191">
        <v>3.8965876210799999E-3</v>
      </c>
      <c r="P158" s="191">
        <v>5.9730357952980005E-2</v>
      </c>
      <c r="Q158" s="191">
        <v>3.4368561859499998E-2</v>
      </c>
      <c r="R158" s="191">
        <v>2.1661270735499998E-2</v>
      </c>
      <c r="S158" s="209">
        <f>R158*(1+Driver_macroeconómicos_Agricult!H$40)</f>
        <v>2.1554961105063407E-2</v>
      </c>
      <c r="T158" s="209">
        <f>S158*(1+Driver_macroeconómicos_Agricult!I$40)</f>
        <v>2.0492724225028781E-2</v>
      </c>
      <c r="U158" s="209">
        <f>T158*(1+Driver_macroeconómicos_Agricult!J$40)</f>
        <v>2.4153358250614352E-2</v>
      </c>
      <c r="V158" s="209">
        <f>U158*(1+Driver_macroeconómicos_Agricult!K$40)</f>
        <v>2.3553347601943529E-2</v>
      </c>
      <c r="W158" s="209">
        <f>V158*(1+Driver_macroeconómicos_Agricult!L$40)</f>
        <v>2.7719312695059884E-2</v>
      </c>
      <c r="X158" s="381">
        <f>0.999*W158</f>
        <v>2.7691593382364824E-2</v>
      </c>
      <c r="Y158" s="381">
        <f t="shared" ref="Y158:AU158" si="192">0.999*X158</f>
        <v>2.766390178898246E-2</v>
      </c>
      <c r="Z158" s="381">
        <f t="shared" si="192"/>
        <v>2.7636237887193479E-2</v>
      </c>
      <c r="AA158" s="381">
        <f t="shared" si="192"/>
        <v>2.7608601649306286E-2</v>
      </c>
      <c r="AB158" s="381">
        <f t="shared" si="192"/>
        <v>2.7580993047656981E-2</v>
      </c>
      <c r="AC158" s="381">
        <f t="shared" si="192"/>
        <v>2.7553412054609323E-2</v>
      </c>
      <c r="AD158" s="381">
        <f t="shared" si="192"/>
        <v>2.7525858642554715E-2</v>
      </c>
      <c r="AE158" s="381">
        <f t="shared" si="192"/>
        <v>2.7498332783912161E-2</v>
      </c>
      <c r="AF158" s="381">
        <f t="shared" si="192"/>
        <v>2.7470834451128249E-2</v>
      </c>
      <c r="AG158" s="381">
        <f t="shared" si="192"/>
        <v>2.7443363616677121E-2</v>
      </c>
      <c r="AH158" s="381">
        <f t="shared" si="192"/>
        <v>2.7415920253060444E-2</v>
      </c>
      <c r="AI158" s="381">
        <f t="shared" si="192"/>
        <v>2.7388504332807383E-2</v>
      </c>
      <c r="AJ158" s="381">
        <f t="shared" si="192"/>
        <v>2.7361115828474575E-2</v>
      </c>
      <c r="AK158" s="381">
        <f t="shared" si="192"/>
        <v>2.73337547126461E-2</v>
      </c>
      <c r="AL158" s="381">
        <f t="shared" si="192"/>
        <v>2.7306420957933453E-2</v>
      </c>
      <c r="AM158" s="381">
        <f t="shared" si="192"/>
        <v>2.727911453697552E-2</v>
      </c>
      <c r="AN158" s="381">
        <f t="shared" si="192"/>
        <v>2.7251835422438545E-2</v>
      </c>
      <c r="AO158" s="381">
        <f t="shared" si="192"/>
        <v>2.7224583587016106E-2</v>
      </c>
      <c r="AP158" s="381">
        <f t="shared" si="192"/>
        <v>2.7197359003429091E-2</v>
      </c>
      <c r="AQ158" s="381">
        <f t="shared" si="192"/>
        <v>2.717016164442566E-2</v>
      </c>
      <c r="AR158" s="381">
        <f t="shared" si="192"/>
        <v>2.7142991482781233E-2</v>
      </c>
      <c r="AS158" s="381">
        <f t="shared" si="192"/>
        <v>2.7115848491298451E-2</v>
      </c>
      <c r="AT158" s="381">
        <f t="shared" si="192"/>
        <v>2.7088732642807152E-2</v>
      </c>
      <c r="AU158" s="381">
        <f t="shared" si="192"/>
        <v>2.7061643910164346E-2</v>
      </c>
      <c r="AV158" s="381">
        <f t="shared" ref="AV158" si="193">0.999*AU158</f>
        <v>2.7034582266254183E-2</v>
      </c>
      <c r="AW158" s="381">
        <f t="shared" ref="AW158" si="194">0.999*AV158</f>
        <v>2.7007547683987929E-2</v>
      </c>
      <c r="AX158" s="381">
        <f t="shared" ref="AX158" si="195">0.999*AW158</f>
        <v>2.6980540136303941E-2</v>
      </c>
      <c r="AY158" s="381">
        <f t="shared" ref="AY158" si="196">0.999*AX158</f>
        <v>2.6953559596167638E-2</v>
      </c>
      <c r="AZ158" s="381">
        <f t="shared" ref="AZ158" si="197">0.999*AY158</f>
        <v>2.692660603657147E-2</v>
      </c>
      <c r="BA158" s="381">
        <f t="shared" ref="BA158" si="198">0.999*AZ158</f>
        <v>2.6899679430534899E-2</v>
      </c>
      <c r="BB158" s="381">
        <f t="shared" ref="BB158" si="199">0.999*BA158</f>
        <v>2.6872779751104362E-2</v>
      </c>
      <c r="BC158" s="381">
        <f t="shared" ref="BC158" si="200">0.999*BB158</f>
        <v>2.6845906971353257E-2</v>
      </c>
      <c r="BD158" s="381">
        <f t="shared" ref="BD158" si="201">0.999*BC158</f>
        <v>2.6819061064381904E-2</v>
      </c>
      <c r="BE158" s="381">
        <f t="shared" ref="BE158" si="202">0.999*BD158</f>
        <v>2.6792242003317521E-2</v>
      </c>
      <c r="BF158" s="381">
        <f t="shared" ref="BF158" si="203">0.999*BE158</f>
        <v>2.6765449761314203E-2</v>
      </c>
      <c r="BG158" s="381">
        <f t="shared" ref="BG158" si="204">0.999*BF158</f>
        <v>2.673868431155289E-2</v>
      </c>
      <c r="BH158" s="381">
        <f t="shared" ref="BH158" si="205">0.999*BG158</f>
        <v>2.6711945627241336E-2</v>
      </c>
      <c r="BI158" s="381">
        <f t="shared" ref="BI158" si="206">0.999*BH158</f>
        <v>2.6685233681614094E-2</v>
      </c>
      <c r="BJ158" s="381">
        <f t="shared" ref="BJ158" si="207">0.999*BI158</f>
        <v>2.665854844793248E-2</v>
      </c>
      <c r="BK158" s="381">
        <f t="shared" ref="BK158" si="208">0.999*BJ158</f>
        <v>2.6631889899484548E-2</v>
      </c>
      <c r="BL158" s="381">
        <f t="shared" ref="BL158" si="209">0.999*BK158</f>
        <v>2.6605258009585065E-2</v>
      </c>
      <c r="BM158" s="381">
        <f t="shared" ref="BM158" si="210">0.999*BL158</f>
        <v>2.657865275157548E-2</v>
      </c>
      <c r="BN158" s="381">
        <f t="shared" ref="BN158" si="211">0.999*BM158</f>
        <v>2.6552074098823906E-2</v>
      </c>
      <c r="BO158" s="381">
        <f t="shared" ref="BO158" si="212">0.999*BN158</f>
        <v>2.6525522024725082E-2</v>
      </c>
      <c r="BP158" s="182"/>
    </row>
    <row r="159" spans="1:68" ht="14.25" customHeight="1" x14ac:dyDescent="0.3">
      <c r="A159" s="982"/>
      <c r="D159" s="944"/>
      <c r="E159" s="183"/>
      <c r="F159" s="185" t="s">
        <v>417</v>
      </c>
      <c r="G159" s="190">
        <v>3.7808099999999999E-3</v>
      </c>
      <c r="H159" s="190">
        <v>4.0015800000000002E-3</v>
      </c>
      <c r="I159" s="190">
        <v>2.7452700000000002E-3</v>
      </c>
      <c r="J159" s="190">
        <v>7.7318999999999999E-4</v>
      </c>
      <c r="K159" s="190">
        <v>1.3652099999999999E-3</v>
      </c>
      <c r="L159" s="191">
        <v>1.188E-4</v>
      </c>
      <c r="M159" s="191">
        <v>5.346E-5</v>
      </c>
      <c r="N159" s="191">
        <v>5.4450000000000002E-5</v>
      </c>
      <c r="O159" s="191">
        <v>4.4549999999999999E-5</v>
      </c>
      <c r="P159" s="191">
        <v>5.1915600000000004E-3</v>
      </c>
      <c r="Q159" s="191">
        <v>9.9000000000000001E-6</v>
      </c>
      <c r="R159" s="191">
        <v>4.6064700000000005E-3</v>
      </c>
      <c r="S159" s="209">
        <f>R159*(1+Driver_macroeconómicos_Agricult!H$40)</f>
        <v>4.5838622717047873E-3</v>
      </c>
      <c r="T159" s="209">
        <f>S159*(1+Driver_macroeconómicos_Agricult!I$40)</f>
        <v>4.3579677533026953E-3</v>
      </c>
      <c r="U159" s="209">
        <f>T159*(1+Driver_macroeconómicos_Agricult!J$40)</f>
        <v>5.1364355092226458E-3</v>
      </c>
      <c r="V159" s="209">
        <f>U159*(1+Driver_macroeconómicos_Agricult!K$40)</f>
        <v>5.0088376832902563E-3</v>
      </c>
      <c r="W159" s="209">
        <f>V159*(1+Driver_macroeconómicos_Agricult!L$40)</f>
        <v>5.8947687746291012E-3</v>
      </c>
      <c r="X159" s="209">
        <f>W159*(1+Driver_macroeconómicos_Agricult!M$40)</f>
        <v>6.2269222492112768E-3</v>
      </c>
      <c r="Y159" s="209">
        <f>X159*(1+Driver_macroeconómicos_Agricult!N$40)</f>
        <v>6.5926765829329168E-3</v>
      </c>
      <c r="Z159" s="209">
        <f>Y159*(1+Driver_macroeconómicos_Agricult!O$40)</f>
        <v>6.9085741635421727E-3</v>
      </c>
      <c r="AA159" s="209">
        <f>Z159*(1+Driver_macroeconómicos_Agricult!P$40)</f>
        <v>7.319974488810374E-3</v>
      </c>
      <c r="AB159" s="209">
        <f>AA159*(1+Driver_macroeconómicos_Agricult!Q$40)</f>
        <v>6.8118007917845197E-3</v>
      </c>
      <c r="AC159" s="209">
        <f>AB159*(1+Driver_macroeconómicos_Agricult!R$40)</f>
        <v>7.0720614000280438E-3</v>
      </c>
      <c r="AD159" s="209">
        <f>AC159*(1+Driver_macroeconómicos_Agricult!S$40)</f>
        <v>7.4319892342154022E-3</v>
      </c>
      <c r="AE159" s="209">
        <f>AD159*(1+Driver_macroeconómicos_Agricult!T$40)</f>
        <v>7.6536108748294085E-3</v>
      </c>
      <c r="AF159" s="209">
        <f>AE159*(1+Driver_macroeconómicos_Agricult!U$40)</f>
        <v>7.8627748735362376E-3</v>
      </c>
      <c r="AG159" s="209">
        <f>AF159*(1+Driver_macroeconómicos_Agricult!V$40)</f>
        <v>8.0636844287911846E-3</v>
      </c>
      <c r="AH159" s="209">
        <f>AG159*(1+Driver_macroeconómicos_Agricult!W$40)</f>
        <v>8.216870280118185E-3</v>
      </c>
      <c r="AI159" s="209">
        <f>AH159*(1+Driver_macroeconómicos_Agricult!X$40)</f>
        <v>8.3313847666323035E-3</v>
      </c>
      <c r="AJ159" s="209">
        <f>AI159*(1+Driver_macroeconómicos_Agricult!Y$40)</f>
        <v>8.5785874502786637E-3</v>
      </c>
      <c r="AK159" s="209">
        <f>AJ159*(1+Driver_macroeconómicos_Agricult!Z$40)</f>
        <v>8.8008947188794907E-3</v>
      </c>
      <c r="AL159" s="209">
        <f>AK159*(1+Driver_macroeconómicos_Agricult!AA$40)</f>
        <v>9.0070806586278994E-3</v>
      </c>
      <c r="AM159" s="209">
        <f>AL159*(1+Driver_macroeconómicos_Agricult!AB$40)</f>
        <v>9.2060876471899804E-3</v>
      </c>
      <c r="AN159" s="209">
        <f>AM159*(1+Driver_macroeconómicos_Agricult!AC$40)</f>
        <v>9.3603525189586943E-3</v>
      </c>
      <c r="AO159" s="209">
        <f>AN159*(1+Driver_macroeconómicos_Agricult!AD$40)</f>
        <v>9.557565777560454E-3</v>
      </c>
      <c r="AP159" s="209">
        <f>AO159*(1+Driver_macroeconómicos_Agricult!AE$40)</f>
        <v>9.7310706024690326E-3</v>
      </c>
      <c r="AQ159" s="209">
        <f>AP159*(1+Driver_macroeconómicos_Agricult!AF$40)</f>
        <v>9.9618840083651183E-3</v>
      </c>
      <c r="AR159" s="209">
        <f>AQ159*(1+Driver_macroeconómicos_Agricult!AG$40)</f>
        <v>1.014893808125311E-2</v>
      </c>
      <c r="AS159" s="209">
        <f>AR159*(1+Driver_macroeconómicos_Agricult!AH$40)</f>
        <v>1.0330218580824913E-2</v>
      </c>
      <c r="AT159" s="209">
        <f>AS159*(1+Driver_macroeconómicos_Agricult!AI$40)</f>
        <v>1.0517209350008964E-2</v>
      </c>
      <c r="AU159" s="209">
        <f>AT159*(1+Driver_macroeconómicos_Agricult!AJ$40)</f>
        <v>1.070560381236378E-2</v>
      </c>
      <c r="AV159" s="209">
        <f>AU159*(1+Driver_macroeconómicos_Agricult!AK$40)</f>
        <v>1.0920536036376331E-2</v>
      </c>
      <c r="AW159" s="209">
        <f>AV159*(1+Driver_macroeconómicos_Agricult!AL$40)</f>
        <v>1.1117470415780003E-2</v>
      </c>
      <c r="AX159" s="209">
        <f>AW159*(1+Driver_macroeconómicos_Agricult!AM$40)</f>
        <v>1.1315296549112567E-2</v>
      </c>
      <c r="AY159" s="209">
        <f>AX159*(1+Driver_macroeconómicos_Agricult!AN$40)</f>
        <v>1.1518299154127429E-2</v>
      </c>
      <c r="AZ159" s="209">
        <f>AY159*(1+Driver_macroeconómicos_Agricult!AO$40)</f>
        <v>1.1722649549113544E-2</v>
      </c>
      <c r="BA159" s="209">
        <f>AZ159*(1+Driver_macroeconómicos_Agricult!AP$40)</f>
        <v>1.1932675043494241E-2</v>
      </c>
      <c r="BB159" s="209">
        <f>BA159*(1+Driver_macroeconómicos_Agricult!AQ$40)</f>
        <v>1.2136298033638639E-2</v>
      </c>
      <c r="BC159" s="209">
        <f>BB159*(1+Driver_macroeconómicos_Agricult!AR$40)</f>
        <v>1.2342105819401242E-2</v>
      </c>
      <c r="BD159" s="209">
        <f>BC159*(1+Driver_macroeconómicos_Agricult!AS$40)</f>
        <v>1.2549914601499734E-2</v>
      </c>
      <c r="BE159" s="209">
        <f>BD159*(1+Driver_macroeconómicos_Agricult!AT$40)</f>
        <v>1.2758601407005511E-2</v>
      </c>
      <c r="BF159" s="209">
        <f>BE159*(1+Driver_macroeconómicos_Agricult!AU$40)</f>
        <v>1.2967148152178481E-2</v>
      </c>
      <c r="BG159" s="209">
        <f>BF159*(1+Driver_macroeconómicos_Agricult!AV$40)</f>
        <v>1.317625539699197E-2</v>
      </c>
      <c r="BH159" s="209">
        <f>BG159*(1+Driver_macroeconómicos_Agricult!AW$40)</f>
        <v>1.3386216068502304E-2</v>
      </c>
      <c r="BI159" s="209">
        <f>BH159*(1+Driver_macroeconómicos_Agricult!AX$40)</f>
        <v>1.3597065100452378E-2</v>
      </c>
      <c r="BJ159" s="209">
        <f>BI159*(1+Driver_macroeconómicos_Agricult!AY$40)</f>
        <v>1.3808174248250472E-2</v>
      </c>
      <c r="BK159" s="209">
        <f>BJ159*(1+Driver_macroeconómicos_Agricult!AZ$40)</f>
        <v>1.4019456937056047E-2</v>
      </c>
      <c r="BL159" s="209">
        <f>BK159*(1+Driver_macroeconómicos_Agricult!BA$40)</f>
        <v>1.4230593590083288E-2</v>
      </c>
      <c r="BM159" s="209">
        <f>BL159*(1+Driver_macroeconómicos_Agricult!BB$40)</f>
        <v>1.4441995517495802E-2</v>
      </c>
      <c r="BN159" s="209">
        <f>BM159*(1+Driver_macroeconómicos_Agricult!BC$40)</f>
        <v>1.4653520283019873E-2</v>
      </c>
      <c r="BO159" s="209">
        <f>BN159*(1+Driver_macroeconómicos_Agricult!BD$40)</f>
        <v>1.4865012465739591E-2</v>
      </c>
      <c r="BP159" s="182"/>
    </row>
    <row r="160" spans="1:68" ht="14.25" customHeight="1" x14ac:dyDescent="0.3">
      <c r="A160" s="982"/>
      <c r="D160" s="944" t="s">
        <v>457</v>
      </c>
      <c r="E160" s="183"/>
      <c r="F160" s="185" t="s">
        <v>418</v>
      </c>
      <c r="G160" s="190">
        <v>0.14432342265000001</v>
      </c>
      <c r="H160" s="190">
        <v>0.24738472538999989</v>
      </c>
      <c r="I160" s="190">
        <v>0.27333066618000007</v>
      </c>
      <c r="J160" s="190">
        <v>0.19977516701999989</v>
      </c>
      <c r="K160" s="190">
        <v>0.21769958529000005</v>
      </c>
      <c r="L160" s="191">
        <v>0.27236830103999998</v>
      </c>
      <c r="M160" s="191">
        <v>0.30967504722000005</v>
      </c>
      <c r="N160" s="191">
        <v>0.27880514066591999</v>
      </c>
      <c r="O160" s="191">
        <v>0.28023870444768001</v>
      </c>
      <c r="P160" s="191">
        <v>0.18561949282305001</v>
      </c>
      <c r="Q160" s="191">
        <v>0.16102851381539998</v>
      </c>
      <c r="R160" s="191">
        <v>0.11199071555099999</v>
      </c>
      <c r="S160" s="209">
        <f>R160*(1+Driver_macroeconómicos_Agricult!H$40)</f>
        <v>0.11144108521176765</v>
      </c>
      <c r="T160" s="209">
        <f>S160*(1+Driver_macroeconómicos_Agricult!I$40)</f>
        <v>0.10594922512043983</v>
      </c>
      <c r="U160" s="209">
        <f>T160*(1+Driver_macroeconómicos_Agricult!J$40)</f>
        <v>0.12487503187026268</v>
      </c>
      <c r="V160" s="209">
        <f>U160*(1+Driver_macroeconómicos_Agricult!K$40)</f>
        <v>0.12177292291722049</v>
      </c>
      <c r="W160" s="209">
        <f>V160*(1+Driver_macroeconómicos_Agricult!L$40)</f>
        <v>0.14331133668045254</v>
      </c>
      <c r="X160" s="209">
        <f>W160*(1+Driver_macroeconómicos_Agricult!M$40)</f>
        <v>0.15138652338333103</v>
      </c>
      <c r="Y160" s="209">
        <f>X160*(1+Driver_macroeconómicos_Agricult!N$40)</f>
        <v>0.16027860116726658</v>
      </c>
      <c r="Z160" s="209">
        <f>Y160*(1+Driver_macroeconómicos_Agricult!O$40)</f>
        <v>0.16795858086826543</v>
      </c>
      <c r="AA160" s="209">
        <f>Z160*(1+Driver_macroeconómicos_Agricult!P$40)</f>
        <v>0.17796038632986616</v>
      </c>
      <c r="AB160" s="209">
        <f>AA160*(1+Driver_macroeconómicos_Agricult!Q$40)</f>
        <v>0.16560586411347869</v>
      </c>
      <c r="AC160" s="209">
        <f>AB160*(1+Driver_macroeconómicos_Agricult!R$40)</f>
        <v>0.17193321927848154</v>
      </c>
      <c r="AD160" s="209">
        <f>AC160*(1+Driver_macroeconómicos_Agricult!S$40)</f>
        <v>0.18068364546108207</v>
      </c>
      <c r="AE160" s="209">
        <f>AD160*(1+Driver_macroeconómicos_Agricult!T$40)</f>
        <v>0.18607162500158686</v>
      </c>
      <c r="AF160" s="209">
        <f>AE160*(1+Driver_macroeconómicos_Agricult!U$40)</f>
        <v>0.19115673917419324</v>
      </c>
      <c r="AG160" s="209">
        <f>AF160*(1+Driver_macroeconómicos_Agricult!V$40)</f>
        <v>0.19604117451275715</v>
      </c>
      <c r="AH160" s="209">
        <f>AG160*(1+Driver_macroeconómicos_Agricult!W$40)</f>
        <v>0.19976536963448807</v>
      </c>
      <c r="AI160" s="209">
        <f>AH160*(1+Driver_macroeconómicos_Agricult!X$40)</f>
        <v>0.20254940150393938</v>
      </c>
      <c r="AJ160" s="209">
        <f>AI160*(1+Driver_macroeconómicos_Agricult!Y$40)</f>
        <v>0.20855929746064447</v>
      </c>
      <c r="AK160" s="209">
        <f>AJ160*(1+Driver_macroeconómicos_Agricult!Z$40)</f>
        <v>0.21396394572336949</v>
      </c>
      <c r="AL160" s="209">
        <f>AK160*(1+Driver_macroeconómicos_Agricult!AA$40)</f>
        <v>0.21897665847933656</v>
      </c>
      <c r="AM160" s="209">
        <f>AL160*(1+Driver_macroeconómicos_Agricult!AB$40)</f>
        <v>0.22381483935291593</v>
      </c>
      <c r="AN160" s="209">
        <f>AM160*(1+Driver_macroeconómicos_Agricult!AC$40)</f>
        <v>0.22756526720195469</v>
      </c>
      <c r="AO160" s="209">
        <f>AN160*(1+Driver_macroeconómicos_Agricult!AD$40)</f>
        <v>0.23235983960706216</v>
      </c>
      <c r="AP160" s="209">
        <f>AO160*(1+Driver_macroeconómicos_Agricult!AE$40)</f>
        <v>0.23657802174936696</v>
      </c>
      <c r="AQ160" s="209">
        <f>AP160*(1+Driver_macroeconómicos_Agricult!AF$40)</f>
        <v>0.24218946792942805</v>
      </c>
      <c r="AR160" s="209">
        <f>AQ160*(1+Driver_macroeconómicos_Agricult!AG$40)</f>
        <v>0.24673705414391661</v>
      </c>
      <c r="AS160" s="209">
        <f>AR160*(1+Driver_macroeconómicos_Agricult!AH$40)</f>
        <v>0.25114427547879753</v>
      </c>
      <c r="AT160" s="209">
        <f>AS160*(1+Driver_macroeconómicos_Agricult!AI$40)</f>
        <v>0.25569032267813974</v>
      </c>
      <c r="AU160" s="209">
        <f>AT160*(1+Driver_macroeconómicos_Agricult!AJ$40)</f>
        <v>0.26027049592250295</v>
      </c>
      <c r="AV160" s="209">
        <f>AU160*(1+Driver_macroeconómicos_Agricult!AK$40)</f>
        <v>0.26549584495595663</v>
      </c>
      <c r="AW160" s="209">
        <f>AV160*(1+Driver_macroeconómicos_Agricult!AL$40)</f>
        <v>0.2702836373579498</v>
      </c>
      <c r="AX160" s="209">
        <f>AW160*(1+Driver_macroeconómicos_Agricult!AM$40)</f>
        <v>0.27509310973627882</v>
      </c>
      <c r="AY160" s="209">
        <f>AX160*(1+Driver_macroeconómicos_Agricult!AN$40)</f>
        <v>0.28002843049042059</v>
      </c>
      <c r="AZ160" s="209">
        <f>AY160*(1+Driver_macroeconómicos_Agricult!AO$40)</f>
        <v>0.28499651819263605</v>
      </c>
      <c r="BA160" s="209">
        <f>AZ160*(1+Driver_macroeconómicos_Agricult!AP$40)</f>
        <v>0.29010257671459466</v>
      </c>
      <c r="BB160" s="209">
        <f>BA160*(1+Driver_macroeconómicos_Agricult!AQ$40)</f>
        <v>0.29505298003186481</v>
      </c>
      <c r="BC160" s="209">
        <f>BB160*(1+Driver_macroeconómicos_Agricult!AR$40)</f>
        <v>0.30005649925450617</v>
      </c>
      <c r="BD160" s="209">
        <f>BC160*(1+Driver_macroeconómicos_Agricult!AS$40)</f>
        <v>0.30510866592551283</v>
      </c>
      <c r="BE160" s="209">
        <f>BD160*(1+Driver_macroeconómicos_Agricult!AT$40)</f>
        <v>0.31018217876172893</v>
      </c>
      <c r="BF160" s="209">
        <f>BE160*(1+Driver_macroeconómicos_Agricult!AU$40)</f>
        <v>0.31525228650534887</v>
      </c>
      <c r="BG160" s="209">
        <f>BF160*(1+Driver_macroeconómicos_Agricult!AV$40)</f>
        <v>0.32033602089926888</v>
      </c>
      <c r="BH160" s="209">
        <f>BG160*(1+Driver_macroeconómicos_Agricult!AW$40)</f>
        <v>0.32544050347269515</v>
      </c>
      <c r="BI160" s="209">
        <f>BH160*(1+Driver_macroeconómicos_Agricult!AX$40)</f>
        <v>0.33056658352126256</v>
      </c>
      <c r="BJ160" s="209">
        <f>BI160*(1+Driver_macroeconómicos_Agricult!AY$40)</f>
        <v>0.33569898740564047</v>
      </c>
      <c r="BK160" s="209">
        <f>BJ160*(1+Driver_macroeconómicos_Agricult!AZ$40)</f>
        <v>0.34083561035181742</v>
      </c>
      <c r="BL160" s="209">
        <f>BK160*(1+Driver_macroeconómicos_Agricult!BA$40)</f>
        <v>0.34596868293267952</v>
      </c>
      <c r="BM160" s="209">
        <f>BL160*(1+Driver_macroeconómicos_Agricult!BB$40)</f>
        <v>0.35110820476171306</v>
      </c>
      <c r="BN160" s="209">
        <f>BM160*(1+Driver_macroeconómicos_Agricult!BC$40)</f>
        <v>0.35625071298336614</v>
      </c>
      <c r="BO160" s="209">
        <f>BN160*(1+Driver_macroeconómicos_Agricult!BD$40)</f>
        <v>0.36139242906449204</v>
      </c>
      <c r="BP160" s="182"/>
    </row>
    <row r="161" spans="1:96" ht="14.25" customHeight="1" x14ac:dyDescent="0.3">
      <c r="A161" s="982"/>
      <c r="D161" s="944"/>
      <c r="E161" s="183"/>
      <c r="F161" s="185" t="s">
        <v>419</v>
      </c>
      <c r="G161" s="190">
        <v>3.2373E-7</v>
      </c>
      <c r="H161" s="190">
        <v>9.4049999999999996E-5</v>
      </c>
      <c r="I161" s="190">
        <v>1.0105920000000001E-4</v>
      </c>
      <c r="J161" s="190">
        <v>1.4622300000000001E-6</v>
      </c>
      <c r="K161" s="190">
        <v>3.8600100000000002E-6</v>
      </c>
      <c r="L161" s="191">
        <v>1.1652300000000001E-6</v>
      </c>
      <c r="M161" s="191">
        <v>0</v>
      </c>
      <c r="N161" s="191">
        <v>0</v>
      </c>
      <c r="O161" s="191">
        <v>8.6801219999999999E-7</v>
      </c>
      <c r="P161" s="191">
        <v>4.6549205999999994E-6</v>
      </c>
      <c r="Q161" s="191">
        <v>4.9500000000000003E-7</v>
      </c>
      <c r="R161" s="191">
        <v>8.9170784999999992E-6</v>
      </c>
      <c r="S161" s="209">
        <f>R161*(1+Driver_macroeconómicos_Agricult!H$40)</f>
        <v>8.873315078569905E-6</v>
      </c>
      <c r="T161" s="209">
        <f>S161*(1+Driver_macroeconómicos_Agricult!I$40)</f>
        <v>8.4360346548808007E-6</v>
      </c>
      <c r="U161" s="209">
        <f>T161*(1+Driver_macroeconómicos_Agricult!J$40)</f>
        <v>9.942971222199602E-6</v>
      </c>
      <c r="V161" s="209">
        <f>U161*(1+Driver_macroeconómicos_Agricult!K$40)</f>
        <v>9.695970844411739E-6</v>
      </c>
      <c r="W161" s="209">
        <f>V161*(1+Driver_macroeconómicos_Agricult!L$40)</f>
        <v>1.1410931994068451E-5</v>
      </c>
      <c r="X161" s="209">
        <f>W161*(1+Driver_macroeconómicos_Agricult!M$40)</f>
        <v>1.2053905595741101E-5</v>
      </c>
      <c r="Y161" s="209">
        <f>X161*(1+Driver_macroeconómicos_Agricult!N$40)</f>
        <v>1.2761922820538193E-5</v>
      </c>
      <c r="Z161" s="209">
        <f>Y161*(1+Driver_macroeconómicos_Agricult!O$40)</f>
        <v>1.3373428707747445E-5</v>
      </c>
      <c r="AA161" s="209">
        <f>Z161*(1+Driver_macroeconómicos_Agricult!P$40)</f>
        <v>1.4169806193184686E-5</v>
      </c>
      <c r="AB161" s="209">
        <f>AA161*(1+Driver_macroeconómicos_Agricult!Q$40)</f>
        <v>1.3186097464371786E-5</v>
      </c>
      <c r="AC161" s="209">
        <f>AB161*(1+Driver_macroeconómicos_Agricult!R$40)</f>
        <v>1.3689902823826043E-5</v>
      </c>
      <c r="AD161" s="209">
        <f>AC161*(1+Driver_macroeconómicos_Agricult!S$40)</f>
        <v>1.4386641270355306E-5</v>
      </c>
      <c r="AE161" s="209">
        <f>AD161*(1+Driver_macroeconómicos_Agricult!T$40)</f>
        <v>1.4815650374214419E-5</v>
      </c>
      <c r="AF161" s="209">
        <f>AE161*(1+Driver_macroeconómicos_Agricult!U$40)</f>
        <v>1.5220544315962154E-5</v>
      </c>
      <c r="AG161" s="209">
        <f>AF161*(1+Driver_macroeconómicos_Agricult!V$40)</f>
        <v>1.5609459532083924E-5</v>
      </c>
      <c r="AH161" s="209">
        <f>AG161*(1+Driver_macroeconómicos_Agricult!W$40)</f>
        <v>1.5905992508825808E-5</v>
      </c>
      <c r="AI161" s="209">
        <f>AH161*(1+Driver_macroeconómicos_Agricult!X$40)</f>
        <v>1.6127666516392032E-5</v>
      </c>
      <c r="AJ161" s="209">
        <f>AI161*(1+Driver_macroeconómicos_Agricult!Y$40)</f>
        <v>1.6606194702939487E-5</v>
      </c>
      <c r="AK161" s="209">
        <f>AJ161*(1+Driver_macroeconómicos_Agricult!Z$40)</f>
        <v>1.7036531026682866E-5</v>
      </c>
      <c r="AL161" s="209">
        <f>AK161*(1+Driver_macroeconómicos_Agricult!AA$40)</f>
        <v>1.7435660123438695E-5</v>
      </c>
      <c r="AM161" s="209">
        <f>AL161*(1+Driver_macroeconómicos_Agricult!AB$40)</f>
        <v>1.7820892403049043E-5</v>
      </c>
      <c r="AN161" s="209">
        <f>AM161*(1+Driver_macroeconómicos_Agricult!AC$40)</f>
        <v>1.8119514118018218E-5</v>
      </c>
      <c r="AO161" s="209">
        <f>AN161*(1+Driver_macroeconómicos_Agricult!AD$40)</f>
        <v>1.8501274144284033E-5</v>
      </c>
      <c r="AP161" s="209">
        <f>AO161*(1+Driver_macroeconómicos_Agricult!AE$40)</f>
        <v>1.8837140033747886E-5</v>
      </c>
      <c r="AQ161" s="209">
        <f>AP161*(1+Driver_macroeconómicos_Agricult!AF$40)</f>
        <v>1.9283942305167816E-5</v>
      </c>
      <c r="AR161" s="209">
        <f>AQ161*(1+Driver_macroeconómicos_Agricult!AG$40)</f>
        <v>1.9646036457889301E-5</v>
      </c>
      <c r="AS161" s="209">
        <f>AR161*(1+Driver_macroeconómicos_Agricult!AH$40)</f>
        <v>1.9996954285466813E-5</v>
      </c>
      <c r="AT161" s="209">
        <f>AS161*(1+Driver_macroeconómicos_Agricult!AI$40)</f>
        <v>2.0358925896611481E-5</v>
      </c>
      <c r="AU161" s="209">
        <f>AT161*(1+Driver_macroeconómicos_Agricult!AJ$40)</f>
        <v>2.0723614738562732E-5</v>
      </c>
      <c r="AV161" s="209">
        <f>AU161*(1+Driver_macroeconómicos_Agricult!AK$40)</f>
        <v>2.1139674652922211E-5</v>
      </c>
      <c r="AW161" s="209">
        <f>AV161*(1+Driver_macroeconómicos_Agricult!AL$40)</f>
        <v>2.1520894832472132E-5</v>
      </c>
      <c r="AX161" s="209">
        <f>AW161*(1+Driver_macroeconómicos_Agricult!AM$40)</f>
        <v>2.1903841244861213E-5</v>
      </c>
      <c r="AY161" s="209">
        <f>AX161*(1+Driver_macroeconómicos_Agricult!AN$40)</f>
        <v>2.2296808129400137E-5</v>
      </c>
      <c r="AZ161" s="209">
        <f>AY161*(1+Driver_macroeconómicos_Agricult!AO$40)</f>
        <v>2.2692384028862674E-5</v>
      </c>
      <c r="BA161" s="209">
        <f>AZ161*(1+Driver_macroeconómicos_Agricult!AP$40)</f>
        <v>2.309894563034797E-5</v>
      </c>
      <c r="BB161" s="209">
        <f>BA161*(1+Driver_macroeconómicos_Agricult!AQ$40)</f>
        <v>2.349311343943439E-5</v>
      </c>
      <c r="BC161" s="209">
        <f>BB161*(1+Driver_macroeconómicos_Agricult!AR$40)</f>
        <v>2.3891510516058425E-5</v>
      </c>
      <c r="BD161" s="209">
        <f>BC161*(1+Driver_macroeconómicos_Agricult!AS$40)</f>
        <v>2.4293781066601824E-5</v>
      </c>
      <c r="BE161" s="209">
        <f>BD161*(1+Driver_macroeconómicos_Agricult!AT$40)</f>
        <v>2.4697751270816601E-5</v>
      </c>
      <c r="BF161" s="209">
        <f>BE161*(1+Driver_macroeconómicos_Agricult!AU$40)</f>
        <v>2.5101450350074011E-5</v>
      </c>
      <c r="BG161" s="209">
        <f>BF161*(1+Driver_macroeconómicos_Agricult!AV$40)</f>
        <v>2.5506234429188951E-5</v>
      </c>
      <c r="BH161" s="209">
        <f>BG161*(1+Driver_macroeconómicos_Agricult!AW$40)</f>
        <v>2.5912670548336663E-5</v>
      </c>
      <c r="BI161" s="209">
        <f>BH161*(1+Driver_macroeconómicos_Agricult!AX$40)</f>
        <v>2.6320826331300147E-5</v>
      </c>
      <c r="BJ161" s="209">
        <f>BI161*(1+Driver_macroeconómicos_Agricult!AY$40)</f>
        <v>2.6729485639400213E-5</v>
      </c>
      <c r="BK161" s="209">
        <f>BJ161*(1+Driver_macroeconómicos_Agricult!AZ$40)</f>
        <v>2.7138480883430976E-5</v>
      </c>
      <c r="BL161" s="209">
        <f>BK161*(1+Driver_macroeconómicos_Agricult!BA$40)</f>
        <v>2.7547193435400526E-5</v>
      </c>
      <c r="BM161" s="209">
        <f>BL161*(1+Driver_macroeconómicos_Agricult!BB$40)</f>
        <v>2.7956419498261826E-5</v>
      </c>
      <c r="BN161" s="209">
        <f>BM161*(1+Driver_macroeconómicos_Agricult!BC$40)</f>
        <v>2.8365883347776149E-5</v>
      </c>
      <c r="BO161" s="209">
        <f>BN161*(1+Driver_macroeconómicos_Agricult!BD$40)</f>
        <v>2.8775284124389927E-5</v>
      </c>
      <c r="BP161" s="182"/>
    </row>
    <row r="162" spans="1:96" ht="14.25" customHeight="1" x14ac:dyDescent="0.3">
      <c r="A162" s="982"/>
      <c r="D162" s="944"/>
      <c r="E162" s="183"/>
      <c r="F162" s="185" t="s">
        <v>420</v>
      </c>
      <c r="G162" s="190">
        <v>2.7381519990000016E-2</v>
      </c>
      <c r="H162" s="190">
        <v>3.1443625619999978E-2</v>
      </c>
      <c r="I162" s="190">
        <v>3.0245516729999988E-2</v>
      </c>
      <c r="J162" s="190">
        <v>3.085188677999999E-2</v>
      </c>
      <c r="K162" s="190">
        <v>3.48929163E-2</v>
      </c>
      <c r="L162" s="191">
        <v>3.0459511169999998E-2</v>
      </c>
      <c r="M162" s="191">
        <v>3.2092795349999995E-2</v>
      </c>
      <c r="N162" s="191">
        <v>6.07492088874E-2</v>
      </c>
      <c r="O162" s="191">
        <v>3.0641323775039996E-2</v>
      </c>
      <c r="P162" s="191">
        <v>5.4142762469399995E-2</v>
      </c>
      <c r="Q162" s="191">
        <v>6.0311352231899998E-2</v>
      </c>
      <c r="R162" s="191">
        <v>6.5032651292400004E-2</v>
      </c>
      <c r="S162" s="209">
        <f>R162*(1+Driver_macroeconómicos_Agricult!H$40)</f>
        <v>6.4713482707619049E-2</v>
      </c>
      <c r="T162" s="209">
        <f>S162*(1+Driver_macroeconómicos_Agricult!I$40)</f>
        <v>6.1524377070524286E-2</v>
      </c>
      <c r="U162" s="209">
        <f>T162*(1+Driver_macroeconómicos_Agricult!J$40)</f>
        <v>7.251453268059431E-2</v>
      </c>
      <c r="V162" s="209">
        <f>U162*(1+Driver_macroeconómicos_Agricult!K$40)</f>
        <v>7.0713147906672102E-2</v>
      </c>
      <c r="W162" s="209">
        <f>V162*(1+Driver_macroeconómicos_Agricult!L$40)</f>
        <v>8.3220436075733109E-2</v>
      </c>
      <c r="X162" s="209">
        <f>W162*(1+Driver_macroeconómicos_Agricult!M$40)</f>
        <v>8.7909671235858258E-2</v>
      </c>
      <c r="Y162" s="209">
        <f>X162*(1+Driver_macroeconómicos_Agricult!N$40)</f>
        <v>9.3073272441033472E-2</v>
      </c>
      <c r="Z162" s="209">
        <f>Y162*(1+Driver_macroeconómicos_Agricult!O$40)</f>
        <v>9.7533012155798682E-2</v>
      </c>
      <c r="AA162" s="209">
        <f>Z162*(1+Driver_macroeconómicos_Agricult!P$40)</f>
        <v>0.10334102868358391</v>
      </c>
      <c r="AB162" s="209">
        <f>AA162*(1+Driver_macroeconómicos_Agricult!Q$40)</f>
        <v>9.6166797040991625E-2</v>
      </c>
      <c r="AC162" s="209">
        <f>AB162*(1+Driver_macroeconómicos_Agricult!R$40)</f>
        <v>9.9841072002306699E-2</v>
      </c>
      <c r="AD162" s="209">
        <f>AC162*(1+Driver_macroeconómicos_Agricult!S$40)</f>
        <v>0.10492241657442705</v>
      </c>
      <c r="AE162" s="209">
        <f>AD162*(1+Driver_macroeconómicos_Agricult!T$40)</f>
        <v>0.10805119910701715</v>
      </c>
      <c r="AF162" s="209">
        <f>AE162*(1+Driver_macroeconómicos_Agricult!U$40)</f>
        <v>0.11100410868654879</v>
      </c>
      <c r="AG162" s="209">
        <f>AF162*(1+Driver_macroeconómicos_Agricult!V$40)</f>
        <v>0.11384048470727748</v>
      </c>
      <c r="AH162" s="209">
        <f>AG162*(1+Driver_macroeconómicos_Agricult!W$40)</f>
        <v>0.11600311293502633</v>
      </c>
      <c r="AI162" s="209">
        <f>AH162*(1+Driver_macroeconómicos_Agricult!X$40)</f>
        <v>0.11761979136110982</v>
      </c>
      <c r="AJ162" s="209">
        <f>AI162*(1+Driver_macroeconómicos_Agricult!Y$40)</f>
        <v>0.12110971877279798</v>
      </c>
      <c r="AK162" s="209">
        <f>AJ162*(1+Driver_macroeconómicos_Agricult!Z$40)</f>
        <v>0.12424818077921146</v>
      </c>
      <c r="AL162" s="209">
        <f>AK162*(1+Driver_macroeconómicos_Agricult!AA$40)</f>
        <v>0.12715904708704676</v>
      </c>
      <c r="AM162" s="209">
        <f>AL162*(1+Driver_macroeconómicos_Agricult!AB$40)</f>
        <v>0.12996856328750145</v>
      </c>
      <c r="AN162" s="209">
        <f>AM162*(1+Driver_macroeconómicos_Agricult!AC$40)</f>
        <v>0.13214642477632077</v>
      </c>
      <c r="AO162" s="209">
        <f>AN162*(1+Driver_macroeconómicos_Agricult!AD$40)</f>
        <v>0.13493061767823614</v>
      </c>
      <c r="AP162" s="209">
        <f>AO162*(1+Driver_macroeconómicos_Agricult!AE$40)</f>
        <v>0.13738010259311206</v>
      </c>
      <c r="AQ162" s="209">
        <f>AP162*(1+Driver_macroeconómicos_Agricult!AF$40)</f>
        <v>0.14063865149047844</v>
      </c>
      <c r="AR162" s="209">
        <f>AQ162*(1+Driver_macroeconómicos_Agricult!AG$40)</f>
        <v>0.14327942029933813</v>
      </c>
      <c r="AS162" s="209">
        <f>AR162*(1+Driver_macroeconómicos_Agricult!AH$40)</f>
        <v>0.14583867967034567</v>
      </c>
      <c r="AT162" s="209">
        <f>AS162*(1+Driver_macroeconómicos_Agricult!AI$40)</f>
        <v>0.14847855477801902</v>
      </c>
      <c r="AU162" s="209">
        <f>AT162*(1+Driver_macroeconómicos_Agricult!AJ$40)</f>
        <v>0.15113824677118079</v>
      </c>
      <c r="AV162" s="209">
        <f>AU162*(1+Driver_macroeconómicos_Agricult!AK$40)</f>
        <v>0.15417259028708521</v>
      </c>
      <c r="AW162" s="209">
        <f>AV162*(1+Driver_macroeconómicos_Agricult!AL$40)</f>
        <v>0.15695284606281895</v>
      </c>
      <c r="AX162" s="209">
        <f>AW162*(1+Driver_macroeconómicos_Agricult!AM$40)</f>
        <v>0.15974569133165614</v>
      </c>
      <c r="AY162" s="209">
        <f>AX162*(1+Driver_macroeconómicos_Agricult!AN$40)</f>
        <v>0.16261161635089655</v>
      </c>
      <c r="AZ162" s="209">
        <f>AY162*(1+Driver_macroeconómicos_Agricult!AO$40)</f>
        <v>0.16549656903236332</v>
      </c>
      <c r="BA162" s="209">
        <f>AZ162*(1+Driver_macroeconómicos_Agricult!AP$40)</f>
        <v>0.16846164092875551</v>
      </c>
      <c r="BB162" s="209">
        <f>BA162*(1+Driver_macroeconómicos_Agricult!AQ$40)</f>
        <v>0.17133632434429419</v>
      </c>
      <c r="BC162" s="209">
        <f>BB162*(1+Driver_macroeconómicos_Agricult!AR$40)</f>
        <v>0.17424185199665279</v>
      </c>
      <c r="BD162" s="209">
        <f>BC162*(1+Driver_macroeconómicos_Agricult!AS$40)</f>
        <v>0.17717562906710144</v>
      </c>
      <c r="BE162" s="209">
        <f>BD162*(1+Driver_macroeconómicos_Agricult!AT$40)</f>
        <v>0.18012180178759718</v>
      </c>
      <c r="BF162" s="209">
        <f>BE162*(1+Driver_macroeconómicos_Agricult!AU$40)</f>
        <v>0.18306599718168393</v>
      </c>
      <c r="BG162" s="209">
        <f>BF162*(1+Driver_macroeconómicos_Agricult!AV$40)</f>
        <v>0.18601810552813361</v>
      </c>
      <c r="BH162" s="209">
        <f>BG162*(1+Driver_macroeconómicos_Agricult!AW$40)</f>
        <v>0.18898226227624002</v>
      </c>
      <c r="BI162" s="209">
        <f>BH162*(1+Driver_macroeconómicos_Agricult!AX$40)</f>
        <v>0.19195896060926926</v>
      </c>
      <c r="BJ162" s="209">
        <f>BI162*(1+Driver_macroeconómicos_Agricult!AY$40)</f>
        <v>0.19493933117358189</v>
      </c>
      <c r="BK162" s="209">
        <f>BJ162*(1+Driver_macroeconómicos_Agricult!AZ$40)</f>
        <v>0.19792215173362324</v>
      </c>
      <c r="BL162" s="209">
        <f>BK162*(1+Driver_macroeconómicos_Agricult!BA$40)</f>
        <v>0.20090291060785123</v>
      </c>
      <c r="BM162" s="209">
        <f>BL162*(1+Driver_macroeconómicos_Agricult!BB$40)</f>
        <v>0.20388741453992054</v>
      </c>
      <c r="BN162" s="209">
        <f>BM162*(1+Driver_macroeconómicos_Agricult!BC$40)</f>
        <v>0.20687365266065802</v>
      </c>
      <c r="BO162" s="209">
        <f>BN162*(1+Driver_macroeconómicos_Agricult!BD$40)</f>
        <v>0.20985943078791813</v>
      </c>
      <c r="BP162" s="182"/>
    </row>
    <row r="163" spans="1:96" ht="14.25" customHeight="1" x14ac:dyDescent="0.3">
      <c r="A163" s="982"/>
      <c r="D163" s="944"/>
      <c r="E163" s="183"/>
      <c r="F163" s="185" t="s">
        <v>421</v>
      </c>
      <c r="G163" s="190">
        <v>2.0511810000000002E-2</v>
      </c>
      <c r="H163" s="190">
        <v>2.2998689999999999E-2</v>
      </c>
      <c r="I163" s="190">
        <v>2.274822E-2</v>
      </c>
      <c r="J163" s="190">
        <v>2.4552000000000001E-2</v>
      </c>
      <c r="K163" s="190">
        <v>2.039796E-2</v>
      </c>
      <c r="L163" s="191">
        <v>1.1789910000000001E-2</v>
      </c>
      <c r="M163" s="191">
        <v>8.3239200000000003E-3</v>
      </c>
      <c r="N163" s="191">
        <v>1.1883959999999999E-2</v>
      </c>
      <c r="O163" s="191">
        <v>9.3159000000000002E-3</v>
      </c>
      <c r="P163" s="191">
        <v>2.4482699999999998E-3</v>
      </c>
      <c r="Q163" s="191">
        <v>1.0963260000000001E-2</v>
      </c>
      <c r="R163" s="191">
        <v>1.1109780000000001E-2</v>
      </c>
      <c r="S163" s="209">
        <f>R163*(1+Driver_macroeconómicos_Agricult!H$40)</f>
        <v>1.1055255193009053E-2</v>
      </c>
      <c r="T163" s="209">
        <f>S163*(1+Driver_macroeconómicos_Agricult!I$40)</f>
        <v>1.0510447910501363E-2</v>
      </c>
      <c r="U163" s="209">
        <f>T163*(1+Driver_macroeconómicos_Agricult!J$40)</f>
        <v>1.2387938810336669E-2</v>
      </c>
      <c r="V163" s="209">
        <f>U163*(1+Driver_macroeconómicos_Agricult!K$40)</f>
        <v>1.2080201264105576E-2</v>
      </c>
      <c r="W163" s="209">
        <f>V163*(1+Driver_macroeconómicos_Agricult!L$40)</f>
        <v>1.4216869802039064E-2</v>
      </c>
      <c r="X163" s="209">
        <f>W163*(1+Driver_macroeconómicos_Agricult!M$40)</f>
        <v>1.5017950028078431E-2</v>
      </c>
      <c r="Y163" s="209">
        <f>X163*(1+Driver_macroeconómicos_Agricult!N$40)</f>
        <v>1.5900068045061933E-2</v>
      </c>
      <c r="Z163" s="209">
        <f>Y163*(1+Driver_macroeconómicos_Agricult!O$40)</f>
        <v>1.6661942674246775E-2</v>
      </c>
      <c r="AA163" s="209">
        <f>Z163*(1+Driver_macroeconómicos_Agricult!P$40)</f>
        <v>1.7654148659666882E-2</v>
      </c>
      <c r="AB163" s="209">
        <f>AA163*(1+Driver_macroeconómicos_Agricult!Q$40)</f>
        <v>1.6428546848357161E-2</v>
      </c>
      <c r="AC163" s="209">
        <f>AB163*(1+Driver_macroeconómicos_Agricult!R$40)</f>
        <v>1.7056237487881949E-2</v>
      </c>
      <c r="AD163" s="209">
        <f>AC163*(1+Driver_macroeconómicos_Agricult!S$40)</f>
        <v>1.7924303285270844E-2</v>
      </c>
      <c r="AE163" s="209">
        <f>AD163*(1+Driver_macroeconómicos_Agricult!T$40)</f>
        <v>1.8458805337918681E-2</v>
      </c>
      <c r="AF163" s="209">
        <f>AE163*(1+Driver_macroeconómicos_Agricult!U$40)</f>
        <v>1.8963262332005942E-2</v>
      </c>
      <c r="AG163" s="209">
        <f>AF163*(1+Driver_macroeconómicos_Agricult!V$40)</f>
        <v>1.9447811446356041E-2</v>
      </c>
      <c r="AH163" s="209">
        <f>AG163*(1+Driver_macroeconómicos_Agricult!W$40)</f>
        <v>1.9817261612612564E-2</v>
      </c>
      <c r="AI163" s="209">
        <f>AH163*(1+Driver_macroeconómicos_Agricult!X$40)</f>
        <v>2.009344505719916E-2</v>
      </c>
      <c r="AJ163" s="209">
        <f>AI163*(1+Driver_macroeconómicos_Agricult!Y$40)</f>
        <v>2.0689642889969297E-2</v>
      </c>
      <c r="AK163" s="209">
        <f>AJ163*(1+Driver_macroeconómicos_Agricult!Z$40)</f>
        <v>2.1225798524664864E-2</v>
      </c>
      <c r="AL163" s="209">
        <f>AK163*(1+Driver_macroeconómicos_Agricult!AA$40)</f>
        <v>2.1723073103615355E-2</v>
      </c>
      <c r="AM163" s="209">
        <f>AL163*(1+Driver_macroeconómicos_Agricult!AB$40)</f>
        <v>2.2203033650712641E-2</v>
      </c>
      <c r="AN163" s="209">
        <f>AM163*(1+Driver_macroeconómicos_Agricult!AC$40)</f>
        <v>2.2575086174028459E-2</v>
      </c>
      <c r="AO163" s="209">
        <f>AN163*(1+Driver_macroeconómicos_Agricult!AD$40)</f>
        <v>2.3050720643839107E-2</v>
      </c>
      <c r="AP163" s="209">
        <f>AO163*(1+Driver_macroeconómicos_Agricult!AE$40)</f>
        <v>2.3469175650313225E-2</v>
      </c>
      <c r="AQ163" s="209">
        <f>AP163*(1+Driver_macroeconómicos_Agricult!AF$40)</f>
        <v>2.4025846194256031E-2</v>
      </c>
      <c r="AR163" s="209">
        <f>AQ163*(1+Driver_macroeconómicos_Agricult!AG$40)</f>
        <v>2.447697897008862E-2</v>
      </c>
      <c r="AS163" s="209">
        <f>AR163*(1+Driver_macroeconómicos_Agricult!AH$40)</f>
        <v>2.4914187172580513E-2</v>
      </c>
      <c r="AT163" s="209">
        <f>AS163*(1+Driver_macroeconómicos_Agricult!AI$40)</f>
        <v>2.53651672739739E-2</v>
      </c>
      <c r="AU163" s="209">
        <f>AT163*(1+Driver_macroeconómicos_Agricult!AJ$40)</f>
        <v>2.5819532770760004E-2</v>
      </c>
      <c r="AV163" s="209">
        <f>AU163*(1+Driver_macroeconómicos_Agricult!AK$40)</f>
        <v>2.6337901439977465E-2</v>
      </c>
      <c r="AW163" s="209">
        <f>AV163*(1+Driver_macroeconómicos_Agricult!AL$40)</f>
        <v>2.6812863315255352E-2</v>
      </c>
      <c r="AX163" s="209">
        <f>AW163*(1+Driver_macroeconómicos_Agricult!AM$40)</f>
        <v>2.7289975902458883E-2</v>
      </c>
      <c r="AY163" s="209">
        <f>AX163*(1+Driver_macroeconómicos_Agricult!AN$40)</f>
        <v>2.7779572986808072E-2</v>
      </c>
      <c r="AZ163" s="209">
        <f>AY163*(1+Driver_macroeconómicos_Agricult!AO$40)</f>
        <v>2.8272420640479721E-2</v>
      </c>
      <c r="BA163" s="209">
        <f>AZ163*(1+Driver_macroeconómicos_Agricult!AP$40)</f>
        <v>2.8778955370318573E-2</v>
      </c>
      <c r="BB163" s="209">
        <f>BA163*(1+Driver_macroeconómicos_Agricult!AQ$40)</f>
        <v>2.9270048685470181E-2</v>
      </c>
      <c r="BC163" s="209">
        <f>BB163*(1+Driver_macroeconómicos_Agricult!AR$40)</f>
        <v>2.9766411241203671E-2</v>
      </c>
      <c r="BD163" s="209">
        <f>BC163*(1+Driver_macroeconómicos_Agricult!AS$40)</f>
        <v>3.0267599754573386E-2</v>
      </c>
      <c r="BE163" s="209">
        <f>BD163*(1+Driver_macroeconómicos_Agricult!AT$40)</f>
        <v>3.0770905864907758E-2</v>
      </c>
      <c r="BF163" s="209">
        <f>BE163*(1+Driver_macroeconómicos_Agricult!AU$40)</f>
        <v>3.1273874180904118E-2</v>
      </c>
      <c r="BG163" s="209">
        <f>BF163*(1+Driver_macroeconómicos_Agricult!AV$40)</f>
        <v>3.1778194297237015E-2</v>
      </c>
      <c r="BH163" s="209">
        <f>BG163*(1+Driver_macroeconómicos_Agricult!AW$40)</f>
        <v>3.2284572688745496E-2</v>
      </c>
      <c r="BI163" s="209">
        <f>BH163*(1+Driver_macroeconómicos_Agricult!AX$40)</f>
        <v>3.2793093607839351E-2</v>
      </c>
      <c r="BJ163" s="209">
        <f>BI163*(1+Driver_macroeconómicos_Agricult!AY$40)</f>
        <v>3.3302241868443307E-2</v>
      </c>
      <c r="BK163" s="209">
        <f>BJ163*(1+Driver_macroeconómicos_Agricult!AZ$40)</f>
        <v>3.3811808671318049E-2</v>
      </c>
      <c r="BL163" s="209">
        <f>BK163*(1+Driver_macroeconómicos_Agricult!BA$40)</f>
        <v>3.4321023268410612E-2</v>
      </c>
      <c r="BM163" s="209">
        <f>BL163*(1+Driver_macroeconómicos_Agricult!BB$40)</f>
        <v>3.483087764825657E-2</v>
      </c>
      <c r="BN163" s="209">
        <f>BM163*(1+Driver_macroeconómicos_Agricult!BC$40)</f>
        <v>3.5341028286277443E-2</v>
      </c>
      <c r="BO163" s="209">
        <f>BN163*(1+Driver_macroeconómicos_Agricult!BD$40)</f>
        <v>3.5851100341828847E-2</v>
      </c>
      <c r="BP163" s="182"/>
    </row>
    <row r="164" spans="1:96" ht="14.25" customHeight="1" x14ac:dyDescent="0.3">
      <c r="A164" s="982"/>
      <c r="D164" s="944"/>
      <c r="E164" s="183"/>
      <c r="F164" s="185" t="s">
        <v>458</v>
      </c>
      <c r="G164" s="190">
        <v>3.7492290000000006E-5</v>
      </c>
      <c r="H164" s="190">
        <v>9.9106920000000006E-5</v>
      </c>
      <c r="I164" s="190">
        <v>4.5499409999999999E-4</v>
      </c>
      <c r="J164" s="190">
        <v>9.9007919999999979E-5</v>
      </c>
      <c r="K164" s="190">
        <v>7.2035567999999988E-4</v>
      </c>
      <c r="L164" s="191">
        <v>1.4234041800000004E-3</v>
      </c>
      <c r="M164" s="191">
        <v>1.75315635E-3</v>
      </c>
      <c r="N164" s="191">
        <v>1.919047779E-3</v>
      </c>
      <c r="O164" s="191">
        <v>1.7021578364999998E-3</v>
      </c>
      <c r="P164" s="191">
        <v>2.3650077329999998E-3</v>
      </c>
      <c r="Q164" s="191">
        <v>1.7804449574999998E-3</v>
      </c>
      <c r="R164" s="191">
        <v>1.424885517E-3</v>
      </c>
      <c r="S164" s="209">
        <f>R164*(1+Driver_macroeconómicos_Agricult!H$40)</f>
        <v>1.4178924345268436E-3</v>
      </c>
      <c r="T164" s="209">
        <f>S164*(1+Driver_macroeconómicos_Agricult!I$40)</f>
        <v>1.3480181430105998E-3</v>
      </c>
      <c r="U164" s="209">
        <f>T164*(1+Driver_macroeconómicos_Agricult!J$40)</f>
        <v>1.5888158538090698E-3</v>
      </c>
      <c r="V164" s="209">
        <f>U164*(1+Driver_macroeconómicos_Agricult!K$40)</f>
        <v>1.5493469558955375E-3</v>
      </c>
      <c r="W164" s="209">
        <f>V164*(1+Driver_macroeconómicos_Agricult!L$40)</f>
        <v>1.8233855106041807E-3</v>
      </c>
      <c r="X164" s="209">
        <f>W164*(1+Driver_macroeconómicos_Agricult!M$40)</f>
        <v>1.9261281042503718E-3</v>
      </c>
      <c r="Y164" s="209">
        <f>X164*(1+Driver_macroeconómicos_Agricult!N$40)</f>
        <v>2.0392642047568224E-3</v>
      </c>
      <c r="Z164" s="209">
        <f>Y164*(1+Driver_macroeconómicos_Agricult!O$40)</f>
        <v>2.1369784821678264E-3</v>
      </c>
      <c r="AA164" s="209">
        <f>Z164*(1+Driver_macroeconómicos_Agricult!P$40)</f>
        <v>2.2642339218350224E-3</v>
      </c>
      <c r="AB164" s="209">
        <f>AA164*(1+Driver_macroeconómicos_Agricult!Q$40)</f>
        <v>2.1070442861676926E-3</v>
      </c>
      <c r="AC164" s="209">
        <f>AB164*(1+Driver_macroeconómicos_Agricult!R$40)</f>
        <v>2.1875487877343605E-3</v>
      </c>
      <c r="AD164" s="209">
        <f>AC164*(1+Driver_macroeconómicos_Agricult!S$40)</f>
        <v>2.2988826199526846E-3</v>
      </c>
      <c r="AE164" s="209">
        <f>AD164*(1+Driver_macroeconómicos_Agricult!T$40)</f>
        <v>2.3674352135796216E-3</v>
      </c>
      <c r="AF164" s="209">
        <f>AE164*(1+Driver_macroeconómicos_Agricult!U$40)</f>
        <v>2.4321343763735108E-3</v>
      </c>
      <c r="AG164" s="209">
        <f>AF164*(1+Driver_macroeconómicos_Agricult!V$40)</f>
        <v>2.494280252827647E-3</v>
      </c>
      <c r="AH164" s="209">
        <f>AG164*(1+Driver_macroeconómicos_Agricult!W$40)</f>
        <v>2.5416641066170254E-3</v>
      </c>
      <c r="AI164" s="209">
        <f>AH164*(1+Driver_macroeconómicos_Agricult!X$40)</f>
        <v>2.5770860312839959E-3</v>
      </c>
      <c r="AJ164" s="209">
        <f>AI164*(1+Driver_macroeconómicos_Agricult!Y$40)</f>
        <v>2.6535514209839683E-3</v>
      </c>
      <c r="AK164" s="209">
        <f>AJ164*(1+Driver_macroeconómicos_Agricult!Z$40)</f>
        <v>2.7223160948781099E-3</v>
      </c>
      <c r="AL164" s="209">
        <f>AK164*(1+Driver_macroeconómicos_Agricult!AA$40)</f>
        <v>2.7860940765770119E-3</v>
      </c>
      <c r="AM164" s="209">
        <f>AL164*(1+Driver_macroeconómicos_Agricult!AB$40)</f>
        <v>2.8476514460560043E-3</v>
      </c>
      <c r="AN164" s="209">
        <f>AM164*(1+Driver_macroeconómicos_Agricult!AC$40)</f>
        <v>2.8953690653100322E-3</v>
      </c>
      <c r="AO164" s="209">
        <f>AN164*(1+Driver_macroeconómicos_Agricult!AD$40)</f>
        <v>2.956371593480632E-3</v>
      </c>
      <c r="AP164" s="209">
        <f>AO164*(1+Driver_macroeconómicos_Agricult!AE$40)</f>
        <v>3.0100405660652479E-3</v>
      </c>
      <c r="AQ164" s="209">
        <f>AP164*(1+Driver_macroeconómicos_Agricult!AF$40)</f>
        <v>3.0814363809062812E-3</v>
      </c>
      <c r="AR164" s="209">
        <f>AQ164*(1+Driver_macroeconómicos_Agricult!AG$40)</f>
        <v>3.1392964428092053E-3</v>
      </c>
      <c r="AS164" s="209">
        <f>AR164*(1+Driver_macroeconómicos_Agricult!AH$40)</f>
        <v>3.1953706077021467E-3</v>
      </c>
      <c r="AT164" s="209">
        <f>AS164*(1+Driver_macroeconómicos_Agricult!AI$40)</f>
        <v>3.2532110883354832E-3</v>
      </c>
      <c r="AU164" s="209">
        <f>AT164*(1+Driver_macroeconómicos_Agricult!AJ$40)</f>
        <v>3.3114857630630683E-3</v>
      </c>
      <c r="AV164" s="209">
        <f>AU164*(1+Driver_macroeconómicos_Agricult!AK$40)</f>
        <v>3.3779691686061596E-3</v>
      </c>
      <c r="AW164" s="209">
        <f>AV164*(1+Driver_macroeconómicos_Agricult!AL$40)</f>
        <v>3.4388854331236047E-3</v>
      </c>
      <c r="AX164" s="209">
        <f>AW164*(1+Driver_macroeconómicos_Agricult!AM$40)</f>
        <v>3.500077537331313E-3</v>
      </c>
      <c r="AY164" s="209">
        <f>AX164*(1+Driver_macroeconómicos_Agricult!AN$40)</f>
        <v>3.5628708414880638E-3</v>
      </c>
      <c r="AZ164" s="209">
        <f>AY164*(1+Driver_macroeconómicos_Agricult!AO$40)</f>
        <v>3.6260810476131324E-3</v>
      </c>
      <c r="BA164" s="209">
        <f>AZ164*(1+Driver_macroeconómicos_Agricult!AP$40)</f>
        <v>3.6910466905335942E-3</v>
      </c>
      <c r="BB164" s="209">
        <f>BA164*(1+Driver_macroeconómicos_Agricult!AQ$40)</f>
        <v>3.7540318938639071E-3</v>
      </c>
      <c r="BC164" s="209">
        <f>BB164*(1+Driver_macroeconómicos_Agricult!AR$40)</f>
        <v>3.8176929039690356E-3</v>
      </c>
      <c r="BD164" s="209">
        <f>BC164*(1+Driver_macroeconómicos_Agricult!AS$40)</f>
        <v>3.8819728675675287E-3</v>
      </c>
      <c r="BE164" s="209">
        <f>BD164*(1+Driver_macroeconómicos_Agricult!AT$40)</f>
        <v>3.9465244236949271E-3</v>
      </c>
      <c r="BF164" s="209">
        <f>BE164*(1+Driver_macroeconómicos_Agricult!AU$40)</f>
        <v>4.011032655988735E-3</v>
      </c>
      <c r="BG164" s="209">
        <f>BF164*(1+Driver_macroeconómicos_Agricult!AV$40)</f>
        <v>4.0757142635178224E-3</v>
      </c>
      <c r="BH164" s="209">
        <f>BG164*(1+Driver_macroeconómicos_Agricult!AW$40)</f>
        <v>4.1406598552561104E-3</v>
      </c>
      <c r="BI164" s="209">
        <f>BH164*(1+Driver_macroeconómicos_Agricult!AX$40)</f>
        <v>4.2058802370015967E-3</v>
      </c>
      <c r="BJ164" s="209">
        <f>BI164*(1+Driver_macroeconómicos_Agricult!AY$40)</f>
        <v>4.2711810784710333E-3</v>
      </c>
      <c r="BK164" s="209">
        <f>BJ164*(1+Driver_macroeconómicos_Agricult!AZ$40)</f>
        <v>4.3365356001051443E-3</v>
      </c>
      <c r="BL164" s="209">
        <f>BK164*(1+Driver_macroeconómicos_Agricult!BA$40)</f>
        <v>4.4018449495650059E-3</v>
      </c>
      <c r="BM164" s="209">
        <f>BL164*(1+Driver_macroeconómicos_Agricult!BB$40)</f>
        <v>4.4672363544012422E-3</v>
      </c>
      <c r="BN164" s="209">
        <f>BM164*(1+Driver_macroeconómicos_Agricult!BC$40)</f>
        <v>4.5326657558479181E-3</v>
      </c>
      <c r="BO164" s="209">
        <f>BN164*(1+Driver_macroeconómicos_Agricult!BD$40)</f>
        <v>4.5980850786951407E-3</v>
      </c>
      <c r="BP164" s="182"/>
    </row>
    <row r="165" spans="1:96" ht="14.25" customHeight="1" x14ac:dyDescent="0.3">
      <c r="A165" s="982"/>
      <c r="D165" s="944"/>
      <c r="E165" s="183"/>
      <c r="F165" s="185" t="s">
        <v>423</v>
      </c>
      <c r="G165" s="190">
        <v>4.7638799999999999E-3</v>
      </c>
      <c r="H165" s="190">
        <v>1.6896329999999998E-2</v>
      </c>
      <c r="I165" s="190">
        <v>7.1101800000000007E-3</v>
      </c>
      <c r="J165" s="190">
        <v>4.2173999999999998E-4</v>
      </c>
      <c r="K165" s="190">
        <v>4.2965999999999995E-4</v>
      </c>
      <c r="L165" s="208">
        <v>0.91641784475333332</v>
      </c>
      <c r="M165" s="191">
        <v>4.2669000000000002E-4</v>
      </c>
      <c r="N165" s="191">
        <v>4.5638999999999999E-4</v>
      </c>
      <c r="O165" s="191">
        <v>3.5837999999999999E-4</v>
      </c>
      <c r="P165" s="191">
        <v>2.1185999999999999E-4</v>
      </c>
      <c r="Q165" s="191">
        <v>1.1662199999999999E-3</v>
      </c>
      <c r="R165" s="191">
        <v>5.3361000000000001E-4</v>
      </c>
      <c r="S165" s="209">
        <f>R165*(1+Driver_macroeconómicos_Agricult!H$40)</f>
        <v>5.309911378570556E-4</v>
      </c>
      <c r="T165" s="209">
        <f>S165*(1+Driver_macroeconómicos_Agricult!I$40)</f>
        <v>5.0482368773482737E-4</v>
      </c>
      <c r="U165" s="209">
        <f>T165*(1+Driver_macroeconómicos_Agricult!J$40)</f>
        <v>5.9500080366881687E-4</v>
      </c>
      <c r="V165" s="209">
        <f>U165*(1+Driver_macroeconómicos_Agricult!K$40)</f>
        <v>5.8021996804071506E-4</v>
      </c>
      <c r="W165" s="209">
        <f>V165*(1+Driver_macroeconómicos_Agricult!L$40)</f>
        <v>6.8284555545348904E-4</v>
      </c>
      <c r="X165" s="209">
        <f>W165*(1+Driver_macroeconómicos_Agricult!M$40)</f>
        <v>7.2132196267459209E-4</v>
      </c>
      <c r="Y165" s="209">
        <f>X165*(1+Driver_macroeconómicos_Agricult!N$40)</f>
        <v>7.6369066799932103E-4</v>
      </c>
      <c r="Z165" s="209">
        <f>Y165*(1+Driver_macroeconómicos_Agricult!O$40)</f>
        <v>8.0028400476020401E-4</v>
      </c>
      <c r="AA165" s="209">
        <f>Z165*(1+Driver_macroeconómicos_Agricult!P$40)</f>
        <v>8.4794030721444002E-4</v>
      </c>
      <c r="AB165" s="209">
        <f>AA165*(1+Driver_macroeconómicos_Agricult!Q$40)</f>
        <v>7.8907385058496764E-4</v>
      </c>
      <c r="AC165" s="209">
        <f>AB165*(1+Driver_macroeconómicos_Agricult!R$40)</f>
        <v>8.1922224255643965E-4</v>
      </c>
      <c r="AD165" s="209">
        <f>AC165*(1+Driver_macroeconómicos_Agricult!S$40)</f>
        <v>8.6091601058287115E-4</v>
      </c>
      <c r="AE165" s="209">
        <f>AD165*(1+Driver_macroeconómicos_Agricult!T$40)</f>
        <v>8.8658849377456453E-4</v>
      </c>
      <c r="AF165" s="209">
        <f>AE165*(1+Driver_macroeconómicos_Agricult!U$40)</f>
        <v>9.1081789315195123E-4</v>
      </c>
      <c r="AG165" s="209">
        <f>AF165*(1+Driver_macroeconómicos_Agricult!V$40)</f>
        <v>9.3409110404436813E-4</v>
      </c>
      <c r="AH165" s="209">
        <f>AG165*(1+Driver_macroeconómicos_Agricult!W$40)</f>
        <v>9.5183603717681031E-4</v>
      </c>
      <c r="AI165" s="209">
        <f>AH165*(1+Driver_macroeconómicos_Agricult!X$40)</f>
        <v>9.6510130866426136E-4</v>
      </c>
      <c r="AJ165" s="209">
        <f>AI165*(1+Driver_macroeconómicos_Agricult!Y$40)</f>
        <v>9.9373708052873338E-4</v>
      </c>
      <c r="AK165" s="209">
        <f>AJ165*(1+Driver_macroeconómicos_Agricult!Z$40)</f>
        <v>1.0194889863477418E-3</v>
      </c>
      <c r="AL165" s="209">
        <f>AK165*(1+Driver_macroeconómicos_Agricult!AA$40)</f>
        <v>1.0433734096282903E-3</v>
      </c>
      <c r="AM165" s="209">
        <f>AL165*(1+Driver_macroeconómicos_Agricult!AB$40)</f>
        <v>1.0664262286342997E-3</v>
      </c>
      <c r="AN165" s="209">
        <f>AM165*(1+Driver_macroeconómicos_Agricult!AC$40)</f>
        <v>1.0842961546784298E-3</v>
      </c>
      <c r="AO165" s="209">
        <f>AN165*(1+Driver_macroeconómicos_Agricult!AD$40)</f>
        <v>1.1071411893627944E-3</v>
      </c>
      <c r="AP165" s="209">
        <f>AO165*(1+Driver_macroeconómicos_Agricult!AE$40)</f>
        <v>1.1272398570235992E-3</v>
      </c>
      <c r="AQ165" s="209">
        <f>AP165*(1+Driver_macroeconómicos_Agricult!AF$40)</f>
        <v>1.1539771073519874E-3</v>
      </c>
      <c r="AR165" s="209">
        <f>AQ165*(1+Driver_macroeconómicos_Agricult!AG$40)</f>
        <v>1.175645309648705E-3</v>
      </c>
      <c r="AS165" s="209">
        <f>AR165*(1+Driver_macroeconómicos_Agricult!AH$40)</f>
        <v>1.1966447055801906E-3</v>
      </c>
      <c r="AT165" s="209">
        <f>AS165*(1+Driver_macroeconómicos_Agricult!AI$40)</f>
        <v>1.2183055748237331E-3</v>
      </c>
      <c r="AU165" s="209">
        <f>AT165*(1+Driver_macroeconómicos_Agricult!AJ$40)</f>
        <v>1.2401290468222815E-3</v>
      </c>
      <c r="AV165" s="209">
        <f>AU165*(1+Driver_macroeconómicos_Agricult!AK$40)</f>
        <v>1.2650266330554139E-3</v>
      </c>
      <c r="AW165" s="209">
        <f>AV165*(1+Driver_macroeconómicos_Agricult!AL$40)</f>
        <v>1.2878393625844445E-3</v>
      </c>
      <c r="AX165" s="209">
        <f>AW165*(1+Driver_macroeconómicos_Agricult!AM$40)</f>
        <v>1.3107553922139851E-3</v>
      </c>
      <c r="AY165" s="209">
        <f>AX165*(1+Driver_macroeconómicos_Agricult!AN$40)</f>
        <v>1.3342710604071961E-3</v>
      </c>
      <c r="AZ165" s="209">
        <f>AY165*(1+Driver_macroeconómicos_Agricult!AO$40)</f>
        <v>1.3579428555710723E-3</v>
      </c>
      <c r="BA165" s="209">
        <f>AZ165*(1+Driver_macroeconómicos_Agricult!AP$40)</f>
        <v>1.3822720499555975E-3</v>
      </c>
      <c r="BB165" s="209">
        <f>BA165*(1+Driver_macroeconómicos_Agricult!AQ$40)</f>
        <v>1.4058595830928919E-3</v>
      </c>
      <c r="BC165" s="209">
        <f>BB165*(1+Driver_macroeconómicos_Agricult!AR$40)</f>
        <v>1.4297002013017987E-3</v>
      </c>
      <c r="BD165" s="209">
        <f>BC165*(1+Driver_macroeconómicos_Agricult!AS$40)</f>
        <v>1.4537726134124988E-3</v>
      </c>
      <c r="BE165" s="209">
        <f>BD165*(1+Driver_macroeconómicos_Agricult!AT$40)</f>
        <v>1.477946735090473E-3</v>
      </c>
      <c r="BF165" s="209">
        <f>BE165*(1+Driver_macroeconómicos_Agricult!AU$40)</f>
        <v>1.5021046322854508E-3</v>
      </c>
      <c r="BG165" s="209">
        <f>BF165*(1+Driver_macroeconómicos_Agricult!AV$40)</f>
        <v>1.5263274573347673E-3</v>
      </c>
      <c r="BH165" s="209">
        <f>BG165*(1+Driver_macroeconómicos_Agricult!AW$40)</f>
        <v>1.5506491426870283E-3</v>
      </c>
      <c r="BI165" s="209">
        <f>BH165*(1+Driver_macroeconómicos_Agricult!AX$40)</f>
        <v>1.5750737350405828E-3</v>
      </c>
      <c r="BJ165" s="209">
        <f>BI165*(1+Driver_macroeconómicos_Agricult!AY$40)</f>
        <v>1.5995284590171943E-3</v>
      </c>
      <c r="BK165" s="209">
        <f>BJ165*(1+Driver_macroeconómicos_Agricult!AZ$40)</f>
        <v>1.6240032858528283E-3</v>
      </c>
      <c r="BL165" s="209">
        <f>BK165*(1+Driver_macroeconómicos_Agricult!BA$40)</f>
        <v>1.6484611960143763E-3</v>
      </c>
      <c r="BM165" s="209">
        <f>BL165*(1+Driver_macroeconómicos_Agricult!BB$40)</f>
        <v>1.6729498353600341E-3</v>
      </c>
      <c r="BN165" s="209">
        <f>BM165*(1+Driver_macroeconómicos_Agricult!BC$40)</f>
        <v>1.6974527041796073E-3</v>
      </c>
      <c r="BO165" s="209">
        <f>BN165*(1+Driver_macroeconómicos_Agricult!BD$40)</f>
        <v>1.7219517986317731E-3</v>
      </c>
      <c r="BP165" s="182"/>
    </row>
    <row r="166" spans="1:96" ht="14.25" customHeight="1" x14ac:dyDescent="0.3">
      <c r="A166" s="982"/>
      <c r="D166" s="944"/>
      <c r="E166" s="183"/>
      <c r="F166" s="185" t="s">
        <v>424</v>
      </c>
      <c r="G166" s="190">
        <v>0.38506658355000006</v>
      </c>
      <c r="H166" s="190">
        <v>0.43066938221999995</v>
      </c>
      <c r="I166" s="190">
        <v>0.33701881058999994</v>
      </c>
      <c r="J166" s="190">
        <v>0.35508977756999999</v>
      </c>
      <c r="K166" s="190">
        <v>0.35926560252</v>
      </c>
      <c r="L166" s="208">
        <v>0.34617512399333333</v>
      </c>
      <c r="M166" s="208">
        <v>0.20714637140000003</v>
      </c>
      <c r="N166" s="208">
        <v>0.23593725230999996</v>
      </c>
      <c r="O166" s="208">
        <v>0.19069549176</v>
      </c>
      <c r="P166" s="208">
        <v>7.8028522500000003E-2</v>
      </c>
      <c r="Q166" s="208">
        <v>0.16121535272449858</v>
      </c>
      <c r="R166" s="208">
        <v>0.27764344030629629</v>
      </c>
      <c r="S166" s="209">
        <f>R166*(1+Driver_macroeconómicos_Agricult!H$40)</f>
        <v>0.27628081611436772</v>
      </c>
      <c r="T166" s="209">
        <f>S166*(1+Driver_macroeconómicos_Agricult!I$40)</f>
        <v>0.26266558987052135</v>
      </c>
      <c r="U166" s="209">
        <f>T166*(1+Driver_macroeconómicos_Agricult!J$40)</f>
        <v>0.30958578384142249</v>
      </c>
      <c r="V166" s="209">
        <f>U166*(1+Driver_macroeconómicos_Agricult!K$40)</f>
        <v>0.30189514450859878</v>
      </c>
      <c r="W166" s="209">
        <f>V166*(1+Driver_macroeconómicos_Agricult!L$40)</f>
        <v>0.35529242183236914</v>
      </c>
      <c r="X166" s="209">
        <f>W166*(1+Driver_macroeconómicos_Agricult!M$40)</f>
        <v>0.37531214048736639</v>
      </c>
      <c r="Y166" s="209">
        <f>X166*(1+Driver_macroeconómicos_Agricult!N$40)</f>
        <v>0.39735706675876581</v>
      </c>
      <c r="Z166" s="209">
        <f>Y166*(1+Driver_macroeconómicos_Agricult!O$40)</f>
        <v>0.41639700212462932</v>
      </c>
      <c r="AA166" s="209">
        <f>Z166*(1+Driver_macroeconómicos_Agricult!P$40)</f>
        <v>0.4411931261959014</v>
      </c>
      <c r="AB166" s="209">
        <f>AA166*(1+Driver_macroeconómicos_Agricult!Q$40)</f>
        <v>0.41056422955369432</v>
      </c>
      <c r="AC166" s="209">
        <f>AB166*(1+Driver_macroeconómicos_Agricult!R$40)</f>
        <v>0.4262507857776448</v>
      </c>
      <c r="AD166" s="209">
        <f>AC166*(1+Driver_macroeconómicos_Agricult!S$40)</f>
        <v>0.44794453438466325</v>
      </c>
      <c r="AE166" s="209">
        <f>AD166*(1+Driver_macroeconómicos_Agricult!T$40)</f>
        <v>0.46130222362314705</v>
      </c>
      <c r="AF166" s="209">
        <f>AE166*(1+Driver_macroeconómicos_Agricult!U$40)</f>
        <v>0.47390905970135566</v>
      </c>
      <c r="AG166" s="209">
        <f>AF166*(1+Driver_macroeconómicos_Agricult!V$40)</f>
        <v>0.48601837987741048</v>
      </c>
      <c r="AH166" s="209">
        <f>AG166*(1+Driver_macroeconómicos_Agricult!W$40)</f>
        <v>0.49525127334435526</v>
      </c>
      <c r="AI166" s="209">
        <f>AH166*(1+Driver_macroeconómicos_Agricult!X$40)</f>
        <v>0.50215334716675908</v>
      </c>
      <c r="AJ166" s="209">
        <f>AI166*(1+Driver_macroeconómicos_Agricult!Y$40)</f>
        <v>0.51705286969496922</v>
      </c>
      <c r="AK166" s="209">
        <f>AJ166*(1+Driver_macroeconómicos_Agricult!Z$40)</f>
        <v>0.53045188344289973</v>
      </c>
      <c r="AL166" s="209">
        <f>AK166*(1+Driver_macroeconómicos_Agricult!AA$40)</f>
        <v>0.54287922447725678</v>
      </c>
      <c r="AM166" s="209">
        <f>AL166*(1+Driver_macroeconómicos_Agricult!AB$40)</f>
        <v>0.5548738722117198</v>
      </c>
      <c r="AN166" s="209">
        <f>AM166*(1+Driver_macroeconómicos_Agricult!AC$40)</f>
        <v>0.56417180093290442</v>
      </c>
      <c r="AO166" s="209">
        <f>AN166*(1+Driver_macroeconómicos_Agricult!AD$40)</f>
        <v>0.57605833608719992</v>
      </c>
      <c r="AP166" s="209">
        <f>AO166*(1+Driver_macroeconómicos_Agricult!AE$40)</f>
        <v>0.58651590478890847</v>
      </c>
      <c r="AQ166" s="209">
        <f>AP166*(1+Driver_macroeconómicos_Agricult!AF$40)</f>
        <v>0.60042760465492362</v>
      </c>
      <c r="AR166" s="209">
        <f>AQ166*(1+Driver_macroeconómicos_Agricult!AG$40)</f>
        <v>0.61170182033850062</v>
      </c>
      <c r="AS166" s="209">
        <f>AR166*(1+Driver_macroeconómicos_Agricult!AH$40)</f>
        <v>0.62262804835291508</v>
      </c>
      <c r="AT166" s="209">
        <f>AS166*(1+Driver_macroeconómicos_Agricult!AI$40)</f>
        <v>0.63389844856430921</v>
      </c>
      <c r="AU166" s="209">
        <f>AT166*(1+Driver_macroeconómicos_Agricult!AJ$40)</f>
        <v>0.64525345286540003</v>
      </c>
      <c r="AV166" s="209">
        <f>AU166*(1+Driver_macroeconómicos_Agricult!AK$40)</f>
        <v>0.6582079542748368</v>
      </c>
      <c r="AW166" s="209">
        <f>AV166*(1+Driver_macroeconómicos_Agricult!AL$40)</f>
        <v>0.67007768068404405</v>
      </c>
      <c r="AX166" s="209">
        <f>AW166*(1+Driver_macroeconómicos_Agricult!AM$40)</f>
        <v>0.6820011553275227</v>
      </c>
      <c r="AY166" s="209">
        <f>AX166*(1+Driver_macroeconómicos_Agricult!AN$40)</f>
        <v>0.69423662883488657</v>
      </c>
      <c r="AZ166" s="209">
        <f>AY166*(1+Driver_macroeconómicos_Agricult!AO$40)</f>
        <v>0.70655333700663103</v>
      </c>
      <c r="BA166" s="209">
        <f>AZ166*(1+Driver_macroeconómicos_Agricult!AP$40)</f>
        <v>0.71921209757858462</v>
      </c>
      <c r="BB166" s="209">
        <f>BA166*(1+Driver_macroeconómicos_Agricult!AQ$40)</f>
        <v>0.73148496324560208</v>
      </c>
      <c r="BC166" s="209">
        <f>BB166*(1+Driver_macroeconómicos_Agricult!AR$40)</f>
        <v>0.74388951199571884</v>
      </c>
      <c r="BD166" s="209">
        <f>BC166*(1+Driver_macroeconómicos_Agricult!AS$40)</f>
        <v>0.75641466578760008</v>
      </c>
      <c r="BE166" s="209">
        <f>BD166*(1+Driver_macroeconómicos_Agricult!AT$40)</f>
        <v>0.76899274024095698</v>
      </c>
      <c r="BF166" s="209">
        <f>BE166*(1+Driver_macroeconómicos_Agricult!AU$40)</f>
        <v>0.78156237290859709</v>
      </c>
      <c r="BG166" s="209">
        <f>BF166*(1+Driver_macroeconómicos_Agricult!AV$40)</f>
        <v>0.79416578828804985</v>
      </c>
      <c r="BH166" s="209">
        <f>BG166*(1+Driver_macroeconómicos_Agricult!AW$40)</f>
        <v>0.80682064182387003</v>
      </c>
      <c r="BI166" s="209">
        <f>BH166*(1+Driver_macroeconómicos_Agricult!AX$40)</f>
        <v>0.81952903905990337</v>
      </c>
      <c r="BJ166" s="209">
        <f>BI166*(1+Driver_macroeconómicos_Agricult!AY$40)</f>
        <v>0.8322531141271009</v>
      </c>
      <c r="BK166" s="209">
        <f>BJ166*(1+Driver_macroeconómicos_Agricult!AZ$40)</f>
        <v>0.84498764894381406</v>
      </c>
      <c r="BL166" s="209">
        <f>BK166*(1+Driver_macroeconómicos_Agricult!BA$40)</f>
        <v>0.85771338181979939</v>
      </c>
      <c r="BM166" s="209">
        <f>BL166*(1+Driver_macroeconómicos_Agricult!BB$40)</f>
        <v>0.87045510344485988</v>
      </c>
      <c r="BN166" s="209">
        <f>BM166*(1+Driver_macroeconómicos_Agricult!BC$40)</f>
        <v>0.88320422882939198</v>
      </c>
      <c r="BO166" s="209">
        <f>BN166*(1+Driver_macroeconómicos_Agricult!BD$40)</f>
        <v>0.89595139036700977</v>
      </c>
      <c r="BP166" s="182"/>
    </row>
    <row r="167" spans="1:96" ht="14.25" customHeight="1" x14ac:dyDescent="0.3">
      <c r="A167" s="982"/>
      <c r="D167" s="944"/>
      <c r="E167" s="183"/>
      <c r="F167" s="185" t="s">
        <v>425</v>
      </c>
      <c r="G167" s="190">
        <v>7.5587390010000005E-2</v>
      </c>
      <c r="H167" s="190">
        <v>8.237370438000001E-2</v>
      </c>
      <c r="I167" s="190">
        <v>7.5283471889999995E-2</v>
      </c>
      <c r="J167" s="190">
        <v>6.846228972E-2</v>
      </c>
      <c r="K167" s="190">
        <v>7.0229968380000007E-2</v>
      </c>
      <c r="L167" s="191">
        <v>6.0702336090000003E-2</v>
      </c>
      <c r="M167" s="191">
        <v>6.1678576080000005E-2</v>
      </c>
      <c r="N167" s="191">
        <v>3.5796937512599998E-2</v>
      </c>
      <c r="O167" s="191">
        <v>7.3270773777959999E-2</v>
      </c>
      <c r="P167" s="191">
        <v>5.2954798881599999E-2</v>
      </c>
      <c r="Q167" s="191">
        <v>8.7190961052689989E-2</v>
      </c>
      <c r="R167" s="191">
        <v>5.2567395942600001E-2</v>
      </c>
      <c r="S167" s="209">
        <f>R167*(1+Driver_macroeconómicos_Agricult!H$40)</f>
        <v>5.2309404594635678E-2</v>
      </c>
      <c r="T167" s="209">
        <f>S167*(1+Driver_macroeconómicos_Agricult!I$40)</f>
        <v>4.9731576758981537E-2</v>
      </c>
      <c r="U167" s="209">
        <f>T167*(1+Driver_macroeconómicos_Agricult!J$40)</f>
        <v>5.861517368981823E-2</v>
      </c>
      <c r="V167" s="209">
        <f>U167*(1+Driver_macroeconómicos_Agricult!K$40)</f>
        <v>5.7159072719399913E-2</v>
      </c>
      <c r="W167" s="209">
        <f>V167*(1+Driver_macroeconómicos_Agricult!L$40)</f>
        <v>6.7269002981893491E-2</v>
      </c>
      <c r="X167" s="209">
        <f>W167*(1+Driver_macroeconómicos_Agricult!M$40)</f>
        <v>7.1059420202036372E-2</v>
      </c>
      <c r="Y167" s="209">
        <f>X167*(1+Driver_macroeconómicos_Agricult!N$40)</f>
        <v>7.5233278466274991E-2</v>
      </c>
      <c r="Z167" s="209">
        <f>Y167*(1+Driver_macroeconómicos_Agricult!O$40)</f>
        <v>7.8838189210770473E-2</v>
      </c>
      <c r="AA167" s="209">
        <f>Z167*(1+Driver_macroeconómicos_Agricult!P$40)</f>
        <v>8.3532943282605951E-2</v>
      </c>
      <c r="AB167" s="209">
        <f>AA167*(1+Driver_macroeconómicos_Agricult!Q$40)</f>
        <v>7.7733845939266494E-2</v>
      </c>
      <c r="AC167" s="209">
        <f>AB167*(1+Driver_macroeconómicos_Agricult!R$40)</f>
        <v>8.0703847359399311E-2</v>
      </c>
      <c r="AD167" s="209">
        <f>AC167*(1+Driver_macroeconómicos_Agricult!S$40)</f>
        <v>8.4811215684926083E-2</v>
      </c>
      <c r="AE167" s="209">
        <f>AD167*(1+Driver_macroeconómicos_Agricult!T$40)</f>
        <v>8.7340282960216079E-2</v>
      </c>
      <c r="AF167" s="209">
        <f>AE167*(1+Driver_macroeconómicos_Agricult!U$40)</f>
        <v>8.9727188060424984E-2</v>
      </c>
      <c r="AG167" s="209">
        <f>AF167*(1+Driver_macroeconómicos_Agricult!V$40)</f>
        <v>9.2019896390173883E-2</v>
      </c>
      <c r="AH167" s="209">
        <f>AG167*(1+Driver_macroeconómicos_Agricult!W$40)</f>
        <v>9.3767998798202301E-2</v>
      </c>
      <c r="AI167" s="209">
        <f>AH167*(1+Driver_macroeconómicos_Agricult!X$40)</f>
        <v>9.5074797356263285E-2</v>
      </c>
      <c r="AJ167" s="209">
        <f>AI167*(1+Driver_macroeconómicos_Agricult!Y$40)</f>
        <v>9.7895786388930706E-2</v>
      </c>
      <c r="AK167" s="209">
        <f>AJ167*(1+Driver_macroeconómicos_Agricult!Z$40)</f>
        <v>0.10043267780675337</v>
      </c>
      <c r="AL167" s="209">
        <f>AK167*(1+Driver_macroeconómicos_Agricult!AA$40)</f>
        <v>0.10278559835818465</v>
      </c>
      <c r="AM167" s="209">
        <f>AL167*(1+Driver_macroeconómicos_Agricult!AB$40)</f>
        <v>0.10505659527406327</v>
      </c>
      <c r="AN167" s="209">
        <f>AM167*(1+Driver_macroeconómicos_Agricult!AC$40)</f>
        <v>0.1068170110792895</v>
      </c>
      <c r="AO167" s="209">
        <f>AN167*(1+Driver_macroeconómicos_Agricult!AD$40)</f>
        <v>0.10906753858734861</v>
      </c>
      <c r="AP167" s="209">
        <f>AO167*(1+Driver_macroeconómicos_Agricult!AE$40)</f>
        <v>0.11104751388924372</v>
      </c>
      <c r="AQ167" s="209">
        <f>AP167*(1+Driver_macroeconómicos_Agricult!AF$40)</f>
        <v>0.11368147431807525</v>
      </c>
      <c r="AR167" s="209">
        <f>AQ167*(1+Driver_macroeconómicos_Agricult!AG$40)</f>
        <v>0.11581606881498482</v>
      </c>
      <c r="AS167" s="209">
        <f>AR167*(1+Driver_macroeconómicos_Agricult!AH$40)</f>
        <v>0.11788477734834406</v>
      </c>
      <c r="AT167" s="209">
        <f>AS167*(1+Driver_macroeconómicos_Agricult!AI$40)</f>
        <v>0.12001864944591756</v>
      </c>
      <c r="AU167" s="209">
        <f>AT167*(1+Driver_macroeconómicos_Agricult!AJ$40)</f>
        <v>0.12216853999030379</v>
      </c>
      <c r="AV167" s="209">
        <f>AU167*(1+Driver_macroeconómicos_Agricult!AK$40)</f>
        <v>0.12462127002447125</v>
      </c>
      <c r="AW167" s="209">
        <f>AV167*(1+Driver_macroeconómicos_Agricult!AL$40)</f>
        <v>0.12686861506239033</v>
      </c>
      <c r="AX167" s="209">
        <f>AW167*(1+Driver_macroeconómicos_Agricult!AM$40)</f>
        <v>0.12912613647872137</v>
      </c>
      <c r="AY167" s="209">
        <f>AX167*(1+Driver_macroeconómicos_Agricult!AN$40)</f>
        <v>0.13144272994729828</v>
      </c>
      <c r="AZ167" s="209">
        <f>AY167*(1+Driver_macroeconómicos_Agricult!AO$40)</f>
        <v>0.13377470391527416</v>
      </c>
      <c r="BA167" s="209">
        <f>AZ167*(1+Driver_macroeconómicos_Agricult!AP$40)</f>
        <v>0.1361714400974593</v>
      </c>
      <c r="BB167" s="209">
        <f>BA167*(1+Driver_macroeconómicos_Agricult!AQ$40)</f>
        <v>0.13849511318030511</v>
      </c>
      <c r="BC167" s="209">
        <f>BB167*(1+Driver_macroeconómicos_Agricult!AR$40)</f>
        <v>0.14084371837305629</v>
      </c>
      <c r="BD167" s="209">
        <f>BC167*(1+Driver_macroeconómicos_Agricult!AS$40)</f>
        <v>0.14321515822372741</v>
      </c>
      <c r="BE167" s="209">
        <f>BD167*(1+Driver_macroeconómicos_Agricult!AT$40)</f>
        <v>0.14559661776498536</v>
      </c>
      <c r="BF167" s="209">
        <f>BE167*(1+Driver_macroeconómicos_Agricult!AU$40)</f>
        <v>0.14797647898758054</v>
      </c>
      <c r="BG167" s="209">
        <f>BF167*(1+Driver_macroeconómicos_Agricult!AV$40)</f>
        <v>0.15036273643256051</v>
      </c>
      <c r="BH167" s="209">
        <f>BG167*(1+Driver_macroeconómicos_Agricult!AW$40)</f>
        <v>0.15275873287922312</v>
      </c>
      <c r="BI167" s="209">
        <f>BH167*(1+Driver_macroeconómicos_Agricult!AX$40)</f>
        <v>0.15516486697900742</v>
      </c>
      <c r="BJ167" s="209">
        <f>BI167*(1+Driver_macroeconómicos_Agricult!AY$40)</f>
        <v>0.15757396942825971</v>
      </c>
      <c r="BK167" s="209">
        <f>BJ167*(1+Driver_macroeconómicos_Agricult!AZ$40)</f>
        <v>0.15998505226571655</v>
      </c>
      <c r="BL167" s="209">
        <f>BK167*(1+Driver_macroeconómicos_Agricult!BA$40)</f>
        <v>0.16239446859485324</v>
      </c>
      <c r="BM167" s="209">
        <f>BL167*(1+Driver_macroeconómicos_Agricult!BB$40)</f>
        <v>0.16480691214084886</v>
      </c>
      <c r="BN167" s="209">
        <f>BM167*(1+Driver_macroeconómicos_Agricult!BC$40)</f>
        <v>0.16722075747164869</v>
      </c>
      <c r="BO167" s="209">
        <f>BN167*(1+Driver_macroeconómicos_Agricult!BD$40)</f>
        <v>0.16963423097908326</v>
      </c>
      <c r="BP167" s="182"/>
    </row>
    <row r="168" spans="1:96" ht="14.25" customHeight="1" x14ac:dyDescent="0.3">
      <c r="A168" s="964"/>
      <c r="B168" s="964"/>
      <c r="C168" s="964"/>
      <c r="D168" s="944"/>
      <c r="E168" s="183"/>
      <c r="F168" s="185" t="s">
        <v>426</v>
      </c>
      <c r="G168" s="190">
        <f t="shared" ref="G168:S168" si="213">G169*(1-$I$134/100)</f>
        <v>0.10549737000000001</v>
      </c>
      <c r="H168" s="190">
        <f t="shared" si="213"/>
        <v>0.11580525</v>
      </c>
      <c r="I168" s="190">
        <f t="shared" si="213"/>
        <v>0.11627451</v>
      </c>
      <c r="J168" s="190">
        <f t="shared" si="213"/>
        <v>0.15217784999999998</v>
      </c>
      <c r="K168" s="190">
        <f t="shared" si="213"/>
        <v>0.16353809999999999</v>
      </c>
      <c r="L168" s="191">
        <f t="shared" si="213"/>
        <v>0.14436576000000001</v>
      </c>
      <c r="M168" s="191">
        <f t="shared" si="213"/>
        <v>0.14175513000000001</v>
      </c>
      <c r="N168" s="191">
        <f t="shared" si="213"/>
        <v>0.14669126999999998</v>
      </c>
      <c r="O168" s="191">
        <f t="shared" si="213"/>
        <v>0.15325496999999999</v>
      </c>
      <c r="P168" s="191">
        <f t="shared" si="213"/>
        <v>0.15681698999999999</v>
      </c>
      <c r="Q168" s="191">
        <f t="shared" si="213"/>
        <v>0.15137792999999999</v>
      </c>
      <c r="R168" s="191">
        <f t="shared" si="213"/>
        <v>0.16611704999999999</v>
      </c>
      <c r="S168" s="191">
        <f t="shared" si="213"/>
        <v>0.16335</v>
      </c>
      <c r="T168" s="209">
        <f>S168*(1+Driver_macroeconómicos_Agricult!I$40)</f>
        <v>0.15530004836668918</v>
      </c>
      <c r="U168" s="209">
        <f>T168*(1+Driver_macroeconómicos_Agricult!J$40)</f>
        <v>0.1830414376999753</v>
      </c>
      <c r="V168" s="209">
        <f>U168*(1+Driver_macroeconómicos_Agricult!K$40)</f>
        <v>0.17849437593620548</v>
      </c>
      <c r="W168" s="209">
        <f>V168*(1+Driver_macroeconómicos_Agricult!L$40)</f>
        <v>0.21006531659546282</v>
      </c>
      <c r="X168" s="209">
        <f>W168*(1+Driver_macroeconómicos_Agricult!M$40)</f>
        <v>0.22190190043174365</v>
      </c>
      <c r="Y168" s="209">
        <f>X168*(1+Driver_macroeconómicos_Agricult!N$40)</f>
        <v>0.23493588070253604</v>
      </c>
      <c r="Z168" s="209">
        <f>Y168*(1+Driver_macroeconómicos_Agricult!O$40)</f>
        <v>0.24619317133080149</v>
      </c>
      <c r="AA168" s="209">
        <f>Z168*(1+Driver_macroeconómicos_Agricult!P$40)</f>
        <v>0.26085378701888312</v>
      </c>
      <c r="AB168" s="209">
        <f>AA168*(1+Driver_macroeconómicos_Agricult!Q$40)</f>
        <v>0.2427445663467051</v>
      </c>
      <c r="AC168" s="209">
        <f>AB168*(1+Driver_macroeconómicos_Agricult!R$40)</f>
        <v>0.25201918408969598</v>
      </c>
      <c r="AD168" s="209">
        <f>AC168*(1+Driver_macroeconómicos_Agricult!S$40)</f>
        <v>0.26484553187885823</v>
      </c>
      <c r="AE168" s="209">
        <f>AD168*(1+Driver_macroeconómicos_Agricult!T$40)</f>
        <v>0.27274321572022592</v>
      </c>
      <c r="AF168" s="209">
        <f>AE168*(1+Driver_macroeconómicos_Agricult!U$40)</f>
        <v>0.28019696043669912</v>
      </c>
      <c r="AG168" s="209">
        <f>AF168*(1+Driver_macroeconómicos_Agricult!V$40)</f>
        <v>0.28735655073536004</v>
      </c>
      <c r="AH168" s="209">
        <f>AG168*(1+Driver_macroeconómicos_Agricult!W$40)</f>
        <v>0.29281546449215562</v>
      </c>
      <c r="AI168" s="209">
        <f>AH168*(1+Driver_macroeconómicos_Agricult!X$40)</f>
        <v>0.29689628984494798</v>
      </c>
      <c r="AJ168" s="209">
        <f>AI168*(1+Driver_macroeconómicos_Agricult!Y$40)</f>
        <v>0.30570557685666594</v>
      </c>
      <c r="AK168" s="209">
        <f>AJ168*(1+Driver_macroeconómicos_Agricult!Z$40)</f>
        <v>0.31362769365980442</v>
      </c>
      <c r="AL168" s="209">
        <f>AK168*(1+Driver_macroeconómicos_Agricult!AA$40)</f>
        <v>0.32097531260241641</v>
      </c>
      <c r="AM168" s="209">
        <f>AL168*(1+Driver_macroeconómicos_Agricult!AB$40)</f>
        <v>0.3280671032485446</v>
      </c>
      <c r="AN168" s="209">
        <f>AM168*(1+Driver_macroeconómicos_Agricult!AC$40)</f>
        <v>0.33356446885635715</v>
      </c>
      <c r="AO168" s="209">
        <f>AN168*(1+Driver_macroeconómicos_Agricult!AD$40)</f>
        <v>0.34059233834350394</v>
      </c>
      <c r="AP168" s="209">
        <f>AO168*(1+Driver_macroeconómicos_Agricult!AE$40)</f>
        <v>0.34677533675594874</v>
      </c>
      <c r="AQ168" s="209">
        <f>AP168*(1+Driver_macroeconómicos_Agricult!AF$40)</f>
        <v>0.35500057731037388</v>
      </c>
      <c r="AR168" s="209">
        <f>AQ168*(1+Driver_macroeconómicos_Agricult!AG$40)</f>
        <v>0.36166641519884291</v>
      </c>
      <c r="AS168" s="209">
        <f>AR168*(1+Driver_macroeconómicos_Agricult!AH$40)</f>
        <v>0.36812650667843289</v>
      </c>
      <c r="AT168" s="209">
        <f>AS168*(1+Driver_macroeconómicos_Agricult!AI$40)</f>
        <v>0.37479008868323316</v>
      </c>
      <c r="AU168" s="209">
        <f>AT168*(1+Driver_macroeconómicos_Agricult!AJ$40)</f>
        <v>0.38150369253988087</v>
      </c>
      <c r="AV168" s="209">
        <f>AU168*(1+Driver_macroeconómicos_Agricult!AK$40)</f>
        <v>0.3891629930841341</v>
      </c>
      <c r="AW168" s="209">
        <f>AV168*(1+Driver_macroeconómicos_Agricult!AL$40)</f>
        <v>0.39618092446356579</v>
      </c>
      <c r="AX168" s="209">
        <f>AW168*(1+Driver_macroeconómicos_Agricult!AM$40)</f>
        <v>0.40323063428564038</v>
      </c>
      <c r="AY168" s="209">
        <f>AX168*(1+Driver_macroeconómicos_Agricult!AN$40)</f>
        <v>0.41046481226997256</v>
      </c>
      <c r="AZ168" s="209">
        <f>AY168*(1+Driver_macroeconómicos_Agricult!AO$40)</f>
        <v>0.41774701994602631</v>
      </c>
      <c r="BA168" s="209">
        <f>AZ168*(1+Driver_macroeconómicos_Agricult!AP$40)</f>
        <v>0.425231464825372</v>
      </c>
      <c r="BB168" s="209">
        <f>BA168*(1+Driver_macroeconómicos_Agricult!AQ$40)</f>
        <v>0.43248775078435586</v>
      </c>
      <c r="BC168" s="209">
        <f>BB168*(1+Driver_macroeconómicos_Agricult!AR$40)</f>
        <v>0.43982189387409099</v>
      </c>
      <c r="BD168" s="209">
        <f>BC168*(1+Driver_macroeconómicos_Agricult!AS$40)</f>
        <v>0.44722734424403937</v>
      </c>
      <c r="BE168" s="209">
        <f>BD168*(1+Driver_macroeconómicos_Agricult!AT$40)</f>
        <v>0.4546640837573081</v>
      </c>
      <c r="BF168" s="209">
        <f>BE168*(1+Driver_macroeconómicos_Agricult!AU$40)</f>
        <v>0.46209583209632071</v>
      </c>
      <c r="BG168" s="209">
        <f>BF168*(1+Driver_macroeconómicos_Agricult!AV$40)</f>
        <v>0.46954755433743856</v>
      </c>
      <c r="BH168" s="209">
        <f>BG168*(1+Driver_macroeconómicos_Agricult!AW$40)</f>
        <v>0.47702968919627187</v>
      </c>
      <c r="BI168" s="209">
        <f>BH168*(1+Driver_macroeconómicos_Agricult!AX$40)</f>
        <v>0.48454348156775057</v>
      </c>
      <c r="BJ168" s="209">
        <f>BI168*(1+Driver_macroeconómicos_Agricult!AY$40)</f>
        <v>0.49206654339831324</v>
      </c>
      <c r="BK168" s="209">
        <f>BJ168*(1+Driver_macroeconómicos_Agricult!AZ$40)</f>
        <v>0.49959578951668648</v>
      </c>
      <c r="BL168" s="209">
        <f>BK168*(1+Driver_macroeconómicos_Agricult!BA$40)</f>
        <v>0.50711983152049933</v>
      </c>
      <c r="BM168" s="209">
        <f>BL168*(1+Driver_macroeconómicos_Agricult!BB$40)</f>
        <v>0.51465332681244913</v>
      </c>
      <c r="BN168" s="209">
        <f>BM168*(1+Driver_macroeconómicos_Agricult!BC$40)</f>
        <v>0.52219119954951687</v>
      </c>
      <c r="BO168" s="209">
        <f>BN168*(1+Driver_macroeconómicos_Agricult!BD$40)</f>
        <v>0.52972791116943585</v>
      </c>
      <c r="BP168" s="182"/>
    </row>
    <row r="169" spans="1:96" ht="13.5" hidden="1" customHeight="1" x14ac:dyDescent="0.3">
      <c r="A169" s="960"/>
      <c r="B169" s="960"/>
      <c r="C169" s="960"/>
      <c r="D169" s="944"/>
      <c r="E169" s="183"/>
      <c r="F169" s="185" t="s">
        <v>426</v>
      </c>
      <c r="G169" s="190">
        <v>0.106563</v>
      </c>
      <c r="H169" s="190">
        <v>0.116975</v>
      </c>
      <c r="I169" s="190">
        <v>0.117449</v>
      </c>
      <c r="J169" s="190">
        <v>0.15371499999999999</v>
      </c>
      <c r="K169" s="190">
        <v>0.16519</v>
      </c>
      <c r="L169" s="191">
        <v>0.14582400000000001</v>
      </c>
      <c r="M169" s="191">
        <v>0.14318700000000001</v>
      </c>
      <c r="N169" s="191">
        <v>0.148173</v>
      </c>
      <c r="O169" s="191">
        <v>0.154803</v>
      </c>
      <c r="P169" s="191">
        <v>0.15840099999999999</v>
      </c>
      <c r="Q169" s="191">
        <v>0.15290699999999999</v>
      </c>
      <c r="R169" s="191">
        <v>0.167795</v>
      </c>
      <c r="S169" s="910">
        <v>0.16500000000000001</v>
      </c>
      <c r="T169" s="202"/>
      <c r="U169" s="202"/>
      <c r="V169" s="202"/>
      <c r="W169" s="202"/>
      <c r="X169" s="202"/>
      <c r="Y169" s="202"/>
      <c r="Z169" s="202"/>
      <c r="AA169" s="202"/>
      <c r="AB169" s="202"/>
      <c r="AC169" s="202"/>
      <c r="AD169" s="202"/>
      <c r="AE169" s="202"/>
      <c r="AF169" s="202"/>
      <c r="AG169" s="202"/>
      <c r="AH169" s="202"/>
      <c r="AI169" s="202"/>
      <c r="AJ169" s="202"/>
      <c r="AK169" s="202"/>
      <c r="AL169" s="202"/>
      <c r="AM169" s="202"/>
      <c r="AN169" s="202"/>
      <c r="AO169" s="202"/>
      <c r="AP169" s="202"/>
      <c r="AQ169" s="202"/>
      <c r="AR169" s="202"/>
      <c r="AS169" s="202"/>
      <c r="AT169" s="202"/>
      <c r="AU169" s="202"/>
      <c r="AV169" s="202"/>
      <c r="AW169" s="202"/>
      <c r="AX169" s="202"/>
      <c r="AY169" s="202"/>
      <c r="AZ169" s="202"/>
      <c r="BA169" s="202"/>
      <c r="BB169" s="202"/>
      <c r="BC169" s="202"/>
      <c r="BD169" s="202"/>
      <c r="BE169" s="202"/>
      <c r="BF169" s="202"/>
      <c r="BG169" s="202"/>
      <c r="BH169" s="202"/>
      <c r="BI169" s="202"/>
      <c r="BJ169" s="202"/>
      <c r="BK169" s="202"/>
      <c r="BL169" s="202"/>
      <c r="BM169" s="202"/>
      <c r="BN169" s="202"/>
      <c r="BO169" s="202"/>
      <c r="BP169" s="182"/>
    </row>
    <row r="170" spans="1:96" ht="13.5" customHeight="1" x14ac:dyDescent="0.3">
      <c r="A170" s="48"/>
      <c r="B170" s="48"/>
      <c r="C170" s="48"/>
      <c r="D170" s="49"/>
      <c r="E170" s="194"/>
      <c r="F170" s="179" t="s">
        <v>459</v>
      </c>
      <c r="G170" s="196">
        <f t="shared" ref="G170:L170" si="214">SUM(G155:G168)</f>
        <v>5.8174978009500053</v>
      </c>
      <c r="H170" s="196">
        <f t="shared" si="214"/>
        <v>6.5003795237700004</v>
      </c>
      <c r="I170" s="196">
        <f t="shared" si="214"/>
        <v>5.982891566850002</v>
      </c>
      <c r="J170" s="196">
        <f t="shared" si="214"/>
        <v>6.1744672380600054</v>
      </c>
      <c r="K170" s="196">
        <f t="shared" si="214"/>
        <v>6.7420806007500005</v>
      </c>
      <c r="L170" s="196">
        <f t="shared" si="214"/>
        <v>7.8845769929687322</v>
      </c>
      <c r="M170" s="196">
        <f t="shared" ref="M170:BO170" si="215">SUM(M155:M168)</f>
        <v>6.8502046020820702</v>
      </c>
      <c r="N170" s="196">
        <f t="shared" si="215"/>
        <v>7.0049221710936065</v>
      </c>
      <c r="O170" s="196">
        <f t="shared" si="215"/>
        <v>7.3436762344502995</v>
      </c>
      <c r="P170" s="196">
        <f t="shared" si="215"/>
        <v>7.2230138901811758</v>
      </c>
      <c r="Q170" s="196">
        <f t="shared" si="215"/>
        <v>7.4139357704191564</v>
      </c>
      <c r="R170" s="196">
        <f t="shared" si="215"/>
        <v>7.4901644524561206</v>
      </c>
      <c r="S170" s="196">
        <f t="shared" si="215"/>
        <v>6.8826812278078311</v>
      </c>
      <c r="T170" s="196">
        <f t="shared" si="215"/>
        <v>6.8966819713631873</v>
      </c>
      <c r="U170" s="196">
        <f t="shared" si="215"/>
        <v>7.1139230285261439</v>
      </c>
      <c r="V170" s="196">
        <f t="shared" si="215"/>
        <v>7.148954065327116</v>
      </c>
      <c r="W170" s="196">
        <f t="shared" si="215"/>
        <v>7.2887526613047875</v>
      </c>
      <c r="X170" s="196">
        <f t="shared" si="215"/>
        <v>7.3410587263303446</v>
      </c>
      <c r="Y170" s="196">
        <f t="shared" si="215"/>
        <v>7.3984440282352839</v>
      </c>
      <c r="Z170" s="196">
        <f t="shared" si="215"/>
        <v>7.4483516486617392</v>
      </c>
      <c r="AA170" s="196">
        <f t="shared" si="215"/>
        <v>7.5126528277587443</v>
      </c>
      <c r="AB170" s="196">
        <f t="shared" si="215"/>
        <v>7.4386178749387879</v>
      </c>
      <c r="AC170" s="196">
        <f t="shared" si="215"/>
        <v>7.4802272283276929</v>
      </c>
      <c r="AD170" s="196">
        <f t="shared" si="215"/>
        <v>7.536857462933817</v>
      </c>
      <c r="AE170" s="196">
        <f t="shared" si="215"/>
        <v>7.5727029986718026</v>
      </c>
      <c r="AF170" s="196">
        <f t="shared" si="215"/>
        <v>7.6066994424250494</v>
      </c>
      <c r="AG170" s="196">
        <f t="shared" si="215"/>
        <v>7.643489313894519</v>
      </c>
      <c r="AH170" s="196">
        <f t="shared" si="215"/>
        <v>7.6715336858174714</v>
      </c>
      <c r="AI170" s="196">
        <f t="shared" si="215"/>
        <v>7.6924914293307642</v>
      </c>
      <c r="AJ170" s="196">
        <f t="shared" si="215"/>
        <v>7.7377647524362247</v>
      </c>
      <c r="AK170" s="196">
        <f t="shared" si="215"/>
        <v>7.7784759355590696</v>
      </c>
      <c r="AL170" s="196">
        <f t="shared" si="215"/>
        <v>7.8162328590654901</v>
      </c>
      <c r="AM170" s="196">
        <f t="shared" si="215"/>
        <v>7.8526742432922463</v>
      </c>
      <c r="AN170" s="196">
        <f t="shared" si="215"/>
        <v>7.8809165135387254</v>
      </c>
      <c r="AO170" s="196">
        <f t="shared" si="215"/>
        <v>7.917029245386999</v>
      </c>
      <c r="AP170" s="196">
        <f t="shared" si="215"/>
        <v>7.9487973553853557</v>
      </c>
      <c r="AQ170" s="196">
        <f t="shared" si="215"/>
        <v>7.9910674801344355</v>
      </c>
      <c r="AR170" s="196">
        <f t="shared" si="215"/>
        <v>8.0253185891821612</v>
      </c>
      <c r="AS170" s="196">
        <f t="shared" si="215"/>
        <v>8.0585116989421781</v>
      </c>
      <c r="AT170" s="196">
        <f t="shared" si="215"/>
        <v>8.0927512616893686</v>
      </c>
      <c r="AU170" s="196">
        <f t="shared" si="215"/>
        <v>8.1272480829812075</v>
      </c>
      <c r="AV170" s="196">
        <f t="shared" si="215"/>
        <v>8.1666080641963177</v>
      </c>
      <c r="AW170" s="196">
        <f t="shared" si="215"/>
        <v>8.2026699077598124</v>
      </c>
      <c r="AX170" s="196">
        <f t="shared" si="215"/>
        <v>8.2388951952228044</v>
      </c>
      <c r="AY170" s="196">
        <f t="shared" si="215"/>
        <v>8.2760691152965578</v>
      </c>
      <c r="AZ170" s="196">
        <f t="shared" si="215"/>
        <v>8.3134900493329376</v>
      </c>
      <c r="BA170" s="196">
        <f t="shared" si="215"/>
        <v>8.3519509911080334</v>
      </c>
      <c r="BB170" s="196">
        <f t="shared" si="215"/>
        <v>8.3892386796749463</v>
      </c>
      <c r="BC170" s="196">
        <f t="shared" si="215"/>
        <v>8.4269267661843053</v>
      </c>
      <c r="BD170" s="196">
        <f t="shared" si="215"/>
        <v>8.4649815687811696</v>
      </c>
      <c r="BE170" s="196">
        <f t="shared" si="215"/>
        <v>8.5031972989252367</v>
      </c>
      <c r="BF170" s="196">
        <f t="shared" si="215"/>
        <v>8.5413873893678733</v>
      </c>
      <c r="BG170" s="196">
        <f t="shared" si="215"/>
        <v>8.5796802200207392</v>
      </c>
      <c r="BH170" s="196">
        <f t="shared" si="215"/>
        <v>8.6181294707115832</v>
      </c>
      <c r="BI170" s="196">
        <f t="shared" si="215"/>
        <v>8.6567415431378851</v>
      </c>
      <c r="BJ170" s="196">
        <f t="shared" si="215"/>
        <v>8.6954013093679414</v>
      </c>
      <c r="BK170" s="196">
        <f t="shared" si="215"/>
        <v>8.7340929042483904</v>
      </c>
      <c r="BL170" s="196">
        <f t="shared" si="215"/>
        <v>8.7727577642466876</v>
      </c>
      <c r="BM170" s="196">
        <f t="shared" si="215"/>
        <v>8.8114712632877392</v>
      </c>
      <c r="BN170" s="196">
        <f t="shared" si="215"/>
        <v>8.8502072994253798</v>
      </c>
      <c r="BO170" s="196">
        <f t="shared" si="215"/>
        <v>8.8889373912347143</v>
      </c>
      <c r="BP170" s="197"/>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c r="CR170" s="50"/>
    </row>
    <row r="171" spans="1:96" ht="14.25" customHeight="1" x14ac:dyDescent="0.3">
      <c r="A171" s="960"/>
      <c r="B171" s="960"/>
      <c r="C171" s="960"/>
      <c r="D171" s="944"/>
      <c r="E171" s="183"/>
      <c r="F171" s="198"/>
      <c r="G171" s="198"/>
      <c r="H171" s="198"/>
      <c r="I171" s="198"/>
      <c r="J171" s="198"/>
      <c r="K171" s="198"/>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c r="BI171" s="199"/>
      <c r="BJ171" s="199"/>
      <c r="BK171" s="199"/>
      <c r="BL171" s="199"/>
      <c r="BM171" s="199"/>
      <c r="BN171" s="199"/>
      <c r="BO171" s="199"/>
      <c r="BP171" s="182"/>
    </row>
    <row r="172" spans="1:96" ht="14.25" customHeight="1" x14ac:dyDescent="0.3">
      <c r="A172" s="960"/>
      <c r="B172" s="960"/>
      <c r="C172" s="960"/>
      <c r="D172" s="944"/>
      <c r="E172" s="177"/>
      <c r="F172" s="178" t="s">
        <v>460</v>
      </c>
      <c r="G172" s="179"/>
      <c r="H172" s="179"/>
      <c r="I172" s="179"/>
      <c r="J172" s="179"/>
      <c r="K172" s="179"/>
      <c r="L172" s="180"/>
      <c r="M172" s="181"/>
      <c r="N172" s="181"/>
      <c r="O172" s="181"/>
      <c r="P172" s="181"/>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c r="BF172" s="181"/>
      <c r="BG172" s="181"/>
      <c r="BH172" s="181"/>
      <c r="BI172" s="181"/>
      <c r="BJ172" s="181"/>
      <c r="BK172" s="181"/>
      <c r="BL172" s="181"/>
      <c r="BM172" s="181"/>
      <c r="BN172" s="181"/>
      <c r="BO172" s="181"/>
      <c r="BP172" s="182"/>
    </row>
    <row r="173" spans="1:96" ht="14.25" hidden="1" customHeight="1" x14ac:dyDescent="0.3">
      <c r="A173" s="960"/>
      <c r="B173" s="960"/>
      <c r="C173" s="960"/>
      <c r="D173" s="944"/>
      <c r="E173" s="183"/>
      <c r="F173" s="184" t="s">
        <v>461</v>
      </c>
      <c r="G173" s="179"/>
      <c r="H173" s="179"/>
      <c r="I173" s="179"/>
      <c r="J173" s="179"/>
      <c r="K173" s="179"/>
      <c r="L173" s="180"/>
      <c r="M173" s="181"/>
      <c r="N173" s="181"/>
      <c r="O173" s="181"/>
      <c r="P173" s="181"/>
      <c r="Q173" s="181"/>
      <c r="R173" s="181"/>
      <c r="S173" s="181"/>
      <c r="T173" s="181"/>
      <c r="U173" s="181"/>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c r="BF173" s="181"/>
      <c r="BG173" s="181"/>
      <c r="BH173" s="181"/>
      <c r="BI173" s="181"/>
      <c r="BJ173" s="181"/>
      <c r="BK173" s="181"/>
      <c r="BL173" s="181"/>
      <c r="BM173" s="181"/>
      <c r="BN173" s="181"/>
      <c r="BO173" s="181"/>
      <c r="BP173" s="182"/>
    </row>
    <row r="174" spans="1:96" ht="14.25" hidden="1" customHeight="1" x14ac:dyDescent="0.3">
      <c r="A174" s="1199" t="s">
        <v>452</v>
      </c>
      <c r="B174" s="964"/>
      <c r="C174" s="964"/>
      <c r="D174" s="944"/>
      <c r="E174" s="183"/>
      <c r="F174" s="185" t="s">
        <v>453</v>
      </c>
      <c r="G174" s="186">
        <v>0</v>
      </c>
      <c r="H174" s="186">
        <v>16.062999999999999</v>
      </c>
      <c r="I174" s="186">
        <v>7923.118999999997</v>
      </c>
      <c r="J174" s="186">
        <v>124.32300000000001</v>
      </c>
      <c r="K174" s="186">
        <v>0</v>
      </c>
      <c r="L174" s="187">
        <v>0</v>
      </c>
      <c r="M174" s="187">
        <v>0</v>
      </c>
      <c r="N174" s="187">
        <v>0</v>
      </c>
      <c r="O174" s="187">
        <v>0</v>
      </c>
      <c r="P174" s="187">
        <v>0</v>
      </c>
      <c r="Q174" s="187">
        <v>0</v>
      </c>
      <c r="R174" s="187">
        <v>22.534420000000001</v>
      </c>
      <c r="S174" s="202"/>
      <c r="T174" s="202"/>
      <c r="U174" s="202"/>
      <c r="V174" s="202"/>
      <c r="W174" s="202"/>
      <c r="X174" s="202"/>
      <c r="Y174" s="202"/>
      <c r="Z174" s="202"/>
      <c r="AA174" s="202"/>
      <c r="AB174" s="202"/>
      <c r="AC174" s="202"/>
      <c r="AD174" s="202"/>
      <c r="AE174" s="202"/>
      <c r="AF174" s="202"/>
      <c r="AG174" s="202"/>
      <c r="AH174" s="202"/>
      <c r="AI174" s="202"/>
      <c r="AJ174" s="202"/>
      <c r="AK174" s="202"/>
      <c r="AL174" s="202"/>
      <c r="AM174" s="202"/>
      <c r="AN174" s="202"/>
      <c r="AO174" s="202"/>
      <c r="AP174" s="202"/>
      <c r="AQ174" s="202"/>
      <c r="AR174" s="202"/>
      <c r="AS174" s="202"/>
      <c r="AT174" s="202"/>
      <c r="AU174" s="202"/>
      <c r="AV174" s="202"/>
      <c r="AW174" s="202"/>
      <c r="AX174" s="202"/>
      <c r="AY174" s="202"/>
      <c r="AZ174" s="202"/>
      <c r="BA174" s="202"/>
      <c r="BB174" s="202"/>
      <c r="BC174" s="202"/>
      <c r="BD174" s="202"/>
      <c r="BE174" s="202"/>
      <c r="BF174" s="202"/>
      <c r="BG174" s="202"/>
      <c r="BH174" s="202"/>
      <c r="BI174" s="202"/>
      <c r="BJ174" s="202"/>
      <c r="BK174" s="202"/>
      <c r="BL174" s="202"/>
      <c r="BM174" s="202"/>
      <c r="BN174" s="202"/>
      <c r="BO174" s="202"/>
      <c r="BP174" s="182"/>
    </row>
    <row r="175" spans="1:96" ht="14.25" hidden="1" customHeight="1" x14ac:dyDescent="0.3">
      <c r="A175" s="982"/>
      <c r="D175" s="944"/>
      <c r="E175" s="183"/>
      <c r="F175" s="185" t="s">
        <v>400</v>
      </c>
      <c r="G175" s="186">
        <v>0</v>
      </c>
      <c r="H175" s="186">
        <v>0</v>
      </c>
      <c r="I175" s="186">
        <v>0</v>
      </c>
      <c r="J175" s="186">
        <v>0</v>
      </c>
      <c r="K175" s="186">
        <v>0</v>
      </c>
      <c r="L175" s="187">
        <v>0.51</v>
      </c>
      <c r="M175" s="187">
        <v>30</v>
      </c>
      <c r="N175" s="187">
        <v>60</v>
      </c>
      <c r="O175" s="187">
        <v>60</v>
      </c>
      <c r="P175" s="187">
        <v>60</v>
      </c>
      <c r="Q175" s="187">
        <v>15.658855000000001</v>
      </c>
      <c r="R175" s="187">
        <v>15</v>
      </c>
      <c r="S175" s="202"/>
      <c r="T175" s="202"/>
      <c r="U175" s="202"/>
      <c r="V175" s="202"/>
      <c r="W175" s="202"/>
      <c r="X175" s="202"/>
      <c r="Y175" s="202"/>
      <c r="Z175" s="202"/>
      <c r="AA175" s="202"/>
      <c r="AB175" s="202"/>
      <c r="AC175" s="202"/>
      <c r="AD175" s="202"/>
      <c r="AE175" s="202"/>
      <c r="AF175" s="202"/>
      <c r="AG175" s="202"/>
      <c r="AH175" s="202"/>
      <c r="AI175" s="202"/>
      <c r="AJ175" s="202"/>
      <c r="AK175" s="202"/>
      <c r="AL175" s="202"/>
      <c r="AM175" s="202"/>
      <c r="AN175" s="202"/>
      <c r="AO175" s="202"/>
      <c r="AP175" s="202"/>
      <c r="AQ175" s="202"/>
      <c r="AR175" s="202"/>
      <c r="AS175" s="202"/>
      <c r="AT175" s="202"/>
      <c r="AU175" s="202"/>
      <c r="AV175" s="202"/>
      <c r="AW175" s="202"/>
      <c r="AX175" s="202"/>
      <c r="AY175" s="202"/>
      <c r="AZ175" s="202"/>
      <c r="BA175" s="202"/>
      <c r="BB175" s="202"/>
      <c r="BC175" s="202"/>
      <c r="BD175" s="202"/>
      <c r="BE175" s="202"/>
      <c r="BF175" s="202"/>
      <c r="BG175" s="202"/>
      <c r="BH175" s="202"/>
      <c r="BI175" s="202"/>
      <c r="BJ175" s="202"/>
      <c r="BK175" s="202"/>
      <c r="BL175" s="202"/>
      <c r="BM175" s="202"/>
      <c r="BN175" s="202"/>
      <c r="BO175" s="202"/>
      <c r="BP175" s="182"/>
    </row>
    <row r="176" spans="1:96" ht="14.25" hidden="1" customHeight="1" x14ac:dyDescent="0.3">
      <c r="A176" s="982"/>
      <c r="D176" s="944"/>
      <c r="E176" s="183"/>
      <c r="F176" s="185" t="s">
        <v>401</v>
      </c>
      <c r="G176" s="186">
        <v>2794.7180000000003</v>
      </c>
      <c r="H176" s="186">
        <v>6397.199999999998</v>
      </c>
      <c r="I176" s="186">
        <v>2282.7840000000001</v>
      </c>
      <c r="J176" s="186">
        <v>518.40899999999988</v>
      </c>
      <c r="K176" s="186">
        <v>134.65200000000002</v>
      </c>
      <c r="L176" s="187">
        <v>202.33999999999995</v>
      </c>
      <c r="M176" s="187">
        <v>484.5259999999999</v>
      </c>
      <c r="N176" s="187">
        <v>340.15158400000001</v>
      </c>
      <c r="O176" s="187">
        <v>1774.2951250000001</v>
      </c>
      <c r="P176" s="187">
        <v>312.24608000000001</v>
      </c>
      <c r="Q176" s="187">
        <v>287.90874300000002</v>
      </c>
      <c r="R176" s="187">
        <v>361.24710299999998</v>
      </c>
      <c r="S176" s="202"/>
      <c r="T176" s="202"/>
      <c r="U176" s="202"/>
      <c r="V176" s="202"/>
      <c r="W176" s="202"/>
      <c r="X176" s="202"/>
      <c r="Y176" s="202"/>
      <c r="Z176" s="202"/>
      <c r="AA176" s="202"/>
      <c r="AB176" s="202"/>
      <c r="AC176" s="202"/>
      <c r="AD176" s="202"/>
      <c r="AE176" s="202"/>
      <c r="AF176" s="202"/>
      <c r="AG176" s="202"/>
      <c r="AH176" s="202"/>
      <c r="AI176" s="202"/>
      <c r="AJ176" s="202"/>
      <c r="AK176" s="202"/>
      <c r="AL176" s="202"/>
      <c r="AM176" s="202"/>
      <c r="AN176" s="202"/>
      <c r="AO176" s="202"/>
      <c r="AP176" s="202"/>
      <c r="AQ176" s="202"/>
      <c r="AR176" s="202"/>
      <c r="AS176" s="202"/>
      <c r="AT176" s="202"/>
      <c r="AU176" s="202"/>
      <c r="AV176" s="202"/>
      <c r="AW176" s="202"/>
      <c r="AX176" s="202"/>
      <c r="AY176" s="202"/>
      <c r="AZ176" s="202"/>
      <c r="BA176" s="202"/>
      <c r="BB176" s="202"/>
      <c r="BC176" s="202"/>
      <c r="BD176" s="202"/>
      <c r="BE176" s="202"/>
      <c r="BF176" s="202"/>
      <c r="BG176" s="202"/>
      <c r="BH176" s="202"/>
      <c r="BI176" s="202"/>
      <c r="BJ176" s="202"/>
      <c r="BK176" s="202"/>
      <c r="BL176" s="202"/>
      <c r="BM176" s="202"/>
      <c r="BN176" s="202"/>
      <c r="BO176" s="202"/>
      <c r="BP176" s="182"/>
    </row>
    <row r="177" spans="1:68" ht="14.25" hidden="1" customHeight="1" x14ac:dyDescent="0.3">
      <c r="A177" s="982"/>
      <c r="D177" s="944"/>
      <c r="E177" s="183"/>
      <c r="F177" s="185" t="s">
        <v>402</v>
      </c>
      <c r="G177" s="186">
        <v>41202.606</v>
      </c>
      <c r="H177" s="186">
        <v>58654.512999999992</v>
      </c>
      <c r="I177" s="186">
        <v>40378.918000000005</v>
      </c>
      <c r="J177" s="186">
        <v>2112.5790000000002</v>
      </c>
      <c r="K177" s="186">
        <v>22330.165999999997</v>
      </c>
      <c r="L177" s="187">
        <v>49898.688999999998</v>
      </c>
      <c r="M177" s="187">
        <v>47255.521000000001</v>
      </c>
      <c r="N177" s="187">
        <v>76128.718972999995</v>
      </c>
      <c r="O177" s="187">
        <v>38884.333965999998</v>
      </c>
      <c r="P177" s="187">
        <v>29212.890694999998</v>
      </c>
      <c r="Q177" s="187">
        <v>28206.221514000001</v>
      </c>
      <c r="R177" s="187">
        <v>39545.418916000002</v>
      </c>
      <c r="S177" s="202"/>
      <c r="T177" s="202"/>
      <c r="U177" s="202"/>
      <c r="V177" s="202"/>
      <c r="W177" s="202"/>
      <c r="X177" s="202"/>
      <c r="Y177" s="202"/>
      <c r="Z177" s="202"/>
      <c r="AA177" s="202"/>
      <c r="AB177" s="202"/>
      <c r="AC177" s="202"/>
      <c r="AD177" s="202"/>
      <c r="AE177" s="202"/>
      <c r="AF177" s="202"/>
      <c r="AG177" s="202"/>
      <c r="AH177" s="202"/>
      <c r="AI177" s="202"/>
      <c r="AJ177" s="202"/>
      <c r="AK177" s="202"/>
      <c r="AL177" s="202"/>
      <c r="AM177" s="202"/>
      <c r="AN177" s="202"/>
      <c r="AO177" s="202"/>
      <c r="AP177" s="202"/>
      <c r="AQ177" s="202"/>
      <c r="AR177" s="202"/>
      <c r="AS177" s="202"/>
      <c r="AT177" s="202"/>
      <c r="AU177" s="202"/>
      <c r="AV177" s="202"/>
      <c r="AW177" s="202"/>
      <c r="AX177" s="202"/>
      <c r="AY177" s="202"/>
      <c r="AZ177" s="202"/>
      <c r="BA177" s="202"/>
      <c r="BB177" s="202"/>
      <c r="BC177" s="202"/>
      <c r="BD177" s="202"/>
      <c r="BE177" s="202"/>
      <c r="BF177" s="202"/>
      <c r="BG177" s="202"/>
      <c r="BH177" s="202"/>
      <c r="BI177" s="202"/>
      <c r="BJ177" s="202"/>
      <c r="BK177" s="202"/>
      <c r="BL177" s="202"/>
      <c r="BM177" s="202"/>
      <c r="BN177" s="202"/>
      <c r="BO177" s="202"/>
      <c r="BP177" s="182"/>
    </row>
    <row r="178" spans="1:68" ht="14.25" hidden="1" customHeight="1" x14ac:dyDescent="0.3">
      <c r="A178" s="982"/>
      <c r="D178" s="944"/>
      <c r="E178" s="183"/>
      <c r="F178" s="185" t="s">
        <v>403</v>
      </c>
      <c r="G178" s="186">
        <v>475670</v>
      </c>
      <c r="H178" s="186">
        <v>535036</v>
      </c>
      <c r="I178" s="186">
        <v>305015</v>
      </c>
      <c r="J178" s="186">
        <v>133057</v>
      </c>
      <c r="K178" s="186">
        <v>116220</v>
      </c>
      <c r="L178" s="187">
        <v>33115</v>
      </c>
      <c r="M178" s="187">
        <v>63408</v>
      </c>
      <c r="N178" s="187">
        <v>78578</v>
      </c>
      <c r="O178" s="187">
        <v>57309</v>
      </c>
      <c r="P178" s="187">
        <v>27585</v>
      </c>
      <c r="Q178" s="187">
        <v>49280</v>
      </c>
      <c r="R178" s="187">
        <v>57400</v>
      </c>
      <c r="S178" s="202"/>
      <c r="T178" s="202"/>
      <c r="U178" s="202"/>
      <c r="V178" s="202"/>
      <c r="W178" s="202"/>
      <c r="X178" s="202"/>
      <c r="Y178" s="202"/>
      <c r="Z178" s="202"/>
      <c r="AA178" s="202"/>
      <c r="AB178" s="202"/>
      <c r="AC178" s="202"/>
      <c r="AD178" s="202"/>
      <c r="AE178" s="202"/>
      <c r="AF178" s="202"/>
      <c r="AG178" s="202"/>
      <c r="AH178" s="202"/>
      <c r="AI178" s="202"/>
      <c r="AJ178" s="202"/>
      <c r="AK178" s="202"/>
      <c r="AL178" s="202"/>
      <c r="AM178" s="202"/>
      <c r="AN178" s="202"/>
      <c r="AO178" s="202"/>
      <c r="AP178" s="202"/>
      <c r="AQ178" s="202"/>
      <c r="AR178" s="202"/>
      <c r="AS178" s="202"/>
      <c r="AT178" s="202"/>
      <c r="AU178" s="202"/>
      <c r="AV178" s="202"/>
      <c r="AW178" s="202"/>
      <c r="AX178" s="202"/>
      <c r="AY178" s="202"/>
      <c r="AZ178" s="202"/>
      <c r="BA178" s="202"/>
      <c r="BB178" s="202"/>
      <c r="BC178" s="202"/>
      <c r="BD178" s="202"/>
      <c r="BE178" s="202"/>
      <c r="BF178" s="202"/>
      <c r="BG178" s="202"/>
      <c r="BH178" s="202"/>
      <c r="BI178" s="202"/>
      <c r="BJ178" s="202"/>
      <c r="BK178" s="202"/>
      <c r="BL178" s="202"/>
      <c r="BM178" s="202"/>
      <c r="BN178" s="202"/>
      <c r="BO178" s="202"/>
      <c r="BP178" s="182"/>
    </row>
    <row r="179" spans="1:68" ht="14.25" hidden="1" customHeight="1" x14ac:dyDescent="0.3">
      <c r="A179" s="982"/>
      <c r="D179" s="944" t="s">
        <v>457</v>
      </c>
      <c r="E179" s="183"/>
      <c r="F179" s="185" t="s">
        <v>404</v>
      </c>
      <c r="G179" s="188">
        <v>15501.701000000001</v>
      </c>
      <c r="H179" s="188">
        <v>11828.72</v>
      </c>
      <c r="I179" s="188">
        <v>66.872</v>
      </c>
      <c r="J179" s="188">
        <v>2096.1979999999994</v>
      </c>
      <c r="K179" s="188">
        <v>5122.3940000000002</v>
      </c>
      <c r="L179" s="205">
        <v>11637.327000000001</v>
      </c>
      <c r="M179" s="205">
        <v>70.617000000000004</v>
      </c>
      <c r="N179" s="205">
        <v>113.679688</v>
      </c>
      <c r="O179" s="205">
        <v>6469.9062199999998</v>
      </c>
      <c r="P179" s="205">
        <v>19041.604111000001</v>
      </c>
      <c r="Q179" s="205">
        <v>4963.9075599999996</v>
      </c>
      <c r="R179" s="205">
        <v>14267.527470000001</v>
      </c>
      <c r="S179" s="202"/>
      <c r="T179" s="202"/>
      <c r="U179" s="202"/>
      <c r="V179" s="202"/>
      <c r="W179" s="202"/>
      <c r="X179" s="202"/>
      <c r="Y179" s="202"/>
      <c r="Z179" s="202"/>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c r="AY179" s="202"/>
      <c r="AZ179" s="202"/>
      <c r="BA179" s="202"/>
      <c r="BB179" s="202"/>
      <c r="BC179" s="202"/>
      <c r="BD179" s="202"/>
      <c r="BE179" s="202"/>
      <c r="BF179" s="202"/>
      <c r="BG179" s="202"/>
      <c r="BH179" s="202"/>
      <c r="BI179" s="202"/>
      <c r="BJ179" s="202"/>
      <c r="BK179" s="202"/>
      <c r="BL179" s="202"/>
      <c r="BM179" s="202"/>
      <c r="BN179" s="202"/>
      <c r="BO179" s="202"/>
      <c r="BP179" s="182"/>
    </row>
    <row r="180" spans="1:68" ht="14.25" hidden="1" customHeight="1" x14ac:dyDescent="0.3">
      <c r="A180" s="982"/>
      <c r="D180" s="944"/>
      <c r="E180" s="183"/>
      <c r="F180" s="185" t="s">
        <v>405</v>
      </c>
      <c r="G180" s="186">
        <v>4.0150000000000006</v>
      </c>
      <c r="H180" s="186">
        <v>9.9930000000000003</v>
      </c>
      <c r="I180" s="186">
        <v>3.3559999999999999</v>
      </c>
      <c r="J180" s="186">
        <v>5.2850000000000001</v>
      </c>
      <c r="K180" s="186">
        <v>6.1829999999999998</v>
      </c>
      <c r="L180" s="187">
        <v>4.069</v>
      </c>
      <c r="M180" s="187">
        <v>4.0140000000000002</v>
      </c>
      <c r="N180" s="187">
        <v>23.017800000000001</v>
      </c>
      <c r="O180" s="187">
        <v>4.0007299999999999</v>
      </c>
      <c r="P180" s="187">
        <v>0</v>
      </c>
      <c r="Q180" s="187">
        <v>0</v>
      </c>
      <c r="R180" s="187">
        <v>0</v>
      </c>
      <c r="S180" s="202"/>
      <c r="T180" s="202"/>
      <c r="U180" s="202"/>
      <c r="V180" s="202"/>
      <c r="W180" s="202"/>
      <c r="X180" s="202"/>
      <c r="Y180" s="202"/>
      <c r="Z180" s="202"/>
      <c r="AA180" s="202"/>
      <c r="AB180" s="202"/>
      <c r="AC180" s="202"/>
      <c r="AD180" s="202"/>
      <c r="AE180" s="202"/>
      <c r="AF180" s="202"/>
      <c r="AG180" s="202"/>
      <c r="AH180" s="202"/>
      <c r="AI180" s="202"/>
      <c r="AJ180" s="202"/>
      <c r="AK180" s="202"/>
      <c r="AL180" s="202"/>
      <c r="AM180" s="202"/>
      <c r="AN180" s="202"/>
      <c r="AO180" s="202"/>
      <c r="AP180" s="202"/>
      <c r="AQ180" s="202"/>
      <c r="AR180" s="202"/>
      <c r="AS180" s="202"/>
      <c r="AT180" s="202"/>
      <c r="AU180" s="202"/>
      <c r="AV180" s="202"/>
      <c r="AW180" s="202"/>
      <c r="AX180" s="202"/>
      <c r="AY180" s="202"/>
      <c r="AZ180" s="202"/>
      <c r="BA180" s="202"/>
      <c r="BB180" s="202"/>
      <c r="BC180" s="202"/>
      <c r="BD180" s="202"/>
      <c r="BE180" s="202"/>
      <c r="BF180" s="202"/>
      <c r="BG180" s="202"/>
      <c r="BH180" s="202"/>
      <c r="BI180" s="202"/>
      <c r="BJ180" s="202"/>
      <c r="BK180" s="202"/>
      <c r="BL180" s="202"/>
      <c r="BM180" s="202"/>
      <c r="BN180" s="202"/>
      <c r="BO180" s="202"/>
      <c r="BP180" s="182"/>
    </row>
    <row r="181" spans="1:68" ht="14.25" hidden="1" customHeight="1" x14ac:dyDescent="0.3">
      <c r="A181" s="982"/>
      <c r="D181" s="944"/>
      <c r="E181" s="183"/>
      <c r="F181" s="185" t="s">
        <v>420</v>
      </c>
      <c r="G181" s="206">
        <v>0</v>
      </c>
      <c r="H181" s="206">
        <v>17</v>
      </c>
      <c r="I181" s="206">
        <v>16.728000000000002</v>
      </c>
      <c r="J181" s="206">
        <v>0</v>
      </c>
      <c r="K181" s="206">
        <v>0</v>
      </c>
      <c r="L181" s="207">
        <v>0</v>
      </c>
      <c r="M181" s="207">
        <v>0</v>
      </c>
      <c r="N181" s="207">
        <v>0</v>
      </c>
      <c r="O181" s="207">
        <v>0</v>
      </c>
      <c r="P181" s="207">
        <v>0</v>
      </c>
      <c r="Q181" s="207">
        <v>0</v>
      </c>
      <c r="R181" s="207">
        <v>0</v>
      </c>
      <c r="S181" s="202"/>
      <c r="T181" s="202"/>
      <c r="U181" s="202"/>
      <c r="V181" s="202"/>
      <c r="W181" s="202"/>
      <c r="X181" s="202"/>
      <c r="Y181" s="202"/>
      <c r="Z181" s="202"/>
      <c r="AA181" s="202"/>
      <c r="AB181" s="202"/>
      <c r="AC181" s="202"/>
      <c r="AD181" s="202"/>
      <c r="AE181" s="202"/>
      <c r="AF181" s="202"/>
      <c r="AG181" s="202"/>
      <c r="AH181" s="202"/>
      <c r="AI181" s="202"/>
      <c r="AJ181" s="202"/>
      <c r="AK181" s="202"/>
      <c r="AL181" s="202"/>
      <c r="AM181" s="202"/>
      <c r="AN181" s="202"/>
      <c r="AO181" s="202"/>
      <c r="AP181" s="202"/>
      <c r="AQ181" s="202"/>
      <c r="AR181" s="202"/>
      <c r="AS181" s="202"/>
      <c r="AT181" s="202"/>
      <c r="AU181" s="202"/>
      <c r="AV181" s="202"/>
      <c r="AW181" s="202"/>
      <c r="AX181" s="202"/>
      <c r="AY181" s="202"/>
      <c r="AZ181" s="202"/>
      <c r="BA181" s="202"/>
      <c r="BB181" s="202"/>
      <c r="BC181" s="202"/>
      <c r="BD181" s="202"/>
      <c r="BE181" s="202"/>
      <c r="BF181" s="202"/>
      <c r="BG181" s="202"/>
      <c r="BH181" s="202"/>
      <c r="BI181" s="202"/>
      <c r="BJ181" s="202"/>
      <c r="BK181" s="202"/>
      <c r="BL181" s="202"/>
      <c r="BM181" s="202"/>
      <c r="BN181" s="202"/>
      <c r="BO181" s="202"/>
      <c r="BP181" s="182"/>
    </row>
    <row r="182" spans="1:68" ht="14.25" hidden="1" customHeight="1" x14ac:dyDescent="0.3">
      <c r="A182" s="982"/>
      <c r="D182" s="944"/>
      <c r="E182" s="183"/>
      <c r="F182" s="185" t="s">
        <v>406</v>
      </c>
      <c r="G182" s="186">
        <v>5072</v>
      </c>
      <c r="H182" s="186">
        <v>5010</v>
      </c>
      <c r="I182" s="186">
        <v>5319</v>
      </c>
      <c r="J182" s="186">
        <v>5381</v>
      </c>
      <c r="K182" s="186">
        <v>7405</v>
      </c>
      <c r="L182" s="187">
        <v>6992</v>
      </c>
      <c r="M182" s="187">
        <v>5748</v>
      </c>
      <c r="N182" s="187">
        <v>6135</v>
      </c>
      <c r="O182" s="187">
        <v>6260</v>
      </c>
      <c r="P182" s="187">
        <v>5599</v>
      </c>
      <c r="Q182" s="187">
        <v>6969</v>
      </c>
      <c r="R182" s="187">
        <v>8058.8640400000004</v>
      </c>
      <c r="S182" s="202"/>
      <c r="T182" s="202"/>
      <c r="U182" s="202"/>
      <c r="V182" s="202"/>
      <c r="W182" s="202"/>
      <c r="X182" s="202"/>
      <c r="Y182" s="202"/>
      <c r="Z182" s="202"/>
      <c r="AA182" s="202"/>
      <c r="AB182" s="202"/>
      <c r="AC182" s="202"/>
      <c r="AD182" s="202"/>
      <c r="AE182" s="202"/>
      <c r="AF182" s="202"/>
      <c r="AG182" s="202"/>
      <c r="AH182" s="202"/>
      <c r="AI182" s="202"/>
      <c r="AJ182" s="202"/>
      <c r="AK182" s="202"/>
      <c r="AL182" s="202"/>
      <c r="AM182" s="202"/>
      <c r="AN182" s="202"/>
      <c r="AO182" s="202"/>
      <c r="AP182" s="202"/>
      <c r="AQ182" s="202"/>
      <c r="AR182" s="202"/>
      <c r="AS182" s="202"/>
      <c r="AT182" s="202"/>
      <c r="AU182" s="202"/>
      <c r="AV182" s="202"/>
      <c r="AW182" s="202"/>
      <c r="AX182" s="202"/>
      <c r="AY182" s="202"/>
      <c r="AZ182" s="202"/>
      <c r="BA182" s="202"/>
      <c r="BB182" s="202"/>
      <c r="BC182" s="202"/>
      <c r="BD182" s="202"/>
      <c r="BE182" s="202"/>
      <c r="BF182" s="202"/>
      <c r="BG182" s="202"/>
      <c r="BH182" s="202"/>
      <c r="BI182" s="202"/>
      <c r="BJ182" s="202"/>
      <c r="BK182" s="202"/>
      <c r="BL182" s="202"/>
      <c r="BM182" s="202"/>
      <c r="BN182" s="202"/>
      <c r="BO182" s="202"/>
      <c r="BP182" s="182"/>
    </row>
    <row r="183" spans="1:68" ht="14.25" hidden="1" customHeight="1" x14ac:dyDescent="0.3">
      <c r="A183" s="982"/>
      <c r="D183" s="944"/>
      <c r="E183" s="183"/>
      <c r="F183" s="185" t="s">
        <v>462</v>
      </c>
      <c r="G183" s="186">
        <v>4562</v>
      </c>
      <c r="H183" s="186">
        <v>4387</v>
      </c>
      <c r="I183" s="186">
        <v>4869</v>
      </c>
      <c r="J183" s="186">
        <v>4792</v>
      </c>
      <c r="K183" s="186">
        <v>5033</v>
      </c>
      <c r="L183" s="187">
        <v>2577</v>
      </c>
      <c r="M183" s="187">
        <v>4418</v>
      </c>
      <c r="N183" s="187">
        <v>4858</v>
      </c>
      <c r="O183" s="187">
        <v>4799</v>
      </c>
      <c r="P183" s="187">
        <v>3731</v>
      </c>
      <c r="Q183" s="187">
        <v>6365</v>
      </c>
      <c r="R183" s="187">
        <v>4289</v>
      </c>
      <c r="S183" s="202"/>
      <c r="T183" s="202"/>
      <c r="U183" s="202"/>
      <c r="V183" s="202"/>
      <c r="W183" s="202"/>
      <c r="X183" s="202"/>
      <c r="Y183" s="202"/>
      <c r="Z183" s="202"/>
      <c r="AA183" s="202"/>
      <c r="AB183" s="202"/>
      <c r="AC183" s="202"/>
      <c r="AD183" s="202"/>
      <c r="AE183" s="202"/>
      <c r="AF183" s="202"/>
      <c r="AG183" s="202"/>
      <c r="AH183" s="202"/>
      <c r="AI183" s="202"/>
      <c r="AJ183" s="202"/>
      <c r="AK183" s="202"/>
      <c r="AL183" s="202"/>
      <c r="AM183" s="202"/>
      <c r="AN183" s="202"/>
      <c r="AO183" s="202"/>
      <c r="AP183" s="202"/>
      <c r="AQ183" s="202"/>
      <c r="AR183" s="202"/>
      <c r="AS183" s="202"/>
      <c r="AT183" s="202"/>
      <c r="AU183" s="202"/>
      <c r="AV183" s="202"/>
      <c r="AW183" s="202"/>
      <c r="AX183" s="202"/>
      <c r="AY183" s="202"/>
      <c r="AZ183" s="202"/>
      <c r="BA183" s="202"/>
      <c r="BB183" s="202"/>
      <c r="BC183" s="202"/>
      <c r="BD183" s="202"/>
      <c r="BE183" s="202"/>
      <c r="BF183" s="202"/>
      <c r="BG183" s="202"/>
      <c r="BH183" s="202"/>
      <c r="BI183" s="202"/>
      <c r="BJ183" s="202"/>
      <c r="BK183" s="202"/>
      <c r="BL183" s="202"/>
      <c r="BM183" s="202"/>
      <c r="BN183" s="202"/>
      <c r="BO183" s="202"/>
      <c r="BP183" s="182"/>
    </row>
    <row r="184" spans="1:68" ht="14.25" hidden="1" customHeight="1" x14ac:dyDescent="0.3">
      <c r="A184" s="982"/>
      <c r="D184" s="944"/>
      <c r="E184" s="183"/>
      <c r="F184" s="185" t="s">
        <v>408</v>
      </c>
      <c r="G184" s="186">
        <v>612007.51299999992</v>
      </c>
      <c r="H184" s="186">
        <v>565673.1540000001</v>
      </c>
      <c r="I184" s="186">
        <v>565354.38600000006</v>
      </c>
      <c r="J184" s="186">
        <v>591363.89200000011</v>
      </c>
      <c r="K184" s="186">
        <v>7941.73</v>
      </c>
      <c r="L184" s="187">
        <v>8428.9750000000004</v>
      </c>
      <c r="M184" s="187">
        <v>936338.47899999982</v>
      </c>
      <c r="N184" s="187">
        <v>1129032.9790000001</v>
      </c>
      <c r="O184" s="187">
        <v>1127659.3359999999</v>
      </c>
      <c r="P184" s="187">
        <v>1182966.8970000001</v>
      </c>
      <c r="Q184" s="187">
        <v>1266249.29431</v>
      </c>
      <c r="R184" s="187">
        <v>1505322.5319399999</v>
      </c>
      <c r="S184" s="202"/>
      <c r="T184" s="202"/>
      <c r="U184" s="202"/>
      <c r="V184" s="202"/>
      <c r="W184" s="202"/>
      <c r="X184" s="202"/>
      <c r="Y184" s="202"/>
      <c r="Z184" s="202"/>
      <c r="AA184" s="202"/>
      <c r="AB184" s="202"/>
      <c r="AC184" s="202"/>
      <c r="AD184" s="202"/>
      <c r="AE184" s="202"/>
      <c r="AF184" s="202"/>
      <c r="AG184" s="202"/>
      <c r="AH184" s="202"/>
      <c r="AI184" s="202"/>
      <c r="AJ184" s="202"/>
      <c r="AK184" s="202"/>
      <c r="AL184" s="202"/>
      <c r="AM184" s="202"/>
      <c r="AN184" s="202"/>
      <c r="AO184" s="202"/>
      <c r="AP184" s="202"/>
      <c r="AQ184" s="202"/>
      <c r="AR184" s="202"/>
      <c r="AS184" s="202"/>
      <c r="AT184" s="202"/>
      <c r="AU184" s="202"/>
      <c r="AV184" s="202"/>
      <c r="AW184" s="202"/>
      <c r="AX184" s="202"/>
      <c r="AY184" s="202"/>
      <c r="AZ184" s="202"/>
      <c r="BA184" s="202"/>
      <c r="BB184" s="202"/>
      <c r="BC184" s="202"/>
      <c r="BD184" s="202"/>
      <c r="BE184" s="202"/>
      <c r="BF184" s="202"/>
      <c r="BG184" s="202"/>
      <c r="BH184" s="202"/>
      <c r="BI184" s="202"/>
      <c r="BJ184" s="202"/>
      <c r="BK184" s="202"/>
      <c r="BL184" s="202"/>
      <c r="BM184" s="202"/>
      <c r="BN184" s="202"/>
      <c r="BO184" s="202"/>
      <c r="BP184" s="182"/>
    </row>
    <row r="185" spans="1:68" ht="14.25" hidden="1" customHeight="1" x14ac:dyDescent="0.3">
      <c r="A185" s="982"/>
      <c r="D185" s="944"/>
      <c r="E185" s="183"/>
      <c r="F185" s="185" t="s">
        <v>409</v>
      </c>
      <c r="G185" s="186">
        <v>6764</v>
      </c>
      <c r="H185" s="186">
        <v>7416</v>
      </c>
      <c r="I185" s="186">
        <v>7904</v>
      </c>
      <c r="J185" s="186">
        <v>8600</v>
      </c>
      <c r="K185" s="186">
        <v>798630.65700000001</v>
      </c>
      <c r="L185" s="187">
        <v>908200.65800000017</v>
      </c>
      <c r="M185" s="187">
        <v>8424</v>
      </c>
      <c r="N185" s="187">
        <v>9682</v>
      </c>
      <c r="O185" s="187">
        <v>10506</v>
      </c>
      <c r="P185" s="187">
        <v>12409</v>
      </c>
      <c r="Q185" s="187">
        <v>9338</v>
      </c>
      <c r="R185" s="187">
        <v>13943</v>
      </c>
      <c r="S185" s="202"/>
      <c r="T185" s="202"/>
      <c r="U185" s="202"/>
      <c r="V185" s="202"/>
      <c r="W185" s="202"/>
      <c r="X185" s="202"/>
      <c r="Y185" s="202"/>
      <c r="Z185" s="202"/>
      <c r="AA185" s="202"/>
      <c r="AB185" s="202"/>
      <c r="AC185" s="202"/>
      <c r="AD185" s="202"/>
      <c r="AE185" s="202"/>
      <c r="AF185" s="202"/>
      <c r="AG185" s="202"/>
      <c r="AH185" s="202"/>
      <c r="AI185" s="202"/>
      <c r="AJ185" s="202"/>
      <c r="AK185" s="202"/>
      <c r="AL185" s="202"/>
      <c r="AM185" s="202"/>
      <c r="AN185" s="202"/>
      <c r="AO185" s="202"/>
      <c r="AP185" s="202"/>
      <c r="AQ185" s="202"/>
      <c r="AR185" s="202"/>
      <c r="AS185" s="202"/>
      <c r="AT185" s="202"/>
      <c r="AU185" s="202"/>
      <c r="AV185" s="202"/>
      <c r="AW185" s="202"/>
      <c r="AX185" s="202"/>
      <c r="AY185" s="202"/>
      <c r="AZ185" s="202"/>
      <c r="BA185" s="202"/>
      <c r="BB185" s="202"/>
      <c r="BC185" s="202"/>
      <c r="BD185" s="202"/>
      <c r="BE185" s="202"/>
      <c r="BF185" s="202"/>
      <c r="BG185" s="202"/>
      <c r="BH185" s="202"/>
      <c r="BI185" s="202"/>
      <c r="BJ185" s="202"/>
      <c r="BK185" s="202"/>
      <c r="BL185" s="202"/>
      <c r="BM185" s="202"/>
      <c r="BN185" s="202"/>
      <c r="BO185" s="202"/>
      <c r="BP185" s="182"/>
    </row>
    <row r="186" spans="1:68" ht="13.5" hidden="1" customHeight="1" x14ac:dyDescent="0.3">
      <c r="A186" s="982"/>
      <c r="D186" s="944"/>
      <c r="E186" s="183"/>
      <c r="F186" s="185" t="s">
        <v>410</v>
      </c>
      <c r="G186" s="186">
        <v>5089</v>
      </c>
      <c r="H186" s="186">
        <v>5070.2240000000002</v>
      </c>
      <c r="I186" s="186">
        <v>6845.24</v>
      </c>
      <c r="J186" s="186">
        <v>5381</v>
      </c>
      <c r="K186" s="186">
        <v>6278</v>
      </c>
      <c r="L186" s="187">
        <v>6335.98</v>
      </c>
      <c r="M186" s="187">
        <v>5969</v>
      </c>
      <c r="N186" s="187">
        <v>6631</v>
      </c>
      <c r="O186" s="187">
        <v>6279.4</v>
      </c>
      <c r="P186" s="187">
        <v>6466.05</v>
      </c>
      <c r="Q186" s="187">
        <v>7542.0001119999997</v>
      </c>
      <c r="R186" s="187">
        <v>8128.92</v>
      </c>
      <c r="S186" s="202"/>
      <c r="T186" s="202"/>
      <c r="U186" s="202"/>
      <c r="V186" s="202"/>
      <c r="W186" s="202"/>
      <c r="X186" s="202"/>
      <c r="Y186" s="202"/>
      <c r="Z186" s="202"/>
      <c r="AA186" s="202"/>
      <c r="AB186" s="202"/>
      <c r="AC186" s="202"/>
      <c r="AD186" s="202"/>
      <c r="AE186" s="202"/>
      <c r="AF186" s="202"/>
      <c r="AG186" s="202"/>
      <c r="AH186" s="202"/>
      <c r="AI186" s="202"/>
      <c r="AJ186" s="202"/>
      <c r="AK186" s="202"/>
      <c r="AL186" s="202"/>
      <c r="AM186" s="202"/>
      <c r="AN186" s="202"/>
      <c r="AO186" s="202"/>
      <c r="AP186" s="202"/>
      <c r="AQ186" s="202"/>
      <c r="AR186" s="202"/>
      <c r="AS186" s="202"/>
      <c r="AT186" s="202"/>
      <c r="AU186" s="202"/>
      <c r="AV186" s="202"/>
      <c r="AW186" s="202"/>
      <c r="AX186" s="202"/>
      <c r="AY186" s="202"/>
      <c r="AZ186" s="202"/>
      <c r="BA186" s="202"/>
      <c r="BB186" s="202"/>
      <c r="BC186" s="202"/>
      <c r="BD186" s="202"/>
      <c r="BE186" s="202"/>
      <c r="BF186" s="202"/>
      <c r="BG186" s="202"/>
      <c r="BH186" s="202"/>
      <c r="BI186" s="202"/>
      <c r="BJ186" s="202"/>
      <c r="BK186" s="202"/>
      <c r="BL186" s="202"/>
      <c r="BM186" s="202"/>
      <c r="BN186" s="202"/>
      <c r="BO186" s="202"/>
      <c r="BP186" s="182"/>
    </row>
    <row r="187" spans="1:68" ht="13.5" hidden="1" customHeight="1" x14ac:dyDescent="0.3">
      <c r="A187" s="960"/>
      <c r="B187" s="960"/>
      <c r="C187" s="960"/>
      <c r="D187" s="944"/>
      <c r="E187" s="183"/>
      <c r="F187" s="185"/>
      <c r="G187" s="186">
        <v>53853.741000000002</v>
      </c>
      <c r="H187" s="186">
        <v>6397.199999999998</v>
      </c>
      <c r="I187" s="186">
        <v>2282.7840000000001</v>
      </c>
      <c r="J187" s="186">
        <v>518.40899999999988</v>
      </c>
      <c r="K187" s="186">
        <v>134.65200000000002</v>
      </c>
      <c r="L187" s="187">
        <v>202.33999999999995</v>
      </c>
      <c r="M187" s="187">
        <v>484.5259999999999</v>
      </c>
      <c r="N187" s="187">
        <v>340.15158400000001</v>
      </c>
      <c r="O187" s="187">
        <v>1774.2951250000001</v>
      </c>
      <c r="P187" s="187">
        <v>312.24608000000001</v>
      </c>
      <c r="Q187" s="187">
        <v>287.90874300000002</v>
      </c>
      <c r="R187" s="187">
        <v>361.24710299999998</v>
      </c>
      <c r="S187" s="202"/>
      <c r="T187" s="202"/>
      <c r="U187" s="202"/>
      <c r="V187" s="202"/>
      <c r="W187" s="202"/>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c r="BE187" s="202"/>
      <c r="BF187" s="202"/>
      <c r="BG187" s="202"/>
      <c r="BH187" s="202"/>
      <c r="BI187" s="202"/>
      <c r="BJ187" s="202"/>
      <c r="BK187" s="202"/>
      <c r="BL187" s="202"/>
      <c r="BM187" s="202"/>
      <c r="BN187" s="202"/>
      <c r="BO187" s="202"/>
      <c r="BP187" s="182"/>
    </row>
    <row r="188" spans="1:68" ht="14.25" customHeight="1" x14ac:dyDescent="0.3">
      <c r="A188" s="960"/>
      <c r="B188" s="960"/>
      <c r="C188" s="960"/>
      <c r="D188" s="944"/>
      <c r="E188" s="183"/>
      <c r="F188" s="184" t="s">
        <v>463</v>
      </c>
      <c r="G188" s="179"/>
      <c r="H188" s="179"/>
      <c r="I188" s="179"/>
      <c r="J188" s="179"/>
      <c r="K188" s="179"/>
      <c r="L188" s="180"/>
      <c r="M188" s="181"/>
      <c r="N188" s="181"/>
      <c r="O188" s="181"/>
      <c r="P188" s="181"/>
      <c r="Q188" s="181"/>
      <c r="R188" s="181"/>
      <c r="S188" s="181"/>
      <c r="T188" s="181"/>
      <c r="U188" s="181"/>
      <c r="V188" s="181"/>
      <c r="W188" s="181"/>
      <c r="X188" s="181"/>
      <c r="Y188" s="181"/>
      <c r="Z188" s="18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c r="BF188" s="181"/>
      <c r="BG188" s="181"/>
      <c r="BH188" s="181"/>
      <c r="BI188" s="181"/>
      <c r="BJ188" s="181"/>
      <c r="BK188" s="181"/>
      <c r="BL188" s="181"/>
      <c r="BM188" s="181"/>
      <c r="BN188" s="181"/>
      <c r="BO188" s="181"/>
      <c r="BP188" s="182"/>
    </row>
    <row r="189" spans="1:68" ht="13.5" customHeight="1" x14ac:dyDescent="0.3">
      <c r="A189" s="1199" t="s">
        <v>452</v>
      </c>
      <c r="B189" s="964"/>
      <c r="C189" s="964"/>
      <c r="D189" s="944"/>
      <c r="E189" s="183"/>
      <c r="F189" s="185" t="s">
        <v>464</v>
      </c>
      <c r="G189" s="191">
        <v>0</v>
      </c>
      <c r="H189" s="191">
        <v>1.590237E-5</v>
      </c>
      <c r="I189" s="191">
        <v>7.8438878099999967E-3</v>
      </c>
      <c r="J189" s="191">
        <v>1.2307977000000002E-4</v>
      </c>
      <c r="K189" s="191">
        <v>0</v>
      </c>
      <c r="L189" s="191">
        <v>0</v>
      </c>
      <c r="M189" s="191">
        <v>0</v>
      </c>
      <c r="N189" s="191">
        <v>0</v>
      </c>
      <c r="O189" s="191">
        <v>0</v>
      </c>
      <c r="P189" s="191">
        <v>0</v>
      </c>
      <c r="Q189" s="191">
        <v>0</v>
      </c>
      <c r="R189" s="191">
        <v>2.2309075800000001E-5</v>
      </c>
      <c r="S189" s="209">
        <f>R189*(1+Driver_macroeconómicos_Agricult!H$79)</f>
        <v>2.5903107060609624E-5</v>
      </c>
      <c r="T189" s="209">
        <f>((T$1-$S$1)*($AF189-$S189)/(2035-2022))+$S189</f>
        <v>2.8321676325894041E-5</v>
      </c>
      <c r="U189" s="209">
        <f t="shared" ref="U189:AE189" si="216">((U$1-$S$1)*($AF189-$S189)/(2035-2022))+$S189</f>
        <v>3.0740245591178464E-5</v>
      </c>
      <c r="V189" s="209">
        <f t="shared" si="216"/>
        <v>3.315881485646288E-5</v>
      </c>
      <c r="W189" s="209">
        <f t="shared" si="216"/>
        <v>3.5577384121747297E-5</v>
      </c>
      <c r="X189" s="209">
        <f t="shared" si="216"/>
        <v>3.7995953387031713E-5</v>
      </c>
      <c r="Y189" s="209">
        <f t="shared" si="216"/>
        <v>4.041452265231613E-5</v>
      </c>
      <c r="Z189" s="209">
        <f t="shared" si="216"/>
        <v>4.2833091917600553E-5</v>
      </c>
      <c r="AA189" s="209">
        <f t="shared" si="216"/>
        <v>4.525166118288497E-5</v>
      </c>
      <c r="AB189" s="209">
        <f t="shared" si="216"/>
        <v>4.7670230448169386E-5</v>
      </c>
      <c r="AC189" s="209">
        <f t="shared" si="216"/>
        <v>5.0088799713453803E-5</v>
      </c>
      <c r="AD189" s="209">
        <f t="shared" si="216"/>
        <v>5.2507368978738219E-5</v>
      </c>
      <c r="AE189" s="209">
        <f t="shared" si="216"/>
        <v>5.4925938244022643E-5</v>
      </c>
      <c r="AF189" s="209">
        <v>5.7344507509307059E-5</v>
      </c>
      <c r="AG189" s="209">
        <f>AF189*(1+Driver_macroeconómicos_Agricult!V$79)</f>
        <v>5.7593338372823707E-5</v>
      </c>
      <c r="AH189" s="209">
        <f>AG189*(1+Driver_macroeconómicos_Agricult!W$79)</f>
        <v>5.9448069712726169E-5</v>
      </c>
      <c r="AI189" s="209">
        <f>AH189*(1+Driver_macroeconómicos_Agricult!X$79)</f>
        <v>6.1090153562270294E-5</v>
      </c>
      <c r="AJ189" s="209">
        <f>AI189*(1+Driver_macroeconómicos_Agricult!Y$79)</f>
        <v>6.2640575758913185E-5</v>
      </c>
      <c r="AK189" s="209">
        <f>AJ189*(1+Driver_macroeconómicos_Agricult!Z$79)</f>
        <v>6.3929778116376227E-5</v>
      </c>
      <c r="AL189" s="209">
        <f>AK189*(1+Driver_macroeconómicos_Agricult!AA$79)</f>
        <v>6.5264689162486468E-5</v>
      </c>
      <c r="AM189" s="209">
        <f>AL189*(1+Driver_macroeconómicos_Agricult!AB$79)</f>
        <v>6.6845299230677171E-5</v>
      </c>
      <c r="AN189" s="209">
        <f>AM189*(1+Driver_macroeconómicos_Agricult!AC$79)</f>
        <v>6.8043918163981923E-5</v>
      </c>
      <c r="AO189" s="209">
        <f>AN189*(1+Driver_macroeconómicos_Agricult!AD$79)</f>
        <v>6.9514275660955527E-5</v>
      </c>
      <c r="AP189" s="209">
        <f>AO189*(1+Driver_macroeconómicos_Agricult!AE$79)</f>
        <v>7.0778690862309491E-5</v>
      </c>
      <c r="AQ189" s="209">
        <f>AP189*(1+Driver_macroeconómicos_Agricult!AF$79)</f>
        <v>7.239281462488554E-5</v>
      </c>
      <c r="AR189" s="209">
        <f>AQ189*(1+Driver_macroeconómicos_Agricult!AG$79)</f>
        <v>7.3750231672348437E-5</v>
      </c>
      <c r="AS189" s="209">
        <f>AR189*(1+Driver_macroeconómicos_Agricult!AH$79)</f>
        <v>7.5071754896621762E-5</v>
      </c>
      <c r="AT189" s="209">
        <f>AS189*(1+Driver_macroeconómicos_Agricult!AI$79)</f>
        <v>7.6435376384587867E-5</v>
      </c>
      <c r="AU189" s="209">
        <f>AT189*(1+Driver_macroeconómicos_Agricult!AJ$79)</f>
        <v>7.7812323972122383E-5</v>
      </c>
      <c r="AV189" s="209">
        <f>AU189*(1+Driver_macroeconómicos_Agricult!AK$79)</f>
        <v>7.9381427251455329E-5</v>
      </c>
      <c r="AW189" s="209">
        <f>AV189*(1+Driver_macroeconómicos_Agricult!AL$79)</f>
        <v>8.0812392525965153E-5</v>
      </c>
      <c r="AX189" s="209">
        <f>AW189*(1+Driver_macroeconómicos_Agricult!AM$79)</f>
        <v>8.2239722473858391E-5</v>
      </c>
      <c r="AY189" s="209">
        <f>AX189*(1+Driver_macroeconómicos_Agricult!AN$79)</f>
        <v>8.3712722668350672E-5</v>
      </c>
      <c r="AZ189" s="209">
        <f>AY189*(1+Driver_macroeconómicos_Agricult!AO$79)</f>
        <v>8.5200633940132821E-5</v>
      </c>
      <c r="BA189" s="209">
        <f>AZ189*(1+Driver_macroeconómicos_Agricult!AP$79)</f>
        <v>8.6730348224462278E-5</v>
      </c>
      <c r="BB189" s="209">
        <f>BA189*(1+Driver_macroeconómicos_Agricult!AQ$79)</f>
        <v>8.8211820822894137E-5</v>
      </c>
      <c r="BC189" s="209">
        <f>BB189*(1+Driver_macroeconómicos_Agricult!AR$79)</f>
        <v>8.9706864386417489E-5</v>
      </c>
      <c r="BD189" s="209">
        <f>BC189*(1+Driver_macroeconómicos_Agricult!AS$79)</f>
        <v>9.1215718569242235E-5</v>
      </c>
      <c r="BE189" s="209">
        <f>BD189*(1+Driver_macroeconómicos_Agricult!AT$79)</f>
        <v>9.2731592527329072E-5</v>
      </c>
      <c r="BF189" s="209">
        <f>BE189*(1+Driver_macroeconómicos_Agricult!AU$79)</f>
        <v>9.4247882882711771E-5</v>
      </c>
      <c r="BG189" s="209">
        <f>BF189*(1+Driver_macroeconómicos_Agricult!AV$79)</f>
        <v>9.5768391180017884E-5</v>
      </c>
      <c r="BH189" s="209">
        <f>BG189*(1+Driver_macroeconómicos_Agricult!AW$79)</f>
        <v>9.72946850972672E-5</v>
      </c>
      <c r="BI189" s="209">
        <f>BH189*(1+Driver_macroeconómicos_Agricult!AX$79)</f>
        <v>9.8827126400375566E-5</v>
      </c>
      <c r="BJ189" s="209">
        <f>BI189*(1+Driver_macroeconómicos_Agricult!AY$79)</f>
        <v>1.0036129781514986E-4</v>
      </c>
      <c r="BK189" s="209">
        <f>BJ189*(1+Driver_macroeconómicos_Agricult!AZ$79)</f>
        <v>1.0189675911384107E-4</v>
      </c>
      <c r="BL189" s="209">
        <f>BK189*(1+Driver_macroeconómicos_Agricult!BA$79)</f>
        <v>1.0343132672727499E-4</v>
      </c>
      <c r="BM189" s="209">
        <f>BL189*(1+Driver_macroeconómicos_Agricult!BB$79)</f>
        <v>1.0496797685987317E-4</v>
      </c>
      <c r="BN189" s="209">
        <f>BM189*(1+Driver_macroeconómicos_Agricult!BC$79)</f>
        <v>1.0650548935629744E-4</v>
      </c>
      <c r="BO189" s="209">
        <f>BN189*(1+Driver_macroeconómicos_Agricult!BD$79)</f>
        <v>1.080426763234647E-4</v>
      </c>
      <c r="BP189" s="182"/>
    </row>
    <row r="190" spans="1:68" ht="14.25" customHeight="1" x14ac:dyDescent="0.3">
      <c r="A190" s="982"/>
      <c r="D190" s="944"/>
      <c r="E190" s="183"/>
      <c r="F190" s="185" t="s">
        <v>414</v>
      </c>
      <c r="G190" s="191">
        <v>0</v>
      </c>
      <c r="H190" s="191">
        <v>0</v>
      </c>
      <c r="I190" s="191">
        <v>0</v>
      </c>
      <c r="J190" s="191">
        <v>0</v>
      </c>
      <c r="K190" s="191">
        <v>0</v>
      </c>
      <c r="L190" s="191">
        <v>5.0490000000000003E-7</v>
      </c>
      <c r="M190" s="191">
        <v>2.97E-5</v>
      </c>
      <c r="N190" s="191">
        <v>5.94E-5</v>
      </c>
      <c r="O190" s="191">
        <v>5.94E-5</v>
      </c>
      <c r="P190" s="191">
        <v>5.94E-5</v>
      </c>
      <c r="Q190" s="191">
        <v>1.5502266450000002E-5</v>
      </c>
      <c r="R190" s="191">
        <v>1.485E-5</v>
      </c>
      <c r="S190" s="209">
        <f>R190*(1+Driver_macroeconómicos_Agricult!H$79)</f>
        <v>1.7242361059620985E-5</v>
      </c>
      <c r="T190" s="209">
        <f t="shared" ref="T190:AE202" si="217">((T$1-$S$1)*($AF190-$S190)/(2035-2022))+$S190</f>
        <v>1.8852277755025894E-5</v>
      </c>
      <c r="U190" s="209">
        <f t="shared" si="217"/>
        <v>2.0462194450430802E-5</v>
      </c>
      <c r="V190" s="209">
        <f t="shared" si="217"/>
        <v>2.2072111145835711E-5</v>
      </c>
      <c r="W190" s="209">
        <f t="shared" si="217"/>
        <v>2.3682027841240619E-5</v>
      </c>
      <c r="X190" s="209">
        <f t="shared" si="217"/>
        <v>2.5291944536645524E-5</v>
      </c>
      <c r="Y190" s="209">
        <f t="shared" si="217"/>
        <v>2.6901861232050436E-5</v>
      </c>
      <c r="Z190" s="209">
        <f t="shared" si="217"/>
        <v>2.8511777927455345E-5</v>
      </c>
      <c r="AA190" s="209">
        <f t="shared" si="217"/>
        <v>3.0121694622860254E-5</v>
      </c>
      <c r="AB190" s="209">
        <f t="shared" si="217"/>
        <v>3.1731611318265159E-5</v>
      </c>
      <c r="AC190" s="209">
        <f t="shared" si="217"/>
        <v>3.3341528013670064E-5</v>
      </c>
      <c r="AD190" s="209">
        <f t="shared" si="217"/>
        <v>3.4951444709074976E-5</v>
      </c>
      <c r="AE190" s="209">
        <f t="shared" si="217"/>
        <v>3.6561361404479888E-5</v>
      </c>
      <c r="AF190" s="209">
        <v>3.8171278099884793E-5</v>
      </c>
      <c r="AG190" s="209">
        <f>AF190*(1+Driver_macroeconómicos_Agricult!V$79)</f>
        <v>3.8336911959231947E-5</v>
      </c>
      <c r="AH190" s="209">
        <f>AG190*(1+Driver_macroeconómicos_Agricult!W$79)</f>
        <v>3.9571510857208326E-5</v>
      </c>
      <c r="AI190" s="209">
        <f>AH190*(1+Driver_macroeconómicos_Agricult!X$79)</f>
        <v>4.0664561299294786E-5</v>
      </c>
      <c r="AJ190" s="209">
        <f>AI190*(1+Driver_macroeconómicos_Agricult!Y$79)</f>
        <v>4.169659731129968E-5</v>
      </c>
      <c r="AK190" s="209">
        <f>AJ190*(1+Driver_macroeconómicos_Agricult!Z$79)</f>
        <v>4.2554752762469301E-5</v>
      </c>
      <c r="AL190" s="209">
        <f>AK190*(1+Driver_macroeconómicos_Agricult!AA$79)</f>
        <v>4.3443334127849626E-5</v>
      </c>
      <c r="AM190" s="209">
        <f>AL190*(1+Driver_macroeconómicos_Agricult!AB$79)</f>
        <v>4.4495464647421931E-5</v>
      </c>
      <c r="AN190" s="209">
        <f>AM190*(1+Driver_macroeconómicos_Agricult!AC$79)</f>
        <v>4.5293323389717994E-5</v>
      </c>
      <c r="AO190" s="209">
        <f>AN190*(1+Driver_macroeconómicos_Agricult!AD$79)</f>
        <v>4.6272064464687047E-5</v>
      </c>
      <c r="AP190" s="209">
        <f>AO190*(1+Driver_macroeconómicos_Agricult!AE$79)</f>
        <v>4.7113720385731808E-5</v>
      </c>
      <c r="AQ190" s="209">
        <f>AP190*(1+Driver_macroeconómicos_Agricult!AF$79)</f>
        <v>4.8188159241430812E-5</v>
      </c>
      <c r="AR190" s="209">
        <f>AQ190*(1+Driver_macroeconómicos_Agricult!AG$79)</f>
        <v>4.9091721689984779E-5</v>
      </c>
      <c r="AS190" s="209">
        <f>AR190*(1+Driver_macroeconómicos_Agricult!AH$79)</f>
        <v>4.9971391473546986E-5</v>
      </c>
      <c r="AT190" s="209">
        <f>AS190*(1+Driver_macroeconómicos_Agricult!AI$79)</f>
        <v>5.0879083897824674E-5</v>
      </c>
      <c r="AU190" s="209">
        <f>AT190*(1+Driver_macroeconómicos_Agricult!AJ$79)</f>
        <v>5.1795646818592896E-5</v>
      </c>
      <c r="AV190" s="209">
        <f>AU190*(1+Driver_macroeconómicos_Agricult!AK$79)</f>
        <v>5.2840117862888431E-5</v>
      </c>
      <c r="AW190" s="209">
        <f>AV190*(1+Driver_macroeconómicos_Agricult!AL$79)</f>
        <v>5.3792637569082215E-5</v>
      </c>
      <c r="AX190" s="209">
        <f>AW190*(1+Driver_macroeconómicos_Agricult!AM$79)</f>
        <v>5.4742737426029879E-5</v>
      </c>
      <c r="AY190" s="209">
        <f>AX190*(1+Driver_macroeconómicos_Agricult!AN$79)</f>
        <v>5.5723237608301451E-5</v>
      </c>
      <c r="AZ190" s="209">
        <f>AY190*(1+Driver_macroeconómicos_Agricult!AO$79)</f>
        <v>5.6713663324904421E-5</v>
      </c>
      <c r="BA190" s="209">
        <f>AZ190*(1+Driver_macroeconómicos_Agricult!AP$79)</f>
        <v>5.7731915148778379E-5</v>
      </c>
      <c r="BB190" s="209">
        <f>BA190*(1+Driver_macroeconómicos_Agricult!AQ$79)</f>
        <v>5.8718054972944161E-5</v>
      </c>
      <c r="BC190" s="209">
        <f>BB190*(1+Driver_macroeconómicos_Agricult!AR$79)</f>
        <v>5.9713228287937411E-5</v>
      </c>
      <c r="BD190" s="209">
        <f>BC190*(1+Driver_macroeconómicos_Agricult!AS$79)</f>
        <v>6.0717594619192943E-5</v>
      </c>
      <c r="BE190" s="209">
        <f>BD190*(1+Driver_macroeconómicos_Agricult!AT$79)</f>
        <v>6.1726633652427551E-5</v>
      </c>
      <c r="BF190" s="209">
        <f>BE190*(1+Driver_macroeconómicos_Agricult!AU$79)</f>
        <v>6.2735949859844494E-5</v>
      </c>
      <c r="BG190" s="209">
        <f>BF190*(1+Driver_macroeconómicos_Agricult!AV$79)</f>
        <v>6.3748073733438395E-5</v>
      </c>
      <c r="BH190" s="209">
        <f>BG190*(1+Driver_macroeconómicos_Agricult!AW$79)</f>
        <v>6.4764048795531843E-5</v>
      </c>
      <c r="BI190" s="209">
        <f>BH190*(1+Driver_macroeconómicos_Agricult!AX$79)</f>
        <v>6.5784115855017981E-5</v>
      </c>
      <c r="BJ190" s="209">
        <f>BI190*(1+Driver_macroeconómicos_Agricult!AY$79)</f>
        <v>6.6805334560518918E-5</v>
      </c>
      <c r="BK190" s="209">
        <f>BJ190*(1+Driver_macroeconómicos_Agricult!AZ$79)</f>
        <v>6.7827411875149966E-5</v>
      </c>
      <c r="BL190" s="209">
        <f>BK190*(1+Driver_macroeconómicos_Agricult!BA$79)</f>
        <v>6.8848894309643906E-5</v>
      </c>
      <c r="BM190" s="209">
        <f>BL190*(1+Driver_macroeconómicos_Agricult!BB$79)</f>
        <v>6.9871762969630396E-5</v>
      </c>
      <c r="BN190" s="209">
        <f>BM190*(1+Driver_macroeconómicos_Agricult!BC$79)</f>
        <v>7.089520566069429E-5</v>
      </c>
      <c r="BO190" s="209">
        <f>BN190*(1+Driver_macroeconómicos_Agricult!BD$79)</f>
        <v>7.1918431663738023E-5</v>
      </c>
      <c r="BP190" s="182"/>
    </row>
    <row r="191" spans="1:68" ht="14.25" customHeight="1" x14ac:dyDescent="0.3">
      <c r="A191" s="982"/>
      <c r="D191" s="944"/>
      <c r="E191" s="183"/>
      <c r="F191" s="185" t="s">
        <v>415</v>
      </c>
      <c r="G191" s="191">
        <v>2.7667708200000002E-3</v>
      </c>
      <c r="H191" s="191">
        <v>6.333227999999998E-3</v>
      </c>
      <c r="I191" s="191">
        <v>2.2599561600000003E-3</v>
      </c>
      <c r="J191" s="191">
        <v>5.1322490999999989E-4</v>
      </c>
      <c r="K191" s="191">
        <v>1.3330548000000002E-4</v>
      </c>
      <c r="L191" s="208">
        <v>1.2923006593695358E-2</v>
      </c>
      <c r="M191" s="208">
        <v>1.306622352772877E-2</v>
      </c>
      <c r="N191" s="208">
        <v>9.2879308381677433E-3</v>
      </c>
      <c r="O191" s="208">
        <v>1.2549685804750004E-2</v>
      </c>
      <c r="P191" s="208">
        <v>5.1538124631200135E-3</v>
      </c>
      <c r="Q191" s="208">
        <v>8.488391902630012E-3</v>
      </c>
      <c r="R191" s="208">
        <v>9.1421000816264107E-3</v>
      </c>
      <c r="S191" s="209">
        <f>R191*(1+Driver_macroeconómicos_Agricult!H$79)</f>
        <v>1.0614908447851384E-2</v>
      </c>
      <c r="T191" s="209">
        <f t="shared" si="217"/>
        <v>1.2511163015073937E-2</v>
      </c>
      <c r="U191" s="209">
        <f t="shared" si="217"/>
        <v>1.4407417582296491E-2</v>
      </c>
      <c r="V191" s="209">
        <f t="shared" si="217"/>
        <v>1.6303672149519045E-2</v>
      </c>
      <c r="W191" s="209">
        <f t="shared" si="217"/>
        <v>1.8199926716741598E-2</v>
      </c>
      <c r="X191" s="209">
        <f t="shared" si="217"/>
        <v>2.0096181283964155E-2</v>
      </c>
      <c r="Y191" s="209">
        <f t="shared" si="217"/>
        <v>2.1992435851186709E-2</v>
      </c>
      <c r="Z191" s="209">
        <f t="shared" si="217"/>
        <v>2.3888690418409263E-2</v>
      </c>
      <c r="AA191" s="209">
        <f t="shared" si="217"/>
        <v>2.5784944985631816E-2</v>
      </c>
      <c r="AB191" s="209">
        <f t="shared" si="217"/>
        <v>2.768119955285437E-2</v>
      </c>
      <c r="AC191" s="209">
        <f t="shared" si="217"/>
        <v>2.9577454120076924E-2</v>
      </c>
      <c r="AD191" s="209">
        <f t="shared" si="217"/>
        <v>3.147370868729947E-2</v>
      </c>
      <c r="AE191" s="209">
        <f t="shared" si="217"/>
        <v>3.3369963254522031E-2</v>
      </c>
      <c r="AF191" s="381">
        <v>3.5266217821744585E-2</v>
      </c>
      <c r="AG191" s="381">
        <f>1.07*AF191*(1+Driver_macroeconómicos_Agricult!V$79)</f>
        <v>3.7898593181122681E-2</v>
      </c>
      <c r="AH191" s="381">
        <f>1.07*AG191*(1+Driver_macroeconómicos_Agricult!W$79)</f>
        <v>4.1857411850332212E-2</v>
      </c>
      <c r="AI191" s="381">
        <f>1.07*AH191*(1+Driver_macroeconómicos_Agricult!X$79)</f>
        <v>4.6024556072443684E-2</v>
      </c>
      <c r="AJ191" s="381">
        <f>1.07*AI191*(1+Driver_macroeconómicos_Agricult!Y$79)</f>
        <v>5.049610845521426E-2</v>
      </c>
      <c r="AK191" s="381">
        <f>1.07*AJ191*(1+Driver_macroeconómicos_Agricult!Z$79)</f>
        <v>5.5142841809537192E-2</v>
      </c>
      <c r="AL191" s="381">
        <f>1.07*AK191*(1+Driver_macroeconómicos_Agricult!AA$79)</f>
        <v>6.0234872915438456E-2</v>
      </c>
      <c r="AM191" s="381">
        <f>1.07*AL191*(1+Driver_macroeconómicos_Agricult!AB$79)</f>
        <v>6.6012225396783891E-2</v>
      </c>
      <c r="AN191" s="381">
        <f>1.07*AM191*(1+Driver_macroeconómicos_Agricult!AC$79)</f>
        <v>7.1899619725329794E-2</v>
      </c>
      <c r="AO191" s="381">
        <f>1.07*AN191*(1+Driver_macroeconómicos_Agricult!AD$79)</f>
        <v>7.8595025518689257E-2</v>
      </c>
      <c r="AP191" s="381">
        <f>1.07*AO191*(1+Driver_macroeconómicos_Agricult!AE$79)</f>
        <v>8.5626336014043403E-2</v>
      </c>
      <c r="AQ191" s="381">
        <f>1.07*AP191*(1+Driver_macroeconómicos_Agricult!AF$79)</f>
        <v>9.3709598074946374E-2</v>
      </c>
      <c r="AR191" s="381">
        <f>1.07*AQ191*(1+Driver_macroeconómicos_Agricult!AG$79)</f>
        <v>0.10214939046125175</v>
      </c>
      <c r="AS191" s="381">
        <f>1.07*AR191*(1+Driver_macroeconómicos_Agricult!AH$79)</f>
        <v>0.11125838112954865</v>
      </c>
      <c r="AT191" s="381">
        <f>1.07*AS191*(1+Driver_macroeconómicos_Agricult!AI$79)</f>
        <v>0.12120885660309563</v>
      </c>
      <c r="AU191" s="381">
        <f>1.07*AT191*(1+Driver_macroeconómicos_Agricult!AJ$79)</f>
        <v>0.13202984394024397</v>
      </c>
      <c r="AV191" s="381">
        <f>1.07*AU191*(1+Driver_macroeconómicos_Agricult!AK$79)</f>
        <v>0.14412071380112826</v>
      </c>
      <c r="AW191" s="381">
        <f>1.07*AV191*(1+Driver_macroeconómicos_Agricult!AL$79)</f>
        <v>0.15698900744100597</v>
      </c>
      <c r="AX191" s="381">
        <f>1.07*AW191*(1+Driver_macroeconómicos_Agricult!AM$79)</f>
        <v>0.17094511423101158</v>
      </c>
      <c r="AY191" s="381">
        <f>1.07*AX191*(1+Driver_macroeconómicos_Agricult!AN$79)</f>
        <v>0.18618740608878576</v>
      </c>
      <c r="AZ191" s="381">
        <f>1.07*AY191*(1+Driver_macroeconómicos_Agricult!AO$79)</f>
        <v>0.20276147330447661</v>
      </c>
      <c r="BA191" s="381">
        <f>1.07*AZ191*(1+Driver_macroeconómicos_Agricult!AP$79)</f>
        <v>0.22085003877386752</v>
      </c>
      <c r="BB191" s="381">
        <f>1.07*BA191*(1+Driver_macroeconómicos_Agricult!AQ$79)</f>
        <v>0.24034603064817037</v>
      </c>
      <c r="BC191" s="381">
        <f>1.07*BB191*(1+Driver_macroeconómicos_Agricult!AR$79)</f>
        <v>0.26152886060349323</v>
      </c>
      <c r="BD191" s="381">
        <f>1.07*BC191*(1+Driver_macroeconómicos_Agricult!AS$79)</f>
        <v>0.28454267270839562</v>
      </c>
      <c r="BE191" s="381">
        <f>1.07*BD191*(1+Driver_macroeconómicos_Agricult!AT$79)</f>
        <v>0.30952035776110742</v>
      </c>
      <c r="BF191" s="381">
        <f>1.07*BE191*(1+Driver_macroeconómicos_Agricult!AU$79)</f>
        <v>0.33660214676945993</v>
      </c>
      <c r="BG191" s="381">
        <f>1.07*BF191*(1+Driver_macroeconómicos_Agricult!AV$79)</f>
        <v>0.36597485517256212</v>
      </c>
      <c r="BH191" s="381">
        <f>1.07*BG191*(1+Driver_macroeconómicos_Agricult!AW$79)</f>
        <v>0.3978340493998947</v>
      </c>
      <c r="BI191" s="381">
        <f>1.07*BH191*(1+Driver_macroeconómicos_Agricult!AX$79)</f>
        <v>0.43238714999086264</v>
      </c>
      <c r="BJ191" s="381">
        <f>1.07*BI191*(1+Driver_macroeconómicos_Agricult!AY$79)</f>
        <v>0.46983639725375814</v>
      </c>
      <c r="BK191" s="381">
        <f>1.07*BJ191*(1+Driver_macroeconómicos_Agricult!AZ$79)</f>
        <v>0.51041630332245547</v>
      </c>
      <c r="BL191" s="381">
        <f>1.07*BK191*(1+Driver_macroeconómicos_Agricult!BA$79)</f>
        <v>0.55437040792704462</v>
      </c>
      <c r="BM191" s="381">
        <f>1.07*BL191*(1+Driver_macroeconómicos_Agricult!BB$79)</f>
        <v>0.60198899049064547</v>
      </c>
      <c r="BN191" s="381">
        <f>1.07*BM191*(1+Driver_macroeconómicos_Agricult!BC$79)</f>
        <v>0.65356305144609084</v>
      </c>
      <c r="BO191" s="381">
        <f>1.07*BN191*(1+Driver_macroeconómicos_Agricult!BD$79)</f>
        <v>0.70940559746467269</v>
      </c>
      <c r="BP191" s="182"/>
    </row>
    <row r="192" spans="1:68" ht="14.25" customHeight="1" x14ac:dyDescent="0.3">
      <c r="A192" s="982"/>
      <c r="D192" s="944"/>
      <c r="E192" s="183"/>
      <c r="F192" s="185" t="s">
        <v>416</v>
      </c>
      <c r="G192" s="191">
        <v>4.0790579939999995E-2</v>
      </c>
      <c r="H192" s="191">
        <v>5.8067967869999994E-2</v>
      </c>
      <c r="I192" s="191">
        <v>3.9975128820000004E-2</v>
      </c>
      <c r="J192" s="191">
        <v>2.0914532100000001E-3</v>
      </c>
      <c r="K192" s="191">
        <v>2.2106864339999997E-2</v>
      </c>
      <c r="L192" s="191">
        <v>4.9399702109999999E-2</v>
      </c>
      <c r="M192" s="191">
        <v>4.6782965789999999E-2</v>
      </c>
      <c r="N192" s="191">
        <v>7.5367431783269989E-2</v>
      </c>
      <c r="O192" s="191">
        <v>3.8495490626339994E-2</v>
      </c>
      <c r="P192" s="191">
        <v>2.8920761788049996E-2</v>
      </c>
      <c r="Q192" s="191">
        <v>2.7924159298860003E-2</v>
      </c>
      <c r="R192" s="191">
        <v>3.914996472684E-2</v>
      </c>
      <c r="S192" s="209">
        <f>R192*(1+Driver_macroeconómicos_Agricult!H$79)</f>
        <v>4.5457092746909171E-2</v>
      </c>
      <c r="T192" s="209">
        <f t="shared" si="217"/>
        <v>4.6578354144663429E-2</v>
      </c>
      <c r="U192" s="209">
        <f t="shared" si="217"/>
        <v>4.7699615542417681E-2</v>
      </c>
      <c r="V192" s="209">
        <f t="shared" si="217"/>
        <v>4.8820876940171939E-2</v>
      </c>
      <c r="W192" s="209">
        <f t="shared" si="217"/>
        <v>4.9942138337926198E-2</v>
      </c>
      <c r="X192" s="209">
        <f t="shared" si="217"/>
        <v>5.1063399735680456E-2</v>
      </c>
      <c r="Y192" s="209">
        <f t="shared" si="217"/>
        <v>5.2184661133434708E-2</v>
      </c>
      <c r="Z192" s="209">
        <f t="shared" si="217"/>
        <v>5.3305922531188966E-2</v>
      </c>
      <c r="AA192" s="209">
        <f t="shared" si="217"/>
        <v>5.4427183928943218E-2</v>
      </c>
      <c r="AB192" s="209">
        <f t="shared" si="217"/>
        <v>5.5548445326697476E-2</v>
      </c>
      <c r="AC192" s="209">
        <f t="shared" si="217"/>
        <v>5.6669706724451735E-2</v>
      </c>
      <c r="AD192" s="209">
        <f t="shared" si="217"/>
        <v>5.7790968122205993E-2</v>
      </c>
      <c r="AE192" s="209">
        <f t="shared" si="217"/>
        <v>5.8912229519960245E-2</v>
      </c>
      <c r="AF192" s="381">
        <v>6.0033490917714503E-2</v>
      </c>
      <c r="AG192" s="381">
        <f t="shared" ref="AG192:AU192" si="218">0.999*AF192</f>
        <v>5.9973457426796786E-2</v>
      </c>
      <c r="AH192" s="381">
        <f t="shared" si="218"/>
        <v>5.9913483969369991E-2</v>
      </c>
      <c r="AI192" s="381">
        <f t="shared" si="218"/>
        <v>5.9853570485400617E-2</v>
      </c>
      <c r="AJ192" s="381">
        <f t="shared" si="218"/>
        <v>5.9793716914915217E-2</v>
      </c>
      <c r="AK192" s="381">
        <f t="shared" si="218"/>
        <v>5.9733923198000305E-2</v>
      </c>
      <c r="AL192" s="381">
        <f t="shared" si="218"/>
        <v>5.9674189274802301E-2</v>
      </c>
      <c r="AM192" s="381">
        <f t="shared" si="218"/>
        <v>5.9614515085527502E-2</v>
      </c>
      <c r="AN192" s="381">
        <f t="shared" si="218"/>
        <v>5.9554900570441972E-2</v>
      </c>
      <c r="AO192" s="381">
        <f t="shared" si="218"/>
        <v>5.9495345669871531E-2</v>
      </c>
      <c r="AP192" s="381">
        <f t="shared" si="218"/>
        <v>5.9435850324201657E-2</v>
      </c>
      <c r="AQ192" s="381">
        <f t="shared" si="218"/>
        <v>5.9376414473877454E-2</v>
      </c>
      <c r="AR192" s="381">
        <f t="shared" si="218"/>
        <v>5.9317038059403575E-2</v>
      </c>
      <c r="AS192" s="381">
        <f t="shared" si="218"/>
        <v>5.9257721021344169E-2</v>
      </c>
      <c r="AT192" s="381">
        <f t="shared" si="218"/>
        <v>5.9198463300322822E-2</v>
      </c>
      <c r="AU192" s="381">
        <f t="shared" si="218"/>
        <v>5.9139264837022497E-2</v>
      </c>
      <c r="AV192" s="381">
        <f t="shared" ref="AV192" si="219">0.999*AU192</f>
        <v>5.9080125572185477E-2</v>
      </c>
      <c r="AW192" s="381">
        <f t="shared" ref="AW192" si="220">0.999*AV192</f>
        <v>5.9021045446613289E-2</v>
      </c>
      <c r="AX192" s="381">
        <f t="shared" ref="AX192" si="221">0.999*AW192</f>
        <v>5.8962024401166678E-2</v>
      </c>
      <c r="AY192" s="381">
        <f t="shared" ref="AY192" si="222">0.999*AX192</f>
        <v>5.8903062376765514E-2</v>
      </c>
      <c r="AZ192" s="381">
        <f t="shared" ref="AZ192" si="223">0.999*AY192</f>
        <v>5.8844159314388751E-2</v>
      </c>
      <c r="BA192" s="381">
        <f t="shared" ref="BA192" si="224">0.999*AZ192</f>
        <v>5.8785315155074361E-2</v>
      </c>
      <c r="BB192" s="381">
        <f t="shared" ref="BB192" si="225">0.999*BA192</f>
        <v>5.8726529839919286E-2</v>
      </c>
      <c r="BC192" s="381">
        <f t="shared" ref="BC192" si="226">0.999*BB192</f>
        <v>5.8667803310079369E-2</v>
      </c>
      <c r="BD192" s="381">
        <f t="shared" ref="BD192" si="227">0.999*BC192</f>
        <v>5.8609135506769293E-2</v>
      </c>
      <c r="BE192" s="381">
        <f t="shared" ref="BE192" si="228">0.999*BD192</f>
        <v>5.8550526371262526E-2</v>
      </c>
      <c r="BF192" s="381">
        <f t="shared" ref="BF192" si="229">0.999*BE192</f>
        <v>5.8491975844891263E-2</v>
      </c>
      <c r="BG192" s="381">
        <f t="shared" ref="BG192" si="230">0.999*BF192</f>
        <v>5.8433483869046371E-2</v>
      </c>
      <c r="BH192" s="381">
        <f t="shared" ref="BH192" si="231">0.999*BG192</f>
        <v>5.8375050385177325E-2</v>
      </c>
      <c r="BI192" s="381">
        <f t="shared" ref="BI192" si="232">0.999*BH192</f>
        <v>5.8316675334792151E-2</v>
      </c>
      <c r="BJ192" s="381">
        <f t="shared" ref="BJ192" si="233">0.999*BI192</f>
        <v>5.825835865945736E-2</v>
      </c>
      <c r="BK192" s="381">
        <f t="shared" ref="BK192" si="234">0.999*BJ192</f>
        <v>5.8200100300797905E-2</v>
      </c>
      <c r="BL192" s="381">
        <f t="shared" ref="BL192" si="235">0.999*BK192</f>
        <v>5.8141900200497108E-2</v>
      </c>
      <c r="BM192" s="381">
        <f t="shared" ref="BM192" si="236">0.999*BL192</f>
        <v>5.8083758300296613E-2</v>
      </c>
      <c r="BN192" s="381">
        <f t="shared" ref="BN192" si="237">0.999*BM192</f>
        <v>5.8025674541996315E-2</v>
      </c>
      <c r="BO192" s="381">
        <f t="shared" ref="BO192" si="238">0.999*BN192</f>
        <v>5.796764886745432E-2</v>
      </c>
      <c r="BP192" s="182"/>
    </row>
    <row r="193" spans="1:96" ht="14.25" customHeight="1" x14ac:dyDescent="0.3">
      <c r="A193" s="982"/>
      <c r="D193" s="944"/>
      <c r="E193" s="183"/>
      <c r="F193" s="185" t="s">
        <v>417</v>
      </c>
      <c r="G193" s="191">
        <v>0.47091329999999998</v>
      </c>
      <c r="H193" s="191">
        <v>0.52968564000000007</v>
      </c>
      <c r="I193" s="191">
        <v>0.30196484999999995</v>
      </c>
      <c r="J193" s="191">
        <v>0.13172643000000001</v>
      </c>
      <c r="K193" s="191">
        <v>0.1150578</v>
      </c>
      <c r="L193" s="191">
        <v>3.2783849999999996E-2</v>
      </c>
      <c r="M193" s="191">
        <v>6.2773919999999997E-2</v>
      </c>
      <c r="N193" s="191">
        <v>7.7792219999999995E-2</v>
      </c>
      <c r="O193" s="191">
        <v>5.6735909999999994E-2</v>
      </c>
      <c r="P193" s="191">
        <v>2.7309150000000001E-2</v>
      </c>
      <c r="Q193" s="191">
        <v>4.8787199999999996E-2</v>
      </c>
      <c r="R193" s="191">
        <v>5.6826000000000002E-2</v>
      </c>
      <c r="S193" s="209">
        <f>R193*(1+Driver_macroeconómicos_Agricult!H$79)</f>
        <v>6.5980768321482974E-2</v>
      </c>
      <c r="T193" s="209">
        <f t="shared" si="217"/>
        <v>7.2141382875899093E-2</v>
      </c>
      <c r="U193" s="209">
        <f t="shared" si="217"/>
        <v>7.8301997430315212E-2</v>
      </c>
      <c r="V193" s="209">
        <f t="shared" si="217"/>
        <v>8.4462611984731331E-2</v>
      </c>
      <c r="W193" s="209">
        <f t="shared" si="217"/>
        <v>9.062322653914745E-2</v>
      </c>
      <c r="X193" s="209">
        <f t="shared" si="217"/>
        <v>9.6783841093563569E-2</v>
      </c>
      <c r="Y193" s="209">
        <f t="shared" si="217"/>
        <v>0.10294445564797969</v>
      </c>
      <c r="Z193" s="209">
        <f t="shared" si="217"/>
        <v>0.10910507020239579</v>
      </c>
      <c r="AA193" s="209">
        <f t="shared" si="217"/>
        <v>0.11526568475681193</v>
      </c>
      <c r="AB193" s="209">
        <f t="shared" si="217"/>
        <v>0.12142629931122803</v>
      </c>
      <c r="AC193" s="209">
        <f t="shared" si="217"/>
        <v>0.12758691386564416</v>
      </c>
      <c r="AD193" s="209">
        <f t="shared" si="217"/>
        <v>0.13374752842006027</v>
      </c>
      <c r="AE193" s="209">
        <f t="shared" si="217"/>
        <v>0.1399081429744764</v>
      </c>
      <c r="AF193" s="209">
        <v>0.14606875752889251</v>
      </c>
      <c r="AG193" s="209">
        <f>AF193*(1+Driver_macroeconómicos_Agricult!V$79)</f>
        <v>0.14670258309732762</v>
      </c>
      <c r="AH193" s="209">
        <f>AG193*(1+Driver_macroeconómicos_Agricult!W$79)</f>
        <v>0.15142698154691722</v>
      </c>
      <c r="AI193" s="209">
        <f>AH193*(1+Driver_macroeconómicos_Agricult!X$79)</f>
        <v>0.15560972123863473</v>
      </c>
      <c r="AJ193" s="209">
        <f>AI193*(1+Driver_macroeconómicos_Agricult!Y$79)</f>
        <v>0.15955897904457345</v>
      </c>
      <c r="AK193" s="209">
        <f>AJ193*(1+Driver_macroeconómicos_Agricult!Z$79)</f>
        <v>0.16284285390438252</v>
      </c>
      <c r="AL193" s="209">
        <f>AK193*(1+Driver_macroeconómicos_Agricult!AA$79)</f>
        <v>0.16624315859590455</v>
      </c>
      <c r="AM193" s="209">
        <f>AL193*(1+Driver_macroeconómicos_Agricult!AB$79)</f>
        <v>0.17026931138413456</v>
      </c>
      <c r="AN193" s="209">
        <f>AM193*(1+Driver_macroeconómicos_Agricult!AC$79)</f>
        <v>0.1733224508379875</v>
      </c>
      <c r="AO193" s="209">
        <f>AN193*(1+Driver_macroeconómicos_Agricult!AD$79)</f>
        <v>0.17706776668486907</v>
      </c>
      <c r="AP193" s="209">
        <f>AO193*(1+Driver_macroeconómicos_Agricult!AE$79)</f>
        <v>0.18028850334273366</v>
      </c>
      <c r="AQ193" s="209">
        <f>AP193*(1+Driver_macroeconómicos_Agricult!AF$79)</f>
        <v>0.18440002269720854</v>
      </c>
      <c r="AR193" s="209">
        <f>AQ193*(1+Driver_macroeconómicos_Agricult!AG$79)</f>
        <v>0.18785765500034171</v>
      </c>
      <c r="AS193" s="209">
        <f>AR193*(1+Driver_macroeconómicos_Agricult!AH$79)</f>
        <v>0.19122385803877309</v>
      </c>
      <c r="AT193" s="209">
        <f>AS193*(1+Driver_macroeconómicos_Agricult!AI$79)</f>
        <v>0.19469729438234237</v>
      </c>
      <c r="AU193" s="209">
        <f>AT193*(1+Driver_macroeconómicos_Agricult!AJ$79)</f>
        <v>0.19820467515914877</v>
      </c>
      <c r="AV193" s="209">
        <f>AU193*(1+Driver_macroeconómicos_Agricult!AK$79)</f>
        <v>0.20220151768865302</v>
      </c>
      <c r="AW193" s="209">
        <f>AV193*(1+Driver_macroeconómicos_Agricult!AL$79)</f>
        <v>0.2058464930976879</v>
      </c>
      <c r="AX193" s="209">
        <f>AW193*(1+Driver_macroeconómicos_Agricult!AM$79)</f>
        <v>0.2094822085502743</v>
      </c>
      <c r="AY193" s="209">
        <f>AX193*(1+Driver_macroeconómicos_Agricult!AN$79)</f>
        <v>0.21323425591443351</v>
      </c>
      <c r="AZ193" s="209">
        <f>AY193*(1+Driver_macroeconómicos_Agricult!AO$79)</f>
        <v>0.21702428498996754</v>
      </c>
      <c r="BA193" s="209">
        <f>AZ193*(1+Driver_macroeconómicos_Agricult!AP$79)</f>
        <v>0.22092079530265857</v>
      </c>
      <c r="BB193" s="209">
        <f>BA193*(1+Driver_macroeconómicos_Agricult!AQ$79)</f>
        <v>0.22469442369646631</v>
      </c>
      <c r="BC193" s="209">
        <f>BB193*(1+Driver_macroeconómicos_Agricult!AR$79)</f>
        <v>0.22850262024850715</v>
      </c>
      <c r="BD193" s="209">
        <f>BC193*(1+Driver_macroeconómicos_Agricult!AS$79)</f>
        <v>0.23234599540944498</v>
      </c>
      <c r="BE193" s="209">
        <f>BD193*(1+Driver_macroeconómicos_Agricult!AT$79)</f>
        <v>0.23620725144328941</v>
      </c>
      <c r="BF193" s="209">
        <f>BE193*(1+Driver_macroeconómicos_Agricult!AU$79)</f>
        <v>0.24006956813033825</v>
      </c>
      <c r="BG193" s="209">
        <f>BF193*(1+Driver_macroeconómicos_Agricult!AV$79)</f>
        <v>0.24394262881995757</v>
      </c>
      <c r="BH193" s="209">
        <f>BG193*(1+Driver_macroeconómicos_Agricult!AW$79)</f>
        <v>0.24783042672423514</v>
      </c>
      <c r="BI193" s="209">
        <f>BH193*(1+Driver_macroeconómicos_Agricult!AX$79)</f>
        <v>0.25173388333853541</v>
      </c>
      <c r="BJ193" s="209">
        <f>BI193*(1+Driver_macroeconómicos_Agricult!AY$79)</f>
        <v>0.25564174691825231</v>
      </c>
      <c r="BK193" s="209">
        <f>BJ193*(1+Driver_macroeconómicos_Agricult!AZ$79)</f>
        <v>0.25955289610890714</v>
      </c>
      <c r="BL193" s="209">
        <f>BK193*(1+Driver_macroeconómicos_Agricult!BA$79)</f>
        <v>0.26346176889157058</v>
      </c>
      <c r="BM193" s="209">
        <f>BL193*(1+Driver_macroeconómicos_Agricult!BB$79)</f>
        <v>0.26737594629711886</v>
      </c>
      <c r="BN193" s="209">
        <f>BM193*(1+Driver_macroeconómicos_Agricult!BC$79)</f>
        <v>0.27129232032825668</v>
      </c>
      <c r="BO193" s="209">
        <f>BN193*(1+Driver_macroeconómicos_Agricult!BD$79)</f>
        <v>0.2752078651665707</v>
      </c>
      <c r="BP193" s="182"/>
    </row>
    <row r="194" spans="1:96" ht="14.25" customHeight="1" x14ac:dyDescent="0.3">
      <c r="A194" s="982"/>
      <c r="D194" s="944" t="s">
        <v>457</v>
      </c>
      <c r="E194" s="183"/>
      <c r="F194" s="185" t="s">
        <v>465</v>
      </c>
      <c r="G194" s="191">
        <v>1.5346683990000002E-2</v>
      </c>
      <c r="H194" s="191">
        <v>1.1710432799999998E-2</v>
      </c>
      <c r="I194" s="191">
        <v>6.6203279999999995E-5</v>
      </c>
      <c r="J194" s="191">
        <v>2.0752360199999993E-3</v>
      </c>
      <c r="K194" s="191">
        <v>5.0711700600000005E-3</v>
      </c>
      <c r="L194" s="191">
        <v>1.1520953730000002E-2</v>
      </c>
      <c r="M194" s="191">
        <v>6.9910830000000004E-5</v>
      </c>
      <c r="N194" s="191">
        <v>1.1254289112E-4</v>
      </c>
      <c r="O194" s="191">
        <v>6.4052071577999992E-3</v>
      </c>
      <c r="P194" s="191">
        <v>1.8851188069889998E-2</v>
      </c>
      <c r="Q194" s="191">
        <v>4.9142684843999996E-3</v>
      </c>
      <c r="R194" s="191">
        <v>1.41248521953E-2</v>
      </c>
      <c r="S194" s="209">
        <f>R194*(1+Driver_macroeconómicos_Agricult!H$79)</f>
        <v>1.640039067105338E-2</v>
      </c>
      <c r="T194" s="209">
        <f t="shared" si="217"/>
        <v>1.7931692716126792E-2</v>
      </c>
      <c r="U194" s="209">
        <f t="shared" si="217"/>
        <v>1.9462994761200201E-2</v>
      </c>
      <c r="V194" s="209">
        <f t="shared" si="217"/>
        <v>2.0994296806273613E-2</v>
      </c>
      <c r="W194" s="209">
        <f t="shared" si="217"/>
        <v>2.2525598851347022E-2</v>
      </c>
      <c r="X194" s="209">
        <f t="shared" si="217"/>
        <v>2.4056900896420434E-2</v>
      </c>
      <c r="Y194" s="209">
        <f t="shared" si="217"/>
        <v>2.5588202941493846E-2</v>
      </c>
      <c r="Z194" s="209">
        <f t="shared" si="217"/>
        <v>2.7119504986567254E-2</v>
      </c>
      <c r="AA194" s="209">
        <f t="shared" si="217"/>
        <v>2.8650807031640666E-2</v>
      </c>
      <c r="AB194" s="209">
        <f t="shared" si="217"/>
        <v>3.0182109076714078E-2</v>
      </c>
      <c r="AC194" s="209">
        <f t="shared" si="217"/>
        <v>3.1713411121787487E-2</v>
      </c>
      <c r="AD194" s="209">
        <f t="shared" si="217"/>
        <v>3.3244713166860895E-2</v>
      </c>
      <c r="AE194" s="209">
        <f t="shared" si="217"/>
        <v>3.4776015211934311E-2</v>
      </c>
      <c r="AF194" s="209">
        <v>3.6307317257007719E-2</v>
      </c>
      <c r="AG194" s="209">
        <f>AF194*(1+Driver_macroeconómicos_Agricult!V$79)</f>
        <v>3.6464862966220896E-2</v>
      </c>
      <c r="AH194" s="209">
        <f>AG194*(1+Driver_macroeconómicos_Agricult!W$79)</f>
        <v>3.7639174545641543E-2</v>
      </c>
      <c r="AI194" s="209">
        <f>AH194*(1+Driver_macroeconómicos_Agricult!X$79)</f>
        <v>3.8678849692879158E-2</v>
      </c>
      <c r="AJ194" s="209">
        <f>AI194*(1+Driver_macroeconómicos_Agricult!Y$79)</f>
        <v>3.9660489836299766E-2</v>
      </c>
      <c r="AK194" s="209">
        <f>AJ194*(1+Driver_macroeconómicos_Agricult!Z$79)</f>
        <v>4.0476740267839283E-2</v>
      </c>
      <c r="AL194" s="209">
        <f>AK194*(1+Driver_macroeconómicos_Agricult!AA$79)</f>
        <v>4.1321930870498874E-2</v>
      </c>
      <c r="AM194" s="209">
        <f>AL194*(1+Driver_macroeconómicos_Agricult!AB$79)</f>
        <v>4.2322684276500419E-2</v>
      </c>
      <c r="AN194" s="209">
        <f>AM194*(1+Driver_macroeconómicos_Agricult!AC$79)</f>
        <v>4.308158237802634E-2</v>
      </c>
      <c r="AO194" s="209">
        <f>AN194*(1+Driver_macroeconómicos_Agricult!AD$79)</f>
        <v>4.4012530056235559E-2</v>
      </c>
      <c r="AP194" s="209">
        <f>AO194*(1+Driver_macroeconómicos_Agricult!AE$79)</f>
        <v>4.4813086654488507E-2</v>
      </c>
      <c r="AQ194" s="209">
        <f>AP194*(1+Driver_macroeconómicos_Agricult!AF$79)</f>
        <v>4.5835059047056571E-2</v>
      </c>
      <c r="AR194" s="209">
        <f>AQ194*(1+Driver_macroeconómicos_Agricult!AG$79)</f>
        <v>4.6694499184096849E-2</v>
      </c>
      <c r="AS194" s="209">
        <f>AR194*(1+Driver_macroeconómicos_Agricult!AH$79)</f>
        <v>4.7531213370863697E-2</v>
      </c>
      <c r="AT194" s="209">
        <f>AS194*(1+Driver_macroeconómicos_Agricult!AI$79)</f>
        <v>4.8394581810709887E-2</v>
      </c>
      <c r="AU194" s="209">
        <f>AT194*(1+Driver_macroeconómicos_Agricult!AJ$79)</f>
        <v>4.9266387587379487E-2</v>
      </c>
      <c r="AV194" s="209">
        <f>AU194*(1+Driver_macroeconómicos_Agricult!AK$79)</f>
        <v>5.0259855541786566E-2</v>
      </c>
      <c r="AW194" s="209">
        <f>AV194*(1+Driver_macroeconómicos_Agricult!AL$79)</f>
        <v>5.1165862280042308E-2</v>
      </c>
      <c r="AX194" s="209">
        <f>AW194*(1+Driver_macroeconómicos_Agricult!AM$79)</f>
        <v>5.2069567333925239E-2</v>
      </c>
      <c r="AY194" s="209">
        <f>AX194*(1+Driver_macroeconómicos_Agricult!AN$79)</f>
        <v>5.3002188219585217E-2</v>
      </c>
      <c r="AZ194" s="209">
        <f>AY194*(1+Driver_macroeconómicos_Agricult!AO$79)</f>
        <v>5.3944249960827036E-2</v>
      </c>
      <c r="BA194" s="209">
        <f>AZ194*(1+Driver_macroeconómicos_Agricult!AP$79)</f>
        <v>5.4912779018726994E-2</v>
      </c>
      <c r="BB194" s="209">
        <f>BA194*(1+Driver_macroeconómicos_Agricult!AQ$79)</f>
        <v>5.5850764154096746E-2</v>
      </c>
      <c r="BC194" s="209">
        <f>BB194*(1+Driver_macroeconómicos_Agricult!AR$79)</f>
        <v>5.6797341661368558E-2</v>
      </c>
      <c r="BD194" s="209">
        <f>BC194*(1+Driver_macroeconómicos_Agricult!AS$79)</f>
        <v>5.7752663276110651E-2</v>
      </c>
      <c r="BE194" s="209">
        <f>BD194*(1+Driver_macroeconómicos_Agricult!AT$79)</f>
        <v>5.8712429417775783E-2</v>
      </c>
      <c r="BF194" s="209">
        <f>BE194*(1+Driver_macroeconómicos_Agricult!AU$79)</f>
        <v>5.9672459198791612E-2</v>
      </c>
      <c r="BG194" s="209">
        <f>BF194*(1+Driver_macroeconómicos_Agricult!AV$79)</f>
        <v>6.0635159543427859E-2</v>
      </c>
      <c r="BH194" s="209">
        <f>BG194*(1+Driver_macroeconómicos_Agricult!AW$79)</f>
        <v>6.1601523017244739E-2</v>
      </c>
      <c r="BI194" s="209">
        <f>BH194*(1+Driver_macroeconómicos_Agricult!AX$79)</f>
        <v>6.2571778670075434E-2</v>
      </c>
      <c r="BJ194" s="209">
        <f>BI194*(1+Driver_macroeconómicos_Agricult!AY$79)</f>
        <v>6.3543129732316267E-2</v>
      </c>
      <c r="BK194" s="209">
        <f>BJ194*(1+Driver_macroeconómicos_Agricult!AZ$79)</f>
        <v>6.4515297476513758E-2</v>
      </c>
      <c r="BL194" s="209">
        <f>BK194*(1+Driver_macroeconómicos_Agricult!BA$79)</f>
        <v>6.5486899389464739E-2</v>
      </c>
      <c r="BM194" s="209">
        <f>BL194*(1+Driver_macroeconómicos_Agricult!BB$79)</f>
        <v>6.6459819836435369E-2</v>
      </c>
      <c r="BN194" s="209">
        <f>BM194*(1+Driver_macroeconómicos_Agricult!BC$79)</f>
        <v>6.7433286283683683E-2</v>
      </c>
      <c r="BO194" s="209">
        <f>BN194*(1+Driver_macroeconómicos_Agricult!BD$79)</f>
        <v>6.8406546624113343E-2</v>
      </c>
      <c r="BP194" s="182"/>
    </row>
    <row r="195" spans="1:96" ht="13.5" customHeight="1" x14ac:dyDescent="0.3">
      <c r="A195" s="982"/>
      <c r="D195" s="944"/>
      <c r="E195" s="183"/>
      <c r="F195" s="185" t="s">
        <v>419</v>
      </c>
      <c r="G195" s="191">
        <v>3.9748500000000006E-6</v>
      </c>
      <c r="H195" s="191">
        <v>9.8930699999999998E-6</v>
      </c>
      <c r="I195" s="191">
        <v>3.32244E-6</v>
      </c>
      <c r="J195" s="191">
        <v>5.2321499999999995E-6</v>
      </c>
      <c r="K195" s="191">
        <v>6.1211699999999995E-6</v>
      </c>
      <c r="L195" s="191">
        <v>4.0283099999999999E-6</v>
      </c>
      <c r="M195" s="191">
        <v>3.9738599999999999E-6</v>
      </c>
      <c r="N195" s="191">
        <v>2.2787622000000002E-5</v>
      </c>
      <c r="O195" s="191">
        <v>3.9607226999999998E-6</v>
      </c>
      <c r="P195" s="191">
        <v>0</v>
      </c>
      <c r="Q195" s="191">
        <v>0</v>
      </c>
      <c r="R195" s="191">
        <v>0</v>
      </c>
      <c r="S195" s="209">
        <f>R195*(1+Driver_macroeconómicos_Agricult!H$79)</f>
        <v>0</v>
      </c>
      <c r="T195" s="209">
        <f t="shared" si="217"/>
        <v>0</v>
      </c>
      <c r="U195" s="209">
        <f t="shared" si="217"/>
        <v>0</v>
      </c>
      <c r="V195" s="209">
        <f t="shared" si="217"/>
        <v>0</v>
      </c>
      <c r="W195" s="209">
        <f t="shared" si="217"/>
        <v>0</v>
      </c>
      <c r="X195" s="209">
        <f t="shared" si="217"/>
        <v>0</v>
      </c>
      <c r="Y195" s="209">
        <f t="shared" si="217"/>
        <v>0</v>
      </c>
      <c r="Z195" s="209">
        <f t="shared" si="217"/>
        <v>0</v>
      </c>
      <c r="AA195" s="209">
        <f t="shared" si="217"/>
        <v>0</v>
      </c>
      <c r="AB195" s="209">
        <f t="shared" si="217"/>
        <v>0</v>
      </c>
      <c r="AC195" s="209">
        <f t="shared" si="217"/>
        <v>0</v>
      </c>
      <c r="AD195" s="209">
        <f t="shared" si="217"/>
        <v>0</v>
      </c>
      <c r="AE195" s="209">
        <f t="shared" si="217"/>
        <v>0</v>
      </c>
      <c r="AF195" s="209">
        <v>0</v>
      </c>
      <c r="AG195" s="209">
        <f>AF195*(1+Driver_macroeconómicos_Agricult!V$79)</f>
        <v>0</v>
      </c>
      <c r="AH195" s="209">
        <f>AG195*(1+Driver_macroeconómicos_Agricult!W$79)</f>
        <v>0</v>
      </c>
      <c r="AI195" s="209">
        <f>AH195*(1+Driver_macroeconómicos_Agricult!X$79)</f>
        <v>0</v>
      </c>
      <c r="AJ195" s="209">
        <f>AI195*(1+Driver_macroeconómicos_Agricult!Y$79)</f>
        <v>0</v>
      </c>
      <c r="AK195" s="209">
        <f>AJ195*(1+Driver_macroeconómicos_Agricult!Z$79)</f>
        <v>0</v>
      </c>
      <c r="AL195" s="209">
        <f>AK195*(1+Driver_macroeconómicos_Agricult!AA$79)</f>
        <v>0</v>
      </c>
      <c r="AM195" s="209">
        <f>AL195*(1+Driver_macroeconómicos_Agricult!AB$79)</f>
        <v>0</v>
      </c>
      <c r="AN195" s="209">
        <f>AM195*(1+Driver_macroeconómicos_Agricult!AC$79)</f>
        <v>0</v>
      </c>
      <c r="AO195" s="209">
        <f>AN195*(1+Driver_macroeconómicos_Agricult!AD$79)</f>
        <v>0</v>
      </c>
      <c r="AP195" s="209">
        <f>AO195*(1+Driver_macroeconómicos_Agricult!AE$79)</f>
        <v>0</v>
      </c>
      <c r="AQ195" s="209">
        <f>AP195*(1+Driver_macroeconómicos_Agricult!AF$79)</f>
        <v>0</v>
      </c>
      <c r="AR195" s="209">
        <f>AQ195*(1+Driver_macroeconómicos_Agricult!AG$79)</f>
        <v>0</v>
      </c>
      <c r="AS195" s="209">
        <f>AR195*(1+Driver_macroeconómicos_Agricult!AH$79)</f>
        <v>0</v>
      </c>
      <c r="AT195" s="209">
        <f>AS195*(1+Driver_macroeconómicos_Agricult!AI$79)</f>
        <v>0</v>
      </c>
      <c r="AU195" s="209">
        <f>AT195*(1+Driver_macroeconómicos_Agricult!AJ$79)</f>
        <v>0</v>
      </c>
      <c r="AV195" s="209">
        <f>AU195*(1+Driver_macroeconómicos_Agricult!AK$79)</f>
        <v>0</v>
      </c>
      <c r="AW195" s="209">
        <f>AV195*(1+Driver_macroeconómicos_Agricult!AL$79)</f>
        <v>0</v>
      </c>
      <c r="AX195" s="209">
        <f>AW195*(1+Driver_macroeconómicos_Agricult!AM$79)</f>
        <v>0</v>
      </c>
      <c r="AY195" s="209">
        <f>AX195*(1+Driver_macroeconómicos_Agricult!AN$79)</f>
        <v>0</v>
      </c>
      <c r="AZ195" s="209">
        <f>AY195*(1+Driver_macroeconómicos_Agricult!AO$79)</f>
        <v>0</v>
      </c>
      <c r="BA195" s="209">
        <f>AZ195*(1+Driver_macroeconómicos_Agricult!AP$79)</f>
        <v>0</v>
      </c>
      <c r="BB195" s="209">
        <f>BA195*(1+Driver_macroeconómicos_Agricult!AQ$79)</f>
        <v>0</v>
      </c>
      <c r="BC195" s="209">
        <f>BB195*(1+Driver_macroeconómicos_Agricult!AR$79)</f>
        <v>0</v>
      </c>
      <c r="BD195" s="209">
        <f>BC195*(1+Driver_macroeconómicos_Agricult!AS$79)</f>
        <v>0</v>
      </c>
      <c r="BE195" s="209">
        <f>BD195*(1+Driver_macroeconómicos_Agricult!AT$79)</f>
        <v>0</v>
      </c>
      <c r="BF195" s="209">
        <f>BE195*(1+Driver_macroeconómicos_Agricult!AU$79)</f>
        <v>0</v>
      </c>
      <c r="BG195" s="209">
        <f>BF195*(1+Driver_macroeconómicos_Agricult!AV$79)</f>
        <v>0</v>
      </c>
      <c r="BH195" s="209">
        <f>BG195*(1+Driver_macroeconómicos_Agricult!AW$79)</f>
        <v>0</v>
      </c>
      <c r="BI195" s="209">
        <f>BH195*(1+Driver_macroeconómicos_Agricult!AX$79)</f>
        <v>0</v>
      </c>
      <c r="BJ195" s="209">
        <f>BI195*(1+Driver_macroeconómicos_Agricult!AY$79)</f>
        <v>0</v>
      </c>
      <c r="BK195" s="209">
        <f>BJ195*(1+Driver_macroeconómicos_Agricult!AZ$79)</f>
        <v>0</v>
      </c>
      <c r="BL195" s="209">
        <f>BK195*(1+Driver_macroeconómicos_Agricult!BA$79)</f>
        <v>0</v>
      </c>
      <c r="BM195" s="209">
        <f>BL195*(1+Driver_macroeconómicos_Agricult!BB$79)</f>
        <v>0</v>
      </c>
      <c r="BN195" s="209">
        <f>BM195*(1+Driver_macroeconómicos_Agricult!BC$79)</f>
        <v>0</v>
      </c>
      <c r="BO195" s="209">
        <f>BN195*(1+Driver_macroeconómicos_Agricult!BD$79)</f>
        <v>0</v>
      </c>
      <c r="BP195" s="182"/>
    </row>
    <row r="196" spans="1:96" ht="14.25" customHeight="1" x14ac:dyDescent="0.3">
      <c r="A196" s="982"/>
      <c r="D196" s="944"/>
      <c r="E196" s="183"/>
      <c r="F196" s="185" t="s">
        <v>420</v>
      </c>
      <c r="G196" s="191">
        <v>0</v>
      </c>
      <c r="H196" s="191">
        <v>1.683E-5</v>
      </c>
      <c r="I196" s="191">
        <v>1.656072E-5</v>
      </c>
      <c r="J196" s="191">
        <v>0</v>
      </c>
      <c r="K196" s="191">
        <v>0</v>
      </c>
      <c r="L196" s="191">
        <v>0</v>
      </c>
      <c r="M196" s="191">
        <v>0</v>
      </c>
      <c r="N196" s="191">
        <v>0</v>
      </c>
      <c r="O196" s="191">
        <v>0</v>
      </c>
      <c r="P196" s="208">
        <v>3.3937667803175621E-2</v>
      </c>
      <c r="Q196" s="208">
        <v>3.3177234568879888E-2</v>
      </c>
      <c r="R196" s="208">
        <v>4.7858902209213905E-2</v>
      </c>
      <c r="S196" s="209">
        <f>R196*(1+Driver_macroeconómicos_Agricult!H$79)</f>
        <v>5.5569055340630211E-2</v>
      </c>
      <c r="T196" s="209">
        <f t="shared" si="217"/>
        <v>6.0757529797893797E-2</v>
      </c>
      <c r="U196" s="209">
        <f t="shared" si="217"/>
        <v>6.5946004255157398E-2</v>
      </c>
      <c r="V196" s="209">
        <f t="shared" si="217"/>
        <v>7.1134478712420984E-2</v>
      </c>
      <c r="W196" s="209">
        <f t="shared" si="217"/>
        <v>7.6322953169684571E-2</v>
      </c>
      <c r="X196" s="209">
        <f t="shared" si="217"/>
        <v>8.1511427626948157E-2</v>
      </c>
      <c r="Y196" s="209">
        <f t="shared" si="217"/>
        <v>8.6699902084211744E-2</v>
      </c>
      <c r="Z196" s="209">
        <f t="shared" si="217"/>
        <v>9.1888376541475331E-2</v>
      </c>
      <c r="AA196" s="209">
        <f t="shared" si="217"/>
        <v>9.7076850998738931E-2</v>
      </c>
      <c r="AB196" s="209">
        <f t="shared" si="217"/>
        <v>0.10226532545600253</v>
      </c>
      <c r="AC196" s="209">
        <f t="shared" si="217"/>
        <v>0.1074537999132661</v>
      </c>
      <c r="AD196" s="209">
        <f t="shared" si="217"/>
        <v>0.1126422743705297</v>
      </c>
      <c r="AE196" s="209">
        <f t="shared" si="217"/>
        <v>0.11783074882779329</v>
      </c>
      <c r="AF196" s="209">
        <v>0.12301922328505688</v>
      </c>
      <c r="AG196" s="209">
        <f>AF196*(1+Driver_macroeconómicos_Agricult!V$79)</f>
        <v>0.12355303168081648</v>
      </c>
      <c r="AH196" s="209">
        <f>AG196*(1+Driver_macroeconómicos_Agricult!W$79)</f>
        <v>0.12753192379703565</v>
      </c>
      <c r="AI196" s="209">
        <f>AH196*(1+Driver_macroeconómicos_Agricult!X$79)</f>
        <v>0.13105463047835242</v>
      </c>
      <c r="AJ196" s="209">
        <f>AI196*(1+Driver_macroeconómicos_Agricult!Y$79)</f>
        <v>0.13438069853053622</v>
      </c>
      <c r="AK196" s="209">
        <f>AJ196*(1+Driver_macroeconómicos_Agricult!Z$79)</f>
        <v>0.13714638053847095</v>
      </c>
      <c r="AL196" s="209">
        <f>AK196*(1+Driver_macroeconómicos_Agricult!AA$79)</f>
        <v>0.14001011984289294</v>
      </c>
      <c r="AM196" s="209">
        <f>AL196*(1+Driver_macroeconómicos_Agricult!AB$79)</f>
        <v>0.14340094891006736</v>
      </c>
      <c r="AN196" s="209">
        <f>AM196*(1+Driver_macroeconómicos_Agricult!AC$79)</f>
        <v>0.14597230537635111</v>
      </c>
      <c r="AO196" s="209">
        <f>AN196*(1+Driver_macroeconómicos_Agricult!AD$79)</f>
        <v>0.14912661334908409</v>
      </c>
      <c r="AP196" s="209">
        <f>AO196*(1+Driver_macroeconómicos_Agricult!AE$79)</f>
        <v>0.15183912031333235</v>
      </c>
      <c r="AQ196" s="209">
        <f>AP196*(1+Driver_macroeconómicos_Agricult!AF$79)</f>
        <v>0.15530184517021306</v>
      </c>
      <c r="AR196" s="209">
        <f>AQ196*(1+Driver_macroeconómicos_Agricult!AG$79)</f>
        <v>0.15821386583454047</v>
      </c>
      <c r="AS196" s="209">
        <f>AR196*(1+Driver_macroeconómicos_Agricult!AH$79)</f>
        <v>0.1610488846997192</v>
      </c>
      <c r="AT196" s="209">
        <f>AS196*(1+Driver_macroeconómicos_Agricult!AI$79)</f>
        <v>0.16397421553941954</v>
      </c>
      <c r="AU196" s="209">
        <f>AT196*(1+Driver_macroeconómicos_Agricult!AJ$79)</f>
        <v>0.16692813440767798</v>
      </c>
      <c r="AV196" s="209">
        <f>AU196*(1+Driver_macroeconómicos_Agricult!AK$79)</f>
        <v>0.1702942783517383</v>
      </c>
      <c r="AW196" s="209">
        <f>AV196*(1+Driver_macroeconómicos_Agricult!AL$79)</f>
        <v>0.17336407952824182</v>
      </c>
      <c r="AX196" s="209">
        <f>AW196*(1+Driver_macroeconómicos_Agricult!AM$79)</f>
        <v>0.17642608196209006</v>
      </c>
      <c r="AY196" s="209">
        <f>AX196*(1+Driver_macroeconómicos_Agricult!AN$79)</f>
        <v>0.179586059224006</v>
      </c>
      <c r="AZ196" s="209">
        <f>AY196*(1+Driver_macroeconómicos_Agricult!AO$79)</f>
        <v>0.18277802471332533</v>
      </c>
      <c r="BA196" s="209">
        <f>AZ196*(1+Driver_macroeconómicos_Agricult!AP$79)</f>
        <v>0.18605966878491709</v>
      </c>
      <c r="BB196" s="209">
        <f>BA196*(1+Driver_macroeconómicos_Agricult!AQ$79)</f>
        <v>0.18923782160709632</v>
      </c>
      <c r="BC196" s="209">
        <f>BB196*(1+Driver_macroeconómicos_Agricult!AR$79)</f>
        <v>0.1924450877595193</v>
      </c>
      <c r="BD196" s="209">
        <f>BC196*(1+Driver_macroeconómicos_Agricult!AS$79)</f>
        <v>0.19568198136421866</v>
      </c>
      <c r="BE196" s="209">
        <f>BD196*(1+Driver_macroeconómicos_Agricult!AT$79)</f>
        <v>0.19893393425424255</v>
      </c>
      <c r="BF196" s="209">
        <f>BE196*(1+Driver_macroeconómicos_Agricult!AU$79)</f>
        <v>0.20218678042723529</v>
      </c>
      <c r="BG196" s="209">
        <f>BF196*(1+Driver_macroeconómicos_Agricult!AV$79)</f>
        <v>0.20544867520770269</v>
      </c>
      <c r="BH196" s="209">
        <f>BG196*(1+Driver_macroeconómicos_Agricult!AW$79)</f>
        <v>0.20872298168202794</v>
      </c>
      <c r="BI196" s="209">
        <f>BH196*(1+Driver_macroeconómicos_Agricult!AX$79)</f>
        <v>0.21201047593433683</v>
      </c>
      <c r="BJ196" s="209">
        <f>BI196*(1+Driver_macroeconómicos_Agricult!AY$79)</f>
        <v>0.21530168173641018</v>
      </c>
      <c r="BK196" s="209">
        <f>BJ196*(1+Driver_macroeconómicos_Agricult!AZ$79)</f>
        <v>0.2185956546826178</v>
      </c>
      <c r="BL196" s="209">
        <f>BK196*(1+Driver_macroeconómicos_Agricult!BA$79)</f>
        <v>0.22188771043621205</v>
      </c>
      <c r="BM196" s="209">
        <f>BL196*(1+Driver_macroeconómicos_Agricult!BB$79)</f>
        <v>0.22518423374740149</v>
      </c>
      <c r="BN196" s="209">
        <f>BM196*(1+Driver_macroeconómicos_Agricult!BC$79)</f>
        <v>0.22848260705840226</v>
      </c>
      <c r="BO196" s="209">
        <f>BN196*(1+Driver_macroeconómicos_Agricult!BD$79)</f>
        <v>0.23178028202255008</v>
      </c>
      <c r="BP196" s="182"/>
    </row>
    <row r="197" spans="1:96" ht="14.25" customHeight="1" x14ac:dyDescent="0.3">
      <c r="A197" s="982"/>
      <c r="D197" s="944"/>
      <c r="E197" s="183"/>
      <c r="F197" s="185" t="s">
        <v>421</v>
      </c>
      <c r="G197" s="191">
        <v>4.5163800000000004E-3</v>
      </c>
      <c r="H197" s="191">
        <v>4.3431299999999997E-3</v>
      </c>
      <c r="I197" s="191">
        <v>4.8203100000000004E-3</v>
      </c>
      <c r="J197" s="191">
        <v>4.7440800000000003E-3</v>
      </c>
      <c r="K197" s="191">
        <v>4.9826699999999998E-3</v>
      </c>
      <c r="L197" s="191">
        <v>2.5512299999999998E-3</v>
      </c>
      <c r="M197" s="191">
        <v>4.3738199999999996E-3</v>
      </c>
      <c r="N197" s="191">
        <v>4.80942E-3</v>
      </c>
      <c r="O197" s="191">
        <v>4.75101E-3</v>
      </c>
      <c r="P197" s="191">
        <v>3.6936899999999999E-3</v>
      </c>
      <c r="Q197" s="191">
        <v>6.3013500000000007E-3</v>
      </c>
      <c r="R197" s="191">
        <v>4.24611E-3</v>
      </c>
      <c r="S197" s="209">
        <f>R197*(1+Driver_macroeconómicos_Agricult!H$79)</f>
        <v>4.9301657723142935E-3</v>
      </c>
      <c r="T197" s="209">
        <f t="shared" si="217"/>
        <v>5.3904946194204039E-3</v>
      </c>
      <c r="U197" s="209">
        <f t="shared" si="217"/>
        <v>5.8508234665265134E-3</v>
      </c>
      <c r="V197" s="209">
        <f t="shared" si="217"/>
        <v>6.3111523136326238E-3</v>
      </c>
      <c r="W197" s="209">
        <f t="shared" si="217"/>
        <v>6.7714811607387342E-3</v>
      </c>
      <c r="X197" s="209">
        <f t="shared" si="217"/>
        <v>7.2318100078448437E-3</v>
      </c>
      <c r="Y197" s="209">
        <f t="shared" si="217"/>
        <v>7.6921388549509532E-3</v>
      </c>
      <c r="Z197" s="209">
        <f t="shared" si="217"/>
        <v>8.1524677020570636E-3</v>
      </c>
      <c r="AA197" s="209">
        <f t="shared" si="217"/>
        <v>8.612796549163174E-3</v>
      </c>
      <c r="AB197" s="209">
        <f t="shared" si="217"/>
        <v>9.0731253962692826E-3</v>
      </c>
      <c r="AC197" s="209">
        <f t="shared" si="217"/>
        <v>9.533454243375393E-3</v>
      </c>
      <c r="AD197" s="209">
        <f t="shared" si="217"/>
        <v>9.9937830904815034E-3</v>
      </c>
      <c r="AE197" s="209">
        <f t="shared" si="217"/>
        <v>1.0454111937587614E-2</v>
      </c>
      <c r="AF197" s="209">
        <v>1.0914440784693724E-2</v>
      </c>
      <c r="AG197" s="209">
        <f>AF197*(1+Driver_macroeconómicos_Agricult!V$79)</f>
        <v>1.096180102620972E-2</v>
      </c>
      <c r="AH197" s="209">
        <f>AG197*(1+Driver_macroeconómicos_Agricult!W$79)</f>
        <v>1.1314814004437767E-2</v>
      </c>
      <c r="AI197" s="209">
        <f>AH197*(1+Driver_macroeconómicos_Agricult!X$79)</f>
        <v>1.1627353560845021E-2</v>
      </c>
      <c r="AJ197" s="209">
        <f>AI197*(1+Driver_macroeconómicos_Agricult!Y$79)</f>
        <v>1.192244705787762E-2</v>
      </c>
      <c r="AK197" s="209">
        <f>AJ197*(1+Driver_macroeconómicos_Agricult!Z$79)</f>
        <v>1.216782230654872E-2</v>
      </c>
      <c r="AL197" s="209">
        <f>AK197*(1+Driver_macroeconómicos_Agricult!AA$79)</f>
        <v>1.2421897338289802E-2</v>
      </c>
      <c r="AM197" s="209">
        <f>AL197*(1+Driver_macroeconómicos_Agricult!AB$79)</f>
        <v>1.2722736524852842E-2</v>
      </c>
      <c r="AN197" s="209">
        <f>AM197*(1+Driver_macroeconómicos_Agricult!AC$79)</f>
        <v>1.2950870934566696E-2</v>
      </c>
      <c r="AO197" s="209">
        <f>AN197*(1+Driver_macroeconómicos_Agricult!AD$79)</f>
        <v>1.3230725632602847E-2</v>
      </c>
      <c r="AP197" s="209">
        <f>AO197*(1+Driver_macroeconómicos_Agricult!AE$79)</f>
        <v>1.3471383115626913E-2</v>
      </c>
      <c r="AQ197" s="209">
        <f>AP197*(1+Driver_macroeconómicos_Agricult!AF$79)</f>
        <v>1.3778600999099782E-2</v>
      </c>
      <c r="AR197" s="209">
        <f>AQ197*(1+Driver_macroeconómicos_Agricult!AG$79)</f>
        <v>1.4036959621889646E-2</v>
      </c>
      <c r="AS197" s="209">
        <f>AR197*(1+Driver_macroeconómicos_Agricult!AH$79)</f>
        <v>1.4288486535336199E-2</v>
      </c>
      <c r="AT197" s="209">
        <f>AS197*(1+Driver_macroeconómicos_Agricult!AI$79)</f>
        <v>1.4548026055851333E-2</v>
      </c>
      <c r="AU197" s="209">
        <f>AT197*(1+Driver_macroeconómicos_Agricult!AJ$79)</f>
        <v>1.4810101946996326E-2</v>
      </c>
      <c r="AV197" s="209">
        <f>AU197*(1+Driver_macroeconómicos_Agricult!AK$79)</f>
        <v>1.5108751034261896E-2</v>
      </c>
      <c r="AW197" s="209">
        <f>AV197*(1+Driver_macroeconómicos_Agricult!AL$79)</f>
        <v>1.5381108168919572E-2</v>
      </c>
      <c r="AX197" s="209">
        <f>AW197*(1+Driver_macroeconómicos_Agricult!AM$79)</f>
        <v>1.5652773388016142E-2</v>
      </c>
      <c r="AY197" s="209">
        <f>AX197*(1+Driver_macroeconómicos_Agricult!AN$79)</f>
        <v>1.5933131073466993E-2</v>
      </c>
      <c r="AZ197" s="209">
        <f>AY197*(1+Driver_macroeconómicos_Agricult!AO$79)</f>
        <v>1.6216326800034334E-2</v>
      </c>
      <c r="BA197" s="209">
        <f>AZ197*(1+Driver_macroeconómicos_Agricult!AP$79)</f>
        <v>1.6507478938207362E-2</v>
      </c>
      <c r="BB197" s="209">
        <f>BA197*(1+Driver_macroeconómicos_Agricult!AQ$79)</f>
        <v>1.678944918526383E-2</v>
      </c>
      <c r="BC197" s="209">
        <f>BB197*(1+Driver_macroeconómicos_Agricult!AR$79)</f>
        <v>1.7074002408464233E-2</v>
      </c>
      <c r="BD197" s="209">
        <f>BC197*(1+Driver_macroeconómicos_Agricult!AS$79)</f>
        <v>1.7361184221447896E-2</v>
      </c>
      <c r="BE197" s="209">
        <f>BD197*(1+Driver_macroeconómicos_Agricult!AT$79)</f>
        <v>1.7649702115684111E-2</v>
      </c>
      <c r="BF197" s="209">
        <f>BE197*(1+Driver_macroeconómicos_Agricult!AU$79)</f>
        <v>1.7938299263258198E-2</v>
      </c>
      <c r="BG197" s="209">
        <f>BF197*(1+Driver_macroeconómicos_Agricult!AV$79)</f>
        <v>1.8227699216181146E-2</v>
      </c>
      <c r="BH197" s="209">
        <f>BG197*(1+Driver_macroeconómicos_Agricult!AW$79)</f>
        <v>1.8518200352269063E-2</v>
      </c>
      <c r="BI197" s="209">
        <f>BH197*(1+Driver_macroeconómicos_Agricult!AX$79)</f>
        <v>1.8809871526811465E-2</v>
      </c>
      <c r="BJ197" s="209">
        <f>BI197*(1+Driver_macroeconómicos_Agricult!AY$79)</f>
        <v>1.9101871995337701E-2</v>
      </c>
      <c r="BK197" s="209">
        <f>BJ197*(1+Driver_macroeconómicos_Agricult!AZ$79)</f>
        <v>1.9394117968834539E-2</v>
      </c>
      <c r="BL197" s="209">
        <f>BK197*(1+Driver_macroeconómicos_Agricult!BA$79)</f>
        <v>1.9686193846270839E-2</v>
      </c>
      <c r="BM197" s="209">
        <f>BL197*(1+Driver_macroeconómicos_Agricult!BB$79)</f>
        <v>1.9978666091782976E-2</v>
      </c>
      <c r="BN197" s="209">
        <f>BM197*(1+Driver_macroeconómicos_Agricult!BC$79)</f>
        <v>2.0271302471914512E-2</v>
      </c>
      <c r="BO197" s="209">
        <f>BN197*(1+Driver_macroeconómicos_Agricult!BD$79)</f>
        <v>2.0563876893718153E-2</v>
      </c>
      <c r="BP197" s="182"/>
    </row>
    <row r="198" spans="1:96" ht="14.25" customHeight="1" x14ac:dyDescent="0.3">
      <c r="A198" s="982"/>
      <c r="D198" s="944"/>
      <c r="E198" s="183"/>
      <c r="F198" s="185" t="s">
        <v>458</v>
      </c>
      <c r="G198" s="191">
        <v>0.60588743786999988</v>
      </c>
      <c r="H198" s="191">
        <v>0.56001642246000016</v>
      </c>
      <c r="I198" s="191">
        <v>0.55970084214000004</v>
      </c>
      <c r="J198" s="191">
        <v>0.58545025308000009</v>
      </c>
      <c r="K198" s="191">
        <v>7.8623126999999987E-3</v>
      </c>
      <c r="L198" s="208">
        <v>1.0556057788781665</v>
      </c>
      <c r="M198" s="191">
        <v>0.92697509420999979</v>
      </c>
      <c r="N198" s="191">
        <v>1.11774264921</v>
      </c>
      <c r="O198" s="191">
        <v>1.1163827426399999</v>
      </c>
      <c r="P198" s="191">
        <v>1.1711372280300001</v>
      </c>
      <c r="Q198" s="191">
        <v>1.2535868013669</v>
      </c>
      <c r="R198" s="191">
        <v>1.4902693066205999</v>
      </c>
      <c r="S198" s="209">
        <f>R198*(1+Driver_macroeconómicos_Agricult!H$79)</f>
        <v>1.7303543071261547</v>
      </c>
      <c r="T198" s="209">
        <f t="shared" si="217"/>
        <v>1.8919172322021143</v>
      </c>
      <c r="U198" s="209">
        <f t="shared" si="217"/>
        <v>2.0534801572780741</v>
      </c>
      <c r="V198" s="209">
        <f t="shared" si="217"/>
        <v>2.2150430823540335</v>
      </c>
      <c r="W198" s="209">
        <f t="shared" si="217"/>
        <v>2.3766060074299933</v>
      </c>
      <c r="X198" s="209">
        <f t="shared" si="217"/>
        <v>2.5381689325059527</v>
      </c>
      <c r="Y198" s="209">
        <f t="shared" si="217"/>
        <v>2.6997318575819125</v>
      </c>
      <c r="Z198" s="209">
        <f t="shared" si="217"/>
        <v>2.8612947826578718</v>
      </c>
      <c r="AA198" s="209">
        <f t="shared" si="217"/>
        <v>3.0228577077338317</v>
      </c>
      <c r="AB198" s="209">
        <f t="shared" si="217"/>
        <v>3.1844206328097915</v>
      </c>
      <c r="AC198" s="209">
        <f t="shared" si="217"/>
        <v>3.3459835578857509</v>
      </c>
      <c r="AD198" s="209">
        <f t="shared" si="217"/>
        <v>3.5075464829617102</v>
      </c>
      <c r="AE198" s="209">
        <f t="shared" si="217"/>
        <v>3.6691094080376701</v>
      </c>
      <c r="AF198" s="209">
        <v>3.8306723331136294</v>
      </c>
      <c r="AG198" s="209">
        <f>AF198*(1+Driver_macroeconómicos_Agricult!V$79)</f>
        <v>3.8472944918154597</v>
      </c>
      <c r="AH198" s="209">
        <f>AG198*(1+Driver_macroeconómicos_Agricult!W$79)</f>
        <v>3.9711924610842688</v>
      </c>
      <c r="AI198" s="209">
        <f>AH198*(1+Driver_macroeconómicos_Agricult!X$79)</f>
        <v>4.0808853583522504</v>
      </c>
      <c r="AJ198" s="209">
        <f>AI198*(1+Driver_macroeconómicos_Agricult!Y$79)</f>
        <v>4.1844551625285478</v>
      </c>
      <c r="AK198" s="209">
        <f>AJ198*(1+Driver_macroeconómicos_Agricult!Z$79)</f>
        <v>4.2705752116320657</v>
      </c>
      <c r="AL198" s="209">
        <f>AK198*(1+Driver_macroeconómicos_Agricult!AA$79)</f>
        <v>4.3597486483500001</v>
      </c>
      <c r="AM198" s="209">
        <f>AL198*(1+Driver_macroeconómicos_Agricult!AB$79)</f>
        <v>4.4653350335269284</v>
      </c>
      <c r="AN198" s="209">
        <f>AM198*(1+Driver_macroeconómicos_Agricult!AC$79)</f>
        <v>4.5454040163325002</v>
      </c>
      <c r="AO198" s="209">
        <f>AN198*(1+Driver_macroeconómicos_Agricult!AD$79)</f>
        <v>4.6436254158715728</v>
      </c>
      <c r="AP198" s="209">
        <f>AO198*(1+Driver_macroeconómicos_Agricult!AE$79)</f>
        <v>4.7280896573441984</v>
      </c>
      <c r="AQ198" s="209">
        <f>AP198*(1+Driver_macroeconómicos_Agricult!AF$79)</f>
        <v>4.8359147919225682</v>
      </c>
      <c r="AR198" s="209">
        <f>AQ198*(1+Driver_macroeconómicos_Agricult!AG$79)</f>
        <v>4.9265916527774456</v>
      </c>
      <c r="AS198" s="209">
        <f>AR198*(1+Driver_macroeconómicos_Agricult!AH$79)</f>
        <v>5.0148707691683105</v>
      </c>
      <c r="AT198" s="209">
        <f>AS198*(1+Driver_macroeconómicos_Agricult!AI$79)</f>
        <v>5.105962093057407</v>
      </c>
      <c r="AU198" s="209">
        <f>AT198*(1+Driver_macroeconómicos_Agricult!AJ$79)</f>
        <v>5.1979436141622832</v>
      </c>
      <c r="AV198" s="209">
        <f>AU198*(1+Driver_macroeconómicos_Agricult!AK$79)</f>
        <v>5.302761333958081</v>
      </c>
      <c r="AW198" s="209">
        <f>AV198*(1+Driver_macroeconómicos_Agricult!AL$79)</f>
        <v>5.3983512923481056</v>
      </c>
      <c r="AX198" s="209">
        <f>AW198*(1+Driver_macroeconómicos_Agricult!AM$79)</f>
        <v>5.4936984071651915</v>
      </c>
      <c r="AY198" s="209">
        <f>AX198*(1+Driver_macroeconómicos_Agricult!AN$79)</f>
        <v>5.5920963416281699</v>
      </c>
      <c r="AZ198" s="209">
        <f>AY198*(1+Driver_macroeconómicos_Agricult!AO$79)</f>
        <v>5.6914903514558546</v>
      </c>
      <c r="BA198" s="209">
        <f>AZ198*(1+Driver_macroeconómicos_Agricult!AP$79)</f>
        <v>5.7936768457002863</v>
      </c>
      <c r="BB198" s="209">
        <f>BA198*(1+Driver_macroeconómicos_Agricult!AQ$79)</f>
        <v>5.8926407454976264</v>
      </c>
      <c r="BC198" s="209">
        <f>BB198*(1+Driver_macroeconómicos_Agricult!AR$79)</f>
        <v>5.9925111997806111</v>
      </c>
      <c r="BD198" s="209">
        <f>BC198*(1+Driver_macroeconómicos_Agricult!AS$79)</f>
        <v>6.0933042176980017</v>
      </c>
      <c r="BE198" s="209">
        <f>BD198*(1+Driver_macroeconómicos_Agricult!AT$79)</f>
        <v>6.1945661638536693</v>
      </c>
      <c r="BF198" s="209">
        <f>BE198*(1+Driver_macroeconómicos_Agricult!AU$79)</f>
        <v>6.2958559257787998</v>
      </c>
      <c r="BG198" s="209">
        <f>BF198*(1+Driver_macroeconómicos_Agricult!AV$79)</f>
        <v>6.3974274505811524</v>
      </c>
      <c r="BH198" s="209">
        <f>BG198*(1+Driver_macroeconómicos_Agricult!AW$79)</f>
        <v>6.4993854607717125</v>
      </c>
      <c r="BI198" s="209">
        <f>BH198*(1+Driver_macroeconómicos_Agricult!AX$79)</f>
        <v>6.6017541226873293</v>
      </c>
      <c r="BJ198" s="209">
        <f>BI198*(1+Driver_macroeconómicos_Agricult!AY$79)</f>
        <v>6.704238357849273</v>
      </c>
      <c r="BK198" s="209">
        <f>BJ198*(1+Driver_macroeconómicos_Agricult!AZ$79)</f>
        <v>6.8068087585891961</v>
      </c>
      <c r="BL198" s="209">
        <f>BK198*(1+Driver_macroeconómicos_Agricult!BA$79)</f>
        <v>6.9093194602308392</v>
      </c>
      <c r="BM198" s="209">
        <f>BL198*(1+Driver_macroeconómicos_Agricult!BB$79)</f>
        <v>7.0119692763037014</v>
      </c>
      <c r="BN198" s="209">
        <f>BM198*(1+Driver_macroeconómicos_Agricult!BC$79)</f>
        <v>7.1146766991708867</v>
      </c>
      <c r="BO198" s="209">
        <f>BN198*(1+Driver_macroeconómicos_Agricult!BD$79)</f>
        <v>7.217362376347463</v>
      </c>
      <c r="BP198" s="182"/>
    </row>
    <row r="199" spans="1:96" ht="14.25" customHeight="1" x14ac:dyDescent="0.3">
      <c r="A199" s="982"/>
      <c r="D199" s="944"/>
      <c r="E199" s="183"/>
      <c r="F199" s="185" t="s">
        <v>423</v>
      </c>
      <c r="G199" s="191">
        <v>6.6963599999999993E-3</v>
      </c>
      <c r="H199" s="191">
        <v>7.3418400000000005E-3</v>
      </c>
      <c r="I199" s="191">
        <v>7.8249600000000006E-3</v>
      </c>
      <c r="J199" s="191">
        <v>8.5140000000000007E-3</v>
      </c>
      <c r="K199" s="191">
        <v>0.79064435043000003</v>
      </c>
      <c r="L199" s="191">
        <v>0.89911865142000014</v>
      </c>
      <c r="M199" s="191">
        <v>8.3397599999999999E-3</v>
      </c>
      <c r="N199" s="191">
        <v>9.5851800000000004E-3</v>
      </c>
      <c r="O199" s="191">
        <v>1.0400940000000001E-2</v>
      </c>
      <c r="P199" s="191">
        <v>1.228491E-2</v>
      </c>
      <c r="Q199" s="191">
        <v>9.2446200000000003E-3</v>
      </c>
      <c r="R199" s="191">
        <v>1.3803569999999999E-2</v>
      </c>
      <c r="S199" s="209">
        <f>R199*(1+Driver_macroeconómicos_Agricult!H$79)</f>
        <v>1.6027349350286359E-2</v>
      </c>
      <c r="T199" s="209">
        <f t="shared" si="217"/>
        <v>1.7523820582555069E-2</v>
      </c>
      <c r="U199" s="209">
        <f t="shared" si="217"/>
        <v>1.9020291814823776E-2</v>
      </c>
      <c r="V199" s="209">
        <f t="shared" si="217"/>
        <v>2.0516763047092483E-2</v>
      </c>
      <c r="W199" s="209">
        <f t="shared" si="217"/>
        <v>2.2013234279361193E-2</v>
      </c>
      <c r="X199" s="209">
        <f t="shared" si="217"/>
        <v>2.3509705511629904E-2</v>
      </c>
      <c r="Y199" s="209">
        <f t="shared" si="217"/>
        <v>2.5006176743898611E-2</v>
      </c>
      <c r="Z199" s="209">
        <f t="shared" si="217"/>
        <v>2.6502647976167321E-2</v>
      </c>
      <c r="AA199" s="209">
        <f t="shared" si="217"/>
        <v>2.7999119208436028E-2</v>
      </c>
      <c r="AB199" s="209">
        <f t="shared" si="217"/>
        <v>2.9495590440704739E-2</v>
      </c>
      <c r="AC199" s="209">
        <f t="shared" si="217"/>
        <v>3.0992061672973449E-2</v>
      </c>
      <c r="AD199" s="209">
        <f t="shared" si="217"/>
        <v>3.248853290524216E-2</v>
      </c>
      <c r="AE199" s="209">
        <f t="shared" si="217"/>
        <v>3.3985004137510863E-2</v>
      </c>
      <c r="AF199" s="209">
        <v>3.5481475369779573E-2</v>
      </c>
      <c r="AG199" s="209">
        <f>AF199*(1+Driver_macroeconómicos_Agricult!V$79)</f>
        <v>3.5635437563171397E-2</v>
      </c>
      <c r="AH199" s="209">
        <f>AG199*(1+Driver_macroeconómicos_Agricult!W$79)</f>
        <v>3.6783038392137042E-2</v>
      </c>
      <c r="AI199" s="209">
        <f>AH199*(1+Driver_macroeconómicos_Agricult!X$79)</f>
        <v>3.7799065213071144E-2</v>
      </c>
      <c r="AJ199" s="209">
        <f>AI199*(1+Driver_macroeconómicos_Agricult!Y$79)</f>
        <v>3.8758377087430095E-2</v>
      </c>
      <c r="AK199" s="209">
        <f>AJ199*(1+Driver_macroeconómicos_Agricult!Z$79)</f>
        <v>3.955606118447396E-2</v>
      </c>
      <c r="AL199" s="209">
        <f>AK199*(1+Driver_macroeconómicos_Agricult!AA$79)</f>
        <v>4.0382027182973818E-2</v>
      </c>
      <c r="AM199" s="209">
        <f>AL199*(1+Driver_macroeconómicos_Agricult!AB$79)</f>
        <v>4.136001757193359E-2</v>
      </c>
      <c r="AN199" s="209">
        <f>AM199*(1+Driver_macroeconómicos_Agricult!AC$79)</f>
        <v>4.210165386818919E-2</v>
      </c>
      <c r="AO199" s="209">
        <f>AN199*(1+Driver_macroeconómicos_Agricult!AD$79)</f>
        <v>4.301142632207542E-2</v>
      </c>
      <c r="AP199" s="209">
        <f>AO199*(1+Driver_macroeconómicos_Agricult!AE$79)</f>
        <v>4.3793773555883889E-2</v>
      </c>
      <c r="AQ199" s="209">
        <f>AP199*(1+Driver_macroeconómicos_Agricult!AF$79)</f>
        <v>4.479250028688464E-2</v>
      </c>
      <c r="AR199" s="209">
        <f>AQ199*(1+Driver_macroeconómicos_Agricult!AG$79)</f>
        <v>4.5632391701563836E-2</v>
      </c>
      <c r="AS199" s="209">
        <f>AR199*(1+Driver_macroeconómicos_Agricult!AH$79)</f>
        <v>4.6450074087711027E-2</v>
      </c>
      <c r="AT199" s="209">
        <f>AS199*(1+Driver_macroeconómicos_Agricult!AI$79)</f>
        <v>4.7293804452491282E-2</v>
      </c>
      <c r="AU199" s="209">
        <f>AT199*(1+Driver_macroeconómicos_Agricult!AJ$79)</f>
        <v>4.8145780239442701E-2</v>
      </c>
      <c r="AV199" s="209">
        <f>AU199*(1+Driver_macroeconómicos_Agricult!AK$79)</f>
        <v>4.9116650890816876E-2</v>
      </c>
      <c r="AW199" s="209">
        <f>AV199*(1+Driver_macroeconómicos_Agricult!AL$79)</f>
        <v>5.0002049708380868E-2</v>
      </c>
      <c r="AX199" s="209">
        <f>AW199*(1+Driver_macroeconómicos_Agricult!AM$79)</f>
        <v>5.0885199195408952E-2</v>
      </c>
      <c r="AY199" s="209">
        <f>AX199*(1+Driver_macroeconómicos_Agricult!AN$79)</f>
        <v>5.1796606798169789E-2</v>
      </c>
      <c r="AZ199" s="209">
        <f>AY199*(1+Driver_macroeconómicos_Agricult!AO$79)</f>
        <v>5.2717240515942801E-2</v>
      </c>
      <c r="BA199" s="209">
        <f>AZ199*(1+Driver_macroeconómicos_Agricult!AP$79)</f>
        <v>5.3663739527961107E-2</v>
      </c>
      <c r="BB199" s="209">
        <f>BA199*(1+Driver_macroeconómicos_Agricult!AQ$79)</f>
        <v>5.4580389365850676E-2</v>
      </c>
      <c r="BC199" s="209">
        <f>BB199*(1+Driver_macroeconómicos_Agricult!AR$79)</f>
        <v>5.5505436134580734E-2</v>
      </c>
      <c r="BD199" s="209">
        <f>BC199*(1+Driver_macroeconómicos_Agricult!AS$79)</f>
        <v>5.6439028118360456E-2</v>
      </c>
      <c r="BE199" s="209">
        <f>BD199*(1+Driver_macroeconómicos_Agricult!AT$79)</f>
        <v>5.7376963534386462E-2</v>
      </c>
      <c r="BF199" s="209">
        <f>BE199*(1+Driver_macroeconómicos_Agricult!AU$79)</f>
        <v>5.8315156593054092E-2</v>
      </c>
      <c r="BG199" s="209">
        <f>BF199*(1+Driver_macroeconómicos_Agricult!AV$79)</f>
        <v>5.9255959471022072E-2</v>
      </c>
      <c r="BH199" s="209">
        <f>BG199*(1+Driver_macroeconómicos_Agricult!AW$79)</f>
        <v>6.020034215707333E-2</v>
      </c>
      <c r="BI199" s="209">
        <f>BH199*(1+Driver_macroeconómicos_Agricult!AX$79)</f>
        <v>6.1148528491101008E-2</v>
      </c>
      <c r="BJ199" s="209">
        <f>BI199*(1+Driver_macroeconómicos_Agricult!AY$79)</f>
        <v>6.2097785318487642E-2</v>
      </c>
      <c r="BK199" s="209">
        <f>BJ199*(1+Driver_macroeconómicos_Agricult!AZ$79)</f>
        <v>6.3047840251681017E-2</v>
      </c>
      <c r="BL199" s="209">
        <f>BK199*(1+Driver_macroeconómicos_Agricult!BA$79)</f>
        <v>6.3997342223957615E-2</v>
      </c>
      <c r="BM199" s="209">
        <f>BL199*(1+Driver_macroeconómicos_Agricult!BB$79)</f>
        <v>6.4948132739037059E-2</v>
      </c>
      <c r="BN199" s="209">
        <f>BM199*(1+Driver_macroeconómicos_Agricult!BC$79)</f>
        <v>6.5899456835137316E-2</v>
      </c>
      <c r="BO199" s="209">
        <f>BN199*(1+Driver_macroeconómicos_Agricult!BD$79)</f>
        <v>6.6850579512499911E-2</v>
      </c>
      <c r="BP199" s="182"/>
    </row>
    <row r="200" spans="1:96" ht="14.25" customHeight="1" x14ac:dyDescent="0.3">
      <c r="A200" s="982"/>
      <c r="D200" s="944"/>
      <c r="E200" s="183"/>
      <c r="F200" s="185" t="s">
        <v>424</v>
      </c>
      <c r="G200" s="191">
        <v>5.0381099999999993E-3</v>
      </c>
      <c r="H200" s="191">
        <v>5.0195217600000003E-3</v>
      </c>
      <c r="I200" s="191">
        <v>6.7767875999999996E-3</v>
      </c>
      <c r="J200" s="191">
        <v>5.3271899999999999E-3</v>
      </c>
      <c r="K200" s="191">
        <v>6.2152200000000005E-3</v>
      </c>
      <c r="L200" s="191">
        <v>6.2726201999999997E-3</v>
      </c>
      <c r="M200" s="191">
        <v>5.9093100000000001E-3</v>
      </c>
      <c r="N200" s="191">
        <v>6.5646899999999998E-3</v>
      </c>
      <c r="O200" s="191">
        <v>6.2166059999999995E-3</v>
      </c>
      <c r="P200" s="191">
        <v>6.4013895000000001E-3</v>
      </c>
      <c r="Q200" s="191">
        <v>7.4665801108800001E-3</v>
      </c>
      <c r="R200" s="191">
        <v>8.0476308000000003E-3</v>
      </c>
      <c r="S200" s="209">
        <f>R200*(1+Driver_macroeconómicos_Agricult!H$79)</f>
        <v>9.3441182443182811E-3</v>
      </c>
      <c r="T200" s="209">
        <f t="shared" si="217"/>
        <v>1.0216577179225672E-2</v>
      </c>
      <c r="U200" s="209">
        <f t="shared" si="217"/>
        <v>1.1089036114133062E-2</v>
      </c>
      <c r="V200" s="209">
        <f t="shared" si="217"/>
        <v>1.1961495049040453E-2</v>
      </c>
      <c r="W200" s="209">
        <f t="shared" si="217"/>
        <v>1.2833953983947844E-2</v>
      </c>
      <c r="X200" s="209">
        <f t="shared" si="217"/>
        <v>1.3706412918855236E-2</v>
      </c>
      <c r="Y200" s="209">
        <f t="shared" si="217"/>
        <v>1.4578871853762627E-2</v>
      </c>
      <c r="Z200" s="209">
        <f t="shared" si="217"/>
        <v>1.5451330788670017E-2</v>
      </c>
      <c r="AA200" s="209">
        <f t="shared" si="217"/>
        <v>1.6323789723577408E-2</v>
      </c>
      <c r="AB200" s="209">
        <f t="shared" si="217"/>
        <v>1.7196248658484799E-2</v>
      </c>
      <c r="AC200" s="209">
        <f t="shared" si="217"/>
        <v>1.8068707593392189E-2</v>
      </c>
      <c r="AD200" s="209">
        <f t="shared" si="217"/>
        <v>1.894116652829958E-2</v>
      </c>
      <c r="AE200" s="209">
        <f t="shared" si="217"/>
        <v>1.9813625463206971E-2</v>
      </c>
      <c r="AF200" s="209">
        <v>2.0686084398114361E-2</v>
      </c>
      <c r="AG200" s="209">
        <f>AF200*(1+Driver_macroeconómicos_Agricult!V$79)</f>
        <v>2.0775846024242647E-2</v>
      </c>
      <c r="AH200" s="209">
        <f>AG200*(1+Driver_macroeconómicos_Agricult!W$79)</f>
        <v>2.1444909735825191E-2</v>
      </c>
      <c r="AI200" s="209">
        <f>AH200*(1+Driver_macroeconómicos_Agricult!X$79)</f>
        <v>2.2037264375804222E-2</v>
      </c>
      <c r="AJ200" s="209">
        <f>AI200*(1+Driver_macroeconómicos_Agricult!Y$79)</f>
        <v>2.2596553587718008E-2</v>
      </c>
      <c r="AK200" s="209">
        <f>AJ200*(1+Driver_macroeconómicos_Agricult!Z$79)</f>
        <v>2.3061612055059456E-2</v>
      </c>
      <c r="AL200" s="209">
        <f>AK200*(1+Driver_macroeconómicos_Agricult!AA$79)</f>
        <v>2.3543159177237285E-2</v>
      </c>
      <c r="AM200" s="209">
        <f>AL200*(1+Driver_macroeconómicos_Agricult!AB$79)</f>
        <v>2.4113338165448063E-2</v>
      </c>
      <c r="AN200" s="209">
        <f>AM200*(1+Driver_macroeconómicos_Agricult!AC$79)</f>
        <v>2.4545720157943086E-2</v>
      </c>
      <c r="AO200" s="209">
        <f>AN200*(1+Driver_macroeconómicos_Agricult!AD$79)</f>
        <v>2.5076127351218915E-2</v>
      </c>
      <c r="AP200" s="209">
        <f>AO200*(1+Driver_macroeconómicos_Agricult!AE$79)</f>
        <v>2.553224426119886E-2</v>
      </c>
      <c r="AQ200" s="209">
        <f>AP200*(1+Driver_macroeconómicos_Agricult!AF$79)</f>
        <v>2.611451276139011E-2</v>
      </c>
      <c r="AR200" s="209">
        <f>AQ200*(1+Driver_macroeconómicos_Agricult!AG$79)</f>
        <v>2.6604178552010062E-2</v>
      </c>
      <c r="AS200" s="209">
        <f>AR200*(1+Driver_macroeconómicos_Agricult!AH$79)</f>
        <v>2.708089623847636E-2</v>
      </c>
      <c r="AT200" s="209">
        <f>AS200*(1+Driver_macroeconómicos_Agricult!AI$79)</f>
        <v>2.7572800178580319E-2</v>
      </c>
      <c r="AU200" s="209">
        <f>AT200*(1+Driver_macroeconómicos_Agricult!AJ$79)</f>
        <v>2.80695112891064E-2</v>
      </c>
      <c r="AV200" s="209">
        <f>AU200*(1+Driver_macroeconómicos_Agricult!AK$79)</f>
        <v>2.8635539393199391E-2</v>
      </c>
      <c r="AW200" s="209">
        <f>AV200*(1+Driver_macroeconómicos_Agricult!AL$79)</f>
        <v>2.9151736492537574E-2</v>
      </c>
      <c r="AX200" s="209">
        <f>AW200*(1+Driver_macroeconómicos_Agricult!AM$79)</f>
        <v>2.966662220781351E-2</v>
      </c>
      <c r="AY200" s="209">
        <f>AX200*(1+Driver_macroeconómicos_Agricult!AN$79)</f>
        <v>3.0197982710591577E-2</v>
      </c>
      <c r="AZ200" s="209">
        <f>AY200*(1+Driver_macroeconómicos_Agricult!AO$79)</f>
        <v>3.0734722138338791E-2</v>
      </c>
      <c r="BA200" s="209">
        <f>AZ200*(1+Driver_macroeconómicos_Agricult!AP$79)</f>
        <v>3.1286541312747156E-2</v>
      </c>
      <c r="BB200" s="209">
        <f>BA200*(1+Driver_macroeconómicos_Agricult!AQ$79)</f>
        <v>3.1820958095377667E-2</v>
      </c>
      <c r="BC200" s="209">
        <f>BB200*(1+Driver_macroeconómicos_Agricult!AR$79)</f>
        <v>3.2360270379625328E-2</v>
      </c>
      <c r="BD200" s="209">
        <f>BC200*(1+Driver_macroeconómicos_Agricult!AS$79)</f>
        <v>3.2904564616789977E-2</v>
      </c>
      <c r="BE200" s="209">
        <f>BD200*(1+Driver_macroeconómicos_Agricult!AT$79)</f>
        <v>3.3451391121992739E-2</v>
      </c>
      <c r="BF200" s="209">
        <f>BE200*(1+Driver_macroeconómicos_Agricult!AU$79)</f>
        <v>3.399836783564579E-2</v>
      </c>
      <c r="BG200" s="209">
        <f>BF200*(1+Driver_macroeconómicos_Agricult!AV$79)</f>
        <v>3.4546866102214781E-2</v>
      </c>
      <c r="BH200" s="209">
        <f>BG200*(1+Driver_macroeconómicos_Agricult!AW$79)</f>
        <v>3.5097451435664957E-2</v>
      </c>
      <c r="BI200" s="209">
        <f>BH200*(1+Driver_macroeconómicos_Agricult!AX$79)</f>
        <v>3.5650254337078156E-2</v>
      </c>
      <c r="BJ200" s="209">
        <f>BI200*(1+Driver_macroeconómicos_Agricult!AY$79)</f>
        <v>3.6203681347712867E-2</v>
      </c>
      <c r="BK200" s="209">
        <f>BJ200*(1+Driver_macroeconómicos_Agricult!AZ$79)</f>
        <v>3.6757573662676242E-2</v>
      </c>
      <c r="BL200" s="209">
        <f>BK200*(1+Driver_macroeconómicos_Agricult!BA$79)</f>
        <v>3.731114359543667E-2</v>
      </c>
      <c r="BM200" s="209">
        <f>BL200*(1+Driver_macroeconómicos_Agricult!BB$79)</f>
        <v>3.7865464762605827E-2</v>
      </c>
      <c r="BN200" s="209">
        <f>BM200*(1+Driver_macroeconómicos_Agricult!BC$79)</f>
        <v>3.8420097013288697E-2</v>
      </c>
      <c r="BO200" s="209">
        <f>BN200*(1+Driver_macroeconómicos_Agricult!BD$79)</f>
        <v>3.8974611834666183E-2</v>
      </c>
      <c r="BP200" s="182"/>
    </row>
    <row r="201" spans="1:96" ht="14.25" customHeight="1" x14ac:dyDescent="0.3">
      <c r="A201" s="982"/>
      <c r="D201" s="944"/>
      <c r="E201" s="183"/>
      <c r="F201" s="185" t="s">
        <v>425</v>
      </c>
      <c r="G201" s="191">
        <v>5.3315203590000006E-2</v>
      </c>
      <c r="H201" s="191">
        <v>6.333227999999998E-3</v>
      </c>
      <c r="I201" s="191">
        <v>2.2599561600000003E-3</v>
      </c>
      <c r="J201" s="191">
        <v>5.1322490999999989E-4</v>
      </c>
      <c r="K201" s="191">
        <v>1.3330548000000002E-4</v>
      </c>
      <c r="L201" s="191">
        <v>2.0031659999999993E-4</v>
      </c>
      <c r="M201" s="191">
        <v>4.7968073999999988E-4</v>
      </c>
      <c r="N201" s="191">
        <v>3.3675006816000002E-4</v>
      </c>
      <c r="O201" s="191">
        <v>1.75655217375E-3</v>
      </c>
      <c r="P201" s="191">
        <v>3.0912361919999999E-4</v>
      </c>
      <c r="Q201" s="191">
        <v>2.8502965556999999E-4</v>
      </c>
      <c r="R201" s="191">
        <v>3.5763463197E-4</v>
      </c>
      <c r="S201" s="209">
        <f>R201*(1+Driver_macroeconómicos_Agricult!H$79)</f>
        <v>4.1525019877787273E-4</v>
      </c>
      <c r="T201" s="209">
        <f t="shared" si="217"/>
        <v>4.5402204826362985E-4</v>
      </c>
      <c r="U201" s="209">
        <f t="shared" si="217"/>
        <v>4.9279389774938692E-4</v>
      </c>
      <c r="V201" s="209">
        <f t="shared" si="217"/>
        <v>5.31565747235144E-4</v>
      </c>
      <c r="W201" s="209">
        <f t="shared" si="217"/>
        <v>5.7033759672090118E-4</v>
      </c>
      <c r="X201" s="209">
        <f t="shared" si="217"/>
        <v>6.0910944620665825E-4</v>
      </c>
      <c r="Y201" s="209">
        <f t="shared" si="217"/>
        <v>6.4788129569241532E-4</v>
      </c>
      <c r="Z201" s="209">
        <f t="shared" si="217"/>
        <v>6.8665314517817239E-4</v>
      </c>
      <c r="AA201" s="209">
        <f t="shared" si="217"/>
        <v>7.2542499466392958E-4</v>
      </c>
      <c r="AB201" s="209">
        <f t="shared" si="217"/>
        <v>7.6419684414968676E-4</v>
      </c>
      <c r="AC201" s="209">
        <f t="shared" si="217"/>
        <v>8.0296869363544383E-4</v>
      </c>
      <c r="AD201" s="209">
        <f t="shared" si="217"/>
        <v>8.417405431212009E-4</v>
      </c>
      <c r="AE201" s="209">
        <f t="shared" si="217"/>
        <v>8.8051239260695797E-4</v>
      </c>
      <c r="AF201" s="209">
        <v>9.1928424209271515E-4</v>
      </c>
      <c r="AG201" s="209">
        <f>AF201*(1+Driver_macroeconómicos_Agricult!V$79)</f>
        <v>9.2327322554923972E-4</v>
      </c>
      <c r="AH201" s="209">
        <f>AG201*(1+Driver_macroeconómicos_Agricult!W$79)</f>
        <v>9.5300624389997037E-4</v>
      </c>
      <c r="AI201" s="209">
        <f>AH201*(1+Driver_macroeconómicos_Agricult!X$79)</f>
        <v>9.7933033094241046E-4</v>
      </c>
      <c r="AJ201" s="209">
        <f>AI201*(1+Driver_macroeconómicos_Agricult!Y$79)</f>
        <v>1.0041849989109732E-3</v>
      </c>
      <c r="AK201" s="209">
        <f>AJ201*(1+Driver_macroeconómicos_Agricult!Z$79)</f>
        <v>1.0248520769548853E-3</v>
      </c>
      <c r="AL201" s="209">
        <f>AK201*(1+Driver_macroeconómicos_Agricult!AA$79)</f>
        <v>1.0462519065564471E-3</v>
      </c>
      <c r="AM201" s="209">
        <f>AL201*(1+Driver_macroeconómicos_Agricult!AB$79)</f>
        <v>1.0715905133680057E-3</v>
      </c>
      <c r="AN201" s="209">
        <f>AM201*(1+Driver_macroeconómicos_Agricult!AC$79)</f>
        <v>1.0908054573185175E-3</v>
      </c>
      <c r="AO201" s="209">
        <f>AN201*(1+Driver_macroeconómicos_Agricult!AD$79)</f>
        <v>1.114376615846496E-3</v>
      </c>
      <c r="AP201" s="209">
        <f>AO201*(1+Driver_macroeconómicos_Agricult!AE$79)</f>
        <v>1.134646333393177E-3</v>
      </c>
      <c r="AQ201" s="209">
        <f>AP201*(1+Driver_macroeconómicos_Agricult!AF$79)</f>
        <v>1.1605221949913037E-3</v>
      </c>
      <c r="AR201" s="209">
        <f>AQ201*(1+Driver_macroeconómicos_Agricult!AG$79)</f>
        <v>1.1822828161192841E-3</v>
      </c>
      <c r="AS201" s="209">
        <f>AR201*(1+Driver_macroeconómicos_Agricult!AH$79)</f>
        <v>1.2034680268465164E-3</v>
      </c>
      <c r="AT201" s="209">
        <f>AS201*(1+Driver_macroeconómicos_Agricult!AI$79)</f>
        <v>1.225328110758874E-3</v>
      </c>
      <c r="AU201" s="209">
        <f>AT201*(1+Driver_macroeconómicos_Agricult!AJ$79)</f>
        <v>1.2474018240818566E-3</v>
      </c>
      <c r="AV201" s="209">
        <f>AU201*(1+Driver_macroeconómicos_Agricult!AK$79)</f>
        <v>1.2725559666764664E-3</v>
      </c>
      <c r="AW201" s="209">
        <f>AV201*(1+Driver_macroeconómicos_Agricult!AL$79)</f>
        <v>1.2954956323039941E-3</v>
      </c>
      <c r="AX201" s="209">
        <f>AW201*(1+Driver_macroeconómicos_Agricult!AM$79)</f>
        <v>1.3183770203628647E-3</v>
      </c>
      <c r="AY201" s="209">
        <f>AX201*(1+Driver_macroeconómicos_Agricult!AN$79)</f>
        <v>1.3419905437186365E-3</v>
      </c>
      <c r="AZ201" s="209">
        <f>AY201*(1+Driver_macroeconómicos_Agricult!AO$79)</f>
        <v>1.3658431051092712E-3</v>
      </c>
      <c r="BA201" s="209">
        <f>AZ201*(1+Driver_macroeconómicos_Agricult!AP$79)</f>
        <v>1.3903658065425335E-3</v>
      </c>
      <c r="BB201" s="209">
        <f>BA201*(1+Driver_macroeconómicos_Agricult!AQ$79)</f>
        <v>1.4141151501847213E-3</v>
      </c>
      <c r="BC201" s="209">
        <f>BB201*(1+Driver_macroeconómicos_Agricult!AR$79)</f>
        <v>1.4380820486530024E-3</v>
      </c>
      <c r="BD201" s="209">
        <f>BC201*(1+Driver_macroeconómicos_Agricult!AS$79)</f>
        <v>1.462270343820789E-3</v>
      </c>
      <c r="BE201" s="209">
        <f>BD201*(1+Driver_macroeconómicos_Agricult!AT$79)</f>
        <v>1.4865711723254505E-3</v>
      </c>
      <c r="BF201" s="209">
        <f>BE201*(1+Driver_macroeconómicos_Agricult!AU$79)</f>
        <v>1.510878676054805E-3</v>
      </c>
      <c r="BG201" s="209">
        <f>BF201*(1+Driver_macroeconómicos_Agricult!AV$79)</f>
        <v>1.535253797202334E-3</v>
      </c>
      <c r="BH201" s="209">
        <f>BG201*(1+Driver_macroeconómicos_Agricult!AW$79)</f>
        <v>1.5597216670624342E-3</v>
      </c>
      <c r="BI201" s="209">
        <f>BH201*(1+Driver_macroeconómicos_Agricult!AX$79)</f>
        <v>1.5842880850694405E-3</v>
      </c>
      <c r="BJ201" s="209">
        <f>BI201*(1+Driver_macroeconómicos_Agricult!AY$79)</f>
        <v>1.6088822383288821E-3</v>
      </c>
      <c r="BK201" s="209">
        <f>BJ201*(1+Driver_macroeconómicos_Agricult!AZ$79)</f>
        <v>1.6334970695923812E-3</v>
      </c>
      <c r="BL201" s="209">
        <f>BK201*(1+Driver_macroeconómicos_Agricult!BA$79)</f>
        <v>1.6580975742741359E-3</v>
      </c>
      <c r="BM201" s="209">
        <f>BL201*(1+Driver_macroeconómicos_Agricult!BB$79)</f>
        <v>1.6827314636187766E-3</v>
      </c>
      <c r="BN201" s="209">
        <f>BM201*(1+Driver_macroeconómicos_Agricult!BC$79)</f>
        <v>1.7073791774343337E-3</v>
      </c>
      <c r="BO201" s="209">
        <f>BN201*(1+Driver_macroeconómicos_Agricult!BD$79)</f>
        <v>1.7320216727219216E-3</v>
      </c>
      <c r="BP201" s="182"/>
    </row>
    <row r="202" spans="1:96" ht="14.25" customHeight="1" x14ac:dyDescent="0.3">
      <c r="A202" s="982"/>
      <c r="D202" s="944"/>
      <c r="E202" s="183"/>
      <c r="F202" s="185" t="s">
        <v>426</v>
      </c>
      <c r="G202" s="190">
        <v>3.0000000000000001E-6</v>
      </c>
      <c r="H202" s="190">
        <v>3.0000000000000001E-6</v>
      </c>
      <c r="I202" s="190">
        <v>5.0000000000000004E-6</v>
      </c>
      <c r="J202" s="190">
        <v>3.9999999999999998E-6</v>
      </c>
      <c r="K202" s="190">
        <v>9.0000000000000002E-6</v>
      </c>
      <c r="L202" s="191">
        <v>0</v>
      </c>
      <c r="M202" s="191">
        <v>9.9999999999999995E-7</v>
      </c>
      <c r="N202" s="191">
        <v>0</v>
      </c>
      <c r="O202" s="191">
        <v>1.0000000000000001E-5</v>
      </c>
      <c r="P202" s="191">
        <v>6.4999999999999994E-5</v>
      </c>
      <c r="Q202" s="191">
        <v>1.5999999999999999E-5</v>
      </c>
      <c r="R202" s="191">
        <v>4.3000000000000002E-5</v>
      </c>
      <c r="S202" s="209">
        <f>R202*(1+Driver_macroeconómicos_Agricult!H$79)</f>
        <v>4.9927375458835177E-5</v>
      </c>
      <c r="T202" s="209">
        <f t="shared" si="217"/>
        <v>5.4589087102095178E-5</v>
      </c>
      <c r="U202" s="209">
        <f t="shared" si="217"/>
        <v>5.925079874535518E-5</v>
      </c>
      <c r="V202" s="209">
        <f t="shared" si="217"/>
        <v>6.3912510388615181E-5</v>
      </c>
      <c r="W202" s="209">
        <f t="shared" si="217"/>
        <v>6.8574222031875183E-5</v>
      </c>
      <c r="X202" s="209">
        <f t="shared" si="217"/>
        <v>7.3235933675135198E-5</v>
      </c>
      <c r="Y202" s="209">
        <f t="shared" si="217"/>
        <v>7.78976453183952E-5</v>
      </c>
      <c r="Z202" s="209">
        <f t="shared" si="217"/>
        <v>8.2559356961655201E-5</v>
      </c>
      <c r="AA202" s="209">
        <f t="shared" si="217"/>
        <v>8.7221068604915203E-5</v>
      </c>
      <c r="AB202" s="209">
        <f t="shared" si="217"/>
        <v>9.1882780248175205E-5</v>
      </c>
      <c r="AC202" s="209">
        <f t="shared" si="217"/>
        <v>9.654449189143522E-5</v>
      </c>
      <c r="AD202" s="209">
        <f t="shared" si="217"/>
        <v>1.0120620353469521E-4</v>
      </c>
      <c r="AE202" s="209">
        <f t="shared" si="217"/>
        <v>1.0586791517795522E-4</v>
      </c>
      <c r="AF202" s="209">
        <v>1.1052962682121522E-4</v>
      </c>
      <c r="AG202" s="209">
        <f>AF202*(1+Driver_macroeconómicos_Agricult!V$79)</f>
        <v>1.1100924001663122E-4</v>
      </c>
      <c r="AH202" s="209">
        <f>AG202*(1+Driver_macroeconómicos_Agricult!W$79)</f>
        <v>1.1458417285252243E-4</v>
      </c>
      <c r="AI202" s="209">
        <f>AH202*(1+Driver_macroeconómicos_Agricult!X$79)</f>
        <v>1.1774923473869871E-4</v>
      </c>
      <c r="AJ202" s="209">
        <f>AI202*(1+Driver_macroeconómicos_Agricult!Y$79)</f>
        <v>1.2073762184416742E-4</v>
      </c>
      <c r="AK202" s="209">
        <f>AJ202*(1+Driver_macroeconómicos_Agricult!Z$79)</f>
        <v>1.2322251641657777E-4</v>
      </c>
      <c r="AL202" s="209">
        <f>AK202*(1+Driver_macroeconómicos_Agricult!AA$79)</f>
        <v>1.2579551296279688E-4</v>
      </c>
      <c r="AM202" s="209">
        <f>AL202*(1+Driver_macroeconómicos_Agricult!AB$79)</f>
        <v>1.2884208618445405E-4</v>
      </c>
      <c r="AN202" s="209">
        <f>AM202*(1+Driver_macroeconómicos_Agricult!AC$79)</f>
        <v>1.3115238422611942E-4</v>
      </c>
      <c r="AO202" s="209">
        <f>AN202*(1+Driver_macroeconómicos_Agricult!AD$79)</f>
        <v>1.3398644929168638E-4</v>
      </c>
      <c r="AP202" s="209">
        <f>AO202*(1+Driver_macroeconómicos_Agricult!AE$79)</f>
        <v>1.3642356744690014E-4</v>
      </c>
      <c r="AQ202" s="209">
        <f>AP202*(1+Driver_macroeconómicos_Agricult!AF$79)</f>
        <v>1.3953473719740904E-4</v>
      </c>
      <c r="AR202" s="209">
        <f>AQ202*(1+Driver_macroeconómicos_Agricult!AG$79)</f>
        <v>1.4215111331106699E-4</v>
      </c>
      <c r="AS202" s="209">
        <f>AR202*(1+Driver_macroeconómicos_Agricult!AH$79)</f>
        <v>1.4469830527693734E-4</v>
      </c>
      <c r="AT202" s="209">
        <f>AS202*(1+Driver_macroeconómicos_Agricult!AI$79)</f>
        <v>1.4732664024285928E-4</v>
      </c>
      <c r="AU202" s="209">
        <f>AT202*(1+Driver_macroeconómicos_Agricult!AJ$79)</f>
        <v>1.4998066082151472E-4</v>
      </c>
      <c r="AV202" s="209">
        <f>AU202*(1+Driver_macroeconómicos_Agricult!AK$79)</f>
        <v>1.5300505509119203E-4</v>
      </c>
      <c r="AW202" s="209">
        <f>AV202*(1+Driver_macroeconómicos_Agricult!AL$79)</f>
        <v>1.5576319296097874E-4</v>
      </c>
      <c r="AX202" s="209">
        <f>AW202*(1+Driver_macroeconómicos_Agricult!AM$79)</f>
        <v>1.5851432385988445E-4</v>
      </c>
      <c r="AY202" s="209">
        <f>AX202*(1+Driver_macroeconómicos_Agricult!AN$79)</f>
        <v>1.6135348263683242E-4</v>
      </c>
      <c r="AZ202" s="209">
        <f>AY202*(1+Driver_macroeconómicos_Agricult!AO$79)</f>
        <v>1.6422138201824168E-4</v>
      </c>
      <c r="BA202" s="209">
        <f>AZ202*(1+Driver_macroeconómicos_Agricult!AP$79)</f>
        <v>1.6716985531296089E-4</v>
      </c>
      <c r="BB202" s="209">
        <f>BA202*(1+Driver_macroeconómicos_Agricult!AQ$79)</f>
        <v>1.7002534436610087E-4</v>
      </c>
      <c r="BC202" s="209">
        <f>BB202*(1+Driver_macroeconómicos_Agricult!AR$79)</f>
        <v>1.7290699100210827E-4</v>
      </c>
      <c r="BD202" s="209">
        <f>BC202*(1+Driver_macroeconómicos_Agricult!AS$79)</f>
        <v>1.7581525714648456E-4</v>
      </c>
      <c r="BE202" s="209">
        <f>BD202*(1+Driver_macroeconómicos_Agricult!AT$79)</f>
        <v>1.7873705367369588E-4</v>
      </c>
      <c r="BF202" s="209">
        <f>BE202*(1+Driver_macroeconómicos_Agricult!AU$79)</f>
        <v>1.8165965279281566E-4</v>
      </c>
      <c r="BG202" s="209">
        <f>BF202*(1+Driver_macroeconómicos_Agricult!AV$79)</f>
        <v>1.8459038185440069E-4</v>
      </c>
      <c r="BH202" s="209">
        <f>BG202*(1+Driver_macroeconómicos_Agricult!AW$79)</f>
        <v>1.8753226250558036E-4</v>
      </c>
      <c r="BI202" s="209">
        <f>BH202*(1+Driver_macroeconómicos_Agricult!AX$79)</f>
        <v>1.9048599203809913E-4</v>
      </c>
      <c r="BJ202" s="209">
        <f>BI202*(1+Driver_macroeconómicos_Agricult!AY$79)</f>
        <v>1.9344305630318603E-4</v>
      </c>
      <c r="BK202" s="209">
        <f>BJ202*(1+Driver_macroeconómicos_Agricult!AZ$79)</f>
        <v>1.9640260677652844E-4</v>
      </c>
      <c r="BL202" s="209">
        <f>BK202*(1+Driver_macroeconómicos_Agricult!BA$79)</f>
        <v>1.9936043470132571E-4</v>
      </c>
      <c r="BM202" s="209">
        <f>BL202*(1+Driver_macroeconómicos_Agricult!BB$79)</f>
        <v>2.0232227661239771E-4</v>
      </c>
      <c r="BN202" s="209">
        <f>BM202*(1+Driver_macroeconómicos_Agricult!BC$79)</f>
        <v>2.0528578070100022E-4</v>
      </c>
      <c r="BO202" s="209">
        <f>BN202*(1+Driver_macroeconómicos_Agricult!BD$79)</f>
        <v>2.0824865734281038E-4</v>
      </c>
      <c r="BP202" s="182"/>
    </row>
    <row r="203" spans="1:96" ht="14.25" customHeight="1" x14ac:dyDescent="0.3">
      <c r="A203" s="53"/>
      <c r="B203" s="53"/>
      <c r="C203" s="53"/>
      <c r="D203" s="49"/>
      <c r="E203" s="194"/>
      <c r="F203" s="179" t="s">
        <v>459</v>
      </c>
      <c r="G203" s="195"/>
      <c r="H203" s="195"/>
      <c r="I203" s="195"/>
      <c r="J203" s="195"/>
      <c r="K203" s="195"/>
      <c r="L203" s="196"/>
      <c r="M203" s="196"/>
      <c r="N203" s="196"/>
      <c r="O203" s="196">
        <f t="shared" ref="O203:BO203" si="239">SUM(O189:O202)</f>
        <v>1.2537675051253399</v>
      </c>
      <c r="P203" s="196">
        <f t="shared" si="239"/>
        <v>1.3081233212734358</v>
      </c>
      <c r="Q203" s="196">
        <f t="shared" si="239"/>
        <v>1.4002071376545699</v>
      </c>
      <c r="R203" s="196">
        <f t="shared" si="239"/>
        <v>1.6839062303413503</v>
      </c>
      <c r="S203" s="196">
        <f t="shared" si="239"/>
        <v>1.9551864790633577</v>
      </c>
      <c r="T203" s="196">
        <f t="shared" si="239"/>
        <v>2.1355240322224192</v>
      </c>
      <c r="U203" s="196">
        <f t="shared" si="239"/>
        <v>2.3158615853814806</v>
      </c>
      <c r="V203" s="196">
        <f t="shared" si="239"/>
        <v>2.496199138540542</v>
      </c>
      <c r="W203" s="196">
        <f t="shared" si="239"/>
        <v>2.6765366916996038</v>
      </c>
      <c r="X203" s="196">
        <f t="shared" si="239"/>
        <v>2.8568742448586648</v>
      </c>
      <c r="Y203" s="196">
        <f t="shared" si="239"/>
        <v>3.0372117980177262</v>
      </c>
      <c r="Z203" s="196">
        <f t="shared" si="239"/>
        <v>3.2175493511767876</v>
      </c>
      <c r="AA203" s="196">
        <f t="shared" si="239"/>
        <v>3.3978869043358495</v>
      </c>
      <c r="AB203" s="196">
        <f t="shared" si="239"/>
        <v>3.5782244574949109</v>
      </c>
      <c r="AC203" s="196">
        <f t="shared" si="239"/>
        <v>3.7585620106539719</v>
      </c>
      <c r="AD203" s="196">
        <f t="shared" si="239"/>
        <v>3.9388995638130333</v>
      </c>
      <c r="AE203" s="196">
        <f t="shared" si="239"/>
        <v>4.1192371169720952</v>
      </c>
      <c r="AF203" s="196">
        <f t="shared" si="239"/>
        <v>4.2995746701311566</v>
      </c>
      <c r="AG203" s="196">
        <f t="shared" si="239"/>
        <v>4.3203903174972647</v>
      </c>
      <c r="AH203" s="196">
        <f t="shared" si="239"/>
        <v>4.4602708089232879</v>
      </c>
      <c r="AI203" s="196">
        <f t="shared" si="239"/>
        <v>4.5847692037502235</v>
      </c>
      <c r="AJ203" s="196">
        <f t="shared" si="239"/>
        <v>4.7028517928369382</v>
      </c>
      <c r="AK203" s="196">
        <f t="shared" si="239"/>
        <v>4.8019580060206275</v>
      </c>
      <c r="AL203" s="196">
        <f t="shared" si="239"/>
        <v>4.9048607589908482</v>
      </c>
      <c r="AM203" s="196">
        <f t="shared" si="239"/>
        <v>5.0264625842056061</v>
      </c>
      <c r="AN203" s="196">
        <f t="shared" si="239"/>
        <v>5.120168415264434</v>
      </c>
      <c r="AO203" s="196">
        <f t="shared" si="239"/>
        <v>5.2346051258614832</v>
      </c>
      <c r="AP203" s="196">
        <f t="shared" si="239"/>
        <v>5.3342789172377971</v>
      </c>
      <c r="AQ203" s="196">
        <f t="shared" si="239"/>
        <v>5.4606439833393008</v>
      </c>
      <c r="AR203" s="196">
        <f t="shared" si="239"/>
        <v>5.5685449070753368</v>
      </c>
      <c r="AS203" s="196">
        <f t="shared" si="239"/>
        <v>5.6744834937685775</v>
      </c>
      <c r="AT203" s="196">
        <f t="shared" si="239"/>
        <v>5.7843501045915042</v>
      </c>
      <c r="AU203" s="196">
        <f t="shared" si="239"/>
        <v>5.8960643040249954</v>
      </c>
      <c r="AV203" s="196">
        <f t="shared" si="239"/>
        <v>6.0231365487987318</v>
      </c>
      <c r="AW203" s="196">
        <f t="shared" si="239"/>
        <v>6.1408585383668948</v>
      </c>
      <c r="AX203" s="196">
        <f t="shared" si="239"/>
        <v>6.259401872239021</v>
      </c>
      <c r="AY203" s="196">
        <f t="shared" si="239"/>
        <v>6.3825798140206063</v>
      </c>
      <c r="AZ203" s="196">
        <f t="shared" si="239"/>
        <v>6.508182811977548</v>
      </c>
      <c r="BA203" s="196">
        <f t="shared" si="239"/>
        <v>6.6383652004396749</v>
      </c>
      <c r="BB203" s="196">
        <f t="shared" si="239"/>
        <v>6.7664181824602148</v>
      </c>
      <c r="BC203" s="196">
        <f t="shared" si="239"/>
        <v>6.8971530314185783</v>
      </c>
      <c r="BD203" s="196">
        <f t="shared" si="239"/>
        <v>7.0307314618336951</v>
      </c>
      <c r="BE203" s="196">
        <f t="shared" si="239"/>
        <v>7.1667884863255891</v>
      </c>
      <c r="BF203" s="196">
        <f t="shared" si="239"/>
        <v>7.3049802020030645</v>
      </c>
      <c r="BG203" s="196">
        <f t="shared" si="239"/>
        <v>7.4457721386272375</v>
      </c>
      <c r="BH203" s="196">
        <f t="shared" si="239"/>
        <v>7.5894747985887605</v>
      </c>
      <c r="BI203" s="196">
        <f t="shared" si="239"/>
        <v>7.7363221256302861</v>
      </c>
      <c r="BJ203" s="196">
        <f t="shared" si="239"/>
        <v>7.8861925027380124</v>
      </c>
      <c r="BK203" s="196">
        <f t="shared" si="239"/>
        <v>8.0392881662110387</v>
      </c>
      <c r="BL203" s="196">
        <f t="shared" si="239"/>
        <v>8.1956925649713064</v>
      </c>
      <c r="BM203" s="196">
        <f t="shared" si="239"/>
        <v>8.3559141820490854</v>
      </c>
      <c r="BN203" s="196">
        <f t="shared" si="239"/>
        <v>8.5201545608028084</v>
      </c>
      <c r="BO203" s="196">
        <f t="shared" si="239"/>
        <v>8.6886396161717609</v>
      </c>
      <c r="BP203" s="197"/>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c r="CO203" s="50"/>
      <c r="CP203" s="50"/>
      <c r="CQ203" s="50"/>
      <c r="CR203" s="50"/>
    </row>
    <row r="204" spans="1:96" ht="14.25" customHeight="1" x14ac:dyDescent="0.3">
      <c r="A204" s="960"/>
      <c r="B204" s="960"/>
      <c r="C204" s="960"/>
      <c r="D204" s="944"/>
      <c r="E204" s="183"/>
      <c r="F204" s="198"/>
      <c r="G204" s="198"/>
      <c r="H204" s="198"/>
      <c r="I204" s="198"/>
      <c r="J204" s="198"/>
      <c r="K204" s="198"/>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c r="BD204" s="199"/>
      <c r="BE204" s="199"/>
      <c r="BF204" s="199"/>
      <c r="BG204" s="199"/>
      <c r="BH204" s="199"/>
      <c r="BI204" s="199"/>
      <c r="BJ204" s="199"/>
      <c r="BK204" s="199"/>
      <c r="BL204" s="199"/>
      <c r="BM204" s="199"/>
      <c r="BN204" s="199"/>
      <c r="BO204" s="199"/>
      <c r="BP204" s="182"/>
    </row>
    <row r="205" spans="1:96" ht="14.25" customHeight="1" x14ac:dyDescent="0.3">
      <c r="A205" s="960"/>
      <c r="B205" s="960"/>
      <c r="C205" s="960"/>
      <c r="D205" s="944"/>
      <c r="E205" s="177"/>
      <c r="F205" s="178" t="s">
        <v>466</v>
      </c>
      <c r="G205" s="179"/>
      <c r="H205" s="179"/>
      <c r="I205" s="179"/>
      <c r="J205" s="179"/>
      <c r="K205" s="179"/>
      <c r="L205" s="180"/>
      <c r="M205" s="181"/>
      <c r="N205" s="181"/>
      <c r="O205" s="181"/>
      <c r="P205" s="181"/>
      <c r="Q205" s="181"/>
      <c r="R205" s="181"/>
      <c r="S205" s="181"/>
      <c r="T205" s="181"/>
      <c r="U205" s="181"/>
      <c r="V205" s="181"/>
      <c r="W205" s="181"/>
      <c r="X205" s="181"/>
      <c r="Y205" s="181"/>
      <c r="Z205" s="181"/>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c r="BF205" s="181"/>
      <c r="BG205" s="181"/>
      <c r="BH205" s="181"/>
      <c r="BI205" s="181"/>
      <c r="BJ205" s="181"/>
      <c r="BK205" s="181"/>
      <c r="BL205" s="181"/>
      <c r="BM205" s="181"/>
      <c r="BN205" s="181"/>
      <c r="BO205" s="181"/>
      <c r="BP205" s="182"/>
    </row>
    <row r="206" spans="1:96" ht="14.25" customHeight="1" x14ac:dyDescent="0.3">
      <c r="A206" s="960"/>
      <c r="B206" s="960"/>
      <c r="C206" s="960"/>
      <c r="D206" s="944"/>
      <c r="E206" s="183"/>
      <c r="F206" s="184" t="s">
        <v>467</v>
      </c>
      <c r="G206" s="179"/>
      <c r="H206" s="179"/>
      <c r="I206" s="179"/>
      <c r="J206" s="179"/>
      <c r="K206" s="179"/>
      <c r="L206" s="180"/>
      <c r="M206" s="181"/>
      <c r="N206" s="181"/>
      <c r="O206" s="181"/>
      <c r="P206" s="181"/>
      <c r="Q206" s="181"/>
      <c r="R206" s="181"/>
      <c r="S206" s="181"/>
      <c r="T206" s="181"/>
      <c r="U206" s="181"/>
      <c r="V206" s="181"/>
      <c r="W206" s="181"/>
      <c r="X206" s="181"/>
      <c r="Y206" s="181"/>
      <c r="Z206" s="181"/>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c r="BF206" s="181"/>
      <c r="BG206" s="181"/>
      <c r="BH206" s="181"/>
      <c r="BI206" s="181"/>
      <c r="BJ206" s="181"/>
      <c r="BK206" s="181"/>
      <c r="BL206" s="181"/>
      <c r="BM206" s="181"/>
      <c r="BN206" s="181"/>
      <c r="BO206" s="181"/>
      <c r="BP206" s="182"/>
    </row>
    <row r="207" spans="1:96" ht="12.75" customHeight="1" x14ac:dyDescent="0.3">
      <c r="A207" s="1198" t="s">
        <v>468</v>
      </c>
      <c r="B207" s="967"/>
      <c r="C207" s="967"/>
      <c r="D207" s="944" t="s">
        <v>412</v>
      </c>
      <c r="E207" s="183"/>
      <c r="F207" s="185" t="s">
        <v>413</v>
      </c>
      <c r="G207" s="210">
        <f t="shared" ref="G207:AL207" si="240">G97+G189-G155</f>
        <v>3.0355418750299954</v>
      </c>
      <c r="H207" s="210">
        <f t="shared" si="240"/>
        <v>2.0898253236999977</v>
      </c>
      <c r="I207" s="210">
        <f t="shared" si="240"/>
        <v>2.0887378642099987</v>
      </c>
      <c r="J207" s="210">
        <f t="shared" si="240"/>
        <v>0.85220044646999593</v>
      </c>
      <c r="K207" s="210">
        <f t="shared" si="240"/>
        <v>1.24876423064</v>
      </c>
      <c r="L207" s="211">
        <f t="shared" si="240"/>
        <v>1.2151987671799986</v>
      </c>
      <c r="M207" s="211">
        <f t="shared" si="240"/>
        <v>0.65759655677000151</v>
      </c>
      <c r="N207" s="211">
        <f t="shared" si="240"/>
        <v>0.24781392254975998</v>
      </c>
      <c r="O207" s="211">
        <f t="shared" si="240"/>
        <v>6.4340652089819983E-2</v>
      </c>
      <c r="P207" s="211">
        <f t="shared" si="240"/>
        <v>0.16104310482325079</v>
      </c>
      <c r="Q207" s="211">
        <f t="shared" si="240"/>
        <v>4.5879808318369797E-2</v>
      </c>
      <c r="R207" s="211">
        <f t="shared" si="240"/>
        <v>0.12615682334746037</v>
      </c>
      <c r="S207" s="380">
        <f t="shared" si="240"/>
        <v>0.12099380420706041</v>
      </c>
      <c r="T207" s="380">
        <f t="shared" si="240"/>
        <v>0.60024386329620949</v>
      </c>
      <c r="U207" s="380">
        <f t="shared" si="240"/>
        <v>0.94331515642818431</v>
      </c>
      <c r="V207" s="380">
        <f t="shared" si="240"/>
        <v>0.89466247686261813</v>
      </c>
      <c r="W207" s="380">
        <f t="shared" si="240"/>
        <v>0.92982978720220988</v>
      </c>
      <c r="X207" s="380">
        <f t="shared" si="240"/>
        <v>0.96517292200065441</v>
      </c>
      <c r="Y207" s="380">
        <f t="shared" si="240"/>
        <v>1.0006927603802431</v>
      </c>
      <c r="Z207" s="380">
        <f t="shared" si="240"/>
        <v>1.0363901858588855</v>
      </c>
      <c r="AA207" s="380">
        <f t="shared" si="240"/>
        <v>1.0722660863720739</v>
      </c>
      <c r="AB207" s="380">
        <f t="shared" si="240"/>
        <v>1.1083213542949819</v>
      </c>
      <c r="AC207" s="380">
        <f t="shared" si="240"/>
        <v>1.1445568864646578</v>
      </c>
      <c r="AD207" s="380">
        <f t="shared" si="240"/>
        <v>1.180973584202337</v>
      </c>
      <c r="AE207" s="380">
        <f t="shared" si="240"/>
        <v>1.2175723533358571</v>
      </c>
      <c r="AF207" s="380">
        <f t="shared" si="240"/>
        <v>1.2543541042221991</v>
      </c>
      <c r="AG207" s="380">
        <f t="shared" si="240"/>
        <v>1.2913175820317244</v>
      </c>
      <c r="AH207" s="380">
        <f t="shared" si="240"/>
        <v>1.3284674818866185</v>
      </c>
      <c r="AI207" s="380">
        <f t="shared" si="240"/>
        <v>1.3658029093196413</v>
      </c>
      <c r="AJ207" s="380">
        <f t="shared" si="240"/>
        <v>1.4033249140177562</v>
      </c>
      <c r="AK207" s="380">
        <f t="shared" si="240"/>
        <v>1.4410342597674113</v>
      </c>
      <c r="AL207" s="380">
        <f t="shared" si="240"/>
        <v>1.4789321915084903</v>
      </c>
      <c r="AM207" s="380">
        <f t="shared" ref="AM207:BO207" si="241">AM97+AM189-AM155</f>
        <v>1.5170198519327434</v>
      </c>
      <c r="AN207" s="380">
        <f t="shared" si="241"/>
        <v>1.5552975607649326</v>
      </c>
      <c r="AO207" s="380">
        <f t="shared" si="241"/>
        <v>1.5937669238867516</v>
      </c>
      <c r="AP207" s="380">
        <f t="shared" si="241"/>
        <v>1.632428420530097</v>
      </c>
      <c r="AQ207" s="380">
        <f t="shared" si="241"/>
        <v>1.6712835680431439</v>
      </c>
      <c r="AR207" s="380">
        <f t="shared" si="241"/>
        <v>1.7103327265164223</v>
      </c>
      <c r="AS207" s="380">
        <f t="shared" si="241"/>
        <v>1.7495770881011588</v>
      </c>
      <c r="AT207" s="380">
        <f t="shared" si="241"/>
        <v>1.7890177069844659</v>
      </c>
      <c r="AU207" s="380">
        <f t="shared" si="241"/>
        <v>1.8286555354701814</v>
      </c>
      <c r="AV207" s="380">
        <f t="shared" si="241"/>
        <v>1.8684917383692801</v>
      </c>
      <c r="AW207" s="380">
        <f t="shared" si="241"/>
        <v>1.9085269762993518</v>
      </c>
      <c r="AX207" s="380">
        <f t="shared" si="241"/>
        <v>1.9487623796289233</v>
      </c>
      <c r="AY207" s="380">
        <f t="shared" si="241"/>
        <v>1.9891989985087379</v>
      </c>
      <c r="AZ207" s="380">
        <f t="shared" si="241"/>
        <v>2.0298378080290282</v>
      </c>
      <c r="BA207" s="380">
        <f t="shared" si="241"/>
        <v>2.0706798459603748</v>
      </c>
      <c r="BB207" s="380">
        <f t="shared" si="241"/>
        <v>2.1117260381911214</v>
      </c>
      <c r="BC207" s="380">
        <f t="shared" si="241"/>
        <v>2.1529774675466262</v>
      </c>
      <c r="BD207" s="380">
        <f t="shared" si="241"/>
        <v>2.194435160384308</v>
      </c>
      <c r="BE207" s="380">
        <f t="shared" si="241"/>
        <v>2.2361001411616828</v>
      </c>
      <c r="BF207" s="380">
        <f t="shared" si="241"/>
        <v>2.2779734396799727</v>
      </c>
      <c r="BG207" s="380">
        <f t="shared" si="241"/>
        <v>2.3200561013273413</v>
      </c>
      <c r="BH207" s="380">
        <f t="shared" si="241"/>
        <v>2.3623491744660283</v>
      </c>
      <c r="BI207" s="380">
        <f t="shared" si="241"/>
        <v>2.4048537114863242</v>
      </c>
      <c r="BJ207" s="380">
        <f t="shared" si="241"/>
        <v>2.4475707652596261</v>
      </c>
      <c r="BK207" s="380">
        <f t="shared" si="241"/>
        <v>2.4905013979208226</v>
      </c>
      <c r="BL207" s="380">
        <f t="shared" si="241"/>
        <v>2.5336466751743307</v>
      </c>
      <c r="BM207" s="380">
        <f t="shared" si="241"/>
        <v>2.5770076732237905</v>
      </c>
      <c r="BN207" s="380">
        <f t="shared" si="241"/>
        <v>2.6205854694426085</v>
      </c>
      <c r="BO207" s="380">
        <f t="shared" si="241"/>
        <v>2.66438114662943</v>
      </c>
      <c r="BP207" s="182"/>
    </row>
    <row r="208" spans="1:96" ht="12.75" customHeight="1" x14ac:dyDescent="0.3">
      <c r="A208" s="982"/>
      <c r="D208" s="944" t="s">
        <v>412</v>
      </c>
      <c r="E208" s="183"/>
      <c r="F208" s="185" t="s">
        <v>414</v>
      </c>
      <c r="G208" s="212">
        <v>6.7048912000000002E-2</v>
      </c>
      <c r="H208" s="212">
        <v>7.2065723999999998E-2</v>
      </c>
      <c r="I208" s="212">
        <v>6.9083892000000008E-2</v>
      </c>
      <c r="J208" s="212">
        <v>7.0098996000000011E-2</v>
      </c>
      <c r="K208" s="213">
        <v>7.3109863999999997E-2</v>
      </c>
      <c r="L208" s="211">
        <f t="shared" ref="L208:L220" si="242">L98+L190-L156</f>
        <v>7.3274947487936087E-2</v>
      </c>
      <c r="M208" s="211">
        <f t="shared" ref="M208:AR208" si="243">M98+M190-M156</f>
        <v>7.4100988637929396E-2</v>
      </c>
      <c r="N208" s="211">
        <f t="shared" si="243"/>
        <v>7.6680143226254299E-2</v>
      </c>
      <c r="O208" s="211">
        <f t="shared" si="243"/>
        <v>8.0857443540089502E-2</v>
      </c>
      <c r="P208" s="211">
        <f t="shared" si="243"/>
        <v>8.2512694285325872E-2</v>
      </c>
      <c r="Q208" s="211">
        <f t="shared" si="243"/>
        <v>8.4007297411843401E-2</v>
      </c>
      <c r="R208" s="211">
        <f t="shared" si="243"/>
        <v>8.7444753199804687E-2</v>
      </c>
      <c r="S208" s="380">
        <f t="shared" si="243"/>
        <v>0.12355608765109521</v>
      </c>
      <c r="T208" s="380">
        <f t="shared" si="243"/>
        <v>0.15579980255671827</v>
      </c>
      <c r="U208" s="380">
        <f t="shared" si="243"/>
        <v>0.14218490795545466</v>
      </c>
      <c r="V208" s="380">
        <f t="shared" si="243"/>
        <v>0.14958752058750924</v>
      </c>
      <c r="W208" s="380">
        <f t="shared" si="243"/>
        <v>0.17922294453858431</v>
      </c>
      <c r="X208" s="380">
        <f t="shared" si="243"/>
        <v>0.19659323592763758</v>
      </c>
      <c r="Y208" s="380">
        <f t="shared" si="243"/>
        <v>0.21509581710510223</v>
      </c>
      <c r="Z208" s="380">
        <f t="shared" si="243"/>
        <v>0.23302453887100957</v>
      </c>
      <c r="AA208" s="380">
        <f t="shared" si="243"/>
        <v>0.25337982524649993</v>
      </c>
      <c r="AB208" s="380">
        <f t="shared" si="243"/>
        <v>0.25563592256956069</v>
      </c>
      <c r="AC208" s="380">
        <f t="shared" si="243"/>
        <v>0.27386883109288174</v>
      </c>
      <c r="AD208" s="380">
        <f t="shared" si="243"/>
        <v>0.2947926843070478</v>
      </c>
      <c r="AE208" s="380">
        <f t="shared" si="243"/>
        <v>0.31320770280339055</v>
      </c>
      <c r="AF208" s="380">
        <f t="shared" si="243"/>
        <v>0.33186379413274825</v>
      </c>
      <c r="AG208" s="380">
        <f t="shared" si="243"/>
        <v>0.3468458278452527</v>
      </c>
      <c r="AH208" s="380">
        <f t="shared" si="243"/>
        <v>0.35047500194811132</v>
      </c>
      <c r="AI208" s="380">
        <f t="shared" si="243"/>
        <v>0.35446264279124173</v>
      </c>
      <c r="AJ208" s="380">
        <f t="shared" si="243"/>
        <v>0.35694415324268935</v>
      </c>
      <c r="AK208" s="380">
        <f t="shared" si="243"/>
        <v>0.35960112209219297</v>
      </c>
      <c r="AL208" s="380">
        <f t="shared" si="243"/>
        <v>0.36235139194361121</v>
      </c>
      <c r="AM208" s="380">
        <f t="shared" si="243"/>
        <v>0.36509957365923684</v>
      </c>
      <c r="AN208" s="380">
        <f t="shared" si="243"/>
        <v>0.36828718357681273</v>
      </c>
      <c r="AO208" s="380">
        <f t="shared" si="243"/>
        <v>0.37089157118262317</v>
      </c>
      <c r="AP208" s="380">
        <f t="shared" si="243"/>
        <v>0.37369090739106664</v>
      </c>
      <c r="AQ208" s="380">
        <f t="shared" si="243"/>
        <v>0.37571280817125502</v>
      </c>
      <c r="AR208" s="380">
        <f t="shared" si="243"/>
        <v>0.37817063897273012</v>
      </c>
      <c r="AS208" s="380">
        <f t="shared" ref="AS208:BO208" si="244">AS98+AS190-AS156</f>
        <v>0.3806089121808387</v>
      </c>
      <c r="AT208" s="380">
        <f t="shared" si="244"/>
        <v>0.38288557059954981</v>
      </c>
      <c r="AU208" s="380">
        <f t="shared" si="244"/>
        <v>0.38505322124213215</v>
      </c>
      <c r="AV208" s="380">
        <f t="shared" si="244"/>
        <v>0.38678645342533163</v>
      </c>
      <c r="AW208" s="380">
        <f t="shared" si="244"/>
        <v>0.38864797409512442</v>
      </c>
      <c r="AX208" s="380">
        <f t="shared" si="244"/>
        <v>0.39039512264452902</v>
      </c>
      <c r="AY208" s="380">
        <f t="shared" si="244"/>
        <v>0.39196790623576988</v>
      </c>
      <c r="AZ208" s="380">
        <f t="shared" si="244"/>
        <v>0.39341247202563445</v>
      </c>
      <c r="BA208" s="380">
        <f t="shared" si="244"/>
        <v>0.39466690546658251</v>
      </c>
      <c r="BB208" s="380">
        <f t="shared" si="244"/>
        <v>0.39589076783876137</v>
      </c>
      <c r="BC208" s="380">
        <f t="shared" si="244"/>
        <v>0.39696544101733017</v>
      </c>
      <c r="BD208" s="380">
        <f t="shared" si="244"/>
        <v>0.39788973188419979</v>
      </c>
      <c r="BE208" s="380">
        <f t="shared" si="244"/>
        <v>0.39867575774208497</v>
      </c>
      <c r="BF208" s="380">
        <f t="shared" si="244"/>
        <v>0.39933477246046589</v>
      </c>
      <c r="BG208" s="380">
        <f t="shared" si="244"/>
        <v>0.39985399929077037</v>
      </c>
      <c r="BH208" s="380">
        <f t="shared" si="244"/>
        <v>0.40022620847127927</v>
      </c>
      <c r="BI208" s="380">
        <f t="shared" si="244"/>
        <v>0.40044781017269832</v>
      </c>
      <c r="BJ208" s="380">
        <f t="shared" si="244"/>
        <v>0.40052498221597194</v>
      </c>
      <c r="BK208" s="380">
        <f t="shared" si="244"/>
        <v>0.40045623506617817</v>
      </c>
      <c r="BL208" s="380">
        <f t="shared" si="244"/>
        <v>0.40024365004294155</v>
      </c>
      <c r="BM208" s="380">
        <f t="shared" si="244"/>
        <v>0.39987848962392225</v>
      </c>
      <c r="BN208" s="380">
        <f t="shared" si="244"/>
        <v>0.39936027693211612</v>
      </c>
      <c r="BO208" s="380">
        <f t="shared" si="244"/>
        <v>0.39868885684040373</v>
      </c>
      <c r="BP208" s="182"/>
    </row>
    <row r="209" spans="1:68" ht="12.75" customHeight="1" x14ac:dyDescent="0.3">
      <c r="A209" s="982"/>
      <c r="D209" s="944" t="s">
        <v>412</v>
      </c>
      <c r="E209" s="183"/>
      <c r="F209" s="185" t="s">
        <v>415</v>
      </c>
      <c r="G209" s="212">
        <v>1.310904872E-2</v>
      </c>
      <c r="H209" s="212">
        <v>1.497646635E-2</v>
      </c>
      <c r="I209" s="212">
        <v>1.319282705E-2</v>
      </c>
      <c r="J209" s="212">
        <v>1.340853665E-2</v>
      </c>
      <c r="K209" s="213">
        <v>1.3623346099999999E-2</v>
      </c>
      <c r="L209" s="211">
        <f t="shared" si="242"/>
        <v>1.181703804369536E-2</v>
      </c>
      <c r="M209" s="211">
        <f t="shared" ref="M209:AR209" si="245">M99+M191-M157</f>
        <v>1.1740167477728772E-2</v>
      </c>
      <c r="N209" s="211">
        <f t="shared" si="245"/>
        <v>1.1771677554897744E-2</v>
      </c>
      <c r="O209" s="211">
        <f t="shared" si="245"/>
        <v>1.3036462955000005E-2</v>
      </c>
      <c r="P209" s="211">
        <f t="shared" si="245"/>
        <v>1.1455800454000013E-2</v>
      </c>
      <c r="Q209" s="211">
        <f t="shared" si="245"/>
        <v>1.1833009661200012E-2</v>
      </c>
      <c r="R209" s="211">
        <f t="shared" si="245"/>
        <v>1.0036416577336411E-2</v>
      </c>
      <c r="S209" s="380">
        <f t="shared" si="245"/>
        <v>1.4577936494230691E-2</v>
      </c>
      <c r="T209" s="380">
        <f t="shared" si="245"/>
        <v>1.6152717498448512E-2</v>
      </c>
      <c r="U209" s="380">
        <f t="shared" si="245"/>
        <v>1.7839416652700467E-2</v>
      </c>
      <c r="V209" s="380">
        <f t="shared" si="245"/>
        <v>1.9877290121424557E-2</v>
      </c>
      <c r="W209" s="380">
        <f t="shared" si="245"/>
        <v>2.1494449780853103E-2</v>
      </c>
      <c r="X209" s="380">
        <f t="shared" si="245"/>
        <v>2.332857648821756E-2</v>
      </c>
      <c r="Y209" s="380">
        <f t="shared" si="245"/>
        <v>2.5143779618186278E-2</v>
      </c>
      <c r="Z209" s="380">
        <f t="shared" si="245"/>
        <v>2.6979295164410638E-2</v>
      </c>
      <c r="AA209" s="380">
        <f t="shared" si="245"/>
        <v>2.8765611404909366E-2</v>
      </c>
      <c r="AB209" s="380">
        <f t="shared" si="245"/>
        <v>3.1008604631582261E-2</v>
      </c>
      <c r="AC209" s="380">
        <f t="shared" si="245"/>
        <v>3.2869831050841458E-2</v>
      </c>
      <c r="AD209" s="380">
        <f t="shared" si="245"/>
        <v>3.4681016093650908E-2</v>
      </c>
      <c r="AE209" s="380">
        <f t="shared" si="245"/>
        <v>3.6557219237237773E-2</v>
      </c>
      <c r="AF209" s="380">
        <f t="shared" si="245"/>
        <v>3.8438303934876961E-2</v>
      </c>
      <c r="AG209" s="380">
        <f t="shared" si="245"/>
        <v>4.1058409214955842E-2</v>
      </c>
      <c r="AH209" s="380">
        <f t="shared" si="245"/>
        <v>4.5027845796247253E-2</v>
      </c>
      <c r="AI209" s="380">
        <f t="shared" si="245"/>
        <v>4.9224198686005846E-2</v>
      </c>
      <c r="AJ209" s="380">
        <f t="shared" si="245"/>
        <v>5.3656571423277427E-2</v>
      </c>
      <c r="AK209" s="380">
        <f t="shared" si="245"/>
        <v>5.8275171502849332E-2</v>
      </c>
      <c r="AL209" s="380">
        <f t="shared" si="245"/>
        <v>6.3345881026415654E-2</v>
      </c>
      <c r="AM209" s="380">
        <f t="shared" si="245"/>
        <v>6.910421442979392E-2</v>
      </c>
      <c r="AN209" s="380">
        <f t="shared" si="245"/>
        <v>7.4994512433484276E-2</v>
      </c>
      <c r="AO209" s="380">
        <f t="shared" si="245"/>
        <v>8.1669085111243905E-2</v>
      </c>
      <c r="AP209" s="380">
        <f t="shared" si="245"/>
        <v>8.8690546629275571E-2</v>
      </c>
      <c r="AQ209" s="380">
        <f t="shared" si="245"/>
        <v>9.6732299678168238E-2</v>
      </c>
      <c r="AR209" s="380">
        <f t="shared" si="245"/>
        <v>0.1051521256753485</v>
      </c>
      <c r="AS209" s="380">
        <f t="shared" ref="AS209:BO209" si="246">AS99+AS191-AS157</f>
        <v>0.11424270591450231</v>
      </c>
      <c r="AT209" s="380">
        <f t="shared" si="246"/>
        <v>0.12417021175779312</v>
      </c>
      <c r="AU209" s="380">
        <f t="shared" si="246"/>
        <v>0.13496595239825379</v>
      </c>
      <c r="AV209" s="380">
        <f t="shared" si="246"/>
        <v>0.14701567251131228</v>
      </c>
      <c r="AW209" s="380">
        <f t="shared" si="246"/>
        <v>0.15985082576521956</v>
      </c>
      <c r="AX209" s="380">
        <f t="shared" si="246"/>
        <v>0.17377159263335368</v>
      </c>
      <c r="AY209" s="380">
        <f t="shared" si="246"/>
        <v>0.18897394652467636</v>
      </c>
      <c r="AZ209" s="380">
        <f t="shared" si="246"/>
        <v>0.20550549629279799</v>
      </c>
      <c r="BA209" s="380">
        <f t="shared" si="246"/>
        <v>0.22354652061668945</v>
      </c>
      <c r="BB209" s="380">
        <f t="shared" si="246"/>
        <v>0.24299654863467676</v>
      </c>
      <c r="BC209" s="380">
        <f t="shared" si="246"/>
        <v>0.26413021241590867</v>
      </c>
      <c r="BD209" s="380">
        <f t="shared" si="246"/>
        <v>0.28709169602497719</v>
      </c>
      <c r="BE209" s="380">
        <f t="shared" si="246"/>
        <v>0.3120144586256704</v>
      </c>
      <c r="BF209" s="380">
        <f t="shared" si="246"/>
        <v>0.33903925098821946</v>
      </c>
      <c r="BG209" s="380">
        <f t="shared" si="246"/>
        <v>0.36835244690484925</v>
      </c>
      <c r="BH209" s="380">
        <f t="shared" si="246"/>
        <v>0.40014939663739474</v>
      </c>
      <c r="BI209" s="380">
        <f t="shared" si="246"/>
        <v>0.43463744941902904</v>
      </c>
      <c r="BJ209" s="380">
        <f t="shared" si="246"/>
        <v>0.47201915350194318</v>
      </c>
      <c r="BK209" s="380">
        <f t="shared" si="246"/>
        <v>0.51252902438458814</v>
      </c>
      <c r="BL209" s="380">
        <f t="shared" si="246"/>
        <v>0.55641074072978325</v>
      </c>
      <c r="BM209" s="380">
        <f t="shared" si="246"/>
        <v>0.6039543020237701</v>
      </c>
      <c r="BN209" s="380">
        <f t="shared" si="246"/>
        <v>0.65545074718296803</v>
      </c>
      <c r="BO209" s="380">
        <f t="shared" si="246"/>
        <v>0.71121313096451055</v>
      </c>
      <c r="BP209" s="182"/>
    </row>
    <row r="210" spans="1:68" ht="12.75" customHeight="1" x14ac:dyDescent="0.3">
      <c r="A210" s="982"/>
      <c r="D210" s="944"/>
      <c r="E210" s="183"/>
      <c r="F210" s="185" t="s">
        <v>416</v>
      </c>
      <c r="G210" s="210">
        <f t="shared" ref="G210:K212" si="247">G100+G192-G158</f>
        <v>8.3692369536899989</v>
      </c>
      <c r="H210" s="210">
        <f t="shared" si="247"/>
        <v>8.1712395644800004</v>
      </c>
      <c r="I210" s="210">
        <f t="shared" si="247"/>
        <v>7.4059731342199999</v>
      </c>
      <c r="J210" s="210">
        <f t="shared" si="247"/>
        <v>7.1484037951300001</v>
      </c>
      <c r="K210" s="210">
        <f t="shared" si="247"/>
        <v>8.2643146960299987</v>
      </c>
      <c r="L210" s="211">
        <f t="shared" si="242"/>
        <v>10.14730262438</v>
      </c>
      <c r="M210" s="211">
        <f t="shared" ref="M210:AR210" si="248">M100+M192-M158</f>
        <v>8.6018827207499999</v>
      </c>
      <c r="N210" s="211">
        <f t="shared" si="248"/>
        <v>9.3564275053518404</v>
      </c>
      <c r="O210" s="211">
        <f t="shared" si="248"/>
        <v>7.8752339030052596</v>
      </c>
      <c r="P210" s="211">
        <f t="shared" si="248"/>
        <v>10.058060403835071</v>
      </c>
      <c r="Q210" s="211">
        <f t="shared" si="248"/>
        <v>11.383800597439361</v>
      </c>
      <c r="R210" s="211">
        <f t="shared" si="248"/>
        <v>11.689188693991341</v>
      </c>
      <c r="S210" s="380">
        <f t="shared" si="248"/>
        <v>8.137195131641846</v>
      </c>
      <c r="T210" s="380">
        <f t="shared" si="248"/>
        <v>9.2253121368809765</v>
      </c>
      <c r="U210" s="380">
        <f t="shared" si="248"/>
        <v>9.8127065578420005</v>
      </c>
      <c r="V210" s="380">
        <f t="shared" si="248"/>
        <v>9.8608479204554342</v>
      </c>
      <c r="W210" s="380">
        <f t="shared" si="248"/>
        <v>10.47950809310038</v>
      </c>
      <c r="X210" s="380">
        <f t="shared" si="248"/>
        <v>10.512137859668075</v>
      </c>
      <c r="Y210" s="380">
        <f t="shared" si="248"/>
        <v>10.544862368798878</v>
      </c>
      <c r="Z210" s="380">
        <f t="shared" si="248"/>
        <v>10.577681905818547</v>
      </c>
      <c r="AA210" s="380">
        <f t="shared" si="248"/>
        <v>10.610596756911683</v>
      </c>
      <c r="AB210" s="380">
        <f t="shared" si="248"/>
        <v>10.643607209124303</v>
      </c>
      <c r="AC210" s="380">
        <f t="shared" si="248"/>
        <v>10.676713550366442</v>
      </c>
      <c r="AD210" s="380">
        <f t="shared" si="248"/>
        <v>10.709916069414753</v>
      </c>
      <c r="AE210" s="380">
        <f t="shared" si="248"/>
        <v>10.743215055915121</v>
      </c>
      <c r="AF210" s="380">
        <f t="shared" si="248"/>
        <v>10.776610800385271</v>
      </c>
      <c r="AG210" s="380">
        <f t="shared" si="248"/>
        <v>10.808922299328724</v>
      </c>
      <c r="AH210" s="380">
        <f t="shared" si="248"/>
        <v>10.841331199936944</v>
      </c>
      <c r="AI210" s="380">
        <f t="shared" si="248"/>
        <v>10.873837795298934</v>
      </c>
      <c r="AJ210" s="380">
        <f t="shared" si="248"/>
        <v>10.906442379386149</v>
      </c>
      <c r="AK210" s="380">
        <f t="shared" si="248"/>
        <v>10.939145247055151</v>
      </c>
      <c r="AL210" s="380">
        <f t="shared" si="248"/>
        <v>10.971946694050279</v>
      </c>
      <c r="AM210" s="380">
        <f t="shared" si="248"/>
        <v>11.004847017006306</v>
      </c>
      <c r="AN210" s="380">
        <f t="shared" si="248"/>
        <v>11.037846513451136</v>
      </c>
      <c r="AO210" s="380">
        <f t="shared" si="248"/>
        <v>11.070945481808483</v>
      </c>
      <c r="AP210" s="380">
        <f t="shared" si="248"/>
        <v>11.104144221400574</v>
      </c>
      <c r="AQ210" s="380">
        <f t="shared" si="248"/>
        <v>11.13744303245085</v>
      </c>
      <c r="AR210" s="380">
        <f t="shared" si="248"/>
        <v>11.170842216086672</v>
      </c>
      <c r="AS210" s="380">
        <f t="shared" ref="AS210:BO210" si="249">AS100+AS192-AS158</f>
        <v>11.204342074342058</v>
      </c>
      <c r="AT210" s="380">
        <f t="shared" si="249"/>
        <v>11.237942910160399</v>
      </c>
      <c r="AU210" s="380">
        <f t="shared" si="249"/>
        <v>11.271645027397206</v>
      </c>
      <c r="AV210" s="380">
        <f t="shared" si="249"/>
        <v>11.305448730822841</v>
      </c>
      <c r="AW210" s="380">
        <f t="shared" si="249"/>
        <v>11.339354326125289</v>
      </c>
      <c r="AX210" s="380">
        <f t="shared" si="249"/>
        <v>11.37336211991291</v>
      </c>
      <c r="AY210" s="380">
        <f t="shared" si="249"/>
        <v>11.407472419717211</v>
      </c>
      <c r="AZ210" s="380">
        <f t="shared" si="249"/>
        <v>11.441685533995624</v>
      </c>
      <c r="BA210" s="380">
        <f t="shared" si="249"/>
        <v>11.476001772134298</v>
      </c>
      <c r="BB210" s="380">
        <f t="shared" si="249"/>
        <v>11.510421444450891</v>
      </c>
      <c r="BC210" s="380">
        <f t="shared" si="249"/>
        <v>11.54494486219737</v>
      </c>
      <c r="BD210" s="380">
        <f t="shared" si="249"/>
        <v>11.579572337562835</v>
      </c>
      <c r="BE210" s="380">
        <f t="shared" si="249"/>
        <v>11.614304183676328</v>
      </c>
      <c r="BF210" s="380">
        <f t="shared" si="249"/>
        <v>11.64914071460967</v>
      </c>
      <c r="BG210" s="380">
        <f t="shared" si="249"/>
        <v>11.684082245380294</v>
      </c>
      <c r="BH210" s="380">
        <f t="shared" si="249"/>
        <v>11.719129091954098</v>
      </c>
      <c r="BI210" s="380">
        <f t="shared" si="249"/>
        <v>11.754281571248296</v>
      </c>
      <c r="BJ210" s="380">
        <f t="shared" si="249"/>
        <v>11.789540001134279</v>
      </c>
      <c r="BK210" s="380">
        <f t="shared" si="249"/>
        <v>11.824904700440491</v>
      </c>
      <c r="BL210" s="380">
        <f t="shared" si="249"/>
        <v>11.86037598895531</v>
      </c>
      <c r="BM210" s="380">
        <f t="shared" si="249"/>
        <v>11.895954187429943</v>
      </c>
      <c r="BN210" s="380">
        <f t="shared" si="249"/>
        <v>11.931639617581308</v>
      </c>
      <c r="BO210" s="380">
        <f t="shared" si="249"/>
        <v>11.967432602094958</v>
      </c>
      <c r="BP210" s="182"/>
    </row>
    <row r="211" spans="1:68" ht="12.75" customHeight="1" x14ac:dyDescent="0.3">
      <c r="A211" s="982"/>
      <c r="D211" s="944"/>
      <c r="E211" s="183"/>
      <c r="F211" s="185" t="s">
        <v>417</v>
      </c>
      <c r="G211" s="210">
        <f t="shared" si="247"/>
        <v>1.4512284899999999</v>
      </c>
      <c r="H211" s="210">
        <f t="shared" si="247"/>
        <v>1.4889460600000002</v>
      </c>
      <c r="I211" s="210">
        <f t="shared" si="247"/>
        <v>1.6287515800000001</v>
      </c>
      <c r="J211" s="210">
        <f t="shared" si="247"/>
        <v>1.30813424</v>
      </c>
      <c r="K211" s="210">
        <f t="shared" si="247"/>
        <v>1.7813965900000002</v>
      </c>
      <c r="L211" s="211">
        <f t="shared" si="242"/>
        <v>2.0502380499999999</v>
      </c>
      <c r="M211" s="211">
        <f t="shared" ref="M211:AR211" si="250">M101+M193-M159</f>
        <v>1.2617954599999999</v>
      </c>
      <c r="N211" s="211">
        <f t="shared" si="250"/>
        <v>1.6500167700000001</v>
      </c>
      <c r="O211" s="211">
        <f t="shared" si="250"/>
        <v>1.50595736</v>
      </c>
      <c r="P211" s="211">
        <f t="shared" si="250"/>
        <v>1.65063659</v>
      </c>
      <c r="Q211" s="211">
        <f t="shared" si="250"/>
        <v>1.5120563</v>
      </c>
      <c r="R211" s="211">
        <f t="shared" si="250"/>
        <v>1.9016245300000001</v>
      </c>
      <c r="S211" s="380">
        <f t="shared" si="250"/>
        <v>1.7977939060497783</v>
      </c>
      <c r="T211" s="380">
        <f t="shared" si="250"/>
        <v>1.9507085179514867</v>
      </c>
      <c r="U211" s="380">
        <f t="shared" si="250"/>
        <v>2.0802735514784509</v>
      </c>
      <c r="V211" s="380">
        <f t="shared" si="250"/>
        <v>2.0995351202509229</v>
      </c>
      <c r="W211" s="380">
        <f t="shared" si="250"/>
        <v>2.2361791024902344</v>
      </c>
      <c r="X211" s="380">
        <f t="shared" si="250"/>
        <v>2.305928298603972</v>
      </c>
      <c r="Y211" s="380">
        <f t="shared" si="250"/>
        <v>2.3786356908923127</v>
      </c>
      <c r="Z211" s="380">
        <f t="shared" si="250"/>
        <v>2.4457648572604405</v>
      </c>
      <c r="AA211" s="380">
        <f t="shared" si="250"/>
        <v>2.5219143518400786</v>
      </c>
      <c r="AB211" s="380">
        <f t="shared" si="250"/>
        <v>2.5099003294100473</v>
      </c>
      <c r="AC211" s="380">
        <f t="shared" si="250"/>
        <v>2.5718998100774377</v>
      </c>
      <c r="AD211" s="380">
        <f t="shared" si="250"/>
        <v>2.6436827018156666</v>
      </c>
      <c r="AE211" s="380">
        <f t="shared" si="250"/>
        <v>2.7014221377402072</v>
      </c>
      <c r="AF211" s="380">
        <f t="shared" si="250"/>
        <v>2.7578649419706278</v>
      </c>
      <c r="AG211" s="380">
        <f t="shared" si="250"/>
        <v>2.8079105838027156</v>
      </c>
      <c r="AH211" s="380">
        <f t="shared" si="250"/>
        <v>2.8574094385517124</v>
      </c>
      <c r="AI211" s="380">
        <f t="shared" si="250"/>
        <v>2.9026311271334886</v>
      </c>
      <c r="AJ211" s="380">
        <f t="shared" si="250"/>
        <v>2.9602080578426215</v>
      </c>
      <c r="AK211" s="380">
        <f t="shared" si="250"/>
        <v>3.0145820018414309</v>
      </c>
      <c r="AL211" s="380">
        <f t="shared" si="250"/>
        <v>3.0674133288958556</v>
      </c>
      <c r="AM211" s="380">
        <f t="shared" si="250"/>
        <v>3.1200654233707419</v>
      </c>
      <c r="AN211" s="380">
        <f t="shared" si="250"/>
        <v>3.1674560797836131</v>
      </c>
      <c r="AO211" s="380">
        <f t="shared" si="250"/>
        <v>3.2193896976582157</v>
      </c>
      <c r="AP211" s="380">
        <f t="shared" si="250"/>
        <v>3.2684527552760363</v>
      </c>
      <c r="AQ211" s="380">
        <f t="shared" si="250"/>
        <v>3.3235102211503706</v>
      </c>
      <c r="AR211" s="380">
        <f t="shared" si="250"/>
        <v>3.3737158174793271</v>
      </c>
      <c r="AS211" s="380">
        <f t="shared" ref="AS211:BO211" si="251">AS101+AS193-AS159</f>
        <v>3.4231202300786192</v>
      </c>
      <c r="AT211" s="380">
        <f t="shared" si="251"/>
        <v>3.4729636839865363</v>
      </c>
      <c r="AU211" s="380">
        <f t="shared" si="251"/>
        <v>3.5227775170100406</v>
      </c>
      <c r="AV211" s="380">
        <f t="shared" si="251"/>
        <v>3.5752562495035836</v>
      </c>
      <c r="AW211" s="380">
        <f t="shared" si="251"/>
        <v>3.6255313968716467</v>
      </c>
      <c r="AX211" s="380">
        <f t="shared" si="251"/>
        <v>3.6756312809680844</v>
      </c>
      <c r="AY211" s="380">
        <f t="shared" si="251"/>
        <v>3.7260435192108252</v>
      </c>
      <c r="AZ211" s="380">
        <f t="shared" si="251"/>
        <v>3.7763297961016598</v>
      </c>
      <c r="BA211" s="380">
        <f t="shared" si="251"/>
        <v>3.8269202153023301</v>
      </c>
      <c r="BB211" s="380">
        <f t="shared" si="251"/>
        <v>3.8765069227071347</v>
      </c>
      <c r="BC211" s="380">
        <f t="shared" si="251"/>
        <v>3.9259848770224224</v>
      </c>
      <c r="BD211" s="380">
        <f t="shared" si="251"/>
        <v>3.9753193554479522</v>
      </c>
      <c r="BE211" s="380">
        <f t="shared" si="251"/>
        <v>4.024376967229502</v>
      </c>
      <c r="BF211" s="380">
        <f t="shared" si="251"/>
        <v>4.0730354827326698</v>
      </c>
      <c r="BG211" s="380">
        <f t="shared" si="251"/>
        <v>4.1213475073927297</v>
      </c>
      <c r="BH211" s="380">
        <f t="shared" si="251"/>
        <v>4.1693241812181547</v>
      </c>
      <c r="BI211" s="380">
        <f t="shared" si="251"/>
        <v>4.2169512681318917</v>
      </c>
      <c r="BJ211" s="380">
        <f t="shared" si="251"/>
        <v>4.2641464239978086</v>
      </c>
      <c r="BK211" s="380">
        <f t="shared" si="251"/>
        <v>4.3108838560996432</v>
      </c>
      <c r="BL211" s="380">
        <f t="shared" si="251"/>
        <v>4.3571140429454811</v>
      </c>
      <c r="BM211" s="380">
        <f t="shared" si="251"/>
        <v>4.4028618880082586</v>
      </c>
      <c r="BN211" s="380">
        <f t="shared" si="251"/>
        <v>4.4480952306914494</v>
      </c>
      <c r="BO211" s="380">
        <f t="shared" si="251"/>
        <v>4.4927812234754487</v>
      </c>
      <c r="BP211" s="182"/>
    </row>
    <row r="212" spans="1:68" ht="12.75" customHeight="1" x14ac:dyDescent="0.3">
      <c r="A212" s="982"/>
      <c r="D212" s="944"/>
      <c r="E212" s="183"/>
      <c r="F212" s="185" t="s">
        <v>418</v>
      </c>
      <c r="G212" s="210">
        <f t="shared" si="247"/>
        <v>2.7214882613399998</v>
      </c>
      <c r="H212" s="210">
        <f t="shared" si="247"/>
        <v>1.8616817074100003</v>
      </c>
      <c r="I212" s="210">
        <f t="shared" si="247"/>
        <v>2.3757865370999998</v>
      </c>
      <c r="J212" s="210">
        <f t="shared" si="247"/>
        <v>2.1191380690000003</v>
      </c>
      <c r="K212" s="210">
        <f t="shared" si="247"/>
        <v>3.25588158477</v>
      </c>
      <c r="L212" s="211">
        <f t="shared" si="242"/>
        <v>3.9148116526899992</v>
      </c>
      <c r="M212" s="211">
        <f t="shared" ref="M212:AR212" si="252">M102+M194-M160</f>
        <v>2.8144638636100003</v>
      </c>
      <c r="N212" s="211">
        <f t="shared" si="252"/>
        <v>2.9973004022252003</v>
      </c>
      <c r="O212" s="211">
        <f t="shared" si="252"/>
        <v>2.51192250271012</v>
      </c>
      <c r="P212" s="211">
        <f t="shared" si="252"/>
        <v>2.1091796952468402</v>
      </c>
      <c r="Q212" s="211">
        <f t="shared" si="252"/>
        <v>2.2901977546689998</v>
      </c>
      <c r="R212" s="211">
        <f t="shared" si="252"/>
        <v>2.3209891366443003</v>
      </c>
      <c r="S212" s="380">
        <f t="shared" si="252"/>
        <v>2.201361538967078</v>
      </c>
      <c r="T212" s="380">
        <f t="shared" si="252"/>
        <v>1.9434969646397779</v>
      </c>
      <c r="U212" s="380">
        <f t="shared" si="252"/>
        <v>2.0559541309389888</v>
      </c>
      <c r="V212" s="380">
        <f t="shared" si="252"/>
        <v>2.0704082076739772</v>
      </c>
      <c r="W212" s="380">
        <f t="shared" si="252"/>
        <v>2.1871858339303714</v>
      </c>
      <c r="X212" s="380">
        <f t="shared" si="252"/>
        <v>2.2446794038376363</v>
      </c>
      <c r="Y212" s="380">
        <f t="shared" si="252"/>
        <v>2.3043005832001668</v>
      </c>
      <c r="Z212" s="380">
        <f t="shared" si="252"/>
        <v>2.3588666263335996</v>
      </c>
      <c r="AA212" s="380">
        <f t="shared" si="252"/>
        <v>2.4205749372389329</v>
      </c>
      <c r="AB212" s="380">
        <f t="shared" si="252"/>
        <v>2.409706760882155</v>
      </c>
      <c r="AC212" s="380">
        <f t="shared" si="252"/>
        <v>2.4595503751110228</v>
      </c>
      <c r="AD212" s="380">
        <f t="shared" si="252"/>
        <v>2.5172145081956052</v>
      </c>
      <c r="AE212" s="380">
        <f t="shared" si="252"/>
        <v>2.5630012058110361</v>
      </c>
      <c r="AF212" s="380">
        <f t="shared" si="252"/>
        <v>2.6075112680626091</v>
      </c>
      <c r="AG212" s="380">
        <f t="shared" si="252"/>
        <v>2.6497302752707679</v>
      </c>
      <c r="AH212" s="380">
        <f t="shared" si="252"/>
        <v>2.6890156583919826</v>
      </c>
      <c r="AI212" s="380">
        <f t="shared" si="252"/>
        <v>2.724979692702743</v>
      </c>
      <c r="AJ212" s="380">
        <f t="shared" si="252"/>
        <v>2.77081790757659</v>
      </c>
      <c r="AK212" s="380">
        <f t="shared" si="252"/>
        <v>2.8142149849929847</v>
      </c>
      <c r="AL212" s="380">
        <f t="shared" si="252"/>
        <v>2.8560928634539606</v>
      </c>
      <c r="AM212" s="380">
        <f t="shared" si="252"/>
        <v>2.897269153408903</v>
      </c>
      <c r="AN212" s="380">
        <f t="shared" si="252"/>
        <v>2.9346086190010254</v>
      </c>
      <c r="AO212" s="380">
        <f t="shared" si="252"/>
        <v>2.9749467927368562</v>
      </c>
      <c r="AP212" s="380">
        <f t="shared" si="252"/>
        <v>3.0130994583278179</v>
      </c>
      <c r="AQ212" s="380">
        <f t="shared" si="252"/>
        <v>3.0552391153009228</v>
      </c>
      <c r="AR212" s="380">
        <f t="shared" si="252"/>
        <v>3.0937186707976299</v>
      </c>
      <c r="AS212" s="380">
        <f t="shared" ref="AS212:BO212" si="253">AS102+AS194-AS160</f>
        <v>3.1314071436083237</v>
      </c>
      <c r="AT212" s="380">
        <f t="shared" si="253"/>
        <v>3.1691605593342</v>
      </c>
      <c r="AU212" s="380">
        <f t="shared" si="253"/>
        <v>3.2066543621309362</v>
      </c>
      <c r="AV212" s="380">
        <f t="shared" si="253"/>
        <v>3.2457072248247183</v>
      </c>
      <c r="AW212" s="380">
        <f t="shared" si="253"/>
        <v>3.2830240074994572</v>
      </c>
      <c r="AX212" s="380">
        <f t="shared" si="253"/>
        <v>3.319978805933681</v>
      </c>
      <c r="AY212" s="380">
        <f t="shared" si="253"/>
        <v>3.3568726317751256</v>
      </c>
      <c r="AZ212" s="380">
        <f t="shared" si="253"/>
        <v>3.3934091778501516</v>
      </c>
      <c r="BA212" s="380">
        <f t="shared" si="253"/>
        <v>3.4298724052307805</v>
      </c>
      <c r="BB212" s="380">
        <f t="shared" si="253"/>
        <v>3.4653955747963816</v>
      </c>
      <c r="BC212" s="380">
        <f t="shared" si="253"/>
        <v>3.5005676134858161</v>
      </c>
      <c r="BD212" s="380">
        <f t="shared" si="253"/>
        <v>3.535358664912355</v>
      </c>
      <c r="BE212" s="380">
        <f t="shared" si="253"/>
        <v>3.5696753893330513</v>
      </c>
      <c r="BF212" s="380">
        <f t="shared" si="253"/>
        <v>3.6034337349201278</v>
      </c>
      <c r="BG212" s="380">
        <f t="shared" si="253"/>
        <v>3.6366655351109967</v>
      </c>
      <c r="BH212" s="380">
        <f t="shared" si="253"/>
        <v>3.669374608250116</v>
      </c>
      <c r="BI212" s="380">
        <f t="shared" si="253"/>
        <v>3.7015477058671848</v>
      </c>
      <c r="BJ212" s="380">
        <f t="shared" si="253"/>
        <v>3.7331284245319933</v>
      </c>
      <c r="BK212" s="380">
        <f t="shared" si="253"/>
        <v>3.7640969205020438</v>
      </c>
      <c r="BL212" s="380">
        <f t="shared" si="253"/>
        <v>3.7944187236372748</v>
      </c>
      <c r="BM212" s="380">
        <f t="shared" si="253"/>
        <v>3.8241065831969112</v>
      </c>
      <c r="BN212" s="380">
        <f t="shared" si="253"/>
        <v>3.8531375334041598</v>
      </c>
      <c r="BO212" s="380">
        <f t="shared" si="253"/>
        <v>3.8814883817004757</v>
      </c>
      <c r="BP212" s="182"/>
    </row>
    <row r="213" spans="1:68" ht="12.75" customHeight="1" x14ac:dyDescent="0.3">
      <c r="A213" s="982"/>
      <c r="D213" s="944"/>
      <c r="E213" s="183"/>
      <c r="F213" s="185" t="s">
        <v>419</v>
      </c>
      <c r="G213" s="214">
        <v>0</v>
      </c>
      <c r="H213" s="214">
        <f>H104/1000000</f>
        <v>0</v>
      </c>
      <c r="I213" s="214">
        <f>I104/1000000</f>
        <v>0</v>
      </c>
      <c r="J213" s="214">
        <f>J104/1000000</f>
        <v>0</v>
      </c>
      <c r="K213" s="210">
        <f>K103+K195-K161</f>
        <v>3.2683261159999998E-2</v>
      </c>
      <c r="L213" s="211">
        <f t="shared" si="242"/>
        <v>3.2699863079999995E-2</v>
      </c>
      <c r="M213" s="211">
        <f t="shared" ref="M213:AR213" si="254">M103+M195-M161</f>
        <v>4.1791973859999998E-2</v>
      </c>
      <c r="N213" s="211">
        <f t="shared" si="254"/>
        <v>3.5028787622000006E-2</v>
      </c>
      <c r="O213" s="211">
        <f t="shared" si="254"/>
        <v>2.5507092710500001E-2</v>
      </c>
      <c r="P213" s="211">
        <f t="shared" si="254"/>
        <v>3.9510345079400003E-2</v>
      </c>
      <c r="Q213" s="211">
        <f t="shared" si="254"/>
        <v>2.7237504999999999E-2</v>
      </c>
      <c r="R213" s="211">
        <f t="shared" si="254"/>
        <v>2.0068082921500002E-2</v>
      </c>
      <c r="S213" s="380">
        <f t="shared" si="254"/>
        <v>2.9444852451209817E-2</v>
      </c>
      <c r="T213" s="380">
        <f t="shared" si="254"/>
        <v>2.6945836427731906E-2</v>
      </c>
      <c r="U213" s="380">
        <f t="shared" si="254"/>
        <v>2.8556993746044021E-2</v>
      </c>
      <c r="V213" s="380">
        <f t="shared" si="254"/>
        <v>2.8576749400626423E-2</v>
      </c>
      <c r="W213" s="380">
        <f t="shared" si="254"/>
        <v>3.0259190470528254E-2</v>
      </c>
      <c r="X213" s="380">
        <f t="shared" si="254"/>
        <v>3.097887308920777E-2</v>
      </c>
      <c r="Y213" s="380">
        <f t="shared" si="254"/>
        <v>3.1730829411955666E-2</v>
      </c>
      <c r="Z213" s="380">
        <f t="shared" si="254"/>
        <v>3.2395384074900592E-2</v>
      </c>
      <c r="AA213" s="380">
        <f t="shared" si="254"/>
        <v>3.3176402687466064E-2</v>
      </c>
      <c r="AB213" s="380">
        <f t="shared" si="254"/>
        <v>3.273134903330014E-2</v>
      </c>
      <c r="AC213" s="380">
        <f t="shared" si="254"/>
        <v>3.3305264559828587E-2</v>
      </c>
      <c r="AD213" s="380">
        <f t="shared" si="254"/>
        <v>3.400486653492054E-2</v>
      </c>
      <c r="AE213" s="380">
        <f t="shared" si="254"/>
        <v>3.4505043443046571E-2</v>
      </c>
      <c r="AF213" s="380">
        <f t="shared" si="254"/>
        <v>3.498088338432806E-2</v>
      </c>
      <c r="AG213" s="380">
        <f t="shared" si="254"/>
        <v>3.5438459516565955E-2</v>
      </c>
      <c r="AH213" s="380">
        <f t="shared" si="254"/>
        <v>3.5827841448904142E-2</v>
      </c>
      <c r="AI213" s="380">
        <f t="shared" si="254"/>
        <v>3.6162096676814116E-2</v>
      </c>
      <c r="AJ213" s="380">
        <f t="shared" si="254"/>
        <v>3.6657145118591541E-2</v>
      </c>
      <c r="AK213" s="380">
        <f t="shared" si="254"/>
        <v>3.7112095322188773E-2</v>
      </c>
      <c r="AL213" s="380">
        <f t="shared" si="254"/>
        <v>3.7539017364722482E-2</v>
      </c>
      <c r="AM213" s="380">
        <f t="shared" si="254"/>
        <v>3.7949397464214454E-2</v>
      </c>
      <c r="AN213" s="380">
        <f t="shared" si="254"/>
        <v>3.829862669230346E-2</v>
      </c>
      <c r="AO213" s="380">
        <f t="shared" si="254"/>
        <v>3.8691893675946276E-2</v>
      </c>
      <c r="AP213" s="380">
        <f t="shared" si="254"/>
        <v>3.9049535738693332E-2</v>
      </c>
      <c r="AQ213" s="380">
        <f t="shared" si="254"/>
        <v>3.946638967035683E-2</v>
      </c>
      <c r="AR213" s="380">
        <f t="shared" si="254"/>
        <v>3.9824364792176825E-2</v>
      </c>
      <c r="AS213" s="380">
        <f t="shared" ref="AS213:BO213" si="255">AS103+AS195-AS161</f>
        <v>4.016806300993489E-2</v>
      </c>
      <c r="AT213" s="380">
        <f t="shared" si="255"/>
        <v>4.051064309869247E-2</v>
      </c>
      <c r="AU213" s="380">
        <f t="shared" si="255"/>
        <v>4.0847193503309162E-2</v>
      </c>
      <c r="AV213" s="380">
        <f t="shared" si="255"/>
        <v>4.1205311499773307E-2</v>
      </c>
      <c r="AW213" s="380">
        <f t="shared" si="255"/>
        <v>4.1535349881358589E-2</v>
      </c>
      <c r="AX213" s="380">
        <f t="shared" si="255"/>
        <v>4.1858242355610781E-2</v>
      </c>
      <c r="AY213" s="380">
        <f t="shared" si="255"/>
        <v>4.21784494624085E-2</v>
      </c>
      <c r="AZ213" s="380">
        <f t="shared" si="255"/>
        <v>4.2491653748256995E-2</v>
      </c>
      <c r="BA213" s="380">
        <f t="shared" si="255"/>
        <v>4.2802259312112498E-2</v>
      </c>
      <c r="BB213" s="380">
        <f t="shared" si="255"/>
        <v>4.3097460206323025E-2</v>
      </c>
      <c r="BC213" s="380">
        <f t="shared" si="255"/>
        <v>4.3386196979863359E-2</v>
      </c>
      <c r="BD213" s="380">
        <f t="shared" si="255"/>
        <v>4.3668130717855275E-2</v>
      </c>
      <c r="BE213" s="380">
        <f t="shared" si="255"/>
        <v>4.3941988085471805E-2</v>
      </c>
      <c r="BF213" s="380">
        <f t="shared" si="255"/>
        <v>4.4206650006536605E-2</v>
      </c>
      <c r="BG213" s="380">
        <f t="shared" si="255"/>
        <v>4.4462736972829646E-2</v>
      </c>
      <c r="BH213" s="380">
        <f t="shared" si="255"/>
        <v>4.4710446173062163E-2</v>
      </c>
      <c r="BI213" s="380">
        <f t="shared" si="255"/>
        <v>4.494971715811804E-2</v>
      </c>
      <c r="BJ213" s="380">
        <f t="shared" si="255"/>
        <v>4.5179857463044384E-2</v>
      </c>
      <c r="BK213" s="380">
        <f t="shared" si="255"/>
        <v>4.5400715724895339E-2</v>
      </c>
      <c r="BL213" s="380">
        <f t="shared" si="255"/>
        <v>4.5611929206162638E-2</v>
      </c>
      <c r="BM213" s="380">
        <f t="shared" si="255"/>
        <v>4.5813828734550359E-2</v>
      </c>
      <c r="BN213" s="380">
        <f t="shared" si="255"/>
        <v>4.6006224866047461E-2</v>
      </c>
      <c r="BO213" s="380">
        <f t="shared" si="255"/>
        <v>4.6188925633893707E-2</v>
      </c>
      <c r="BP213" s="182"/>
    </row>
    <row r="214" spans="1:68" ht="12.75" customHeight="1" x14ac:dyDescent="0.3">
      <c r="A214" s="982"/>
      <c r="D214" s="944" t="s">
        <v>412</v>
      </c>
      <c r="E214" s="183"/>
      <c r="F214" s="185" t="s">
        <v>420</v>
      </c>
      <c r="G214" s="214">
        <v>0</v>
      </c>
      <c r="H214" s="214">
        <v>0</v>
      </c>
      <c r="I214" s="214">
        <v>0</v>
      </c>
      <c r="J214" s="214">
        <v>0</v>
      </c>
      <c r="K214" s="215">
        <v>0</v>
      </c>
      <c r="L214" s="211">
        <f t="shared" si="242"/>
        <v>3.287521718570674E-2</v>
      </c>
      <c r="M214" s="211">
        <f t="shared" ref="M214:AR214" si="256">M104+M196-M162</f>
        <v>8.7102896079817582E-3</v>
      </c>
      <c r="N214" s="211">
        <f t="shared" si="256"/>
        <v>4.6232829607068676E-3</v>
      </c>
      <c r="O214" s="211">
        <f t="shared" si="256"/>
        <v>1.3011316471616012E-2</v>
      </c>
      <c r="P214" s="211">
        <f t="shared" si="256"/>
        <v>1.480502655650285E-2</v>
      </c>
      <c r="Q214" s="211">
        <f t="shared" si="256"/>
        <v>1.0287478899201868E-2</v>
      </c>
      <c r="R214" s="211">
        <f t="shared" si="256"/>
        <v>1.0681776222006889E-2</v>
      </c>
      <c r="S214" s="380">
        <f t="shared" si="256"/>
        <v>1.4507649369902037E-2</v>
      </c>
      <c r="T214" s="380">
        <f t="shared" si="256"/>
        <v>2.5043799746410106E-2</v>
      </c>
      <c r="U214" s="380">
        <f t="shared" si="256"/>
        <v>2.0786360156828998E-2</v>
      </c>
      <c r="V214" s="380">
        <f t="shared" si="256"/>
        <v>2.7794900322111404E-2</v>
      </c>
      <c r="W214" s="380">
        <f t="shared" si="256"/>
        <v>2.20887866712456E-2</v>
      </c>
      <c r="X214" s="380">
        <f t="shared" si="256"/>
        <v>2.3277789330652304E-2</v>
      </c>
      <c r="Y214" s="380">
        <f t="shared" si="256"/>
        <v>2.4023392612830097E-2</v>
      </c>
      <c r="Z214" s="380">
        <f t="shared" si="256"/>
        <v>2.5389071617752598E-2</v>
      </c>
      <c r="AA214" s="380">
        <f t="shared" si="256"/>
        <v>2.5518173413265843E-2</v>
      </c>
      <c r="AB214" s="380">
        <f t="shared" si="256"/>
        <v>3.7453766781845282E-2</v>
      </c>
      <c r="AC214" s="380">
        <f t="shared" si="256"/>
        <v>3.9518013942295246E-2</v>
      </c>
      <c r="AD214" s="380">
        <f t="shared" si="256"/>
        <v>4.0295730018486797E-2</v>
      </c>
      <c r="AE214" s="380">
        <f t="shared" si="256"/>
        <v>4.2834787974771568E-2</v>
      </c>
      <c r="AF214" s="380">
        <f t="shared" si="256"/>
        <v>4.5526391402746016E-2</v>
      </c>
      <c r="AG214" s="380">
        <f t="shared" si="256"/>
        <v>4.3662358121576733E-2</v>
      </c>
      <c r="AH214" s="380">
        <f t="shared" si="256"/>
        <v>4.5851767059062964E-2</v>
      </c>
      <c r="AI214" s="380">
        <f t="shared" si="256"/>
        <v>4.8078080911448315E-2</v>
      </c>
      <c r="AJ214" s="380">
        <f t="shared" si="256"/>
        <v>4.8388724127667412E-2</v>
      </c>
      <c r="AK214" s="380">
        <f t="shared" si="256"/>
        <v>4.8452003621858808E-2</v>
      </c>
      <c r="AL214" s="380">
        <f t="shared" si="256"/>
        <v>4.8814067255666643E-2</v>
      </c>
      <c r="AM214" s="380">
        <f t="shared" si="256"/>
        <v>4.9788717356801071E-2</v>
      </c>
      <c r="AN214" s="380">
        <f t="shared" si="256"/>
        <v>5.0516910292342621E-2</v>
      </c>
      <c r="AO214" s="380">
        <f t="shared" si="256"/>
        <v>5.1263972238150435E-2</v>
      </c>
      <c r="AP214" s="380">
        <f t="shared" si="256"/>
        <v>5.1869783801487157E-2</v>
      </c>
      <c r="AQ214" s="380">
        <f t="shared" si="256"/>
        <v>5.2473555111215819E-2</v>
      </c>
      <c r="AR214" s="380">
        <f t="shared" si="256"/>
        <v>5.3087940524013444E-2</v>
      </c>
      <c r="AS214" s="380">
        <f t="shared" ref="AS214:BO214" si="257">AS104+AS196-AS162</f>
        <v>5.3693151714875709E-2</v>
      </c>
      <c r="AT214" s="380">
        <f t="shared" si="257"/>
        <v>5.4306999039757275E-2</v>
      </c>
      <c r="AU214" s="380">
        <f t="shared" si="257"/>
        <v>5.4923846255090641E-2</v>
      </c>
      <c r="AV214" s="380">
        <f t="shared" si="257"/>
        <v>5.5598968729367565E-2</v>
      </c>
      <c r="AW214" s="380">
        <f t="shared" si="257"/>
        <v>5.6204914571708342E-2</v>
      </c>
      <c r="AX214" s="380">
        <f t="shared" si="257"/>
        <v>5.6783631113042715E-2</v>
      </c>
      <c r="AY214" s="380">
        <f t="shared" si="257"/>
        <v>5.7384680895631035E-2</v>
      </c>
      <c r="AZ214" s="380">
        <f t="shared" si="257"/>
        <v>5.7991988038939735E-2</v>
      </c>
      <c r="BA214" s="380">
        <f t="shared" si="257"/>
        <v>5.8606376606698707E-2</v>
      </c>
      <c r="BB214" s="380">
        <f t="shared" si="257"/>
        <v>5.9192899463103354E-2</v>
      </c>
      <c r="BC214" s="380">
        <f t="shared" si="257"/>
        <v>5.9771505604095471E-2</v>
      </c>
      <c r="BD214" s="380">
        <f t="shared" si="257"/>
        <v>6.0344979094462237E-2</v>
      </c>
      <c r="BE214" s="380">
        <f t="shared" si="257"/>
        <v>6.0913384144381411E-2</v>
      </c>
      <c r="BF214" s="380">
        <f t="shared" si="257"/>
        <v>6.1475854245176653E-2</v>
      </c>
      <c r="BG214" s="380">
        <f t="shared" si="257"/>
        <v>6.2031249906502967E-2</v>
      </c>
      <c r="BH214" s="380">
        <f t="shared" si="257"/>
        <v>6.257898813074983E-2</v>
      </c>
      <c r="BI214" s="380">
        <f t="shared" si="257"/>
        <v>6.3119293999172099E-2</v>
      </c>
      <c r="BJ214" s="380">
        <f t="shared" si="257"/>
        <v>6.3650896387846073E-2</v>
      </c>
      <c r="BK214" s="380">
        <f t="shared" si="257"/>
        <v>6.4173928025352517E-2</v>
      </c>
      <c r="BL214" s="380">
        <f t="shared" si="257"/>
        <v>6.4687868316952862E-2</v>
      </c>
      <c r="BM214" s="380">
        <f t="shared" si="257"/>
        <v>6.5193612822851021E-2</v>
      </c>
      <c r="BN214" s="380">
        <f t="shared" si="257"/>
        <v>6.5690373184197376E-2</v>
      </c>
      <c r="BO214" s="380">
        <f t="shared" si="257"/>
        <v>6.6177611126452207E-2</v>
      </c>
      <c r="BP214" s="182"/>
    </row>
    <row r="215" spans="1:68" ht="12.75" customHeight="1" x14ac:dyDescent="0.3">
      <c r="A215" s="982"/>
      <c r="D215" s="944"/>
      <c r="E215" s="183"/>
      <c r="F215" s="185" t="s">
        <v>421</v>
      </c>
      <c r="G215" s="210">
        <f t="shared" ref="G215:K217" si="258">G105+G197-G163</f>
        <v>4.2137569999999999E-2</v>
      </c>
      <c r="H215" s="210">
        <f t="shared" si="258"/>
        <v>4.9416439999999992E-2</v>
      </c>
      <c r="I215" s="210">
        <f t="shared" si="258"/>
        <v>2.8047090000000004E-2</v>
      </c>
      <c r="J215" s="210">
        <f t="shared" si="258"/>
        <v>1.7736079999999998E-2</v>
      </c>
      <c r="K215" s="210">
        <f t="shared" si="258"/>
        <v>5.7078709999999998E-2</v>
      </c>
      <c r="L215" s="211">
        <f t="shared" si="242"/>
        <v>5.3838319999999995E-2</v>
      </c>
      <c r="M215" s="211">
        <f t="shared" ref="M215:AR215" si="259">M105+M197-M163</f>
        <v>6.9878900000000008E-2</v>
      </c>
      <c r="N215" s="211">
        <f t="shared" si="259"/>
        <v>5.6292460000000002E-2</v>
      </c>
      <c r="O215" s="211">
        <f t="shared" si="259"/>
        <v>6.205811E-2</v>
      </c>
      <c r="P215" s="211">
        <f t="shared" si="259"/>
        <v>7.0931419999999995E-2</v>
      </c>
      <c r="Q215" s="211">
        <f t="shared" si="259"/>
        <v>7.2699089999999994E-2</v>
      </c>
      <c r="R215" s="211">
        <f t="shared" si="259"/>
        <v>8.1058329999999998E-2</v>
      </c>
      <c r="S215" s="380">
        <f t="shared" si="259"/>
        <v>6.2233284529595478E-2</v>
      </c>
      <c r="T215" s="380">
        <f t="shared" si="259"/>
        <v>7.8666180913407602E-2</v>
      </c>
      <c r="U215" s="380">
        <f t="shared" si="259"/>
        <v>8.2447103482477149E-2</v>
      </c>
      <c r="V215" s="380">
        <f t="shared" si="259"/>
        <v>8.3461641943106624E-2</v>
      </c>
      <c r="W215" s="380">
        <f t="shared" si="259"/>
        <v>8.7239338045921808E-2</v>
      </c>
      <c r="X215" s="380">
        <f t="shared" si="259"/>
        <v>8.9353888793080982E-2</v>
      </c>
      <c r="Y215" s="380">
        <f t="shared" si="259"/>
        <v>9.1498807151742134E-2</v>
      </c>
      <c r="Z215" s="380">
        <f t="shared" si="259"/>
        <v>9.3498846931245355E-2</v>
      </c>
      <c r="AA215" s="380">
        <f t="shared" si="259"/>
        <v>9.5645645838647653E-2</v>
      </c>
      <c r="AB215" s="380">
        <f t="shared" si="259"/>
        <v>9.6140113140628827E-2</v>
      </c>
      <c r="AC215" s="380">
        <f t="shared" si="259"/>
        <v>9.8007943370025954E-2</v>
      </c>
      <c r="AD215" s="380">
        <f t="shared" si="259"/>
        <v>0.10004296485990399</v>
      </c>
      <c r="AE215" s="380">
        <f t="shared" si="259"/>
        <v>0.10178615441889768</v>
      </c>
      <c r="AF215" s="380">
        <f t="shared" si="259"/>
        <v>0.10348885734912237</v>
      </c>
      <c r="AG215" s="380">
        <f t="shared" si="259"/>
        <v>0.10474692624129889</v>
      </c>
      <c r="AH215" s="380">
        <f t="shared" si="259"/>
        <v>0.10621378464042737</v>
      </c>
      <c r="AI215" s="380">
        <f t="shared" si="259"/>
        <v>0.10756209223396783</v>
      </c>
      <c r="AJ215" s="380">
        <f t="shared" si="259"/>
        <v>0.10909549791282033</v>
      </c>
      <c r="AK215" s="380">
        <f t="shared" si="259"/>
        <v>0.11051708233495591</v>
      </c>
      <c r="AL215" s="380">
        <f t="shared" si="259"/>
        <v>0.11190232309011044</v>
      </c>
      <c r="AM215" s="380">
        <f t="shared" si="259"/>
        <v>0.1133043731900403</v>
      </c>
      <c r="AN215" s="380">
        <f t="shared" si="259"/>
        <v>0.11454924155576893</v>
      </c>
      <c r="AO215" s="380">
        <f t="shared" si="259"/>
        <v>0.11589078808327129</v>
      </c>
      <c r="AP215" s="380">
        <f t="shared" si="259"/>
        <v>0.11714010756474741</v>
      </c>
      <c r="AQ215" s="380">
        <f t="shared" si="259"/>
        <v>0.11851663098488162</v>
      </c>
      <c r="AR215" s="380">
        <f t="shared" si="259"/>
        <v>0.11976337924107107</v>
      </c>
      <c r="AS215" s="380">
        <f t="shared" ref="AS215:BO215" si="260">AS105+AS197-AS163</f>
        <v>0.12097587621637329</v>
      </c>
      <c r="AT215" s="380">
        <f t="shared" si="260"/>
        <v>0.12218424658192423</v>
      </c>
      <c r="AU215" s="380">
        <f t="shared" si="260"/>
        <v>0.12337721559622004</v>
      </c>
      <c r="AV215" s="380">
        <f t="shared" si="260"/>
        <v>0.1246191923475139</v>
      </c>
      <c r="AW215" s="380">
        <f t="shared" si="260"/>
        <v>0.12579096096584719</v>
      </c>
      <c r="AX215" s="380">
        <f t="shared" si="260"/>
        <v>0.1269413890183668</v>
      </c>
      <c r="AY215" s="380">
        <f t="shared" si="260"/>
        <v>0.12808421257903205</v>
      </c>
      <c r="AZ215" s="380">
        <f t="shared" si="260"/>
        <v>0.12920840041092327</v>
      </c>
      <c r="BA215" s="380">
        <f t="shared" si="260"/>
        <v>0.13032319610424581</v>
      </c>
      <c r="BB215" s="380">
        <f t="shared" si="260"/>
        <v>0.13139774418256239</v>
      </c>
      <c r="BC215" s="380">
        <f t="shared" si="260"/>
        <v>0.13245274084109362</v>
      </c>
      <c r="BD215" s="380">
        <f t="shared" si="260"/>
        <v>0.13348741725861288</v>
      </c>
      <c r="BE215" s="380">
        <f t="shared" si="260"/>
        <v>0.1344987781034695</v>
      </c>
      <c r="BF215" s="380">
        <f t="shared" si="260"/>
        <v>0.13548409416638191</v>
      </c>
      <c r="BG215" s="380">
        <f t="shared" si="260"/>
        <v>0.13644431577280774</v>
      </c>
      <c r="BH215" s="380">
        <f t="shared" si="260"/>
        <v>0.13737953507811046</v>
      </c>
      <c r="BI215" s="380">
        <f t="shared" si="260"/>
        <v>0.1382893678326465</v>
      </c>
      <c r="BJ215" s="380">
        <f t="shared" si="260"/>
        <v>0.13917196862096345</v>
      </c>
      <c r="BK215" s="380">
        <f t="shared" si="260"/>
        <v>0.14002676544114856</v>
      </c>
      <c r="BL215" s="380">
        <f t="shared" si="260"/>
        <v>0.14085268969332659</v>
      </c>
      <c r="BM215" s="380">
        <f t="shared" si="260"/>
        <v>0.14165025362815473</v>
      </c>
      <c r="BN215" s="380">
        <f t="shared" si="260"/>
        <v>0.14241873136567623</v>
      </c>
      <c r="BO215" s="380">
        <f t="shared" si="260"/>
        <v>0.14315741953275152</v>
      </c>
      <c r="BP215" s="182"/>
    </row>
    <row r="216" spans="1:68" ht="12.75" customHeight="1" x14ac:dyDescent="0.3">
      <c r="A216" s="982"/>
      <c r="D216" s="944"/>
      <c r="E216" s="183"/>
      <c r="F216" s="185" t="s">
        <v>469</v>
      </c>
      <c r="G216" s="210">
        <f t="shared" si="258"/>
        <v>0.6321879455799998</v>
      </c>
      <c r="H216" s="210">
        <f t="shared" si="258"/>
        <v>0.59055831554000016</v>
      </c>
      <c r="I216" s="210">
        <f t="shared" si="258"/>
        <v>0.57765784803999998</v>
      </c>
      <c r="J216" s="210">
        <f t="shared" si="258"/>
        <v>0.61226024516000011</v>
      </c>
      <c r="K216" s="210">
        <f t="shared" si="258"/>
        <v>2.8445957019999999E-2</v>
      </c>
      <c r="L216" s="211">
        <f t="shared" si="242"/>
        <v>1.0778693746981665</v>
      </c>
      <c r="M216" s="211">
        <f t="shared" ref="M216:AR216" si="261">M106+M198-M164</f>
        <v>0.9612849378599998</v>
      </c>
      <c r="N216" s="211">
        <f t="shared" si="261"/>
        <v>1.1364256014309999</v>
      </c>
      <c r="O216" s="211">
        <f t="shared" si="261"/>
        <v>1.1358975848035</v>
      </c>
      <c r="P216" s="211">
        <f t="shared" si="261"/>
        <v>1.1918002202970002</v>
      </c>
      <c r="Q216" s="211">
        <f t="shared" si="261"/>
        <v>1.2854633564094</v>
      </c>
      <c r="R216" s="211">
        <f t="shared" si="261"/>
        <v>1.5159054211035998</v>
      </c>
      <c r="S216" s="380">
        <f t="shared" si="261"/>
        <v>1.7484062297790823</v>
      </c>
      <c r="T216" s="380">
        <f t="shared" si="261"/>
        <v>1.913717130026751</v>
      </c>
      <c r="U216" s="380">
        <f t="shared" si="261"/>
        <v>2.0764753521247767</v>
      </c>
      <c r="V216" s="380">
        <f t="shared" si="261"/>
        <v>2.238145839879992</v>
      </c>
      <c r="W216" s="380">
        <f t="shared" si="261"/>
        <v>2.4009415337439433</v>
      </c>
      <c r="X216" s="380">
        <f t="shared" si="261"/>
        <v>2.5630800519417014</v>
      </c>
      <c r="Y216" s="380">
        <f t="shared" si="261"/>
        <v>2.7252389550295106</v>
      </c>
      <c r="Z216" s="380">
        <f t="shared" si="261"/>
        <v>2.887340033679914</v>
      </c>
      <c r="AA216" s="380">
        <f t="shared" si="261"/>
        <v>3.0495157513993352</v>
      </c>
      <c r="AB216" s="380">
        <f t="shared" si="261"/>
        <v>3.2109066959694452</v>
      </c>
      <c r="AC216" s="380">
        <f t="shared" si="261"/>
        <v>3.3729513868329053</v>
      </c>
      <c r="AD216" s="380">
        <f t="shared" si="261"/>
        <v>3.535077848299971</v>
      </c>
      <c r="AE216" s="380">
        <f t="shared" si="261"/>
        <v>3.6970743105487749</v>
      </c>
      <c r="AF216" s="380">
        <f t="shared" si="261"/>
        <v>3.8590551401692093</v>
      </c>
      <c r="AG216" s="380">
        <f t="shared" si="261"/>
        <v>3.8760835083455101</v>
      </c>
      <c r="AH216" s="380">
        <f t="shared" si="261"/>
        <v>4.0003438895093462</v>
      </c>
      <c r="AI216" s="380">
        <f t="shared" si="261"/>
        <v>4.1103638227096893</v>
      </c>
      <c r="AJ216" s="380">
        <f t="shared" si="261"/>
        <v>4.214363988599156</v>
      </c>
      <c r="AK216" s="380">
        <f t="shared" si="261"/>
        <v>4.3008883546079888</v>
      </c>
      <c r="AL216" s="380">
        <f t="shared" si="261"/>
        <v>4.3904479087790156</v>
      </c>
      <c r="AM216" s="380">
        <f t="shared" si="261"/>
        <v>4.4964095728773952</v>
      </c>
      <c r="AN216" s="380">
        <f t="shared" si="261"/>
        <v>4.5768145234195989</v>
      </c>
      <c r="AO216" s="380">
        <f t="shared" si="261"/>
        <v>4.6753996434509437</v>
      </c>
      <c r="AP216" s="380">
        <f t="shared" si="261"/>
        <v>4.7602044910278778</v>
      </c>
      <c r="AQ216" s="380">
        <f t="shared" si="261"/>
        <v>4.8684074444262206</v>
      </c>
      <c r="AR216" s="380">
        <f t="shared" si="261"/>
        <v>4.959424147584615</v>
      </c>
      <c r="AS216" s="380">
        <f t="shared" ref="AS216:BO216" si="262">AS106+AS198-AS164</f>
        <v>5.0480334698708633</v>
      </c>
      <c r="AT216" s="380">
        <f t="shared" si="262"/>
        <v>5.1394536844069316</v>
      </c>
      <c r="AU216" s="380">
        <f t="shared" si="262"/>
        <v>5.2317596415377494</v>
      </c>
      <c r="AV216" s="380">
        <f t="shared" si="262"/>
        <v>5.336914706368276</v>
      </c>
      <c r="AW216" s="380">
        <f t="shared" si="262"/>
        <v>5.43282345188174</v>
      </c>
      <c r="AX216" s="380">
        <f t="shared" si="262"/>
        <v>5.5284839674863564</v>
      </c>
      <c r="AY216" s="380">
        <f t="shared" si="262"/>
        <v>5.6271926482537076</v>
      </c>
      <c r="AZ216" s="380">
        <f t="shared" si="262"/>
        <v>5.7268919528904307</v>
      </c>
      <c r="BA216" s="380">
        <f t="shared" si="262"/>
        <v>5.8293809749376679</v>
      </c>
      <c r="BB216" s="380">
        <f t="shared" si="262"/>
        <v>5.9286365342722354</v>
      </c>
      <c r="BC216" s="380">
        <f t="shared" si="262"/>
        <v>6.0287933128846571</v>
      </c>
      <c r="BD216" s="380">
        <f t="shared" si="262"/>
        <v>6.1298670293024626</v>
      </c>
      <c r="BE216" s="380">
        <f t="shared" si="262"/>
        <v>6.2314031767958591</v>
      </c>
      <c r="BF216" s="380">
        <f t="shared" si="262"/>
        <v>6.3329598726716068</v>
      </c>
      <c r="BG216" s="380">
        <f t="shared" si="262"/>
        <v>6.4347913767807503</v>
      </c>
      <c r="BH216" s="380">
        <f t="shared" si="262"/>
        <v>6.5370024592319442</v>
      </c>
      <c r="BI216" s="380">
        <f t="shared" si="262"/>
        <v>6.6396171736519412</v>
      </c>
      <c r="BJ216" s="380">
        <f t="shared" si="262"/>
        <v>6.7423399397217398</v>
      </c>
      <c r="BK216" s="380">
        <f t="shared" si="262"/>
        <v>6.8451411839863425</v>
      </c>
      <c r="BL216" s="380">
        <f t="shared" si="262"/>
        <v>6.9478747472778233</v>
      </c>
      <c r="BM216" s="380">
        <f t="shared" si="262"/>
        <v>7.0507395749808346</v>
      </c>
      <c r="BN216" s="380">
        <f t="shared" si="262"/>
        <v>7.1536539722287893</v>
      </c>
      <c r="BO216" s="380">
        <f t="shared" si="262"/>
        <v>7.2565383991932793</v>
      </c>
      <c r="BP216" s="182"/>
    </row>
    <row r="217" spans="1:68" ht="12.75" customHeight="1" x14ac:dyDescent="0.3">
      <c r="A217" s="982"/>
      <c r="D217" s="944"/>
      <c r="E217" s="183"/>
      <c r="F217" s="185" t="s">
        <v>423</v>
      </c>
      <c r="G217" s="210">
        <f t="shared" si="258"/>
        <v>0.44258848000000001</v>
      </c>
      <c r="H217" s="210">
        <f t="shared" si="258"/>
        <v>0.38116450999999996</v>
      </c>
      <c r="I217" s="210">
        <f t="shared" si="258"/>
        <v>0.35676077999999994</v>
      </c>
      <c r="J217" s="210">
        <f t="shared" si="258"/>
        <v>0.39978326000000003</v>
      </c>
      <c r="K217" s="210">
        <f t="shared" si="258"/>
        <v>1.32256869043</v>
      </c>
      <c r="L217" s="211">
        <f t="shared" si="242"/>
        <v>0.45542080666666673</v>
      </c>
      <c r="M217" s="211">
        <f t="shared" ref="M217:AR217" si="263">M107+M199-M165</f>
        <v>0.52122907000000007</v>
      </c>
      <c r="N217" s="211">
        <f t="shared" si="263"/>
        <v>0.48889779000000005</v>
      </c>
      <c r="O217" s="211">
        <f t="shared" si="263"/>
        <v>0.35613556000000002</v>
      </c>
      <c r="P217" s="211">
        <f t="shared" si="263"/>
        <v>0.35728204999999996</v>
      </c>
      <c r="Q217" s="211">
        <f t="shared" si="263"/>
        <v>0.48066439999999999</v>
      </c>
      <c r="R217" s="211">
        <f t="shared" si="263"/>
        <v>0.35422895999999998</v>
      </c>
      <c r="S217" s="380">
        <f t="shared" si="263"/>
        <v>0.41322952625484877</v>
      </c>
      <c r="T217" s="380">
        <f t="shared" si="263"/>
        <v>0.44412708293298853</v>
      </c>
      <c r="U217" s="380">
        <f t="shared" si="263"/>
        <v>0.47203112628862354</v>
      </c>
      <c r="V217" s="380">
        <f t="shared" si="263"/>
        <v>0.47479879403821479</v>
      </c>
      <c r="W217" s="380">
        <f t="shared" si="263"/>
        <v>0.50399512527479207</v>
      </c>
      <c r="X217" s="380">
        <f t="shared" si="263"/>
        <v>0.51796926494501638</v>
      </c>
      <c r="Y217" s="380">
        <f t="shared" si="263"/>
        <v>0.53250741234814836</v>
      </c>
      <c r="Z217" s="380">
        <f t="shared" si="263"/>
        <v>0.5456998497344806</v>
      </c>
      <c r="AA217" s="380">
        <f t="shared" si="263"/>
        <v>0.56080348010440018</v>
      </c>
      <c r="AB217" s="380">
        <f t="shared" si="263"/>
        <v>0.55628521577569667</v>
      </c>
      <c r="AC217" s="380">
        <f t="shared" si="263"/>
        <v>0.56812613075359542</v>
      </c>
      <c r="AD217" s="380">
        <f t="shared" si="263"/>
        <v>0.58203311038632932</v>
      </c>
      <c r="AE217" s="380">
        <f t="shared" si="263"/>
        <v>0.59276809514145057</v>
      </c>
      <c r="AF217" s="380">
        <f t="shared" si="263"/>
        <v>0.60314498074506995</v>
      </c>
      <c r="AG217" s="380">
        <f t="shared" si="263"/>
        <v>0.61191741345079542</v>
      </c>
      <c r="AH217" s="380">
        <f t="shared" si="263"/>
        <v>0.62060851495456271</v>
      </c>
      <c r="AI217" s="380">
        <f t="shared" si="263"/>
        <v>0.62829907862846013</v>
      </c>
      <c r="AJ217" s="380">
        <f t="shared" si="263"/>
        <v>0.63858135053602072</v>
      </c>
      <c r="AK217" s="380">
        <f t="shared" si="263"/>
        <v>0.64808223129082732</v>
      </c>
      <c r="AL217" s="380">
        <f t="shared" si="263"/>
        <v>0.65718544798074929</v>
      </c>
      <c r="AM217" s="380">
        <f t="shared" si="263"/>
        <v>0.66620056307994446</v>
      </c>
      <c r="AN217" s="380">
        <f t="shared" si="263"/>
        <v>0.67400380555601014</v>
      </c>
      <c r="AO217" s="380">
        <f t="shared" si="263"/>
        <v>0.68272740546922828</v>
      </c>
      <c r="AP217" s="380">
        <f t="shared" si="263"/>
        <v>0.69076452377741382</v>
      </c>
      <c r="AQ217" s="380">
        <f t="shared" si="263"/>
        <v>0.70002508675923092</v>
      </c>
      <c r="AR217" s="380">
        <f t="shared" si="263"/>
        <v>0.70818141748610552</v>
      </c>
      <c r="AS217" s="380">
        <f t="shared" ref="AS217:BO217" si="264">AS107+AS199-AS165</f>
        <v>0.71610545213295917</v>
      </c>
      <c r="AT217" s="380">
        <f t="shared" si="264"/>
        <v>0.72406319604313674</v>
      </c>
      <c r="AU217" s="380">
        <f t="shared" si="264"/>
        <v>0.73195484085260132</v>
      </c>
      <c r="AV217" s="380">
        <f t="shared" si="264"/>
        <v>0.74035195519772945</v>
      </c>
      <c r="AW217" s="380">
        <f t="shared" si="264"/>
        <v>0.74822054508839619</v>
      </c>
      <c r="AX217" s="380">
        <f t="shared" si="264"/>
        <v>0.75599248728266821</v>
      </c>
      <c r="AY217" s="380">
        <f t="shared" si="264"/>
        <v>0.76377265355767654</v>
      </c>
      <c r="AZ217" s="380">
        <f t="shared" si="264"/>
        <v>0.7714689952578011</v>
      </c>
      <c r="BA217" s="380">
        <f t="shared" si="264"/>
        <v>0.77917188012793204</v>
      </c>
      <c r="BB217" s="380">
        <f t="shared" si="264"/>
        <v>0.78660858275756451</v>
      </c>
      <c r="BC217" s="380">
        <f t="shared" si="264"/>
        <v>0.79396745743954733</v>
      </c>
      <c r="BD217" s="380">
        <f t="shared" si="264"/>
        <v>0.80124226240861984</v>
      </c>
      <c r="BE217" s="380">
        <f t="shared" si="264"/>
        <v>0.808406439521697</v>
      </c>
      <c r="BF217" s="380">
        <f t="shared" si="264"/>
        <v>0.81543599871449957</v>
      </c>
      <c r="BG217" s="380">
        <f t="shared" si="264"/>
        <v>0.8223429798869295</v>
      </c>
      <c r="BH217" s="380">
        <f t="shared" si="264"/>
        <v>0.82913086918121859</v>
      </c>
      <c r="BI217" s="380">
        <f t="shared" si="264"/>
        <v>0.83579800612843091</v>
      </c>
      <c r="BJ217" s="380">
        <f t="shared" si="264"/>
        <v>0.84232888512935211</v>
      </c>
      <c r="BK217" s="380">
        <f t="shared" si="264"/>
        <v>0.84871969073704434</v>
      </c>
      <c r="BL217" s="380">
        <f t="shared" si="264"/>
        <v>0.85496185121403201</v>
      </c>
      <c r="BM217" s="380">
        <f t="shared" si="264"/>
        <v>0.86106194081905474</v>
      </c>
      <c r="BN217" s="380">
        <f t="shared" si="264"/>
        <v>0.86701495352786451</v>
      </c>
      <c r="BO217" s="380">
        <f t="shared" si="264"/>
        <v>0.87281582857450379</v>
      </c>
      <c r="BP217" s="182"/>
    </row>
    <row r="218" spans="1:68" ht="12.75" customHeight="1" x14ac:dyDescent="0.3">
      <c r="A218" s="982"/>
      <c r="D218" s="944" t="s">
        <v>412</v>
      </c>
      <c r="E218" s="183"/>
      <c r="F218" s="185" t="s">
        <v>424</v>
      </c>
      <c r="G218" s="212">
        <v>0.11372715868</v>
      </c>
      <c r="H218" s="212">
        <v>7.3707109180000008E-2</v>
      </c>
      <c r="I218" s="212">
        <v>0.12587076235</v>
      </c>
      <c r="J218" s="212">
        <v>0.16428543829</v>
      </c>
      <c r="K218" s="210">
        <v>0.24405024168</v>
      </c>
      <c r="L218" s="211">
        <f t="shared" si="242"/>
        <v>0.86233049620666691</v>
      </c>
      <c r="M218" s="211">
        <f t="shared" ref="M218:AR218" si="265">M108+M200-M166</f>
        <v>0.74313893859999991</v>
      </c>
      <c r="N218" s="211">
        <f t="shared" si="265"/>
        <v>0.97986343769000006</v>
      </c>
      <c r="O218" s="211">
        <f t="shared" si="265"/>
        <v>0.81041011424000009</v>
      </c>
      <c r="P218" s="211">
        <f t="shared" si="265"/>
        <v>0.94249586699999999</v>
      </c>
      <c r="Q218" s="211">
        <f t="shared" si="265"/>
        <v>0.91618988825000036</v>
      </c>
      <c r="R218" s="211">
        <f t="shared" si="265"/>
        <v>0.94511519049370374</v>
      </c>
      <c r="S218" s="380">
        <f t="shared" si="265"/>
        <v>1.1656097110748405</v>
      </c>
      <c r="T218" s="380">
        <f t="shared" si="265"/>
        <v>0.86192715459303659</v>
      </c>
      <c r="U218" s="380">
        <f t="shared" si="265"/>
        <v>0.88747830617921841</v>
      </c>
      <c r="V218" s="380">
        <f t="shared" si="265"/>
        <v>0.90180141269646763</v>
      </c>
      <c r="W218" s="380">
        <f t="shared" si="265"/>
        <v>0.9247506545520503</v>
      </c>
      <c r="X218" s="380">
        <f t="shared" si="265"/>
        <v>0.94116948910550946</v>
      </c>
      <c r="Y218" s="380">
        <f t="shared" si="265"/>
        <v>0.95720286734146809</v>
      </c>
      <c r="Z218" s="380">
        <f t="shared" si="265"/>
        <v>0.97282000838682436</v>
      </c>
      <c r="AA218" s="380">
        <f t="shared" si="265"/>
        <v>0.9879046986147979</v>
      </c>
      <c r="AB218" s="380">
        <f t="shared" si="265"/>
        <v>1.0062337477853429</v>
      </c>
      <c r="AC218" s="380">
        <f t="shared" si="265"/>
        <v>1.0219122555796616</v>
      </c>
      <c r="AD218" s="380">
        <f t="shared" si="265"/>
        <v>1.0372390396153293</v>
      </c>
      <c r="AE218" s="380">
        <f t="shared" si="265"/>
        <v>1.0525358185891112</v>
      </c>
      <c r="AF218" s="380">
        <f t="shared" si="265"/>
        <v>1.0677309513605926</v>
      </c>
      <c r="AG218" s="380">
        <f t="shared" si="265"/>
        <v>1.0820417918811371</v>
      </c>
      <c r="AH218" s="380">
        <f t="shared" si="265"/>
        <v>1.0970089602931083</v>
      </c>
      <c r="AI218" s="380">
        <f t="shared" si="265"/>
        <v>1.1119703747930458</v>
      </c>
      <c r="AJ218" s="380">
        <f t="shared" si="265"/>
        <v>1.1261682444055634</v>
      </c>
      <c r="AK218" s="380">
        <f t="shared" si="265"/>
        <v>1.1402012764555063</v>
      </c>
      <c r="AL218" s="380">
        <f t="shared" si="265"/>
        <v>1.154168916991662</v>
      </c>
      <c r="AM218" s="380">
        <f t="shared" si="265"/>
        <v>1.1681045888330313</v>
      </c>
      <c r="AN218" s="380">
        <f t="shared" si="265"/>
        <v>1.1820300875074561</v>
      </c>
      <c r="AO218" s="380">
        <f t="shared" si="265"/>
        <v>1.1956162908257024</v>
      </c>
      <c r="AP218" s="380">
        <f t="shared" si="265"/>
        <v>1.2091191207368581</v>
      </c>
      <c r="AQ218" s="380">
        <f t="shared" si="265"/>
        <v>1.2221586559057891</v>
      </c>
      <c r="AR218" s="380">
        <f t="shared" si="265"/>
        <v>1.2352384073146787</v>
      </c>
      <c r="AS218" s="380">
        <f t="shared" ref="AS218:BO218" si="266">AS108+AS200-AS166</f>
        <v>1.2481655249542771</v>
      </c>
      <c r="AT218" s="380">
        <f t="shared" si="266"/>
        <v>1.2608759947460517</v>
      </c>
      <c r="AU218" s="380">
        <f t="shared" si="266"/>
        <v>1.2733917261247911</v>
      </c>
      <c r="AV218" s="380">
        <f t="shared" si="266"/>
        <v>1.2855440580438739</v>
      </c>
      <c r="AW218" s="380">
        <f t="shared" si="266"/>
        <v>1.2975916983042555</v>
      </c>
      <c r="AX218" s="380">
        <f t="shared" si="266"/>
        <v>1.3094115270218851</v>
      </c>
      <c r="AY218" s="380">
        <f t="shared" si="266"/>
        <v>1.3209700375436575</v>
      </c>
      <c r="AZ218" s="380">
        <f t="shared" si="266"/>
        <v>1.3322819761259788</v>
      </c>
      <c r="BA218" s="380">
        <f t="shared" si="266"/>
        <v>1.3433023038026803</v>
      </c>
      <c r="BB218" s="380">
        <f t="shared" si="266"/>
        <v>1.3541148276724551</v>
      </c>
      <c r="BC218" s="380">
        <f t="shared" si="266"/>
        <v>1.3646443896115654</v>
      </c>
      <c r="BD218" s="380">
        <f t="shared" si="266"/>
        <v>1.3748828763388281</v>
      </c>
      <c r="BE218" s="380">
        <f t="shared" si="266"/>
        <v>1.38483079362488</v>
      </c>
      <c r="BF218" s="380">
        <f t="shared" si="266"/>
        <v>1.3944888174475789</v>
      </c>
      <c r="BG218" s="380">
        <f t="shared" si="266"/>
        <v>1.4038416052523779</v>
      </c>
      <c r="BH218" s="380">
        <f t="shared" si="266"/>
        <v>1.4128773306323579</v>
      </c>
      <c r="BI218" s="380">
        <f t="shared" si="266"/>
        <v>1.4215867458950027</v>
      </c>
      <c r="BJ218" s="380">
        <f t="shared" si="266"/>
        <v>1.4299675786758086</v>
      </c>
      <c r="BK218" s="380">
        <f t="shared" si="266"/>
        <v>1.4380125419576659</v>
      </c>
      <c r="BL218" s="380">
        <f t="shared" si="266"/>
        <v>1.4457170778918464</v>
      </c>
      <c r="BM218" s="380">
        <f t="shared" si="266"/>
        <v>1.4530687441095878</v>
      </c>
      <c r="BN218" s="380">
        <f t="shared" si="266"/>
        <v>1.4600610874115767</v>
      </c>
      <c r="BO218" s="380">
        <f t="shared" si="266"/>
        <v>1.4666881175331843</v>
      </c>
      <c r="BP218" s="182"/>
    </row>
    <row r="219" spans="1:68" ht="12.75" customHeight="1" x14ac:dyDescent="0.3">
      <c r="A219" s="982"/>
      <c r="D219" s="944" t="s">
        <v>412</v>
      </c>
      <c r="E219" s="183"/>
      <c r="F219" s="185" t="s">
        <v>425</v>
      </c>
      <c r="G219" s="212">
        <v>0.10207825920000001</v>
      </c>
      <c r="H219" s="212">
        <v>6.5676381239999998E-2</v>
      </c>
      <c r="I219" s="212">
        <v>8.5380913650000001E-2</v>
      </c>
      <c r="J219" s="212">
        <v>3.9332640070000001E-2</v>
      </c>
      <c r="K219" s="210">
        <v>0.11314017696000001</v>
      </c>
      <c r="L219" s="211">
        <f t="shared" si="242"/>
        <v>0.11523932673532772</v>
      </c>
      <c r="M219" s="211">
        <f t="shared" ref="M219:AR219" si="267">M109+M201-M167</f>
        <v>8.7653019702018234E-2</v>
      </c>
      <c r="N219" s="211">
        <f t="shared" si="267"/>
        <v>0.20980732070745314</v>
      </c>
      <c r="O219" s="211">
        <f t="shared" si="267"/>
        <v>0.18250613814913397</v>
      </c>
      <c r="P219" s="211">
        <f t="shared" si="267"/>
        <v>0.19112520351487278</v>
      </c>
      <c r="Q219" s="211">
        <f t="shared" si="267"/>
        <v>0.15689085289981208</v>
      </c>
      <c r="R219" s="211">
        <f t="shared" si="267"/>
        <v>0.14502291746577867</v>
      </c>
      <c r="S219" s="380">
        <f t="shared" si="267"/>
        <v>0.15313606994131015</v>
      </c>
      <c r="T219" s="380">
        <f t="shared" si="267"/>
        <v>0.11202173983846433</v>
      </c>
      <c r="U219" s="380">
        <f t="shared" si="267"/>
        <v>0.11371868433315646</v>
      </c>
      <c r="V219" s="380">
        <f t="shared" si="267"/>
        <v>0.11622745983670546</v>
      </c>
      <c r="W219" s="380">
        <f t="shared" si="267"/>
        <v>0.11729428501429927</v>
      </c>
      <c r="X219" s="380">
        <f t="shared" si="267"/>
        <v>0.11890309804674101</v>
      </c>
      <c r="Y219" s="380">
        <f t="shared" si="267"/>
        <v>0.12037798354925565</v>
      </c>
      <c r="Z219" s="380">
        <f t="shared" si="267"/>
        <v>0.12193496769292118</v>
      </c>
      <c r="AA219" s="380">
        <f t="shared" si="267"/>
        <v>0.12317415630071481</v>
      </c>
      <c r="AB219" s="380">
        <f t="shared" si="267"/>
        <v>0.12730341200508116</v>
      </c>
      <c r="AC219" s="380">
        <f t="shared" si="267"/>
        <v>0.12903934701898268</v>
      </c>
      <c r="AD219" s="380">
        <f t="shared" si="267"/>
        <v>0.13047452343321606</v>
      </c>
      <c r="AE219" s="380">
        <f t="shared" si="267"/>
        <v>0.13227436406080334</v>
      </c>
      <c r="AF219" s="380">
        <f t="shared" si="267"/>
        <v>0.13410010493844776</v>
      </c>
      <c r="AG219" s="380">
        <f t="shared" si="267"/>
        <v>0.13590579665513233</v>
      </c>
      <c r="AH219" s="380">
        <f t="shared" si="267"/>
        <v>0.13787897421656115</v>
      </c>
      <c r="AI219" s="380">
        <f t="shared" si="267"/>
        <v>0.13996523454488122</v>
      </c>
      <c r="AJ219" s="380">
        <f t="shared" si="267"/>
        <v>0.14161204179032272</v>
      </c>
      <c r="AK219" s="380">
        <f t="shared" si="267"/>
        <v>0.1433162763388518</v>
      </c>
      <c r="AL219" s="380">
        <f t="shared" si="267"/>
        <v>0.14505835138428827</v>
      </c>
      <c r="AM219" s="380">
        <f t="shared" si="267"/>
        <v>0.1468128063944987</v>
      </c>
      <c r="AN219" s="380">
        <f t="shared" si="267"/>
        <v>0.14870009951230811</v>
      </c>
      <c r="AO219" s="380">
        <f t="shared" si="267"/>
        <v>0.15042714961913342</v>
      </c>
      <c r="AP219" s="380">
        <f t="shared" si="267"/>
        <v>0.15221643147025027</v>
      </c>
      <c r="AQ219" s="380">
        <f t="shared" si="267"/>
        <v>0.15378950502892597</v>
      </c>
      <c r="AR219" s="380">
        <f t="shared" si="267"/>
        <v>0.15549455102552148</v>
      </c>
      <c r="AS219" s="380">
        <f t="shared" ref="AS219:BO219" si="268">AS109+AS201-AS167</f>
        <v>0.15720010622772257</v>
      </c>
      <c r="AT219" s="380">
        <f t="shared" si="268"/>
        <v>0.15886538103470982</v>
      </c>
      <c r="AU219" s="380">
        <f t="shared" si="268"/>
        <v>0.16050529061795193</v>
      </c>
      <c r="AV219" s="380">
        <f t="shared" si="268"/>
        <v>0.1620268311594204</v>
      </c>
      <c r="AW219" s="380">
        <f t="shared" si="268"/>
        <v>0.1635894445912599</v>
      </c>
      <c r="AX219" s="380">
        <f t="shared" si="268"/>
        <v>0.16512358506660332</v>
      </c>
      <c r="AY219" s="380">
        <f t="shared" si="268"/>
        <v>0.16661201396723418</v>
      </c>
      <c r="AZ219" s="380">
        <f t="shared" si="268"/>
        <v>0.16806729431570375</v>
      </c>
      <c r="BA219" s="380">
        <f t="shared" si="268"/>
        <v>0.1694712753786714</v>
      </c>
      <c r="BB219" s="380">
        <f t="shared" si="268"/>
        <v>0.17086865316914374</v>
      </c>
      <c r="BC219" s="380">
        <f t="shared" si="268"/>
        <v>0.17222522547968269</v>
      </c>
      <c r="BD219" s="380">
        <f t="shared" si="268"/>
        <v>0.17354013528413328</v>
      </c>
      <c r="BE219" s="380">
        <f t="shared" si="268"/>
        <v>0.17481628186647033</v>
      </c>
      <c r="BF219" s="380">
        <f t="shared" si="268"/>
        <v>0.17605629728100303</v>
      </c>
      <c r="BG219" s="380">
        <f t="shared" si="268"/>
        <v>0.17725596400632812</v>
      </c>
      <c r="BH219" s="380">
        <f t="shared" si="268"/>
        <v>0.1784126412968183</v>
      </c>
      <c r="BI219" s="380">
        <f t="shared" si="268"/>
        <v>0.17952472283337059</v>
      </c>
      <c r="BJ219" s="380">
        <f t="shared" si="268"/>
        <v>0.18059336070056217</v>
      </c>
      <c r="BK219" s="380">
        <f t="shared" si="268"/>
        <v>0.18161753007890583</v>
      </c>
      <c r="BL219" s="380">
        <f t="shared" si="268"/>
        <v>0.18259721014305763</v>
      </c>
      <c r="BM219" s="380">
        <f t="shared" si="268"/>
        <v>0.18352931045336629</v>
      </c>
      <c r="BN219" s="380">
        <f t="shared" si="268"/>
        <v>0.18441307117657948</v>
      </c>
      <c r="BO219" s="380">
        <f t="shared" si="268"/>
        <v>0.18524782129553674</v>
      </c>
      <c r="BP219" s="182"/>
    </row>
    <row r="220" spans="1:68" ht="12.75" customHeight="1" x14ac:dyDescent="0.3">
      <c r="A220" s="982"/>
      <c r="D220" s="944"/>
      <c r="E220" s="183"/>
      <c r="F220" s="185" t="s">
        <v>426</v>
      </c>
      <c r="G220" s="214">
        <v>0</v>
      </c>
      <c r="H220" s="214">
        <v>0</v>
      </c>
      <c r="I220" s="214">
        <v>0</v>
      </c>
      <c r="J220" s="214">
        <v>0</v>
      </c>
      <c r="K220" s="210">
        <f>K110+K202-K169</f>
        <v>0.31483314089999997</v>
      </c>
      <c r="L220" s="211">
        <f t="shared" si="242"/>
        <v>0.44756851089999994</v>
      </c>
      <c r="M220" s="211">
        <f t="shared" ref="M220:AR220" si="269">M110+M202-M168</f>
        <v>0.39219678829999999</v>
      </c>
      <c r="N220" s="211">
        <f t="shared" si="269"/>
        <v>0.45499716839999998</v>
      </c>
      <c r="O220" s="211">
        <f t="shared" si="269"/>
        <v>0.35244185919999993</v>
      </c>
      <c r="P220" s="211">
        <f t="shared" si="269"/>
        <v>0.3674134261</v>
      </c>
      <c r="Q220" s="211">
        <f t="shared" si="269"/>
        <v>0.2407493235</v>
      </c>
      <c r="R220" s="211">
        <f t="shared" si="269"/>
        <v>0.27267457750000001</v>
      </c>
      <c r="S220" s="380">
        <f t="shared" si="269"/>
        <v>0.17626938160177008</v>
      </c>
      <c r="T220" s="380">
        <f t="shared" si="269"/>
        <v>0.25307560935042928</v>
      </c>
      <c r="U220" s="380">
        <f t="shared" si="269"/>
        <v>0.25243096921953534</v>
      </c>
      <c r="V220" s="380">
        <f t="shared" si="269"/>
        <v>0.25996063723550611</v>
      </c>
      <c r="W220" s="380">
        <f t="shared" si="269"/>
        <v>0.25707793487445219</v>
      </c>
      <c r="X220" s="380">
        <f t="shared" si="269"/>
        <v>0.25930255608510155</v>
      </c>
      <c r="Y220" s="380">
        <f t="shared" si="269"/>
        <v>0.26099020533721673</v>
      </c>
      <c r="Z220" s="380">
        <f t="shared" si="269"/>
        <v>0.2632422513720028</v>
      </c>
      <c r="AA220" s="380">
        <f t="shared" si="269"/>
        <v>0.2640829649475927</v>
      </c>
      <c r="AB220" s="380">
        <f t="shared" si="269"/>
        <v>0.27832917211462221</v>
      </c>
      <c r="AC220" s="380">
        <f t="shared" si="269"/>
        <v>0.28145994720707318</v>
      </c>
      <c r="AD220" s="380">
        <f t="shared" si="269"/>
        <v>0.28319938054564048</v>
      </c>
      <c r="AE220" s="380">
        <f t="shared" si="269"/>
        <v>0.28679024207098774</v>
      </c>
      <c r="AF220" s="380">
        <f t="shared" si="269"/>
        <v>0.29054838258011767</v>
      </c>
      <c r="AG220" s="380">
        <f t="shared" si="269"/>
        <v>0.29441332223685091</v>
      </c>
      <c r="AH220" s="380">
        <f t="shared" si="269"/>
        <v>0.29896887949501366</v>
      </c>
      <c r="AI220" s="380">
        <f t="shared" si="269"/>
        <v>0.30408646477182244</v>
      </c>
      <c r="AJ220" s="380">
        <f t="shared" si="269"/>
        <v>0.30725741115988942</v>
      </c>
      <c r="AK220" s="380">
        <f t="shared" si="269"/>
        <v>0.31076465494809741</v>
      </c>
      <c r="AL220" s="380">
        <f t="shared" si="269"/>
        <v>0.31448921287267884</v>
      </c>
      <c r="AM220" s="380">
        <f t="shared" si="269"/>
        <v>0.31830085324182045</v>
      </c>
      <c r="AN220" s="380">
        <f t="shared" si="269"/>
        <v>0.32276752402674214</v>
      </c>
      <c r="AO220" s="380">
        <f t="shared" si="269"/>
        <v>0.32656257792665117</v>
      </c>
      <c r="AP220" s="380">
        <f t="shared" si="269"/>
        <v>0.33069197710215548</v>
      </c>
      <c r="AQ220" s="380">
        <f t="shared" si="269"/>
        <v>0.33391623089751638</v>
      </c>
      <c r="AR220" s="380">
        <f t="shared" si="269"/>
        <v>0.33777972607068418</v>
      </c>
      <c r="AS220" s="380">
        <f t="shared" ref="AS220:BO220" si="270">AS110+AS202-AS168</f>
        <v>0.34170004047776487</v>
      </c>
      <c r="AT220" s="380">
        <f t="shared" si="270"/>
        <v>0.34549850084330469</v>
      </c>
      <c r="AU220" s="380">
        <f t="shared" si="270"/>
        <v>0.34924105727619309</v>
      </c>
      <c r="AV220" s="380">
        <f t="shared" si="270"/>
        <v>0.35252851439699112</v>
      </c>
      <c r="AW220" s="380">
        <f t="shared" si="270"/>
        <v>0.35605527364239942</v>
      </c>
      <c r="AX220" s="380">
        <f t="shared" si="270"/>
        <v>0.35952180507300807</v>
      </c>
      <c r="AY220" s="380">
        <f t="shared" si="270"/>
        <v>0.36285583813783695</v>
      </c>
      <c r="AZ220" s="380">
        <f t="shared" si="270"/>
        <v>0.36611396764040632</v>
      </c>
      <c r="BA220" s="380">
        <f t="shared" si="270"/>
        <v>0.36922233946242111</v>
      </c>
      <c r="BB220" s="380">
        <f t="shared" si="270"/>
        <v>0.37237171594012564</v>
      </c>
      <c r="BC220" s="380">
        <f t="shared" si="270"/>
        <v>0.37541990772079226</v>
      </c>
      <c r="BD220" s="380">
        <f t="shared" si="270"/>
        <v>0.37836562845696092</v>
      </c>
      <c r="BE220" s="380">
        <f t="shared" si="270"/>
        <v>0.38122307174867115</v>
      </c>
      <c r="BF220" s="380">
        <f t="shared" si="270"/>
        <v>0.38400502817769105</v>
      </c>
      <c r="BG220" s="380">
        <f t="shared" si="270"/>
        <v>0.38669604407723079</v>
      </c>
      <c r="BH220" s="380">
        <f t="shared" si="270"/>
        <v>0.38928723765973505</v>
      </c>
      <c r="BI220" s="380">
        <f t="shared" si="270"/>
        <v>0.39177395282848143</v>
      </c>
      <c r="BJ220" s="380">
        <f t="shared" si="270"/>
        <v>0.3941626847732852</v>
      </c>
      <c r="BK220" s="380">
        <f t="shared" si="270"/>
        <v>0.39645095862870994</v>
      </c>
      <c r="BL220" s="380">
        <f t="shared" si="270"/>
        <v>0.39864028785211059</v>
      </c>
      <c r="BM220" s="380">
        <f t="shared" si="270"/>
        <v>0.40071981087755715</v>
      </c>
      <c r="BN220" s="380">
        <f t="shared" si="270"/>
        <v>0.40268804412043169</v>
      </c>
      <c r="BO220" s="380">
        <f t="shared" si="270"/>
        <v>0.40454378447419481</v>
      </c>
      <c r="BP220" s="182"/>
    </row>
    <row r="221" spans="1:68" ht="12.75" customHeight="1" x14ac:dyDescent="0.3">
      <c r="A221" s="967"/>
      <c r="B221" s="967"/>
      <c r="C221" s="967"/>
      <c r="D221" s="944"/>
      <c r="E221" s="183"/>
      <c r="F221" s="185"/>
      <c r="G221" s="210"/>
      <c r="H221" s="210"/>
      <c r="I221" s="210"/>
      <c r="J221" s="210"/>
      <c r="K221" s="210"/>
      <c r="L221" s="211"/>
      <c r="M221" s="211"/>
      <c r="N221" s="211"/>
      <c r="O221" s="211"/>
      <c r="P221" s="211"/>
      <c r="Q221" s="211"/>
      <c r="R221" s="211"/>
      <c r="S221" s="202"/>
      <c r="T221" s="202"/>
      <c r="U221" s="202"/>
      <c r="V221" s="202"/>
      <c r="W221" s="202"/>
      <c r="X221" s="202"/>
      <c r="Y221" s="202"/>
      <c r="Z221" s="202"/>
      <c r="AA221" s="202"/>
      <c r="AB221" s="202"/>
      <c r="AC221" s="202"/>
      <c r="AD221" s="202"/>
      <c r="AE221" s="202"/>
      <c r="AF221" s="202"/>
      <c r="AG221" s="202"/>
      <c r="AH221" s="202"/>
      <c r="AI221" s="202"/>
      <c r="AJ221" s="202"/>
      <c r="AK221" s="202"/>
      <c r="AL221" s="202"/>
      <c r="AM221" s="202"/>
      <c r="AN221" s="202"/>
      <c r="AO221" s="202"/>
      <c r="AP221" s="202"/>
      <c r="AQ221" s="202"/>
      <c r="AR221" s="202"/>
      <c r="AS221" s="202"/>
      <c r="AT221" s="202"/>
      <c r="AU221" s="202"/>
      <c r="AV221" s="202"/>
      <c r="AW221" s="202"/>
      <c r="AX221" s="202"/>
      <c r="AY221" s="202"/>
      <c r="AZ221" s="202"/>
      <c r="BA221" s="202"/>
      <c r="BB221" s="202"/>
      <c r="BC221" s="202"/>
      <c r="BD221" s="202"/>
      <c r="BE221" s="202"/>
      <c r="BF221" s="202"/>
      <c r="BG221" s="202"/>
      <c r="BH221" s="202"/>
      <c r="BI221" s="202"/>
      <c r="BJ221" s="202"/>
      <c r="BK221" s="202"/>
      <c r="BL221" s="202"/>
      <c r="BM221" s="202"/>
      <c r="BN221" s="202"/>
      <c r="BO221" s="202"/>
      <c r="BP221" s="182"/>
    </row>
    <row r="222" spans="1:68" ht="12.75" hidden="1" customHeight="1" x14ac:dyDescent="0.3">
      <c r="A222" s="960"/>
      <c r="B222" s="960"/>
      <c r="C222" s="960"/>
      <c r="D222" s="944"/>
      <c r="E222" s="183"/>
      <c r="F222" s="216" t="s">
        <v>470</v>
      </c>
      <c r="G222" s="216"/>
      <c r="H222" s="216"/>
      <c r="I222" s="216"/>
      <c r="J222" s="216"/>
      <c r="K222" s="216"/>
      <c r="L222" s="217"/>
      <c r="M222" s="217"/>
      <c r="N222" s="945"/>
      <c r="O222" s="945"/>
      <c r="P222" s="945"/>
      <c r="Q222" s="945"/>
      <c r="R222" s="181"/>
      <c r="S222" s="181"/>
      <c r="T222" s="181"/>
      <c r="U222" s="181"/>
      <c r="V222" s="181"/>
      <c r="W222" s="181"/>
      <c r="X222" s="181"/>
      <c r="Y222" s="181"/>
      <c r="Z222" s="181"/>
      <c r="AA222" s="181"/>
      <c r="AB222" s="181"/>
      <c r="AC222" s="181"/>
      <c r="AD222" s="181"/>
      <c r="AE222" s="181"/>
      <c r="AF222" s="181"/>
      <c r="AG222" s="181"/>
      <c r="AH222" s="181"/>
      <c r="AI222" s="181"/>
      <c r="AJ222" s="181"/>
      <c r="AK222" s="181"/>
      <c r="AL222" s="181"/>
      <c r="AM222" s="181"/>
      <c r="AN222" s="181"/>
      <c r="AO222" s="181"/>
      <c r="AP222" s="181"/>
      <c r="AQ222" s="181"/>
      <c r="AR222" s="181"/>
      <c r="AS222" s="181"/>
      <c r="AT222" s="181"/>
      <c r="AU222" s="181"/>
      <c r="AV222" s="181"/>
      <c r="AW222" s="181"/>
      <c r="AX222" s="181"/>
      <c r="AY222" s="181"/>
      <c r="AZ222" s="181"/>
      <c r="BA222" s="181"/>
      <c r="BB222" s="181"/>
      <c r="BC222" s="181"/>
      <c r="BD222" s="181"/>
      <c r="BE222" s="181"/>
      <c r="BF222" s="181"/>
      <c r="BG222" s="181"/>
      <c r="BH222" s="181"/>
      <c r="BI222" s="181"/>
      <c r="BJ222" s="181"/>
      <c r="BK222" s="181"/>
      <c r="BL222" s="181"/>
      <c r="BM222" s="181"/>
      <c r="BN222" s="181"/>
      <c r="BO222" s="181"/>
      <c r="BP222" s="182"/>
    </row>
    <row r="223" spans="1:68" ht="12.75" hidden="1" customHeight="1" x14ac:dyDescent="0.3">
      <c r="A223" s="960" t="s">
        <v>471</v>
      </c>
      <c r="B223" s="960"/>
      <c r="C223" s="960"/>
      <c r="D223" s="944"/>
      <c r="E223" s="183"/>
      <c r="F223" s="218" t="s">
        <v>472</v>
      </c>
      <c r="G223" s="219">
        <v>15012228</v>
      </c>
      <c r="H223" s="219">
        <v>15266431</v>
      </c>
      <c r="I223" s="219">
        <v>15520973</v>
      </c>
      <c r="J223" s="219">
        <v>15774749</v>
      </c>
      <c r="K223" s="219">
        <v>16027466</v>
      </c>
      <c r="L223" s="220">
        <v>16278844</v>
      </c>
      <c r="M223" s="220">
        <v>16528730</v>
      </c>
      <c r="N223" s="220">
        <v>16776977</v>
      </c>
      <c r="O223" s="220">
        <v>17023408</v>
      </c>
      <c r="P223" s="220">
        <v>17267986</v>
      </c>
      <c r="Q223" s="220">
        <v>17510643</v>
      </c>
      <c r="R223" s="187">
        <f>AVERAGE(O223:Q223)</f>
        <v>17267345.666666668</v>
      </c>
      <c r="S223" s="181"/>
      <c r="T223" s="181"/>
      <c r="U223" s="181"/>
      <c r="V223" s="181"/>
      <c r="W223" s="181"/>
      <c r="X223" s="181"/>
      <c r="Y223" s="181"/>
      <c r="Z223" s="181"/>
      <c r="AA223" s="181"/>
      <c r="AB223" s="181"/>
      <c r="AC223" s="181"/>
      <c r="AD223" s="181"/>
      <c r="AE223" s="181"/>
      <c r="AF223" s="181"/>
      <c r="AG223" s="181"/>
      <c r="AH223" s="181"/>
      <c r="AI223" s="181"/>
      <c r="AJ223" s="181"/>
      <c r="AK223" s="181"/>
      <c r="AL223" s="181"/>
      <c r="AM223" s="181"/>
      <c r="AN223" s="181"/>
      <c r="AO223" s="181"/>
      <c r="AP223" s="181"/>
      <c r="AQ223" s="181"/>
      <c r="AR223" s="181"/>
      <c r="AS223" s="181"/>
      <c r="AT223" s="181"/>
      <c r="AU223" s="181"/>
      <c r="AV223" s="181"/>
      <c r="AW223" s="181"/>
      <c r="AX223" s="181"/>
      <c r="AY223" s="181"/>
      <c r="AZ223" s="181"/>
      <c r="BA223" s="181"/>
      <c r="BB223" s="181"/>
      <c r="BC223" s="181"/>
      <c r="BD223" s="181"/>
      <c r="BE223" s="181"/>
      <c r="BF223" s="181"/>
      <c r="BG223" s="181"/>
      <c r="BH223" s="181"/>
      <c r="BI223" s="181"/>
      <c r="BJ223" s="181"/>
      <c r="BK223" s="181"/>
      <c r="BL223" s="181"/>
      <c r="BM223" s="181"/>
      <c r="BN223" s="181"/>
      <c r="BO223" s="181"/>
      <c r="BP223" s="182"/>
    </row>
    <row r="224" spans="1:68" ht="12.75" hidden="1" customHeight="1" x14ac:dyDescent="0.3">
      <c r="A224" s="960"/>
      <c r="B224" s="960"/>
      <c r="C224" s="960"/>
      <c r="D224" s="944"/>
      <c r="E224" s="183"/>
      <c r="F224" s="221" t="s">
        <v>473</v>
      </c>
      <c r="G224" s="216"/>
      <c r="H224" s="216"/>
      <c r="I224" s="216"/>
      <c r="J224" s="216"/>
      <c r="K224" s="216"/>
      <c r="L224" s="217"/>
      <c r="M224" s="217"/>
      <c r="N224" s="945"/>
      <c r="O224" s="945"/>
      <c r="P224" s="945"/>
      <c r="Q224" s="945"/>
      <c r="R224" s="181"/>
      <c r="S224" s="181"/>
      <c r="T224" s="181"/>
      <c r="U224" s="181"/>
      <c r="V224" s="181"/>
      <c r="W224" s="181"/>
      <c r="X224" s="181"/>
      <c r="Y224" s="181"/>
      <c r="Z224" s="181"/>
      <c r="AA224" s="181"/>
      <c r="AB224" s="181"/>
      <c r="AC224" s="181"/>
      <c r="AD224" s="181"/>
      <c r="AE224" s="181"/>
      <c r="AF224" s="181"/>
      <c r="AG224" s="181"/>
      <c r="AH224" s="181"/>
      <c r="AI224" s="181"/>
      <c r="AJ224" s="181"/>
      <c r="AK224" s="181"/>
      <c r="AL224" s="181"/>
      <c r="AM224" s="181"/>
      <c r="AN224" s="181"/>
      <c r="AO224" s="181"/>
      <c r="AP224" s="181"/>
      <c r="AQ224" s="181"/>
      <c r="AR224" s="181"/>
      <c r="AS224" s="181"/>
      <c r="AT224" s="181"/>
      <c r="AU224" s="181"/>
      <c r="AV224" s="181"/>
      <c r="AW224" s="181"/>
      <c r="AX224" s="181"/>
      <c r="AY224" s="181"/>
      <c r="AZ224" s="181"/>
      <c r="BA224" s="181"/>
      <c r="BB224" s="181"/>
      <c r="BC224" s="181"/>
      <c r="BD224" s="181"/>
      <c r="BE224" s="181"/>
      <c r="BF224" s="181"/>
      <c r="BG224" s="181"/>
      <c r="BH224" s="181"/>
      <c r="BI224" s="181"/>
      <c r="BJ224" s="181"/>
      <c r="BK224" s="181"/>
      <c r="BL224" s="181"/>
      <c r="BM224" s="181"/>
      <c r="BN224" s="181"/>
      <c r="BO224" s="181"/>
      <c r="BP224" s="182"/>
    </row>
    <row r="225" spans="1:68" ht="12.75" hidden="1" customHeight="1" x14ac:dyDescent="0.3">
      <c r="A225" s="1200">
        <v>8</v>
      </c>
      <c r="B225" s="968"/>
      <c r="C225" s="968"/>
      <c r="D225" s="944"/>
      <c r="E225" s="183"/>
      <c r="F225" s="218" t="s">
        <v>474</v>
      </c>
      <c r="G225" s="222">
        <v>83.65</v>
      </c>
      <c r="H225" s="222">
        <v>81.540000000000006</v>
      </c>
      <c r="I225" s="222">
        <v>81.86</v>
      </c>
      <c r="J225" s="222">
        <v>40.06</v>
      </c>
      <c r="K225" s="222">
        <v>57.4</v>
      </c>
      <c r="L225" s="223">
        <v>52.62</v>
      </c>
      <c r="M225" s="223">
        <f t="shared" ref="M225:Q225" si="271">AVERAGE(J225:L225)</f>
        <v>50.026666666666671</v>
      </c>
      <c r="N225" s="223">
        <f t="shared" si="271"/>
        <v>53.348888888888894</v>
      </c>
      <c r="O225" s="223">
        <f t="shared" si="271"/>
        <v>51.998518518518523</v>
      </c>
      <c r="P225" s="223">
        <f t="shared" si="271"/>
        <v>51.791358024691363</v>
      </c>
      <c r="Q225" s="223">
        <f t="shared" si="271"/>
        <v>52.379588477366262</v>
      </c>
      <c r="R225" s="211"/>
      <c r="S225" s="202"/>
      <c r="T225" s="202"/>
      <c r="U225" s="202"/>
      <c r="V225" s="202"/>
      <c r="W225" s="202"/>
      <c r="X225" s="202"/>
      <c r="Y225" s="202"/>
      <c r="Z225" s="202"/>
      <c r="AA225" s="202"/>
      <c r="AB225" s="202"/>
      <c r="AC225" s="202"/>
      <c r="AD225" s="202"/>
      <c r="AE225" s="202"/>
      <c r="AF225" s="202"/>
      <c r="AG225" s="202"/>
      <c r="AH225" s="202"/>
      <c r="AI225" s="202"/>
      <c r="AJ225" s="202"/>
      <c r="AK225" s="202"/>
      <c r="AL225" s="202"/>
      <c r="AM225" s="202"/>
      <c r="AN225" s="202"/>
      <c r="AO225" s="202"/>
      <c r="AP225" s="202"/>
      <c r="AQ225" s="202"/>
      <c r="AR225" s="202"/>
      <c r="AS225" s="202"/>
      <c r="AT225" s="202"/>
      <c r="AU225" s="202"/>
      <c r="AV225" s="202"/>
      <c r="AW225" s="202"/>
      <c r="AX225" s="202"/>
      <c r="AY225" s="202"/>
      <c r="AZ225" s="202"/>
      <c r="BA225" s="202"/>
      <c r="BB225" s="202"/>
      <c r="BC225" s="202"/>
      <c r="BD225" s="202"/>
      <c r="BE225" s="202"/>
      <c r="BF225" s="202"/>
      <c r="BG225" s="202"/>
      <c r="BH225" s="202"/>
      <c r="BI225" s="202"/>
      <c r="BJ225" s="202"/>
      <c r="BK225" s="202"/>
      <c r="BL225" s="202"/>
      <c r="BM225" s="202"/>
      <c r="BN225" s="202"/>
      <c r="BO225" s="202"/>
      <c r="BP225" s="182"/>
    </row>
    <row r="226" spans="1:68" ht="12.75" hidden="1" customHeight="1" x14ac:dyDescent="0.3">
      <c r="A226" s="982"/>
      <c r="D226" s="944"/>
      <c r="E226" s="183"/>
      <c r="F226" s="218" t="s">
        <v>475</v>
      </c>
      <c r="G226" s="222">
        <f t="shared" ref="G226:N226" si="272">AVERAGE(H226:J226)</f>
        <v>3.9135720397800751</v>
      </c>
      <c r="H226" s="222">
        <f t="shared" si="272"/>
        <v>3.9139787913850266</v>
      </c>
      <c r="I226" s="222">
        <f t="shared" si="272"/>
        <v>3.9150453535186451</v>
      </c>
      <c r="J226" s="222">
        <f t="shared" si="272"/>
        <v>3.9116919744365535</v>
      </c>
      <c r="K226" s="222">
        <f t="shared" si="272"/>
        <v>3.9151990461998811</v>
      </c>
      <c r="L226" s="223">
        <f t="shared" si="272"/>
        <v>3.9182450399195008</v>
      </c>
      <c r="M226" s="223">
        <f t="shared" si="272"/>
        <v>3.9016318371902781</v>
      </c>
      <c r="N226" s="223">
        <f t="shared" si="272"/>
        <v>3.9257202614898645</v>
      </c>
      <c r="O226" s="223">
        <v>3.9273830210783598</v>
      </c>
      <c r="P226" s="223">
        <v>3.8517922290026099</v>
      </c>
      <c r="Q226" s="223">
        <f>AVERAGE(O226:P226,R226)</f>
        <v>3.9979855343886235</v>
      </c>
      <c r="R226" s="211">
        <v>4.2147813530849003</v>
      </c>
      <c r="S226" s="202"/>
      <c r="T226" s="202"/>
      <c r="U226" s="202"/>
      <c r="V226" s="202"/>
      <c r="W226" s="202"/>
      <c r="X226" s="202"/>
      <c r="Y226" s="202"/>
      <c r="Z226" s="202"/>
      <c r="AA226" s="202"/>
      <c r="AB226" s="202"/>
      <c r="AC226" s="202"/>
      <c r="AD226" s="202"/>
      <c r="AE226" s="202"/>
      <c r="AF226" s="202"/>
      <c r="AG226" s="202"/>
      <c r="AH226" s="202"/>
      <c r="AI226" s="202"/>
      <c r="AJ226" s="202"/>
      <c r="AK226" s="202"/>
      <c r="AL226" s="202"/>
      <c r="AM226" s="202"/>
      <c r="AN226" s="202"/>
      <c r="AO226" s="202"/>
      <c r="AP226" s="202"/>
      <c r="AQ226" s="202"/>
      <c r="AR226" s="202"/>
      <c r="AS226" s="202"/>
      <c r="AT226" s="202"/>
      <c r="AU226" s="202"/>
      <c r="AV226" s="202"/>
      <c r="AW226" s="202"/>
      <c r="AX226" s="202"/>
      <c r="AY226" s="202"/>
      <c r="AZ226" s="202"/>
      <c r="BA226" s="202"/>
      <c r="BB226" s="202"/>
      <c r="BC226" s="202"/>
      <c r="BD226" s="202"/>
      <c r="BE226" s="202"/>
      <c r="BF226" s="202"/>
      <c r="BG226" s="202"/>
      <c r="BH226" s="202"/>
      <c r="BI226" s="202"/>
      <c r="BJ226" s="202"/>
      <c r="BK226" s="202"/>
      <c r="BL226" s="202"/>
      <c r="BM226" s="202"/>
      <c r="BN226" s="202"/>
      <c r="BO226" s="202"/>
      <c r="BP226" s="182"/>
    </row>
    <row r="227" spans="1:68" ht="12.75" hidden="1" customHeight="1" x14ac:dyDescent="0.3">
      <c r="A227" s="982"/>
      <c r="D227" s="944"/>
      <c r="E227" s="183"/>
      <c r="F227" s="218" t="s">
        <v>476</v>
      </c>
      <c r="G227" s="222">
        <f t="shared" ref="G227:N227" si="273">AVERAGE(H227:J227)</f>
        <v>0.71675471517966871</v>
      </c>
      <c r="H227" s="222">
        <f t="shared" si="273"/>
        <v>0.71572095522838941</v>
      </c>
      <c r="I227" s="222">
        <f t="shared" si="273"/>
        <v>0.71826917465357443</v>
      </c>
      <c r="J227" s="222">
        <f t="shared" si="273"/>
        <v>0.7162740156570423</v>
      </c>
      <c r="K227" s="222">
        <f t="shared" si="273"/>
        <v>0.7126196753745514</v>
      </c>
      <c r="L227" s="223">
        <f t="shared" si="273"/>
        <v>0.72591383292912948</v>
      </c>
      <c r="M227" s="223">
        <f t="shared" si="273"/>
        <v>0.7102885386674459</v>
      </c>
      <c r="N227" s="223">
        <f t="shared" si="273"/>
        <v>0.70165665452707859</v>
      </c>
      <c r="O227" s="223">
        <v>0.76579630559286405</v>
      </c>
      <c r="P227" s="223">
        <v>0.66341265588239495</v>
      </c>
      <c r="Q227" s="223">
        <v>0.675761002105977</v>
      </c>
      <c r="R227" s="211">
        <v>0.58123679059202304</v>
      </c>
      <c r="S227" s="202"/>
      <c r="T227" s="202"/>
      <c r="U227" s="202"/>
      <c r="V227" s="202"/>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c r="BE227" s="202"/>
      <c r="BF227" s="202"/>
      <c r="BG227" s="202"/>
      <c r="BH227" s="202"/>
      <c r="BI227" s="202"/>
      <c r="BJ227" s="202"/>
      <c r="BK227" s="202"/>
      <c r="BL227" s="202"/>
      <c r="BM227" s="202"/>
      <c r="BN227" s="202"/>
      <c r="BO227" s="202"/>
      <c r="BP227" s="182"/>
    </row>
    <row r="228" spans="1:68" ht="12.75" hidden="1" customHeight="1" x14ac:dyDescent="0.3">
      <c r="A228" s="982"/>
      <c r="D228" s="944"/>
      <c r="E228" s="183"/>
      <c r="F228" s="218" t="s">
        <v>477</v>
      </c>
      <c r="G228" s="222">
        <v>20.04</v>
      </c>
      <c r="H228" s="222">
        <v>20.079999999999998</v>
      </c>
      <c r="I228" s="222">
        <v>20.27</v>
      </c>
      <c r="J228" s="222">
        <v>20.3</v>
      </c>
      <c r="K228" s="222">
        <v>20.04</v>
      </c>
      <c r="L228" s="223">
        <v>20.07</v>
      </c>
      <c r="M228" s="223">
        <v>20.149999999999999</v>
      </c>
      <c r="N228" s="223">
        <v>20.12</v>
      </c>
      <c r="O228" s="223">
        <v>20.309999999999999</v>
      </c>
      <c r="P228" s="223">
        <v>20.329999999999998</v>
      </c>
      <c r="Q228" s="223">
        <f t="shared" ref="Q228:Q231" si="274">AVERAGE(N228:P228)</f>
        <v>20.253333333333334</v>
      </c>
      <c r="R228" s="211"/>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c r="BE228" s="202"/>
      <c r="BF228" s="202"/>
      <c r="BG228" s="202"/>
      <c r="BH228" s="202"/>
      <c r="BI228" s="202"/>
      <c r="BJ228" s="202"/>
      <c r="BK228" s="202"/>
      <c r="BL228" s="202"/>
      <c r="BM228" s="202"/>
      <c r="BN228" s="202"/>
      <c r="BO228" s="202"/>
      <c r="BP228" s="182"/>
    </row>
    <row r="229" spans="1:68" ht="12.75" hidden="1" customHeight="1" x14ac:dyDescent="0.3">
      <c r="A229" s="982"/>
      <c r="D229" s="944"/>
      <c r="E229" s="183"/>
      <c r="F229" s="218" t="s">
        <v>478</v>
      </c>
      <c r="G229" s="222">
        <v>37.96</v>
      </c>
      <c r="H229" s="222">
        <v>38.130000000000003</v>
      </c>
      <c r="I229" s="222">
        <v>39.46</v>
      </c>
      <c r="J229" s="222">
        <v>38.24</v>
      </c>
      <c r="K229" s="222">
        <v>38.869999999999997</v>
      </c>
      <c r="L229" s="223">
        <v>43.4</v>
      </c>
      <c r="M229" s="223">
        <v>43.37</v>
      </c>
      <c r="N229" s="223">
        <v>43.54</v>
      </c>
      <c r="O229" s="223">
        <v>44.15</v>
      </c>
      <c r="P229" s="223">
        <v>43.51</v>
      </c>
      <c r="Q229" s="223">
        <f t="shared" si="274"/>
        <v>43.733333333333327</v>
      </c>
      <c r="R229" s="211"/>
      <c r="S229" s="202"/>
      <c r="T229" s="202"/>
      <c r="U229" s="202"/>
      <c r="V229" s="202"/>
      <c r="W229" s="202"/>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202"/>
      <c r="AS229" s="202"/>
      <c r="AT229" s="202"/>
      <c r="AU229" s="202"/>
      <c r="AV229" s="202"/>
      <c r="AW229" s="202"/>
      <c r="AX229" s="202"/>
      <c r="AY229" s="202"/>
      <c r="AZ229" s="202"/>
      <c r="BA229" s="202"/>
      <c r="BB229" s="202"/>
      <c r="BC229" s="202"/>
      <c r="BD229" s="202"/>
      <c r="BE229" s="202"/>
      <c r="BF229" s="202"/>
      <c r="BG229" s="202"/>
      <c r="BH229" s="202"/>
      <c r="BI229" s="202"/>
      <c r="BJ229" s="202"/>
      <c r="BK229" s="202"/>
      <c r="BL229" s="202"/>
      <c r="BM229" s="202"/>
      <c r="BN229" s="202"/>
      <c r="BO229" s="202"/>
      <c r="BP229" s="182"/>
    </row>
    <row r="230" spans="1:68" ht="12.75" hidden="1" customHeight="1" x14ac:dyDescent="0.3">
      <c r="A230" s="982"/>
      <c r="D230" s="944"/>
      <c r="E230" s="183"/>
      <c r="F230" s="218" t="s">
        <v>479</v>
      </c>
      <c r="G230" s="222">
        <v>0.32</v>
      </c>
      <c r="H230" s="222">
        <v>0.2</v>
      </c>
      <c r="I230" s="222">
        <v>0.37</v>
      </c>
      <c r="J230" s="222">
        <v>0.37</v>
      </c>
      <c r="K230" s="222">
        <v>0.31</v>
      </c>
      <c r="L230" s="223">
        <v>0.25</v>
      </c>
      <c r="M230" s="223">
        <v>0.32</v>
      </c>
      <c r="N230" s="223">
        <v>0.3</v>
      </c>
      <c r="O230" s="223">
        <v>0.28999999999999998</v>
      </c>
      <c r="P230" s="223">
        <v>0.27</v>
      </c>
      <c r="Q230" s="223">
        <f t="shared" si="274"/>
        <v>0.28666666666666668</v>
      </c>
      <c r="R230" s="211"/>
      <c r="S230" s="202"/>
      <c r="T230" s="202"/>
      <c r="U230" s="202"/>
      <c r="V230" s="202"/>
      <c r="W230" s="202"/>
      <c r="X230" s="202"/>
      <c r="Y230" s="202"/>
      <c r="Z230" s="202"/>
      <c r="AA230" s="202"/>
      <c r="AB230" s="202"/>
      <c r="AC230" s="202"/>
      <c r="AD230" s="202"/>
      <c r="AE230" s="202"/>
      <c r="AF230" s="202"/>
      <c r="AG230" s="202"/>
      <c r="AH230" s="202"/>
      <c r="AI230" s="202"/>
      <c r="AJ230" s="202"/>
      <c r="AK230" s="202"/>
      <c r="AL230" s="202"/>
      <c r="AM230" s="202"/>
      <c r="AN230" s="202"/>
      <c r="AO230" s="202"/>
      <c r="AP230" s="202"/>
      <c r="AQ230" s="202"/>
      <c r="AR230" s="202"/>
      <c r="AS230" s="202"/>
      <c r="AT230" s="202"/>
      <c r="AU230" s="202"/>
      <c r="AV230" s="202"/>
      <c r="AW230" s="202"/>
      <c r="AX230" s="202"/>
      <c r="AY230" s="202"/>
      <c r="AZ230" s="202"/>
      <c r="BA230" s="202"/>
      <c r="BB230" s="202"/>
      <c r="BC230" s="202"/>
      <c r="BD230" s="202"/>
      <c r="BE230" s="202"/>
      <c r="BF230" s="202"/>
      <c r="BG230" s="202"/>
      <c r="BH230" s="202"/>
      <c r="BI230" s="202"/>
      <c r="BJ230" s="202"/>
      <c r="BK230" s="202"/>
      <c r="BL230" s="202"/>
      <c r="BM230" s="202"/>
      <c r="BN230" s="202"/>
      <c r="BO230" s="202"/>
      <c r="BP230" s="182"/>
    </row>
    <row r="231" spans="1:68" ht="12.75" hidden="1" customHeight="1" x14ac:dyDescent="0.3">
      <c r="A231" s="982"/>
      <c r="D231" s="944"/>
      <c r="E231" s="183"/>
      <c r="F231" s="218" t="s">
        <v>480</v>
      </c>
      <c r="G231" s="218">
        <v>0</v>
      </c>
      <c r="H231" s="218">
        <v>0</v>
      </c>
      <c r="I231" s="218">
        <v>0</v>
      </c>
      <c r="J231" s="218">
        <v>0</v>
      </c>
      <c r="K231" s="222">
        <v>0</v>
      </c>
      <c r="L231" s="223">
        <v>0</v>
      </c>
      <c r="M231" s="223">
        <v>0</v>
      </c>
      <c r="N231" s="223">
        <v>0</v>
      </c>
      <c r="O231" s="223">
        <v>0</v>
      </c>
      <c r="P231" s="223">
        <v>0</v>
      </c>
      <c r="Q231" s="223">
        <f t="shared" si="274"/>
        <v>0</v>
      </c>
      <c r="R231" s="211"/>
      <c r="S231" s="202"/>
      <c r="T231" s="202"/>
      <c r="U231" s="202"/>
      <c r="V231" s="202"/>
      <c r="W231" s="202"/>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202"/>
      <c r="AS231" s="202"/>
      <c r="AT231" s="202"/>
      <c r="AU231" s="202"/>
      <c r="AV231" s="202"/>
      <c r="AW231" s="202"/>
      <c r="AX231" s="202"/>
      <c r="AY231" s="202"/>
      <c r="AZ231" s="202"/>
      <c r="BA231" s="202"/>
      <c r="BB231" s="202"/>
      <c r="BC231" s="202"/>
      <c r="BD231" s="202"/>
      <c r="BE231" s="202"/>
      <c r="BF231" s="202"/>
      <c r="BG231" s="202"/>
      <c r="BH231" s="202"/>
      <c r="BI231" s="202"/>
      <c r="BJ231" s="202"/>
      <c r="BK231" s="202"/>
      <c r="BL231" s="202"/>
      <c r="BM231" s="202"/>
      <c r="BN231" s="202"/>
      <c r="BO231" s="202"/>
      <c r="BP231" s="182"/>
    </row>
    <row r="232" spans="1:68" ht="12.75" hidden="1" customHeight="1" x14ac:dyDescent="0.3">
      <c r="A232" s="982"/>
      <c r="D232" s="944"/>
      <c r="E232" s="183"/>
      <c r="F232" s="218" t="s">
        <v>481</v>
      </c>
      <c r="G232" s="218"/>
      <c r="H232" s="218"/>
      <c r="I232" s="218"/>
      <c r="J232" s="218"/>
      <c r="K232" s="218"/>
      <c r="L232" s="223"/>
      <c r="M232" s="223"/>
      <c r="N232" s="223"/>
      <c r="O232" s="223"/>
      <c r="P232" s="223"/>
      <c r="Q232" s="223"/>
      <c r="R232" s="211"/>
      <c r="S232" s="202"/>
      <c r="T232" s="202"/>
      <c r="U232" s="202"/>
      <c r="V232" s="202"/>
      <c r="W232" s="202"/>
      <c r="X232" s="202"/>
      <c r="Y232" s="202"/>
      <c r="Z232" s="202"/>
      <c r="AA232" s="202"/>
      <c r="AB232" s="202"/>
      <c r="AC232" s="202"/>
      <c r="AD232" s="202"/>
      <c r="AE232" s="202"/>
      <c r="AF232" s="202"/>
      <c r="AG232" s="202"/>
      <c r="AH232" s="202"/>
      <c r="AI232" s="202"/>
      <c r="AJ232" s="202"/>
      <c r="AK232" s="202"/>
      <c r="AL232" s="202"/>
      <c r="AM232" s="202"/>
      <c r="AN232" s="202"/>
      <c r="AO232" s="202"/>
      <c r="AP232" s="202"/>
      <c r="AQ232" s="202"/>
      <c r="AR232" s="202"/>
      <c r="AS232" s="202"/>
      <c r="AT232" s="202"/>
      <c r="AU232" s="202"/>
      <c r="AV232" s="202"/>
      <c r="AW232" s="202"/>
      <c r="AX232" s="202"/>
      <c r="AY232" s="202"/>
      <c r="AZ232" s="202"/>
      <c r="BA232" s="202"/>
      <c r="BB232" s="202"/>
      <c r="BC232" s="202"/>
      <c r="BD232" s="202"/>
      <c r="BE232" s="202"/>
      <c r="BF232" s="202"/>
      <c r="BG232" s="202"/>
      <c r="BH232" s="202"/>
      <c r="BI232" s="202"/>
      <c r="BJ232" s="202"/>
      <c r="BK232" s="202"/>
      <c r="BL232" s="202"/>
      <c r="BM232" s="202"/>
      <c r="BN232" s="202"/>
      <c r="BO232" s="202"/>
      <c r="BP232" s="182"/>
    </row>
    <row r="233" spans="1:68" ht="12.75" hidden="1" customHeight="1" x14ac:dyDescent="0.3">
      <c r="A233" s="982"/>
      <c r="D233" s="944"/>
      <c r="E233" s="183"/>
      <c r="F233" s="218" t="s">
        <v>482</v>
      </c>
      <c r="G233" s="222">
        <v>2.0099999999999998</v>
      </c>
      <c r="H233" s="222">
        <v>1.8699999999999999</v>
      </c>
      <c r="I233" s="222">
        <v>1.7200000000000002</v>
      </c>
      <c r="J233" s="222">
        <v>1.71</v>
      </c>
      <c r="K233" s="222">
        <v>1.9100000000000001</v>
      </c>
      <c r="L233" s="223">
        <v>2.21</v>
      </c>
      <c r="M233" s="223">
        <v>1.9100000000000001</v>
      </c>
      <c r="N233" s="223">
        <v>2.13</v>
      </c>
      <c r="O233" s="223">
        <v>2.04</v>
      </c>
      <c r="P233" s="223">
        <v>1.98</v>
      </c>
      <c r="Q233" s="223"/>
      <c r="R233" s="211"/>
      <c r="S233" s="202"/>
      <c r="T233" s="202"/>
      <c r="U233" s="202"/>
      <c r="V233" s="202"/>
      <c r="W233" s="202"/>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202"/>
      <c r="AS233" s="202"/>
      <c r="AT233" s="202"/>
      <c r="AU233" s="202"/>
      <c r="AV233" s="202"/>
      <c r="AW233" s="202"/>
      <c r="AX233" s="202"/>
      <c r="AY233" s="202"/>
      <c r="AZ233" s="202"/>
      <c r="BA233" s="202"/>
      <c r="BB233" s="202"/>
      <c r="BC233" s="202"/>
      <c r="BD233" s="202"/>
      <c r="BE233" s="202"/>
      <c r="BF233" s="202"/>
      <c r="BG233" s="202"/>
      <c r="BH233" s="202"/>
      <c r="BI233" s="202"/>
      <c r="BJ233" s="202"/>
      <c r="BK233" s="202"/>
      <c r="BL233" s="202"/>
      <c r="BM233" s="202"/>
      <c r="BN233" s="202"/>
      <c r="BO233" s="202"/>
      <c r="BP233" s="182"/>
    </row>
    <row r="234" spans="1:68" ht="12.75" hidden="1" customHeight="1" x14ac:dyDescent="0.3">
      <c r="A234" s="982"/>
      <c r="D234" s="944"/>
      <c r="E234" s="183"/>
      <c r="F234" s="218" t="s">
        <v>483</v>
      </c>
      <c r="G234" s="222">
        <v>36.19</v>
      </c>
      <c r="H234" s="222">
        <v>36.06</v>
      </c>
      <c r="I234" s="222">
        <v>34.71</v>
      </c>
      <c r="J234" s="222">
        <v>33.479999999999997</v>
      </c>
      <c r="K234" s="222">
        <v>36.67</v>
      </c>
      <c r="L234" s="223">
        <v>40.119999999999997</v>
      </c>
      <c r="M234" s="223">
        <v>42.94</v>
      </c>
      <c r="N234" s="223">
        <v>45.43</v>
      </c>
      <c r="O234" s="223">
        <v>45.32</v>
      </c>
      <c r="P234" s="223">
        <v>45.3</v>
      </c>
      <c r="Q234" s="223"/>
      <c r="R234" s="211"/>
      <c r="S234" s="202"/>
      <c r="T234" s="202"/>
      <c r="U234" s="202"/>
      <c r="V234" s="202"/>
      <c r="W234" s="202"/>
      <c r="X234" s="202"/>
      <c r="Y234" s="202"/>
      <c r="Z234" s="202"/>
      <c r="AA234" s="202"/>
      <c r="AB234" s="202"/>
      <c r="AC234" s="202"/>
      <c r="AD234" s="202"/>
      <c r="AE234" s="202"/>
      <c r="AF234" s="202"/>
      <c r="AG234" s="202"/>
      <c r="AH234" s="202"/>
      <c r="AI234" s="202"/>
      <c r="AJ234" s="202"/>
      <c r="AK234" s="202"/>
      <c r="AL234" s="202"/>
      <c r="AM234" s="202"/>
      <c r="AN234" s="202"/>
      <c r="AO234" s="202"/>
      <c r="AP234" s="202"/>
      <c r="AQ234" s="202"/>
      <c r="AR234" s="202"/>
      <c r="AS234" s="202"/>
      <c r="AT234" s="202"/>
      <c r="AU234" s="202"/>
      <c r="AV234" s="202"/>
      <c r="AW234" s="202"/>
      <c r="AX234" s="202"/>
      <c r="AY234" s="202"/>
      <c r="AZ234" s="202"/>
      <c r="BA234" s="202"/>
      <c r="BB234" s="202"/>
      <c r="BC234" s="202"/>
      <c r="BD234" s="202"/>
      <c r="BE234" s="202"/>
      <c r="BF234" s="202"/>
      <c r="BG234" s="202"/>
      <c r="BH234" s="202"/>
      <c r="BI234" s="202"/>
      <c r="BJ234" s="202"/>
      <c r="BK234" s="202"/>
      <c r="BL234" s="202"/>
      <c r="BM234" s="202"/>
      <c r="BN234" s="202"/>
      <c r="BO234" s="202"/>
      <c r="BP234" s="182"/>
    </row>
    <row r="235" spans="1:68" ht="12.75" hidden="1" customHeight="1" x14ac:dyDescent="0.3">
      <c r="A235" s="982"/>
      <c r="D235" s="944"/>
      <c r="E235" s="183"/>
      <c r="F235" s="218" t="s">
        <v>484</v>
      </c>
      <c r="G235" s="222">
        <v>25.520000000000003</v>
      </c>
      <c r="H235" s="222">
        <v>24.59</v>
      </c>
      <c r="I235" s="222">
        <v>24.84</v>
      </c>
      <c r="J235" s="222">
        <v>23.880000000000003</v>
      </c>
      <c r="K235" s="222">
        <v>29.09</v>
      </c>
      <c r="L235" s="223">
        <v>25.64</v>
      </c>
      <c r="M235" s="223">
        <v>29.64</v>
      </c>
      <c r="N235" s="223">
        <v>27.39</v>
      </c>
      <c r="O235" s="223">
        <v>24.08</v>
      </c>
      <c r="P235" s="223">
        <v>23.619999999999997</v>
      </c>
      <c r="Q235" s="223"/>
      <c r="R235" s="211"/>
      <c r="S235" s="202"/>
      <c r="T235" s="202"/>
      <c r="U235" s="202"/>
      <c r="V235" s="202"/>
      <c r="W235" s="202"/>
      <c r="X235" s="202"/>
      <c r="Y235" s="202"/>
      <c r="Z235" s="202"/>
      <c r="AA235" s="202"/>
      <c r="AB235" s="202"/>
      <c r="AC235" s="202"/>
      <c r="AD235" s="202"/>
      <c r="AE235" s="202"/>
      <c r="AF235" s="202"/>
      <c r="AG235" s="202"/>
      <c r="AH235" s="202"/>
      <c r="AI235" s="202"/>
      <c r="AJ235" s="202"/>
      <c r="AK235" s="202"/>
      <c r="AL235" s="202"/>
      <c r="AM235" s="202"/>
      <c r="AN235" s="202"/>
      <c r="AO235" s="202"/>
      <c r="AP235" s="202"/>
      <c r="AQ235" s="202"/>
      <c r="AR235" s="202"/>
      <c r="AS235" s="202"/>
      <c r="AT235" s="202"/>
      <c r="AU235" s="202"/>
      <c r="AV235" s="202"/>
      <c r="AW235" s="202"/>
      <c r="AX235" s="202"/>
      <c r="AY235" s="202"/>
      <c r="AZ235" s="202"/>
      <c r="BA235" s="202"/>
      <c r="BB235" s="202"/>
      <c r="BC235" s="202"/>
      <c r="BD235" s="202"/>
      <c r="BE235" s="202"/>
      <c r="BF235" s="202"/>
      <c r="BG235" s="202"/>
      <c r="BH235" s="202"/>
      <c r="BI235" s="202"/>
      <c r="BJ235" s="202"/>
      <c r="BK235" s="202"/>
      <c r="BL235" s="202"/>
      <c r="BM235" s="202"/>
      <c r="BN235" s="202"/>
      <c r="BO235" s="202"/>
      <c r="BP235" s="182"/>
    </row>
    <row r="236" spans="1:68" ht="12.75" hidden="1" customHeight="1" x14ac:dyDescent="0.3">
      <c r="A236" s="982"/>
      <c r="D236" s="944"/>
      <c r="E236" s="183"/>
      <c r="F236" s="218" t="s">
        <v>485</v>
      </c>
      <c r="G236" s="222">
        <v>6.31</v>
      </c>
      <c r="H236" s="222">
        <v>3.78</v>
      </c>
      <c r="I236" s="222">
        <v>6.9499999999999993</v>
      </c>
      <c r="J236" s="222">
        <v>9.2100000000000009</v>
      </c>
      <c r="K236" s="222">
        <v>13.48</v>
      </c>
      <c r="L236" s="223">
        <f>AVERAGE(I236:K236,M236:O236)</f>
        <v>9.2016666666666662</v>
      </c>
      <c r="M236" s="223">
        <v>6.8199999999999994</v>
      </c>
      <c r="N236" s="223">
        <v>10.97</v>
      </c>
      <c r="O236" s="223">
        <v>7.7799999999999994</v>
      </c>
      <c r="P236" s="223">
        <v>9.5</v>
      </c>
      <c r="Q236" s="223">
        <f t="shared" ref="Q236:R236" si="275">AVERAGE(N236:P236)</f>
        <v>9.4166666666666661</v>
      </c>
      <c r="R236" s="223">
        <f t="shared" si="275"/>
        <v>8.8988888888888891</v>
      </c>
      <c r="S236" s="202"/>
      <c r="T236" s="202"/>
      <c r="U236" s="202"/>
      <c r="V236" s="202"/>
      <c r="W236" s="202"/>
      <c r="X236" s="202"/>
      <c r="Y236" s="202"/>
      <c r="Z236" s="202"/>
      <c r="AA236" s="202"/>
      <c r="AB236" s="202"/>
      <c r="AC236" s="202"/>
      <c r="AD236" s="202"/>
      <c r="AE236" s="202"/>
      <c r="AF236" s="202"/>
      <c r="AG236" s="202"/>
      <c r="AH236" s="202"/>
      <c r="AI236" s="202"/>
      <c r="AJ236" s="202"/>
      <c r="AK236" s="202"/>
      <c r="AL236" s="202"/>
      <c r="AM236" s="202"/>
      <c r="AN236" s="202"/>
      <c r="AO236" s="202"/>
      <c r="AP236" s="202"/>
      <c r="AQ236" s="202"/>
      <c r="AR236" s="202"/>
      <c r="AS236" s="202"/>
      <c r="AT236" s="202"/>
      <c r="AU236" s="202"/>
      <c r="AV236" s="202"/>
      <c r="AW236" s="202"/>
      <c r="AX236" s="202"/>
      <c r="AY236" s="202"/>
      <c r="AZ236" s="202"/>
      <c r="BA236" s="202"/>
      <c r="BB236" s="202"/>
      <c r="BC236" s="202"/>
      <c r="BD236" s="202"/>
      <c r="BE236" s="202"/>
      <c r="BF236" s="202"/>
      <c r="BG236" s="202"/>
      <c r="BH236" s="202"/>
      <c r="BI236" s="202"/>
      <c r="BJ236" s="202"/>
      <c r="BK236" s="202"/>
      <c r="BL236" s="202"/>
      <c r="BM236" s="202"/>
      <c r="BN236" s="202"/>
      <c r="BO236" s="202"/>
      <c r="BP236" s="182"/>
    </row>
    <row r="237" spans="1:68" ht="12.75" hidden="1" customHeight="1" x14ac:dyDescent="0.3">
      <c r="A237" s="982"/>
      <c r="D237" s="944"/>
      <c r="E237" s="183"/>
      <c r="F237" s="218" t="s">
        <v>486</v>
      </c>
      <c r="G237" s="222">
        <v>6.4</v>
      </c>
      <c r="H237" s="222">
        <v>4.04</v>
      </c>
      <c r="I237" s="222">
        <v>5.05</v>
      </c>
      <c r="J237" s="222">
        <v>2.4300000000000002</v>
      </c>
      <c r="K237" s="222">
        <v>6.56</v>
      </c>
      <c r="L237" s="223">
        <v>5.23</v>
      </c>
      <c r="M237" s="223">
        <v>4.37</v>
      </c>
      <c r="N237" s="223">
        <v>4.83</v>
      </c>
      <c r="O237" s="223">
        <v>3.07</v>
      </c>
      <c r="P237" s="223">
        <v>3.06</v>
      </c>
      <c r="Q237" s="223"/>
      <c r="R237" s="211"/>
      <c r="S237" s="202"/>
      <c r="T237" s="202"/>
      <c r="U237" s="202"/>
      <c r="V237" s="202"/>
      <c r="W237" s="202"/>
      <c r="X237" s="202"/>
      <c r="Y237" s="202"/>
      <c r="Z237" s="202"/>
      <c r="AA237" s="202"/>
      <c r="AB237" s="202"/>
      <c r="AC237" s="202"/>
      <c r="AD237" s="202"/>
      <c r="AE237" s="202"/>
      <c r="AF237" s="202"/>
      <c r="AG237" s="202"/>
      <c r="AH237" s="202"/>
      <c r="AI237" s="202"/>
      <c r="AJ237" s="202"/>
      <c r="AK237" s="202"/>
      <c r="AL237" s="202"/>
      <c r="AM237" s="202"/>
      <c r="AN237" s="202"/>
      <c r="AO237" s="202"/>
      <c r="AP237" s="202"/>
      <c r="AQ237" s="202"/>
      <c r="AR237" s="202"/>
      <c r="AS237" s="202"/>
      <c r="AT237" s="202"/>
      <c r="AU237" s="202"/>
      <c r="AV237" s="202"/>
      <c r="AW237" s="202"/>
      <c r="AX237" s="202"/>
      <c r="AY237" s="202"/>
      <c r="AZ237" s="202"/>
      <c r="BA237" s="202"/>
      <c r="BB237" s="202"/>
      <c r="BC237" s="202"/>
      <c r="BD237" s="202"/>
      <c r="BE237" s="202"/>
      <c r="BF237" s="202"/>
      <c r="BG237" s="202"/>
      <c r="BH237" s="202"/>
      <c r="BI237" s="202"/>
      <c r="BJ237" s="202"/>
      <c r="BK237" s="202"/>
      <c r="BL237" s="202"/>
      <c r="BM237" s="202"/>
      <c r="BN237" s="202"/>
      <c r="BO237" s="202"/>
      <c r="BP237" s="182"/>
    </row>
    <row r="238" spans="1:68" ht="12.75" hidden="1" customHeight="1" x14ac:dyDescent="0.3">
      <c r="A238" s="982"/>
      <c r="D238" s="944"/>
      <c r="E238" s="183"/>
      <c r="F238" s="218" t="s">
        <v>487</v>
      </c>
      <c r="G238" s="222"/>
      <c r="H238" s="222"/>
      <c r="I238" s="222"/>
      <c r="J238" s="222"/>
      <c r="K238" s="222"/>
      <c r="L238" s="223"/>
      <c r="M238" s="223"/>
      <c r="N238" s="223"/>
      <c r="O238" s="223"/>
      <c r="P238" s="223"/>
      <c r="Q238" s="223"/>
      <c r="R238" s="211"/>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c r="AR238" s="202"/>
      <c r="AS238" s="202"/>
      <c r="AT238" s="202"/>
      <c r="AU238" s="202"/>
      <c r="AV238" s="202"/>
      <c r="AW238" s="202"/>
      <c r="AX238" s="202"/>
      <c r="AY238" s="202"/>
      <c r="AZ238" s="202"/>
      <c r="BA238" s="202"/>
      <c r="BB238" s="202"/>
      <c r="BC238" s="202"/>
      <c r="BD238" s="202"/>
      <c r="BE238" s="202"/>
      <c r="BF238" s="202"/>
      <c r="BG238" s="202"/>
      <c r="BH238" s="202"/>
      <c r="BI238" s="202"/>
      <c r="BJ238" s="202"/>
      <c r="BK238" s="202"/>
      <c r="BL238" s="202"/>
      <c r="BM238" s="202"/>
      <c r="BN238" s="202"/>
      <c r="BO238" s="202"/>
      <c r="BP238" s="182"/>
    </row>
    <row r="239" spans="1:68" ht="12.75" hidden="1" customHeight="1" x14ac:dyDescent="0.3">
      <c r="A239" s="960"/>
      <c r="B239" s="960"/>
      <c r="C239" s="960"/>
      <c r="D239" s="944"/>
      <c r="E239" s="183"/>
      <c r="F239" s="221" t="s">
        <v>488</v>
      </c>
      <c r="G239" s="216"/>
      <c r="H239" s="216"/>
      <c r="I239" s="216"/>
      <c r="J239" s="216"/>
      <c r="K239" s="216"/>
      <c r="L239" s="217"/>
      <c r="M239" s="217"/>
      <c r="N239" s="945"/>
      <c r="O239" s="945"/>
      <c r="P239" s="945"/>
      <c r="Q239" s="945"/>
      <c r="R239" s="181"/>
      <c r="S239" s="181"/>
      <c r="T239" s="181"/>
      <c r="U239" s="181"/>
      <c r="V239" s="181"/>
      <c r="W239" s="181"/>
      <c r="X239" s="181"/>
      <c r="Y239" s="181"/>
      <c r="Z239" s="181"/>
      <c r="AA239" s="181"/>
      <c r="AB239" s="181"/>
      <c r="AC239" s="181"/>
      <c r="AD239" s="181"/>
      <c r="AE239" s="181"/>
      <c r="AF239" s="181"/>
      <c r="AG239" s="181"/>
      <c r="AH239" s="181"/>
      <c r="AI239" s="181"/>
      <c r="AJ239" s="181"/>
      <c r="AK239" s="181"/>
      <c r="AL239" s="181"/>
      <c r="AM239" s="181"/>
      <c r="AN239" s="181"/>
      <c r="AO239" s="181"/>
      <c r="AP239" s="181"/>
      <c r="AQ239" s="181"/>
      <c r="AR239" s="181"/>
      <c r="AS239" s="181"/>
      <c r="AT239" s="181"/>
      <c r="AU239" s="181"/>
      <c r="AV239" s="181"/>
      <c r="AW239" s="181"/>
      <c r="AX239" s="181"/>
      <c r="AY239" s="181"/>
      <c r="AZ239" s="181"/>
      <c r="BA239" s="181"/>
      <c r="BB239" s="181"/>
      <c r="BC239" s="181"/>
      <c r="BD239" s="181"/>
      <c r="BE239" s="181"/>
      <c r="BF239" s="181"/>
      <c r="BG239" s="181"/>
      <c r="BH239" s="181"/>
      <c r="BI239" s="181"/>
      <c r="BJ239" s="181"/>
      <c r="BK239" s="181"/>
      <c r="BL239" s="181"/>
      <c r="BM239" s="181"/>
      <c r="BN239" s="181"/>
      <c r="BO239" s="181"/>
      <c r="BP239" s="182"/>
    </row>
    <row r="240" spans="1:68" ht="12.75" hidden="1" customHeight="1" x14ac:dyDescent="0.3">
      <c r="A240" s="1200">
        <v>8</v>
      </c>
      <c r="B240" s="968"/>
      <c r="C240" s="968"/>
      <c r="D240" s="944"/>
      <c r="E240" s="183"/>
      <c r="F240" s="218" t="s">
        <v>489</v>
      </c>
      <c r="G240" s="222">
        <v>52</v>
      </c>
      <c r="H240" s="222">
        <v>49</v>
      </c>
      <c r="I240" s="222">
        <v>47</v>
      </c>
      <c r="J240" s="222">
        <v>43</v>
      </c>
      <c r="K240" s="222">
        <v>49</v>
      </c>
      <c r="L240" s="223">
        <v>50</v>
      </c>
      <c r="M240" s="223">
        <v>46</v>
      </c>
      <c r="N240" s="223">
        <v>46</v>
      </c>
      <c r="O240" s="223">
        <v>47</v>
      </c>
      <c r="P240" s="223">
        <v>48</v>
      </c>
      <c r="Q240" s="223">
        <f t="shared" ref="Q240:R240" si="276">AVERAGE(N240:P240)</f>
        <v>47</v>
      </c>
      <c r="R240" s="223">
        <f t="shared" si="276"/>
        <v>47.333333333333336</v>
      </c>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c r="AR240" s="202"/>
      <c r="AS240" s="202"/>
      <c r="AT240" s="202"/>
      <c r="AU240" s="202"/>
      <c r="AV240" s="202"/>
      <c r="AW240" s="202"/>
      <c r="AX240" s="202"/>
      <c r="AY240" s="202"/>
      <c r="AZ240" s="202"/>
      <c r="BA240" s="202"/>
      <c r="BB240" s="202"/>
      <c r="BC240" s="202"/>
      <c r="BD240" s="202"/>
      <c r="BE240" s="202"/>
      <c r="BF240" s="202"/>
      <c r="BG240" s="202"/>
      <c r="BH240" s="202"/>
      <c r="BI240" s="202"/>
      <c r="BJ240" s="202"/>
      <c r="BK240" s="202"/>
      <c r="BL240" s="202"/>
      <c r="BM240" s="202"/>
      <c r="BN240" s="202"/>
      <c r="BO240" s="202"/>
      <c r="BP240" s="182"/>
    </row>
    <row r="241" spans="1:68" ht="12.75" hidden="1" customHeight="1" x14ac:dyDescent="0.3">
      <c r="A241" s="982"/>
      <c r="D241" s="944"/>
      <c r="E241" s="183"/>
      <c r="F241" s="218" t="s">
        <v>490</v>
      </c>
      <c r="G241" s="222">
        <v>7</v>
      </c>
      <c r="H241" s="222">
        <v>11</v>
      </c>
      <c r="I241" s="222">
        <v>7</v>
      </c>
      <c r="J241" s="222">
        <v>7</v>
      </c>
      <c r="K241" s="222">
        <v>9</v>
      </c>
      <c r="L241" s="223">
        <v>10</v>
      </c>
      <c r="M241" s="223">
        <v>10</v>
      </c>
      <c r="N241" s="223">
        <v>12</v>
      </c>
      <c r="O241" s="223">
        <v>14</v>
      </c>
      <c r="P241" s="223">
        <v>16</v>
      </c>
      <c r="Q241" s="223">
        <f t="shared" ref="Q241:R241" si="277">AVERAGE(N241:P241)</f>
        <v>14</v>
      </c>
      <c r="R241" s="223">
        <f t="shared" si="277"/>
        <v>14.666666666666666</v>
      </c>
      <c r="S241" s="202"/>
      <c r="T241" s="202"/>
      <c r="U241" s="202"/>
      <c r="V241" s="202"/>
      <c r="W241" s="202"/>
      <c r="X241" s="202"/>
      <c r="Y241" s="202"/>
      <c r="Z241" s="202"/>
      <c r="AA241" s="202"/>
      <c r="AB241" s="202"/>
      <c r="AC241" s="202"/>
      <c r="AD241" s="202"/>
      <c r="AE241" s="202"/>
      <c r="AF241" s="202"/>
      <c r="AG241" s="202"/>
      <c r="AH241" s="202"/>
      <c r="AI241" s="202"/>
      <c r="AJ241" s="202"/>
      <c r="AK241" s="202"/>
      <c r="AL241" s="202"/>
      <c r="AM241" s="202"/>
      <c r="AN241" s="202"/>
      <c r="AO241" s="202"/>
      <c r="AP241" s="202"/>
      <c r="AQ241" s="202"/>
      <c r="AR241" s="202"/>
      <c r="AS241" s="202"/>
      <c r="AT241" s="202"/>
      <c r="AU241" s="202"/>
      <c r="AV241" s="202"/>
      <c r="AW241" s="202"/>
      <c r="AX241" s="202"/>
      <c r="AY241" s="202"/>
      <c r="AZ241" s="202"/>
      <c r="BA241" s="202"/>
      <c r="BB241" s="202"/>
      <c r="BC241" s="202"/>
      <c r="BD241" s="202"/>
      <c r="BE241" s="202"/>
      <c r="BF241" s="202"/>
      <c r="BG241" s="202"/>
      <c r="BH241" s="202"/>
      <c r="BI241" s="202"/>
      <c r="BJ241" s="202"/>
      <c r="BK241" s="202"/>
      <c r="BL241" s="202"/>
      <c r="BM241" s="202"/>
      <c r="BN241" s="202"/>
      <c r="BO241" s="202"/>
      <c r="BP241" s="182"/>
    </row>
    <row r="242" spans="1:68" ht="12.75" hidden="1" customHeight="1" x14ac:dyDescent="0.3">
      <c r="A242" s="982"/>
      <c r="D242" s="944"/>
      <c r="E242" s="183"/>
      <c r="F242" s="218" t="s">
        <v>491</v>
      </c>
      <c r="G242" s="222">
        <v>2</v>
      </c>
      <c r="H242" s="222">
        <v>2</v>
      </c>
      <c r="I242" s="222">
        <v>0</v>
      </c>
      <c r="J242" s="222">
        <v>0</v>
      </c>
      <c r="K242" s="222">
        <v>0</v>
      </c>
      <c r="L242" s="223">
        <v>0</v>
      </c>
      <c r="M242" s="223">
        <v>0</v>
      </c>
      <c r="N242" s="223">
        <v>0</v>
      </c>
      <c r="O242" s="223">
        <v>0</v>
      </c>
      <c r="P242" s="223">
        <v>0</v>
      </c>
      <c r="Q242" s="223">
        <f t="shared" ref="Q242:R242" si="278">AVERAGE(N242:P242)</f>
        <v>0</v>
      </c>
      <c r="R242" s="223">
        <f t="shared" si="278"/>
        <v>0</v>
      </c>
      <c r="S242" s="202"/>
      <c r="T242" s="202"/>
      <c r="U242" s="202"/>
      <c r="V242" s="202"/>
      <c r="W242" s="202"/>
      <c r="X242" s="202"/>
      <c r="Y242" s="202"/>
      <c r="Z242" s="202"/>
      <c r="AA242" s="202"/>
      <c r="AB242" s="202"/>
      <c r="AC242" s="202"/>
      <c r="AD242" s="202"/>
      <c r="AE242" s="202"/>
      <c r="AF242" s="202"/>
      <c r="AG242" s="202"/>
      <c r="AH242" s="202"/>
      <c r="AI242" s="202"/>
      <c r="AJ242" s="202"/>
      <c r="AK242" s="202"/>
      <c r="AL242" s="202"/>
      <c r="AM242" s="202"/>
      <c r="AN242" s="202"/>
      <c r="AO242" s="202"/>
      <c r="AP242" s="202"/>
      <c r="AQ242" s="202"/>
      <c r="AR242" s="202"/>
      <c r="AS242" s="202"/>
      <c r="AT242" s="202"/>
      <c r="AU242" s="202"/>
      <c r="AV242" s="202"/>
      <c r="AW242" s="202"/>
      <c r="AX242" s="202"/>
      <c r="AY242" s="202"/>
      <c r="AZ242" s="202"/>
      <c r="BA242" s="202"/>
      <c r="BB242" s="202"/>
      <c r="BC242" s="202"/>
      <c r="BD242" s="202"/>
      <c r="BE242" s="202"/>
      <c r="BF242" s="202"/>
      <c r="BG242" s="202"/>
      <c r="BH242" s="202"/>
      <c r="BI242" s="202"/>
      <c r="BJ242" s="202"/>
      <c r="BK242" s="202"/>
      <c r="BL242" s="202"/>
      <c r="BM242" s="202"/>
      <c r="BN242" s="202"/>
      <c r="BO242" s="202"/>
      <c r="BP242" s="182"/>
    </row>
    <row r="243" spans="1:68" ht="12.75" hidden="1" customHeight="1" x14ac:dyDescent="0.3">
      <c r="A243" s="982"/>
      <c r="D243" s="944"/>
      <c r="E243" s="183"/>
      <c r="F243" s="218" t="s">
        <v>492</v>
      </c>
      <c r="G243" s="222">
        <v>484</v>
      </c>
      <c r="H243" s="222">
        <v>471</v>
      </c>
      <c r="I243" s="222">
        <v>427</v>
      </c>
      <c r="J243" s="222">
        <v>415</v>
      </c>
      <c r="K243" s="222">
        <v>478</v>
      </c>
      <c r="L243" s="223">
        <v>585</v>
      </c>
      <c r="M243" s="223">
        <v>502</v>
      </c>
      <c r="N243" s="223">
        <v>523</v>
      </c>
      <c r="O243" s="223">
        <v>435</v>
      </c>
      <c r="P243" s="223">
        <v>536</v>
      </c>
      <c r="Q243" s="223">
        <f t="shared" ref="Q243:R243" si="279">AVERAGE(N243:P243)</f>
        <v>498</v>
      </c>
      <c r="R243" s="223">
        <f t="shared" si="279"/>
        <v>489.66666666666669</v>
      </c>
      <c r="S243" s="202"/>
      <c r="T243" s="202"/>
      <c r="U243" s="202"/>
      <c r="V243" s="202"/>
      <c r="W243" s="202"/>
      <c r="X243" s="202"/>
      <c r="Y243" s="202"/>
      <c r="Z243" s="202"/>
      <c r="AA243" s="202"/>
      <c r="AB243" s="202"/>
      <c r="AC243" s="202"/>
      <c r="AD243" s="202"/>
      <c r="AE243" s="202"/>
      <c r="AF243" s="202"/>
      <c r="AG243" s="202"/>
      <c r="AH243" s="202"/>
      <c r="AI243" s="202"/>
      <c r="AJ243" s="202"/>
      <c r="AK243" s="202"/>
      <c r="AL243" s="202"/>
      <c r="AM243" s="202"/>
      <c r="AN243" s="202"/>
      <c r="AO243" s="202"/>
      <c r="AP243" s="202"/>
      <c r="AQ243" s="202"/>
      <c r="AR243" s="202"/>
      <c r="AS243" s="202"/>
      <c r="AT243" s="202"/>
      <c r="AU243" s="202"/>
      <c r="AV243" s="202"/>
      <c r="AW243" s="202"/>
      <c r="AX243" s="202"/>
      <c r="AY243" s="202"/>
      <c r="AZ243" s="202"/>
      <c r="BA243" s="202"/>
      <c r="BB243" s="202"/>
      <c r="BC243" s="202"/>
      <c r="BD243" s="202"/>
      <c r="BE243" s="202"/>
      <c r="BF243" s="202"/>
      <c r="BG243" s="202"/>
      <c r="BH243" s="202"/>
      <c r="BI243" s="202"/>
      <c r="BJ243" s="202"/>
      <c r="BK243" s="202"/>
      <c r="BL243" s="202"/>
      <c r="BM243" s="202"/>
      <c r="BN243" s="202"/>
      <c r="BO243" s="202"/>
      <c r="BP243" s="182"/>
    </row>
    <row r="244" spans="1:68" ht="12.75" hidden="1" customHeight="1" x14ac:dyDescent="0.3">
      <c r="A244" s="982"/>
      <c r="D244" s="944"/>
      <c r="E244" s="183"/>
      <c r="F244" s="218" t="s">
        <v>493</v>
      </c>
      <c r="G244" s="222">
        <v>79</v>
      </c>
      <c r="H244" s="222">
        <v>81</v>
      </c>
      <c r="I244" s="222">
        <v>88</v>
      </c>
      <c r="J244" s="222">
        <v>70</v>
      </c>
      <c r="K244" s="222">
        <v>94</v>
      </c>
      <c r="L244" s="223">
        <v>106</v>
      </c>
      <c r="M244" s="223">
        <v>62</v>
      </c>
      <c r="N244" s="223">
        <v>81</v>
      </c>
      <c r="O244" s="223">
        <v>75</v>
      </c>
      <c r="P244" s="223">
        <v>84</v>
      </c>
      <c r="Q244" s="223">
        <f t="shared" ref="Q244:R244" si="280">AVERAGE(N244:P244)</f>
        <v>80</v>
      </c>
      <c r="R244" s="223">
        <f t="shared" si="280"/>
        <v>79.666666666666671</v>
      </c>
      <c r="S244" s="202"/>
      <c r="T244" s="202"/>
      <c r="U244" s="202"/>
      <c r="V244" s="202"/>
      <c r="W244" s="202"/>
      <c r="X244" s="202"/>
      <c r="Y244" s="202"/>
      <c r="Z244" s="202"/>
      <c r="AA244" s="202"/>
      <c r="AB244" s="202"/>
      <c r="AC244" s="202"/>
      <c r="AD244" s="202"/>
      <c r="AE244" s="202"/>
      <c r="AF244" s="202"/>
      <c r="AG244" s="202"/>
      <c r="AH244" s="202"/>
      <c r="AI244" s="202"/>
      <c r="AJ244" s="202"/>
      <c r="AK244" s="202"/>
      <c r="AL244" s="202"/>
      <c r="AM244" s="202"/>
      <c r="AN244" s="202"/>
      <c r="AO244" s="202"/>
      <c r="AP244" s="202"/>
      <c r="AQ244" s="202"/>
      <c r="AR244" s="202"/>
      <c r="AS244" s="202"/>
      <c r="AT244" s="202"/>
      <c r="AU244" s="202"/>
      <c r="AV244" s="202"/>
      <c r="AW244" s="202"/>
      <c r="AX244" s="202"/>
      <c r="AY244" s="202"/>
      <c r="AZ244" s="202"/>
      <c r="BA244" s="202"/>
      <c r="BB244" s="202"/>
      <c r="BC244" s="202"/>
      <c r="BD244" s="202"/>
      <c r="BE244" s="202"/>
      <c r="BF244" s="202"/>
      <c r="BG244" s="202"/>
      <c r="BH244" s="202"/>
      <c r="BI244" s="202"/>
      <c r="BJ244" s="202"/>
      <c r="BK244" s="202"/>
      <c r="BL244" s="202"/>
      <c r="BM244" s="202"/>
      <c r="BN244" s="202"/>
      <c r="BO244" s="202"/>
      <c r="BP244" s="182"/>
    </row>
    <row r="245" spans="1:68" ht="12.75" hidden="1" customHeight="1" x14ac:dyDescent="0.3">
      <c r="A245" s="982"/>
      <c r="D245" s="944"/>
      <c r="E245" s="183"/>
      <c r="F245" s="218" t="s">
        <v>494</v>
      </c>
      <c r="G245" s="222">
        <v>0</v>
      </c>
      <c r="H245" s="222">
        <v>0</v>
      </c>
      <c r="I245" s="222">
        <v>0</v>
      </c>
      <c r="J245" s="222">
        <v>0</v>
      </c>
      <c r="K245" s="222">
        <v>0</v>
      </c>
      <c r="L245" s="223">
        <v>0</v>
      </c>
      <c r="M245" s="223">
        <v>0</v>
      </c>
      <c r="N245" s="223">
        <v>0</v>
      </c>
      <c r="O245" s="223">
        <v>0</v>
      </c>
      <c r="P245" s="223">
        <v>0</v>
      </c>
      <c r="Q245" s="223">
        <f t="shared" ref="Q245:R245" si="281">AVERAGE(N245:P245)</f>
        <v>0</v>
      </c>
      <c r="R245" s="223">
        <f t="shared" si="281"/>
        <v>0</v>
      </c>
      <c r="S245" s="202"/>
      <c r="T245" s="202"/>
      <c r="U245" s="202"/>
      <c r="V245" s="202"/>
      <c r="W245" s="202"/>
      <c r="X245" s="202"/>
      <c r="Y245" s="202"/>
      <c r="Z245" s="202"/>
      <c r="AA245" s="202"/>
      <c r="AB245" s="202"/>
      <c r="AC245" s="202"/>
      <c r="AD245" s="202"/>
      <c r="AE245" s="202"/>
      <c r="AF245" s="202"/>
      <c r="AG245" s="202"/>
      <c r="AH245" s="202"/>
      <c r="AI245" s="202"/>
      <c r="AJ245" s="202"/>
      <c r="AK245" s="202"/>
      <c r="AL245" s="202"/>
      <c r="AM245" s="202"/>
      <c r="AN245" s="202"/>
      <c r="AO245" s="202"/>
      <c r="AP245" s="202"/>
      <c r="AQ245" s="202"/>
      <c r="AR245" s="202"/>
      <c r="AS245" s="202"/>
      <c r="AT245" s="202"/>
      <c r="AU245" s="202"/>
      <c r="AV245" s="202"/>
      <c r="AW245" s="202"/>
      <c r="AX245" s="202"/>
      <c r="AY245" s="202"/>
      <c r="AZ245" s="202"/>
      <c r="BA245" s="202"/>
      <c r="BB245" s="202"/>
      <c r="BC245" s="202"/>
      <c r="BD245" s="202"/>
      <c r="BE245" s="202"/>
      <c r="BF245" s="202"/>
      <c r="BG245" s="202"/>
      <c r="BH245" s="202"/>
      <c r="BI245" s="202"/>
      <c r="BJ245" s="202"/>
      <c r="BK245" s="202"/>
      <c r="BL245" s="202"/>
      <c r="BM245" s="202"/>
      <c r="BN245" s="202"/>
      <c r="BO245" s="202"/>
      <c r="BP245" s="182"/>
    </row>
    <row r="246" spans="1:68" ht="12.75" hidden="1" customHeight="1" x14ac:dyDescent="0.3">
      <c r="A246" s="982"/>
      <c r="D246" s="944"/>
      <c r="E246" s="183"/>
      <c r="F246" s="218" t="s">
        <v>495</v>
      </c>
      <c r="G246" s="218">
        <v>1</v>
      </c>
      <c r="H246" s="218">
        <v>2</v>
      </c>
      <c r="I246" s="218">
        <v>1</v>
      </c>
      <c r="J246" s="218">
        <v>2</v>
      </c>
      <c r="K246" s="222">
        <v>1</v>
      </c>
      <c r="L246" s="223">
        <v>1</v>
      </c>
      <c r="M246" s="223">
        <v>1</v>
      </c>
      <c r="N246" s="223">
        <v>1</v>
      </c>
      <c r="O246" s="223">
        <v>1</v>
      </c>
      <c r="P246" s="223">
        <v>1</v>
      </c>
      <c r="Q246" s="223">
        <f t="shared" ref="Q246:R246" si="282">AVERAGE(N246:P246)</f>
        <v>1</v>
      </c>
      <c r="R246" s="223">
        <f t="shared" si="282"/>
        <v>1</v>
      </c>
      <c r="S246" s="202"/>
      <c r="T246" s="202"/>
      <c r="U246" s="202"/>
      <c r="V246" s="202"/>
      <c r="W246" s="202"/>
      <c r="X246" s="202"/>
      <c r="Y246" s="202"/>
      <c r="Z246" s="202"/>
      <c r="AA246" s="202"/>
      <c r="AB246" s="202"/>
      <c r="AC246" s="202"/>
      <c r="AD246" s="202"/>
      <c r="AE246" s="202"/>
      <c r="AF246" s="202"/>
      <c r="AG246" s="202"/>
      <c r="AH246" s="202"/>
      <c r="AI246" s="202"/>
      <c r="AJ246" s="202"/>
      <c r="AK246" s="202"/>
      <c r="AL246" s="202"/>
      <c r="AM246" s="202"/>
      <c r="AN246" s="202"/>
      <c r="AO246" s="202"/>
      <c r="AP246" s="202"/>
      <c r="AQ246" s="202"/>
      <c r="AR246" s="202"/>
      <c r="AS246" s="202"/>
      <c r="AT246" s="202"/>
      <c r="AU246" s="202"/>
      <c r="AV246" s="202"/>
      <c r="AW246" s="202"/>
      <c r="AX246" s="202"/>
      <c r="AY246" s="202"/>
      <c r="AZ246" s="202"/>
      <c r="BA246" s="202"/>
      <c r="BB246" s="202"/>
      <c r="BC246" s="202"/>
      <c r="BD246" s="202"/>
      <c r="BE246" s="202"/>
      <c r="BF246" s="202"/>
      <c r="BG246" s="202"/>
      <c r="BH246" s="202"/>
      <c r="BI246" s="202"/>
      <c r="BJ246" s="202"/>
      <c r="BK246" s="202"/>
      <c r="BL246" s="202"/>
      <c r="BM246" s="202"/>
      <c r="BN246" s="202"/>
      <c r="BO246" s="202"/>
      <c r="BP246" s="182"/>
    </row>
    <row r="247" spans="1:68" ht="12.75" hidden="1" customHeight="1" x14ac:dyDescent="0.3">
      <c r="A247" s="982"/>
      <c r="D247" s="944"/>
      <c r="E247" s="183"/>
      <c r="F247" s="218" t="s">
        <v>496</v>
      </c>
      <c r="G247" s="218"/>
      <c r="H247" s="218"/>
      <c r="I247" s="218"/>
      <c r="J247" s="218"/>
      <c r="K247" s="218"/>
      <c r="L247" s="223"/>
      <c r="M247" s="223"/>
      <c r="N247" s="223"/>
      <c r="O247" s="223"/>
      <c r="P247" s="223"/>
      <c r="Q247" s="223"/>
      <c r="R247" s="223"/>
      <c r="S247" s="202"/>
      <c r="T247" s="202"/>
      <c r="U247" s="202"/>
      <c r="V247" s="202"/>
      <c r="W247" s="202"/>
      <c r="X247" s="202"/>
      <c r="Y247" s="202"/>
      <c r="Z247" s="202"/>
      <c r="AA247" s="202"/>
      <c r="AB247" s="202"/>
      <c r="AC247" s="202"/>
      <c r="AD247" s="202"/>
      <c r="AE247" s="202"/>
      <c r="AF247" s="202"/>
      <c r="AG247" s="202"/>
      <c r="AH247" s="202"/>
      <c r="AI247" s="202"/>
      <c r="AJ247" s="202"/>
      <c r="AK247" s="202"/>
      <c r="AL247" s="202"/>
      <c r="AM247" s="202"/>
      <c r="AN247" s="202"/>
      <c r="AO247" s="202"/>
      <c r="AP247" s="202"/>
      <c r="AQ247" s="202"/>
      <c r="AR247" s="202"/>
      <c r="AS247" s="202"/>
      <c r="AT247" s="202"/>
      <c r="AU247" s="202"/>
      <c r="AV247" s="202"/>
      <c r="AW247" s="202"/>
      <c r="AX247" s="202"/>
      <c r="AY247" s="202"/>
      <c r="AZ247" s="202"/>
      <c r="BA247" s="202"/>
      <c r="BB247" s="202"/>
      <c r="BC247" s="202"/>
      <c r="BD247" s="202"/>
      <c r="BE247" s="202"/>
      <c r="BF247" s="202"/>
      <c r="BG247" s="202"/>
      <c r="BH247" s="202"/>
      <c r="BI247" s="202"/>
      <c r="BJ247" s="202"/>
      <c r="BK247" s="202"/>
      <c r="BL247" s="202"/>
      <c r="BM247" s="202"/>
      <c r="BN247" s="202"/>
      <c r="BO247" s="202"/>
      <c r="BP247" s="182"/>
    </row>
    <row r="248" spans="1:68" ht="12.75" hidden="1" customHeight="1" x14ac:dyDescent="0.3">
      <c r="A248" s="982"/>
      <c r="D248" s="944"/>
      <c r="E248" s="183"/>
      <c r="F248" s="218" t="s">
        <v>497</v>
      </c>
      <c r="G248" s="218">
        <v>1</v>
      </c>
      <c r="H248" s="218">
        <v>1</v>
      </c>
      <c r="I248" s="218">
        <v>1</v>
      </c>
      <c r="J248" s="218">
        <v>1</v>
      </c>
      <c r="K248" s="218">
        <v>1</v>
      </c>
      <c r="L248" s="223">
        <v>1</v>
      </c>
      <c r="M248" s="223">
        <v>1</v>
      </c>
      <c r="N248" s="223">
        <v>1</v>
      </c>
      <c r="O248" s="223">
        <v>1</v>
      </c>
      <c r="P248" s="223">
        <v>1</v>
      </c>
      <c r="Q248" s="223">
        <f t="shared" ref="Q248:R248" si="283">AVERAGE(N248:P248)</f>
        <v>1</v>
      </c>
      <c r="R248" s="223">
        <f t="shared" si="283"/>
        <v>1</v>
      </c>
      <c r="S248" s="202"/>
      <c r="T248" s="202"/>
      <c r="U248" s="202"/>
      <c r="V248" s="202"/>
      <c r="W248" s="202"/>
      <c r="X248" s="202"/>
      <c r="Y248" s="202"/>
      <c r="Z248" s="202"/>
      <c r="AA248" s="202"/>
      <c r="AB248" s="202"/>
      <c r="AC248" s="202"/>
      <c r="AD248" s="202"/>
      <c r="AE248" s="202"/>
      <c r="AF248" s="202"/>
      <c r="AG248" s="202"/>
      <c r="AH248" s="202"/>
      <c r="AI248" s="202"/>
      <c r="AJ248" s="202"/>
      <c r="AK248" s="202"/>
      <c r="AL248" s="202"/>
      <c r="AM248" s="202"/>
      <c r="AN248" s="202"/>
      <c r="AO248" s="202"/>
      <c r="AP248" s="202"/>
      <c r="AQ248" s="202"/>
      <c r="AR248" s="202"/>
      <c r="AS248" s="202"/>
      <c r="AT248" s="202"/>
      <c r="AU248" s="202"/>
      <c r="AV248" s="202"/>
      <c r="AW248" s="202"/>
      <c r="AX248" s="202"/>
      <c r="AY248" s="202"/>
      <c r="AZ248" s="202"/>
      <c r="BA248" s="202"/>
      <c r="BB248" s="202"/>
      <c r="BC248" s="202"/>
      <c r="BD248" s="202"/>
      <c r="BE248" s="202"/>
      <c r="BF248" s="202"/>
      <c r="BG248" s="202"/>
      <c r="BH248" s="202"/>
      <c r="BI248" s="202"/>
      <c r="BJ248" s="202"/>
      <c r="BK248" s="202"/>
      <c r="BL248" s="202"/>
      <c r="BM248" s="202"/>
      <c r="BN248" s="202"/>
      <c r="BO248" s="202"/>
      <c r="BP248" s="182"/>
    </row>
    <row r="249" spans="1:68" ht="12.75" hidden="1" customHeight="1" x14ac:dyDescent="0.3">
      <c r="A249" s="982"/>
      <c r="D249" s="944"/>
      <c r="E249" s="183"/>
      <c r="F249" s="218" t="s">
        <v>498</v>
      </c>
      <c r="G249" s="222">
        <v>12</v>
      </c>
      <c r="H249" s="222">
        <v>11</v>
      </c>
      <c r="I249" s="222">
        <v>11</v>
      </c>
      <c r="J249" s="222">
        <v>11</v>
      </c>
      <c r="K249" s="222">
        <v>16</v>
      </c>
      <c r="L249" s="223">
        <v>18</v>
      </c>
      <c r="M249" s="223">
        <v>19</v>
      </c>
      <c r="N249" s="223">
        <v>23</v>
      </c>
      <c r="O249" s="223">
        <v>23</v>
      </c>
      <c r="P249" s="223">
        <v>24</v>
      </c>
      <c r="Q249" s="223">
        <f t="shared" ref="Q249:R249" si="284">AVERAGE(N249:P249)</f>
        <v>23.333333333333332</v>
      </c>
      <c r="R249" s="223">
        <f t="shared" si="284"/>
        <v>23.444444444444443</v>
      </c>
      <c r="S249" s="202"/>
      <c r="T249" s="202"/>
      <c r="U249" s="202"/>
      <c r="V249" s="202"/>
      <c r="W249" s="202"/>
      <c r="X249" s="202"/>
      <c r="Y249" s="202"/>
      <c r="Z249" s="202"/>
      <c r="AA249" s="202"/>
      <c r="AB249" s="202"/>
      <c r="AC249" s="202"/>
      <c r="AD249" s="202"/>
      <c r="AE249" s="202"/>
      <c r="AF249" s="202"/>
      <c r="AG249" s="202"/>
      <c r="AH249" s="202"/>
      <c r="AI249" s="202"/>
      <c r="AJ249" s="202"/>
      <c r="AK249" s="202"/>
      <c r="AL249" s="202"/>
      <c r="AM249" s="202"/>
      <c r="AN249" s="202"/>
      <c r="AO249" s="202"/>
      <c r="AP249" s="202"/>
      <c r="AQ249" s="202"/>
      <c r="AR249" s="202"/>
      <c r="AS249" s="202"/>
      <c r="AT249" s="202"/>
      <c r="AU249" s="202"/>
      <c r="AV249" s="202"/>
      <c r="AW249" s="202"/>
      <c r="AX249" s="202"/>
      <c r="AY249" s="202"/>
      <c r="AZ249" s="202"/>
      <c r="BA249" s="202"/>
      <c r="BB249" s="202"/>
      <c r="BC249" s="202"/>
      <c r="BD249" s="202"/>
      <c r="BE249" s="202"/>
      <c r="BF249" s="202"/>
      <c r="BG249" s="202"/>
      <c r="BH249" s="202"/>
      <c r="BI249" s="202"/>
      <c r="BJ249" s="202"/>
      <c r="BK249" s="202"/>
      <c r="BL249" s="202"/>
      <c r="BM249" s="202"/>
      <c r="BN249" s="202"/>
      <c r="BO249" s="202"/>
      <c r="BP249" s="182"/>
    </row>
    <row r="250" spans="1:68" ht="12.75" hidden="1" customHeight="1" x14ac:dyDescent="0.3">
      <c r="A250" s="982"/>
      <c r="D250" s="944"/>
      <c r="E250" s="183"/>
      <c r="F250" s="218" t="s">
        <v>499</v>
      </c>
      <c r="G250" s="222">
        <v>12</v>
      </c>
      <c r="H250" s="222">
        <v>9</v>
      </c>
      <c r="I250" s="222">
        <v>9</v>
      </c>
      <c r="J250" s="222">
        <v>10</v>
      </c>
      <c r="K250" s="222">
        <v>13</v>
      </c>
      <c r="L250" s="223">
        <v>12</v>
      </c>
      <c r="M250" s="223">
        <v>12</v>
      </c>
      <c r="N250" s="223">
        <v>12</v>
      </c>
      <c r="O250" s="223">
        <v>9</v>
      </c>
      <c r="P250" s="223">
        <v>9</v>
      </c>
      <c r="Q250" s="223">
        <f t="shared" ref="Q250:R250" si="285">AVERAGE(N250:P250)</f>
        <v>10</v>
      </c>
      <c r="R250" s="223">
        <f t="shared" si="285"/>
        <v>9.3333333333333339</v>
      </c>
      <c r="S250" s="202"/>
      <c r="T250" s="202"/>
      <c r="U250" s="202"/>
      <c r="V250" s="202"/>
      <c r="W250" s="202"/>
      <c r="X250" s="202"/>
      <c r="Y250" s="202"/>
      <c r="Z250" s="202"/>
      <c r="AA250" s="202"/>
      <c r="AB250" s="202"/>
      <c r="AC250" s="202"/>
      <c r="AD250" s="202"/>
      <c r="AE250" s="202"/>
      <c r="AF250" s="202"/>
      <c r="AG250" s="202"/>
      <c r="AH250" s="202"/>
      <c r="AI250" s="202"/>
      <c r="AJ250" s="202"/>
      <c r="AK250" s="202"/>
      <c r="AL250" s="202"/>
      <c r="AM250" s="202"/>
      <c r="AN250" s="202"/>
      <c r="AO250" s="202"/>
      <c r="AP250" s="202"/>
      <c r="AQ250" s="202"/>
      <c r="AR250" s="202"/>
      <c r="AS250" s="202"/>
      <c r="AT250" s="202"/>
      <c r="AU250" s="202"/>
      <c r="AV250" s="202"/>
      <c r="AW250" s="202"/>
      <c r="AX250" s="202"/>
      <c r="AY250" s="202"/>
      <c r="AZ250" s="202"/>
      <c r="BA250" s="202"/>
      <c r="BB250" s="202"/>
      <c r="BC250" s="202"/>
      <c r="BD250" s="202"/>
      <c r="BE250" s="202"/>
      <c r="BF250" s="202"/>
      <c r="BG250" s="202"/>
      <c r="BH250" s="202"/>
      <c r="BI250" s="202"/>
      <c r="BJ250" s="202"/>
      <c r="BK250" s="202"/>
      <c r="BL250" s="202"/>
      <c r="BM250" s="202"/>
      <c r="BN250" s="202"/>
      <c r="BO250" s="202"/>
      <c r="BP250" s="182"/>
    </row>
    <row r="251" spans="1:68" ht="12.75" hidden="1" customHeight="1" x14ac:dyDescent="0.3">
      <c r="A251" s="982"/>
      <c r="D251" s="944"/>
      <c r="E251" s="183"/>
      <c r="F251" s="218" t="s">
        <v>500</v>
      </c>
      <c r="G251" s="222">
        <v>19</v>
      </c>
      <c r="H251" s="222">
        <v>16</v>
      </c>
      <c r="I251" s="222">
        <v>18</v>
      </c>
      <c r="J251" s="222">
        <v>19</v>
      </c>
      <c r="K251" s="222">
        <v>28</v>
      </c>
      <c r="L251" s="223">
        <v>37</v>
      </c>
      <c r="M251" s="223">
        <v>20</v>
      </c>
      <c r="N251" s="223">
        <v>32</v>
      </c>
      <c r="O251" s="223">
        <v>26</v>
      </c>
      <c r="P251" s="223">
        <v>29</v>
      </c>
      <c r="Q251" s="223">
        <f t="shared" ref="Q251:R251" si="286">AVERAGE(N251:P251)</f>
        <v>29</v>
      </c>
      <c r="R251" s="223">
        <f t="shared" si="286"/>
        <v>28</v>
      </c>
      <c r="S251" s="202"/>
      <c r="T251" s="202"/>
      <c r="U251" s="202"/>
      <c r="V251" s="202"/>
      <c r="W251" s="202"/>
      <c r="X251" s="202"/>
      <c r="Y251" s="202"/>
      <c r="Z251" s="202"/>
      <c r="AA251" s="202"/>
      <c r="AB251" s="202"/>
      <c r="AC251" s="202"/>
      <c r="AD251" s="202"/>
      <c r="AE251" s="202"/>
      <c r="AF251" s="202"/>
      <c r="AG251" s="202"/>
      <c r="AH251" s="202"/>
      <c r="AI251" s="202"/>
      <c r="AJ251" s="202"/>
      <c r="AK251" s="202"/>
      <c r="AL251" s="202"/>
      <c r="AM251" s="202"/>
      <c r="AN251" s="202"/>
      <c r="AO251" s="202"/>
      <c r="AP251" s="202"/>
      <c r="AQ251" s="202"/>
      <c r="AR251" s="202"/>
      <c r="AS251" s="202"/>
      <c r="AT251" s="202"/>
      <c r="AU251" s="202"/>
      <c r="AV251" s="202"/>
      <c r="AW251" s="202"/>
      <c r="AX251" s="202"/>
      <c r="AY251" s="202"/>
      <c r="AZ251" s="202"/>
      <c r="BA251" s="202"/>
      <c r="BB251" s="202"/>
      <c r="BC251" s="202"/>
      <c r="BD251" s="202"/>
      <c r="BE251" s="202"/>
      <c r="BF251" s="202"/>
      <c r="BG251" s="202"/>
      <c r="BH251" s="202"/>
      <c r="BI251" s="202"/>
      <c r="BJ251" s="202"/>
      <c r="BK251" s="202"/>
      <c r="BL251" s="202"/>
      <c r="BM251" s="202"/>
      <c r="BN251" s="202"/>
      <c r="BO251" s="202"/>
      <c r="BP251" s="182"/>
    </row>
    <row r="252" spans="1:68" ht="12.75" hidden="1" customHeight="1" x14ac:dyDescent="0.3">
      <c r="A252" s="982"/>
      <c r="D252" s="944"/>
      <c r="E252" s="183"/>
      <c r="F252" s="218" t="s">
        <v>501</v>
      </c>
      <c r="G252" s="222">
        <v>6</v>
      </c>
      <c r="H252" s="222">
        <v>4</v>
      </c>
      <c r="I252" s="222">
        <v>7</v>
      </c>
      <c r="J252" s="222">
        <v>1</v>
      </c>
      <c r="K252" s="222">
        <v>8</v>
      </c>
      <c r="L252" s="223">
        <v>7</v>
      </c>
      <c r="M252" s="223">
        <v>6</v>
      </c>
      <c r="N252" s="223">
        <v>7</v>
      </c>
      <c r="O252" s="223">
        <v>3</v>
      </c>
      <c r="P252" s="223">
        <v>3</v>
      </c>
      <c r="Q252" s="223">
        <f t="shared" ref="Q252:R252" si="287">AVERAGE(N252:P252)</f>
        <v>4.333333333333333</v>
      </c>
      <c r="R252" s="223">
        <f t="shared" si="287"/>
        <v>3.4444444444444442</v>
      </c>
      <c r="S252" s="202"/>
      <c r="T252" s="202"/>
      <c r="U252" s="202"/>
      <c r="V252" s="202"/>
      <c r="W252" s="202"/>
      <c r="X252" s="202"/>
      <c r="Y252" s="202"/>
      <c r="Z252" s="202"/>
      <c r="AA252" s="202"/>
      <c r="AB252" s="202"/>
      <c r="AC252" s="202"/>
      <c r="AD252" s="202"/>
      <c r="AE252" s="202"/>
      <c r="AF252" s="202"/>
      <c r="AG252" s="202"/>
      <c r="AH252" s="202"/>
      <c r="AI252" s="202"/>
      <c r="AJ252" s="202"/>
      <c r="AK252" s="202"/>
      <c r="AL252" s="202"/>
      <c r="AM252" s="202"/>
      <c r="AN252" s="202"/>
      <c r="AO252" s="202"/>
      <c r="AP252" s="202"/>
      <c r="AQ252" s="202"/>
      <c r="AR252" s="202"/>
      <c r="AS252" s="202"/>
      <c r="AT252" s="202"/>
      <c r="AU252" s="202"/>
      <c r="AV252" s="202"/>
      <c r="AW252" s="202"/>
      <c r="AX252" s="202"/>
      <c r="AY252" s="202"/>
      <c r="AZ252" s="202"/>
      <c r="BA252" s="202"/>
      <c r="BB252" s="202"/>
      <c r="BC252" s="202"/>
      <c r="BD252" s="202"/>
      <c r="BE252" s="202"/>
      <c r="BF252" s="202"/>
      <c r="BG252" s="202"/>
      <c r="BH252" s="202"/>
      <c r="BI252" s="202"/>
      <c r="BJ252" s="202"/>
      <c r="BK252" s="202"/>
      <c r="BL252" s="202"/>
      <c r="BM252" s="202"/>
      <c r="BN252" s="202"/>
      <c r="BO252" s="202"/>
      <c r="BP252" s="182"/>
    </row>
    <row r="253" spans="1:68" ht="12.75" hidden="1" customHeight="1" x14ac:dyDescent="0.3">
      <c r="A253" s="982"/>
      <c r="D253" s="944"/>
      <c r="E253" s="183"/>
      <c r="F253" s="218" t="s">
        <v>502</v>
      </c>
      <c r="G253" s="222"/>
      <c r="H253" s="222"/>
      <c r="I253" s="222"/>
      <c r="J253" s="222"/>
      <c r="K253" s="222"/>
      <c r="L253" s="223"/>
      <c r="M253" s="223"/>
      <c r="N253" s="223"/>
      <c r="O253" s="223"/>
      <c r="P253" s="223"/>
      <c r="Q253" s="223"/>
      <c r="R253" s="211"/>
      <c r="S253" s="202"/>
      <c r="T253" s="202"/>
      <c r="U253" s="202"/>
      <c r="V253" s="202"/>
      <c r="W253" s="202"/>
      <c r="X253" s="202"/>
      <c r="Y253" s="202"/>
      <c r="Z253" s="202"/>
      <c r="AA253" s="202"/>
      <c r="AB253" s="202"/>
      <c r="AC253" s="202"/>
      <c r="AD253" s="202"/>
      <c r="AE253" s="202"/>
      <c r="AF253" s="202"/>
      <c r="AG253" s="202"/>
      <c r="AH253" s="202"/>
      <c r="AI253" s="202"/>
      <c r="AJ253" s="202"/>
      <c r="AK253" s="202"/>
      <c r="AL253" s="202"/>
      <c r="AM253" s="202"/>
      <c r="AN253" s="202"/>
      <c r="AO253" s="202"/>
      <c r="AP253" s="202"/>
      <c r="AQ253" s="202"/>
      <c r="AR253" s="202"/>
      <c r="AS253" s="202"/>
      <c r="AT253" s="202"/>
      <c r="AU253" s="202"/>
      <c r="AV253" s="202"/>
      <c r="AW253" s="202"/>
      <c r="AX253" s="202"/>
      <c r="AY253" s="202"/>
      <c r="AZ253" s="202"/>
      <c r="BA253" s="202"/>
      <c r="BB253" s="202"/>
      <c r="BC253" s="202"/>
      <c r="BD253" s="202"/>
      <c r="BE253" s="202"/>
      <c r="BF253" s="202"/>
      <c r="BG253" s="202"/>
      <c r="BH253" s="202"/>
      <c r="BI253" s="202"/>
      <c r="BJ253" s="202"/>
      <c r="BK253" s="202"/>
      <c r="BL253" s="202"/>
      <c r="BM253" s="202"/>
      <c r="BN253" s="202"/>
      <c r="BO253" s="202"/>
      <c r="BP253" s="182"/>
    </row>
    <row r="254" spans="1:68" ht="12.75" hidden="1" customHeight="1" x14ac:dyDescent="0.3">
      <c r="A254" s="960"/>
      <c r="B254" s="960"/>
      <c r="C254" s="960"/>
      <c r="D254" s="944"/>
      <c r="E254" s="183"/>
      <c r="F254" s="221" t="s">
        <v>503</v>
      </c>
      <c r="G254" s="216"/>
      <c r="H254" s="216"/>
      <c r="I254" s="216"/>
      <c r="J254" s="216"/>
      <c r="K254" s="216"/>
      <c r="L254" s="217"/>
      <c r="M254" s="217"/>
      <c r="N254" s="945"/>
      <c r="O254" s="945"/>
      <c r="P254" s="945"/>
      <c r="Q254" s="945"/>
      <c r="R254" s="181"/>
      <c r="S254" s="181"/>
      <c r="T254" s="181"/>
      <c r="U254" s="181"/>
      <c r="V254" s="181"/>
      <c r="W254" s="181"/>
      <c r="X254" s="181"/>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181"/>
      <c r="AU254" s="181"/>
      <c r="AV254" s="181"/>
      <c r="AW254" s="181"/>
      <c r="AX254" s="181"/>
      <c r="AY254" s="181"/>
      <c r="AZ254" s="181"/>
      <c r="BA254" s="181"/>
      <c r="BB254" s="181"/>
      <c r="BC254" s="181"/>
      <c r="BD254" s="181"/>
      <c r="BE254" s="181"/>
      <c r="BF254" s="181"/>
      <c r="BG254" s="181"/>
      <c r="BH254" s="181"/>
      <c r="BI254" s="181"/>
      <c r="BJ254" s="181"/>
      <c r="BK254" s="181"/>
      <c r="BL254" s="181"/>
      <c r="BM254" s="181"/>
      <c r="BN254" s="181"/>
      <c r="BO254" s="181"/>
      <c r="BP254" s="182"/>
    </row>
    <row r="255" spans="1:68" ht="12.75" hidden="1" customHeight="1" x14ac:dyDescent="0.3">
      <c r="A255" s="1198" t="s">
        <v>504</v>
      </c>
      <c r="B255" s="967"/>
      <c r="C255" s="967"/>
      <c r="D255" s="944"/>
      <c r="E255" s="183"/>
      <c r="F255" s="218" t="s">
        <v>505</v>
      </c>
      <c r="G255" s="222">
        <f t="shared" ref="G255:Q255" si="288">(G225*G$223)/1000000000+G240/1000</f>
        <v>1.3077728722000002</v>
      </c>
      <c r="H255" s="222">
        <f t="shared" si="288"/>
        <v>1.2938247837399999</v>
      </c>
      <c r="I255" s="222">
        <f t="shared" si="288"/>
        <v>1.3175468497799998</v>
      </c>
      <c r="J255" s="222">
        <f t="shared" si="288"/>
        <v>0.67493644494000005</v>
      </c>
      <c r="K255" s="222">
        <f t="shared" si="288"/>
        <v>0.96897654840000003</v>
      </c>
      <c r="L255" s="223">
        <f t="shared" si="288"/>
        <v>0.90659277128000004</v>
      </c>
      <c r="M255" s="223">
        <f t="shared" si="288"/>
        <v>0.8728772661333335</v>
      </c>
      <c r="N255" s="223">
        <f t="shared" si="288"/>
        <v>0.94103308186444456</v>
      </c>
      <c r="O255" s="223">
        <f t="shared" si="288"/>
        <v>0.93219199613629644</v>
      </c>
      <c r="P255" s="223">
        <f t="shared" si="288"/>
        <v>0.94233244529135818</v>
      </c>
      <c r="Q255" s="223">
        <f t="shared" si="288"/>
        <v>0.96420027431407418</v>
      </c>
      <c r="R255" s="211"/>
      <c r="S255" s="202"/>
      <c r="T255" s="202"/>
      <c r="U255" s="202"/>
      <c r="V255" s="202"/>
      <c r="W255" s="202"/>
      <c r="X255" s="202"/>
      <c r="Y255" s="202"/>
      <c r="Z255" s="202"/>
      <c r="AA255" s="202"/>
      <c r="AB255" s="202"/>
      <c r="AC255" s="202"/>
      <c r="AD255" s="202"/>
      <c r="AE255" s="202"/>
      <c r="AF255" s="202"/>
      <c r="AG255" s="202"/>
      <c r="AH255" s="202"/>
      <c r="AI255" s="202"/>
      <c r="AJ255" s="202"/>
      <c r="AK255" s="202"/>
      <c r="AL255" s="202"/>
      <c r="AM255" s="202"/>
      <c r="AN255" s="202"/>
      <c r="AO255" s="202"/>
      <c r="AP255" s="202"/>
      <c r="AQ255" s="202"/>
      <c r="AR255" s="202"/>
      <c r="AS255" s="202"/>
      <c r="AT255" s="202"/>
      <c r="AU255" s="202"/>
      <c r="AV255" s="202"/>
      <c r="AW255" s="202"/>
      <c r="AX255" s="202"/>
      <c r="AY255" s="202"/>
      <c r="AZ255" s="202"/>
      <c r="BA255" s="202"/>
      <c r="BB255" s="202"/>
      <c r="BC255" s="202"/>
      <c r="BD255" s="202"/>
      <c r="BE255" s="202"/>
      <c r="BF255" s="202"/>
      <c r="BG255" s="202"/>
      <c r="BH255" s="202"/>
      <c r="BI255" s="202"/>
      <c r="BJ255" s="202"/>
      <c r="BK255" s="202"/>
      <c r="BL255" s="202"/>
      <c r="BM255" s="202"/>
      <c r="BN255" s="202"/>
      <c r="BO255" s="202"/>
      <c r="BP255" s="182"/>
    </row>
    <row r="256" spans="1:68" ht="12.75" hidden="1" customHeight="1" x14ac:dyDescent="0.3">
      <c r="A256" s="982"/>
      <c r="D256" s="944"/>
      <c r="E256" s="183"/>
      <c r="F256" s="218" t="s">
        <v>414</v>
      </c>
      <c r="G256" s="222">
        <f t="shared" ref="G256:R256" si="289">(G226*G$223)/1000000000+G241/1000</f>
        <v>6.5751435755603563E-2</v>
      </c>
      <c r="H256" s="222">
        <f t="shared" si="289"/>
        <v>7.0752487154142896E-2</v>
      </c>
      <c r="I256" s="222">
        <f t="shared" si="289"/>
        <v>6.7765313225738352E-2</v>
      </c>
      <c r="J256" s="222">
        <f t="shared" si="289"/>
        <v>6.8705959062051056E-2</v>
      </c>
      <c r="K256" s="222">
        <f t="shared" si="289"/>
        <v>7.1750719596201024E-2</v>
      </c>
      <c r="L256" s="223">
        <f t="shared" si="289"/>
        <v>7.378449975862332E-2</v>
      </c>
      <c r="M256" s="223">
        <f t="shared" si="289"/>
        <v>7.4489019196322059E-2</v>
      </c>
      <c r="N256" s="223">
        <f t="shared" si="289"/>
        <v>7.7861718535449445E-2</v>
      </c>
      <c r="O256" s="223">
        <f t="shared" si="289"/>
        <v>8.0857443540089516E-2</v>
      </c>
      <c r="P256" s="223">
        <f t="shared" si="289"/>
        <v>8.2512694285325858E-2</v>
      </c>
      <c r="Q256" s="223">
        <f t="shared" si="289"/>
        <v>8.4007297411843401E-2</v>
      </c>
      <c r="R256" s="223">
        <f t="shared" si="289"/>
        <v>8.7444753199804687E-2</v>
      </c>
      <c r="S256" s="202"/>
      <c r="T256" s="202"/>
      <c r="U256" s="202"/>
      <c r="V256" s="202"/>
      <c r="W256" s="202"/>
      <c r="X256" s="202"/>
      <c r="Y256" s="202"/>
      <c r="Z256" s="202"/>
      <c r="AA256" s="202"/>
      <c r="AB256" s="202"/>
      <c r="AC256" s="202"/>
      <c r="AD256" s="202"/>
      <c r="AE256" s="202"/>
      <c r="AF256" s="202"/>
      <c r="AG256" s="202"/>
      <c r="AH256" s="202"/>
      <c r="AI256" s="202"/>
      <c r="AJ256" s="202"/>
      <c r="AK256" s="202"/>
      <c r="AL256" s="202"/>
      <c r="AM256" s="202"/>
      <c r="AN256" s="202"/>
      <c r="AO256" s="202"/>
      <c r="AP256" s="202"/>
      <c r="AQ256" s="202"/>
      <c r="AR256" s="202"/>
      <c r="AS256" s="202"/>
      <c r="AT256" s="202"/>
      <c r="AU256" s="202"/>
      <c r="AV256" s="202"/>
      <c r="AW256" s="202"/>
      <c r="AX256" s="202"/>
      <c r="AY256" s="202"/>
      <c r="AZ256" s="202"/>
      <c r="BA256" s="202"/>
      <c r="BB256" s="202"/>
      <c r="BC256" s="202"/>
      <c r="BD256" s="202"/>
      <c r="BE256" s="202"/>
      <c r="BF256" s="202"/>
      <c r="BG256" s="202"/>
      <c r="BH256" s="202"/>
      <c r="BI256" s="202"/>
      <c r="BJ256" s="202"/>
      <c r="BK256" s="202"/>
      <c r="BL256" s="202"/>
      <c r="BM256" s="202"/>
      <c r="BN256" s="202"/>
      <c r="BO256" s="202"/>
      <c r="BP256" s="182"/>
    </row>
    <row r="257" spans="1:68" ht="12.75" hidden="1" customHeight="1" x14ac:dyDescent="0.3">
      <c r="A257" s="982"/>
      <c r="D257" s="944"/>
      <c r="E257" s="183"/>
      <c r="F257" s="218" t="s">
        <v>415</v>
      </c>
      <c r="G257" s="222">
        <f t="shared" ref="G257:R257" si="290">(G227*G$223)/1000000000+G242/1000</f>
        <v>1.2760085204352248E-2</v>
      </c>
      <c r="H257" s="222">
        <f t="shared" si="290"/>
        <v>1.2926504578248297E-2</v>
      </c>
      <c r="I257" s="222">
        <f t="shared" si="290"/>
        <v>1.1148236466530412E-2</v>
      </c>
      <c r="J257" s="222">
        <f t="shared" si="290"/>
        <v>1.1299042812211913E-2</v>
      </c>
      <c r="K257" s="222">
        <f t="shared" si="290"/>
        <v>1.1421487617996658E-2</v>
      </c>
      <c r="L257" s="223">
        <f t="shared" si="290"/>
        <v>1.1817038043695362E-2</v>
      </c>
      <c r="M257" s="223">
        <f t="shared" si="290"/>
        <v>1.1740167477728772E-2</v>
      </c>
      <c r="N257" s="223">
        <f t="shared" si="290"/>
        <v>1.1771677554897744E-2</v>
      </c>
      <c r="O257" s="223">
        <f t="shared" si="290"/>
        <v>1.3036462955000005E-2</v>
      </c>
      <c r="P257" s="223">
        <f t="shared" si="290"/>
        <v>1.1455800454000013E-2</v>
      </c>
      <c r="Q257" s="223">
        <f t="shared" si="290"/>
        <v>1.1833009661200012E-2</v>
      </c>
      <c r="R257" s="223">
        <f t="shared" si="290"/>
        <v>1.0036416577336411E-2</v>
      </c>
      <c r="S257" s="202"/>
      <c r="T257" s="202"/>
      <c r="U257" s="202"/>
      <c r="V257" s="202"/>
      <c r="W257" s="202"/>
      <c r="X257" s="202"/>
      <c r="Y257" s="202"/>
      <c r="Z257" s="202"/>
      <c r="AA257" s="202"/>
      <c r="AB257" s="202"/>
      <c r="AC257" s="202"/>
      <c r="AD257" s="202"/>
      <c r="AE257" s="202"/>
      <c r="AF257" s="202"/>
      <c r="AG257" s="202"/>
      <c r="AH257" s="202"/>
      <c r="AI257" s="202"/>
      <c r="AJ257" s="202"/>
      <c r="AK257" s="202"/>
      <c r="AL257" s="202"/>
      <c r="AM257" s="202"/>
      <c r="AN257" s="202"/>
      <c r="AO257" s="202"/>
      <c r="AP257" s="202"/>
      <c r="AQ257" s="202"/>
      <c r="AR257" s="202"/>
      <c r="AS257" s="202"/>
      <c r="AT257" s="202"/>
      <c r="AU257" s="202"/>
      <c r="AV257" s="202"/>
      <c r="AW257" s="202"/>
      <c r="AX257" s="202"/>
      <c r="AY257" s="202"/>
      <c r="AZ257" s="202"/>
      <c r="BA257" s="202"/>
      <c r="BB257" s="202"/>
      <c r="BC257" s="202"/>
      <c r="BD257" s="202"/>
      <c r="BE257" s="202"/>
      <c r="BF257" s="202"/>
      <c r="BG257" s="202"/>
      <c r="BH257" s="202"/>
      <c r="BI257" s="202"/>
      <c r="BJ257" s="202"/>
      <c r="BK257" s="202"/>
      <c r="BL257" s="202"/>
      <c r="BM257" s="202"/>
      <c r="BN257" s="202"/>
      <c r="BO257" s="202"/>
      <c r="BP257" s="182"/>
    </row>
    <row r="258" spans="1:68" ht="12.75" hidden="1" customHeight="1" x14ac:dyDescent="0.3">
      <c r="A258" s="982"/>
      <c r="D258" s="944"/>
      <c r="E258" s="183"/>
      <c r="F258" s="218" t="s">
        <v>416</v>
      </c>
      <c r="G258" s="222">
        <f t="shared" ref="G258:P258" si="291">(G228*G$223)/1000000000+G243/1000</f>
        <v>0.78484504911999997</v>
      </c>
      <c r="H258" s="222">
        <f t="shared" si="291"/>
        <v>0.77754993447999987</v>
      </c>
      <c r="I258" s="222">
        <f t="shared" si="291"/>
        <v>0.74161012271000004</v>
      </c>
      <c r="J258" s="222">
        <f t="shared" si="291"/>
        <v>0.73522740470000003</v>
      </c>
      <c r="K258" s="222">
        <f t="shared" si="291"/>
        <v>0.79919041863999996</v>
      </c>
      <c r="L258" s="223">
        <f t="shared" si="291"/>
        <v>0.91171639907999991</v>
      </c>
      <c r="M258" s="223">
        <f t="shared" si="291"/>
        <v>0.83505390950000002</v>
      </c>
      <c r="N258" s="223">
        <f t="shared" si="291"/>
        <v>0.86055277724000001</v>
      </c>
      <c r="O258" s="223">
        <f t="shared" si="291"/>
        <v>0.78074541647999995</v>
      </c>
      <c r="P258" s="223">
        <f t="shared" si="291"/>
        <v>0.8870581553800001</v>
      </c>
      <c r="Q258" s="223"/>
      <c r="R258" s="211"/>
      <c r="S258" s="202"/>
      <c r="T258" s="202"/>
      <c r="U258" s="202"/>
      <c r="V258" s="202"/>
      <c r="W258" s="202"/>
      <c r="X258" s="202"/>
      <c r="Y258" s="202"/>
      <c r="Z258" s="202"/>
      <c r="AA258" s="202"/>
      <c r="AB258" s="202"/>
      <c r="AC258" s="202"/>
      <c r="AD258" s="202"/>
      <c r="AE258" s="202"/>
      <c r="AF258" s="202"/>
      <c r="AG258" s="202"/>
      <c r="AH258" s="202"/>
      <c r="AI258" s="202"/>
      <c r="AJ258" s="202"/>
      <c r="AK258" s="202"/>
      <c r="AL258" s="202"/>
      <c r="AM258" s="202"/>
      <c r="AN258" s="202"/>
      <c r="AO258" s="202"/>
      <c r="AP258" s="202"/>
      <c r="AQ258" s="202"/>
      <c r="AR258" s="202"/>
      <c r="AS258" s="202"/>
      <c r="AT258" s="202"/>
      <c r="AU258" s="202"/>
      <c r="AV258" s="202"/>
      <c r="AW258" s="202"/>
      <c r="AX258" s="202"/>
      <c r="AY258" s="202"/>
      <c r="AZ258" s="202"/>
      <c r="BA258" s="202"/>
      <c r="BB258" s="202"/>
      <c r="BC258" s="202"/>
      <c r="BD258" s="202"/>
      <c r="BE258" s="202"/>
      <c r="BF258" s="202"/>
      <c r="BG258" s="202"/>
      <c r="BH258" s="202"/>
      <c r="BI258" s="202"/>
      <c r="BJ258" s="202"/>
      <c r="BK258" s="202"/>
      <c r="BL258" s="202"/>
      <c r="BM258" s="202"/>
      <c r="BN258" s="202"/>
      <c r="BO258" s="202"/>
      <c r="BP258" s="182"/>
    </row>
    <row r="259" spans="1:68" ht="12.75" hidden="1" customHeight="1" x14ac:dyDescent="0.3">
      <c r="A259" s="982"/>
      <c r="D259" s="944"/>
      <c r="E259" s="183"/>
      <c r="F259" s="218" t="s">
        <v>417</v>
      </c>
      <c r="G259" s="222">
        <f t="shared" ref="G259:P259" si="292">(G229*G$223)/1000000000+G244/1000</f>
        <v>0.64886417487999992</v>
      </c>
      <c r="H259" s="222">
        <f t="shared" si="292"/>
        <v>0.66310901403</v>
      </c>
      <c r="I259" s="222">
        <f t="shared" si="292"/>
        <v>0.70045759458000001</v>
      </c>
      <c r="J259" s="222">
        <f t="shared" si="292"/>
        <v>0.67322640176000004</v>
      </c>
      <c r="K259" s="222">
        <f t="shared" si="292"/>
        <v>0.7169876034199999</v>
      </c>
      <c r="L259" s="223">
        <f t="shared" si="292"/>
        <v>0.81250182960000006</v>
      </c>
      <c r="M259" s="223">
        <f t="shared" si="292"/>
        <v>0.77885102009999985</v>
      </c>
      <c r="N259" s="223">
        <f t="shared" si="292"/>
        <v>0.81146957858000002</v>
      </c>
      <c r="O259" s="223">
        <f t="shared" si="292"/>
        <v>0.82658346319999987</v>
      </c>
      <c r="P259" s="223">
        <f t="shared" si="292"/>
        <v>0.83533007086</v>
      </c>
      <c r="Q259" s="223"/>
      <c r="R259" s="211"/>
      <c r="S259" s="202"/>
      <c r="T259" s="202"/>
      <c r="U259" s="202"/>
      <c r="V259" s="202"/>
      <c r="W259" s="202"/>
      <c r="X259" s="202"/>
      <c r="Y259" s="202"/>
      <c r="Z259" s="202"/>
      <c r="AA259" s="202"/>
      <c r="AB259" s="202"/>
      <c r="AC259" s="202"/>
      <c r="AD259" s="202"/>
      <c r="AE259" s="202"/>
      <c r="AF259" s="202"/>
      <c r="AG259" s="202"/>
      <c r="AH259" s="202"/>
      <c r="AI259" s="202"/>
      <c r="AJ259" s="202"/>
      <c r="AK259" s="202"/>
      <c r="AL259" s="202"/>
      <c r="AM259" s="202"/>
      <c r="AN259" s="202"/>
      <c r="AO259" s="202"/>
      <c r="AP259" s="202"/>
      <c r="AQ259" s="202"/>
      <c r="AR259" s="202"/>
      <c r="AS259" s="202"/>
      <c r="AT259" s="202"/>
      <c r="AU259" s="202"/>
      <c r="AV259" s="202"/>
      <c r="AW259" s="202"/>
      <c r="AX259" s="202"/>
      <c r="AY259" s="202"/>
      <c r="AZ259" s="202"/>
      <c r="BA259" s="202"/>
      <c r="BB259" s="202"/>
      <c r="BC259" s="202"/>
      <c r="BD259" s="202"/>
      <c r="BE259" s="202"/>
      <c r="BF259" s="202"/>
      <c r="BG259" s="202"/>
      <c r="BH259" s="202"/>
      <c r="BI259" s="202"/>
      <c r="BJ259" s="202"/>
      <c r="BK259" s="202"/>
      <c r="BL259" s="202"/>
      <c r="BM259" s="202"/>
      <c r="BN259" s="202"/>
      <c r="BO259" s="202"/>
      <c r="BP259" s="182"/>
    </row>
    <row r="260" spans="1:68" ht="12.75" hidden="1" customHeight="1" x14ac:dyDescent="0.3">
      <c r="A260" s="982"/>
      <c r="D260" s="944"/>
      <c r="E260" s="183"/>
      <c r="F260" s="218" t="s">
        <v>418</v>
      </c>
      <c r="G260" s="222">
        <f t="shared" ref="G260:P260" si="293">(G230*G$223)/1000000000+G245/1000</f>
        <v>4.8039129600000001E-3</v>
      </c>
      <c r="H260" s="222">
        <f t="shared" si="293"/>
        <v>3.0532862000000002E-3</v>
      </c>
      <c r="I260" s="222">
        <f t="shared" si="293"/>
        <v>5.7427600099999995E-3</v>
      </c>
      <c r="J260" s="222">
        <f t="shared" si="293"/>
        <v>5.8366571299999998E-3</v>
      </c>
      <c r="K260" s="222">
        <f t="shared" si="293"/>
        <v>4.9685144600000002E-3</v>
      </c>
      <c r="L260" s="223">
        <f t="shared" si="293"/>
        <v>4.0697110000000002E-3</v>
      </c>
      <c r="M260" s="223">
        <f t="shared" si="293"/>
        <v>5.2891936000000004E-3</v>
      </c>
      <c r="N260" s="223">
        <f t="shared" si="293"/>
        <v>5.0330930999999994E-3</v>
      </c>
      <c r="O260" s="223">
        <f t="shared" si="293"/>
        <v>4.9367883199999997E-3</v>
      </c>
      <c r="P260" s="223">
        <f t="shared" si="293"/>
        <v>4.6623562200000003E-3</v>
      </c>
      <c r="Q260" s="223"/>
      <c r="R260" s="211"/>
      <c r="S260" s="202"/>
      <c r="T260" s="202"/>
      <c r="U260" s="202"/>
      <c r="V260" s="202"/>
      <c r="W260" s="202"/>
      <c r="X260" s="202"/>
      <c r="Y260" s="202"/>
      <c r="Z260" s="202"/>
      <c r="AA260" s="202"/>
      <c r="AB260" s="202"/>
      <c r="AC260" s="202"/>
      <c r="AD260" s="202"/>
      <c r="AE260" s="202"/>
      <c r="AF260" s="202"/>
      <c r="AG260" s="202"/>
      <c r="AH260" s="202"/>
      <c r="AI260" s="202"/>
      <c r="AJ260" s="202"/>
      <c r="AK260" s="202"/>
      <c r="AL260" s="202"/>
      <c r="AM260" s="202"/>
      <c r="AN260" s="202"/>
      <c r="AO260" s="202"/>
      <c r="AP260" s="202"/>
      <c r="AQ260" s="202"/>
      <c r="AR260" s="202"/>
      <c r="AS260" s="202"/>
      <c r="AT260" s="202"/>
      <c r="AU260" s="202"/>
      <c r="AV260" s="202"/>
      <c r="AW260" s="202"/>
      <c r="AX260" s="202"/>
      <c r="AY260" s="202"/>
      <c r="AZ260" s="202"/>
      <c r="BA260" s="202"/>
      <c r="BB260" s="202"/>
      <c r="BC260" s="202"/>
      <c r="BD260" s="202"/>
      <c r="BE260" s="202"/>
      <c r="BF260" s="202"/>
      <c r="BG260" s="202"/>
      <c r="BH260" s="202"/>
      <c r="BI260" s="202"/>
      <c r="BJ260" s="202"/>
      <c r="BK260" s="202"/>
      <c r="BL260" s="202"/>
      <c r="BM260" s="202"/>
      <c r="BN260" s="202"/>
      <c r="BO260" s="202"/>
      <c r="BP260" s="182"/>
    </row>
    <row r="261" spans="1:68" ht="12.75" hidden="1" customHeight="1" x14ac:dyDescent="0.3">
      <c r="A261" s="982"/>
      <c r="D261" s="944"/>
      <c r="E261" s="183"/>
      <c r="F261" s="218" t="s">
        <v>419</v>
      </c>
      <c r="G261" s="222">
        <f t="shared" ref="G261:P261" si="294">(G231*G$223)/1000000000+G246/1000</f>
        <v>1E-3</v>
      </c>
      <c r="H261" s="222">
        <f t="shared" si="294"/>
        <v>2E-3</v>
      </c>
      <c r="I261" s="222">
        <f t="shared" si="294"/>
        <v>1E-3</v>
      </c>
      <c r="J261" s="222">
        <f t="shared" si="294"/>
        <v>2E-3</v>
      </c>
      <c r="K261" s="222">
        <f t="shared" si="294"/>
        <v>1E-3</v>
      </c>
      <c r="L261" s="223">
        <f t="shared" si="294"/>
        <v>1E-3</v>
      </c>
      <c r="M261" s="223">
        <f t="shared" si="294"/>
        <v>1E-3</v>
      </c>
      <c r="N261" s="223">
        <f t="shared" si="294"/>
        <v>1E-3</v>
      </c>
      <c r="O261" s="223">
        <f t="shared" si="294"/>
        <v>1E-3</v>
      </c>
      <c r="P261" s="223">
        <f t="shared" si="294"/>
        <v>1E-3</v>
      </c>
      <c r="Q261" s="223"/>
      <c r="R261" s="211"/>
      <c r="S261" s="202"/>
      <c r="T261" s="202"/>
      <c r="U261" s="202"/>
      <c r="V261" s="202"/>
      <c r="W261" s="202"/>
      <c r="X261" s="202"/>
      <c r="Y261" s="202"/>
      <c r="Z261" s="202"/>
      <c r="AA261" s="202"/>
      <c r="AB261" s="202"/>
      <c r="AC261" s="202"/>
      <c r="AD261" s="202"/>
      <c r="AE261" s="202"/>
      <c r="AF261" s="202"/>
      <c r="AG261" s="202"/>
      <c r="AH261" s="202"/>
      <c r="AI261" s="202"/>
      <c r="AJ261" s="202"/>
      <c r="AK261" s="202"/>
      <c r="AL261" s="202"/>
      <c r="AM261" s="202"/>
      <c r="AN261" s="202"/>
      <c r="AO261" s="202"/>
      <c r="AP261" s="202"/>
      <c r="AQ261" s="202"/>
      <c r="AR261" s="202"/>
      <c r="AS261" s="202"/>
      <c r="AT261" s="202"/>
      <c r="AU261" s="202"/>
      <c r="AV261" s="202"/>
      <c r="AW261" s="202"/>
      <c r="AX261" s="202"/>
      <c r="AY261" s="202"/>
      <c r="AZ261" s="202"/>
      <c r="BA261" s="202"/>
      <c r="BB261" s="202"/>
      <c r="BC261" s="202"/>
      <c r="BD261" s="202"/>
      <c r="BE261" s="202"/>
      <c r="BF261" s="202"/>
      <c r="BG261" s="202"/>
      <c r="BH261" s="202"/>
      <c r="BI261" s="202"/>
      <c r="BJ261" s="202"/>
      <c r="BK261" s="202"/>
      <c r="BL261" s="202"/>
      <c r="BM261" s="202"/>
      <c r="BN261" s="202"/>
      <c r="BO261" s="202"/>
      <c r="BP261" s="182"/>
    </row>
    <row r="262" spans="1:68" ht="12.75" hidden="1" customHeight="1" x14ac:dyDescent="0.3">
      <c r="A262" s="982"/>
      <c r="D262" s="944"/>
      <c r="E262" s="183"/>
      <c r="F262" s="218" t="s">
        <v>420</v>
      </c>
      <c r="G262" s="222">
        <f t="shared" ref="G262:P262" si="295">(G232*G$223)/1000000000+G247/1000</f>
        <v>0</v>
      </c>
      <c r="H262" s="222">
        <f t="shared" si="295"/>
        <v>0</v>
      </c>
      <c r="I262" s="222">
        <f t="shared" si="295"/>
        <v>0</v>
      </c>
      <c r="J262" s="222">
        <f t="shared" si="295"/>
        <v>0</v>
      </c>
      <c r="K262" s="222">
        <f t="shared" si="295"/>
        <v>0</v>
      </c>
      <c r="L262" s="223">
        <f t="shared" si="295"/>
        <v>0</v>
      </c>
      <c r="M262" s="223">
        <f t="shared" si="295"/>
        <v>0</v>
      </c>
      <c r="N262" s="223">
        <f t="shared" si="295"/>
        <v>0</v>
      </c>
      <c r="O262" s="223">
        <f t="shared" si="295"/>
        <v>0</v>
      </c>
      <c r="P262" s="223">
        <f t="shared" si="295"/>
        <v>0</v>
      </c>
      <c r="Q262" s="223"/>
      <c r="R262" s="211"/>
      <c r="S262" s="202"/>
      <c r="T262" s="202"/>
      <c r="U262" s="202"/>
      <c r="V262" s="202"/>
      <c r="W262" s="202"/>
      <c r="X262" s="202"/>
      <c r="Y262" s="202"/>
      <c r="Z262" s="202"/>
      <c r="AA262" s="202"/>
      <c r="AB262" s="202"/>
      <c r="AC262" s="202"/>
      <c r="AD262" s="202"/>
      <c r="AE262" s="202"/>
      <c r="AF262" s="202"/>
      <c r="AG262" s="202"/>
      <c r="AH262" s="202"/>
      <c r="AI262" s="202"/>
      <c r="AJ262" s="202"/>
      <c r="AK262" s="202"/>
      <c r="AL262" s="202"/>
      <c r="AM262" s="202"/>
      <c r="AN262" s="202"/>
      <c r="AO262" s="202"/>
      <c r="AP262" s="202"/>
      <c r="AQ262" s="202"/>
      <c r="AR262" s="202"/>
      <c r="AS262" s="202"/>
      <c r="AT262" s="202"/>
      <c r="AU262" s="202"/>
      <c r="AV262" s="202"/>
      <c r="AW262" s="202"/>
      <c r="AX262" s="202"/>
      <c r="AY262" s="202"/>
      <c r="AZ262" s="202"/>
      <c r="BA262" s="202"/>
      <c r="BB262" s="202"/>
      <c r="BC262" s="202"/>
      <c r="BD262" s="202"/>
      <c r="BE262" s="202"/>
      <c r="BF262" s="202"/>
      <c r="BG262" s="202"/>
      <c r="BH262" s="202"/>
      <c r="BI262" s="202"/>
      <c r="BJ262" s="202"/>
      <c r="BK262" s="202"/>
      <c r="BL262" s="202"/>
      <c r="BM262" s="202"/>
      <c r="BN262" s="202"/>
      <c r="BO262" s="202"/>
      <c r="BP262" s="182"/>
    </row>
    <row r="263" spans="1:68" ht="12.75" hidden="1" customHeight="1" x14ac:dyDescent="0.3">
      <c r="A263" s="982"/>
      <c r="D263" s="944"/>
      <c r="E263" s="183"/>
      <c r="F263" s="218" t="s">
        <v>421</v>
      </c>
      <c r="G263" s="222">
        <f t="shared" ref="G263:P263" si="296">(G233*G$223)/1000000000+G248/1000</f>
        <v>3.1174578279999997E-2</v>
      </c>
      <c r="H263" s="222">
        <f t="shared" si="296"/>
        <v>2.9548225970000001E-2</v>
      </c>
      <c r="I263" s="222">
        <f t="shared" si="296"/>
        <v>2.7696073560000003E-2</v>
      </c>
      <c r="J263" s="222">
        <f t="shared" si="296"/>
        <v>2.797482079E-2</v>
      </c>
      <c r="K263" s="222">
        <f t="shared" si="296"/>
        <v>3.161246006E-2</v>
      </c>
      <c r="L263" s="223">
        <f t="shared" si="296"/>
        <v>3.6976245240000004E-2</v>
      </c>
      <c r="M263" s="223">
        <f t="shared" si="296"/>
        <v>3.2569874300000003E-2</v>
      </c>
      <c r="N263" s="223">
        <f t="shared" si="296"/>
        <v>3.6734961009999997E-2</v>
      </c>
      <c r="O263" s="223">
        <f t="shared" si="296"/>
        <v>3.572775232E-2</v>
      </c>
      <c r="P263" s="223">
        <f t="shared" si="296"/>
        <v>3.5190612280000005E-2</v>
      </c>
      <c r="Q263" s="223"/>
      <c r="R263" s="211"/>
      <c r="S263" s="202"/>
      <c r="T263" s="202"/>
      <c r="U263" s="202"/>
      <c r="V263" s="202"/>
      <c r="W263" s="202"/>
      <c r="X263" s="202"/>
      <c r="Y263" s="202"/>
      <c r="Z263" s="202"/>
      <c r="AA263" s="202"/>
      <c r="AB263" s="202"/>
      <c r="AC263" s="202"/>
      <c r="AD263" s="202"/>
      <c r="AE263" s="202"/>
      <c r="AF263" s="202"/>
      <c r="AG263" s="202"/>
      <c r="AH263" s="202"/>
      <c r="AI263" s="202"/>
      <c r="AJ263" s="202"/>
      <c r="AK263" s="202"/>
      <c r="AL263" s="202"/>
      <c r="AM263" s="202"/>
      <c r="AN263" s="202"/>
      <c r="AO263" s="202"/>
      <c r="AP263" s="202"/>
      <c r="AQ263" s="202"/>
      <c r="AR263" s="202"/>
      <c r="AS263" s="202"/>
      <c r="AT263" s="202"/>
      <c r="AU263" s="202"/>
      <c r="AV263" s="202"/>
      <c r="AW263" s="202"/>
      <c r="AX263" s="202"/>
      <c r="AY263" s="202"/>
      <c r="AZ263" s="202"/>
      <c r="BA263" s="202"/>
      <c r="BB263" s="202"/>
      <c r="BC263" s="202"/>
      <c r="BD263" s="202"/>
      <c r="BE263" s="202"/>
      <c r="BF263" s="202"/>
      <c r="BG263" s="202"/>
      <c r="BH263" s="202"/>
      <c r="BI263" s="202"/>
      <c r="BJ263" s="202"/>
      <c r="BK263" s="202"/>
      <c r="BL263" s="202"/>
      <c r="BM263" s="202"/>
      <c r="BN263" s="202"/>
      <c r="BO263" s="202"/>
      <c r="BP263" s="182"/>
    </row>
    <row r="264" spans="1:68" ht="12.75" hidden="1" customHeight="1" x14ac:dyDescent="0.3">
      <c r="A264" s="982"/>
      <c r="D264" s="944"/>
      <c r="E264" s="183"/>
      <c r="F264" s="218" t="s">
        <v>469</v>
      </c>
      <c r="G264" s="222">
        <f t="shared" ref="G264:P264" si="297">(G234*G$223)/1000000000+G249/1000</f>
        <v>0.55529253131999989</v>
      </c>
      <c r="H264" s="222">
        <f t="shared" si="297"/>
        <v>0.56150750185999998</v>
      </c>
      <c r="I264" s="222">
        <f t="shared" si="297"/>
        <v>0.54973297283</v>
      </c>
      <c r="J264" s="222">
        <f t="shared" si="297"/>
        <v>0.53913859651999996</v>
      </c>
      <c r="K264" s="222">
        <f t="shared" si="297"/>
        <v>0.60372717821999999</v>
      </c>
      <c r="L264" s="223">
        <f t="shared" si="297"/>
        <v>0.67110722128</v>
      </c>
      <c r="M264" s="223">
        <f t="shared" si="297"/>
        <v>0.72874366619999997</v>
      </c>
      <c r="N264" s="223">
        <f t="shared" si="297"/>
        <v>0.78517806510999999</v>
      </c>
      <c r="O264" s="223">
        <f t="shared" si="297"/>
        <v>0.79450085056000008</v>
      </c>
      <c r="P264" s="223">
        <f t="shared" si="297"/>
        <v>0.80623976580000001</v>
      </c>
      <c r="Q264" s="223"/>
      <c r="R264" s="211"/>
      <c r="S264" s="202"/>
      <c r="T264" s="202"/>
      <c r="U264" s="202"/>
      <c r="V264" s="202"/>
      <c r="W264" s="202"/>
      <c r="X264" s="202"/>
      <c r="Y264" s="202"/>
      <c r="Z264" s="202"/>
      <c r="AA264" s="202"/>
      <c r="AB264" s="202"/>
      <c r="AC264" s="202"/>
      <c r="AD264" s="202"/>
      <c r="AE264" s="202"/>
      <c r="AF264" s="202"/>
      <c r="AG264" s="202"/>
      <c r="AH264" s="202"/>
      <c r="AI264" s="202"/>
      <c r="AJ264" s="202"/>
      <c r="AK264" s="202"/>
      <c r="AL264" s="202"/>
      <c r="AM264" s="202"/>
      <c r="AN264" s="202"/>
      <c r="AO264" s="202"/>
      <c r="AP264" s="202"/>
      <c r="AQ264" s="202"/>
      <c r="AR264" s="202"/>
      <c r="AS264" s="202"/>
      <c r="AT264" s="202"/>
      <c r="AU264" s="202"/>
      <c r="AV264" s="202"/>
      <c r="AW264" s="202"/>
      <c r="AX264" s="202"/>
      <c r="AY264" s="202"/>
      <c r="AZ264" s="202"/>
      <c r="BA264" s="202"/>
      <c r="BB264" s="202"/>
      <c r="BC264" s="202"/>
      <c r="BD264" s="202"/>
      <c r="BE264" s="202"/>
      <c r="BF264" s="202"/>
      <c r="BG264" s="202"/>
      <c r="BH264" s="202"/>
      <c r="BI264" s="202"/>
      <c r="BJ264" s="202"/>
      <c r="BK264" s="202"/>
      <c r="BL264" s="202"/>
      <c r="BM264" s="202"/>
      <c r="BN264" s="202"/>
      <c r="BO264" s="202"/>
      <c r="BP264" s="182"/>
    </row>
    <row r="265" spans="1:68" ht="12.75" hidden="1" customHeight="1" x14ac:dyDescent="0.3">
      <c r="A265" s="982"/>
      <c r="D265" s="944"/>
      <c r="E265" s="183"/>
      <c r="F265" s="218" t="s">
        <v>423</v>
      </c>
      <c r="G265" s="222">
        <f t="shared" ref="G265:P265" si="298">(G235*G$223)/1000000000+G250/1000</f>
        <v>0.39511205856000009</v>
      </c>
      <c r="H265" s="222">
        <f t="shared" si="298"/>
        <v>0.38440153829000001</v>
      </c>
      <c r="I265" s="222">
        <f t="shared" si="298"/>
        <v>0.39454096931999999</v>
      </c>
      <c r="J265" s="222">
        <f t="shared" si="298"/>
        <v>0.38670100612000008</v>
      </c>
      <c r="K265" s="222">
        <f t="shared" si="298"/>
        <v>0.47923898594000003</v>
      </c>
      <c r="L265" s="223">
        <f t="shared" si="298"/>
        <v>0.42938956016000002</v>
      </c>
      <c r="M265" s="223">
        <f t="shared" si="298"/>
        <v>0.50191155720000002</v>
      </c>
      <c r="N265" s="223">
        <f t="shared" si="298"/>
        <v>0.47152140003000004</v>
      </c>
      <c r="O265" s="223">
        <f t="shared" si="298"/>
        <v>0.41892366463999997</v>
      </c>
      <c r="P265" s="223">
        <f t="shared" si="298"/>
        <v>0.41686982931999994</v>
      </c>
      <c r="Q265" s="223"/>
      <c r="R265" s="211"/>
      <c r="S265" s="202"/>
      <c r="T265" s="202"/>
      <c r="U265" s="202"/>
      <c r="V265" s="202"/>
      <c r="W265" s="202"/>
      <c r="X265" s="202"/>
      <c r="Y265" s="202"/>
      <c r="Z265" s="202"/>
      <c r="AA265" s="202"/>
      <c r="AB265" s="202"/>
      <c r="AC265" s="202"/>
      <c r="AD265" s="202"/>
      <c r="AE265" s="202"/>
      <c r="AF265" s="202"/>
      <c r="AG265" s="202"/>
      <c r="AH265" s="202"/>
      <c r="AI265" s="202"/>
      <c r="AJ265" s="202"/>
      <c r="AK265" s="202"/>
      <c r="AL265" s="202"/>
      <c r="AM265" s="202"/>
      <c r="AN265" s="202"/>
      <c r="AO265" s="202"/>
      <c r="AP265" s="202"/>
      <c r="AQ265" s="202"/>
      <c r="AR265" s="202"/>
      <c r="AS265" s="202"/>
      <c r="AT265" s="202"/>
      <c r="AU265" s="202"/>
      <c r="AV265" s="202"/>
      <c r="AW265" s="202"/>
      <c r="AX265" s="202"/>
      <c r="AY265" s="202"/>
      <c r="AZ265" s="202"/>
      <c r="BA265" s="202"/>
      <c r="BB265" s="202"/>
      <c r="BC265" s="202"/>
      <c r="BD265" s="202"/>
      <c r="BE265" s="202"/>
      <c r="BF265" s="202"/>
      <c r="BG265" s="202"/>
      <c r="BH265" s="202"/>
      <c r="BI265" s="202"/>
      <c r="BJ265" s="202"/>
      <c r="BK265" s="202"/>
      <c r="BL265" s="202"/>
      <c r="BM265" s="202"/>
      <c r="BN265" s="202"/>
      <c r="BO265" s="202"/>
      <c r="BP265" s="182"/>
    </row>
    <row r="266" spans="1:68" ht="12.75" hidden="1" customHeight="1" x14ac:dyDescent="0.3">
      <c r="A266" s="982"/>
      <c r="D266" s="944"/>
      <c r="E266" s="183"/>
      <c r="F266" s="218" t="s">
        <v>424</v>
      </c>
      <c r="G266" s="222">
        <f t="shared" ref="G266:R266" si="299">(G236*G$223)/1000000000+G251/1000</f>
        <v>0.11372715868</v>
      </c>
      <c r="H266" s="222">
        <f t="shared" si="299"/>
        <v>7.3707109180000008E-2</v>
      </c>
      <c r="I266" s="222">
        <f t="shared" si="299"/>
        <v>0.12587076235</v>
      </c>
      <c r="J266" s="222">
        <f t="shared" si="299"/>
        <v>0.16428543829</v>
      </c>
      <c r="K266" s="222">
        <f t="shared" si="299"/>
        <v>0.24405024168</v>
      </c>
      <c r="L266" s="223">
        <f t="shared" si="299"/>
        <v>0.18679249620666666</v>
      </c>
      <c r="M266" s="223">
        <f t="shared" si="299"/>
        <v>0.13272593859999998</v>
      </c>
      <c r="N266" s="223">
        <f t="shared" si="299"/>
        <v>0.21604343769000001</v>
      </c>
      <c r="O266" s="223">
        <f t="shared" si="299"/>
        <v>0.15844211423999999</v>
      </c>
      <c r="P266" s="223">
        <f t="shared" si="299"/>
        <v>0.19304586700000001</v>
      </c>
      <c r="Q266" s="223">
        <f t="shared" si="299"/>
        <v>0.19389188825000001</v>
      </c>
      <c r="R266" s="223">
        <f t="shared" si="299"/>
        <v>0.18166019049370372</v>
      </c>
      <c r="S266" s="202"/>
      <c r="T266" s="202"/>
      <c r="U266" s="202"/>
      <c r="V266" s="202"/>
      <c r="W266" s="202"/>
      <c r="X266" s="202"/>
      <c r="Y266" s="202"/>
      <c r="Z266" s="202"/>
      <c r="AA266" s="202"/>
      <c r="AB266" s="202"/>
      <c r="AC266" s="202"/>
      <c r="AD266" s="202"/>
      <c r="AE266" s="202"/>
      <c r="AF266" s="202"/>
      <c r="AG266" s="202"/>
      <c r="AH266" s="202"/>
      <c r="AI266" s="202"/>
      <c r="AJ266" s="202"/>
      <c r="AK266" s="202"/>
      <c r="AL266" s="202"/>
      <c r="AM266" s="202"/>
      <c r="AN266" s="202"/>
      <c r="AO266" s="202"/>
      <c r="AP266" s="202"/>
      <c r="AQ266" s="202"/>
      <c r="AR266" s="202"/>
      <c r="AS266" s="202"/>
      <c r="AT266" s="202"/>
      <c r="AU266" s="202"/>
      <c r="AV266" s="202"/>
      <c r="AW266" s="202"/>
      <c r="AX266" s="202"/>
      <c r="AY266" s="202"/>
      <c r="AZ266" s="202"/>
      <c r="BA266" s="202"/>
      <c r="BB266" s="202"/>
      <c r="BC266" s="202"/>
      <c r="BD266" s="202"/>
      <c r="BE266" s="202"/>
      <c r="BF266" s="202"/>
      <c r="BG266" s="202"/>
      <c r="BH266" s="202"/>
      <c r="BI266" s="202"/>
      <c r="BJ266" s="202"/>
      <c r="BK266" s="202"/>
      <c r="BL266" s="202"/>
      <c r="BM266" s="202"/>
      <c r="BN266" s="202"/>
      <c r="BO266" s="202"/>
      <c r="BP266" s="182"/>
    </row>
    <row r="267" spans="1:68" ht="12.75" hidden="1" customHeight="1" x14ac:dyDescent="0.3">
      <c r="A267" s="982"/>
      <c r="D267" s="944"/>
      <c r="E267" s="183"/>
      <c r="F267" s="218" t="s">
        <v>425</v>
      </c>
      <c r="G267" s="222">
        <f t="shared" ref="G267:P267" si="300">(G237*G$223)/1000000000+G252/1000</f>
        <v>0.10207825920000001</v>
      </c>
      <c r="H267" s="222">
        <f t="shared" si="300"/>
        <v>6.5676381239999998E-2</v>
      </c>
      <c r="I267" s="222">
        <f t="shared" si="300"/>
        <v>8.5380913650000001E-2</v>
      </c>
      <c r="J267" s="222">
        <f t="shared" si="300"/>
        <v>3.9332640070000001E-2</v>
      </c>
      <c r="K267" s="222">
        <f t="shared" si="300"/>
        <v>0.11314017696000001</v>
      </c>
      <c r="L267" s="223">
        <f t="shared" si="300"/>
        <v>9.2138354120000016E-2</v>
      </c>
      <c r="M267" s="223">
        <f t="shared" si="300"/>
        <v>7.8230550100000018E-2</v>
      </c>
      <c r="N267" s="223">
        <f t="shared" si="300"/>
        <v>8.8032798910000001E-2</v>
      </c>
      <c r="O267" s="223">
        <f t="shared" si="300"/>
        <v>5.526186256E-2</v>
      </c>
      <c r="P267" s="223">
        <f t="shared" si="300"/>
        <v>5.5840037160000008E-2</v>
      </c>
      <c r="Q267" s="223"/>
      <c r="R267" s="211"/>
      <c r="S267" s="202"/>
      <c r="T267" s="202"/>
      <c r="U267" s="202"/>
      <c r="V267" s="202"/>
      <c r="W267" s="202"/>
      <c r="X267" s="202"/>
      <c r="Y267" s="202"/>
      <c r="Z267" s="202"/>
      <c r="AA267" s="202"/>
      <c r="AB267" s="202"/>
      <c r="AC267" s="202"/>
      <c r="AD267" s="202"/>
      <c r="AE267" s="202"/>
      <c r="AF267" s="202"/>
      <c r="AG267" s="202"/>
      <c r="AH267" s="202"/>
      <c r="AI267" s="202"/>
      <c r="AJ267" s="202"/>
      <c r="AK267" s="202"/>
      <c r="AL267" s="202"/>
      <c r="AM267" s="202"/>
      <c r="AN267" s="202"/>
      <c r="AO267" s="202"/>
      <c r="AP267" s="202"/>
      <c r="AQ267" s="202"/>
      <c r="AR267" s="202"/>
      <c r="AS267" s="202"/>
      <c r="AT267" s="202"/>
      <c r="AU267" s="202"/>
      <c r="AV267" s="202"/>
      <c r="AW267" s="202"/>
      <c r="AX267" s="202"/>
      <c r="AY267" s="202"/>
      <c r="AZ267" s="202"/>
      <c r="BA267" s="202"/>
      <c r="BB267" s="202"/>
      <c r="BC267" s="202"/>
      <c r="BD267" s="202"/>
      <c r="BE267" s="202"/>
      <c r="BF267" s="202"/>
      <c r="BG267" s="202"/>
      <c r="BH267" s="202"/>
      <c r="BI267" s="202"/>
      <c r="BJ267" s="202"/>
      <c r="BK267" s="202"/>
      <c r="BL267" s="202"/>
      <c r="BM267" s="202"/>
      <c r="BN267" s="202"/>
      <c r="BO267" s="202"/>
      <c r="BP267" s="182"/>
    </row>
    <row r="268" spans="1:68" ht="12.75" hidden="1" customHeight="1" x14ac:dyDescent="0.3">
      <c r="A268" s="982"/>
      <c r="D268" s="944"/>
      <c r="E268" s="183"/>
      <c r="F268" s="218" t="s">
        <v>426</v>
      </c>
      <c r="G268" s="222">
        <f t="shared" ref="G268:P268" si="301">(G238*G$223)/1000000000+G253/1000</f>
        <v>0</v>
      </c>
      <c r="H268" s="222">
        <f t="shared" si="301"/>
        <v>0</v>
      </c>
      <c r="I268" s="222">
        <f t="shared" si="301"/>
        <v>0</v>
      </c>
      <c r="J268" s="222">
        <f t="shared" si="301"/>
        <v>0</v>
      </c>
      <c r="K268" s="222">
        <f t="shared" si="301"/>
        <v>0</v>
      </c>
      <c r="L268" s="223">
        <f t="shared" si="301"/>
        <v>0</v>
      </c>
      <c r="M268" s="223">
        <f t="shared" si="301"/>
        <v>0</v>
      </c>
      <c r="N268" s="223">
        <f t="shared" si="301"/>
        <v>0</v>
      </c>
      <c r="O268" s="223">
        <f t="shared" si="301"/>
        <v>0</v>
      </c>
      <c r="P268" s="223">
        <f t="shared" si="301"/>
        <v>0</v>
      </c>
      <c r="Q268" s="223"/>
      <c r="R268" s="211"/>
      <c r="S268" s="202"/>
      <c r="T268" s="202"/>
      <c r="U268" s="202"/>
      <c r="V268" s="202"/>
      <c r="W268" s="202"/>
      <c r="X268" s="202"/>
      <c r="Y268" s="202"/>
      <c r="Z268" s="202"/>
      <c r="AA268" s="202"/>
      <c r="AB268" s="202"/>
      <c r="AC268" s="202"/>
      <c r="AD268" s="202"/>
      <c r="AE268" s="202"/>
      <c r="AF268" s="202"/>
      <c r="AG268" s="202"/>
      <c r="AH268" s="202"/>
      <c r="AI268" s="202"/>
      <c r="AJ268" s="202"/>
      <c r="AK268" s="202"/>
      <c r="AL268" s="202"/>
      <c r="AM268" s="202"/>
      <c r="AN268" s="202"/>
      <c r="AO268" s="202"/>
      <c r="AP268" s="202"/>
      <c r="AQ268" s="202"/>
      <c r="AR268" s="202"/>
      <c r="AS268" s="202"/>
      <c r="AT268" s="202"/>
      <c r="AU268" s="202"/>
      <c r="AV268" s="202"/>
      <c r="AW268" s="202"/>
      <c r="AX268" s="202"/>
      <c r="AY268" s="202"/>
      <c r="AZ268" s="202"/>
      <c r="BA268" s="202"/>
      <c r="BB268" s="202"/>
      <c r="BC268" s="202"/>
      <c r="BD268" s="202"/>
      <c r="BE268" s="202"/>
      <c r="BF268" s="202"/>
      <c r="BG268" s="202"/>
      <c r="BH268" s="202"/>
      <c r="BI268" s="202"/>
      <c r="BJ268" s="202"/>
      <c r="BK268" s="202"/>
      <c r="BL268" s="202"/>
      <c r="BM268" s="202"/>
      <c r="BN268" s="202"/>
      <c r="BO268" s="202"/>
      <c r="BP268" s="182"/>
    </row>
    <row r="269" spans="1:68" ht="12.75" hidden="1" customHeight="1" x14ac:dyDescent="0.3">
      <c r="A269" s="967"/>
      <c r="B269" s="967"/>
      <c r="C269" s="967"/>
      <c r="D269" s="944"/>
      <c r="E269" s="183"/>
      <c r="F269" s="218"/>
      <c r="G269" s="222"/>
      <c r="H269" s="222"/>
      <c r="I269" s="222"/>
      <c r="J269" s="222"/>
      <c r="K269" s="222"/>
      <c r="L269" s="223"/>
      <c r="M269" s="223"/>
      <c r="N269" s="223"/>
      <c r="O269" s="223"/>
      <c r="P269" s="223"/>
      <c r="Q269" s="223"/>
      <c r="R269" s="211"/>
      <c r="S269" s="202"/>
      <c r="T269" s="202"/>
      <c r="U269" s="202"/>
      <c r="V269" s="202"/>
      <c r="W269" s="202"/>
      <c r="X269" s="202"/>
      <c r="Y269" s="202"/>
      <c r="Z269" s="202"/>
      <c r="AA269" s="202"/>
      <c r="AB269" s="202"/>
      <c r="AC269" s="202"/>
      <c r="AD269" s="202"/>
      <c r="AE269" s="202"/>
      <c r="AF269" s="202"/>
      <c r="AG269" s="202"/>
      <c r="AH269" s="202"/>
      <c r="AI269" s="202"/>
      <c r="AJ269" s="202"/>
      <c r="AK269" s="202"/>
      <c r="AL269" s="202"/>
      <c r="AM269" s="202"/>
      <c r="AN269" s="202"/>
      <c r="AO269" s="202"/>
      <c r="AP269" s="202"/>
      <c r="AQ269" s="202"/>
      <c r="AR269" s="202"/>
      <c r="AS269" s="202"/>
      <c r="AT269" s="202"/>
      <c r="AU269" s="202"/>
      <c r="AV269" s="202"/>
      <c r="AW269" s="202"/>
      <c r="AX269" s="202"/>
      <c r="AY269" s="202"/>
      <c r="AZ269" s="202"/>
      <c r="BA269" s="202"/>
      <c r="BB269" s="202"/>
      <c r="BC269" s="202"/>
      <c r="BD269" s="202"/>
      <c r="BE269" s="202"/>
      <c r="BF269" s="202"/>
      <c r="BG269" s="202"/>
      <c r="BH269" s="202"/>
      <c r="BI269" s="202"/>
      <c r="BJ269" s="202"/>
      <c r="BK269" s="202"/>
      <c r="BL269" s="202"/>
      <c r="BM269" s="202"/>
      <c r="BN269" s="202"/>
      <c r="BO269" s="202"/>
      <c r="BP269" s="182"/>
    </row>
    <row r="270" spans="1:68" ht="12.75" hidden="1" customHeight="1" x14ac:dyDescent="0.3">
      <c r="A270" s="960"/>
      <c r="B270" s="960"/>
      <c r="C270" s="960"/>
      <c r="D270" s="944"/>
      <c r="E270" s="183"/>
      <c r="F270" s="221" t="s">
        <v>506</v>
      </c>
      <c r="G270" s="216"/>
      <c r="H270" s="216"/>
      <c r="I270" s="216"/>
      <c r="J270" s="216"/>
      <c r="K270" s="216"/>
      <c r="L270" s="217"/>
      <c r="M270" s="217"/>
      <c r="N270" s="945"/>
      <c r="O270" s="945"/>
      <c r="P270" s="945"/>
      <c r="Q270" s="945"/>
      <c r="R270" s="181"/>
      <c r="S270" s="181"/>
      <c r="T270" s="181"/>
      <c r="U270" s="181"/>
      <c r="V270" s="181"/>
      <c r="W270" s="181"/>
      <c r="X270" s="181"/>
      <c r="Y270" s="181"/>
      <c r="Z270" s="181"/>
      <c r="AA270" s="181"/>
      <c r="AB270" s="181"/>
      <c r="AC270" s="181"/>
      <c r="AD270" s="181"/>
      <c r="AE270" s="181"/>
      <c r="AF270" s="181"/>
      <c r="AG270" s="181"/>
      <c r="AH270" s="181"/>
      <c r="AI270" s="181"/>
      <c r="AJ270" s="181"/>
      <c r="AK270" s="181"/>
      <c r="AL270" s="181"/>
      <c r="AM270" s="181"/>
      <c r="AN270" s="181"/>
      <c r="AO270" s="181"/>
      <c r="AP270" s="181"/>
      <c r="AQ270" s="181"/>
      <c r="AR270" s="181"/>
      <c r="AS270" s="181"/>
      <c r="AT270" s="181"/>
      <c r="AU270" s="181"/>
      <c r="AV270" s="181"/>
      <c r="AW270" s="181"/>
      <c r="AX270" s="181"/>
      <c r="AY270" s="181"/>
      <c r="AZ270" s="181"/>
      <c r="BA270" s="181"/>
      <c r="BB270" s="181"/>
      <c r="BC270" s="181"/>
      <c r="BD270" s="181"/>
      <c r="BE270" s="181"/>
      <c r="BF270" s="181"/>
      <c r="BG270" s="181"/>
      <c r="BH270" s="181"/>
      <c r="BI270" s="181"/>
      <c r="BJ270" s="181"/>
      <c r="BK270" s="181"/>
      <c r="BL270" s="181"/>
      <c r="BM270" s="181"/>
      <c r="BN270" s="181"/>
      <c r="BO270" s="181"/>
      <c r="BP270" s="182"/>
    </row>
    <row r="271" spans="1:68" ht="12.75" hidden="1" customHeight="1" x14ac:dyDescent="0.3">
      <c r="A271" s="1198" t="s">
        <v>507</v>
      </c>
      <c r="B271" s="967"/>
      <c r="C271" s="967"/>
      <c r="D271" s="944"/>
      <c r="E271" s="183"/>
      <c r="F271" s="218" t="s">
        <v>505</v>
      </c>
      <c r="G271" s="222">
        <f t="shared" ref="G271:P271" si="302">G255+G155-G189</f>
        <v>6.2032909971700052</v>
      </c>
      <c r="H271" s="222">
        <f t="shared" si="302"/>
        <v>6.6317754600400018</v>
      </c>
      <c r="I271" s="222">
        <f t="shared" si="302"/>
        <v>6.2410529855700014</v>
      </c>
      <c r="J271" s="222">
        <f t="shared" si="302"/>
        <v>5.8182629984700043</v>
      </c>
      <c r="K271" s="222">
        <f t="shared" si="302"/>
        <v>6.6275883177599999</v>
      </c>
      <c r="L271" s="223">
        <f t="shared" si="302"/>
        <v>6.8858250041000009</v>
      </c>
      <c r="M271" s="223">
        <f t="shared" si="302"/>
        <v>6.7449567093633327</v>
      </c>
      <c r="N271" s="223">
        <f t="shared" si="302"/>
        <v>6.9753241593146846</v>
      </c>
      <c r="O271" s="223">
        <f t="shared" si="302"/>
        <v>7.3734863440464764</v>
      </c>
      <c r="P271" s="223">
        <f t="shared" si="302"/>
        <v>7.3647663404681074</v>
      </c>
      <c r="Q271" s="223"/>
      <c r="R271" s="211"/>
      <c r="S271" s="202"/>
      <c r="T271" s="202"/>
      <c r="U271" s="202"/>
      <c r="V271" s="202"/>
      <c r="W271" s="202"/>
      <c r="X271" s="202"/>
      <c r="Y271" s="202"/>
      <c r="Z271" s="202"/>
      <c r="AA271" s="202"/>
      <c r="AB271" s="202"/>
      <c r="AC271" s="202"/>
      <c r="AD271" s="202"/>
      <c r="AE271" s="202"/>
      <c r="AF271" s="202"/>
      <c r="AG271" s="202"/>
      <c r="AH271" s="202"/>
      <c r="AI271" s="202"/>
      <c r="AJ271" s="202"/>
      <c r="AK271" s="202"/>
      <c r="AL271" s="202"/>
      <c r="AM271" s="202"/>
      <c r="AN271" s="202"/>
      <c r="AO271" s="202"/>
      <c r="AP271" s="202"/>
      <c r="AQ271" s="202"/>
      <c r="AR271" s="202"/>
      <c r="AS271" s="202"/>
      <c r="AT271" s="202"/>
      <c r="AU271" s="202"/>
      <c r="AV271" s="202"/>
      <c r="AW271" s="202"/>
      <c r="AX271" s="202"/>
      <c r="AY271" s="202"/>
      <c r="AZ271" s="202"/>
      <c r="BA271" s="202"/>
      <c r="BB271" s="202"/>
      <c r="BC271" s="202"/>
      <c r="BD271" s="202"/>
      <c r="BE271" s="202"/>
      <c r="BF271" s="202"/>
      <c r="BG271" s="202"/>
      <c r="BH271" s="202"/>
      <c r="BI271" s="202"/>
      <c r="BJ271" s="202"/>
      <c r="BK271" s="202"/>
      <c r="BL271" s="202"/>
      <c r="BM271" s="202"/>
      <c r="BN271" s="202"/>
      <c r="BO271" s="202"/>
      <c r="BP271" s="182"/>
    </row>
    <row r="272" spans="1:68" ht="12.75" hidden="1" customHeight="1" x14ac:dyDescent="0.3">
      <c r="A272" s="982"/>
      <c r="D272" s="944"/>
      <c r="E272" s="183"/>
      <c r="F272" s="218" t="s">
        <v>414</v>
      </c>
      <c r="G272" s="222">
        <f t="shared" ref="G272:P272" si="303">G256+G156-G190</f>
        <v>0.18090594588560358</v>
      </c>
      <c r="H272" s="222">
        <f t="shared" si="303"/>
        <v>0.22765110364414279</v>
      </c>
      <c r="I272" s="222">
        <f t="shared" si="303"/>
        <v>0.21319084149573836</v>
      </c>
      <c r="J272" s="222">
        <f t="shared" si="303"/>
        <v>0.24352248556205108</v>
      </c>
      <c r="K272" s="222">
        <f t="shared" si="303"/>
        <v>0.26864066625620098</v>
      </c>
      <c r="L272" s="223">
        <f t="shared" si="303"/>
        <v>0.18070155227068721</v>
      </c>
      <c r="M272" s="223">
        <f t="shared" si="303"/>
        <v>0.17793903055839264</v>
      </c>
      <c r="N272" s="223">
        <f t="shared" si="303"/>
        <v>0.20713657530919516</v>
      </c>
      <c r="O272" s="223">
        <f t="shared" si="303"/>
        <v>0.235182</v>
      </c>
      <c r="P272" s="223">
        <f t="shared" si="303"/>
        <v>0.28367999999999999</v>
      </c>
      <c r="Q272" s="223"/>
      <c r="R272" s="211"/>
      <c r="S272" s="202"/>
      <c r="T272" s="202"/>
      <c r="U272" s="202"/>
      <c r="V272" s="202"/>
      <c r="W272" s="202"/>
      <c r="X272" s="202"/>
      <c r="Y272" s="202"/>
      <c r="Z272" s="202"/>
      <c r="AA272" s="202"/>
      <c r="AB272" s="202"/>
      <c r="AC272" s="202"/>
      <c r="AD272" s="202"/>
      <c r="AE272" s="202"/>
      <c r="AF272" s="202"/>
      <c r="AG272" s="202"/>
      <c r="AH272" s="202"/>
      <c r="AI272" s="202"/>
      <c r="AJ272" s="202"/>
      <c r="AK272" s="202"/>
      <c r="AL272" s="202"/>
      <c r="AM272" s="202"/>
      <c r="AN272" s="202"/>
      <c r="AO272" s="202"/>
      <c r="AP272" s="202"/>
      <c r="AQ272" s="202"/>
      <c r="AR272" s="202"/>
      <c r="AS272" s="202"/>
      <c r="AT272" s="202"/>
      <c r="AU272" s="202"/>
      <c r="AV272" s="202"/>
      <c r="AW272" s="202"/>
      <c r="AX272" s="202"/>
      <c r="AY272" s="202"/>
      <c r="AZ272" s="202"/>
      <c r="BA272" s="202"/>
      <c r="BB272" s="202"/>
      <c r="BC272" s="202"/>
      <c r="BD272" s="202"/>
      <c r="BE272" s="202"/>
      <c r="BF272" s="202"/>
      <c r="BG272" s="202"/>
      <c r="BH272" s="202"/>
      <c r="BI272" s="202"/>
      <c r="BJ272" s="202"/>
      <c r="BK272" s="202"/>
      <c r="BL272" s="202"/>
      <c r="BM272" s="202"/>
      <c r="BN272" s="202"/>
      <c r="BO272" s="202"/>
      <c r="BP272" s="182"/>
    </row>
    <row r="273" spans="1:68" ht="12.75" hidden="1" customHeight="1" x14ac:dyDescent="0.3">
      <c r="A273" s="982"/>
      <c r="D273" s="944"/>
      <c r="E273" s="183"/>
      <c r="F273" s="218" t="s">
        <v>415</v>
      </c>
      <c r="G273" s="222">
        <f t="shared" ref="G273:P273" si="304">G257+G157-G191</f>
        <v>3.1132251764352262E-2</v>
      </c>
      <c r="H273" s="222">
        <f t="shared" si="304"/>
        <v>4.1693757268248317E-2</v>
      </c>
      <c r="I273" s="222">
        <f t="shared" si="304"/>
        <v>3.6767601996530418E-2</v>
      </c>
      <c r="J273" s="222">
        <f t="shared" si="304"/>
        <v>2.2829866842211916E-2</v>
      </c>
      <c r="K273" s="222">
        <f t="shared" si="304"/>
        <v>2.0225680377996665E-2</v>
      </c>
      <c r="L273" s="223">
        <f t="shared" si="304"/>
        <v>5.2970000000000031E-3</v>
      </c>
      <c r="M273" s="223">
        <f t="shared" si="304"/>
        <v>3.9050000000000005E-3</v>
      </c>
      <c r="N273" s="223">
        <f t="shared" si="304"/>
        <v>7.5640000000000013E-3</v>
      </c>
      <c r="O273" s="223">
        <f t="shared" si="304"/>
        <v>5.0650000000000001E-3</v>
      </c>
      <c r="P273" s="223">
        <f t="shared" si="304"/>
        <v>8.1410000000000007E-3</v>
      </c>
      <c r="Q273" s="223"/>
      <c r="R273" s="211"/>
      <c r="S273" s="202"/>
      <c r="T273" s="202"/>
      <c r="U273" s="202"/>
      <c r="V273" s="202"/>
      <c r="W273" s="202"/>
      <c r="X273" s="202"/>
      <c r="Y273" s="202"/>
      <c r="Z273" s="202"/>
      <c r="AA273" s="202"/>
      <c r="AB273" s="202"/>
      <c r="AC273" s="202"/>
      <c r="AD273" s="202"/>
      <c r="AE273" s="202"/>
      <c r="AF273" s="202"/>
      <c r="AG273" s="202"/>
      <c r="AH273" s="202"/>
      <c r="AI273" s="202"/>
      <c r="AJ273" s="202"/>
      <c r="AK273" s="202"/>
      <c r="AL273" s="202"/>
      <c r="AM273" s="202"/>
      <c r="AN273" s="202"/>
      <c r="AO273" s="202"/>
      <c r="AP273" s="202"/>
      <c r="AQ273" s="202"/>
      <c r="AR273" s="202"/>
      <c r="AS273" s="202"/>
      <c r="AT273" s="202"/>
      <c r="AU273" s="202"/>
      <c r="AV273" s="202"/>
      <c r="AW273" s="202"/>
      <c r="AX273" s="202"/>
      <c r="AY273" s="202"/>
      <c r="AZ273" s="202"/>
      <c r="BA273" s="202"/>
      <c r="BB273" s="202"/>
      <c r="BC273" s="202"/>
      <c r="BD273" s="202"/>
      <c r="BE273" s="202"/>
      <c r="BF273" s="202"/>
      <c r="BG273" s="202"/>
      <c r="BH273" s="202"/>
      <c r="BI273" s="202"/>
      <c r="BJ273" s="202"/>
      <c r="BK273" s="202"/>
      <c r="BL273" s="202"/>
      <c r="BM273" s="202"/>
      <c r="BN273" s="202"/>
      <c r="BO273" s="202"/>
      <c r="BP273" s="182"/>
    </row>
    <row r="274" spans="1:68" ht="12.75" hidden="1" customHeight="1" x14ac:dyDescent="0.3">
      <c r="A274" s="982"/>
      <c r="D274" s="944"/>
      <c r="E274" s="183"/>
      <c r="F274" s="218" t="s">
        <v>416</v>
      </c>
      <c r="G274" s="222">
        <f t="shared" ref="G274:P274" si="305">G258+G158-G192</f>
        <v>0.76279009542999998</v>
      </c>
      <c r="H274" s="222">
        <f t="shared" si="305"/>
        <v>0.7381293699999999</v>
      </c>
      <c r="I274" s="222">
        <f t="shared" si="305"/>
        <v>0.7145589884900001</v>
      </c>
      <c r="J274" s="222">
        <f t="shared" si="305"/>
        <v>0.74508860957</v>
      </c>
      <c r="K274" s="222">
        <f t="shared" si="305"/>
        <v>0.78618172260999997</v>
      </c>
      <c r="L274" s="223">
        <f t="shared" si="305"/>
        <v>0.87051877469999994</v>
      </c>
      <c r="M274" s="223">
        <f t="shared" si="305"/>
        <v>0.89478018875000009</v>
      </c>
      <c r="N274" s="223">
        <f t="shared" si="305"/>
        <v>0.84910827188816007</v>
      </c>
      <c r="O274" s="223">
        <f t="shared" si="305"/>
        <v>0.74614651347474004</v>
      </c>
      <c r="P274" s="223">
        <f t="shared" si="305"/>
        <v>0.91786775154493006</v>
      </c>
      <c r="Q274" s="223"/>
      <c r="R274" s="211"/>
      <c r="S274" s="202"/>
      <c r="T274" s="202"/>
      <c r="U274" s="202"/>
      <c r="V274" s="202"/>
      <c r="W274" s="202"/>
      <c r="X274" s="202"/>
      <c r="Y274" s="202"/>
      <c r="Z274" s="202"/>
      <c r="AA274" s="202"/>
      <c r="AB274" s="202"/>
      <c r="AC274" s="202"/>
      <c r="AD274" s="202"/>
      <c r="AE274" s="202"/>
      <c r="AF274" s="202"/>
      <c r="AG274" s="202"/>
      <c r="AH274" s="202"/>
      <c r="AI274" s="202"/>
      <c r="AJ274" s="202"/>
      <c r="AK274" s="202"/>
      <c r="AL274" s="202"/>
      <c r="AM274" s="202"/>
      <c r="AN274" s="202"/>
      <c r="AO274" s="202"/>
      <c r="AP274" s="202"/>
      <c r="AQ274" s="202"/>
      <c r="AR274" s="202"/>
      <c r="AS274" s="202"/>
      <c r="AT274" s="202"/>
      <c r="AU274" s="202"/>
      <c r="AV274" s="202"/>
      <c r="AW274" s="202"/>
      <c r="AX274" s="202"/>
      <c r="AY274" s="202"/>
      <c r="AZ274" s="202"/>
      <c r="BA274" s="202"/>
      <c r="BB274" s="202"/>
      <c r="BC274" s="202"/>
      <c r="BD274" s="202"/>
      <c r="BE274" s="202"/>
      <c r="BF274" s="202"/>
      <c r="BG274" s="202"/>
      <c r="BH274" s="202"/>
      <c r="BI274" s="202"/>
      <c r="BJ274" s="202"/>
      <c r="BK274" s="202"/>
      <c r="BL274" s="202"/>
      <c r="BM274" s="202"/>
      <c r="BN274" s="202"/>
      <c r="BO274" s="202"/>
      <c r="BP274" s="182"/>
    </row>
    <row r="275" spans="1:68" ht="12.75" hidden="1" customHeight="1" x14ac:dyDescent="0.3">
      <c r="A275" s="982"/>
      <c r="D275" s="944"/>
      <c r="E275" s="183"/>
      <c r="F275" s="218" t="s">
        <v>417</v>
      </c>
      <c r="G275" s="222">
        <f t="shared" ref="G275:P275" si="306">G259+G159-G193</f>
        <v>0.18173168487999991</v>
      </c>
      <c r="H275" s="222">
        <f t="shared" si="306"/>
        <v>0.13742495402999988</v>
      </c>
      <c r="I275" s="222">
        <f t="shared" si="306"/>
        <v>0.40123801458000008</v>
      </c>
      <c r="J275" s="222">
        <f t="shared" si="306"/>
        <v>0.54227316176000007</v>
      </c>
      <c r="K275" s="222">
        <f t="shared" si="306"/>
        <v>0.60329501341999991</v>
      </c>
      <c r="L275" s="223">
        <f t="shared" si="306"/>
        <v>0.77983677960000009</v>
      </c>
      <c r="M275" s="223">
        <f t="shared" si="306"/>
        <v>0.71613056009999976</v>
      </c>
      <c r="N275" s="223">
        <f t="shared" si="306"/>
        <v>0.73373180858000009</v>
      </c>
      <c r="O275" s="223">
        <f t="shared" si="306"/>
        <v>0.7698921031999999</v>
      </c>
      <c r="P275" s="223">
        <f t="shared" si="306"/>
        <v>0.81321248085999998</v>
      </c>
      <c r="Q275" s="223"/>
      <c r="R275" s="211"/>
      <c r="S275" s="202"/>
      <c r="T275" s="202"/>
      <c r="U275" s="202"/>
      <c r="V275" s="202"/>
      <c r="W275" s="202"/>
      <c r="X275" s="202"/>
      <c r="Y275" s="202"/>
      <c r="Z275" s="202"/>
      <c r="AA275" s="202"/>
      <c r="AB275" s="202"/>
      <c r="AC275" s="202"/>
      <c r="AD275" s="202"/>
      <c r="AE275" s="202"/>
      <c r="AF275" s="202"/>
      <c r="AG275" s="202"/>
      <c r="AH275" s="202"/>
      <c r="AI275" s="202"/>
      <c r="AJ275" s="202"/>
      <c r="AK275" s="202"/>
      <c r="AL275" s="202"/>
      <c r="AM275" s="202"/>
      <c r="AN275" s="202"/>
      <c r="AO275" s="202"/>
      <c r="AP275" s="202"/>
      <c r="AQ275" s="202"/>
      <c r="AR275" s="202"/>
      <c r="AS275" s="202"/>
      <c r="AT275" s="202"/>
      <c r="AU275" s="202"/>
      <c r="AV275" s="202"/>
      <c r="AW275" s="202"/>
      <c r="AX275" s="202"/>
      <c r="AY275" s="202"/>
      <c r="AZ275" s="202"/>
      <c r="BA275" s="202"/>
      <c r="BB275" s="202"/>
      <c r="BC275" s="202"/>
      <c r="BD275" s="202"/>
      <c r="BE275" s="202"/>
      <c r="BF275" s="202"/>
      <c r="BG275" s="202"/>
      <c r="BH275" s="202"/>
      <c r="BI275" s="202"/>
      <c r="BJ275" s="202"/>
      <c r="BK275" s="202"/>
      <c r="BL275" s="202"/>
      <c r="BM275" s="202"/>
      <c r="BN275" s="202"/>
      <c r="BO275" s="202"/>
      <c r="BP275" s="182"/>
    </row>
    <row r="276" spans="1:68" ht="12.75" hidden="1" customHeight="1" x14ac:dyDescent="0.3">
      <c r="A276" s="982"/>
      <c r="D276" s="944"/>
      <c r="E276" s="183"/>
      <c r="F276" s="218" t="s">
        <v>418</v>
      </c>
      <c r="G276" s="222">
        <f t="shared" ref="G276:P276" si="307">G260+G160-G194</f>
        <v>0.13378065162</v>
      </c>
      <c r="H276" s="222">
        <f t="shared" si="307"/>
        <v>0.23872757878999989</v>
      </c>
      <c r="I276" s="222">
        <f t="shared" si="307"/>
        <v>0.27900722291000007</v>
      </c>
      <c r="J276" s="222">
        <f t="shared" si="307"/>
        <v>0.20353658812999989</v>
      </c>
      <c r="K276" s="222">
        <f t="shared" si="307"/>
        <v>0.21759692969000005</v>
      </c>
      <c r="L276" s="223">
        <f t="shared" si="307"/>
        <v>0.26491705830999995</v>
      </c>
      <c r="M276" s="223">
        <f t="shared" si="307"/>
        <v>0.31489432999000005</v>
      </c>
      <c r="N276" s="223">
        <f t="shared" si="307"/>
        <v>0.28372569087479999</v>
      </c>
      <c r="O276" s="223">
        <f t="shared" si="307"/>
        <v>0.27877028560987999</v>
      </c>
      <c r="P276" s="223">
        <f t="shared" si="307"/>
        <v>0.17143066097316001</v>
      </c>
      <c r="Q276" s="223"/>
      <c r="R276" s="211"/>
      <c r="S276" s="202"/>
      <c r="T276" s="202"/>
      <c r="U276" s="202"/>
      <c r="V276" s="202"/>
      <c r="W276" s="202"/>
      <c r="X276" s="202"/>
      <c r="Y276" s="202"/>
      <c r="Z276" s="202"/>
      <c r="AA276" s="202"/>
      <c r="AB276" s="202"/>
      <c r="AC276" s="202"/>
      <c r="AD276" s="202"/>
      <c r="AE276" s="202"/>
      <c r="AF276" s="202"/>
      <c r="AG276" s="202"/>
      <c r="AH276" s="202"/>
      <c r="AI276" s="202"/>
      <c r="AJ276" s="202"/>
      <c r="AK276" s="202"/>
      <c r="AL276" s="202"/>
      <c r="AM276" s="202"/>
      <c r="AN276" s="202"/>
      <c r="AO276" s="202"/>
      <c r="AP276" s="202"/>
      <c r="AQ276" s="202"/>
      <c r="AR276" s="202"/>
      <c r="AS276" s="202"/>
      <c r="AT276" s="202"/>
      <c r="AU276" s="202"/>
      <c r="AV276" s="202"/>
      <c r="AW276" s="202"/>
      <c r="AX276" s="202"/>
      <c r="AY276" s="202"/>
      <c r="AZ276" s="202"/>
      <c r="BA276" s="202"/>
      <c r="BB276" s="202"/>
      <c r="BC276" s="202"/>
      <c r="BD276" s="202"/>
      <c r="BE276" s="202"/>
      <c r="BF276" s="202"/>
      <c r="BG276" s="202"/>
      <c r="BH276" s="202"/>
      <c r="BI276" s="202"/>
      <c r="BJ276" s="202"/>
      <c r="BK276" s="202"/>
      <c r="BL276" s="202"/>
      <c r="BM276" s="202"/>
      <c r="BN276" s="202"/>
      <c r="BO276" s="202"/>
      <c r="BP276" s="182"/>
    </row>
    <row r="277" spans="1:68" ht="12.75" hidden="1" customHeight="1" x14ac:dyDescent="0.3">
      <c r="A277" s="982"/>
      <c r="D277" s="944"/>
      <c r="E277" s="183"/>
      <c r="F277" s="218" t="s">
        <v>419</v>
      </c>
      <c r="G277" s="222">
        <f t="shared" ref="G277:P277" si="308">G261+G161-G195</f>
        <v>9.9634887999999994E-4</v>
      </c>
      <c r="H277" s="222">
        <f t="shared" si="308"/>
        <v>2.08415693E-3</v>
      </c>
      <c r="I277" s="222">
        <f t="shared" si="308"/>
        <v>1.09773676E-3</v>
      </c>
      <c r="J277" s="222">
        <f t="shared" si="308"/>
        <v>1.9962300800000004E-3</v>
      </c>
      <c r="K277" s="222">
        <f t="shared" si="308"/>
        <v>9.9773884000000008E-4</v>
      </c>
      <c r="L277" s="223">
        <f t="shared" si="308"/>
        <v>9.9713692000000004E-4</v>
      </c>
      <c r="M277" s="223">
        <f t="shared" si="308"/>
        <v>9.9602613999999999E-4</v>
      </c>
      <c r="N277" s="223">
        <f t="shared" si="308"/>
        <v>9.772123780000001E-4</v>
      </c>
      <c r="O277" s="223">
        <f t="shared" si="308"/>
        <v>9.9690728949999993E-4</v>
      </c>
      <c r="P277" s="223">
        <f t="shared" si="308"/>
        <v>1.0046549206000001E-3</v>
      </c>
      <c r="Q277" s="223"/>
      <c r="R277" s="211"/>
      <c r="S277" s="202"/>
      <c r="T277" s="202"/>
      <c r="U277" s="202"/>
      <c r="V277" s="202"/>
      <c r="W277" s="202"/>
      <c r="X277" s="202"/>
      <c r="Y277" s="202"/>
      <c r="Z277" s="202"/>
      <c r="AA277" s="202"/>
      <c r="AB277" s="202"/>
      <c r="AC277" s="202"/>
      <c r="AD277" s="202"/>
      <c r="AE277" s="202"/>
      <c r="AF277" s="202"/>
      <c r="AG277" s="202"/>
      <c r="AH277" s="202"/>
      <c r="AI277" s="202"/>
      <c r="AJ277" s="202"/>
      <c r="AK277" s="202"/>
      <c r="AL277" s="202"/>
      <c r="AM277" s="202"/>
      <c r="AN277" s="202"/>
      <c r="AO277" s="202"/>
      <c r="AP277" s="202"/>
      <c r="AQ277" s="202"/>
      <c r="AR277" s="202"/>
      <c r="AS277" s="202"/>
      <c r="AT277" s="202"/>
      <c r="AU277" s="202"/>
      <c r="AV277" s="202"/>
      <c r="AW277" s="202"/>
      <c r="AX277" s="202"/>
      <c r="AY277" s="202"/>
      <c r="AZ277" s="202"/>
      <c r="BA277" s="202"/>
      <c r="BB277" s="202"/>
      <c r="BC277" s="202"/>
      <c r="BD277" s="202"/>
      <c r="BE277" s="202"/>
      <c r="BF277" s="202"/>
      <c r="BG277" s="202"/>
      <c r="BH277" s="202"/>
      <c r="BI277" s="202"/>
      <c r="BJ277" s="202"/>
      <c r="BK277" s="202"/>
      <c r="BL277" s="202"/>
      <c r="BM277" s="202"/>
      <c r="BN277" s="202"/>
      <c r="BO277" s="202"/>
      <c r="BP277" s="182"/>
    </row>
    <row r="278" spans="1:68" ht="12.75" hidden="1" customHeight="1" x14ac:dyDescent="0.3">
      <c r="A278" s="982"/>
      <c r="D278" s="944"/>
      <c r="E278" s="183"/>
      <c r="F278" s="218" t="s">
        <v>420</v>
      </c>
      <c r="G278" s="222">
        <f t="shared" ref="G278:P278" si="309">G262+G162-G196</f>
        <v>2.7381519990000016E-2</v>
      </c>
      <c r="H278" s="222">
        <f t="shared" si="309"/>
        <v>3.1426795619999975E-2</v>
      </c>
      <c r="I278" s="222">
        <f t="shared" si="309"/>
        <v>3.0228956009999988E-2</v>
      </c>
      <c r="J278" s="222">
        <f t="shared" si="309"/>
        <v>3.085188677999999E-2</v>
      </c>
      <c r="K278" s="222">
        <f t="shared" si="309"/>
        <v>3.48929163E-2</v>
      </c>
      <c r="L278" s="223">
        <f t="shared" si="309"/>
        <v>3.0459511169999998E-2</v>
      </c>
      <c r="M278" s="223">
        <f t="shared" si="309"/>
        <v>3.2092795349999995E-2</v>
      </c>
      <c r="N278" s="223">
        <f t="shared" si="309"/>
        <v>6.07492088874E-2</v>
      </c>
      <c r="O278" s="223">
        <f t="shared" si="309"/>
        <v>3.0641323775039996E-2</v>
      </c>
      <c r="P278" s="223">
        <f t="shared" si="309"/>
        <v>2.0205094666224374E-2</v>
      </c>
      <c r="Q278" s="223"/>
      <c r="R278" s="211"/>
      <c r="S278" s="202"/>
      <c r="T278" s="202"/>
      <c r="U278" s="202"/>
      <c r="V278" s="202"/>
      <c r="W278" s="202"/>
      <c r="X278" s="202"/>
      <c r="Y278" s="202"/>
      <c r="Z278" s="202"/>
      <c r="AA278" s="202"/>
      <c r="AB278" s="202"/>
      <c r="AC278" s="202"/>
      <c r="AD278" s="202"/>
      <c r="AE278" s="202"/>
      <c r="AF278" s="202"/>
      <c r="AG278" s="202"/>
      <c r="AH278" s="202"/>
      <c r="AI278" s="202"/>
      <c r="AJ278" s="202"/>
      <c r="AK278" s="202"/>
      <c r="AL278" s="202"/>
      <c r="AM278" s="202"/>
      <c r="AN278" s="202"/>
      <c r="AO278" s="202"/>
      <c r="AP278" s="202"/>
      <c r="AQ278" s="202"/>
      <c r="AR278" s="202"/>
      <c r="AS278" s="202"/>
      <c r="AT278" s="202"/>
      <c r="AU278" s="202"/>
      <c r="AV278" s="202"/>
      <c r="AW278" s="202"/>
      <c r="AX278" s="202"/>
      <c r="AY278" s="202"/>
      <c r="AZ278" s="202"/>
      <c r="BA278" s="202"/>
      <c r="BB278" s="202"/>
      <c r="BC278" s="202"/>
      <c r="BD278" s="202"/>
      <c r="BE278" s="202"/>
      <c r="BF278" s="202"/>
      <c r="BG278" s="202"/>
      <c r="BH278" s="202"/>
      <c r="BI278" s="202"/>
      <c r="BJ278" s="202"/>
      <c r="BK278" s="202"/>
      <c r="BL278" s="202"/>
      <c r="BM278" s="202"/>
      <c r="BN278" s="202"/>
      <c r="BO278" s="202"/>
      <c r="BP278" s="182"/>
    </row>
    <row r="279" spans="1:68" ht="12.75" hidden="1" customHeight="1" x14ac:dyDescent="0.3">
      <c r="A279" s="982"/>
      <c r="D279" s="944"/>
      <c r="E279" s="183"/>
      <c r="F279" s="218" t="s">
        <v>421</v>
      </c>
      <c r="G279" s="222">
        <f t="shared" ref="G279:P279" si="310">G263+G163-G197</f>
        <v>4.7170008279999995E-2</v>
      </c>
      <c r="H279" s="222">
        <f t="shared" si="310"/>
        <v>4.8203785969999996E-2</v>
      </c>
      <c r="I279" s="222">
        <f t="shared" si="310"/>
        <v>4.5623983560000005E-2</v>
      </c>
      <c r="J279" s="222">
        <f t="shared" si="310"/>
        <v>4.778274079E-2</v>
      </c>
      <c r="K279" s="222">
        <f t="shared" si="310"/>
        <v>4.7027750059999998E-2</v>
      </c>
      <c r="L279" s="223">
        <f t="shared" si="310"/>
        <v>4.6214925240000003E-2</v>
      </c>
      <c r="M279" s="223">
        <f t="shared" si="310"/>
        <v>3.6519974300000001E-2</v>
      </c>
      <c r="N279" s="223">
        <f t="shared" si="310"/>
        <v>4.3809501009999995E-2</v>
      </c>
      <c r="O279" s="223">
        <f t="shared" si="310"/>
        <v>4.0292642320000002E-2</v>
      </c>
      <c r="P279" s="223">
        <f t="shared" si="310"/>
        <v>3.3945192280000008E-2</v>
      </c>
      <c r="Q279" s="223"/>
      <c r="R279" s="211"/>
      <c r="S279" s="202"/>
      <c r="T279" s="202"/>
      <c r="U279" s="202"/>
      <c r="V279" s="202"/>
      <c r="W279" s="202"/>
      <c r="X279" s="202"/>
      <c r="Y279" s="202"/>
      <c r="Z279" s="202"/>
      <c r="AA279" s="202"/>
      <c r="AB279" s="202"/>
      <c r="AC279" s="202"/>
      <c r="AD279" s="202"/>
      <c r="AE279" s="202"/>
      <c r="AF279" s="202"/>
      <c r="AG279" s="202"/>
      <c r="AH279" s="202"/>
      <c r="AI279" s="202"/>
      <c r="AJ279" s="202"/>
      <c r="AK279" s="202"/>
      <c r="AL279" s="202"/>
      <c r="AM279" s="202"/>
      <c r="AN279" s="202"/>
      <c r="AO279" s="202"/>
      <c r="AP279" s="202"/>
      <c r="AQ279" s="202"/>
      <c r="AR279" s="202"/>
      <c r="AS279" s="202"/>
      <c r="AT279" s="202"/>
      <c r="AU279" s="202"/>
      <c r="AV279" s="202"/>
      <c r="AW279" s="202"/>
      <c r="AX279" s="202"/>
      <c r="AY279" s="202"/>
      <c r="AZ279" s="202"/>
      <c r="BA279" s="202"/>
      <c r="BB279" s="202"/>
      <c r="BC279" s="202"/>
      <c r="BD279" s="202"/>
      <c r="BE279" s="202"/>
      <c r="BF279" s="202"/>
      <c r="BG279" s="202"/>
      <c r="BH279" s="202"/>
      <c r="BI279" s="202"/>
      <c r="BJ279" s="202"/>
      <c r="BK279" s="202"/>
      <c r="BL279" s="202"/>
      <c r="BM279" s="202"/>
      <c r="BN279" s="202"/>
      <c r="BO279" s="202"/>
      <c r="BP279" s="182"/>
    </row>
    <row r="280" spans="1:68" ht="12.75" hidden="1" customHeight="1" x14ac:dyDescent="0.3">
      <c r="A280" s="982"/>
      <c r="D280" s="944"/>
      <c r="E280" s="183"/>
      <c r="F280" s="218" t="s">
        <v>469</v>
      </c>
      <c r="G280" s="222">
        <f t="shared" ref="G280:P280" si="311">G264+G164-G198</f>
        <v>-5.0557414259999933E-2</v>
      </c>
      <c r="H280" s="222">
        <f t="shared" si="311"/>
        <v>1.5901863199998534E-3</v>
      </c>
      <c r="I280" s="222">
        <f t="shared" si="311"/>
        <v>-9.5128752099999936E-3</v>
      </c>
      <c r="J280" s="222">
        <f t="shared" si="311"/>
        <v>-4.6212648640000187E-2</v>
      </c>
      <c r="K280" s="222">
        <f t="shared" si="311"/>
        <v>0.5965852211999999</v>
      </c>
      <c r="L280" s="223">
        <f t="shared" si="311"/>
        <v>-0.38307515341816656</v>
      </c>
      <c r="M280" s="223">
        <f t="shared" si="311"/>
        <v>-0.19647827165999987</v>
      </c>
      <c r="N280" s="223">
        <f t="shared" si="311"/>
        <v>-0.33064553632100002</v>
      </c>
      <c r="O280" s="223">
        <f t="shared" si="311"/>
        <v>-0.32017973424349988</v>
      </c>
      <c r="P280" s="223">
        <f t="shared" si="311"/>
        <v>-0.36253245449700011</v>
      </c>
      <c r="Q280" s="223"/>
      <c r="R280" s="211"/>
      <c r="S280" s="202"/>
      <c r="T280" s="202"/>
      <c r="U280" s="202"/>
      <c r="V280" s="202"/>
      <c r="W280" s="202"/>
      <c r="X280" s="202"/>
      <c r="Y280" s="202"/>
      <c r="Z280" s="202"/>
      <c r="AA280" s="202"/>
      <c r="AB280" s="202"/>
      <c r="AC280" s="202"/>
      <c r="AD280" s="202"/>
      <c r="AE280" s="202"/>
      <c r="AF280" s="202"/>
      <c r="AG280" s="202"/>
      <c r="AH280" s="202"/>
      <c r="AI280" s="202"/>
      <c r="AJ280" s="202"/>
      <c r="AK280" s="202"/>
      <c r="AL280" s="202"/>
      <c r="AM280" s="202"/>
      <c r="AN280" s="202"/>
      <c r="AO280" s="202"/>
      <c r="AP280" s="202"/>
      <c r="AQ280" s="202"/>
      <c r="AR280" s="202"/>
      <c r="AS280" s="202"/>
      <c r="AT280" s="202"/>
      <c r="AU280" s="202"/>
      <c r="AV280" s="202"/>
      <c r="AW280" s="202"/>
      <c r="AX280" s="202"/>
      <c r="AY280" s="202"/>
      <c r="AZ280" s="202"/>
      <c r="BA280" s="202"/>
      <c r="BB280" s="202"/>
      <c r="BC280" s="202"/>
      <c r="BD280" s="202"/>
      <c r="BE280" s="202"/>
      <c r="BF280" s="202"/>
      <c r="BG280" s="202"/>
      <c r="BH280" s="202"/>
      <c r="BI280" s="202"/>
      <c r="BJ280" s="202"/>
      <c r="BK280" s="202"/>
      <c r="BL280" s="202"/>
      <c r="BM280" s="202"/>
      <c r="BN280" s="202"/>
      <c r="BO280" s="202"/>
      <c r="BP280" s="182"/>
    </row>
    <row r="281" spans="1:68" ht="12.75" hidden="1" customHeight="1" x14ac:dyDescent="0.3">
      <c r="A281" s="982"/>
      <c r="D281" s="944"/>
      <c r="E281" s="183"/>
      <c r="F281" s="218" t="s">
        <v>423</v>
      </c>
      <c r="G281" s="222">
        <f t="shared" ref="G281:P281" si="312">G265+G165-G199</f>
        <v>0.39317957856000008</v>
      </c>
      <c r="H281" s="222">
        <f t="shared" si="312"/>
        <v>0.39395602829000004</v>
      </c>
      <c r="I281" s="222">
        <f t="shared" si="312"/>
        <v>0.39382618932000002</v>
      </c>
      <c r="J281" s="222">
        <f t="shared" si="312"/>
        <v>0.37860874612000006</v>
      </c>
      <c r="K281" s="222">
        <f t="shared" si="312"/>
        <v>-0.31097570449</v>
      </c>
      <c r="L281" s="223">
        <f t="shared" si="312"/>
        <v>0.44668875349333315</v>
      </c>
      <c r="M281" s="223">
        <f t="shared" si="312"/>
        <v>0.4939984872</v>
      </c>
      <c r="N281" s="223">
        <f t="shared" si="312"/>
        <v>0.46239261002999998</v>
      </c>
      <c r="O281" s="223">
        <f t="shared" si="312"/>
        <v>0.40888110463999994</v>
      </c>
      <c r="P281" s="223">
        <f t="shared" si="312"/>
        <v>0.40479677931999997</v>
      </c>
      <c r="Q281" s="223"/>
      <c r="R281" s="211"/>
      <c r="S281" s="202"/>
      <c r="T281" s="202"/>
      <c r="U281" s="202"/>
      <c r="V281" s="202"/>
      <c r="W281" s="202"/>
      <c r="X281" s="202"/>
      <c r="Y281" s="202"/>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c r="BE281" s="202"/>
      <c r="BF281" s="202"/>
      <c r="BG281" s="202"/>
      <c r="BH281" s="202"/>
      <c r="BI281" s="202"/>
      <c r="BJ281" s="202"/>
      <c r="BK281" s="202"/>
      <c r="BL281" s="202"/>
      <c r="BM281" s="202"/>
      <c r="BN281" s="202"/>
      <c r="BO281" s="202"/>
      <c r="BP281" s="182"/>
    </row>
    <row r="282" spans="1:68" ht="12.75" hidden="1" customHeight="1" x14ac:dyDescent="0.3">
      <c r="A282" s="982"/>
      <c r="D282" s="944"/>
      <c r="E282" s="183"/>
      <c r="F282" s="218" t="s">
        <v>424</v>
      </c>
      <c r="G282" s="222">
        <f t="shared" ref="G282:P282" si="313">G266+G166-G200</f>
        <v>0.49375563223000007</v>
      </c>
      <c r="H282" s="222">
        <f t="shared" si="313"/>
        <v>0.49935696963999998</v>
      </c>
      <c r="I282" s="222">
        <f t="shared" si="313"/>
        <v>0.45611278533999994</v>
      </c>
      <c r="J282" s="222">
        <f t="shared" si="313"/>
        <v>0.51404802585999998</v>
      </c>
      <c r="K282" s="222">
        <f t="shared" si="313"/>
        <v>0.59710062419999999</v>
      </c>
      <c r="L282" s="223">
        <f t="shared" si="313"/>
        <v>0.52669500000000002</v>
      </c>
      <c r="M282" s="223">
        <f t="shared" si="313"/>
        <v>0.33396300000000001</v>
      </c>
      <c r="N282" s="223">
        <f t="shared" si="313"/>
        <v>0.44541599999999998</v>
      </c>
      <c r="O282" s="223">
        <f t="shared" si="313"/>
        <v>0.34292099999999998</v>
      </c>
      <c r="P282" s="223">
        <f t="shared" si="313"/>
        <v>0.26467299999999999</v>
      </c>
      <c r="Q282" s="223"/>
      <c r="R282" s="211"/>
      <c r="S282" s="202"/>
      <c r="T282" s="202"/>
      <c r="U282" s="202"/>
      <c r="V282" s="202"/>
      <c r="W282" s="202"/>
      <c r="X282" s="202"/>
      <c r="Y282" s="202"/>
      <c r="Z282" s="202"/>
      <c r="AA282" s="202"/>
      <c r="AB282" s="202"/>
      <c r="AC282" s="202"/>
      <c r="AD282" s="202"/>
      <c r="AE282" s="202"/>
      <c r="AF282" s="202"/>
      <c r="AG282" s="202"/>
      <c r="AH282" s="202"/>
      <c r="AI282" s="202"/>
      <c r="AJ282" s="202"/>
      <c r="AK282" s="202"/>
      <c r="AL282" s="202"/>
      <c r="AM282" s="202"/>
      <c r="AN282" s="202"/>
      <c r="AO282" s="202"/>
      <c r="AP282" s="202"/>
      <c r="AQ282" s="202"/>
      <c r="AR282" s="202"/>
      <c r="AS282" s="202"/>
      <c r="AT282" s="202"/>
      <c r="AU282" s="202"/>
      <c r="AV282" s="202"/>
      <c r="AW282" s="202"/>
      <c r="AX282" s="202"/>
      <c r="AY282" s="202"/>
      <c r="AZ282" s="202"/>
      <c r="BA282" s="202"/>
      <c r="BB282" s="202"/>
      <c r="BC282" s="202"/>
      <c r="BD282" s="202"/>
      <c r="BE282" s="202"/>
      <c r="BF282" s="202"/>
      <c r="BG282" s="202"/>
      <c r="BH282" s="202"/>
      <c r="BI282" s="202"/>
      <c r="BJ282" s="202"/>
      <c r="BK282" s="202"/>
      <c r="BL282" s="202"/>
      <c r="BM282" s="202"/>
      <c r="BN282" s="202"/>
      <c r="BO282" s="202"/>
      <c r="BP282" s="182"/>
    </row>
    <row r="283" spans="1:68" ht="12.75" hidden="1" customHeight="1" x14ac:dyDescent="0.3">
      <c r="A283" s="982"/>
      <c r="D283" s="944"/>
      <c r="E283" s="183"/>
      <c r="F283" s="218" t="s">
        <v>425</v>
      </c>
      <c r="G283" s="222">
        <f t="shared" ref="G283:P283" si="314">G267+G167-G201</f>
        <v>0.12435044562</v>
      </c>
      <c r="H283" s="222">
        <f t="shared" si="314"/>
        <v>0.14171685762</v>
      </c>
      <c r="I283" s="222">
        <f t="shared" si="314"/>
        <v>0.15840442938000002</v>
      </c>
      <c r="J283" s="222">
        <f t="shared" si="314"/>
        <v>0.10728170488</v>
      </c>
      <c r="K283" s="222">
        <f t="shared" si="314"/>
        <v>0.18323683986</v>
      </c>
      <c r="L283" s="223">
        <f t="shared" si="314"/>
        <v>0.15264037361000002</v>
      </c>
      <c r="M283" s="223">
        <f t="shared" si="314"/>
        <v>0.13942944544000002</v>
      </c>
      <c r="N283" s="223">
        <f t="shared" si="314"/>
        <v>0.12349298635444</v>
      </c>
      <c r="O283" s="223">
        <f t="shared" si="314"/>
        <v>0.12677608416420999</v>
      </c>
      <c r="P283" s="223">
        <f t="shared" si="314"/>
        <v>0.1084857124224</v>
      </c>
      <c r="Q283" s="223"/>
      <c r="R283" s="211"/>
      <c r="S283" s="202"/>
      <c r="T283" s="202"/>
      <c r="U283" s="202"/>
      <c r="V283" s="202"/>
      <c r="W283" s="202"/>
      <c r="X283" s="202"/>
      <c r="Y283" s="202"/>
      <c r="Z283" s="202"/>
      <c r="AA283" s="202"/>
      <c r="AB283" s="202"/>
      <c r="AC283" s="202"/>
      <c r="AD283" s="202"/>
      <c r="AE283" s="202"/>
      <c r="AF283" s="202"/>
      <c r="AG283" s="202"/>
      <c r="AH283" s="202"/>
      <c r="AI283" s="202"/>
      <c r="AJ283" s="202"/>
      <c r="AK283" s="202"/>
      <c r="AL283" s="202"/>
      <c r="AM283" s="202"/>
      <c r="AN283" s="202"/>
      <c r="AO283" s="202"/>
      <c r="AP283" s="202"/>
      <c r="AQ283" s="202"/>
      <c r="AR283" s="202"/>
      <c r="AS283" s="202"/>
      <c r="AT283" s="202"/>
      <c r="AU283" s="202"/>
      <c r="AV283" s="202"/>
      <c r="AW283" s="202"/>
      <c r="AX283" s="202"/>
      <c r="AY283" s="202"/>
      <c r="AZ283" s="202"/>
      <c r="BA283" s="202"/>
      <c r="BB283" s="202"/>
      <c r="BC283" s="202"/>
      <c r="BD283" s="202"/>
      <c r="BE283" s="202"/>
      <c r="BF283" s="202"/>
      <c r="BG283" s="202"/>
      <c r="BH283" s="202"/>
      <c r="BI283" s="202"/>
      <c r="BJ283" s="202"/>
      <c r="BK283" s="202"/>
      <c r="BL283" s="202"/>
      <c r="BM283" s="202"/>
      <c r="BN283" s="202"/>
      <c r="BO283" s="202"/>
      <c r="BP283" s="182"/>
    </row>
    <row r="284" spans="1:68" ht="12.75" hidden="1" customHeight="1" x14ac:dyDescent="0.3">
      <c r="A284" s="982"/>
      <c r="D284" s="944"/>
      <c r="E284" s="183"/>
      <c r="F284" s="218" t="s">
        <v>426</v>
      </c>
      <c r="G284" s="222">
        <f t="shared" ref="G284:P284" si="315">G268+G169-G202</f>
        <v>0.10656</v>
      </c>
      <c r="H284" s="222">
        <f t="shared" si="315"/>
        <v>0.11697199999999999</v>
      </c>
      <c r="I284" s="222">
        <f t="shared" si="315"/>
        <v>0.11744399999999999</v>
      </c>
      <c r="J284" s="222">
        <f t="shared" si="315"/>
        <v>0.15371099999999999</v>
      </c>
      <c r="K284" s="222">
        <f t="shared" si="315"/>
        <v>0.16518099999999999</v>
      </c>
      <c r="L284" s="223">
        <f t="shared" si="315"/>
        <v>0.14582400000000001</v>
      </c>
      <c r="M284" s="223">
        <f t="shared" si="315"/>
        <v>0.14318600000000001</v>
      </c>
      <c r="N284" s="223">
        <f t="shared" si="315"/>
        <v>0.148173</v>
      </c>
      <c r="O284" s="223">
        <f t="shared" si="315"/>
        <v>0.15479299999999999</v>
      </c>
      <c r="P284" s="223">
        <f t="shared" si="315"/>
        <v>0.15833599999999998</v>
      </c>
      <c r="Q284" s="223"/>
      <c r="R284" s="211"/>
      <c r="S284" s="202"/>
      <c r="T284" s="202"/>
      <c r="U284" s="202"/>
      <c r="V284" s="202"/>
      <c r="W284" s="202"/>
      <c r="X284" s="202"/>
      <c r="Y284" s="202"/>
      <c r="Z284" s="202"/>
      <c r="AA284" s="202"/>
      <c r="AB284" s="202"/>
      <c r="AC284" s="202"/>
      <c r="AD284" s="202"/>
      <c r="AE284" s="202"/>
      <c r="AF284" s="202"/>
      <c r="AG284" s="202"/>
      <c r="AH284" s="202"/>
      <c r="AI284" s="202"/>
      <c r="AJ284" s="202"/>
      <c r="AK284" s="202"/>
      <c r="AL284" s="202"/>
      <c r="AM284" s="202"/>
      <c r="AN284" s="202"/>
      <c r="AO284" s="202"/>
      <c r="AP284" s="202"/>
      <c r="AQ284" s="202"/>
      <c r="AR284" s="202"/>
      <c r="AS284" s="202"/>
      <c r="AT284" s="202"/>
      <c r="AU284" s="202"/>
      <c r="AV284" s="202"/>
      <c r="AW284" s="202"/>
      <c r="AX284" s="202"/>
      <c r="AY284" s="202"/>
      <c r="AZ284" s="202"/>
      <c r="BA284" s="202"/>
      <c r="BB284" s="202"/>
      <c r="BC284" s="202"/>
      <c r="BD284" s="202"/>
      <c r="BE284" s="202"/>
      <c r="BF284" s="202"/>
      <c r="BG284" s="202"/>
      <c r="BH284" s="202"/>
      <c r="BI284" s="202"/>
      <c r="BJ284" s="202"/>
      <c r="BK284" s="202"/>
      <c r="BL284" s="202"/>
      <c r="BM284" s="202"/>
      <c r="BN284" s="202"/>
      <c r="BO284" s="202"/>
      <c r="BP284" s="182"/>
    </row>
    <row r="285" spans="1:68" ht="14.25" customHeight="1" thickBot="1" x14ac:dyDescent="0.35">
      <c r="A285" s="960"/>
      <c r="B285" s="960"/>
      <c r="C285" s="960"/>
      <c r="D285" s="944"/>
      <c r="E285" s="51"/>
      <c r="F285" s="200"/>
      <c r="G285" s="200"/>
      <c r="H285" s="200"/>
      <c r="I285" s="200"/>
      <c r="J285" s="200"/>
      <c r="K285" s="200"/>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c r="BD285" s="201"/>
      <c r="BE285" s="201"/>
      <c r="BF285" s="201"/>
      <c r="BG285" s="201"/>
      <c r="BH285" s="201"/>
      <c r="BI285" s="201"/>
      <c r="BJ285" s="201"/>
      <c r="BK285" s="201"/>
      <c r="BL285" s="201"/>
      <c r="BM285" s="201"/>
      <c r="BN285" s="201"/>
      <c r="BO285" s="201"/>
      <c r="BP285" s="52"/>
    </row>
    <row r="286" spans="1:68" ht="14.25" customHeight="1" x14ac:dyDescent="0.3">
      <c r="A286" s="960"/>
      <c r="B286" s="960"/>
      <c r="C286" s="960"/>
      <c r="D286" s="944"/>
      <c r="E286" s="944"/>
      <c r="F286" s="45"/>
      <c r="G286" s="45"/>
      <c r="H286" s="45"/>
      <c r="I286" s="45"/>
      <c r="J286" s="45"/>
      <c r="K286" s="45"/>
      <c r="L286" s="944"/>
      <c r="M286" s="944"/>
      <c r="N286" s="944"/>
      <c r="O286" s="944"/>
      <c r="P286" s="944"/>
      <c r="Q286" s="944"/>
      <c r="R286" s="944"/>
      <c r="S286" s="944"/>
      <c r="T286" s="944"/>
      <c r="U286" s="944"/>
      <c r="V286" s="944"/>
      <c r="W286" s="944"/>
      <c r="X286" s="944"/>
      <c r="Y286" s="944"/>
      <c r="Z286" s="944"/>
      <c r="AA286" s="944"/>
      <c r="AB286" s="944"/>
      <c r="AC286" s="944"/>
      <c r="AD286" s="944"/>
      <c r="AE286" s="944"/>
      <c r="AF286" s="944"/>
      <c r="AG286" s="944"/>
      <c r="AH286" s="944"/>
      <c r="AI286" s="944"/>
      <c r="AJ286" s="944"/>
      <c r="AK286" s="944"/>
      <c r="AL286" s="944"/>
      <c r="AM286" s="944"/>
      <c r="AN286" s="944"/>
      <c r="AO286" s="944"/>
      <c r="AP286" s="944"/>
      <c r="AQ286" s="944"/>
      <c r="AR286" s="944"/>
      <c r="AS286" s="944"/>
      <c r="AT286" s="944"/>
      <c r="AU286" s="944"/>
      <c r="AV286" s="944"/>
      <c r="AW286" s="944"/>
      <c r="AX286" s="944"/>
      <c r="AY286" s="944"/>
      <c r="AZ286" s="944"/>
      <c r="BA286" s="944"/>
      <c r="BB286" s="944"/>
      <c r="BC286" s="944"/>
      <c r="BD286" s="944"/>
      <c r="BE286" s="944"/>
      <c r="BF286" s="944"/>
      <c r="BG286" s="944"/>
      <c r="BH286" s="944"/>
      <c r="BI286" s="944"/>
      <c r="BJ286" s="944"/>
      <c r="BK286" s="944"/>
      <c r="BL286" s="944"/>
      <c r="BM286" s="944"/>
      <c r="BN286" s="944"/>
      <c r="BO286" s="944"/>
      <c r="BP286" s="45"/>
    </row>
    <row r="287" spans="1:68" ht="14.25" customHeight="1" x14ac:dyDescent="0.3">
      <c r="A287" s="960"/>
      <c r="B287" s="960"/>
      <c r="C287" s="960"/>
      <c r="D287" s="944"/>
      <c r="E287" s="944" t="s">
        <v>412</v>
      </c>
      <c r="F287" s="45" t="s">
        <v>447</v>
      </c>
      <c r="G287" s="45"/>
      <c r="H287" s="45"/>
      <c r="I287" s="45"/>
      <c r="J287" s="45"/>
      <c r="K287" s="45"/>
      <c r="L287" s="944"/>
      <c r="M287" s="944"/>
      <c r="N287" s="944"/>
      <c r="O287" s="944"/>
      <c r="P287" s="944"/>
      <c r="Q287" s="944"/>
      <c r="R287" s="944"/>
      <c r="S287" s="944"/>
      <c r="T287" s="944"/>
      <c r="U287" s="944"/>
      <c r="V287" s="944"/>
      <c r="W287" s="944"/>
      <c r="X287" s="944"/>
      <c r="Y287" s="944"/>
      <c r="Z287" s="944"/>
      <c r="AA287" s="944"/>
      <c r="AB287" s="944"/>
      <c r="AC287" s="944"/>
      <c r="AD287" s="944"/>
      <c r="AE287" s="944"/>
      <c r="AF287" s="944"/>
      <c r="AG287" s="944"/>
      <c r="AH287" s="944"/>
      <c r="AI287" s="944"/>
      <c r="AJ287" s="944"/>
      <c r="AK287" s="944"/>
      <c r="AL287" s="944"/>
      <c r="AM287" s="944"/>
      <c r="AN287" s="944"/>
      <c r="AO287" s="944"/>
      <c r="AP287" s="944"/>
      <c r="AQ287" s="944"/>
      <c r="AR287" s="944"/>
      <c r="AS287" s="944"/>
      <c r="AT287" s="944"/>
      <c r="AU287" s="944"/>
      <c r="AV287" s="944"/>
      <c r="AW287" s="944"/>
      <c r="AX287" s="944"/>
      <c r="AY287" s="944"/>
      <c r="AZ287" s="944"/>
      <c r="BA287" s="944"/>
      <c r="BB287" s="944"/>
      <c r="BC287" s="944"/>
      <c r="BD287" s="944"/>
      <c r="BE287" s="944"/>
      <c r="BF287" s="944"/>
      <c r="BG287" s="944"/>
      <c r="BH287" s="944"/>
      <c r="BI287" s="944"/>
      <c r="BJ287" s="944"/>
      <c r="BK287" s="944"/>
      <c r="BL287" s="944"/>
      <c r="BM287" s="944"/>
      <c r="BN287" s="944"/>
      <c r="BO287" s="944"/>
      <c r="BP287" s="45"/>
    </row>
    <row r="288" spans="1:68" ht="14.25" customHeight="1" x14ac:dyDescent="0.3">
      <c r="A288" s="960"/>
      <c r="B288" s="960"/>
      <c r="C288" s="960"/>
      <c r="D288" s="944"/>
      <c r="E288" s="944" t="s">
        <v>457</v>
      </c>
      <c r="F288" s="45" t="s">
        <v>508</v>
      </c>
      <c r="G288" s="45"/>
      <c r="H288" s="45"/>
      <c r="I288" s="45"/>
      <c r="J288" s="45"/>
      <c r="K288" s="45"/>
      <c r="L288" s="944"/>
      <c r="M288" s="944"/>
      <c r="N288" s="944"/>
      <c r="O288" s="944"/>
      <c r="P288" s="944"/>
      <c r="Q288" s="944"/>
      <c r="R288" s="944"/>
      <c r="S288" s="944"/>
      <c r="T288" s="944"/>
      <c r="U288" s="944"/>
      <c r="V288" s="944"/>
      <c r="W288" s="944"/>
      <c r="X288" s="944"/>
      <c r="Y288" s="944"/>
      <c r="Z288" s="944"/>
      <c r="AA288" s="944"/>
      <c r="AB288" s="944"/>
      <c r="AC288" s="944"/>
      <c r="AD288" s="944"/>
      <c r="AE288" s="944"/>
      <c r="AF288" s="944"/>
      <c r="AG288" s="944"/>
      <c r="AH288" s="944"/>
      <c r="AI288" s="944"/>
      <c r="AJ288" s="944"/>
      <c r="AK288" s="944"/>
      <c r="AL288" s="944"/>
      <c r="AM288" s="944"/>
      <c r="AN288" s="944"/>
      <c r="AO288" s="944"/>
      <c r="AP288" s="944"/>
      <c r="AQ288" s="944"/>
      <c r="AR288" s="944"/>
      <c r="AS288" s="944"/>
      <c r="AT288" s="944"/>
      <c r="AU288" s="944"/>
      <c r="AV288" s="944"/>
      <c r="AW288" s="944"/>
      <c r="AX288" s="944"/>
      <c r="AY288" s="944"/>
      <c r="AZ288" s="944"/>
      <c r="BA288" s="944"/>
      <c r="BB288" s="944"/>
      <c r="BC288" s="944"/>
      <c r="BD288" s="944"/>
      <c r="BE288" s="944"/>
      <c r="BF288" s="944"/>
      <c r="BG288" s="944"/>
      <c r="BH288" s="944"/>
      <c r="BI288" s="944"/>
      <c r="BJ288" s="944"/>
      <c r="BK288" s="944"/>
      <c r="BL288" s="944"/>
      <c r="BM288" s="944"/>
      <c r="BN288" s="944"/>
      <c r="BO288" s="944"/>
      <c r="BP288" s="45"/>
    </row>
    <row r="289" spans="1:68" ht="14.25" customHeight="1" x14ac:dyDescent="0.3">
      <c r="A289" s="960"/>
      <c r="B289" s="960"/>
      <c r="C289" s="960"/>
      <c r="D289" s="944"/>
      <c r="E289" s="944"/>
      <c r="F289" s="45"/>
      <c r="G289" s="45"/>
      <c r="H289" s="45"/>
      <c r="I289" s="45"/>
      <c r="J289" s="45"/>
      <c r="K289" s="45"/>
      <c r="L289" s="944"/>
      <c r="M289" s="944"/>
      <c r="N289" s="944"/>
      <c r="O289" s="944"/>
      <c r="P289" s="944"/>
      <c r="Q289" s="944"/>
      <c r="R289" s="944"/>
      <c r="S289" s="944"/>
      <c r="T289" s="944"/>
      <c r="U289" s="944"/>
      <c r="V289" s="944"/>
      <c r="W289" s="944"/>
      <c r="X289" s="944"/>
      <c r="Y289" s="944"/>
      <c r="Z289" s="944"/>
      <c r="AA289" s="944"/>
      <c r="AB289" s="944"/>
      <c r="AC289" s="944"/>
      <c r="AD289" s="944"/>
      <c r="AE289" s="944"/>
      <c r="AF289" s="944"/>
      <c r="AG289" s="944"/>
      <c r="AH289" s="944"/>
      <c r="AI289" s="944"/>
      <c r="AJ289" s="944"/>
      <c r="AK289" s="944"/>
      <c r="AL289" s="944"/>
      <c r="AM289" s="944"/>
      <c r="AN289" s="944"/>
      <c r="AO289" s="944"/>
      <c r="AP289" s="944"/>
      <c r="AQ289" s="944"/>
      <c r="AR289" s="944"/>
      <c r="AS289" s="944"/>
      <c r="AT289" s="944"/>
      <c r="AU289" s="944"/>
      <c r="AV289" s="944"/>
      <c r="AW289" s="944"/>
      <c r="AX289" s="944"/>
      <c r="AY289" s="944"/>
      <c r="AZ289" s="944"/>
      <c r="BA289" s="944"/>
      <c r="BB289" s="944"/>
      <c r="BC289" s="944"/>
      <c r="BD289" s="944"/>
      <c r="BE289" s="944"/>
      <c r="BF289" s="944"/>
      <c r="BG289" s="944"/>
      <c r="BH289" s="944"/>
      <c r="BI289" s="944"/>
      <c r="BJ289" s="944"/>
      <c r="BK289" s="944"/>
      <c r="BL289" s="944"/>
      <c r="BM289" s="944"/>
      <c r="BN289" s="944"/>
      <c r="BO289" s="944"/>
      <c r="BP289" s="45"/>
    </row>
    <row r="290" spans="1:68" ht="15.75" customHeight="1" x14ac:dyDescent="0.3">
      <c r="A290" s="960"/>
      <c r="B290" s="960"/>
      <c r="C290" s="960"/>
      <c r="D290" s="944"/>
      <c r="E290" s="44"/>
      <c r="F290" s="44" t="s">
        <v>509</v>
      </c>
      <c r="G290" s="44"/>
      <c r="H290" s="45"/>
      <c r="I290" s="45"/>
      <c r="J290" s="45"/>
      <c r="K290" s="45"/>
      <c r="L290" s="944"/>
      <c r="M290" s="944"/>
      <c r="N290" s="944"/>
      <c r="O290" s="944"/>
      <c r="P290" s="944"/>
      <c r="Q290" s="944"/>
      <c r="R290" s="944"/>
      <c r="S290" s="944"/>
      <c r="T290" s="944"/>
      <c r="U290" s="944"/>
      <c r="V290" s="944"/>
      <c r="W290" s="944"/>
      <c r="X290" s="944"/>
      <c r="Y290" s="944"/>
      <c r="Z290" s="944"/>
      <c r="AA290" s="944"/>
      <c r="AB290" s="944"/>
      <c r="AC290" s="944"/>
      <c r="AD290" s="944"/>
      <c r="AE290" s="944"/>
      <c r="AF290" s="944"/>
      <c r="AG290" s="944"/>
      <c r="AH290" s="944"/>
      <c r="AI290" s="944"/>
      <c r="AJ290" s="944"/>
      <c r="AK290" s="944"/>
      <c r="AL290" s="944"/>
      <c r="AM290" s="944"/>
      <c r="AN290" s="944"/>
      <c r="AO290" s="944"/>
      <c r="AP290" s="944"/>
      <c r="AQ290" s="944"/>
      <c r="AR290" s="944"/>
      <c r="AS290" s="944"/>
      <c r="AT290" s="944"/>
      <c r="AU290" s="944"/>
      <c r="AV290" s="944"/>
      <c r="AW290" s="944"/>
      <c r="AX290" s="944"/>
      <c r="AY290" s="944"/>
      <c r="AZ290" s="944"/>
      <c r="BA290" s="944"/>
      <c r="BB290" s="944"/>
      <c r="BC290" s="944"/>
      <c r="BD290" s="944"/>
      <c r="BE290" s="944"/>
      <c r="BF290" s="944"/>
      <c r="BG290" s="944"/>
      <c r="BH290" s="944"/>
      <c r="BI290" s="944"/>
      <c r="BJ290" s="944"/>
      <c r="BK290" s="944"/>
      <c r="BL290" s="944"/>
      <c r="BM290" s="944"/>
      <c r="BN290" s="944"/>
      <c r="BO290" s="944"/>
      <c r="BP290" s="45"/>
    </row>
    <row r="291" spans="1:68" ht="14.25" customHeight="1" thickBot="1" x14ac:dyDescent="0.35">
      <c r="A291" s="960"/>
      <c r="B291" s="960"/>
      <c r="C291" s="960"/>
      <c r="D291" s="944"/>
      <c r="E291" s="944"/>
      <c r="F291" s="45"/>
      <c r="G291" s="45"/>
      <c r="H291" s="45"/>
      <c r="I291" s="45"/>
      <c r="J291" s="45"/>
      <c r="K291" s="45"/>
      <c r="L291" s="944"/>
      <c r="M291" s="944"/>
      <c r="N291" s="944"/>
      <c r="O291" s="944"/>
      <c r="P291" s="944"/>
      <c r="Q291" s="944"/>
      <c r="R291" s="944"/>
      <c r="S291" s="944"/>
      <c r="T291" s="944"/>
      <c r="U291" s="944"/>
      <c r="V291" s="944"/>
      <c r="W291" s="944"/>
      <c r="X291" s="944"/>
      <c r="Y291" s="944"/>
      <c r="Z291" s="944"/>
      <c r="AA291" s="944"/>
      <c r="AB291" s="944"/>
      <c r="AC291" s="944"/>
      <c r="AD291" s="944"/>
      <c r="AE291" s="944"/>
      <c r="AF291" s="944"/>
      <c r="AG291" s="944"/>
      <c r="AH291" s="944"/>
      <c r="AI291" s="944"/>
      <c r="AJ291" s="944"/>
      <c r="AK291" s="944"/>
      <c r="AL291" s="944"/>
      <c r="AM291" s="944"/>
      <c r="AN291" s="944"/>
      <c r="AO291" s="944"/>
      <c r="AP291" s="944"/>
      <c r="AQ291" s="944"/>
      <c r="AR291" s="944"/>
      <c r="AS291" s="944"/>
      <c r="AT291" s="944"/>
      <c r="AU291" s="944"/>
      <c r="AV291" s="944"/>
      <c r="AW291" s="944"/>
      <c r="AX291" s="944"/>
      <c r="AY291" s="944"/>
      <c r="AZ291" s="944"/>
      <c r="BA291" s="944"/>
      <c r="BB291" s="944"/>
      <c r="BC291" s="944"/>
      <c r="BD291" s="944"/>
      <c r="BE291" s="944"/>
      <c r="BF291" s="944"/>
      <c r="BG291" s="944"/>
      <c r="BH291" s="944"/>
      <c r="BI291" s="944"/>
      <c r="BJ291" s="944"/>
      <c r="BK291" s="944"/>
      <c r="BL291" s="944"/>
      <c r="BM291" s="944"/>
      <c r="BN291" s="944"/>
      <c r="BO291" s="944"/>
      <c r="BP291" s="45"/>
    </row>
    <row r="292" spans="1:68" ht="14.25" customHeight="1" x14ac:dyDescent="0.3">
      <c r="A292" s="960"/>
      <c r="B292" s="960"/>
      <c r="C292" s="960"/>
      <c r="D292" s="944"/>
      <c r="E292" s="46"/>
      <c r="F292" s="175"/>
      <c r="G292" s="175"/>
      <c r="H292" s="175"/>
      <c r="I292" s="175"/>
      <c r="J292" s="175"/>
      <c r="K292" s="175"/>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176"/>
      <c r="BA292" s="176"/>
      <c r="BB292" s="176"/>
      <c r="BC292" s="176"/>
      <c r="BD292" s="176"/>
      <c r="BE292" s="176"/>
      <c r="BF292" s="176"/>
      <c r="BG292" s="176"/>
      <c r="BH292" s="176"/>
      <c r="BI292" s="176"/>
      <c r="BJ292" s="176"/>
      <c r="BK292" s="176"/>
      <c r="BL292" s="176"/>
      <c r="BM292" s="176"/>
      <c r="BN292" s="176"/>
      <c r="BO292" s="176"/>
      <c r="BP292" s="47"/>
    </row>
    <row r="293" spans="1:68" ht="14.25" customHeight="1" x14ac:dyDescent="0.3">
      <c r="A293" s="960"/>
      <c r="B293" s="960"/>
      <c r="C293" s="960"/>
      <c r="D293" s="944"/>
      <c r="E293" s="183"/>
      <c r="F293" s="178" t="s">
        <v>510</v>
      </c>
      <c r="G293" s="179"/>
      <c r="H293" s="179"/>
      <c r="I293" s="179"/>
      <c r="J293" s="179"/>
      <c r="K293" s="179"/>
      <c r="L293" s="180"/>
      <c r="M293" s="181"/>
      <c r="N293" s="181"/>
      <c r="O293" s="181"/>
      <c r="P293" s="181"/>
      <c r="Q293" s="181"/>
      <c r="R293" s="181"/>
      <c r="S293" s="181"/>
      <c r="T293" s="181"/>
      <c r="U293" s="181"/>
      <c r="V293" s="181"/>
      <c r="W293" s="181"/>
      <c r="X293" s="181"/>
      <c r="Y293" s="181"/>
      <c r="Z293" s="181"/>
      <c r="AA293" s="181"/>
      <c r="AB293" s="181"/>
      <c r="AC293" s="181"/>
      <c r="AD293" s="181"/>
      <c r="AE293" s="181"/>
      <c r="AF293" s="181"/>
      <c r="AG293" s="181"/>
      <c r="AH293" s="181"/>
      <c r="AI293" s="181"/>
      <c r="AJ293" s="181"/>
      <c r="AK293" s="181"/>
      <c r="AL293" s="181"/>
      <c r="AM293" s="181"/>
      <c r="AN293" s="181"/>
      <c r="AO293" s="181"/>
      <c r="AP293" s="181"/>
      <c r="AQ293" s="181"/>
      <c r="AR293" s="181"/>
      <c r="AS293" s="181"/>
      <c r="AT293" s="181"/>
      <c r="AU293" s="181"/>
      <c r="AV293" s="181"/>
      <c r="AW293" s="181"/>
      <c r="AX293" s="181"/>
      <c r="AY293" s="181"/>
      <c r="AZ293" s="181"/>
      <c r="BA293" s="181"/>
      <c r="BB293" s="181"/>
      <c r="BC293" s="181"/>
      <c r="BD293" s="181"/>
      <c r="BE293" s="181"/>
      <c r="BF293" s="181"/>
      <c r="BG293" s="181"/>
      <c r="BH293" s="181"/>
      <c r="BI293" s="181"/>
      <c r="BJ293" s="181"/>
      <c r="BK293" s="181"/>
      <c r="BL293" s="181"/>
      <c r="BM293" s="181"/>
      <c r="BN293" s="181"/>
      <c r="BO293" s="181"/>
      <c r="BP293" s="182"/>
    </row>
    <row r="294" spans="1:68" ht="14.25" customHeight="1" x14ac:dyDescent="0.3">
      <c r="A294" s="960"/>
      <c r="B294" s="960"/>
      <c r="C294" s="960"/>
      <c r="D294" s="944"/>
      <c r="E294" s="183"/>
      <c r="F294" s="184" t="s">
        <v>511</v>
      </c>
      <c r="G294" s="179"/>
      <c r="H294" s="179"/>
      <c r="I294" s="179"/>
      <c r="J294" s="179"/>
      <c r="K294" s="179"/>
      <c r="L294" s="180"/>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1"/>
      <c r="AJ294" s="181"/>
      <c r="AK294" s="181"/>
      <c r="AL294" s="181"/>
      <c r="AM294" s="181"/>
      <c r="AN294" s="181"/>
      <c r="AO294" s="181"/>
      <c r="AP294" s="181"/>
      <c r="AQ294" s="181"/>
      <c r="AR294" s="181"/>
      <c r="AS294" s="181"/>
      <c r="AT294" s="181"/>
      <c r="AU294" s="181"/>
      <c r="AV294" s="181"/>
      <c r="AW294" s="181"/>
      <c r="AX294" s="181"/>
      <c r="AY294" s="181"/>
      <c r="AZ294" s="181"/>
      <c r="BA294" s="181"/>
      <c r="BB294" s="181"/>
      <c r="BC294" s="181"/>
      <c r="BD294" s="181"/>
      <c r="BE294" s="181"/>
      <c r="BF294" s="181"/>
      <c r="BG294" s="181"/>
      <c r="BH294" s="181"/>
      <c r="BI294" s="181"/>
      <c r="BJ294" s="181"/>
      <c r="BK294" s="181"/>
      <c r="BL294" s="181"/>
      <c r="BM294" s="181"/>
      <c r="BN294" s="181"/>
      <c r="BO294" s="181"/>
      <c r="BP294" s="182"/>
    </row>
    <row r="295" spans="1:68" ht="14.25" customHeight="1" x14ac:dyDescent="0.3">
      <c r="A295" s="960" t="s">
        <v>6</v>
      </c>
      <c r="B295" s="960"/>
      <c r="C295" s="960"/>
      <c r="D295" s="944"/>
      <c r="E295" s="183"/>
      <c r="F295" s="185" t="s">
        <v>512</v>
      </c>
      <c r="G295" s="186">
        <v>393137</v>
      </c>
      <c r="H295" s="186">
        <v>329957</v>
      </c>
      <c r="I295" s="186">
        <v>371170</v>
      </c>
      <c r="J295" s="186">
        <v>396770</v>
      </c>
      <c r="K295" s="186">
        <v>354136</v>
      </c>
      <c r="L295" s="187">
        <v>375117</v>
      </c>
      <c r="M295" s="187">
        <v>366194</v>
      </c>
      <c r="N295" s="187">
        <v>358100</v>
      </c>
      <c r="O295" s="187">
        <v>298298</v>
      </c>
      <c r="P295" s="187">
        <v>257273</v>
      </c>
      <c r="Q295" s="187">
        <v>312876</v>
      </c>
      <c r="R295" s="187">
        <v>340281</v>
      </c>
      <c r="S295" s="912">
        <v>337783.21094381332</v>
      </c>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7"/>
      <c r="AR295" s="187"/>
      <c r="AS295" s="187"/>
      <c r="AT295" s="187"/>
      <c r="AU295" s="187"/>
      <c r="AV295" s="187"/>
      <c r="AW295" s="187"/>
      <c r="AX295" s="187"/>
      <c r="AY295" s="187"/>
      <c r="AZ295" s="187"/>
      <c r="BA295" s="187"/>
      <c r="BB295" s="187"/>
      <c r="BC295" s="187"/>
      <c r="BD295" s="187"/>
      <c r="BE295" s="187"/>
      <c r="BF295" s="187"/>
      <c r="BG295" s="187"/>
      <c r="BH295" s="187"/>
      <c r="BI295" s="187"/>
      <c r="BJ295" s="187"/>
      <c r="BK295" s="187"/>
      <c r="BL295" s="187"/>
      <c r="BM295" s="187"/>
      <c r="BN295" s="187"/>
      <c r="BO295" s="187"/>
      <c r="BP295" s="182"/>
    </row>
    <row r="296" spans="1:68" ht="14.25" customHeight="1" x14ac:dyDescent="0.3">
      <c r="A296" s="960" t="s">
        <v>6</v>
      </c>
      <c r="B296" s="960"/>
      <c r="C296" s="960"/>
      <c r="D296" s="944"/>
      <c r="E296" s="183"/>
      <c r="F296" s="185" t="s">
        <v>513</v>
      </c>
      <c r="G296" s="190">
        <v>0.39313700000000001</v>
      </c>
      <c r="H296" s="190">
        <v>0.329957</v>
      </c>
      <c r="I296" s="190">
        <v>0.37117</v>
      </c>
      <c r="J296" s="190">
        <v>0.39677000000000001</v>
      </c>
      <c r="K296" s="190">
        <v>0.35413600000000001</v>
      </c>
      <c r="L296" s="191">
        <v>0.37511699999999998</v>
      </c>
      <c r="M296" s="191">
        <v>0.36619400000000002</v>
      </c>
      <c r="N296" s="191">
        <v>0.35809999999999997</v>
      </c>
      <c r="O296" s="191">
        <v>0.29829800000000001</v>
      </c>
      <c r="P296" s="191">
        <v>0.25727299999999997</v>
      </c>
      <c r="Q296" s="191">
        <v>0.31287599999999999</v>
      </c>
      <c r="R296" s="191">
        <v>0.340281</v>
      </c>
      <c r="S296" s="913">
        <v>0.340281</v>
      </c>
      <c r="T296" s="192">
        <f>S296*(1+(0.29*Driver_macroeconómicos_Agricult!I$40+(1-0.29)*Driver_macroeconómicos_Agricult!I$8))</f>
        <v>0.33859540986483794</v>
      </c>
      <c r="U296" s="192">
        <f>T296*(1+(0.29*Driver_macroeconómicos_Agricult!J$40+(1-0.29)*Driver_macroeconómicos_Agricult!J$8))</f>
        <v>0.35922764475832381</v>
      </c>
      <c r="V296" s="192">
        <f>U296*(1+(0.29*Driver_macroeconómicos_Agricult!K$40+(1-0.29)*Driver_macroeconómicos_Agricult!K$8))</f>
        <v>0.35984780646797282</v>
      </c>
      <c r="W296" s="192">
        <f>V296*(1+(0.29*Driver_macroeconómicos_Agricult!L$40+(1-0.29)*Driver_macroeconómicos_Agricult!L$8))</f>
        <v>0.3814453976990142</v>
      </c>
      <c r="X296" s="192">
        <f>W296*(1+(0.29*Driver_macroeconómicos_Agricult!M$40+(1-0.29)*Driver_macroeconómicos_Agricult!M$8))</f>
        <v>0.39092957084561686</v>
      </c>
      <c r="Y296" s="192">
        <f>X296*(1+(0.29*Driver_macroeconómicos_Agricult!N$40+(1-0.29)*Driver_macroeconómicos_Agricult!N$8))</f>
        <v>0.40084146531978199</v>
      </c>
      <c r="Z296" s="192">
        <f>Y296*(1+(0.29*Driver_macroeconómicos_Agricult!O$40+(1-0.29)*Driver_macroeconómicos_Agricult!O$8))</f>
        <v>0.40966757278575539</v>
      </c>
      <c r="AA296" s="192">
        <f>Z296*(1+(0.29*Driver_macroeconómicos_Agricult!P$40+(1-0.29)*Driver_macroeconómicos_Agricult!P$8))</f>
        <v>0.41998770510330397</v>
      </c>
      <c r="AB296" s="192">
        <f>AA296*(1+(0.29*Driver_macroeconómicos_Agricult!Q$40+(1-0.29)*Driver_macroeconómicos_Agricult!Q$8))</f>
        <v>0.41477568425165773</v>
      </c>
      <c r="AC296" s="192">
        <f>AB296*(1+(0.29*Driver_macroeconómicos_Agricult!R$40+(1-0.29)*Driver_macroeconómicos_Agricult!R$8))</f>
        <v>0.42249196126021155</v>
      </c>
      <c r="AD296" s="192">
        <f>AC296*(1+(0.29*Driver_macroeconómicos_Agricult!S$40+(1-0.29)*Driver_macroeconómicos_Agricult!S$8))</f>
        <v>0.43182172337255709</v>
      </c>
      <c r="AE296" s="192">
        <f>AD296*(1+(0.29*Driver_macroeconómicos_Agricult!T$40+(1-0.29)*Driver_macroeconómicos_Agricult!T$8))</f>
        <v>0.43863304948159249</v>
      </c>
      <c r="AF296" s="192">
        <f>AE296*(1+(0.29*Driver_macroeconómicos_Agricult!U$40+(1-0.29)*Driver_macroeconómicos_Agricult!U$8))</f>
        <v>0.44514823968595341</v>
      </c>
      <c r="AG296" s="192">
        <f>AF296*(1+(0.29*Driver_macroeconómicos_Agricult!V$40+(1-0.29)*Driver_macroeconómicos_Agricult!V$8))</f>
        <v>0.45144378020778564</v>
      </c>
      <c r="AH296" s="192">
        <f>AG296*(1+(0.29*Driver_macroeconómicos_Agricult!W$40+(1-0.29)*Driver_macroeconómicos_Agricult!W$8))</f>
        <v>0.45688155264641533</v>
      </c>
      <c r="AI296" s="192">
        <f>AH296*(1+(0.29*Driver_macroeconómicos_Agricult!X$40+(1-0.29)*Driver_macroeconómicos_Agricult!X$8))</f>
        <v>0.46162581547748266</v>
      </c>
      <c r="AJ296" s="192">
        <f>AI296*(1+(0.29*Driver_macroeconómicos_Agricult!Y$40+(1-0.29)*Driver_macroeconómicos_Agricult!Y$8))</f>
        <v>0.46843658032993646</v>
      </c>
      <c r="AK296" s="192">
        <f>AJ296*(1+(0.29*Driver_macroeconómicos_Agricult!Z$40+(1-0.29)*Driver_macroeconómicos_Agricult!Z$8))</f>
        <v>0.47474771904696406</v>
      </c>
      <c r="AL296" s="192">
        <f>AK296*(1+(0.29*Driver_macroeconómicos_Agricult!AA$40+(1-0.29)*Driver_macroeconómicos_Agricult!AA$8))</f>
        <v>0.48071235807010104</v>
      </c>
      <c r="AM296" s="192">
        <f>AL296*(1+(0.29*Driver_macroeconómicos_Agricult!AB$40+(1-0.29)*Driver_macroeconómicos_Agricult!AB$8))</f>
        <v>0.48647678896714791</v>
      </c>
      <c r="AN296" s="192">
        <f>AM296*(1+(0.29*Driver_macroeconómicos_Agricult!AC$40+(1-0.29)*Driver_macroeconómicos_Agricult!AC$8))</f>
        <v>0.49146726033208182</v>
      </c>
      <c r="AO296" s="192">
        <f>AN296*(1+(0.29*Driver_macroeconómicos_Agricult!AD$40+(1-0.29)*Driver_macroeconómicos_Agricult!AD$8))</f>
        <v>0.49703411428322952</v>
      </c>
      <c r="AP296" s="192">
        <f>AO296*(1+(0.29*Driver_macroeconómicos_Agricult!AE$40+(1-0.29)*Driver_macroeconómicos_Agricult!AE$8))</f>
        <v>0.50215355947799367</v>
      </c>
      <c r="AQ296" s="192">
        <f>AP296*(1+(0.29*Driver_macroeconómicos_Agricult!AF$40+(1-0.29)*Driver_macroeconómicos_Agricult!AF$8))</f>
        <v>0.50804642375346609</v>
      </c>
      <c r="AR296" s="192">
        <f>AQ296*(1+(0.29*Driver_macroeconómicos_Agricult!AG$40+(1-0.29)*Driver_macroeconómicos_Agricult!AG$8))</f>
        <v>0.5131915804444831</v>
      </c>
      <c r="AS296" s="192">
        <f>AR296*(1+(0.29*Driver_macroeconómicos_Agricult!AH$40+(1-0.29)*Driver_macroeconómicos_Agricult!AH$8))</f>
        <v>0.51816269234086765</v>
      </c>
      <c r="AT296" s="192">
        <f>AS296*(1+(0.29*Driver_macroeconómicos_Agricult!AI$40+(1-0.29)*Driver_macroeconómicos_Agricult!AI$8))</f>
        <v>0.52312932460733552</v>
      </c>
      <c r="AU296" s="192">
        <f>AT296*(1+(0.29*Driver_macroeconómicos_Agricult!AJ$40+(1-0.29)*Driver_macroeconómicos_Agricult!AJ$8))</f>
        <v>0.52802788086331975</v>
      </c>
      <c r="AV296" s="192">
        <f>AU296*(1+(0.29*Driver_macroeconómicos_Agricult!AK$40+(1-0.29)*Driver_macroeconómicos_Agricult!AK$8))</f>
        <v>0.53321570015102482</v>
      </c>
      <c r="AW296" s="192">
        <f>AV296*(1+(0.29*Driver_macroeconómicos_Agricult!AL$40+(1-0.29)*Driver_macroeconómicos_Agricult!AL$8))</f>
        <v>0.53804975791690113</v>
      </c>
      <c r="AX296" s="192">
        <f>AW296*(1+(0.29*Driver_macroeconómicos_Agricult!AM$40+(1-0.29)*Driver_macroeconómicos_Agricult!AM$8))</f>
        <v>0.54280072296284143</v>
      </c>
      <c r="AY296" s="192">
        <f>AX296*(1+(0.29*Driver_macroeconómicos_Agricult!AN$40+(1-0.29)*Driver_macroeconómicos_Agricult!AN$8))</f>
        <v>0.5475263003063201</v>
      </c>
      <c r="AZ296" s="192">
        <f>AY296*(1+(0.29*Driver_macroeconómicos_Agricult!AO$40+(1-0.29)*Driver_macroeconómicos_Agricult!AO$8))</f>
        <v>0.55217022491524825</v>
      </c>
      <c r="BA296" s="192">
        <f>AZ296*(1+(0.29*Driver_macroeconómicos_Agricult!AP$40+(1-0.29)*Driver_macroeconómicos_Agricult!AP$8))</f>
        <v>0.55678959491834024</v>
      </c>
      <c r="BB296" s="192">
        <f>BA296*(1+(0.29*Driver_macroeconómicos_Agricult!AQ$40+(1-0.29)*Driver_macroeconómicos_Agricult!AQ$8))</f>
        <v>0.56121734583580873</v>
      </c>
      <c r="BC296" s="192">
        <f>BB296*(1+(0.29*Driver_macroeconómicos_Agricult!AR$40+(1-0.29)*Driver_macroeconómicos_Agricult!AR$8))</f>
        <v>0.56556956255982382</v>
      </c>
      <c r="BD296" s="192">
        <f>BC296*(1+(0.29*Driver_macroeconómicos_Agricult!AS$40+(1-0.29)*Driver_macroeconómicos_Agricult!AS$8))</f>
        <v>0.56984157018117521</v>
      </c>
      <c r="BE296" s="192">
        <f>BD296*(1+(0.29*Driver_macroeconómicos_Agricult!AT$40+(1-0.29)*Driver_macroeconómicos_Agricult!AT$8))</f>
        <v>0.57401645154903447</v>
      </c>
      <c r="BF296" s="192">
        <f>BE296*(1+(0.29*Driver_macroeconómicos_Agricult!AU$40+(1-0.29)*Driver_macroeconómicos_Agricult!AU$8))</f>
        <v>0.57807923820371854</v>
      </c>
      <c r="BG296" s="192">
        <f>BF296*(1+(0.29*Driver_macroeconómicos_Agricult!AV$40+(1-0.29)*Driver_macroeconómicos_Agricult!AV$8))</f>
        <v>0.58203770212001837</v>
      </c>
      <c r="BH296" s="192">
        <f>BG296*(1+(0.29*Driver_macroeconómicos_Agricult!AW$40+(1-0.29)*Driver_macroeconómicos_Agricult!AW$8))</f>
        <v>0.58589409427496797</v>
      </c>
      <c r="BI296" s="192">
        <f>BH296*(1+(0.29*Driver_macroeconómicos_Agricult!AX$40+(1-0.29)*Driver_macroeconómicos_Agricult!AX$8))</f>
        <v>0.58964729148791362</v>
      </c>
      <c r="BJ296" s="192">
        <f>BI296*(1+(0.29*Driver_macroeconómicos_Agricult!AY$40+(1-0.29)*Driver_macroeconómicos_Agricult!AY$8))</f>
        <v>0.5932878552001648</v>
      </c>
      <c r="BK296" s="192">
        <f>BJ296*(1+(0.29*Driver_macroeconómicos_Agricult!AZ$40+(1-0.29)*Driver_macroeconómicos_Agricult!AZ$8))</f>
        <v>0.59681343073730131</v>
      </c>
      <c r="BL296" s="192">
        <f>BK296*(1+(0.29*Driver_macroeconómicos_Agricult!BA$40+(1-0.29)*Driver_macroeconómicos_Agricult!BA$8))</f>
        <v>0.60021886857068851</v>
      </c>
      <c r="BM296" s="192">
        <f>BL296*(1+(0.29*Driver_macroeconómicos_Agricult!BB$40+(1-0.29)*Driver_macroeconómicos_Agricult!BB$8))</f>
        <v>0.60350814788707896</v>
      </c>
      <c r="BN296" s="192">
        <f>BM296*(1+(0.29*Driver_macroeconómicos_Agricult!BC$40+(1-0.29)*Driver_macroeconómicos_Agricult!BC$8))</f>
        <v>0.60667839461163886</v>
      </c>
      <c r="BO296" s="192">
        <f>BN296*(1+(0.29*Driver_macroeconómicos_Agricult!BD$40+(1-0.29)*Driver_macroeconómicos_Agricult!BD$8))</f>
        <v>0.6097266898413447</v>
      </c>
      <c r="BP296" s="182"/>
    </row>
    <row r="297" spans="1:68" ht="14.25" customHeight="1" x14ac:dyDescent="0.3">
      <c r="A297" s="960"/>
      <c r="B297" s="960"/>
      <c r="C297" s="960"/>
      <c r="D297" s="944"/>
      <c r="E297" s="183"/>
      <c r="F297" s="184" t="s">
        <v>514</v>
      </c>
      <c r="G297" s="195"/>
      <c r="H297" s="195"/>
      <c r="I297" s="195"/>
      <c r="J297" s="195"/>
      <c r="K297" s="195"/>
      <c r="L297" s="196"/>
      <c r="M297" s="191"/>
      <c r="N297" s="191"/>
      <c r="O297" s="191"/>
      <c r="P297" s="191"/>
      <c r="Q297" s="191"/>
      <c r="R297" s="191"/>
      <c r="S297" s="914"/>
      <c r="T297" s="181"/>
      <c r="U297" s="181"/>
      <c r="V297" s="181"/>
      <c r="W297" s="181"/>
      <c r="X297" s="181"/>
      <c r="Y297" s="181"/>
      <c r="Z297" s="181"/>
      <c r="AA297" s="181"/>
      <c r="AB297" s="181"/>
      <c r="AC297" s="181"/>
      <c r="AD297" s="181"/>
      <c r="AE297" s="181"/>
      <c r="AF297" s="181"/>
      <c r="AG297" s="181"/>
      <c r="AH297" s="181"/>
      <c r="AI297" s="181"/>
      <c r="AJ297" s="181"/>
      <c r="AK297" s="181"/>
      <c r="AL297" s="181"/>
      <c r="AM297" s="181"/>
      <c r="AN297" s="181"/>
      <c r="AO297" s="181"/>
      <c r="AP297" s="181"/>
      <c r="AQ297" s="181"/>
      <c r="AR297" s="181"/>
      <c r="AS297" s="181"/>
      <c r="AT297" s="181"/>
      <c r="AU297" s="181"/>
      <c r="AV297" s="181"/>
      <c r="AW297" s="181"/>
      <c r="AX297" s="181"/>
      <c r="AY297" s="181"/>
      <c r="AZ297" s="181"/>
      <c r="BA297" s="181"/>
      <c r="BB297" s="181"/>
      <c r="BC297" s="181"/>
      <c r="BD297" s="181"/>
      <c r="BE297" s="181"/>
      <c r="BF297" s="181"/>
      <c r="BG297" s="181"/>
      <c r="BH297" s="181"/>
      <c r="BI297" s="181"/>
      <c r="BJ297" s="181"/>
      <c r="BK297" s="181"/>
      <c r="BL297" s="181"/>
      <c r="BM297" s="181"/>
      <c r="BN297" s="181"/>
      <c r="BO297" s="181"/>
      <c r="BP297" s="182"/>
    </row>
    <row r="298" spans="1:68" ht="14.25" customHeight="1" x14ac:dyDescent="0.3">
      <c r="A298" s="960" t="s">
        <v>6</v>
      </c>
      <c r="B298" s="960"/>
      <c r="C298" s="960"/>
      <c r="D298" s="944"/>
      <c r="E298" s="183"/>
      <c r="F298" s="185" t="s">
        <v>515</v>
      </c>
      <c r="G298" s="190">
        <v>1706193</v>
      </c>
      <c r="H298" s="190">
        <v>1477941</v>
      </c>
      <c r="I298" s="190">
        <v>1565535</v>
      </c>
      <c r="J298" s="190">
        <v>1516046</v>
      </c>
      <c r="K298" s="190">
        <v>1379954</v>
      </c>
      <c r="L298" s="191">
        <v>1652793</v>
      </c>
      <c r="M298" s="191">
        <v>1534537</v>
      </c>
      <c r="N298" s="191">
        <v>1066614</v>
      </c>
      <c r="O298" s="191">
        <v>1350093</v>
      </c>
      <c r="P298" s="191">
        <v>1099686</v>
      </c>
      <c r="Q298" s="191">
        <v>1336502</v>
      </c>
      <c r="R298" s="191">
        <v>1504214</v>
      </c>
      <c r="S298" s="915">
        <v>1561211.3866836196</v>
      </c>
      <c r="T298" s="202"/>
      <c r="U298" s="202"/>
      <c r="V298" s="202"/>
      <c r="W298" s="202"/>
      <c r="X298" s="202"/>
      <c r="Y298" s="202"/>
      <c r="Z298" s="202"/>
      <c r="AA298" s="202"/>
      <c r="AB298" s="202"/>
      <c r="AC298" s="202"/>
      <c r="AD298" s="202"/>
      <c r="AE298" s="202"/>
      <c r="AF298" s="202"/>
      <c r="AG298" s="202"/>
      <c r="AH298" s="202"/>
      <c r="AI298" s="202"/>
      <c r="AJ298" s="202"/>
      <c r="AK298" s="202"/>
      <c r="AL298" s="202"/>
      <c r="AM298" s="202"/>
      <c r="AN298" s="202"/>
      <c r="AO298" s="202"/>
      <c r="AP298" s="202"/>
      <c r="AQ298" s="202"/>
      <c r="AR298" s="202"/>
      <c r="AS298" s="202"/>
      <c r="AT298" s="202"/>
      <c r="AU298" s="202"/>
      <c r="AV298" s="202"/>
      <c r="AW298" s="202"/>
      <c r="AX298" s="202"/>
      <c r="AY298" s="202"/>
      <c r="AZ298" s="202"/>
      <c r="BA298" s="202"/>
      <c r="BB298" s="202"/>
      <c r="BC298" s="202"/>
      <c r="BD298" s="202"/>
      <c r="BE298" s="202"/>
      <c r="BF298" s="202"/>
      <c r="BG298" s="202"/>
      <c r="BH298" s="202"/>
      <c r="BI298" s="202"/>
      <c r="BJ298" s="202"/>
      <c r="BK298" s="202"/>
      <c r="BL298" s="202"/>
      <c r="BM298" s="202"/>
      <c r="BN298" s="202"/>
      <c r="BO298" s="202"/>
      <c r="BP298" s="182"/>
    </row>
    <row r="299" spans="1:68" ht="14.25" customHeight="1" x14ac:dyDescent="0.3">
      <c r="A299" s="960" t="s">
        <v>6</v>
      </c>
      <c r="B299" s="960"/>
      <c r="C299" s="960"/>
      <c r="D299" s="944"/>
      <c r="E299" s="183"/>
      <c r="F299" s="185" t="s">
        <v>516</v>
      </c>
      <c r="G299" s="190">
        <f t="shared" ref="G299:S299" si="316">G298/1000000</f>
        <v>1.7061930000000001</v>
      </c>
      <c r="H299" s="190">
        <f t="shared" si="316"/>
        <v>1.4779409999999999</v>
      </c>
      <c r="I299" s="190">
        <f t="shared" si="316"/>
        <v>1.5655349999999999</v>
      </c>
      <c r="J299" s="190">
        <f t="shared" si="316"/>
        <v>1.516046</v>
      </c>
      <c r="K299" s="190">
        <f t="shared" si="316"/>
        <v>1.3799539999999999</v>
      </c>
      <c r="L299" s="191">
        <f t="shared" si="316"/>
        <v>1.652793</v>
      </c>
      <c r="M299" s="191">
        <f t="shared" si="316"/>
        <v>1.534537</v>
      </c>
      <c r="N299" s="191">
        <f t="shared" si="316"/>
        <v>1.066614</v>
      </c>
      <c r="O299" s="191">
        <f t="shared" si="316"/>
        <v>1.350093</v>
      </c>
      <c r="P299" s="191">
        <f t="shared" si="316"/>
        <v>1.0996859999999999</v>
      </c>
      <c r="Q299" s="191">
        <f t="shared" si="316"/>
        <v>1.3365020000000001</v>
      </c>
      <c r="R299" s="191">
        <f t="shared" si="316"/>
        <v>1.5042139999999999</v>
      </c>
      <c r="S299" s="916">
        <f t="shared" si="316"/>
        <v>1.5612113866836195</v>
      </c>
      <c r="T299" s="918">
        <f>T301*T296</f>
        <v>1.4549106166482213</v>
      </c>
      <c r="U299" s="918">
        <f t="shared" ref="U299:BO299" si="317">U301*U296</f>
        <v>1.5548204301655137</v>
      </c>
      <c r="V299" s="918">
        <f t="shared" si="317"/>
        <v>1.5688614382714432</v>
      </c>
      <c r="W299" s="918">
        <f t="shared" si="317"/>
        <v>1.6751486400153748</v>
      </c>
      <c r="X299" s="918">
        <f t="shared" si="317"/>
        <v>1.7293174887618592</v>
      </c>
      <c r="Y299" s="918">
        <f t="shared" si="317"/>
        <v>1.7860931008886309</v>
      </c>
      <c r="Z299" s="918">
        <f t="shared" si="317"/>
        <v>1.8387313537811096</v>
      </c>
      <c r="AA299" s="918">
        <f t="shared" si="317"/>
        <v>1.8987968860083173</v>
      </c>
      <c r="AB299" s="918">
        <f t="shared" si="317"/>
        <v>1.8889065102693328</v>
      </c>
      <c r="AC299" s="918">
        <f t="shared" si="317"/>
        <v>1.9380762791597177</v>
      </c>
      <c r="AD299" s="918">
        <f t="shared" si="317"/>
        <v>1.9953181056707046</v>
      </c>
      <c r="AE299" s="918">
        <f t="shared" si="317"/>
        <v>2.0415698776126852</v>
      </c>
      <c r="AF299" s="918">
        <f t="shared" si="317"/>
        <v>2.0870016839476611</v>
      </c>
      <c r="AG299" s="918">
        <f t="shared" si="317"/>
        <v>2.1319501914466938</v>
      </c>
      <c r="AH299" s="918">
        <f t="shared" si="317"/>
        <v>2.1733628752583578</v>
      </c>
      <c r="AI299" s="918">
        <f t="shared" si="317"/>
        <v>2.2119430957237136</v>
      </c>
      <c r="AJ299" s="918">
        <f t="shared" si="317"/>
        <v>2.2609445181820713</v>
      </c>
      <c r="AK299" s="918">
        <f t="shared" si="317"/>
        <v>2.3081138722439887</v>
      </c>
      <c r="AL299" s="918">
        <f t="shared" si="317"/>
        <v>2.3541540167930437</v>
      </c>
      <c r="AM299" s="918">
        <f t="shared" si="317"/>
        <v>2.3997552490044156</v>
      </c>
      <c r="AN299" s="918">
        <f t="shared" si="317"/>
        <v>2.442050606731669</v>
      </c>
      <c r="AO299" s="918">
        <f t="shared" si="317"/>
        <v>2.4877200500238876</v>
      </c>
      <c r="AP299" s="918">
        <f t="shared" si="317"/>
        <v>2.5316699988760414</v>
      </c>
      <c r="AQ299" s="918">
        <f t="shared" si="317"/>
        <v>2.5800563377612966</v>
      </c>
      <c r="AR299" s="918">
        <f t="shared" si="317"/>
        <v>2.6251888699111752</v>
      </c>
      <c r="AS299" s="918">
        <f t="shared" si="317"/>
        <v>2.6699456038118266</v>
      </c>
      <c r="AT299" s="918">
        <f t="shared" si="317"/>
        <v>2.7151922124102059</v>
      </c>
      <c r="AU299" s="918">
        <f t="shared" si="317"/>
        <v>2.7606008000992133</v>
      </c>
      <c r="AV299" s="918">
        <f t="shared" si="317"/>
        <v>2.8080505672033342</v>
      </c>
      <c r="AW299" s="918">
        <f t="shared" si="317"/>
        <v>2.8541689501148229</v>
      </c>
      <c r="AX299" s="918">
        <f t="shared" si="317"/>
        <v>2.9003666008983275</v>
      </c>
      <c r="AY299" s="918">
        <f t="shared" si="317"/>
        <v>2.9469495716443714</v>
      </c>
      <c r="AZ299" s="918">
        <f t="shared" si="317"/>
        <v>2.9936149856549767</v>
      </c>
      <c r="BA299" s="918">
        <f t="shared" si="317"/>
        <v>3.0406701577888251</v>
      </c>
      <c r="BB299" s="918">
        <f t="shared" si="317"/>
        <v>3.0871983087749113</v>
      </c>
      <c r="BC299" s="918">
        <f t="shared" si="317"/>
        <v>3.1338247922409601</v>
      </c>
      <c r="BD299" s="918">
        <f t="shared" si="317"/>
        <v>3.1805194239687276</v>
      </c>
      <c r="BE299" s="918">
        <f t="shared" si="317"/>
        <v>3.2271823443539951</v>
      </c>
      <c r="BF299" s="918">
        <f t="shared" si="317"/>
        <v>3.2737218586966947</v>
      </c>
      <c r="BG299" s="918">
        <f t="shared" si="317"/>
        <v>3.3201733919744547</v>
      </c>
      <c r="BH299" s="918">
        <f t="shared" si="317"/>
        <v>3.366541781533035</v>
      </c>
      <c r="BI299" s="918">
        <f t="shared" si="317"/>
        <v>3.4128125676751129</v>
      </c>
      <c r="BJ299" s="918">
        <f t="shared" si="317"/>
        <v>3.4589224788512056</v>
      </c>
      <c r="BK299" s="918">
        <f t="shared" si="317"/>
        <v>3.5048480925850032</v>
      </c>
      <c r="BL299" s="918">
        <f t="shared" si="317"/>
        <v>3.5505488840561235</v>
      </c>
      <c r="BM299" s="918">
        <f t="shared" si="317"/>
        <v>3.596037661090568</v>
      </c>
      <c r="BN299" s="918">
        <f t="shared" si="317"/>
        <v>3.6412866049289554</v>
      </c>
      <c r="BO299" s="918">
        <f t="shared" si="317"/>
        <v>3.6862669430078379</v>
      </c>
      <c r="BP299" s="182"/>
    </row>
    <row r="300" spans="1:68" ht="14.25" customHeight="1" x14ac:dyDescent="0.3">
      <c r="A300" s="960"/>
      <c r="B300" s="960"/>
      <c r="C300" s="960"/>
      <c r="D300" s="944"/>
      <c r="E300" s="183"/>
      <c r="F300" s="184" t="s">
        <v>517</v>
      </c>
      <c r="G300" s="195"/>
      <c r="H300" s="195"/>
      <c r="I300" s="195"/>
      <c r="J300" s="195"/>
      <c r="K300" s="195"/>
      <c r="L300" s="196"/>
      <c r="M300" s="191"/>
      <c r="N300" s="191"/>
      <c r="O300" s="191"/>
      <c r="P300" s="191"/>
      <c r="Q300" s="191"/>
      <c r="R300" s="191"/>
      <c r="S300" s="914"/>
      <c r="T300" s="181"/>
      <c r="U300" s="181"/>
      <c r="V300" s="181"/>
      <c r="W300" s="181"/>
      <c r="X300" s="181"/>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c r="BF300" s="181"/>
      <c r="BG300" s="181"/>
      <c r="BH300" s="181"/>
      <c r="BI300" s="181"/>
      <c r="BJ300" s="181"/>
      <c r="BK300" s="181"/>
      <c r="BL300" s="181"/>
      <c r="BM300" s="181"/>
      <c r="BN300" s="181"/>
      <c r="BO300" s="181"/>
      <c r="BP300" s="182"/>
    </row>
    <row r="301" spans="1:68" s="356" customFormat="1" ht="30" customHeight="1" x14ac:dyDescent="0.3">
      <c r="A301" s="964" t="s">
        <v>518</v>
      </c>
      <c r="B301" s="897">
        <v>35</v>
      </c>
      <c r="C301" s="896">
        <f>B301/(2070-2022)/100</f>
        <v>7.2916666666666659E-3</v>
      </c>
      <c r="D301" s="944"/>
      <c r="E301" s="183"/>
      <c r="F301" s="185" t="s">
        <v>519</v>
      </c>
      <c r="G301" s="857">
        <f>G299/G296</f>
        <v>4.3399451081938354</v>
      </c>
      <c r="H301" s="857">
        <f t="shared" ref="H301:S301" si="318">H299/H296</f>
        <v>4.4791927432968537</v>
      </c>
      <c r="I301" s="857">
        <f t="shared" si="318"/>
        <v>4.2178381873535038</v>
      </c>
      <c r="J301" s="857">
        <f t="shared" si="318"/>
        <v>3.8209693273180934</v>
      </c>
      <c r="K301" s="857">
        <f t="shared" si="318"/>
        <v>3.8966781123636114</v>
      </c>
      <c r="L301" s="857">
        <f t="shared" si="318"/>
        <v>4.4060733051287997</v>
      </c>
      <c r="M301" s="857">
        <f t="shared" si="318"/>
        <v>4.190502848217065</v>
      </c>
      <c r="N301" s="857">
        <f t="shared" si="318"/>
        <v>2.9785367215861491</v>
      </c>
      <c r="O301" s="857">
        <f t="shared" si="318"/>
        <v>4.5259874353834082</v>
      </c>
      <c r="P301" s="857">
        <f t="shared" si="318"/>
        <v>4.2743933486996308</v>
      </c>
      <c r="Q301" s="857">
        <f t="shared" si="318"/>
        <v>4.2716667305897547</v>
      </c>
      <c r="R301" s="857">
        <f t="shared" si="318"/>
        <v>4.4205054058263613</v>
      </c>
      <c r="S301" s="916">
        <f t="shared" si="318"/>
        <v>4.5880063438264829</v>
      </c>
      <c r="T301" s="917">
        <v>4.2968999999999973</v>
      </c>
      <c r="U301" s="917">
        <f t="shared" ref="U301:BO301" si="319">T301*(1+$C$301)</f>
        <v>4.3282315624999974</v>
      </c>
      <c r="V301" s="917">
        <f t="shared" si="319"/>
        <v>4.3597915843098933</v>
      </c>
      <c r="W301" s="917">
        <f t="shared" si="319"/>
        <v>4.3915817312788201</v>
      </c>
      <c r="X301" s="917">
        <f t="shared" si="319"/>
        <v>4.423603681402728</v>
      </c>
      <c r="Y301" s="917">
        <f t="shared" si="319"/>
        <v>4.4558591249129567</v>
      </c>
      <c r="Z301" s="917">
        <f t="shared" si="319"/>
        <v>4.4883497643654469</v>
      </c>
      <c r="AA301" s="917">
        <f t="shared" si="319"/>
        <v>4.5210773147306114</v>
      </c>
      <c r="AB301" s="917">
        <f t="shared" si="319"/>
        <v>4.5540435034838556</v>
      </c>
      <c r="AC301" s="917">
        <f t="shared" si="319"/>
        <v>4.5872500706967587</v>
      </c>
      <c r="AD301" s="917">
        <f t="shared" si="319"/>
        <v>4.6206987691289223</v>
      </c>
      <c r="AE301" s="917">
        <f t="shared" si="319"/>
        <v>4.6543913643204871</v>
      </c>
      <c r="AF301" s="917">
        <f t="shared" si="319"/>
        <v>4.6883296346853243</v>
      </c>
      <c r="AG301" s="917">
        <f t="shared" si="319"/>
        <v>4.7225153716049046</v>
      </c>
      <c r="AH301" s="917">
        <f t="shared" si="319"/>
        <v>4.7569503795228574</v>
      </c>
      <c r="AI301" s="917">
        <f t="shared" si="319"/>
        <v>4.7916364760402113</v>
      </c>
      <c r="AJ301" s="917">
        <f t="shared" si="319"/>
        <v>4.8265754920113375</v>
      </c>
      <c r="AK301" s="917">
        <f t="shared" si="319"/>
        <v>4.8617692716405871</v>
      </c>
      <c r="AL301" s="917">
        <f t="shared" si="319"/>
        <v>4.8972196725796335</v>
      </c>
      <c r="AM301" s="917">
        <f t="shared" si="319"/>
        <v>4.9329285660255264</v>
      </c>
      <c r="AN301" s="917">
        <f t="shared" si="319"/>
        <v>4.9688978368194627</v>
      </c>
      <c r="AO301" s="917">
        <f t="shared" si="319"/>
        <v>5.0051293835462713</v>
      </c>
      <c r="AP301" s="917">
        <f t="shared" si="319"/>
        <v>5.0416251186346299</v>
      </c>
      <c r="AQ301" s="917">
        <f t="shared" si="319"/>
        <v>5.0783869684580072</v>
      </c>
      <c r="AR301" s="917">
        <f t="shared" si="319"/>
        <v>5.115416873436347</v>
      </c>
      <c r="AS301" s="917">
        <f t="shared" si="319"/>
        <v>5.1527167881384868</v>
      </c>
      <c r="AT301" s="917">
        <f t="shared" si="319"/>
        <v>5.1902886813853302</v>
      </c>
      <c r="AU301" s="917">
        <f t="shared" si="319"/>
        <v>5.2281345363537648</v>
      </c>
      <c r="AV301" s="917">
        <f t="shared" si="319"/>
        <v>5.2662563506813447</v>
      </c>
      <c r="AW301" s="917">
        <f t="shared" si="319"/>
        <v>5.3046561365717295</v>
      </c>
      <c r="AX301" s="917">
        <f t="shared" si="319"/>
        <v>5.3433359209008984</v>
      </c>
      <c r="AY301" s="917">
        <f t="shared" si="319"/>
        <v>5.3822977453241343</v>
      </c>
      <c r="AZ301" s="917">
        <f t="shared" si="319"/>
        <v>5.4215436663837897</v>
      </c>
      <c r="BA301" s="917">
        <f t="shared" si="319"/>
        <v>5.4610757556178386</v>
      </c>
      <c r="BB301" s="917">
        <f t="shared" si="319"/>
        <v>5.5008960996692187</v>
      </c>
      <c r="BC301" s="917">
        <f t="shared" si="319"/>
        <v>5.5410068003959738</v>
      </c>
      <c r="BD301" s="917">
        <f t="shared" si="319"/>
        <v>5.5814099749821944</v>
      </c>
      <c r="BE301" s="917">
        <f t="shared" si="319"/>
        <v>5.6221077560497728</v>
      </c>
      <c r="BF301" s="917">
        <f t="shared" si="319"/>
        <v>5.6631022917709695</v>
      </c>
      <c r="BG301" s="917">
        <f t="shared" si="319"/>
        <v>5.7043957459817998</v>
      </c>
      <c r="BH301" s="917">
        <f t="shared" si="319"/>
        <v>5.7459902982962507</v>
      </c>
      <c r="BI301" s="917">
        <f t="shared" si="319"/>
        <v>5.7878881442213279</v>
      </c>
      <c r="BJ301" s="917">
        <f t="shared" si="319"/>
        <v>5.8300914952729421</v>
      </c>
      <c r="BK301" s="917">
        <f t="shared" si="319"/>
        <v>5.8726025790926411</v>
      </c>
      <c r="BL301" s="917">
        <f t="shared" si="319"/>
        <v>5.9154236395651916</v>
      </c>
      <c r="BM301" s="917">
        <f t="shared" si="319"/>
        <v>5.958556936937021</v>
      </c>
      <c r="BN301" s="917">
        <f t="shared" si="319"/>
        <v>6.0020047479355201</v>
      </c>
      <c r="BO301" s="917">
        <f t="shared" si="319"/>
        <v>6.0457693658892167</v>
      </c>
      <c r="BP301" s="858"/>
    </row>
    <row r="302" spans="1:68" ht="14.25" customHeight="1" x14ac:dyDescent="0.3">
      <c r="A302" s="960"/>
      <c r="B302" s="960"/>
      <c r="C302" s="960"/>
      <c r="D302" s="944"/>
      <c r="E302" s="183"/>
      <c r="F302" s="184" t="s">
        <v>520</v>
      </c>
      <c r="G302" s="195"/>
      <c r="H302" s="195"/>
      <c r="I302" s="195"/>
      <c r="J302" s="195"/>
      <c r="K302" s="195"/>
      <c r="L302" s="196"/>
      <c r="M302" s="191"/>
      <c r="N302" s="191"/>
      <c r="O302" s="191"/>
      <c r="P302" s="191"/>
      <c r="Q302" s="191"/>
      <c r="R302" s="191"/>
      <c r="S302" s="181"/>
      <c r="T302" s="181"/>
      <c r="U302" s="181"/>
      <c r="V302" s="181"/>
      <c r="W302" s="181"/>
      <c r="X302" s="181"/>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c r="BF302" s="181"/>
      <c r="BG302" s="181"/>
      <c r="BH302" s="181"/>
      <c r="BI302" s="181"/>
      <c r="BJ302" s="181"/>
      <c r="BK302" s="181"/>
      <c r="BL302" s="181"/>
      <c r="BM302" s="181"/>
      <c r="BN302" s="181"/>
      <c r="BO302" s="181"/>
      <c r="BP302" s="182"/>
    </row>
    <row r="303" spans="1:68" ht="14.25" customHeight="1" x14ac:dyDescent="0.3">
      <c r="A303" s="960" t="s">
        <v>521</v>
      </c>
      <c r="B303" s="960"/>
      <c r="C303" s="960"/>
      <c r="D303" s="944"/>
      <c r="E303" s="183"/>
      <c r="F303" s="185" t="s">
        <v>515</v>
      </c>
      <c r="G303" s="190">
        <v>12826.722000000002</v>
      </c>
      <c r="H303" s="190">
        <v>25369.691999999995</v>
      </c>
      <c r="I303" s="190">
        <v>14418.439999999999</v>
      </c>
      <c r="J303" s="190">
        <v>43176.637000000002</v>
      </c>
      <c r="K303" s="190">
        <v>16054.075000000001</v>
      </c>
      <c r="L303" s="191">
        <v>1112.3330000000001</v>
      </c>
      <c r="M303" s="191">
        <v>210.28700000000003</v>
      </c>
      <c r="N303" s="191">
        <v>446.59800000000001</v>
      </c>
      <c r="O303" s="191">
        <v>31556.05904</v>
      </c>
      <c r="P303" s="191">
        <v>29026.78066</v>
      </c>
      <c r="Q303" s="191">
        <v>44062.796729000002</v>
      </c>
      <c r="R303" s="191">
        <v>19135.541829999998</v>
      </c>
      <c r="S303" s="202"/>
      <c r="T303" s="202"/>
      <c r="U303" s="202"/>
      <c r="V303" s="202"/>
      <c r="W303" s="202"/>
      <c r="X303" s="202"/>
      <c r="Y303" s="202"/>
      <c r="Z303" s="202"/>
      <c r="AA303" s="202"/>
      <c r="AB303" s="202"/>
      <c r="AC303" s="202"/>
      <c r="AD303" s="202"/>
      <c r="AE303" s="202"/>
      <c r="AF303" s="202"/>
      <c r="AG303" s="202"/>
      <c r="AH303" s="202"/>
      <c r="AI303" s="202"/>
      <c r="AJ303" s="202"/>
      <c r="AK303" s="202"/>
      <c r="AL303" s="202"/>
      <c r="AM303" s="202"/>
      <c r="AN303" s="202"/>
      <c r="AO303" s="202"/>
      <c r="AP303" s="202"/>
      <c r="AQ303" s="202"/>
      <c r="AR303" s="202"/>
      <c r="AS303" s="202"/>
      <c r="AT303" s="202"/>
      <c r="AU303" s="202"/>
      <c r="AV303" s="202"/>
      <c r="AW303" s="202"/>
      <c r="AX303" s="202"/>
      <c r="AY303" s="202"/>
      <c r="AZ303" s="202"/>
      <c r="BA303" s="202"/>
      <c r="BB303" s="202"/>
      <c r="BC303" s="202"/>
      <c r="BD303" s="202"/>
      <c r="BE303" s="202"/>
      <c r="BF303" s="202"/>
      <c r="BG303" s="202"/>
      <c r="BH303" s="202"/>
      <c r="BI303" s="202"/>
      <c r="BJ303" s="202"/>
      <c r="BK303" s="202"/>
      <c r="BL303" s="202"/>
      <c r="BM303" s="202"/>
      <c r="BN303" s="202"/>
      <c r="BO303" s="202"/>
      <c r="BP303" s="182"/>
    </row>
    <row r="304" spans="1:68" ht="14.25" customHeight="1" x14ac:dyDescent="0.3">
      <c r="A304" s="960" t="s">
        <v>521</v>
      </c>
      <c r="B304" s="960"/>
      <c r="C304" s="960"/>
      <c r="D304" s="944"/>
      <c r="E304" s="183"/>
      <c r="F304" s="185" t="s">
        <v>516</v>
      </c>
      <c r="G304" s="190">
        <f t="shared" ref="G304:R304" si="320">G303/1000000</f>
        <v>1.2826722000000002E-2</v>
      </c>
      <c r="H304" s="190">
        <f t="shared" si="320"/>
        <v>2.5369691999999996E-2</v>
      </c>
      <c r="I304" s="190">
        <f t="shared" si="320"/>
        <v>1.4418439999999999E-2</v>
      </c>
      <c r="J304" s="190">
        <f t="shared" si="320"/>
        <v>4.3176637000000004E-2</v>
      </c>
      <c r="K304" s="190">
        <f t="shared" si="320"/>
        <v>1.6054075000000001E-2</v>
      </c>
      <c r="L304" s="191">
        <f t="shared" si="320"/>
        <v>1.1123330000000001E-3</v>
      </c>
      <c r="M304" s="191">
        <f t="shared" si="320"/>
        <v>2.1028700000000003E-4</v>
      </c>
      <c r="N304" s="191">
        <f t="shared" si="320"/>
        <v>4.4659800000000004E-4</v>
      </c>
      <c r="O304" s="191">
        <f t="shared" si="320"/>
        <v>3.1556059040000001E-2</v>
      </c>
      <c r="P304" s="191">
        <f t="shared" si="320"/>
        <v>2.9026780660000001E-2</v>
      </c>
      <c r="Q304" s="191">
        <f t="shared" si="320"/>
        <v>4.4062796729000001E-2</v>
      </c>
      <c r="R304" s="191">
        <f t="shared" si="320"/>
        <v>1.9135541829999998E-2</v>
      </c>
      <c r="S304" s="209">
        <f>R304*(1+Driver_macroeconómicos_Agricult!H$40)</f>
        <v>1.9041628023880708E-2</v>
      </c>
      <c r="T304" s="209">
        <f>S304*(1+Driver_macroeconómicos_Agricult!I$40)</f>
        <v>1.8103249177160562E-2</v>
      </c>
      <c r="U304" s="209">
        <f>T304*(1+Driver_macroeconómicos_Agricult!J$40)</f>
        <v>2.1337049094822553E-2</v>
      </c>
      <c r="V304" s="209">
        <f>U304*(1+Driver_macroeconómicos_Agricult!K$40)</f>
        <v>2.0807000373014684E-2</v>
      </c>
      <c r="W304" s="209">
        <f>V304*(1+Driver_macroeconómicos_Agricult!L$40)</f>
        <v>2.4487209178632004E-2</v>
      </c>
      <c r="X304" s="209">
        <f>W304*(1+Driver_macroeconómicos_Agricult!M$40)</f>
        <v>2.5866993852546535E-2</v>
      </c>
      <c r="Y304" s="209">
        <f>X304*(1+Driver_macroeconómicos_Agricult!N$40)</f>
        <v>2.7386358431591706E-2</v>
      </c>
      <c r="Z304" s="209">
        <f>Y304*(1+Driver_macroeconómicos_Agricult!O$40)</f>
        <v>2.8698615185189191E-2</v>
      </c>
      <c r="AA304" s="209">
        <f>Z304*(1+Driver_macroeconómicos_Agricult!P$40)</f>
        <v>3.0407595843490506E-2</v>
      </c>
      <c r="AB304" s="209">
        <f>AA304*(1+Driver_macroeconómicos_Agricult!Q$40)</f>
        <v>2.8296613022296843E-2</v>
      </c>
      <c r="AC304" s="209">
        <f>AB304*(1+Driver_macroeconómicos_Agricult!R$40)</f>
        <v>2.9377750586580383E-2</v>
      </c>
      <c r="AD304" s="209">
        <f>AC304*(1+Driver_macroeconómicos_Agricult!S$40)</f>
        <v>3.0872911550805373E-2</v>
      </c>
      <c r="AE304" s="209">
        <f>AD304*(1+Driver_macroeconómicos_Agricult!T$40)</f>
        <v>3.1793540616967216E-2</v>
      </c>
      <c r="AF304" s="209">
        <f>AE304*(1+Driver_macroeconómicos_Agricult!U$40)</f>
        <v>3.2662419920769167E-2</v>
      </c>
      <c r="AG304" s="209">
        <f>AF304*(1+Driver_macroeconómicos_Agricult!V$40)</f>
        <v>3.3497009790805818E-2</v>
      </c>
      <c r="AH304" s="209">
        <f>AG304*(1+Driver_macroeconómicos_Agricult!W$40)</f>
        <v>3.4133352644624901E-2</v>
      </c>
      <c r="AI304" s="209">
        <f>AH304*(1+Driver_macroeconómicos_Agricult!X$40)</f>
        <v>3.4609052420555682E-2</v>
      </c>
      <c r="AJ304" s="209">
        <f>AI304*(1+Driver_macroeconómicos_Agricult!Y$40)</f>
        <v>3.5635946613593553E-2</v>
      </c>
      <c r="AK304" s="209">
        <f>AJ304*(1+Driver_macroeconómicos_Agricult!Z$40)</f>
        <v>3.6559423817922286E-2</v>
      </c>
      <c r="AL304" s="209">
        <f>AK304*(1+Driver_macroeconómicos_Agricult!AA$40)</f>
        <v>3.7415932093198913E-2</v>
      </c>
      <c r="AM304" s="209">
        <f>AL304*(1+Driver_macroeconómicos_Agricult!AB$40)</f>
        <v>3.8242618591557101E-2</v>
      </c>
      <c r="AN304" s="209">
        <f>AM304*(1+Driver_macroeconómicos_Agricult!AC$40)</f>
        <v>3.8883443758470117E-2</v>
      </c>
      <c r="AO304" s="209">
        <f>AN304*(1+Driver_macroeconómicos_Agricult!AD$40)</f>
        <v>3.9702678999208596E-2</v>
      </c>
      <c r="AP304" s="209">
        <f>AO304*(1+Driver_macroeconómicos_Agricult!AE$40)</f>
        <v>4.0423428040175964E-2</v>
      </c>
      <c r="AQ304" s="209">
        <f>AP304*(1+Driver_macroeconómicos_Agricult!AF$40)</f>
        <v>4.1382240228999362E-2</v>
      </c>
      <c r="AR304" s="209">
        <f>AQ304*(1+Driver_macroeconómicos_Agricult!AG$40)</f>
        <v>4.2159273626854996E-2</v>
      </c>
      <c r="AS304" s="209">
        <f>AR304*(1+Driver_macroeconómicos_Agricult!AH$40)</f>
        <v>4.2912323268450306E-2</v>
      </c>
      <c r="AT304" s="209">
        <f>AS304*(1+Driver_macroeconómicos_Agricult!AI$40)</f>
        <v>4.3689093699071868E-2</v>
      </c>
      <c r="AU304" s="209">
        <f>AT304*(1+Driver_macroeconómicos_Agricult!AJ$40)</f>
        <v>4.4471695152013262E-2</v>
      </c>
      <c r="AV304" s="209">
        <f>AU304*(1+Driver_macroeconómicos_Agricult!AK$40)</f>
        <v>4.5364535996131883E-2</v>
      </c>
      <c r="AW304" s="209">
        <f>AV304*(1+Driver_macroeconómicos_Agricult!AL$40)</f>
        <v>4.6182612756610966E-2</v>
      </c>
      <c r="AX304" s="209">
        <f>AW304*(1+Driver_macroeconómicos_Agricult!AM$40)</f>
        <v>4.7004393914298399E-2</v>
      </c>
      <c r="AY304" s="209">
        <f>AX304*(1+Driver_macroeconómicos_Agricult!AN$40)</f>
        <v>4.7847678433650717E-2</v>
      </c>
      <c r="AZ304" s="209">
        <f>AY304*(1+Driver_macroeconómicos_Agricult!AO$40)</f>
        <v>4.869656175021065E-2</v>
      </c>
      <c r="BA304" s="209">
        <f>AZ304*(1+Driver_macroeconómicos_Agricult!AP$40)</f>
        <v>4.9569019756685942E-2</v>
      </c>
      <c r="BB304" s="209">
        <f>BA304*(1+Driver_macroeconómicos_Agricult!AQ$40)</f>
        <v>5.0414881391616338E-2</v>
      </c>
      <c r="BC304" s="209">
        <f>BB304*(1+Driver_macroeconómicos_Agricult!AR$40)</f>
        <v>5.1269818793444631E-2</v>
      </c>
      <c r="BD304" s="209">
        <f>BC304*(1+Driver_macroeconómicos_Agricult!AS$40)</f>
        <v>5.213306844936056E-2</v>
      </c>
      <c r="BE304" s="209">
        <f>BD304*(1+Driver_macroeconómicos_Agricult!AT$40)</f>
        <v>5.2999965465106859E-2</v>
      </c>
      <c r="BF304" s="209">
        <f>BE304*(1+Driver_macroeconómicos_Agricult!AU$40)</f>
        <v>5.3866280662159642E-2</v>
      </c>
      <c r="BG304" s="209">
        <f>BF304*(1+Driver_macroeconómicos_Agricult!AV$40)</f>
        <v>5.4734924207018192E-2</v>
      </c>
      <c r="BH304" s="209">
        <f>BG304*(1+Driver_macroeconómicos_Agricult!AW$40)</f>
        <v>5.5607112935554551E-2</v>
      </c>
      <c r="BI304" s="209">
        <f>BH304*(1+Driver_macroeconómicos_Agricult!AX$40)</f>
        <v>5.6482991964549777E-2</v>
      </c>
      <c r="BJ304" s="209">
        <f>BI304*(1+Driver_macroeconómicos_Agricult!AY$40)</f>
        <v>5.735995152976698E-2</v>
      </c>
      <c r="BK304" s="209">
        <f>BJ304*(1+Driver_macroeconómicos_Agricult!AZ$40)</f>
        <v>5.8237631994329644E-2</v>
      </c>
      <c r="BL304" s="209">
        <f>BK304*(1+Driver_macroeconómicos_Agricult!BA$40)</f>
        <v>5.9114705817853726E-2</v>
      </c>
      <c r="BM304" s="209">
        <f>BL304*(1+Driver_macroeconómicos_Agricult!BB$40)</f>
        <v>5.9992881606460796E-2</v>
      </c>
      <c r="BN304" s="209">
        <f>BM304*(1+Driver_macroeconómicos_Agricult!BC$40)</f>
        <v>6.0871567671661873E-2</v>
      </c>
      <c r="BO304" s="209">
        <f>BN304*(1+Driver_macroeconómicos_Agricult!BD$40)</f>
        <v>6.1750118386016066E-2</v>
      </c>
      <c r="BP304" s="182"/>
    </row>
    <row r="305" spans="1:96" ht="14.25" customHeight="1" x14ac:dyDescent="0.3">
      <c r="A305" s="960"/>
      <c r="B305" s="960"/>
      <c r="C305" s="960"/>
      <c r="D305" s="944"/>
      <c r="E305" s="183"/>
      <c r="F305" s="184" t="s">
        <v>522</v>
      </c>
      <c r="G305" s="195"/>
      <c r="H305" s="195"/>
      <c r="I305" s="195"/>
      <c r="J305" s="195"/>
      <c r="K305" s="195"/>
      <c r="L305" s="196"/>
      <c r="M305" s="191"/>
      <c r="N305" s="191"/>
      <c r="O305" s="191"/>
      <c r="P305" s="191"/>
      <c r="Q305" s="191"/>
      <c r="R305" s="191"/>
      <c r="S305" s="181"/>
      <c r="T305" s="181"/>
      <c r="U305" s="181"/>
      <c r="V305" s="181"/>
      <c r="W305" s="181"/>
      <c r="X305" s="181"/>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c r="BF305" s="181"/>
      <c r="BG305" s="181"/>
      <c r="BH305" s="181"/>
      <c r="BI305" s="181"/>
      <c r="BJ305" s="181"/>
      <c r="BK305" s="181"/>
      <c r="BL305" s="181"/>
      <c r="BM305" s="181"/>
      <c r="BN305" s="181"/>
      <c r="BO305" s="181"/>
      <c r="BP305" s="182"/>
    </row>
    <row r="306" spans="1:96" ht="14.25" customHeight="1" x14ac:dyDescent="0.3">
      <c r="A306" s="960" t="s">
        <v>521</v>
      </c>
      <c r="B306" s="960"/>
      <c r="C306" s="960"/>
      <c r="D306" s="944"/>
      <c r="E306" s="183"/>
      <c r="F306" s="185" t="s">
        <v>515</v>
      </c>
      <c r="G306" s="190">
        <v>168.89099999999999</v>
      </c>
      <c r="H306" s="190">
        <v>152.65700000000001</v>
      </c>
      <c r="I306" s="190">
        <v>44886.485999999997</v>
      </c>
      <c r="J306" s="190">
        <v>256.69699999999995</v>
      </c>
      <c r="K306" s="190">
        <v>189.05099999999999</v>
      </c>
      <c r="L306" s="191">
        <v>193.44400000000002</v>
      </c>
      <c r="M306" s="191">
        <v>94.97399999999999</v>
      </c>
      <c r="N306" s="191">
        <v>148.82771199999999</v>
      </c>
      <c r="O306" s="191">
        <v>177.96131</v>
      </c>
      <c r="P306" s="191">
        <v>229.41244</v>
      </c>
      <c r="Q306" s="191">
        <v>1036.779215</v>
      </c>
      <c r="R306" s="191">
        <v>651.10694000000001</v>
      </c>
      <c r="S306" s="202"/>
      <c r="T306" s="202"/>
      <c r="U306" s="202"/>
      <c r="V306" s="202"/>
      <c r="W306" s="202"/>
      <c r="X306" s="202"/>
      <c r="Y306" s="202"/>
      <c r="Z306" s="202"/>
      <c r="AA306" s="202"/>
      <c r="AB306" s="202"/>
      <c r="AC306" s="202"/>
      <c r="AD306" s="202"/>
      <c r="AE306" s="202"/>
      <c r="AF306" s="202"/>
      <c r="AG306" s="202"/>
      <c r="AH306" s="202"/>
      <c r="AI306" s="202"/>
      <c r="AJ306" s="202"/>
      <c r="AK306" s="202"/>
      <c r="AL306" s="202"/>
      <c r="AM306" s="202"/>
      <c r="AN306" s="202"/>
      <c r="AO306" s="202"/>
      <c r="AP306" s="202"/>
      <c r="AQ306" s="202"/>
      <c r="AR306" s="202"/>
      <c r="AS306" s="202"/>
      <c r="AT306" s="202"/>
      <c r="AU306" s="202"/>
      <c r="AV306" s="202"/>
      <c r="AW306" s="202"/>
      <c r="AX306" s="202"/>
      <c r="AY306" s="202"/>
      <c r="AZ306" s="202"/>
      <c r="BA306" s="202"/>
      <c r="BB306" s="202"/>
      <c r="BC306" s="202"/>
      <c r="BD306" s="202"/>
      <c r="BE306" s="202"/>
      <c r="BF306" s="202"/>
      <c r="BG306" s="202"/>
      <c r="BH306" s="202"/>
      <c r="BI306" s="202"/>
      <c r="BJ306" s="202"/>
      <c r="BK306" s="202"/>
      <c r="BL306" s="202"/>
      <c r="BM306" s="202"/>
      <c r="BN306" s="202"/>
      <c r="BO306" s="202"/>
      <c r="BP306" s="182"/>
    </row>
    <row r="307" spans="1:96" ht="14.25" customHeight="1" x14ac:dyDescent="0.3">
      <c r="A307" s="960" t="s">
        <v>521</v>
      </c>
      <c r="B307" s="960"/>
      <c r="C307" s="960"/>
      <c r="D307" s="944"/>
      <c r="E307" s="183"/>
      <c r="F307" s="185" t="s">
        <v>516</v>
      </c>
      <c r="G307" s="190">
        <f t="shared" ref="G307:R307" si="321">G306/1000000</f>
        <v>1.6889099999999998E-4</v>
      </c>
      <c r="H307" s="190">
        <f t="shared" si="321"/>
        <v>1.52657E-4</v>
      </c>
      <c r="I307" s="190">
        <f t="shared" si="321"/>
        <v>4.4886485999999996E-2</v>
      </c>
      <c r="J307" s="190">
        <f t="shared" si="321"/>
        <v>2.5669699999999996E-4</v>
      </c>
      <c r="K307" s="190">
        <f t="shared" si="321"/>
        <v>1.8905099999999998E-4</v>
      </c>
      <c r="L307" s="191">
        <f t="shared" si="321"/>
        <v>1.9344400000000003E-4</v>
      </c>
      <c r="M307" s="191">
        <f t="shared" si="321"/>
        <v>9.4973999999999989E-5</v>
      </c>
      <c r="N307" s="191">
        <f t="shared" si="321"/>
        <v>1.48827712E-4</v>
      </c>
      <c r="O307" s="191">
        <f t="shared" si="321"/>
        <v>1.7796131000000001E-4</v>
      </c>
      <c r="P307" s="191">
        <f t="shared" si="321"/>
        <v>2.2941244E-4</v>
      </c>
      <c r="Q307" s="191">
        <f t="shared" si="321"/>
        <v>1.0367792150000001E-3</v>
      </c>
      <c r="R307" s="191">
        <f t="shared" si="321"/>
        <v>6.5110693999999997E-4</v>
      </c>
      <c r="S307" s="209">
        <f>R307*(1+Driver_macroeconómicos_Agricult!H$79)</f>
        <v>7.5600141063333177E-4</v>
      </c>
      <c r="T307" s="209">
        <f>S307*(1+Driver_macroeconómicos_Agricult!I$79)</f>
        <v>7.5938116273642942E-4</v>
      </c>
      <c r="U307" s="209">
        <f>T307*(1+Driver_macroeconómicos_Agricult!J$79)</f>
        <v>7.925433552286341E-4</v>
      </c>
      <c r="V307" s="209">
        <f>U307*(1+Driver_macroeconómicos_Agricult!K$79)</f>
        <v>9.154442630758665E-4</v>
      </c>
      <c r="W307" s="209">
        <f>V307*(1+Driver_macroeconómicos_Agricult!L$79)</f>
        <v>1.0074538326212796E-3</v>
      </c>
      <c r="X307" s="209">
        <f>W307*(1+Driver_macroeconómicos_Agricult!M$79)</f>
        <v>1.1608582292941625E-3</v>
      </c>
      <c r="Y307" s="209">
        <f>X307*(1+Driver_macroeconómicos_Agricult!N$79)</f>
        <v>1.3122240121476178E-3</v>
      </c>
      <c r="Z307" s="209">
        <f>Y307*(1+Driver_macroeconómicos_Agricult!O$79)</f>
        <v>1.4601345622769035E-3</v>
      </c>
      <c r="AA307" s="209">
        <f>Z307*(1+Driver_macroeconómicos_Agricult!P$79)</f>
        <v>1.6201780490605684E-3</v>
      </c>
      <c r="AB307" s="209">
        <f>AA307*(1+Driver_macroeconómicos_Agricult!Q$79)</f>
        <v>1.4146140859186249E-3</v>
      </c>
      <c r="AC307" s="209">
        <f>AB307*(1+Driver_macroeconómicos_Agricult!R$79)</f>
        <v>1.5029055902406616E-3</v>
      </c>
      <c r="AD307" s="209">
        <f>AC307*(1+Driver_macroeconómicos_Agricult!S$79)</f>
        <v>1.5838881654128931E-3</v>
      </c>
      <c r="AE307" s="209">
        <f>AD307*(1+Driver_macroeconómicos_Agricult!T$79)</f>
        <v>1.6399018727788132E-3</v>
      </c>
      <c r="AF307" s="209">
        <f>AE307*(1+Driver_macroeconómicos_Agricult!U$79)</f>
        <v>1.6736420255558922E-3</v>
      </c>
      <c r="AG307" s="209">
        <f>AF307*(1+Driver_macroeconómicos_Agricult!V$79)</f>
        <v>1.6809043390454488E-3</v>
      </c>
      <c r="AH307" s="209">
        <f>AG307*(1+Driver_macroeconómicos_Agricult!W$79)</f>
        <v>1.735036050196208E-3</v>
      </c>
      <c r="AI307" s="209">
        <f>AH307*(1+Driver_macroeconómicos_Agricult!X$79)</f>
        <v>1.7829614864664143E-3</v>
      </c>
      <c r="AJ307" s="209">
        <f>AI307*(1+Driver_macroeconómicos_Agricult!Y$79)</f>
        <v>1.8282117093449536E-3</v>
      </c>
      <c r="AK307" s="209">
        <f>AJ307*(1+Driver_macroeconómicos_Agricult!Z$79)</f>
        <v>1.8658380372813422E-3</v>
      </c>
      <c r="AL307" s="209">
        <f>AK307*(1+Driver_macroeconómicos_Agricult!AA$79)</f>
        <v>1.9047984072310933E-3</v>
      </c>
      <c r="AM307" s="209">
        <f>AL307*(1+Driver_macroeconómicos_Agricult!AB$79)</f>
        <v>1.9509296855529338E-3</v>
      </c>
      <c r="AN307" s="209">
        <f>AM307*(1+Driver_macroeconómicos_Agricult!AC$79)</f>
        <v>1.9859122690040207E-3</v>
      </c>
      <c r="AO307" s="209">
        <f>AN307*(1+Driver_macroeconómicos_Agricult!AD$79)</f>
        <v>2.0288257441808161E-3</v>
      </c>
      <c r="AP307" s="209">
        <f>AO307*(1+Driver_macroeconómicos_Agricult!AE$79)</f>
        <v>2.0657286405635997E-3</v>
      </c>
      <c r="AQ307" s="209">
        <f>AP307*(1+Driver_macroeconómicos_Agricult!AF$79)</f>
        <v>2.1128380409374233E-3</v>
      </c>
      <c r="AR307" s="209">
        <f>AQ307*(1+Driver_macroeconómicos_Agricult!AG$79)</f>
        <v>2.1524552652456307E-3</v>
      </c>
      <c r="AS307" s="209">
        <f>AR307*(1+Driver_macroeconómicos_Agricult!AH$79)</f>
        <v>2.191024901675641E-3</v>
      </c>
      <c r="AT307" s="209">
        <f>AS307*(1+Driver_macroeconómicos_Agricult!AI$79)</f>
        <v>2.2308232071862558E-3</v>
      </c>
      <c r="AU307" s="209">
        <f>AT307*(1+Driver_macroeconómicos_Agricult!AJ$79)</f>
        <v>2.2710104448063809E-3</v>
      </c>
      <c r="AV307" s="209">
        <f>AU307*(1+Driver_macroeconómicos_Agricult!AK$79)</f>
        <v>2.3168058889525001E-3</v>
      </c>
      <c r="AW307" s="209">
        <f>AV307*(1+Driver_macroeconómicos_Agricult!AL$79)</f>
        <v>2.3585696728709873E-3</v>
      </c>
      <c r="AX307" s="209">
        <f>AW307*(1+Driver_macroeconómicos_Agricult!AM$79)</f>
        <v>2.4002273570832185E-3</v>
      </c>
      <c r="AY307" s="209">
        <f>AX307*(1+Driver_macroeconómicos_Agricult!AN$79)</f>
        <v>2.4432179613490964E-3</v>
      </c>
      <c r="AZ307" s="209">
        <f>AY307*(1+Driver_macroeconómicos_Agricult!AO$79)</f>
        <v>2.4866437564760101E-3</v>
      </c>
      <c r="BA307" s="209">
        <f>AZ307*(1+Driver_macroeconómicos_Agricult!AP$79)</f>
        <v>2.5312896035596462E-3</v>
      </c>
      <c r="BB307" s="209">
        <f>BA307*(1+Driver_macroeconómicos_Agricult!AQ$79)</f>
        <v>2.5745274812246106E-3</v>
      </c>
      <c r="BC307" s="209">
        <f>BB307*(1+Driver_macroeconómicos_Agricult!AR$79)</f>
        <v>2.6181614375811704E-3</v>
      </c>
      <c r="BD307" s="209">
        <f>BC307*(1+Driver_macroeconómicos_Agricult!AS$79)</f>
        <v>2.662198467115367E-3</v>
      </c>
      <c r="BE307" s="209">
        <f>BD307*(1+Driver_macroeconómicos_Agricult!AT$79)</f>
        <v>2.706440374002232E-3</v>
      </c>
      <c r="BF307" s="209">
        <f>BE307*(1+Driver_macroeconómicos_Agricult!AU$79)</f>
        <v>2.7506944337533199E-3</v>
      </c>
      <c r="BG307" s="209">
        <f>BF307*(1+Driver_macroeconómicos_Agricult!AV$79)</f>
        <v>2.7950715972709407E-3</v>
      </c>
      <c r="BH307" s="209">
        <f>BG307*(1+Driver_macroeconómicos_Agricult!AW$79)</f>
        <v>2.8396176184019824E-3</v>
      </c>
      <c r="BI307" s="209">
        <f>BH307*(1+Driver_macroeconómicos_Agricult!AX$79)</f>
        <v>2.884343055553283E-3</v>
      </c>
      <c r="BJ307" s="209">
        <f>BI307*(1+Driver_macroeconómicos_Agricult!AY$79)</f>
        <v>2.929118987298029E-3</v>
      </c>
      <c r="BK307" s="209">
        <f>BJ307*(1+Driver_macroeconómicos_Agricult!AZ$79)</f>
        <v>2.9739325652625298E-3</v>
      </c>
      <c r="BL307" s="209">
        <f>BK307*(1+Driver_macroeconómicos_Agricult!BA$79)</f>
        <v>3.0187200603593038E-3</v>
      </c>
      <c r="BM307" s="209">
        <f>BL307*(1+Driver_macroeconómicos_Agricult!BB$79)</f>
        <v>3.0635683353239978E-3</v>
      </c>
      <c r="BN307" s="209">
        <f>BM307*(1+Driver_macroeconómicos_Agricult!BC$79)</f>
        <v>3.1084417790171949E-3</v>
      </c>
      <c r="BO307" s="209">
        <f>BN307*(1+Driver_macroeconómicos_Agricult!BD$79)</f>
        <v>3.1533057218973456E-3</v>
      </c>
      <c r="BP307" s="182"/>
    </row>
    <row r="308" spans="1:96" ht="14.25" customHeight="1" x14ac:dyDescent="0.3">
      <c r="A308" s="960"/>
      <c r="B308" s="960"/>
      <c r="C308" s="960"/>
      <c r="D308" s="944"/>
      <c r="E308" s="183"/>
      <c r="F308" s="184" t="s">
        <v>523</v>
      </c>
      <c r="G308" s="195"/>
      <c r="H308" s="195"/>
      <c r="I308" s="195"/>
      <c r="J308" s="195"/>
      <c r="K308" s="195"/>
      <c r="L308" s="196"/>
      <c r="M308" s="191"/>
      <c r="N308" s="191"/>
      <c r="O308" s="191"/>
      <c r="P308" s="191"/>
      <c r="Q308" s="191"/>
      <c r="R308" s="191"/>
      <c r="S308" s="181"/>
      <c r="T308" s="181"/>
      <c r="U308" s="181"/>
      <c r="V308" s="181"/>
      <c r="W308" s="181"/>
      <c r="X308" s="181"/>
      <c r="Y308" s="181"/>
      <c r="Z308" s="181"/>
      <c r="AA308" s="181"/>
      <c r="AB308" s="181"/>
      <c r="AC308" s="181"/>
      <c r="AD308" s="181"/>
      <c r="AE308" s="181"/>
      <c r="AF308" s="181"/>
      <c r="AG308" s="181"/>
      <c r="AH308" s="181"/>
      <c r="AI308" s="181"/>
      <c r="AJ308" s="181"/>
      <c r="AK308" s="181"/>
      <c r="AL308" s="181"/>
      <c r="AM308" s="181"/>
      <c r="AN308" s="181"/>
      <c r="AO308" s="181"/>
      <c r="AP308" s="181"/>
      <c r="AQ308" s="181"/>
      <c r="AR308" s="181"/>
      <c r="AS308" s="181"/>
      <c r="AT308" s="181"/>
      <c r="AU308" s="181"/>
      <c r="AV308" s="181"/>
      <c r="AW308" s="181"/>
      <c r="AX308" s="181"/>
      <c r="AY308" s="181"/>
      <c r="AZ308" s="181"/>
      <c r="BA308" s="181"/>
      <c r="BB308" s="181"/>
      <c r="BC308" s="181"/>
      <c r="BD308" s="181"/>
      <c r="BE308" s="181"/>
      <c r="BF308" s="181"/>
      <c r="BG308" s="181"/>
      <c r="BH308" s="181"/>
      <c r="BI308" s="181"/>
      <c r="BJ308" s="181"/>
      <c r="BK308" s="181"/>
      <c r="BL308" s="181"/>
      <c r="BM308" s="181"/>
      <c r="BN308" s="181"/>
      <c r="BO308" s="181"/>
      <c r="BP308" s="182"/>
    </row>
    <row r="309" spans="1:96" ht="42" customHeight="1" x14ac:dyDescent="0.3">
      <c r="A309" s="964" t="s">
        <v>524</v>
      </c>
      <c r="B309" s="964"/>
      <c r="C309" s="964"/>
      <c r="D309" s="944"/>
      <c r="E309" s="183"/>
      <c r="F309" s="185" t="s">
        <v>516</v>
      </c>
      <c r="G309" s="190">
        <v>1.693535169</v>
      </c>
      <c r="H309" s="190">
        <v>1.4527239649999999</v>
      </c>
      <c r="I309" s="190">
        <v>1.5960030459999999</v>
      </c>
      <c r="J309" s="190">
        <v>1.47312606</v>
      </c>
      <c r="K309" s="190">
        <v>1.3640889759999999</v>
      </c>
      <c r="L309" s="191">
        <v>1.6518741109999999</v>
      </c>
      <c r="M309" s="191">
        <v>1.534421687</v>
      </c>
      <c r="N309" s="191">
        <v>1.0663162297120001</v>
      </c>
      <c r="O309" s="191">
        <v>1.31871490227</v>
      </c>
      <c r="P309" s="191">
        <v>1.0708886317799999</v>
      </c>
      <c r="Q309" s="191">
        <v>1.293475982486</v>
      </c>
      <c r="R309" s="191">
        <v>1.4857295651099998</v>
      </c>
      <c r="S309" s="380">
        <f>S299+S307-S304</f>
        <v>1.5429257600703721</v>
      </c>
      <c r="T309" s="380">
        <f t="shared" ref="T309:BO309" si="322">T299+T307-T304</f>
        <v>1.4375667486337971</v>
      </c>
      <c r="U309" s="380">
        <f t="shared" si="322"/>
        <v>1.5342759244259199</v>
      </c>
      <c r="V309" s="380">
        <f t="shared" si="322"/>
        <v>1.5489698821615043</v>
      </c>
      <c r="W309" s="380">
        <f t="shared" si="322"/>
        <v>1.6516688846693641</v>
      </c>
      <c r="X309" s="380">
        <f t="shared" si="322"/>
        <v>1.7046113531386069</v>
      </c>
      <c r="Y309" s="380">
        <f t="shared" si="322"/>
        <v>1.760018966469187</v>
      </c>
      <c r="Z309" s="380">
        <f t="shared" si="322"/>
        <v>1.8114928731581974</v>
      </c>
      <c r="AA309" s="380">
        <f t="shared" si="322"/>
        <v>1.8700094682138875</v>
      </c>
      <c r="AB309" s="380">
        <f t="shared" si="322"/>
        <v>1.8620245113329545</v>
      </c>
      <c r="AC309" s="380">
        <f t="shared" si="322"/>
        <v>1.910201434163378</v>
      </c>
      <c r="AD309" s="380">
        <f t="shared" si="322"/>
        <v>1.9660290822853121</v>
      </c>
      <c r="AE309" s="380">
        <f t="shared" si="322"/>
        <v>2.0114162388684966</v>
      </c>
      <c r="AF309" s="380">
        <f t="shared" si="322"/>
        <v>2.0560129060524481</v>
      </c>
      <c r="AG309" s="380">
        <f t="shared" si="322"/>
        <v>2.1001340859949336</v>
      </c>
      <c r="AH309" s="380">
        <f t="shared" si="322"/>
        <v>2.1409645586639292</v>
      </c>
      <c r="AI309" s="380">
        <f t="shared" si="322"/>
        <v>2.1791170047896244</v>
      </c>
      <c r="AJ309" s="380">
        <f t="shared" si="322"/>
        <v>2.2271367832778228</v>
      </c>
      <c r="AK309" s="380">
        <f t="shared" si="322"/>
        <v>2.2734202864633479</v>
      </c>
      <c r="AL309" s="380">
        <f t="shared" si="322"/>
        <v>2.318642883107076</v>
      </c>
      <c r="AM309" s="380">
        <f t="shared" si="322"/>
        <v>2.3634635600984115</v>
      </c>
      <c r="AN309" s="380">
        <f t="shared" si="322"/>
        <v>2.405153075242203</v>
      </c>
      <c r="AO309" s="380">
        <f t="shared" si="322"/>
        <v>2.4500461967688598</v>
      </c>
      <c r="AP309" s="380">
        <f t="shared" si="322"/>
        <v>2.493312299476429</v>
      </c>
      <c r="AQ309" s="380">
        <f t="shared" si="322"/>
        <v>2.5407869355732347</v>
      </c>
      <c r="AR309" s="380">
        <f t="shared" si="322"/>
        <v>2.585182051549566</v>
      </c>
      <c r="AS309" s="380">
        <f t="shared" si="322"/>
        <v>2.6292243054450517</v>
      </c>
      <c r="AT309" s="380">
        <f t="shared" si="322"/>
        <v>2.6737339419183206</v>
      </c>
      <c r="AU309" s="380">
        <f t="shared" si="322"/>
        <v>2.7184001153920061</v>
      </c>
      <c r="AV309" s="380">
        <f t="shared" si="322"/>
        <v>2.765002837096155</v>
      </c>
      <c r="AW309" s="380">
        <f t="shared" si="322"/>
        <v>2.8103449070310829</v>
      </c>
      <c r="AX309" s="380">
        <f t="shared" si="322"/>
        <v>2.8557624343411123</v>
      </c>
      <c r="AY309" s="380">
        <f t="shared" si="322"/>
        <v>2.9015451111720698</v>
      </c>
      <c r="AZ309" s="380">
        <f t="shared" si="322"/>
        <v>2.9474050676612418</v>
      </c>
      <c r="BA309" s="380">
        <f t="shared" si="322"/>
        <v>2.9936324276356987</v>
      </c>
      <c r="BB309" s="380">
        <f t="shared" si="322"/>
        <v>3.0393579548645193</v>
      </c>
      <c r="BC309" s="380">
        <f t="shared" si="322"/>
        <v>3.0851731348850966</v>
      </c>
      <c r="BD309" s="380">
        <f t="shared" si="322"/>
        <v>3.1310485539864827</v>
      </c>
      <c r="BE309" s="380">
        <f t="shared" si="322"/>
        <v>3.1768888192628904</v>
      </c>
      <c r="BF309" s="380">
        <f t="shared" si="322"/>
        <v>3.2226062724682887</v>
      </c>
      <c r="BG309" s="380">
        <f t="shared" si="322"/>
        <v>3.2682335393647075</v>
      </c>
      <c r="BH309" s="380">
        <f t="shared" si="322"/>
        <v>3.3137742862158825</v>
      </c>
      <c r="BI309" s="380">
        <f t="shared" si="322"/>
        <v>3.3592139187661161</v>
      </c>
      <c r="BJ309" s="380">
        <f t="shared" si="322"/>
        <v>3.4044916463087369</v>
      </c>
      <c r="BK309" s="380">
        <f t="shared" si="322"/>
        <v>3.449584393155936</v>
      </c>
      <c r="BL309" s="380">
        <f t="shared" si="322"/>
        <v>3.4944528982986292</v>
      </c>
      <c r="BM309" s="380">
        <f t="shared" si="322"/>
        <v>3.5391083478194312</v>
      </c>
      <c r="BN309" s="380">
        <f t="shared" si="322"/>
        <v>3.5835234790363106</v>
      </c>
      <c r="BO309" s="380">
        <f t="shared" si="322"/>
        <v>3.6276701303437191</v>
      </c>
      <c r="BP309" s="182"/>
    </row>
    <row r="310" spans="1:96" ht="14.25" customHeight="1" thickBot="1" x14ac:dyDescent="0.35">
      <c r="A310" s="960"/>
      <c r="B310" s="960"/>
      <c r="C310" s="960"/>
      <c r="D310" s="944"/>
      <c r="E310" s="51"/>
      <c r="F310" s="200"/>
      <c r="G310" s="200"/>
      <c r="H310" s="200"/>
      <c r="I310" s="200"/>
      <c r="J310" s="200"/>
      <c r="K310" s="200"/>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1"/>
      <c r="BB310" s="201"/>
      <c r="BC310" s="201"/>
      <c r="BD310" s="201"/>
      <c r="BE310" s="201"/>
      <c r="BF310" s="201"/>
      <c r="BG310" s="201"/>
      <c r="BH310" s="201"/>
      <c r="BI310" s="201"/>
      <c r="BJ310" s="201"/>
      <c r="BK310" s="201"/>
      <c r="BL310" s="201"/>
      <c r="BM310" s="201"/>
      <c r="BN310" s="201"/>
      <c r="BO310" s="201"/>
      <c r="BP310" s="52"/>
    </row>
    <row r="311" spans="1:96" ht="14.25" customHeight="1" x14ac:dyDescent="0.3">
      <c r="A311" s="960"/>
      <c r="B311" s="960"/>
      <c r="C311" s="960"/>
      <c r="D311" s="944"/>
      <c r="E311" s="944"/>
      <c r="F311" s="45"/>
      <c r="G311" s="45"/>
      <c r="H311" s="45"/>
      <c r="I311" s="45"/>
      <c r="J311" s="45"/>
      <c r="K311" s="45"/>
      <c r="L311" s="944"/>
      <c r="M311" s="944"/>
      <c r="N311" s="944"/>
      <c r="O311" s="944"/>
      <c r="P311" s="944"/>
      <c r="Q311" s="944"/>
      <c r="R311" s="944"/>
      <c r="S311" s="944"/>
      <c r="T311" s="944"/>
      <c r="U311" s="944"/>
      <c r="V311" s="944"/>
      <c r="W311" s="944"/>
      <c r="X311" s="944"/>
      <c r="Y311" s="944"/>
      <c r="Z311" s="944"/>
      <c r="AA311" s="944"/>
      <c r="AB311" s="944"/>
      <c r="AC311" s="944"/>
      <c r="AD311" s="944"/>
      <c r="AE311" s="944"/>
      <c r="AF311" s="944"/>
      <c r="AG311" s="944"/>
      <c r="AH311" s="944"/>
      <c r="AI311" s="944"/>
      <c r="AJ311" s="944"/>
      <c r="AK311" s="944"/>
      <c r="AL311" s="944"/>
      <c r="AM311" s="944"/>
      <c r="AN311" s="944"/>
      <c r="AO311" s="944"/>
      <c r="AP311" s="944"/>
      <c r="AQ311" s="944"/>
      <c r="AR311" s="944"/>
      <c r="AS311" s="944"/>
      <c r="AT311" s="944"/>
      <c r="AU311" s="944"/>
      <c r="AV311" s="944"/>
      <c r="AW311" s="944"/>
      <c r="AX311" s="944"/>
      <c r="AY311" s="944"/>
      <c r="AZ311" s="944"/>
      <c r="BA311" s="944"/>
      <c r="BB311" s="944"/>
      <c r="BC311" s="944"/>
      <c r="BD311" s="944"/>
      <c r="BE311" s="944"/>
      <c r="BF311" s="944"/>
      <c r="BG311" s="944"/>
      <c r="BH311" s="944"/>
      <c r="BI311" s="944"/>
      <c r="BJ311" s="944"/>
      <c r="BK311" s="944"/>
      <c r="BL311" s="944"/>
      <c r="BM311" s="944"/>
      <c r="BN311" s="944"/>
      <c r="BO311" s="944"/>
      <c r="BP311" s="45"/>
    </row>
    <row r="312" spans="1:96" ht="15.75" customHeight="1" x14ac:dyDescent="0.3">
      <c r="A312" s="960"/>
      <c r="B312" s="960"/>
      <c r="C312" s="960"/>
      <c r="D312" s="944"/>
      <c r="E312" s="44"/>
      <c r="F312" s="44" t="s">
        <v>525</v>
      </c>
      <c r="G312" s="44"/>
      <c r="H312" s="45"/>
      <c r="I312" s="45"/>
      <c r="J312" s="45"/>
      <c r="K312" s="45"/>
      <c r="L312" s="944"/>
      <c r="M312" s="944"/>
      <c r="N312" s="944"/>
      <c r="O312" s="944"/>
      <c r="P312" s="944"/>
      <c r="Q312" s="944"/>
      <c r="R312" s="944"/>
      <c r="S312" s="944"/>
      <c r="T312" s="944"/>
      <c r="U312" s="944"/>
      <c r="V312" s="944"/>
      <c r="W312" s="944"/>
      <c r="X312" s="944"/>
      <c r="Y312" s="944"/>
      <c r="Z312" s="944"/>
      <c r="AA312" s="944"/>
      <c r="AB312" s="944"/>
      <c r="AC312" s="944"/>
      <c r="AD312" s="944"/>
      <c r="AE312" s="944"/>
      <c r="AF312" s="944"/>
      <c r="AG312" s="944"/>
      <c r="AH312" s="944"/>
      <c r="AI312" s="944"/>
      <c r="AJ312" s="944"/>
      <c r="AK312" s="944"/>
      <c r="AL312" s="944"/>
      <c r="AM312" s="944"/>
      <c r="AN312" s="944"/>
      <c r="AO312" s="944"/>
      <c r="AP312" s="944"/>
      <c r="AQ312" s="944"/>
      <c r="AR312" s="944"/>
      <c r="AS312" s="944"/>
      <c r="AT312" s="944"/>
      <c r="AU312" s="944"/>
      <c r="AV312" s="944"/>
      <c r="AW312" s="944"/>
      <c r="AX312" s="944"/>
      <c r="AY312" s="944"/>
      <c r="AZ312" s="944"/>
      <c r="BA312" s="944"/>
      <c r="BB312" s="944"/>
      <c r="BC312" s="944"/>
      <c r="BD312" s="944"/>
      <c r="BE312" s="944"/>
      <c r="BF312" s="944"/>
      <c r="BG312" s="944"/>
      <c r="BH312" s="944"/>
      <c r="BI312" s="944"/>
      <c r="BJ312" s="944"/>
      <c r="BK312" s="944"/>
      <c r="BL312" s="944"/>
      <c r="BM312" s="944"/>
      <c r="BN312" s="944"/>
      <c r="BO312" s="944"/>
      <c r="BP312" s="45"/>
    </row>
    <row r="313" spans="1:96" ht="14.25" customHeight="1" thickBot="1" x14ac:dyDescent="0.35">
      <c r="A313" s="960"/>
      <c r="B313" s="960"/>
      <c r="C313" s="960"/>
      <c r="D313" s="944"/>
      <c r="E313" s="944"/>
      <c r="F313" s="45"/>
      <c r="G313" s="45"/>
      <c r="H313" s="45"/>
      <c r="I313" s="45"/>
      <c r="J313" s="45"/>
      <c r="K313" s="45"/>
      <c r="L313" s="944"/>
      <c r="M313" s="944"/>
      <c r="N313" s="944"/>
      <c r="O313" s="944"/>
      <c r="P313" s="944"/>
      <c r="Q313" s="944"/>
      <c r="R313" s="944"/>
      <c r="S313" s="944"/>
      <c r="T313" s="944"/>
      <c r="U313" s="944"/>
      <c r="V313" s="944"/>
      <c r="W313" s="944"/>
      <c r="X313" s="944"/>
      <c r="Y313" s="944"/>
      <c r="Z313" s="944"/>
      <c r="AA313" s="944"/>
      <c r="AB313" s="944"/>
      <c r="AC313" s="944"/>
      <c r="AD313" s="944"/>
      <c r="AE313" s="944"/>
      <c r="AF313" s="944"/>
      <c r="AG313" s="944"/>
      <c r="AH313" s="944"/>
      <c r="AI313" s="944"/>
      <c r="AJ313" s="944"/>
      <c r="AK313" s="944"/>
      <c r="AL313" s="944"/>
      <c r="AM313" s="944"/>
      <c r="AN313" s="944"/>
      <c r="AO313" s="944"/>
      <c r="AP313" s="944"/>
      <c r="AQ313" s="944"/>
      <c r="AR313" s="944"/>
      <c r="AS313" s="944"/>
      <c r="AT313" s="944"/>
      <c r="AU313" s="944"/>
      <c r="AV313" s="944"/>
      <c r="AW313" s="944"/>
      <c r="AX313" s="944"/>
      <c r="AY313" s="944"/>
      <c r="AZ313" s="944"/>
      <c r="BA313" s="944"/>
      <c r="BB313" s="944"/>
      <c r="BC313" s="944"/>
      <c r="BD313" s="944"/>
      <c r="BE313" s="944"/>
      <c r="BF313" s="944"/>
      <c r="BG313" s="944"/>
      <c r="BH313" s="944"/>
      <c r="BI313" s="944"/>
      <c r="BJ313" s="944"/>
      <c r="BK313" s="944"/>
      <c r="BL313" s="944"/>
      <c r="BM313" s="944"/>
      <c r="BN313" s="944"/>
      <c r="BO313" s="944"/>
      <c r="BP313" s="45"/>
    </row>
    <row r="314" spans="1:96" ht="13.5" customHeight="1" x14ac:dyDescent="0.3">
      <c r="A314" s="960"/>
      <c r="B314" s="960"/>
      <c r="C314" s="960"/>
      <c r="D314" s="944"/>
      <c r="E314" s="54"/>
      <c r="F314" s="224"/>
      <c r="G314" s="224"/>
      <c r="H314" s="224"/>
      <c r="I314" s="224"/>
      <c r="J314" s="224"/>
      <c r="K314" s="224"/>
      <c r="L314" s="225"/>
      <c r="M314" s="225"/>
      <c r="N314" s="225"/>
      <c r="O314" s="225"/>
      <c r="P314" s="225"/>
      <c r="Q314" s="225"/>
      <c r="R314" s="225"/>
      <c r="S314" s="225"/>
      <c r="T314" s="225"/>
      <c r="U314" s="225"/>
      <c r="V314" s="225"/>
      <c r="W314" s="225"/>
      <c r="X314" s="225"/>
      <c r="Y314" s="225"/>
      <c r="Z314" s="225"/>
      <c r="AA314" s="225"/>
      <c r="AB314" s="225"/>
      <c r="AC314" s="225"/>
      <c r="AD314" s="225"/>
      <c r="AE314" s="225"/>
      <c r="AF314" s="225"/>
      <c r="AG314" s="225"/>
      <c r="AH314" s="225"/>
      <c r="AI314" s="225"/>
      <c r="AJ314" s="225"/>
      <c r="AK314" s="225"/>
      <c r="AL314" s="225"/>
      <c r="AM314" s="225"/>
      <c r="AN314" s="225"/>
      <c r="AO314" s="225"/>
      <c r="AP314" s="225"/>
      <c r="AQ314" s="225"/>
      <c r="AR314" s="225"/>
      <c r="AS314" s="225"/>
      <c r="AT314" s="225"/>
      <c r="AU314" s="225"/>
      <c r="AV314" s="225"/>
      <c r="AW314" s="225"/>
      <c r="AX314" s="225"/>
      <c r="AY314" s="225"/>
      <c r="AZ314" s="225"/>
      <c r="BA314" s="225"/>
      <c r="BB314" s="225"/>
      <c r="BC314" s="225"/>
      <c r="BD314" s="225"/>
      <c r="BE314" s="225"/>
      <c r="BF314" s="225"/>
      <c r="BG314" s="225"/>
      <c r="BH314" s="225"/>
      <c r="BI314" s="225"/>
      <c r="BJ314" s="225"/>
      <c r="BK314" s="225"/>
      <c r="BL314" s="225"/>
      <c r="BM314" s="225"/>
      <c r="BN314" s="225"/>
      <c r="BO314" s="225"/>
      <c r="BP314" s="55"/>
    </row>
    <row r="315" spans="1:96" ht="14.25" customHeight="1" x14ac:dyDescent="0.3">
      <c r="A315" s="960"/>
      <c r="B315" s="960"/>
      <c r="C315" s="960"/>
      <c r="D315" s="944"/>
      <c r="E315" s="226"/>
      <c r="F315" s="227" t="s">
        <v>526</v>
      </c>
      <c r="G315" s="228"/>
      <c r="H315" s="228"/>
      <c r="I315" s="228"/>
      <c r="J315" s="228"/>
      <c r="K315" s="228"/>
      <c r="L315" s="229"/>
      <c r="M315" s="230"/>
      <c r="N315" s="230"/>
      <c r="O315" s="230"/>
      <c r="P315" s="230"/>
      <c r="Q315" s="230"/>
      <c r="R315" s="230"/>
      <c r="S315" s="230"/>
      <c r="T315" s="230"/>
      <c r="U315" s="230"/>
      <c r="V315" s="230"/>
      <c r="W315" s="230"/>
      <c r="X315" s="230"/>
      <c r="Y315" s="230"/>
      <c r="Z315" s="230"/>
      <c r="AA315" s="230"/>
      <c r="AB315" s="230"/>
      <c r="AC315" s="230"/>
      <c r="AD315" s="230"/>
      <c r="AE315" s="230"/>
      <c r="AF315" s="230"/>
      <c r="AG315" s="230"/>
      <c r="AH315" s="230"/>
      <c r="AI315" s="230"/>
      <c r="AJ315" s="230"/>
      <c r="AK315" s="230"/>
      <c r="AL315" s="230"/>
      <c r="AM315" s="230"/>
      <c r="AN315" s="230"/>
      <c r="AO315" s="230"/>
      <c r="AP315" s="230"/>
      <c r="AQ315" s="230"/>
      <c r="AR315" s="230"/>
      <c r="AS315" s="230"/>
      <c r="AT315" s="230"/>
      <c r="AU315" s="230"/>
      <c r="AV315" s="230"/>
      <c r="AW315" s="230"/>
      <c r="AX315" s="230"/>
      <c r="AY315" s="230"/>
      <c r="AZ315" s="230"/>
      <c r="BA315" s="230"/>
      <c r="BB315" s="230"/>
      <c r="BC315" s="230"/>
      <c r="BD315" s="230"/>
      <c r="BE315" s="230"/>
      <c r="BF315" s="230"/>
      <c r="BG315" s="230"/>
      <c r="BH315" s="230"/>
      <c r="BI315" s="230"/>
      <c r="BJ315" s="230"/>
      <c r="BK315" s="230"/>
      <c r="BL315" s="230"/>
      <c r="BM315" s="230"/>
      <c r="BN315" s="230"/>
      <c r="BO315" s="230"/>
      <c r="BP315" s="231"/>
    </row>
    <row r="316" spans="1:96" ht="14.25" customHeight="1" x14ac:dyDescent="0.3">
      <c r="A316" s="960"/>
      <c r="B316" s="960"/>
      <c r="C316" s="960"/>
      <c r="D316" s="944"/>
      <c r="E316" s="232"/>
      <c r="F316" s="233" t="s">
        <v>527</v>
      </c>
      <c r="G316" s="228"/>
      <c r="H316" s="228"/>
      <c r="I316" s="228"/>
      <c r="J316" s="228"/>
      <c r="K316" s="228"/>
      <c r="L316" s="229"/>
      <c r="M316" s="230"/>
      <c r="N316" s="230"/>
      <c r="O316" s="230"/>
      <c r="P316" s="230"/>
      <c r="Q316" s="230"/>
      <c r="R316" s="230"/>
      <c r="S316" s="230"/>
      <c r="T316" s="230"/>
      <c r="U316" s="230"/>
      <c r="V316" s="230"/>
      <c r="W316" s="230"/>
      <c r="X316" s="230"/>
      <c r="Y316" s="230"/>
      <c r="Z316" s="230"/>
      <c r="AA316" s="230"/>
      <c r="AB316" s="230"/>
      <c r="AC316" s="230"/>
      <c r="AD316" s="230"/>
      <c r="AE316" s="230"/>
      <c r="AF316" s="230"/>
      <c r="AG316" s="230"/>
      <c r="AH316" s="230"/>
      <c r="AI316" s="230"/>
      <c r="AJ316" s="230"/>
      <c r="AK316" s="230"/>
      <c r="AL316" s="230"/>
      <c r="AM316" s="230"/>
      <c r="AN316" s="230"/>
      <c r="AO316" s="230"/>
      <c r="AP316" s="230"/>
      <c r="AQ316" s="230"/>
      <c r="AR316" s="230"/>
      <c r="AS316" s="230"/>
      <c r="AT316" s="230"/>
      <c r="AU316" s="230"/>
      <c r="AV316" s="230"/>
      <c r="AW316" s="230"/>
      <c r="AX316" s="230"/>
      <c r="AY316" s="230"/>
      <c r="AZ316" s="230"/>
      <c r="BA316" s="230"/>
      <c r="BB316" s="230"/>
      <c r="BC316" s="230"/>
      <c r="BD316" s="230"/>
      <c r="BE316" s="230"/>
      <c r="BF316" s="230"/>
      <c r="BG316" s="230"/>
      <c r="BH316" s="230"/>
      <c r="BI316" s="230"/>
      <c r="BJ316" s="230"/>
      <c r="BK316" s="230"/>
      <c r="BL316" s="230"/>
      <c r="BM316" s="230"/>
      <c r="BN316" s="230"/>
      <c r="BO316" s="230"/>
      <c r="BP316" s="231"/>
    </row>
    <row r="317" spans="1:96" ht="13.5" customHeight="1" x14ac:dyDescent="0.35">
      <c r="A317" s="983" t="s">
        <v>6</v>
      </c>
      <c r="B317" s="944"/>
      <c r="C317" s="944"/>
      <c r="D317" s="944"/>
      <c r="E317" s="232"/>
      <c r="F317" s="234" t="s">
        <v>528</v>
      </c>
      <c r="G317" s="234">
        <v>5253536</v>
      </c>
      <c r="H317" s="234">
        <v>5358904</v>
      </c>
      <c r="I317" s="234">
        <v>5235550</v>
      </c>
      <c r="J317" s="234">
        <v>5134122</v>
      </c>
      <c r="K317" s="234">
        <v>4604624</v>
      </c>
      <c r="L317" s="230">
        <v>4115213</v>
      </c>
      <c r="M317" s="230">
        <v>4127311</v>
      </c>
      <c r="N317" s="230">
        <v>4190611</v>
      </c>
      <c r="O317" s="230">
        <v>4056796</v>
      </c>
      <c r="P317" s="230">
        <v>4306244</v>
      </c>
      <c r="Q317" s="230">
        <v>4335924</v>
      </c>
      <c r="R317" s="230">
        <v>4066930</v>
      </c>
      <c r="S317" s="235">
        <f>R317*(1+Driver_macroeconómicos_Agricult!H$8)</f>
        <v>4121602.7900505415</v>
      </c>
      <c r="T317" s="235">
        <f>S317*(1+Driver_macroeconómicos_Agricult!I$8)</f>
        <v>4175809.3487110822</v>
      </c>
      <c r="U317" s="235">
        <f>T317*(1+Driver_macroeconómicos_Agricult!J$8)</f>
        <v>4229517.3719885061</v>
      </c>
      <c r="V317" s="235">
        <f>U317*(1+Driver_macroeconómicos_Agricult!K$8)</f>
        <v>4282716.7792041115</v>
      </c>
      <c r="W317" s="235">
        <f>V317*(1+Driver_macroeconómicos_Agricult!L$8)</f>
        <v>4335348.0027110176</v>
      </c>
      <c r="X317" s="235">
        <f>W317*(1+Driver_macroeconómicos_Agricult!M$8)</f>
        <v>4387391.1102581536</v>
      </c>
      <c r="Y317" s="235">
        <f>X317*(1+Driver_macroeconómicos_Agricult!N$8)</f>
        <v>4438808.7575130519</v>
      </c>
      <c r="Z317" s="235">
        <f>Y317*(1+Driver_macroeconómicos_Agricult!O$8)</f>
        <v>4489593.6130730212</v>
      </c>
      <c r="AA317" s="235">
        <f>Z317*(1+Driver_macroeconómicos_Agricult!P$8)</f>
        <v>4539688.6294608563</v>
      </c>
      <c r="AB317" s="235">
        <f>AA317*(1+Driver_macroeconómicos_Agricult!Q$8)</f>
        <v>4589067.0012354618</v>
      </c>
      <c r="AC317" s="235">
        <f>AB317*(1+Driver_macroeconómicos_Agricult!R$8)</f>
        <v>4637694.1333403802</v>
      </c>
      <c r="AD317" s="235">
        <f>AC317*(1+Driver_macroeconómicos_Agricult!S$8)</f>
        <v>4685529.9321671342</v>
      </c>
      <c r="AE317" s="235">
        <f>AD317*(1+Driver_macroeconómicos_Agricult!T$8)</f>
        <v>4732554.6945709884</v>
      </c>
      <c r="AF317" s="235">
        <f>AE317*(1+Driver_macroeconómicos_Agricult!U$8)</f>
        <v>4778734.0546018193</v>
      </c>
      <c r="AG317" s="235">
        <f>AF317*(1+Driver_macroeconómicos_Agricult!V$8)</f>
        <v>4824047.8509022212</v>
      </c>
      <c r="AH317" s="235">
        <f>AG317*(1+Driver_macroeconómicos_Agricult!W$8)</f>
        <v>4868457.3645017222</v>
      </c>
      <c r="AI317" s="235">
        <f>AH317*(1+Driver_macroeconómicos_Agricult!X$8)</f>
        <v>4911947.2452759342</v>
      </c>
      <c r="AJ317" s="235">
        <f>AI317*(1+Driver_macroeconómicos_Agricult!Y$8)</f>
        <v>4954488.8549330877</v>
      </c>
      <c r="AK317" s="235">
        <f>AJ317*(1+Driver_macroeconómicos_Agricult!Z$8)</f>
        <v>4996062.2612221111</v>
      </c>
      <c r="AL317" s="235">
        <f>AK317*(1+Driver_macroeconómicos_Agricult!AA$8)</f>
        <v>5036662.1946973195</v>
      </c>
      <c r="AM317" s="235">
        <f>AL317*(1+Driver_macroeconómicos_Agricult!AB$8)</f>
        <v>5076274.6798723293</v>
      </c>
      <c r="AN317" s="235">
        <f>AM317*(1+Driver_macroeconómicos_Agricult!AC$8)</f>
        <v>5114875.2023693863</v>
      </c>
      <c r="AO317" s="235">
        <f>AN317*(1+Driver_macroeconómicos_Agricult!AD$8)</f>
        <v>5152458.7218491398</v>
      </c>
      <c r="AP317" s="235">
        <f>AO317*(1+Driver_macroeconómicos_Agricult!AE$8)</f>
        <v>5189000.7239338346</v>
      </c>
      <c r="AQ317" s="235">
        <f>AP317*(1+Driver_macroeconómicos_Agricult!AF$8)</f>
        <v>5224495.0227524498</v>
      </c>
      <c r="AR317" s="235">
        <f>AQ317*(1+Driver_macroeconómicos_Agricult!AG$8)</f>
        <v>5258947.3459633384</v>
      </c>
      <c r="AS317" s="235">
        <f>AR317*(1+Driver_macroeconómicos_Agricult!AH$8)</f>
        <v>5292328.1388493935</v>
      </c>
      <c r="AT317" s="235">
        <f>AS317*(1+Driver_macroeconómicos_Agricult!AI$8)</f>
        <v>5324646.3365576481</v>
      </c>
      <c r="AU317" s="235">
        <f>AT317*(1+Driver_macroeconómicos_Agricult!AJ$8)</f>
        <v>5355913.1652984759</v>
      </c>
      <c r="AV317" s="235">
        <f>AU317*(1+Driver_macroeconómicos_Agricult!AK$8)</f>
        <v>5386107.5395209081</v>
      </c>
      <c r="AW317" s="235">
        <f>AV317*(1+Driver_macroeconómicos_Agricult!AL$8)</f>
        <v>5415208.9994413052</v>
      </c>
      <c r="AX317" s="235">
        <f>AW317*(1+Driver_macroeconómicos_Agricult!AM$8)</f>
        <v>5443197.7340574022</v>
      </c>
      <c r="AY317" s="235">
        <f>AX317*(1+Driver_macroeconómicos_Agricult!AN$8)</f>
        <v>5470054.6035421314</v>
      </c>
      <c r="AZ317" s="235">
        <f>AY317*(1+Driver_macroeconómicos_Agricult!AO$8)</f>
        <v>5495761.1609819392</v>
      </c>
      <c r="BA317" s="235">
        <f>AZ317*(1+Driver_macroeconómicos_Agricult!AP$8)</f>
        <v>5520299.6734251445</v>
      </c>
      <c r="BB317" s="235">
        <f>BA317*(1+Driver_macroeconómicos_Agricult!AQ$8)</f>
        <v>5543653.1422068467</v>
      </c>
      <c r="BC317" s="235">
        <f>BB317*(1+Driver_macroeconómicos_Agricult!AR$8)</f>
        <v>5565805.3225178625</v>
      </c>
      <c r="BD317" s="235">
        <f>BC317*(1+Driver_macroeconómicos_Agricult!AS$8)</f>
        <v>5586740.742186253</v>
      </c>
      <c r="BE317" s="235">
        <f>BD317*(1+Driver_macroeconómicos_Agricult!AT$8)</f>
        <v>5606444.7196411341</v>
      </c>
      <c r="BF317" s="235">
        <f>BE317*(1+Driver_macroeconómicos_Agricult!AU$8)</f>
        <v>5624903.3810296422</v>
      </c>
      <c r="BG317" s="235">
        <f>BF317*(1+Driver_macroeconómicos_Agricult!AV$8)</f>
        <v>5642103.6764591942</v>
      </c>
      <c r="BH317" s="235">
        <f>BG317*(1+Driver_macroeconómicos_Agricult!AW$8)</f>
        <v>5658033.3953384822</v>
      </c>
      <c r="BI317" s="235">
        <f>BH317*(1+Driver_macroeconómicos_Agricult!AX$8)</f>
        <v>5672681.1807920169</v>
      </c>
      <c r="BJ317" s="235">
        <f>BI317*(1+Driver_macroeconómicos_Agricult!AY$8)</f>
        <v>5686036.5431244541</v>
      </c>
      <c r="BK317" s="235">
        <f>BJ317*(1+Driver_macroeconómicos_Agricult!AZ$8)</f>
        <v>5698089.8723124107</v>
      </c>
      <c r="BL317" s="235">
        <f>BK317*(1+Driver_macroeconómicos_Agricult!BA$8)</f>
        <v>5708832.4495029757</v>
      </c>
      <c r="BM317" s="235">
        <f>BL317*(1+Driver_macroeconómicos_Agricult!BB$8)</f>
        <v>5718256.4574997155</v>
      </c>
      <c r="BN317" s="235">
        <f>BM317*(1+Driver_macroeconómicos_Agricult!BC$8)</f>
        <v>5726354.9902185565</v>
      </c>
      <c r="BO317" s="235">
        <f>BN317*(1+Driver_macroeconómicos_Agricult!BD$8)</f>
        <v>5733122.061097567</v>
      </c>
      <c r="BP317" s="23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row>
    <row r="318" spans="1:96" ht="14.25" customHeight="1" x14ac:dyDescent="0.3">
      <c r="A318" s="982"/>
      <c r="D318" s="944"/>
      <c r="E318" s="232"/>
      <c r="F318" s="234" t="s">
        <v>529</v>
      </c>
      <c r="G318" s="234">
        <v>1088862</v>
      </c>
      <c r="H318" s="234">
        <v>1127363</v>
      </c>
      <c r="I318" s="234">
        <v>1053311</v>
      </c>
      <c r="J318" s="234">
        <v>1127627</v>
      </c>
      <c r="K318" s="234">
        <v>999037</v>
      </c>
      <c r="L318" s="230">
        <v>860886</v>
      </c>
      <c r="M318" s="230">
        <v>896170</v>
      </c>
      <c r="N318" s="230">
        <v>856164</v>
      </c>
      <c r="O318" s="230">
        <v>832528</v>
      </c>
      <c r="P318" s="230">
        <v>996503</v>
      </c>
      <c r="Q318" s="230">
        <v>962520</v>
      </c>
      <c r="R318" s="230">
        <v>846715</v>
      </c>
      <c r="S318" s="235">
        <f>R318*(1+Driver_macroeconómicos_Agricult!H$8)</f>
        <v>858097.60836248577</v>
      </c>
      <c r="T318" s="235">
        <f>S318*(1+Driver_macroeconómicos_Agricult!I$8)</f>
        <v>869383.14962241892</v>
      </c>
      <c r="U318" s="235">
        <f>T318*(1+Driver_macroeconómicos_Agricult!J$8)</f>
        <v>880564.89824591228</v>
      </c>
      <c r="V318" s="235">
        <f>U318*(1+Driver_macroeconómicos_Agricult!K$8)</f>
        <v>891640.75548480288</v>
      </c>
      <c r="W318" s="235">
        <f>V318*(1+Driver_macroeconómicos_Agricult!L$8)</f>
        <v>902598.31964539818</v>
      </c>
      <c r="X318" s="235">
        <f>W318*(1+Driver_macroeconómicos_Agricult!M$8)</f>
        <v>913433.44093019364</v>
      </c>
      <c r="Y318" s="235">
        <f>X318*(1+Driver_macroeconómicos_Agricult!N$8)</f>
        <v>924138.34443122055</v>
      </c>
      <c r="Z318" s="235">
        <f>Y318*(1+Driver_macroeconómicos_Agricult!O$8)</f>
        <v>934711.50378617854</v>
      </c>
      <c r="AA318" s="235">
        <f>Z318*(1+Driver_macroeconómicos_Agricult!P$8)</f>
        <v>945141.04198841611</v>
      </c>
      <c r="AB318" s="235">
        <f>AA318*(1+Driver_macroeconómicos_Agricult!Q$8)</f>
        <v>955421.37827577163</v>
      </c>
      <c r="AC318" s="235">
        <f>AB318*(1+Driver_macroeconómicos_Agricult!R$8)</f>
        <v>965545.3101261392</v>
      </c>
      <c r="AD318" s="235">
        <f>AC318*(1+Driver_macroeconómicos_Agricult!S$8)</f>
        <v>975504.49024568766</v>
      </c>
      <c r="AE318" s="235">
        <f>AD318*(1+Driver_macroeconómicos_Agricult!T$8)</f>
        <v>985294.81653573434</v>
      </c>
      <c r="AF318" s="235">
        <f>AE318*(1+Driver_macroeconómicos_Agricult!U$8)</f>
        <v>994909.13417299511</v>
      </c>
      <c r="AG318" s="235">
        <f>AF318*(1+Driver_macroeconómicos_Agricult!V$8)</f>
        <v>1004343.2456611433</v>
      </c>
      <c r="AH318" s="235">
        <f>AG318*(1+Driver_macroeconómicos_Agricult!W$8)</f>
        <v>1013589.0898992791</v>
      </c>
      <c r="AI318" s="235">
        <f>AH318*(1+Driver_macroeconómicos_Agricult!X$8)</f>
        <v>1022643.4710663354</v>
      </c>
      <c r="AJ318" s="235">
        <f>AI318*(1+Driver_macroeconómicos_Agricult!Y$8)</f>
        <v>1031500.4268095758</v>
      </c>
      <c r="AK318" s="235">
        <f>AJ318*(1+Driver_macroeconómicos_Agricult!Z$8)</f>
        <v>1040155.8073314953</v>
      </c>
      <c r="AL318" s="235">
        <f>AK318*(1+Driver_macroeconómicos_Agricult!AA$8)</f>
        <v>1048608.5155591907</v>
      </c>
      <c r="AM318" s="235">
        <f>AL318*(1+Driver_macroeconómicos_Agricult!AB$8)</f>
        <v>1056855.6418645263</v>
      </c>
      <c r="AN318" s="235">
        <f>AM318*(1+Driver_macroeconómicos_Agricult!AC$8)</f>
        <v>1064892.0824735595</v>
      </c>
      <c r="AO318" s="235">
        <f>AN318*(1+Driver_macroeconómicos_Agricult!AD$8)</f>
        <v>1072716.7880122089</v>
      </c>
      <c r="AP318" s="235">
        <f>AO318*(1+Driver_macroeconómicos_Agricult!AE$8)</f>
        <v>1080324.6547065317</v>
      </c>
      <c r="AQ318" s="235">
        <f>AP318*(1+Driver_macroeconómicos_Agricult!AF$8)</f>
        <v>1087714.3946883371</v>
      </c>
      <c r="AR318" s="235">
        <f>AQ318*(1+Driver_macroeconómicos_Agricult!AG$8)</f>
        <v>1094887.2004281722</v>
      </c>
      <c r="AS318" s="235">
        <f>AR318*(1+Driver_macroeconómicos_Agricult!AH$8)</f>
        <v>1101836.9187780125</v>
      </c>
      <c r="AT318" s="235">
        <f>AS318*(1+Driver_macroeconómicos_Agricult!AI$8)</f>
        <v>1108565.4099919121</v>
      </c>
      <c r="AU318" s="235">
        <f>AT318*(1+Driver_macroeconómicos_Agricult!AJ$8)</f>
        <v>1115075.0113121439</v>
      </c>
      <c r="AV318" s="235">
        <f>AU318*(1+Driver_macroeconómicos_Agricult!AK$8)</f>
        <v>1121361.3328297867</v>
      </c>
      <c r="AW318" s="235">
        <f>AV318*(1+Driver_macroeconómicos_Agricult!AL$8)</f>
        <v>1127420.1149176266</v>
      </c>
      <c r="AX318" s="235">
        <f>AW318*(1+Driver_macroeconómicos_Agricult!AM$8)</f>
        <v>1133247.2330215694</v>
      </c>
      <c r="AY318" s="235">
        <f>AX318*(1+Driver_macroeconómicos_Agricult!AN$8)</f>
        <v>1138838.7023229252</v>
      </c>
      <c r="AZ318" s="235">
        <f>AY318*(1+Driver_macroeconómicos_Agricult!AO$8)</f>
        <v>1144190.6822642193</v>
      </c>
      <c r="BA318" s="235">
        <f>AZ318*(1+Driver_macroeconómicos_Agricult!AP$8)</f>
        <v>1149299.4809313586</v>
      </c>
      <c r="BB318" s="235">
        <f>BA318*(1+Driver_macroeconómicos_Agricult!AQ$8)</f>
        <v>1154161.5592851781</v>
      </c>
      <c r="BC318" s="235">
        <f>BB318*(1+Driver_macroeconómicos_Agricult!AR$8)</f>
        <v>1158773.535235598</v>
      </c>
      <c r="BD318" s="235">
        <f>BC318*(1+Driver_macroeconómicos_Agricult!AS$8)</f>
        <v>1163132.1875518465</v>
      </c>
      <c r="BE318" s="235">
        <f>BD318*(1+Driver_macroeconómicos_Agricult!AT$8)</f>
        <v>1167234.4596024374</v>
      </c>
      <c r="BF318" s="235">
        <f>BE318*(1+Driver_macroeconómicos_Agricult!AU$8)</f>
        <v>1171077.4629188385</v>
      </c>
      <c r="BG318" s="235">
        <f>BF318*(1+Driver_macroeconómicos_Agricult!AV$8)</f>
        <v>1174658.4805770312</v>
      </c>
      <c r="BH318" s="235">
        <f>BG318*(1+Driver_macroeconómicos_Agricult!AW$8)</f>
        <v>1177974.9703914309</v>
      </c>
      <c r="BI318" s="235">
        <f>BH318*(1+Driver_macroeconómicos_Agricult!AX$8)</f>
        <v>1181024.5679159248</v>
      </c>
      <c r="BJ318" s="235">
        <f>BI318*(1+Driver_macroeconómicos_Agricult!AY$8)</f>
        <v>1183805.0892470789</v>
      </c>
      <c r="BK318" s="235">
        <f>BJ318*(1+Driver_macroeconómicos_Agricult!AZ$8)</f>
        <v>1186314.5336248726</v>
      </c>
      <c r="BL318" s="235">
        <f>BK318*(1+Driver_macroeconómicos_Agricult!BA$8)</f>
        <v>1188551.0858266337</v>
      </c>
      <c r="BM318" s="235">
        <f>BL318*(1+Driver_macroeconómicos_Agricult!BB$8)</f>
        <v>1190513.1183501736</v>
      </c>
      <c r="BN318" s="235">
        <f>BM318*(1+Driver_macroeconómicos_Agricult!BC$8)</f>
        <v>1192199.1933824543</v>
      </c>
      <c r="BO318" s="235">
        <f>BN318*(1+Driver_macroeconómicos_Agricult!BD$8)</f>
        <v>1193608.0645504659</v>
      </c>
      <c r="BP318" s="231"/>
    </row>
    <row r="319" spans="1:96" ht="14.25" customHeight="1" x14ac:dyDescent="0.3">
      <c r="A319" s="1197" t="s">
        <v>530</v>
      </c>
      <c r="B319" s="966"/>
      <c r="C319" s="966"/>
      <c r="D319" s="944"/>
      <c r="E319" s="232"/>
      <c r="F319" s="234" t="s">
        <v>531</v>
      </c>
      <c r="G319" s="236">
        <f t="shared" ref="G319:R319" si="323">G317*0.07</f>
        <v>367747.52</v>
      </c>
      <c r="H319" s="236">
        <f t="shared" si="323"/>
        <v>375123.28</v>
      </c>
      <c r="I319" s="236">
        <f t="shared" si="323"/>
        <v>366488.50000000006</v>
      </c>
      <c r="J319" s="236">
        <f t="shared" si="323"/>
        <v>359388.54000000004</v>
      </c>
      <c r="K319" s="236">
        <f t="shared" si="323"/>
        <v>322323.68000000005</v>
      </c>
      <c r="L319" s="237">
        <f t="shared" si="323"/>
        <v>288064.91000000003</v>
      </c>
      <c r="M319" s="237">
        <f t="shared" si="323"/>
        <v>288911.77</v>
      </c>
      <c r="N319" s="237">
        <f t="shared" si="323"/>
        <v>293342.77</v>
      </c>
      <c r="O319" s="237">
        <f t="shared" si="323"/>
        <v>283975.72000000003</v>
      </c>
      <c r="P319" s="237">
        <f t="shared" si="323"/>
        <v>301437.08</v>
      </c>
      <c r="Q319" s="237">
        <f t="shared" si="323"/>
        <v>303514.68000000005</v>
      </c>
      <c r="R319" s="237">
        <f t="shared" si="323"/>
        <v>284685.10000000003</v>
      </c>
      <c r="S319" s="235">
        <f>R319*(1+Driver_macroeconómicos_Agricult!H$8)</f>
        <v>288512.19530353794</v>
      </c>
      <c r="T319" s="235">
        <f>S319*(1+Driver_macroeconómicos_Agricult!I$8)</f>
        <v>292306.6544097758</v>
      </c>
      <c r="U319" s="235">
        <f>T319*(1+Driver_macroeconómicos_Agricult!J$8)</f>
        <v>296066.21603919548</v>
      </c>
      <c r="V319" s="235">
        <f>U319*(1+Driver_macroeconómicos_Agricult!K$8)</f>
        <v>299790.17454428785</v>
      </c>
      <c r="W319" s="235">
        <f>V319*(1+Driver_macroeconómicos_Agricult!L$8)</f>
        <v>303474.36018977128</v>
      </c>
      <c r="X319" s="235">
        <f>W319*(1+Driver_macroeconómicos_Agricult!M$8)</f>
        <v>307117.37771807081</v>
      </c>
      <c r="Y319" s="235">
        <f>X319*(1+Driver_macroeconómicos_Agricult!N$8)</f>
        <v>310716.61302591371</v>
      </c>
      <c r="Z319" s="235">
        <f>Y319*(1+Driver_macroeconómicos_Agricult!O$8)</f>
        <v>314271.55291511159</v>
      </c>
      <c r="AA319" s="235">
        <f>Z319*(1+Driver_macroeconómicos_Agricult!P$8)</f>
        <v>317778.20406226005</v>
      </c>
      <c r="AB319" s="235">
        <f>AA319*(1+Driver_macroeconómicos_Agricult!Q$8)</f>
        <v>321234.69008648238</v>
      </c>
      <c r="AC319" s="235">
        <f>AB319*(1+Driver_macroeconómicos_Agricult!R$8)</f>
        <v>324638.58933382662</v>
      </c>
      <c r="AD319" s="235">
        <f>AC319*(1+Driver_macroeconómicos_Agricult!S$8)</f>
        <v>327987.09525169944</v>
      </c>
      <c r="AE319" s="235">
        <f>AD319*(1+Driver_macroeconómicos_Agricult!T$8)</f>
        <v>331278.82861996925</v>
      </c>
      <c r="AF319" s="235">
        <f>AE319*(1+Driver_macroeconómicos_Agricult!U$8)</f>
        <v>334511.38382212742</v>
      </c>
      <c r="AG319" s="235">
        <f>AF319*(1+Driver_macroeconómicos_Agricult!V$8)</f>
        <v>337683.34956315556</v>
      </c>
      <c r="AH319" s="235">
        <f>AG319*(1+Driver_macroeconómicos_Agricult!W$8)</f>
        <v>340792.01551512058</v>
      </c>
      <c r="AI319" s="235">
        <f>AH319*(1+Driver_macroeconómicos_Agricult!X$8)</f>
        <v>343836.30716931541</v>
      </c>
      <c r="AJ319" s="235">
        <f>AI319*(1+Driver_macroeconómicos_Agricult!Y$8)</f>
        <v>346814.21984531614</v>
      </c>
      <c r="AK319" s="235">
        <f>AJ319*(1+Driver_macroeconómicos_Agricult!Z$8)</f>
        <v>349724.35828554776</v>
      </c>
      <c r="AL319" s="235">
        <f>AK319*(1+Driver_macroeconómicos_Agricult!AA$8)</f>
        <v>352566.35362881236</v>
      </c>
      <c r="AM319" s="235">
        <f>AL319*(1+Driver_macroeconómicos_Agricult!AB$8)</f>
        <v>355339.22759106307</v>
      </c>
      <c r="AN319" s="235">
        <f>AM319*(1+Driver_macroeconómicos_Agricult!AC$8)</f>
        <v>358041.26416585705</v>
      </c>
      <c r="AO319" s="235">
        <f>AN319*(1+Driver_macroeconómicos_Agricult!AD$8)</f>
        <v>360672.11052943976</v>
      </c>
      <c r="AP319" s="235">
        <f>AO319*(1+Driver_macroeconómicos_Agricult!AE$8)</f>
        <v>363230.0506753684</v>
      </c>
      <c r="AQ319" s="235">
        <f>AP319*(1+Driver_macroeconómicos_Agricult!AF$8)</f>
        <v>365714.65159267146</v>
      </c>
      <c r="AR319" s="235">
        <f>AQ319*(1+Driver_macroeconómicos_Agricult!AG$8)</f>
        <v>368126.31421743362</v>
      </c>
      <c r="AS319" s="235">
        <f>AR319*(1+Driver_macroeconómicos_Agricult!AH$8)</f>
        <v>370462.9697194575</v>
      </c>
      <c r="AT319" s="235">
        <f>AS319*(1+Driver_macroeconómicos_Agricult!AI$8)</f>
        <v>372725.24355903536</v>
      </c>
      <c r="AU319" s="235">
        <f>AT319*(1+Driver_macroeconómicos_Agricult!AJ$8)</f>
        <v>374913.92157089332</v>
      </c>
      <c r="AV319" s="235">
        <f>AU319*(1+Driver_macroeconómicos_Agricult!AK$8)</f>
        <v>377027.52776646358</v>
      </c>
      <c r="AW319" s="235">
        <f>AV319*(1+Driver_macroeconómicos_Agricult!AL$8)</f>
        <v>379064.62996089138</v>
      </c>
      <c r="AX319" s="235">
        <f>AW319*(1+Driver_macroeconómicos_Agricult!AM$8)</f>
        <v>381023.84138401813</v>
      </c>
      <c r="AY319" s="235">
        <f>AX319*(1+Driver_macroeconómicos_Agricult!AN$8)</f>
        <v>382903.8222479492</v>
      </c>
      <c r="AZ319" s="235">
        <f>AY319*(1+Driver_macroeconómicos_Agricult!AO$8)</f>
        <v>384703.28126873577</v>
      </c>
      <c r="BA319" s="235">
        <f>AZ319*(1+Driver_macroeconómicos_Agricult!AP$8)</f>
        <v>386420.97713976016</v>
      </c>
      <c r="BB319" s="235">
        <f>BA319*(1+Driver_macroeconómicos_Agricult!AQ$8)</f>
        <v>388055.71995447931</v>
      </c>
      <c r="BC319" s="235">
        <f>BB319*(1+Driver_macroeconómicos_Agricult!AR$8)</f>
        <v>389606.3725762504</v>
      </c>
      <c r="BD319" s="235">
        <f>BC319*(1+Driver_macroeconómicos_Agricult!AS$8)</f>
        <v>391071.85195303772</v>
      </c>
      <c r="BE319" s="235">
        <f>BD319*(1+Driver_macroeconómicos_Agricult!AT$8)</f>
        <v>392451.1303748794</v>
      </c>
      <c r="BF319" s="235">
        <f>BE319*(1+Driver_macroeconómicos_Agricult!AU$8)</f>
        <v>393743.23667207494</v>
      </c>
      <c r="BG319" s="235">
        <f>BF319*(1+Driver_macroeconómicos_Agricult!AV$8)</f>
        <v>394947.25735214358</v>
      </c>
      <c r="BH319" s="235">
        <f>BG319*(1+Driver_macroeconómicos_Agricult!AW$8)</f>
        <v>396062.33767369372</v>
      </c>
      <c r="BI319" s="235">
        <f>BH319*(1+Driver_macroeconómicos_Agricult!AX$8)</f>
        <v>397087.68265544117</v>
      </c>
      <c r="BJ319" s="235">
        <f>BI319*(1+Driver_macroeconómicos_Agricult!AY$8)</f>
        <v>398022.5580187118</v>
      </c>
      <c r="BK319" s="235">
        <f>BJ319*(1+Driver_macroeconómicos_Agricult!AZ$8)</f>
        <v>398866.29106186877</v>
      </c>
      <c r="BL319" s="235">
        <f>BK319*(1+Driver_macroeconómicos_Agricult!BA$8)</f>
        <v>399618.27146520826</v>
      </c>
      <c r="BM319" s="235">
        <f>BL319*(1+Driver_macroeconómicos_Agricult!BB$8)</f>
        <v>400277.9520249801</v>
      </c>
      <c r="BN319" s="235">
        <f>BM319*(1+Driver_macroeconómicos_Agricult!BC$8)</f>
        <v>400844.84931529895</v>
      </c>
      <c r="BO319" s="235">
        <f>BN319*(1+Driver_macroeconómicos_Agricult!BD$8)</f>
        <v>401318.54427682969</v>
      </c>
      <c r="BP319" s="231"/>
    </row>
    <row r="320" spans="1:96" ht="14.25" customHeight="1" x14ac:dyDescent="0.3">
      <c r="A320" s="982"/>
      <c r="D320" s="944"/>
      <c r="E320" s="232"/>
      <c r="F320" s="234" t="s">
        <v>532</v>
      </c>
      <c r="G320" s="236">
        <f t="shared" ref="G320:R320" si="324">G317*0.31</f>
        <v>1628596.16</v>
      </c>
      <c r="H320" s="236">
        <f t="shared" si="324"/>
        <v>1661260.24</v>
      </c>
      <c r="I320" s="236">
        <f t="shared" si="324"/>
        <v>1623020.5</v>
      </c>
      <c r="J320" s="236">
        <f t="shared" si="324"/>
        <v>1591577.82</v>
      </c>
      <c r="K320" s="236">
        <f t="shared" si="324"/>
        <v>1427433.44</v>
      </c>
      <c r="L320" s="237">
        <f t="shared" si="324"/>
        <v>1275716.03</v>
      </c>
      <c r="M320" s="237">
        <f t="shared" si="324"/>
        <v>1279466.4099999999</v>
      </c>
      <c r="N320" s="237">
        <f t="shared" si="324"/>
        <v>1299089.4099999999</v>
      </c>
      <c r="O320" s="237">
        <f t="shared" si="324"/>
        <v>1257606.76</v>
      </c>
      <c r="P320" s="237">
        <f t="shared" si="324"/>
        <v>1334935.6399999999</v>
      </c>
      <c r="Q320" s="237">
        <f t="shared" si="324"/>
        <v>1344136.44</v>
      </c>
      <c r="R320" s="237">
        <f t="shared" si="324"/>
        <v>1260748.3</v>
      </c>
      <c r="S320" s="235">
        <f>R320*(1+Driver_macroeconómicos_Agricult!H$8)</f>
        <v>1277696.8649156678</v>
      </c>
      <c r="T320" s="235">
        <f>S320*(1+Driver_macroeconómicos_Agricult!I$8)</f>
        <v>1294500.8981004355</v>
      </c>
      <c r="U320" s="235">
        <f>T320*(1+Driver_macroeconómicos_Agricult!J$8)</f>
        <v>1311150.3853164369</v>
      </c>
      <c r="V320" s="235">
        <f>U320*(1+Driver_macroeconómicos_Agricult!K$8)</f>
        <v>1327642.2015532744</v>
      </c>
      <c r="W320" s="235">
        <f>V320*(1+Driver_macroeconómicos_Agricult!L$8)</f>
        <v>1343957.8808404154</v>
      </c>
      <c r="X320" s="235">
        <f>W320*(1+Driver_macroeconómicos_Agricult!M$8)</f>
        <v>1360091.2441800276</v>
      </c>
      <c r="Y320" s="235">
        <f>X320*(1+Driver_macroeconómicos_Agricult!N$8)</f>
        <v>1376030.7148290463</v>
      </c>
      <c r="Z320" s="235">
        <f>Y320*(1+Driver_macroeconómicos_Agricult!O$8)</f>
        <v>1391774.0200526367</v>
      </c>
      <c r="AA320" s="235">
        <f>Z320*(1+Driver_macroeconómicos_Agricult!P$8)</f>
        <v>1407303.4751328656</v>
      </c>
      <c r="AB320" s="235">
        <f>AA320*(1+Driver_macroeconómicos_Agricult!Q$8)</f>
        <v>1422610.7703829932</v>
      </c>
      <c r="AC320" s="235">
        <f>AB320*(1+Driver_macroeconómicos_Agricult!R$8)</f>
        <v>1437685.1813355177</v>
      </c>
      <c r="AD320" s="235">
        <f>AC320*(1+Driver_macroeconómicos_Agricult!S$8)</f>
        <v>1452514.2789718115</v>
      </c>
      <c r="AE320" s="235">
        <f>AD320*(1+Driver_macroeconómicos_Agricult!T$8)</f>
        <v>1467091.9553170064</v>
      </c>
      <c r="AF320" s="235">
        <f>AE320*(1+Driver_macroeconómicos_Agricult!U$8)</f>
        <v>1481407.5569265641</v>
      </c>
      <c r="AG320" s="235">
        <f>AF320*(1+Driver_macroeconómicos_Agricult!V$8)</f>
        <v>1495454.8337796887</v>
      </c>
      <c r="AH320" s="235">
        <f>AG320*(1+Driver_macroeconómicos_Agricult!W$8)</f>
        <v>1509221.7829955339</v>
      </c>
      <c r="AI320" s="235">
        <f>AH320*(1+Driver_macroeconómicos_Agricult!X$8)</f>
        <v>1522703.6460355397</v>
      </c>
      <c r="AJ320" s="235">
        <f>AI320*(1+Driver_macroeconómicos_Agricult!Y$8)</f>
        <v>1535891.5450292572</v>
      </c>
      <c r="AK320" s="235">
        <f>AJ320*(1+Driver_macroeconómicos_Agricult!Z$8)</f>
        <v>1548779.3009788545</v>
      </c>
      <c r="AL320" s="235">
        <f>AK320*(1+Driver_macroeconómicos_Agricult!AA$8)</f>
        <v>1561365.2803561692</v>
      </c>
      <c r="AM320" s="235">
        <f>AL320*(1+Driver_macroeconómicos_Agricult!AB$8)</f>
        <v>1573645.1507604222</v>
      </c>
      <c r="AN320" s="235">
        <f>AM320*(1+Driver_macroeconómicos_Agricult!AC$8)</f>
        <v>1585611.3127345098</v>
      </c>
      <c r="AO320" s="235">
        <f>AN320*(1+Driver_macroeconómicos_Agricult!AD$8)</f>
        <v>1597262.2037732333</v>
      </c>
      <c r="AP320" s="235">
        <f>AO320*(1+Driver_macroeconómicos_Agricult!AE$8)</f>
        <v>1608590.2244194888</v>
      </c>
      <c r="AQ320" s="235">
        <f>AP320*(1+Driver_macroeconómicos_Agricult!AF$8)</f>
        <v>1619593.4570532595</v>
      </c>
      <c r="AR320" s="235">
        <f>AQ320*(1+Driver_macroeconómicos_Agricult!AG$8)</f>
        <v>1630273.6772486349</v>
      </c>
      <c r="AS320" s="235">
        <f>AR320*(1+Driver_macroeconómicos_Agricult!AH$8)</f>
        <v>1640621.7230433119</v>
      </c>
      <c r="AT320" s="235">
        <f>AS320*(1+Driver_macroeconómicos_Agricult!AI$8)</f>
        <v>1650640.3643328708</v>
      </c>
      <c r="AU320" s="235">
        <f>AT320*(1+Driver_macroeconómicos_Agricult!AJ$8)</f>
        <v>1660333.0812425276</v>
      </c>
      <c r="AV320" s="235">
        <f>AU320*(1+Driver_macroeconómicos_Agricult!AK$8)</f>
        <v>1669693.3372514816</v>
      </c>
      <c r="AW320" s="235">
        <f>AV320*(1+Driver_macroeconómicos_Agricult!AL$8)</f>
        <v>1678714.7898268045</v>
      </c>
      <c r="AX320" s="235">
        <f>AW320*(1+Driver_macroeconómicos_Agricult!AM$8)</f>
        <v>1687391.2975577945</v>
      </c>
      <c r="AY320" s="235">
        <f>AX320*(1+Driver_macroeconómicos_Agricult!AN$8)</f>
        <v>1695716.9270980607</v>
      </c>
      <c r="AZ320" s="235">
        <f>AY320*(1+Driver_macroeconómicos_Agricult!AO$8)</f>
        <v>1703685.9599044013</v>
      </c>
      <c r="BA320" s="235">
        <f>AZ320*(1+Driver_macroeconómicos_Agricult!AP$8)</f>
        <v>1711292.8987617949</v>
      </c>
      <c r="BB320" s="235">
        <f>BA320*(1+Driver_macroeconómicos_Agricult!AQ$8)</f>
        <v>1718532.4740841228</v>
      </c>
      <c r="BC320" s="235">
        <f>BB320*(1+Driver_macroeconómicos_Agricult!AR$8)</f>
        <v>1725399.6499805376</v>
      </c>
      <c r="BD320" s="235">
        <f>BC320*(1+Driver_macroeconómicos_Agricult!AS$8)</f>
        <v>1731889.6300777385</v>
      </c>
      <c r="BE320" s="235">
        <f>BD320*(1+Driver_macroeconómicos_Agricult!AT$8)</f>
        <v>1737997.8630887517</v>
      </c>
      <c r="BF320" s="235">
        <f>BE320*(1+Driver_macroeconómicos_Agricult!AU$8)</f>
        <v>1743720.0481191892</v>
      </c>
      <c r="BG320" s="235">
        <f>BF320*(1+Driver_macroeconómicos_Agricult!AV$8)</f>
        <v>1749052.1397023504</v>
      </c>
      <c r="BH320" s="235">
        <f>BG320*(1+Driver_macroeconómicos_Agricult!AW$8)</f>
        <v>1753990.3525549297</v>
      </c>
      <c r="BI320" s="235">
        <f>BH320*(1+Driver_macroeconómicos_Agricult!AX$8)</f>
        <v>1758531.1660455253</v>
      </c>
      <c r="BJ320" s="235">
        <f>BI320*(1+Driver_macroeconómicos_Agricult!AY$8)</f>
        <v>1762671.3283685809</v>
      </c>
      <c r="BK320" s="235">
        <f>BJ320*(1+Driver_macroeconómicos_Agricult!AZ$8)</f>
        <v>1766407.8604168475</v>
      </c>
      <c r="BL320" s="235">
        <f>BK320*(1+Driver_macroeconómicos_Agricult!BA$8)</f>
        <v>1769738.0593459224</v>
      </c>
      <c r="BM320" s="235">
        <f>BL320*(1+Driver_macroeconómicos_Agricult!BB$8)</f>
        <v>1772659.5018249119</v>
      </c>
      <c r="BN320" s="235">
        <f>BM320*(1+Driver_macroeconómicos_Agricult!BC$8)</f>
        <v>1775170.0469677527</v>
      </c>
      <c r="BO320" s="235">
        <f>BN320*(1+Driver_macroeconómicos_Agricult!BD$8)</f>
        <v>1777267.838940246</v>
      </c>
      <c r="BP320" s="231"/>
    </row>
    <row r="321" spans="1:96" ht="13.5" customHeight="1" x14ac:dyDescent="0.3">
      <c r="A321" s="982"/>
      <c r="D321" s="944"/>
      <c r="E321" s="232"/>
      <c r="F321" s="234" t="s">
        <v>533</v>
      </c>
      <c r="G321" s="236">
        <f>G317*0.37</f>
        <v>1943808.32</v>
      </c>
      <c r="H321" s="236">
        <f t="shared" ref="H321:R321" si="325">H317*0.37</f>
        <v>1982794.48</v>
      </c>
      <c r="I321" s="236">
        <f t="shared" si="325"/>
        <v>1937153.5</v>
      </c>
      <c r="J321" s="236">
        <f t="shared" si="325"/>
        <v>1899625.14</v>
      </c>
      <c r="K321" s="236">
        <f t="shared" si="325"/>
        <v>1703710.88</v>
      </c>
      <c r="L321" s="236">
        <f t="shared" si="325"/>
        <v>1522628.81</v>
      </c>
      <c r="M321" s="236">
        <f t="shared" si="325"/>
        <v>1527105.07</v>
      </c>
      <c r="N321" s="236">
        <f t="shared" si="325"/>
        <v>1550526.07</v>
      </c>
      <c r="O321" s="236">
        <f t="shared" si="325"/>
        <v>1501014.52</v>
      </c>
      <c r="P321" s="236">
        <f t="shared" si="325"/>
        <v>1593310.28</v>
      </c>
      <c r="Q321" s="236">
        <f t="shared" si="325"/>
        <v>1604291.88</v>
      </c>
      <c r="R321" s="236">
        <f t="shared" si="325"/>
        <v>1504764.1</v>
      </c>
      <c r="S321" s="235">
        <f>R321*(1+Driver_macroeconómicos_Agricult!H$8)</f>
        <v>1524993.0323187003</v>
      </c>
      <c r="T321" s="235">
        <f>S321*(1+Driver_macroeconómicos_Agricult!I$8)</f>
        <v>1545049.4590231003</v>
      </c>
      <c r="U321" s="235">
        <f>T321*(1+Driver_macroeconómicos_Agricult!J$8)</f>
        <v>1564921.4276357472</v>
      </c>
      <c r="V321" s="235">
        <f>U321*(1+Driver_macroeconómicos_Agricult!K$8)</f>
        <v>1584605.2083055212</v>
      </c>
      <c r="W321" s="235">
        <f>V321*(1+Driver_macroeconómicos_Agricult!L$8)</f>
        <v>1604078.7610030763</v>
      </c>
      <c r="X321" s="235">
        <f>W321*(1+Driver_macroeconómicos_Agricult!M$8)</f>
        <v>1623334.7107955166</v>
      </c>
      <c r="Y321" s="235">
        <f>X321*(1+Driver_macroeconómicos_Agricult!N$8)</f>
        <v>1642359.2402798291</v>
      </c>
      <c r="Z321" s="235">
        <f>Y321*(1+Driver_macroeconómicos_Agricult!O$8)</f>
        <v>1661149.6368370177</v>
      </c>
      <c r="AA321" s="235">
        <f>Z321*(1+Driver_macroeconómicos_Agricult!P$8)</f>
        <v>1679684.7929005167</v>
      </c>
      <c r="AB321" s="235">
        <f>AA321*(1+Driver_macroeconómicos_Agricult!Q$8)</f>
        <v>1697954.7904571206</v>
      </c>
      <c r="AC321" s="235">
        <f>AB321*(1+Driver_macroeconómicos_Agricult!R$8)</f>
        <v>1715946.8293359403</v>
      </c>
      <c r="AD321" s="235">
        <f>AC321*(1+Driver_macroeconómicos_Agricult!S$8)</f>
        <v>1733646.0749018395</v>
      </c>
      <c r="AE321" s="235">
        <f>AD321*(1+Driver_macroeconómicos_Agricult!T$8)</f>
        <v>1751045.2369912656</v>
      </c>
      <c r="AF321" s="235">
        <f>AE321*(1+Driver_macroeconómicos_Agricult!U$8)</f>
        <v>1768131.6002026729</v>
      </c>
      <c r="AG321" s="235">
        <f>AF321*(1+Driver_macroeconómicos_Agricult!V$8)</f>
        <v>1784897.7048338216</v>
      </c>
      <c r="AH321" s="235">
        <f>AG321*(1+Driver_macroeconómicos_Agricult!W$8)</f>
        <v>1801329.224865637</v>
      </c>
      <c r="AI321" s="235">
        <f>AH321*(1+Driver_macroeconómicos_Agricult!X$8)</f>
        <v>1817420.4807520953</v>
      </c>
      <c r="AJ321" s="235">
        <f>AI321*(1+Driver_macroeconómicos_Agricult!Y$8)</f>
        <v>1833160.876325242</v>
      </c>
      <c r="AK321" s="235">
        <f>AJ321*(1+Driver_macroeconómicos_Agricult!Z$8)</f>
        <v>1848543.0366521806</v>
      </c>
      <c r="AL321" s="235">
        <f>AK321*(1+Driver_macroeconómicos_Agricult!AA$8)</f>
        <v>1863565.0120380076</v>
      </c>
      <c r="AM321" s="235">
        <f>AL321*(1+Driver_macroeconómicos_Agricult!AB$8)</f>
        <v>1878221.6315527614</v>
      </c>
      <c r="AN321" s="235">
        <f>AM321*(1+Driver_macroeconómicos_Agricult!AC$8)</f>
        <v>1892503.8248766726</v>
      </c>
      <c r="AO321" s="235">
        <f>AN321*(1+Driver_macroeconómicos_Agricult!AD$8)</f>
        <v>1906409.7270841813</v>
      </c>
      <c r="AP321" s="235">
        <f>AO321*(1+Driver_macroeconómicos_Agricult!AE$8)</f>
        <v>1919930.2678555185</v>
      </c>
      <c r="AQ321" s="235">
        <f>AP321*(1+Driver_macroeconómicos_Agricult!AF$8)</f>
        <v>1933063.158418406</v>
      </c>
      <c r="AR321" s="235">
        <f>AQ321*(1+Driver_macroeconómicos_Agricult!AG$8)</f>
        <v>1945810.5180064347</v>
      </c>
      <c r="AS321" s="235">
        <f>AR321*(1+Driver_macroeconómicos_Agricult!AH$8)</f>
        <v>1958161.4113742751</v>
      </c>
      <c r="AT321" s="235">
        <f>AS321*(1+Driver_macroeconómicos_Agricult!AI$8)</f>
        <v>1970119.1445263294</v>
      </c>
      <c r="AU321" s="235">
        <f>AT321*(1+Driver_macroeconómicos_Agricult!AJ$8)</f>
        <v>1981687.8711604357</v>
      </c>
      <c r="AV321" s="235">
        <f>AU321*(1+Driver_macroeconómicos_Agricult!AK$8)</f>
        <v>1992859.7896227357</v>
      </c>
      <c r="AW321" s="235">
        <f>AV321*(1+Driver_macroeconómicos_Agricult!AL$8)</f>
        <v>2003627.3297932826</v>
      </c>
      <c r="AX321" s="235">
        <f>AW321*(1+Driver_macroeconómicos_Agricult!AM$8)</f>
        <v>2013983.1616012382</v>
      </c>
      <c r="AY321" s="235">
        <f>AX321*(1+Driver_macroeconómicos_Agricult!AN$8)</f>
        <v>2023920.2033105881</v>
      </c>
      <c r="AZ321" s="235">
        <f>AY321*(1+Driver_macroeconómicos_Agricult!AO$8)</f>
        <v>2033431.6295633172</v>
      </c>
      <c r="BA321" s="235">
        <f>AZ321*(1+Driver_macroeconómicos_Agricult!AP$8)</f>
        <v>2042510.8791673032</v>
      </c>
      <c r="BB321" s="235">
        <f>BA321*(1+Driver_macroeconómicos_Agricult!AQ$8)</f>
        <v>2051151.6626165332</v>
      </c>
      <c r="BC321" s="235">
        <f>BB321*(1+Driver_macroeconómicos_Agricult!AR$8)</f>
        <v>2059347.9693316089</v>
      </c>
      <c r="BD321" s="235">
        <f>BC321*(1+Driver_macroeconómicos_Agricult!AS$8)</f>
        <v>2067094.0746089132</v>
      </c>
      <c r="BE321" s="235">
        <f>BD321*(1+Driver_macroeconómicos_Agricult!AT$8)</f>
        <v>2074384.5462672191</v>
      </c>
      <c r="BF321" s="235">
        <f>BE321*(1+Driver_macroeconómicos_Agricult!AU$8)</f>
        <v>2081214.2509809672</v>
      </c>
      <c r="BG321" s="235">
        <f>BF321*(1+Driver_macroeconómicos_Agricult!AV$8)</f>
        <v>2087578.3602899015</v>
      </c>
      <c r="BH321" s="235">
        <f>BG321*(1+Driver_macroeconómicos_Agricult!AW$8)</f>
        <v>2093472.3562752381</v>
      </c>
      <c r="BI321" s="235">
        <f>BH321*(1+Driver_macroeconómicos_Agricult!AX$8)</f>
        <v>2098892.036893046</v>
      </c>
      <c r="BJ321" s="235">
        <f>BI321*(1+Driver_macroeconómicos_Agricult!AY$8)</f>
        <v>2103833.5209560478</v>
      </c>
      <c r="BK321" s="235">
        <f>BJ321*(1+Driver_macroeconómicos_Agricult!AZ$8)</f>
        <v>2108293.2527555916</v>
      </c>
      <c r="BL321" s="235">
        <f>BK321*(1+Driver_macroeconómicos_Agricult!BA$8)</f>
        <v>2112268.0063161007</v>
      </c>
      <c r="BM321" s="235">
        <f>BL321*(1+Driver_macroeconómicos_Agricult!BB$8)</f>
        <v>2115754.8892748947</v>
      </c>
      <c r="BN321" s="235">
        <f>BM321*(1+Driver_macroeconómicos_Agricult!BC$8)</f>
        <v>2118751.3463808661</v>
      </c>
      <c r="BO321" s="235">
        <f>BN321*(1+Driver_macroeconómicos_Agricult!BD$8)</f>
        <v>2121255.1626061001</v>
      </c>
      <c r="BP321" s="231"/>
    </row>
    <row r="322" spans="1:96" ht="14.25" customHeight="1" x14ac:dyDescent="0.3">
      <c r="A322" s="960"/>
      <c r="B322" s="960"/>
      <c r="C322" s="960"/>
      <c r="D322" s="944"/>
      <c r="E322" s="232"/>
      <c r="F322" s="233" t="s">
        <v>534</v>
      </c>
      <c r="G322" s="228"/>
      <c r="H322" s="228"/>
      <c r="I322" s="228"/>
      <c r="J322" s="228"/>
      <c r="K322" s="228"/>
      <c r="L322" s="229"/>
      <c r="M322" s="230"/>
      <c r="N322" s="230"/>
      <c r="O322" s="230"/>
      <c r="P322" s="230"/>
      <c r="Q322" s="230"/>
      <c r="R322" s="230"/>
      <c r="S322" s="230"/>
      <c r="T322" s="230"/>
      <c r="U322" s="230"/>
      <c r="V322" s="230"/>
      <c r="W322" s="230"/>
      <c r="X322" s="230"/>
      <c r="Y322" s="230"/>
      <c r="Z322" s="230"/>
      <c r="AA322" s="230"/>
      <c r="AB322" s="230"/>
      <c r="AC322" s="230"/>
      <c r="AD322" s="230"/>
      <c r="AE322" s="230"/>
      <c r="AF322" s="230"/>
      <c r="AG322" s="230"/>
      <c r="AH322" s="230"/>
      <c r="AI322" s="230"/>
      <c r="AJ322" s="230"/>
      <c r="AK322" s="230"/>
      <c r="AL322" s="230"/>
      <c r="AM322" s="230"/>
      <c r="AN322" s="230"/>
      <c r="AO322" s="230"/>
      <c r="AP322" s="230"/>
      <c r="AQ322" s="230"/>
      <c r="AR322" s="230"/>
      <c r="AS322" s="230"/>
      <c r="AT322" s="230"/>
      <c r="AU322" s="230"/>
      <c r="AV322" s="230"/>
      <c r="AW322" s="230"/>
      <c r="AX322" s="230"/>
      <c r="AY322" s="230"/>
      <c r="AZ322" s="230"/>
      <c r="BA322" s="230"/>
      <c r="BB322" s="230"/>
      <c r="BC322" s="230"/>
      <c r="BD322" s="230"/>
      <c r="BE322" s="230"/>
      <c r="BF322" s="230"/>
      <c r="BG322" s="230"/>
      <c r="BH322" s="230"/>
      <c r="BI322" s="230"/>
      <c r="BJ322" s="230"/>
      <c r="BK322" s="230"/>
      <c r="BL322" s="230"/>
      <c r="BM322" s="230"/>
      <c r="BN322" s="230"/>
      <c r="BO322" s="230"/>
      <c r="BP322" s="231"/>
    </row>
    <row r="323" spans="1:96" ht="13.5" customHeight="1" x14ac:dyDescent="0.35">
      <c r="A323" s="1197" t="s">
        <v>535</v>
      </c>
      <c r="B323" s="966"/>
      <c r="C323" s="966"/>
      <c r="D323" s="944" t="s">
        <v>367</v>
      </c>
      <c r="E323" s="232"/>
      <c r="F323" s="234" t="s">
        <v>528</v>
      </c>
      <c r="G323" s="238">
        <v>0</v>
      </c>
      <c r="H323" s="238">
        <v>0</v>
      </c>
      <c r="I323" s="234">
        <v>4525660</v>
      </c>
      <c r="J323" s="234">
        <v>4447754</v>
      </c>
      <c r="K323" s="234">
        <v>4508418</v>
      </c>
      <c r="L323" s="230">
        <v>4254684</v>
      </c>
      <c r="M323" s="230">
        <v>4307072</v>
      </c>
      <c r="N323" s="230">
        <v>4312124</v>
      </c>
      <c r="O323" s="230">
        <v>4300381</v>
      </c>
      <c r="P323" s="230">
        <v>4382736</v>
      </c>
      <c r="Q323" s="230">
        <v>4520881</v>
      </c>
      <c r="R323" s="230">
        <v>4009035</v>
      </c>
      <c r="S323" s="230"/>
      <c r="T323" s="230"/>
      <c r="U323" s="230"/>
      <c r="V323" s="230"/>
      <c r="W323" s="230"/>
      <c r="X323" s="230"/>
      <c r="Y323" s="230"/>
      <c r="Z323" s="230"/>
      <c r="AA323" s="230"/>
      <c r="AB323" s="230"/>
      <c r="AC323" s="230"/>
      <c r="AD323" s="230"/>
      <c r="AE323" s="230"/>
      <c r="AF323" s="230"/>
      <c r="AG323" s="230"/>
      <c r="AH323" s="230"/>
      <c r="AI323" s="230"/>
      <c r="AJ323" s="230"/>
      <c r="AK323" s="230"/>
      <c r="AL323" s="230"/>
      <c r="AM323" s="230"/>
      <c r="AN323" s="230"/>
      <c r="AO323" s="230"/>
      <c r="AP323" s="230"/>
      <c r="AQ323" s="230"/>
      <c r="AR323" s="230"/>
      <c r="AS323" s="230"/>
      <c r="AT323" s="230"/>
      <c r="AU323" s="230"/>
      <c r="AV323" s="230"/>
      <c r="AW323" s="230"/>
      <c r="AX323" s="230"/>
      <c r="AY323" s="230"/>
      <c r="AZ323" s="230"/>
      <c r="BA323" s="230"/>
      <c r="BB323" s="230"/>
      <c r="BC323" s="230"/>
      <c r="BD323" s="230"/>
      <c r="BE323" s="230"/>
      <c r="BF323" s="230"/>
      <c r="BG323" s="230"/>
      <c r="BH323" s="230"/>
      <c r="BI323" s="230"/>
      <c r="BJ323" s="230"/>
      <c r="BK323" s="230"/>
      <c r="BL323" s="230"/>
      <c r="BM323" s="230"/>
      <c r="BN323" s="230"/>
      <c r="BO323" s="230"/>
      <c r="BP323" s="23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row>
    <row r="324" spans="1:96" ht="14.25" customHeight="1" x14ac:dyDescent="0.3">
      <c r="A324" s="982"/>
      <c r="D324" s="944" t="s">
        <v>367</v>
      </c>
      <c r="E324" s="232"/>
      <c r="F324" s="234" t="s">
        <v>529</v>
      </c>
      <c r="G324" s="238">
        <v>0</v>
      </c>
      <c r="H324" s="238">
        <v>0</v>
      </c>
      <c r="I324" s="238">
        <v>0</v>
      </c>
      <c r="J324" s="238">
        <v>0</v>
      </c>
      <c r="K324" s="238">
        <v>0</v>
      </c>
      <c r="L324" s="230">
        <v>585670</v>
      </c>
      <c r="M324" s="230">
        <v>596430</v>
      </c>
      <c r="N324" s="230">
        <v>635955</v>
      </c>
      <c r="O324" s="230">
        <v>595211</v>
      </c>
      <c r="P324" s="230">
        <v>544000</v>
      </c>
      <c r="Q324" s="230">
        <v>702532</v>
      </c>
      <c r="R324" s="230">
        <v>769806</v>
      </c>
      <c r="S324" s="230"/>
      <c r="T324" s="230"/>
      <c r="U324" s="230"/>
      <c r="V324" s="230"/>
      <c r="W324" s="230"/>
      <c r="X324" s="230"/>
      <c r="Y324" s="230"/>
      <c r="Z324" s="230"/>
      <c r="AA324" s="230"/>
      <c r="AB324" s="230"/>
      <c r="AC324" s="230"/>
      <c r="AD324" s="230"/>
      <c r="AE324" s="230"/>
      <c r="AF324" s="230"/>
      <c r="AG324" s="230"/>
      <c r="AH324" s="230"/>
      <c r="AI324" s="230"/>
      <c r="AJ324" s="230"/>
      <c r="AK324" s="230"/>
      <c r="AL324" s="230"/>
      <c r="AM324" s="230"/>
      <c r="AN324" s="230"/>
      <c r="AO324" s="230"/>
      <c r="AP324" s="230"/>
      <c r="AQ324" s="230"/>
      <c r="AR324" s="230"/>
      <c r="AS324" s="230"/>
      <c r="AT324" s="230"/>
      <c r="AU324" s="230"/>
      <c r="AV324" s="230"/>
      <c r="AW324" s="230"/>
      <c r="AX324" s="230"/>
      <c r="AY324" s="230"/>
      <c r="AZ324" s="230"/>
      <c r="BA324" s="230"/>
      <c r="BB324" s="230"/>
      <c r="BC324" s="230"/>
      <c r="BD324" s="230"/>
      <c r="BE324" s="230"/>
      <c r="BF324" s="230"/>
      <c r="BG324" s="230"/>
      <c r="BH324" s="230"/>
      <c r="BI324" s="230"/>
      <c r="BJ324" s="230"/>
      <c r="BK324" s="230"/>
      <c r="BL324" s="230"/>
      <c r="BM324" s="230"/>
      <c r="BN324" s="230"/>
      <c r="BO324" s="230"/>
      <c r="BP324" s="231"/>
    </row>
    <row r="325" spans="1:96" ht="14.25" customHeight="1" x14ac:dyDescent="0.3">
      <c r="A325" s="982"/>
      <c r="D325" s="944" t="s">
        <v>367</v>
      </c>
      <c r="E325" s="232"/>
      <c r="F325" s="234" t="s">
        <v>531</v>
      </c>
      <c r="G325" s="238">
        <v>0</v>
      </c>
      <c r="H325" s="238">
        <v>0</v>
      </c>
      <c r="I325" s="238">
        <v>0</v>
      </c>
      <c r="J325" s="238">
        <v>0</v>
      </c>
      <c r="K325" s="238">
        <v>0</v>
      </c>
      <c r="L325" s="230">
        <v>225656</v>
      </c>
      <c r="M325" s="230">
        <v>302021</v>
      </c>
      <c r="N325" s="230">
        <v>290500</v>
      </c>
      <c r="O325" s="230">
        <v>289211</v>
      </c>
      <c r="P325" s="230">
        <v>340137</v>
      </c>
      <c r="Q325" s="230">
        <v>373999</v>
      </c>
      <c r="R325" s="230">
        <v>385061</v>
      </c>
      <c r="S325" s="230"/>
      <c r="T325" s="230"/>
      <c r="U325" s="230"/>
      <c r="V325" s="230"/>
      <c r="W325" s="230"/>
      <c r="X325" s="230"/>
      <c r="Y325" s="230"/>
      <c r="Z325" s="230"/>
      <c r="AA325" s="230"/>
      <c r="AB325" s="230"/>
      <c r="AC325" s="230"/>
      <c r="AD325" s="230"/>
      <c r="AE325" s="230"/>
      <c r="AF325" s="230"/>
      <c r="AG325" s="230"/>
      <c r="AH325" s="230"/>
      <c r="AI325" s="230"/>
      <c r="AJ325" s="230"/>
      <c r="AK325" s="230"/>
      <c r="AL325" s="230"/>
      <c r="AM325" s="230"/>
      <c r="AN325" s="230"/>
      <c r="AO325" s="230"/>
      <c r="AP325" s="230"/>
      <c r="AQ325" s="230"/>
      <c r="AR325" s="230"/>
      <c r="AS325" s="230"/>
      <c r="AT325" s="230"/>
      <c r="AU325" s="230"/>
      <c r="AV325" s="230"/>
      <c r="AW325" s="230"/>
      <c r="AX325" s="230"/>
      <c r="AY325" s="230"/>
      <c r="AZ325" s="230"/>
      <c r="BA325" s="230"/>
      <c r="BB325" s="230"/>
      <c r="BC325" s="230"/>
      <c r="BD325" s="230"/>
      <c r="BE325" s="230"/>
      <c r="BF325" s="230"/>
      <c r="BG325" s="230"/>
      <c r="BH325" s="230"/>
      <c r="BI325" s="230"/>
      <c r="BJ325" s="230"/>
      <c r="BK325" s="230"/>
      <c r="BL325" s="230"/>
      <c r="BM325" s="230"/>
      <c r="BN325" s="230"/>
      <c r="BO325" s="230"/>
      <c r="BP325" s="231"/>
    </row>
    <row r="326" spans="1:96" ht="14.25" customHeight="1" x14ac:dyDescent="0.3">
      <c r="A326" s="982"/>
      <c r="D326" s="944" t="s">
        <v>367</v>
      </c>
      <c r="E326" s="232"/>
      <c r="F326" s="234" t="s">
        <v>532</v>
      </c>
      <c r="G326" s="238">
        <v>0</v>
      </c>
      <c r="H326" s="238">
        <v>0</v>
      </c>
      <c r="I326" s="238">
        <v>0</v>
      </c>
      <c r="J326" s="238">
        <v>0</v>
      </c>
      <c r="K326" s="238">
        <v>0</v>
      </c>
      <c r="L326" s="230">
        <v>1346546</v>
      </c>
      <c r="M326" s="230">
        <v>1331746</v>
      </c>
      <c r="N326" s="230">
        <v>1334601</v>
      </c>
      <c r="O326" s="230">
        <v>1331356</v>
      </c>
      <c r="P326" s="230">
        <v>1353599</v>
      </c>
      <c r="Q326" s="230">
        <v>1302004</v>
      </c>
      <c r="R326" s="230">
        <v>1306474</v>
      </c>
      <c r="S326" s="230"/>
      <c r="T326" s="230"/>
      <c r="U326" s="230"/>
      <c r="V326" s="230"/>
      <c r="W326" s="230"/>
      <c r="X326" s="230"/>
      <c r="Y326" s="230"/>
      <c r="Z326" s="230"/>
      <c r="AA326" s="230"/>
      <c r="AB326" s="230"/>
      <c r="AC326" s="230"/>
      <c r="AD326" s="230"/>
      <c r="AE326" s="230"/>
      <c r="AF326" s="230"/>
      <c r="AG326" s="230"/>
      <c r="AH326" s="230"/>
      <c r="AI326" s="230"/>
      <c r="AJ326" s="230"/>
      <c r="AK326" s="230"/>
      <c r="AL326" s="230"/>
      <c r="AM326" s="230"/>
      <c r="AN326" s="230"/>
      <c r="AO326" s="230"/>
      <c r="AP326" s="230"/>
      <c r="AQ326" s="230"/>
      <c r="AR326" s="230"/>
      <c r="AS326" s="230"/>
      <c r="AT326" s="230"/>
      <c r="AU326" s="230"/>
      <c r="AV326" s="230"/>
      <c r="AW326" s="230"/>
      <c r="AX326" s="230"/>
      <c r="AY326" s="230"/>
      <c r="AZ326" s="230"/>
      <c r="BA326" s="230"/>
      <c r="BB326" s="230"/>
      <c r="BC326" s="230"/>
      <c r="BD326" s="230"/>
      <c r="BE326" s="230"/>
      <c r="BF326" s="230"/>
      <c r="BG326" s="230"/>
      <c r="BH326" s="230"/>
      <c r="BI326" s="230"/>
      <c r="BJ326" s="230"/>
      <c r="BK326" s="230"/>
      <c r="BL326" s="230"/>
      <c r="BM326" s="230"/>
      <c r="BN326" s="230"/>
      <c r="BO326" s="230"/>
      <c r="BP326" s="231"/>
    </row>
    <row r="327" spans="1:96" ht="14.25" customHeight="1" x14ac:dyDescent="0.3">
      <c r="A327" s="982"/>
      <c r="D327" s="944" t="s">
        <v>367</v>
      </c>
      <c r="E327" s="232"/>
      <c r="F327" s="234" t="s">
        <v>533</v>
      </c>
      <c r="G327" s="238">
        <v>0</v>
      </c>
      <c r="H327" s="238">
        <v>0</v>
      </c>
      <c r="I327" s="238">
        <v>0</v>
      </c>
      <c r="J327" s="238">
        <v>0</v>
      </c>
      <c r="K327" s="238">
        <v>0</v>
      </c>
      <c r="L327" s="230">
        <v>2096812</v>
      </c>
      <c r="M327" s="230">
        <v>2076875</v>
      </c>
      <c r="N327" s="230">
        <v>2051068</v>
      </c>
      <c r="O327" s="230">
        <v>2084603</v>
      </c>
      <c r="P327" s="230">
        <v>2145000</v>
      </c>
      <c r="Q327" s="230">
        <v>2142346</v>
      </c>
      <c r="R327" s="230">
        <v>1547694</v>
      </c>
      <c r="S327" s="230"/>
      <c r="T327" s="230"/>
      <c r="U327" s="230"/>
      <c r="V327" s="230"/>
      <c r="W327" s="230"/>
      <c r="X327" s="230"/>
      <c r="Y327" s="230"/>
      <c r="Z327" s="230"/>
      <c r="AA327" s="230"/>
      <c r="AB327" s="230"/>
      <c r="AC327" s="230"/>
      <c r="AD327" s="230"/>
      <c r="AE327" s="230"/>
      <c r="AF327" s="230"/>
      <c r="AG327" s="230"/>
      <c r="AH327" s="230"/>
      <c r="AI327" s="230"/>
      <c r="AJ327" s="230"/>
      <c r="AK327" s="230"/>
      <c r="AL327" s="230"/>
      <c r="AM327" s="230"/>
      <c r="AN327" s="230"/>
      <c r="AO327" s="230"/>
      <c r="AP327" s="230"/>
      <c r="AQ327" s="230"/>
      <c r="AR327" s="230"/>
      <c r="AS327" s="230"/>
      <c r="AT327" s="230"/>
      <c r="AU327" s="230"/>
      <c r="AV327" s="230"/>
      <c r="AW327" s="230"/>
      <c r="AX327" s="230"/>
      <c r="AY327" s="230"/>
      <c r="AZ327" s="230"/>
      <c r="BA327" s="230"/>
      <c r="BB327" s="230"/>
      <c r="BC327" s="230"/>
      <c r="BD327" s="230"/>
      <c r="BE327" s="230"/>
      <c r="BF327" s="230"/>
      <c r="BG327" s="230"/>
      <c r="BH327" s="230"/>
      <c r="BI327" s="230"/>
      <c r="BJ327" s="230"/>
      <c r="BK327" s="230"/>
      <c r="BL327" s="230"/>
      <c r="BM327" s="230"/>
      <c r="BN327" s="230"/>
      <c r="BO327" s="230"/>
      <c r="BP327" s="231"/>
    </row>
    <row r="328" spans="1:96" ht="14.25" customHeight="1" x14ac:dyDescent="0.3">
      <c r="A328" s="960"/>
      <c r="B328" s="960"/>
      <c r="C328" s="960"/>
      <c r="D328" s="944"/>
      <c r="E328" s="232"/>
      <c r="F328" s="233" t="s">
        <v>536</v>
      </c>
      <c r="G328" s="228"/>
      <c r="H328" s="228"/>
      <c r="I328" s="228"/>
      <c r="J328" s="228"/>
      <c r="K328" s="228"/>
      <c r="L328" s="229"/>
      <c r="M328" s="230"/>
      <c r="N328" s="230"/>
      <c r="O328" s="230"/>
      <c r="P328" s="230"/>
      <c r="Q328" s="230"/>
      <c r="R328" s="230"/>
      <c r="S328" s="230"/>
      <c r="T328" s="230"/>
      <c r="U328" s="230"/>
      <c r="V328" s="230"/>
      <c r="W328" s="230"/>
      <c r="X328" s="230"/>
      <c r="Y328" s="230"/>
      <c r="Z328" s="230"/>
      <c r="AA328" s="230"/>
      <c r="AB328" s="230"/>
      <c r="AC328" s="230"/>
      <c r="AD328" s="230"/>
      <c r="AE328" s="230"/>
      <c r="AF328" s="230"/>
      <c r="AG328" s="230"/>
      <c r="AH328" s="230"/>
      <c r="AI328" s="230"/>
      <c r="AJ328" s="230"/>
      <c r="AK328" s="230"/>
      <c r="AL328" s="230"/>
      <c r="AM328" s="230"/>
      <c r="AN328" s="230"/>
      <c r="AO328" s="230"/>
      <c r="AP328" s="230"/>
      <c r="AQ328" s="230"/>
      <c r="AR328" s="230"/>
      <c r="AS328" s="230"/>
      <c r="AT328" s="230"/>
      <c r="AU328" s="230"/>
      <c r="AV328" s="230"/>
      <c r="AW328" s="230"/>
      <c r="AX328" s="230"/>
      <c r="AY328" s="230"/>
      <c r="AZ328" s="230"/>
      <c r="BA328" s="230"/>
      <c r="BB328" s="230"/>
      <c r="BC328" s="230"/>
      <c r="BD328" s="230"/>
      <c r="BE328" s="230"/>
      <c r="BF328" s="230"/>
      <c r="BG328" s="230"/>
      <c r="BH328" s="230"/>
      <c r="BI328" s="230"/>
      <c r="BJ328" s="230"/>
      <c r="BK328" s="230"/>
      <c r="BL328" s="230"/>
      <c r="BM328" s="230"/>
      <c r="BN328" s="230"/>
      <c r="BO328" s="230"/>
      <c r="BP328" s="231"/>
    </row>
    <row r="329" spans="1:96" ht="14.25" customHeight="1" x14ac:dyDescent="0.3">
      <c r="A329" s="56"/>
      <c r="B329" s="56"/>
      <c r="C329" s="56"/>
      <c r="D329" s="57">
        <f t="shared" ref="D329:D331" si="326">AVERAGE(L329:R329)</f>
        <v>7.3451926606512258E-2</v>
      </c>
      <c r="E329" s="232"/>
      <c r="F329" s="234" t="s">
        <v>531</v>
      </c>
      <c r="G329" s="238">
        <v>0</v>
      </c>
      <c r="H329" s="238">
        <v>0</v>
      </c>
      <c r="I329" s="238">
        <v>0</v>
      </c>
      <c r="J329" s="238">
        <v>0</v>
      </c>
      <c r="K329" s="238">
        <v>0</v>
      </c>
      <c r="L329" s="239">
        <f t="shared" ref="L329:R329" si="327">L325/L$323</f>
        <v>5.3037076314010632E-2</v>
      </c>
      <c r="M329" s="239">
        <f t="shared" si="327"/>
        <v>7.0122115441766469E-2</v>
      </c>
      <c r="N329" s="239">
        <f t="shared" si="327"/>
        <v>6.7368192565890966E-2</v>
      </c>
      <c r="O329" s="239">
        <f t="shared" si="327"/>
        <v>6.7252413216410359E-2</v>
      </c>
      <c r="P329" s="239">
        <f t="shared" si="327"/>
        <v>7.7608370661614121E-2</v>
      </c>
      <c r="Q329" s="239">
        <f t="shared" si="327"/>
        <v>8.2727017145551945E-2</v>
      </c>
      <c r="R329" s="239">
        <f t="shared" si="327"/>
        <v>9.604830090034136E-2</v>
      </c>
      <c r="S329" s="240"/>
      <c r="T329" s="230"/>
      <c r="U329" s="230"/>
      <c r="V329" s="230"/>
      <c r="W329" s="230"/>
      <c r="X329" s="230"/>
      <c r="Y329" s="230"/>
      <c r="Z329" s="230"/>
      <c r="AA329" s="230"/>
      <c r="AB329" s="230"/>
      <c r="AC329" s="230"/>
      <c r="AD329" s="230"/>
      <c r="AE329" s="230"/>
      <c r="AF329" s="230"/>
      <c r="AG329" s="230"/>
      <c r="AH329" s="230"/>
      <c r="AI329" s="230"/>
      <c r="AJ329" s="230"/>
      <c r="AK329" s="230"/>
      <c r="AL329" s="230"/>
      <c r="AM329" s="230"/>
      <c r="AN329" s="230"/>
      <c r="AO329" s="230"/>
      <c r="AP329" s="230"/>
      <c r="AQ329" s="230"/>
      <c r="AR329" s="230"/>
      <c r="AS329" s="230"/>
      <c r="AT329" s="230"/>
      <c r="AU329" s="230"/>
      <c r="AV329" s="230"/>
      <c r="AW329" s="230"/>
      <c r="AX329" s="230"/>
      <c r="AY329" s="230"/>
      <c r="AZ329" s="230"/>
      <c r="BA329" s="230"/>
      <c r="BB329" s="230"/>
      <c r="BC329" s="230"/>
      <c r="BD329" s="230"/>
      <c r="BE329" s="230"/>
      <c r="BF329" s="230"/>
      <c r="BG329" s="230"/>
      <c r="BH329" s="230"/>
      <c r="BI329" s="230"/>
      <c r="BJ329" s="230"/>
      <c r="BK329" s="230"/>
      <c r="BL329" s="230"/>
      <c r="BM329" s="230"/>
      <c r="BN329" s="230"/>
      <c r="BO329" s="230"/>
      <c r="BP329" s="231"/>
    </row>
    <row r="330" spans="1:96" ht="14.25" customHeight="1" x14ac:dyDescent="0.3">
      <c r="A330" s="56"/>
      <c r="B330" s="56"/>
      <c r="C330" s="56"/>
      <c r="D330" s="57">
        <f t="shared" si="326"/>
        <v>0.30964336046428326</v>
      </c>
      <c r="E330" s="232"/>
      <c r="F330" s="234" t="s">
        <v>532</v>
      </c>
      <c r="G330" s="238">
        <v>0</v>
      </c>
      <c r="H330" s="238">
        <v>0</v>
      </c>
      <c r="I330" s="238">
        <v>0</v>
      </c>
      <c r="J330" s="238">
        <v>0</v>
      </c>
      <c r="K330" s="238">
        <v>0</v>
      </c>
      <c r="L330" s="239">
        <f t="shared" ref="L330:R330" si="328">L326/L$323</f>
        <v>0.31648554863298894</v>
      </c>
      <c r="M330" s="239">
        <f t="shared" si="328"/>
        <v>0.30919984620642516</v>
      </c>
      <c r="N330" s="239">
        <f t="shared" si="328"/>
        <v>0.30949968043590581</v>
      </c>
      <c r="O330" s="239">
        <f t="shared" si="328"/>
        <v>0.30959024328309515</v>
      </c>
      <c r="P330" s="239">
        <f t="shared" si="328"/>
        <v>0.3088479433851366</v>
      </c>
      <c r="Q330" s="239">
        <f t="shared" si="328"/>
        <v>0.28799784820701985</v>
      </c>
      <c r="R330" s="239">
        <f t="shared" si="328"/>
        <v>0.32588241309941168</v>
      </c>
      <c r="S330" s="240"/>
      <c r="T330" s="230"/>
      <c r="U330" s="230"/>
      <c r="V330" s="230"/>
      <c r="W330" s="230"/>
      <c r="X330" s="230"/>
      <c r="Y330" s="230"/>
      <c r="Z330" s="230"/>
      <c r="AA330" s="230"/>
      <c r="AB330" s="230"/>
      <c r="AC330" s="230"/>
      <c r="AD330" s="230"/>
      <c r="AE330" s="230"/>
      <c r="AF330" s="230"/>
      <c r="AG330" s="230"/>
      <c r="AH330" s="230"/>
      <c r="AI330" s="230"/>
      <c r="AJ330" s="230"/>
      <c r="AK330" s="230"/>
      <c r="AL330" s="230"/>
      <c r="AM330" s="230"/>
      <c r="AN330" s="230"/>
      <c r="AO330" s="230"/>
      <c r="AP330" s="230"/>
      <c r="AQ330" s="230"/>
      <c r="AR330" s="230"/>
      <c r="AS330" s="230"/>
      <c r="AT330" s="230"/>
      <c r="AU330" s="230"/>
      <c r="AV330" s="230"/>
      <c r="AW330" s="230"/>
      <c r="AX330" s="230"/>
      <c r="AY330" s="230"/>
      <c r="AZ330" s="230"/>
      <c r="BA330" s="230"/>
      <c r="BB330" s="230"/>
      <c r="BC330" s="230"/>
      <c r="BD330" s="230"/>
      <c r="BE330" s="230"/>
      <c r="BF330" s="230"/>
      <c r="BG330" s="230"/>
      <c r="BH330" s="230"/>
      <c r="BI330" s="230"/>
      <c r="BJ330" s="230"/>
      <c r="BK330" s="230"/>
      <c r="BL330" s="230"/>
      <c r="BM330" s="230"/>
      <c r="BN330" s="230"/>
      <c r="BO330" s="230"/>
      <c r="BP330" s="231"/>
    </row>
    <row r="331" spans="1:96" ht="14.25" customHeight="1" x14ac:dyDescent="0.3">
      <c r="A331" s="56"/>
      <c r="B331" s="56"/>
      <c r="C331" s="56"/>
      <c r="D331" s="57">
        <f t="shared" si="326"/>
        <v>0.46925360031883195</v>
      </c>
      <c r="E331" s="232"/>
      <c r="F331" s="234" t="s">
        <v>533</v>
      </c>
      <c r="G331" s="238">
        <v>0</v>
      </c>
      <c r="H331" s="238">
        <v>0</v>
      </c>
      <c r="I331" s="238">
        <v>0</v>
      </c>
      <c r="J331" s="238">
        <v>0</v>
      </c>
      <c r="K331" s="238">
        <v>0</v>
      </c>
      <c r="L331" s="239">
        <f t="shared" ref="L331:R331" si="329">L327/L$323</f>
        <v>0.49282437896680459</v>
      </c>
      <c r="M331" s="239">
        <f t="shared" si="329"/>
        <v>0.48220113339177983</v>
      </c>
      <c r="N331" s="239">
        <f t="shared" si="329"/>
        <v>0.47565144230546247</v>
      </c>
      <c r="O331" s="239">
        <f t="shared" si="329"/>
        <v>0.48474844438202103</v>
      </c>
      <c r="P331" s="239">
        <f t="shared" si="329"/>
        <v>0.48942030731488279</v>
      </c>
      <c r="Q331" s="239">
        <f t="shared" si="329"/>
        <v>0.47387798971041262</v>
      </c>
      <c r="R331" s="239">
        <f t="shared" si="329"/>
        <v>0.38605150616046008</v>
      </c>
      <c r="S331" s="240"/>
      <c r="T331" s="230"/>
      <c r="U331" s="230"/>
      <c r="V331" s="230"/>
      <c r="W331" s="230"/>
      <c r="X331" s="230"/>
      <c r="Y331" s="230"/>
      <c r="Z331" s="230"/>
      <c r="AA331" s="230"/>
      <c r="AB331" s="230"/>
      <c r="AC331" s="230"/>
      <c r="AD331" s="230"/>
      <c r="AE331" s="230"/>
      <c r="AF331" s="230"/>
      <c r="AG331" s="230"/>
      <c r="AH331" s="230"/>
      <c r="AI331" s="230"/>
      <c r="AJ331" s="230"/>
      <c r="AK331" s="230"/>
      <c r="AL331" s="230"/>
      <c r="AM331" s="230"/>
      <c r="AN331" s="230"/>
      <c r="AO331" s="230"/>
      <c r="AP331" s="230"/>
      <c r="AQ331" s="230"/>
      <c r="AR331" s="230"/>
      <c r="AS331" s="230"/>
      <c r="AT331" s="230"/>
      <c r="AU331" s="230"/>
      <c r="AV331" s="230"/>
      <c r="AW331" s="230"/>
      <c r="AX331" s="230"/>
      <c r="AY331" s="230"/>
      <c r="AZ331" s="230"/>
      <c r="BA331" s="230"/>
      <c r="BB331" s="230"/>
      <c r="BC331" s="230"/>
      <c r="BD331" s="230"/>
      <c r="BE331" s="230"/>
      <c r="BF331" s="230"/>
      <c r="BG331" s="230"/>
      <c r="BH331" s="230"/>
      <c r="BI331" s="230"/>
      <c r="BJ331" s="230"/>
      <c r="BK331" s="230"/>
      <c r="BL331" s="230"/>
      <c r="BM331" s="230"/>
      <c r="BN331" s="230"/>
      <c r="BO331" s="230"/>
      <c r="BP331" s="231"/>
    </row>
    <row r="332" spans="1:96" ht="14.25" customHeight="1" x14ac:dyDescent="0.3">
      <c r="A332" s="960"/>
      <c r="B332" s="960"/>
      <c r="C332" s="960"/>
      <c r="D332" s="944"/>
      <c r="E332" s="226"/>
      <c r="F332" s="227" t="s">
        <v>537</v>
      </c>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c r="AE332" s="230"/>
      <c r="AF332" s="230"/>
      <c r="AG332" s="230"/>
      <c r="AH332" s="230"/>
      <c r="AI332" s="230"/>
      <c r="AJ332" s="230"/>
      <c r="AK332" s="230"/>
      <c r="AL332" s="230"/>
      <c r="AM332" s="230"/>
      <c r="AN332" s="230"/>
      <c r="AO332" s="230"/>
      <c r="AP332" s="230"/>
      <c r="AQ332" s="230"/>
      <c r="AR332" s="230"/>
      <c r="AS332" s="230"/>
      <c r="AT332" s="230"/>
      <c r="AU332" s="230"/>
      <c r="AV332" s="230"/>
      <c r="AW332" s="230"/>
      <c r="AX332" s="230"/>
      <c r="AY332" s="230"/>
      <c r="AZ332" s="230"/>
      <c r="BA332" s="230"/>
      <c r="BB332" s="230"/>
      <c r="BC332" s="230"/>
      <c r="BD332" s="230"/>
      <c r="BE332" s="230"/>
      <c r="BF332" s="230"/>
      <c r="BG332" s="230"/>
      <c r="BH332" s="230"/>
      <c r="BI332" s="230"/>
      <c r="BJ332" s="230"/>
      <c r="BK332" s="230"/>
      <c r="BL332" s="230"/>
      <c r="BM332" s="230"/>
      <c r="BN332" s="230"/>
      <c r="BO332" s="230"/>
      <c r="BP332" s="231"/>
    </row>
    <row r="333" spans="1:96" ht="14.25" customHeight="1" x14ac:dyDescent="0.3">
      <c r="A333" s="960"/>
      <c r="B333" s="960"/>
      <c r="C333" s="960"/>
      <c r="D333" s="944"/>
      <c r="E333" s="232"/>
      <c r="F333" s="233" t="s">
        <v>527</v>
      </c>
      <c r="G333" s="228"/>
      <c r="H333" s="228"/>
      <c r="I333" s="228"/>
      <c r="J333" s="228"/>
      <c r="K333" s="228"/>
      <c r="L333" s="229"/>
      <c r="M333" s="230"/>
      <c r="N333" s="230"/>
      <c r="O333" s="230"/>
      <c r="P333" s="230"/>
      <c r="Q333" s="230"/>
      <c r="R333" s="230"/>
      <c r="S333" s="230"/>
      <c r="T333" s="230"/>
      <c r="U333" s="230"/>
      <c r="V333" s="230"/>
      <c r="W333" s="230"/>
      <c r="X333" s="230"/>
      <c r="Y333" s="230"/>
      <c r="Z333" s="230"/>
      <c r="AA333" s="230"/>
      <c r="AB333" s="230"/>
      <c r="AC333" s="230"/>
      <c r="AD333" s="230"/>
      <c r="AE333" s="230"/>
      <c r="AF333" s="230"/>
      <c r="AG333" s="230"/>
      <c r="AH333" s="230"/>
      <c r="AI333" s="230"/>
      <c r="AJ333" s="230"/>
      <c r="AK333" s="230"/>
      <c r="AL333" s="230"/>
      <c r="AM333" s="230"/>
      <c r="AN333" s="230"/>
      <c r="AO333" s="230"/>
      <c r="AP333" s="230"/>
      <c r="AQ333" s="230"/>
      <c r="AR333" s="230"/>
      <c r="AS333" s="230"/>
      <c r="AT333" s="230"/>
      <c r="AU333" s="230"/>
      <c r="AV333" s="230"/>
      <c r="AW333" s="230"/>
      <c r="AX333" s="230"/>
      <c r="AY333" s="230"/>
      <c r="AZ333" s="230"/>
      <c r="BA333" s="230"/>
      <c r="BB333" s="230"/>
      <c r="BC333" s="230"/>
      <c r="BD333" s="230"/>
      <c r="BE333" s="230"/>
      <c r="BF333" s="230"/>
      <c r="BG333" s="230"/>
      <c r="BH333" s="230"/>
      <c r="BI333" s="230"/>
      <c r="BJ333" s="230"/>
      <c r="BK333" s="230"/>
      <c r="BL333" s="230"/>
      <c r="BM333" s="230"/>
      <c r="BN333" s="230"/>
      <c r="BO333" s="230"/>
      <c r="BP333" s="231"/>
    </row>
    <row r="334" spans="1:96" ht="13.5" customHeight="1" x14ac:dyDescent="0.35">
      <c r="A334" s="983" t="s">
        <v>6</v>
      </c>
      <c r="B334" s="944"/>
      <c r="C334" s="944"/>
      <c r="D334" s="944"/>
      <c r="E334" s="232"/>
      <c r="F334" s="234" t="s">
        <v>538</v>
      </c>
      <c r="G334" s="236">
        <v>1489761</v>
      </c>
      <c r="H334" s="236">
        <v>1831066</v>
      </c>
      <c r="I334" s="236">
        <v>1161932.1340866045</v>
      </c>
      <c r="J334" s="236">
        <v>1218537.5906119025</v>
      </c>
      <c r="K334" s="236">
        <v>1934161.9360749994</v>
      </c>
      <c r="L334" s="237">
        <v>1637661.6133549255</v>
      </c>
      <c r="M334" s="237">
        <v>1141243.8146573999</v>
      </c>
      <c r="N334" s="237">
        <v>1115472.7973779477</v>
      </c>
      <c r="O334" s="237">
        <v>1283337.7520061445</v>
      </c>
      <c r="P334" s="237">
        <v>1162685.2354139835</v>
      </c>
      <c r="Q334" s="237">
        <v>2495825.7799999914</v>
      </c>
      <c r="R334" s="237">
        <v>2485226.4569992716</v>
      </c>
      <c r="S334" s="235">
        <f>R334*(1+Driver_macroeconómicos_Agricult!H$8)</f>
        <v>2518635.9979334828</v>
      </c>
      <c r="T334" s="235">
        <f>S334*(1+Driver_macroeconómicos_Agricult!I$8)</f>
        <v>2551760.6334020202</v>
      </c>
      <c r="U334" s="235">
        <f>T334*(1+Driver_macroeconómicos_Agricult!J$8)</f>
        <v>2584580.6230261805</v>
      </c>
      <c r="V334" s="235">
        <f>U334*(1+Driver_macroeconómicos_Agricult!K$8)</f>
        <v>2617089.8066877876</v>
      </c>
      <c r="W334" s="235">
        <f>V334*(1+Driver_macroeconómicos_Agricult!L$8)</f>
        <v>2649251.7836885238</v>
      </c>
      <c r="X334" s="235">
        <f>W334*(1+Driver_macroeconómicos_Agricult!M$8)</f>
        <v>2681054.3737947219</v>
      </c>
      <c r="Y334" s="235">
        <f>X334*(1+Driver_macroeconómicos_Agricult!N$8)</f>
        <v>2712474.7565685906</v>
      </c>
      <c r="Z334" s="235">
        <f>Y334*(1+Driver_macroeconómicos_Agricult!O$8)</f>
        <v>2743508.4519241839</v>
      </c>
      <c r="AA334" s="235">
        <f>Z334*(1+Driver_macroeconómicos_Agricult!P$8)</f>
        <v>2774120.5991927278</v>
      </c>
      <c r="AB334" s="235">
        <f>AA334*(1+Driver_macroeconómicos_Agricult!Q$8)</f>
        <v>2804294.8180599799</v>
      </c>
      <c r="AC334" s="235">
        <f>AB334*(1+Driver_macroeconómicos_Agricult!R$8)</f>
        <v>2834009.9681203794</v>
      </c>
      <c r="AD334" s="235">
        <f>AC334*(1+Driver_macroeconómicos_Agricult!S$8)</f>
        <v>2863241.5489039053</v>
      </c>
      <c r="AE334" s="235">
        <f>AD334*(1+Driver_macroeconómicos_Agricult!T$8)</f>
        <v>2891977.5201795762</v>
      </c>
      <c r="AF334" s="235">
        <f>AE334*(1+Driver_macroeconómicos_Agricult!U$8)</f>
        <v>2920196.8815445164</v>
      </c>
      <c r="AG334" s="235">
        <f>AF334*(1+Driver_macroeconómicos_Agricult!V$8)</f>
        <v>2947887.3127623722</v>
      </c>
      <c r="AH334" s="235">
        <f>AG334*(1+Driver_macroeconómicos_Agricult!W$8)</f>
        <v>2975025.1533792377</v>
      </c>
      <c r="AI334" s="235">
        <f>AH334*(1+Driver_macroeconómicos_Agricult!X$8)</f>
        <v>3001601.0232151621</v>
      </c>
      <c r="AJ334" s="235">
        <f>AI334*(1+Driver_macroeconómicos_Agricult!Y$8)</f>
        <v>3027597.4219344156</v>
      </c>
      <c r="AK334" s="235">
        <f>AJ334*(1+Driver_macroeconómicos_Agricult!Z$8)</f>
        <v>3053002.1693033306</v>
      </c>
      <c r="AL334" s="235">
        <f>AK334*(1+Driver_macroeconómicos_Agricult!AA$8)</f>
        <v>3077812.0452601328</v>
      </c>
      <c r="AM334" s="235">
        <f>AL334*(1+Driver_macroeconómicos_Agricult!AB$8)</f>
        <v>3102018.5096409866</v>
      </c>
      <c r="AN334" s="235">
        <f>AM334*(1+Driver_macroeconómicos_Agricult!AC$8)</f>
        <v>3125606.5821585078</v>
      </c>
      <c r="AO334" s="235">
        <f>AN334*(1+Driver_macroeconómicos_Agricult!AD$8)</f>
        <v>3148573.1827536076</v>
      </c>
      <c r="AP334" s="235">
        <f>AO334*(1+Driver_macroeconómicos_Agricult!AE$8)</f>
        <v>3170903.3311389023</v>
      </c>
      <c r="AQ334" s="235">
        <f>AP334*(1+Driver_macroeconómicos_Agricult!AF$8)</f>
        <v>3192593.2472418742</v>
      </c>
      <c r="AR334" s="235">
        <f>AQ334*(1+Driver_macroeconómicos_Agricult!AG$8)</f>
        <v>3213646.4311296693</v>
      </c>
      <c r="AS334" s="235">
        <f>AR334*(1+Driver_macroeconómicos_Agricult!AH$8)</f>
        <v>3234044.8224558136</v>
      </c>
      <c r="AT334" s="235">
        <f>AS334*(1+Driver_macroeconómicos_Agricult!AI$8)</f>
        <v>3253793.8813250558</v>
      </c>
      <c r="AU334" s="235">
        <f>AT334*(1+Driver_macroeconómicos_Agricult!AJ$8)</f>
        <v>3272900.4678690019</v>
      </c>
      <c r="AV334" s="235">
        <f>AU334*(1+Driver_macroeconómicos_Agricult!AK$8)</f>
        <v>3291351.6970935338</v>
      </c>
      <c r="AW334" s="235">
        <f>AV334*(1+Driver_macroeconómicos_Agricult!AL$8)</f>
        <v>3309135.0663994905</v>
      </c>
      <c r="AX334" s="235">
        <f>AW334*(1+Driver_macroeconómicos_Agricult!AM$8)</f>
        <v>3326238.4696461298</v>
      </c>
      <c r="AY334" s="235">
        <f>AX334*(1+Driver_macroeconómicos_Agricult!AN$8)</f>
        <v>3342650.210835584</v>
      </c>
      <c r="AZ334" s="235">
        <f>AY334*(1+Driver_macroeconómicos_Agricult!AO$8)</f>
        <v>3358359.0173967448</v>
      </c>
      <c r="BA334" s="235">
        <f>AZ334*(1+Driver_macroeconómicos_Agricult!AP$8)</f>
        <v>3373354.0530475331</v>
      </c>
      <c r="BB334" s="235">
        <f>BA334*(1+Driver_macroeconómicos_Agricult!AQ$8)</f>
        <v>3387624.9302150756</v>
      </c>
      <c r="BC334" s="235">
        <f>BB334*(1+Driver_macroeconómicos_Agricult!AR$8)</f>
        <v>3401161.7219939246</v>
      </c>
      <c r="BD334" s="235">
        <f>BC334*(1+Driver_macroeconómicos_Agricult!AS$8)</f>
        <v>3413954.9736231058</v>
      </c>
      <c r="BE334" s="235">
        <f>BD334*(1+Driver_macroeconómicos_Agricult!AT$8)</f>
        <v>3425995.7134634736</v>
      </c>
      <c r="BF334" s="235">
        <f>BE334*(1+Driver_macroeconómicos_Agricult!AU$8)</f>
        <v>3437275.4634575751</v>
      </c>
      <c r="BG334" s="235">
        <f>BF334*(1+Driver_macroeconómicos_Agricult!AV$8)</f>
        <v>3447786.2490549982</v>
      </c>
      <c r="BH334" s="235">
        <f>BG334*(1+Driver_macroeconómicos_Agricult!AW$8)</f>
        <v>3457520.6085869712</v>
      </c>
      <c r="BI334" s="235">
        <f>BH334*(1+Driver_macroeconómicos_Agricult!AX$8)</f>
        <v>3466471.6020748289</v>
      </c>
      <c r="BJ334" s="235">
        <f>BI334*(1+Driver_macroeconómicos_Agricult!AY$8)</f>
        <v>3474632.8194578146</v>
      </c>
      <c r="BK334" s="235">
        <f>BJ334*(1+Driver_macroeconómicos_Agricult!AZ$8)</f>
        <v>3481998.3882265985</v>
      </c>
      <c r="BL334" s="235">
        <f>BK334*(1+Driver_macroeconómicos_Agricult!BA$8)</f>
        <v>3488562.9804498106</v>
      </c>
      <c r="BM334" s="235">
        <f>BL334*(1+Driver_macroeconómicos_Agricult!BB$8)</f>
        <v>3494321.8191818446</v>
      </c>
      <c r="BN334" s="235">
        <f>BM334*(1+Driver_macroeconómicos_Agricult!BC$8)</f>
        <v>3499270.6842411738</v>
      </c>
      <c r="BO334" s="235">
        <f>BN334*(1+Driver_macroeconómicos_Agricult!BD$8)</f>
        <v>3503405.9173494168</v>
      </c>
      <c r="BP334" s="23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row>
    <row r="335" spans="1:96" ht="14.25" customHeight="1" x14ac:dyDescent="0.3">
      <c r="A335" s="982"/>
      <c r="D335" s="944"/>
      <c r="E335" s="232"/>
      <c r="F335" s="234" t="s">
        <v>539</v>
      </c>
      <c r="G335" s="236">
        <v>792498</v>
      </c>
      <c r="H335" s="236">
        <v>742963</v>
      </c>
      <c r="I335" s="236">
        <v>711696.56862134859</v>
      </c>
      <c r="J335" s="236">
        <v>739475.42172958155</v>
      </c>
      <c r="K335" s="236">
        <v>674394.97396300174</v>
      </c>
      <c r="L335" s="237">
        <v>506696.26119205443</v>
      </c>
      <c r="M335" s="237">
        <v>478485.64683701348</v>
      </c>
      <c r="N335" s="237">
        <v>390119.66704434477</v>
      </c>
      <c r="O335" s="237">
        <v>355896.59829091246</v>
      </c>
      <c r="P335" s="237">
        <v>464644.16994897404</v>
      </c>
      <c r="Q335" s="237">
        <v>496535.03513383406</v>
      </c>
      <c r="R335" s="237">
        <v>528827.55917191226</v>
      </c>
      <c r="S335" s="235">
        <f>R335*(1+Driver_macroeconómicos_Agricult!H$8)</f>
        <v>535936.72459043341</v>
      </c>
      <c r="T335" s="235">
        <f>S335*(1+Driver_macroeconómicos_Agricult!I$8)</f>
        <v>542985.26540809264</v>
      </c>
      <c r="U335" s="235">
        <f>T335*(1+Driver_macroeconómicos_Agricult!J$8)</f>
        <v>549968.98109971965</v>
      </c>
      <c r="V335" s="235">
        <f>U335*(1+Driver_macroeconómicos_Agricult!K$8)</f>
        <v>556886.56086313364</v>
      </c>
      <c r="W335" s="235">
        <f>V335*(1+Driver_macroeconómicos_Agricult!L$8)</f>
        <v>563730.25904908439</v>
      </c>
      <c r="X335" s="235">
        <f>W335*(1+Driver_macroeconómicos_Agricult!M$8)</f>
        <v>570497.48384416895</v>
      </c>
      <c r="Y335" s="235">
        <f>X335*(1+Driver_macroeconómicos_Agricult!N$8)</f>
        <v>577183.37932212662</v>
      </c>
      <c r="Z335" s="235">
        <f>Y335*(1+Driver_macroeconómicos_Agricult!O$8)</f>
        <v>583786.99217228056</v>
      </c>
      <c r="AA335" s="235">
        <f>Z335*(1+Driver_macroeconómicos_Agricult!P$8)</f>
        <v>590300.90444592573</v>
      </c>
      <c r="AB335" s="235">
        <f>AA335*(1+Driver_macroeconómicos_Agricult!Q$8)</f>
        <v>596721.63060089957</v>
      </c>
      <c r="AC335" s="235">
        <f>AB335*(1+Driver_macroeconómicos_Agricult!R$8)</f>
        <v>603044.67220244522</v>
      </c>
      <c r="AD335" s="235">
        <f>AC335*(1+Driver_macroeconómicos_Agricult!S$8)</f>
        <v>609264.81583279814</v>
      </c>
      <c r="AE335" s="235">
        <f>AD335*(1+Driver_macroeconómicos_Agricult!T$8)</f>
        <v>615379.49946951412</v>
      </c>
      <c r="AF335" s="235">
        <f>AE335*(1+Driver_macroeconómicos_Agricult!U$8)</f>
        <v>621384.25446879491</v>
      </c>
      <c r="AG335" s="235">
        <f>AF335*(1+Driver_macroeconómicos_Agricult!V$8)</f>
        <v>627276.45922627894</v>
      </c>
      <c r="AH335" s="235">
        <f>AG335*(1+Driver_macroeconómicos_Agricult!W$8)</f>
        <v>633051.07906995364</v>
      </c>
      <c r="AI335" s="235">
        <f>AH335*(1+Driver_macroeconómicos_Agricult!X$8)</f>
        <v>638706.11800558912</v>
      </c>
      <c r="AJ335" s="235">
        <f>AI335*(1+Driver_macroeconómicos_Agricult!Y$8)</f>
        <v>644237.85216335347</v>
      </c>
      <c r="AK335" s="235">
        <f>AJ335*(1+Driver_macroeconómicos_Agricult!Z$8)</f>
        <v>649643.68972984375</v>
      </c>
      <c r="AL335" s="235">
        <f>AK335*(1+Driver_macroeconómicos_Agricult!AA$8)</f>
        <v>654922.94551301107</v>
      </c>
      <c r="AM335" s="235">
        <f>AL335*(1+Driver_macroeconómicos_Agricult!AB$8)</f>
        <v>660073.80226437736</v>
      </c>
      <c r="AN335" s="235">
        <f>AM335*(1+Driver_macroeconómicos_Agricult!AC$8)</f>
        <v>665093.07235136663</v>
      </c>
      <c r="AO335" s="235">
        <f>AN335*(1+Driver_macroeconómicos_Agricult!AD$8)</f>
        <v>669980.1003728885</v>
      </c>
      <c r="AP335" s="235">
        <f>AO335*(1+Driver_macroeconómicos_Agricult!AE$8)</f>
        <v>674731.69869636698</v>
      </c>
      <c r="AQ335" s="235">
        <f>AP335*(1+Driver_macroeconómicos_Agricult!AF$8)</f>
        <v>679347.06296591833</v>
      </c>
      <c r="AR335" s="235">
        <f>AQ335*(1+Driver_macroeconómicos_Agricult!AG$8)</f>
        <v>683826.93795550894</v>
      </c>
      <c r="AS335" s="235">
        <f>AR335*(1+Driver_macroeconómicos_Agricult!AH$8)</f>
        <v>688167.48063147231</v>
      </c>
      <c r="AT335" s="235">
        <f>AS335*(1+Driver_macroeconómicos_Agricult!AI$8)</f>
        <v>692369.852841196</v>
      </c>
      <c r="AU335" s="235">
        <f>AT335*(1+Driver_macroeconómicos_Agricult!AJ$8)</f>
        <v>696435.51434165414</v>
      </c>
      <c r="AV335" s="235">
        <f>AU335*(1+Driver_macroeconómicos_Agricult!AK$8)</f>
        <v>700361.72335453914</v>
      </c>
      <c r="AW335" s="235">
        <f>AV335*(1+Driver_macroeconómicos_Agricult!AL$8)</f>
        <v>704145.81947078474</v>
      </c>
      <c r="AX335" s="235">
        <f>AW335*(1+Driver_macroeconómicos_Agricult!AM$8)</f>
        <v>707785.226643109</v>
      </c>
      <c r="AY335" s="235">
        <f>AX335*(1+Driver_macroeconómicos_Agricult!AN$8)</f>
        <v>711277.45609790855</v>
      </c>
      <c r="AZ335" s="235">
        <f>AY335*(1+Driver_macroeconómicos_Agricult!AO$8)</f>
        <v>714620.10916191665</v>
      </c>
      <c r="BA335" s="235">
        <f>AZ335*(1+Driver_macroeconómicos_Agricult!AP$8)</f>
        <v>717810.87999914517</v>
      </c>
      <c r="BB335" s="235">
        <f>BA335*(1+Driver_macroeconómicos_Agricult!AQ$8)</f>
        <v>720847.55825375614</v>
      </c>
      <c r="BC335" s="235">
        <f>BB335*(1+Driver_macroeconómicos_Agricult!AR$8)</f>
        <v>723728.03159463254</v>
      </c>
      <c r="BD335" s="235">
        <f>BC335*(1+Driver_macroeconómicos_Agricult!AS$8)</f>
        <v>726450.28815756191</v>
      </c>
      <c r="BE335" s="235">
        <f>BD335*(1+Driver_macroeconómicos_Agricult!AT$8)</f>
        <v>729012.41888109129</v>
      </c>
      <c r="BF335" s="235">
        <f>BE335*(1+Driver_macroeconómicos_Agricult!AU$8)</f>
        <v>731412.61973226536</v>
      </c>
      <c r="BG335" s="235">
        <f>BF335*(1+Driver_macroeconómicos_Agricult!AV$8)</f>
        <v>733649.19381862681</v>
      </c>
      <c r="BH335" s="235">
        <f>BG335*(1+Driver_macroeconómicos_Agricult!AW$8)</f>
        <v>735720.55338302266</v>
      </c>
      <c r="BI335" s="235">
        <f>BH335*(1+Driver_macroeconómicos_Agricult!AX$8)</f>
        <v>737625.22167794453</v>
      </c>
      <c r="BJ335" s="235">
        <f>BI335*(1+Driver_macroeconómicos_Agricult!AY$8)</f>
        <v>739361.83471630991</v>
      </c>
      <c r="BK335" s="235">
        <f>BJ335*(1+Driver_macroeconómicos_Agricult!AZ$8)</f>
        <v>740929.14289578749</v>
      </c>
      <c r="BL335" s="235">
        <f>BK335*(1+Driver_macroeconómicos_Agricult!BA$8)</f>
        <v>742326.01249396161</v>
      </c>
      <c r="BM335" s="235">
        <f>BL335*(1+Driver_macroeconómicos_Agricult!BB$8)</f>
        <v>743551.42703183973</v>
      </c>
      <c r="BN335" s="235">
        <f>BM335*(1+Driver_macroeconómicos_Agricult!BC$8)</f>
        <v>744604.4885034113</v>
      </c>
      <c r="BO335" s="235">
        <f>BN335*(1+Driver_macroeconómicos_Agricult!BD$8)</f>
        <v>745484.41846918163</v>
      </c>
      <c r="BP335" s="231"/>
    </row>
    <row r="336" spans="1:96" ht="14.25" customHeight="1" x14ac:dyDescent="0.3">
      <c r="A336" s="56"/>
      <c r="B336" s="56"/>
      <c r="C336" s="56"/>
      <c r="D336" s="944"/>
      <c r="E336" s="232"/>
      <c r="F336" s="234" t="s">
        <v>540</v>
      </c>
      <c r="G336" s="236">
        <v>766479</v>
      </c>
      <c r="H336" s="236">
        <v>176427</v>
      </c>
      <c r="I336" s="236">
        <v>686378</v>
      </c>
      <c r="J336" s="236">
        <v>638073</v>
      </c>
      <c r="K336" s="236">
        <v>491780</v>
      </c>
      <c r="L336" s="237">
        <v>397646</v>
      </c>
      <c r="M336" s="237">
        <v>384761</v>
      </c>
      <c r="N336" s="237">
        <v>379412</v>
      </c>
      <c r="O336" s="237">
        <v>335294</v>
      </c>
      <c r="P336" s="237">
        <v>369439</v>
      </c>
      <c r="Q336" s="237">
        <v>285605</v>
      </c>
      <c r="R336" s="237">
        <v>366119</v>
      </c>
      <c r="S336" s="235">
        <f>R336*(1+Driver_macroeconómicos_Agricult!H$8)</f>
        <v>371040.83224705467</v>
      </c>
      <c r="T336" s="235">
        <f>S336*(1+Driver_macroeconómicos_Agricult!I$8)</f>
        <v>375920.69274385163</v>
      </c>
      <c r="U336" s="235">
        <f>T336*(1+Driver_macroeconómicos_Agricult!J$8)</f>
        <v>380755.67337403388</v>
      </c>
      <c r="V336" s="235">
        <f>U336*(1+Driver_macroeconómicos_Agricult!K$8)</f>
        <v>385544.86664029863</v>
      </c>
      <c r="W336" s="235">
        <f>V336*(1+Driver_macroeconómicos_Agricult!L$8)</f>
        <v>390282.91005858342</v>
      </c>
      <c r="X336" s="235">
        <f>W336*(1+Driver_macroeconómicos_Agricult!M$8)</f>
        <v>394968.0092592212</v>
      </c>
      <c r="Y336" s="235">
        <f>X336*(1+Driver_macroeconómicos_Agricult!N$8)</f>
        <v>399596.8023772036</v>
      </c>
      <c r="Z336" s="235">
        <f>Y336*(1+Driver_macroeconómicos_Agricult!O$8)</f>
        <v>404168.62941449229</v>
      </c>
      <c r="AA336" s="235">
        <f>Z336*(1+Driver_macroeconómicos_Agricult!P$8)</f>
        <v>408678.35476135043</v>
      </c>
      <c r="AB336" s="235">
        <f>AA336*(1+Driver_macroeconómicos_Agricult!Q$8)</f>
        <v>413123.56529994996</v>
      </c>
      <c r="AC336" s="235">
        <f>AB336*(1+Driver_macroeconómicos_Agricult!R$8)</f>
        <v>417501.14666454698</v>
      </c>
      <c r="AD336" s="235">
        <f>AC336*(1+Driver_macroeconómicos_Agricult!S$8)</f>
        <v>421807.4894908687</v>
      </c>
      <c r="AE336" s="235">
        <f>AD336*(1+Driver_macroeconómicos_Agricult!T$8)</f>
        <v>426040.82003418682</v>
      </c>
      <c r="AF336" s="235">
        <f>AE336*(1+Driver_macroeconómicos_Agricult!U$8)</f>
        <v>430198.04455369606</v>
      </c>
      <c r="AG336" s="235">
        <f>AF336*(1+Driver_macroeconómicos_Agricult!V$8)</f>
        <v>434277.34805479069</v>
      </c>
      <c r="AH336" s="235">
        <f>AG336*(1+Driver_macroeconómicos_Agricult!W$8)</f>
        <v>438275.24492283014</v>
      </c>
      <c r="AI336" s="235">
        <f>AH336*(1+Driver_macroeconómicos_Agricult!X$8)</f>
        <v>442190.3532869214</v>
      </c>
      <c r="AJ336" s="235">
        <f>AI336*(1+Driver_macroeconómicos_Agricult!Y$8)</f>
        <v>446020.09502972674</v>
      </c>
      <c r="AK336" s="235">
        <f>AJ336*(1+Driver_macroeconómicos_Agricult!Z$8)</f>
        <v>449762.67578157911</v>
      </c>
      <c r="AL336" s="235">
        <f>AK336*(1+Driver_macroeconómicos_Agricult!AA$8)</f>
        <v>453417.62116888841</v>
      </c>
      <c r="AM336" s="235">
        <f>AL336*(1+Driver_macroeconómicos_Agricult!AB$8)</f>
        <v>456983.67307039385</v>
      </c>
      <c r="AN336" s="235">
        <f>AM336*(1+Driver_macroeconómicos_Agricult!AC$8)</f>
        <v>460458.62461765431</v>
      </c>
      <c r="AO336" s="235">
        <f>AN336*(1+Driver_macroeconómicos_Agricult!AD$8)</f>
        <v>463842.0220620184</v>
      </c>
      <c r="AP336" s="235">
        <f>AO336*(1+Driver_macroeconómicos_Agricult!AE$8)</f>
        <v>467131.65853504511</v>
      </c>
      <c r="AQ336" s="235">
        <f>AP336*(1+Driver_macroeconómicos_Agricult!AF$8)</f>
        <v>470326.97716338944</v>
      </c>
      <c r="AR336" s="235">
        <f>AQ336*(1+Driver_macroeconómicos_Agricult!AG$8)</f>
        <v>473428.49357051897</v>
      </c>
      <c r="AS336" s="235">
        <f>AR336*(1+Driver_macroeconómicos_Agricult!AH$8)</f>
        <v>476433.54713934107</v>
      </c>
      <c r="AT336" s="235">
        <f>AS336*(1+Driver_macroeconómicos_Agricult!AI$8)</f>
        <v>479342.94224246516</v>
      </c>
      <c r="AU336" s="235">
        <f>AT336*(1+Driver_macroeconómicos_Agricult!AJ$8)</f>
        <v>482157.68950188771</v>
      </c>
      <c r="AV336" s="235">
        <f>AU336*(1+Driver_macroeconómicos_Agricult!AK$8)</f>
        <v>484875.89072392567</v>
      </c>
      <c r="AW336" s="235">
        <f>AV336*(1+Driver_macroeconómicos_Agricult!AL$8)</f>
        <v>487495.7040486192</v>
      </c>
      <c r="AX336" s="235">
        <f>AW336*(1+Driver_macroeconómicos_Agricult!AM$8)</f>
        <v>490015.34602153505</v>
      </c>
      <c r="AY336" s="235">
        <f>AX336*(1+Driver_macroeconómicos_Agricult!AN$8)</f>
        <v>492433.09360973543</v>
      </c>
      <c r="AZ336" s="235">
        <f>AY336*(1+Driver_macroeconómicos_Agricult!AO$8)</f>
        <v>494747.28615873557</v>
      </c>
      <c r="BA336" s="235">
        <f>AZ336*(1+Driver_macroeconómicos_Agricult!AP$8)</f>
        <v>496956.3272873495</v>
      </c>
      <c r="BB336" s="235">
        <f>BA336*(1+Driver_macroeconómicos_Agricult!AQ$8)</f>
        <v>499058.68671740807</v>
      </c>
      <c r="BC336" s="235">
        <f>BB336*(1+Driver_macroeconómicos_Agricult!AR$8)</f>
        <v>501052.90203542158</v>
      </c>
      <c r="BD336" s="235">
        <f>BC336*(1+Driver_macroeconómicos_Agricult!AS$8)</f>
        <v>502937.58038335759</v>
      </c>
      <c r="BE336" s="235">
        <f>BD336*(1+Driver_macroeconómicos_Agricult!AT$8)</f>
        <v>504711.40007580462</v>
      </c>
      <c r="BF336" s="235">
        <f>BE336*(1+Driver_macroeconómicos_Agricult!AU$8)</f>
        <v>506373.11214090022</v>
      </c>
      <c r="BG336" s="235">
        <f>BF336*(1+Driver_macroeconómicos_Agricult!AV$8)</f>
        <v>507921.54178251495</v>
      </c>
      <c r="BH336" s="235">
        <f>BG336*(1+Driver_macroeconómicos_Agricult!AW$8)</f>
        <v>509355.58976130141</v>
      </c>
      <c r="BI336" s="235">
        <f>BH336*(1+Driver_macroeconómicos_Agricult!AX$8)</f>
        <v>510674.23369234096</v>
      </c>
      <c r="BJ336" s="235">
        <f>BI336*(1+Driver_macroeconómicos_Agricult!AY$8)</f>
        <v>511876.52925724856</v>
      </c>
      <c r="BK336" s="235">
        <f>BJ336*(1+Driver_macroeconómicos_Agricult!AZ$8)</f>
        <v>512961.6113287289</v>
      </c>
      <c r="BL336" s="235">
        <f>BK336*(1+Driver_macroeconómicos_Agricult!BA$8)</f>
        <v>513928.69500571187</v>
      </c>
      <c r="BM336" s="235">
        <f>BL336*(1+Driver_macroeconómicos_Agricult!BB$8)</f>
        <v>514777.07655733888</v>
      </c>
      <c r="BN336" s="235">
        <f>BM336*(1+Driver_macroeconómicos_Agricult!BC$8)</f>
        <v>515506.13427421363</v>
      </c>
      <c r="BO336" s="235">
        <f>BN336*(1+Driver_macroeconómicos_Agricult!BD$8)</f>
        <v>516115.32922547968</v>
      </c>
      <c r="BP336" s="231"/>
    </row>
    <row r="337" spans="1:96" ht="14.25" customHeight="1" x14ac:dyDescent="0.3">
      <c r="A337" s="960"/>
      <c r="B337" s="960"/>
      <c r="C337" s="960"/>
      <c r="D337" s="944"/>
      <c r="E337" s="226"/>
      <c r="F337" s="227" t="s">
        <v>541</v>
      </c>
      <c r="G337" s="228"/>
      <c r="H337" s="228"/>
      <c r="I337" s="228"/>
      <c r="J337" s="228"/>
      <c r="K337" s="228"/>
      <c r="L337" s="229"/>
      <c r="M337" s="230"/>
      <c r="N337" s="230"/>
      <c r="O337" s="230"/>
      <c r="P337" s="230"/>
      <c r="Q337" s="230"/>
      <c r="R337" s="230"/>
      <c r="S337" s="230"/>
      <c r="T337" s="230"/>
      <c r="U337" s="230"/>
      <c r="V337" s="230"/>
      <c r="W337" s="230"/>
      <c r="X337" s="230"/>
      <c r="Y337" s="230"/>
      <c r="Z337" s="230"/>
      <c r="AA337" s="230"/>
      <c r="AB337" s="230"/>
      <c r="AC337" s="230"/>
      <c r="AD337" s="230"/>
      <c r="AE337" s="230"/>
      <c r="AF337" s="230"/>
      <c r="AG337" s="230"/>
      <c r="AH337" s="230"/>
      <c r="AI337" s="230"/>
      <c r="AJ337" s="230"/>
      <c r="AK337" s="230"/>
      <c r="AL337" s="230"/>
      <c r="AM337" s="230"/>
      <c r="AN337" s="230"/>
      <c r="AO337" s="230"/>
      <c r="AP337" s="230"/>
      <c r="AQ337" s="230"/>
      <c r="AR337" s="230"/>
      <c r="AS337" s="230"/>
      <c r="AT337" s="230"/>
      <c r="AU337" s="230"/>
      <c r="AV337" s="230"/>
      <c r="AW337" s="230"/>
      <c r="AX337" s="230"/>
      <c r="AY337" s="230"/>
      <c r="AZ337" s="230"/>
      <c r="BA337" s="230"/>
      <c r="BB337" s="230"/>
      <c r="BC337" s="230"/>
      <c r="BD337" s="230"/>
      <c r="BE337" s="230"/>
      <c r="BF337" s="230"/>
      <c r="BG337" s="230"/>
      <c r="BH337" s="230"/>
      <c r="BI337" s="230"/>
      <c r="BJ337" s="230"/>
      <c r="BK337" s="230"/>
      <c r="BL337" s="230"/>
      <c r="BM337" s="230"/>
      <c r="BN337" s="230"/>
      <c r="BO337" s="230"/>
      <c r="BP337" s="231"/>
    </row>
    <row r="338" spans="1:96" ht="14.25" customHeight="1" x14ac:dyDescent="0.3">
      <c r="A338" s="960"/>
      <c r="B338" s="960"/>
      <c r="C338" s="960"/>
      <c r="D338" s="944"/>
      <c r="E338" s="232"/>
      <c r="F338" s="233" t="s">
        <v>527</v>
      </c>
      <c r="G338" s="228"/>
      <c r="H338" s="228"/>
      <c r="I338" s="228"/>
      <c r="J338" s="228"/>
      <c r="K338" s="228"/>
      <c r="L338" s="229"/>
      <c r="M338" s="230"/>
      <c r="N338" s="230"/>
      <c r="O338" s="230"/>
      <c r="P338" s="230"/>
      <c r="Q338" s="230"/>
      <c r="R338" s="230"/>
      <c r="S338" s="230"/>
      <c r="T338" s="230"/>
      <c r="U338" s="230"/>
      <c r="V338" s="230"/>
      <c r="W338" s="230"/>
      <c r="X338" s="230"/>
      <c r="Y338" s="230"/>
      <c r="Z338" s="230"/>
      <c r="AA338" s="230"/>
      <c r="AB338" s="230"/>
      <c r="AC338" s="230"/>
      <c r="AD338" s="230"/>
      <c r="AE338" s="230"/>
      <c r="AF338" s="230"/>
      <c r="AG338" s="230"/>
      <c r="AH338" s="230"/>
      <c r="AI338" s="230"/>
      <c r="AJ338" s="230"/>
      <c r="AK338" s="230"/>
      <c r="AL338" s="230"/>
      <c r="AM338" s="230"/>
      <c r="AN338" s="230"/>
      <c r="AO338" s="230"/>
      <c r="AP338" s="230"/>
      <c r="AQ338" s="230"/>
      <c r="AR338" s="230"/>
      <c r="AS338" s="230"/>
      <c r="AT338" s="230"/>
      <c r="AU338" s="230"/>
      <c r="AV338" s="230"/>
      <c r="AW338" s="230"/>
      <c r="AX338" s="230"/>
      <c r="AY338" s="230"/>
      <c r="AZ338" s="230"/>
      <c r="BA338" s="230"/>
      <c r="BB338" s="230"/>
      <c r="BC338" s="230"/>
      <c r="BD338" s="230"/>
      <c r="BE338" s="230"/>
      <c r="BF338" s="230"/>
      <c r="BG338" s="230"/>
      <c r="BH338" s="230"/>
      <c r="BI338" s="230"/>
      <c r="BJ338" s="230"/>
      <c r="BK338" s="230"/>
      <c r="BL338" s="230"/>
      <c r="BM338" s="230"/>
      <c r="BN338" s="230"/>
      <c r="BO338" s="230"/>
      <c r="BP338" s="231"/>
    </row>
    <row r="339" spans="1:96" ht="13.5" customHeight="1" x14ac:dyDescent="0.35">
      <c r="A339" s="983" t="s">
        <v>6</v>
      </c>
      <c r="B339" s="944"/>
      <c r="C339" s="944"/>
      <c r="D339" s="944"/>
      <c r="E339" s="232"/>
      <c r="F339" s="234" t="s">
        <v>542</v>
      </c>
      <c r="G339" s="237">
        <f t="shared" ref="G339:M339" si="330">0.393*G317</f>
        <v>2064639.648</v>
      </c>
      <c r="H339" s="237">
        <f t="shared" si="330"/>
        <v>2106049.2719999999</v>
      </c>
      <c r="I339" s="237">
        <f t="shared" si="330"/>
        <v>2057571.1500000001</v>
      </c>
      <c r="J339" s="237">
        <f t="shared" si="330"/>
        <v>2017709.946</v>
      </c>
      <c r="K339" s="237">
        <f t="shared" si="330"/>
        <v>1809617.2320000001</v>
      </c>
      <c r="L339" s="237">
        <f t="shared" si="330"/>
        <v>1617278.709</v>
      </c>
      <c r="M339" s="237">
        <f t="shared" si="330"/>
        <v>1622033.223</v>
      </c>
      <c r="N339" s="237">
        <f>0.393*N317</f>
        <v>1646910.1230000001</v>
      </c>
      <c r="O339" s="237">
        <f>0.393*O317</f>
        <v>1594320.828</v>
      </c>
      <c r="P339" s="237">
        <f t="shared" ref="P339:BO339" si="331">0.393*P317</f>
        <v>1692353.892</v>
      </c>
      <c r="Q339" s="237">
        <f t="shared" si="331"/>
        <v>1704018.132</v>
      </c>
      <c r="R339" s="237">
        <f t="shared" si="331"/>
        <v>1598303.49</v>
      </c>
      <c r="S339" s="237">
        <f>0.393*S317</f>
        <v>1619789.8964898628</v>
      </c>
      <c r="T339" s="237">
        <f t="shared" si="331"/>
        <v>1641093.0740434553</v>
      </c>
      <c r="U339" s="237">
        <f t="shared" si="331"/>
        <v>1662200.327191483</v>
      </c>
      <c r="V339" s="237">
        <f t="shared" si="331"/>
        <v>1683107.6942272158</v>
      </c>
      <c r="W339" s="237">
        <f t="shared" si="331"/>
        <v>1703791.76506543</v>
      </c>
      <c r="X339" s="237">
        <f t="shared" si="331"/>
        <v>1724244.7063314545</v>
      </c>
      <c r="Y339" s="237">
        <f t="shared" si="331"/>
        <v>1744451.8417026293</v>
      </c>
      <c r="Z339" s="237">
        <f t="shared" si="331"/>
        <v>1764410.2899376974</v>
      </c>
      <c r="AA339" s="237">
        <f t="shared" si="331"/>
        <v>1784097.6313781166</v>
      </c>
      <c r="AB339" s="237">
        <f t="shared" si="331"/>
        <v>1803503.3314855366</v>
      </c>
      <c r="AC339" s="237">
        <f t="shared" si="331"/>
        <v>1822613.7944027695</v>
      </c>
      <c r="AD339" s="237">
        <f t="shared" si="331"/>
        <v>1841413.2633416839</v>
      </c>
      <c r="AE339" s="237">
        <f t="shared" si="331"/>
        <v>1859893.9949663985</v>
      </c>
      <c r="AF339" s="237">
        <f t="shared" si="331"/>
        <v>1878042.483458515</v>
      </c>
      <c r="AG339" s="237">
        <f t="shared" si="331"/>
        <v>1895850.805404573</v>
      </c>
      <c r="AH339" s="237">
        <f t="shared" si="331"/>
        <v>1913303.7442491769</v>
      </c>
      <c r="AI339" s="237">
        <f t="shared" si="331"/>
        <v>1930395.2673934423</v>
      </c>
      <c r="AJ339" s="237">
        <f t="shared" si="331"/>
        <v>1947114.1199887036</v>
      </c>
      <c r="AK339" s="237">
        <f t="shared" si="331"/>
        <v>1963452.4686602897</v>
      </c>
      <c r="AL339" s="237">
        <f t="shared" si="331"/>
        <v>1979408.2425160466</v>
      </c>
      <c r="AM339" s="237">
        <f t="shared" si="331"/>
        <v>1994975.9491898254</v>
      </c>
      <c r="AN339" s="237">
        <f t="shared" si="331"/>
        <v>2010145.9545311688</v>
      </c>
      <c r="AO339" s="237">
        <f t="shared" si="331"/>
        <v>2024916.2776867121</v>
      </c>
      <c r="AP339" s="237">
        <f t="shared" si="331"/>
        <v>2039277.2845059971</v>
      </c>
      <c r="AQ339" s="237">
        <f t="shared" si="331"/>
        <v>2053226.5439417129</v>
      </c>
      <c r="AR339" s="237">
        <f t="shared" si="331"/>
        <v>2066766.3069635921</v>
      </c>
      <c r="AS339" s="237">
        <f t="shared" si="331"/>
        <v>2079884.9585678116</v>
      </c>
      <c r="AT339" s="237">
        <f t="shared" si="331"/>
        <v>2092586.0102671557</v>
      </c>
      <c r="AU339" s="237">
        <f t="shared" si="331"/>
        <v>2104873.8739623013</v>
      </c>
      <c r="AV339" s="237">
        <f t="shared" si="331"/>
        <v>2116740.2630317169</v>
      </c>
      <c r="AW339" s="237">
        <f t="shared" si="331"/>
        <v>2128177.1367804329</v>
      </c>
      <c r="AX339" s="237">
        <f t="shared" si="331"/>
        <v>2139176.709484559</v>
      </c>
      <c r="AY339" s="237">
        <f t="shared" si="331"/>
        <v>2149731.4591920576</v>
      </c>
      <c r="AZ339" s="237">
        <f t="shared" si="331"/>
        <v>2159834.1362659023</v>
      </c>
      <c r="BA339" s="237">
        <f t="shared" si="331"/>
        <v>2169477.771656082</v>
      </c>
      <c r="BB339" s="237">
        <f t="shared" si="331"/>
        <v>2178655.6848872909</v>
      </c>
      <c r="BC339" s="237">
        <f t="shared" si="331"/>
        <v>2187361.4917495199</v>
      </c>
      <c r="BD339" s="237">
        <f t="shared" si="331"/>
        <v>2195589.1116791973</v>
      </c>
      <c r="BE339" s="237">
        <f t="shared" si="331"/>
        <v>2203332.7748189657</v>
      </c>
      <c r="BF339" s="237">
        <f t="shared" si="331"/>
        <v>2210587.0287446496</v>
      </c>
      <c r="BG339" s="237">
        <f t="shared" si="331"/>
        <v>2217346.7448484632</v>
      </c>
      <c r="BH339" s="237">
        <f t="shared" si="331"/>
        <v>2223607.1243680236</v>
      </c>
      <c r="BI339" s="237">
        <f t="shared" si="331"/>
        <v>2229363.7040512627</v>
      </c>
      <c r="BJ339" s="237">
        <f t="shared" si="331"/>
        <v>2234612.3614479108</v>
      </c>
      <c r="BK339" s="237">
        <f t="shared" si="331"/>
        <v>2239349.3198187775</v>
      </c>
      <c r="BL339" s="237">
        <f t="shared" si="331"/>
        <v>2243571.1526546697</v>
      </c>
      <c r="BM339" s="237">
        <f t="shared" si="331"/>
        <v>2247274.7877973882</v>
      </c>
      <c r="BN339" s="237">
        <f t="shared" si="331"/>
        <v>2250457.5111558926</v>
      </c>
      <c r="BO339" s="237">
        <f t="shared" si="331"/>
        <v>2253116.9700113437</v>
      </c>
      <c r="BP339" s="23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row>
    <row r="340" spans="1:96" ht="14.25" customHeight="1" x14ac:dyDescent="0.3">
      <c r="A340" s="982"/>
      <c r="D340" s="944"/>
      <c r="E340" s="232"/>
      <c r="F340" s="234" t="s">
        <v>543</v>
      </c>
      <c r="G340" s="237">
        <f t="shared" ref="G340:M340" si="332">0.248*G317</f>
        <v>1302876.9280000001</v>
      </c>
      <c r="H340" s="237">
        <f t="shared" si="332"/>
        <v>1329008.192</v>
      </c>
      <c r="I340" s="237">
        <f t="shared" si="332"/>
        <v>1298416.3999999999</v>
      </c>
      <c r="J340" s="237">
        <f t="shared" si="332"/>
        <v>1273262.2560000001</v>
      </c>
      <c r="K340" s="237">
        <f t="shared" si="332"/>
        <v>1141946.7520000001</v>
      </c>
      <c r="L340" s="237">
        <f t="shared" si="332"/>
        <v>1020572.824</v>
      </c>
      <c r="M340" s="237">
        <f t="shared" si="332"/>
        <v>1023573.128</v>
      </c>
      <c r="N340" s="237">
        <f>0.248*N317</f>
        <v>1039271.528</v>
      </c>
      <c r="O340" s="237">
        <f>0.248*O317</f>
        <v>1006085.4079999999</v>
      </c>
      <c r="P340" s="237">
        <f t="shared" ref="P340:BO340" si="333">0.248*P317</f>
        <v>1067948.5120000001</v>
      </c>
      <c r="Q340" s="237">
        <f t="shared" si="333"/>
        <v>1075309.152</v>
      </c>
      <c r="R340" s="237">
        <f t="shared" si="333"/>
        <v>1008598.64</v>
      </c>
      <c r="S340" s="237">
        <f>0.248*S317</f>
        <v>1022157.4919325343</v>
      </c>
      <c r="T340" s="237">
        <f t="shared" si="333"/>
        <v>1035600.7184803484</v>
      </c>
      <c r="U340" s="237">
        <f t="shared" si="333"/>
        <v>1048920.3082531495</v>
      </c>
      <c r="V340" s="237">
        <f t="shared" si="333"/>
        <v>1062113.7612426197</v>
      </c>
      <c r="W340" s="237">
        <f t="shared" si="333"/>
        <v>1075166.3046723322</v>
      </c>
      <c r="X340" s="237">
        <f t="shared" si="333"/>
        <v>1088072.9953440221</v>
      </c>
      <c r="Y340" s="237">
        <f t="shared" si="333"/>
        <v>1100824.5718632368</v>
      </c>
      <c r="Z340" s="237">
        <f t="shared" si="333"/>
        <v>1113419.2160421093</v>
      </c>
      <c r="AA340" s="237">
        <f t="shared" si="333"/>
        <v>1125842.7801062923</v>
      </c>
      <c r="AB340" s="237">
        <f t="shared" si="333"/>
        <v>1138088.6163063946</v>
      </c>
      <c r="AC340" s="237">
        <f t="shared" si="333"/>
        <v>1150148.1450684143</v>
      </c>
      <c r="AD340" s="237">
        <f t="shared" si="333"/>
        <v>1162011.4231774493</v>
      </c>
      <c r="AE340" s="237">
        <f t="shared" si="333"/>
        <v>1173673.5642536052</v>
      </c>
      <c r="AF340" s="237">
        <f t="shared" si="333"/>
        <v>1185126.0455412511</v>
      </c>
      <c r="AG340" s="237">
        <f t="shared" si="333"/>
        <v>1196363.8670237509</v>
      </c>
      <c r="AH340" s="237">
        <f t="shared" si="333"/>
        <v>1207377.426396427</v>
      </c>
      <c r="AI340" s="237">
        <f t="shared" si="333"/>
        <v>1218162.9168284317</v>
      </c>
      <c r="AJ340" s="237">
        <f t="shared" si="333"/>
        <v>1228713.2360234058</v>
      </c>
      <c r="AK340" s="237">
        <f t="shared" si="333"/>
        <v>1239023.4407830834</v>
      </c>
      <c r="AL340" s="237">
        <f t="shared" si="333"/>
        <v>1249092.2242849353</v>
      </c>
      <c r="AM340" s="237">
        <f t="shared" si="333"/>
        <v>1258916.1206083377</v>
      </c>
      <c r="AN340" s="237">
        <f t="shared" si="333"/>
        <v>1268489.0501876078</v>
      </c>
      <c r="AO340" s="237">
        <f t="shared" si="333"/>
        <v>1277809.7630185867</v>
      </c>
      <c r="AP340" s="237">
        <f t="shared" si="333"/>
        <v>1286872.179535591</v>
      </c>
      <c r="AQ340" s="237">
        <f t="shared" si="333"/>
        <v>1295674.7656426076</v>
      </c>
      <c r="AR340" s="237">
        <f t="shared" si="333"/>
        <v>1304218.9417989079</v>
      </c>
      <c r="AS340" s="237">
        <f t="shared" si="333"/>
        <v>1312497.3784346497</v>
      </c>
      <c r="AT340" s="237">
        <f t="shared" si="333"/>
        <v>1320512.2914662967</v>
      </c>
      <c r="AU340" s="237">
        <f t="shared" si="333"/>
        <v>1328266.4649940219</v>
      </c>
      <c r="AV340" s="237">
        <f t="shared" si="333"/>
        <v>1335754.6698011851</v>
      </c>
      <c r="AW340" s="237">
        <f t="shared" si="333"/>
        <v>1342971.8318614436</v>
      </c>
      <c r="AX340" s="237">
        <f t="shared" si="333"/>
        <v>1349913.0380462357</v>
      </c>
      <c r="AY340" s="237">
        <f t="shared" si="333"/>
        <v>1356573.5416784487</v>
      </c>
      <c r="AZ340" s="237">
        <f t="shared" si="333"/>
        <v>1362948.7679235209</v>
      </c>
      <c r="BA340" s="237">
        <f t="shared" si="333"/>
        <v>1369034.3190094358</v>
      </c>
      <c r="BB340" s="237">
        <f t="shared" si="333"/>
        <v>1374825.979267298</v>
      </c>
      <c r="BC340" s="237">
        <f t="shared" si="333"/>
        <v>1380319.7199844299</v>
      </c>
      <c r="BD340" s="237">
        <f t="shared" si="333"/>
        <v>1385511.7040621908</v>
      </c>
      <c r="BE340" s="237">
        <f t="shared" si="333"/>
        <v>1390398.2904710013</v>
      </c>
      <c r="BF340" s="237">
        <f t="shared" si="333"/>
        <v>1394976.0384953513</v>
      </c>
      <c r="BG340" s="237">
        <f t="shared" si="333"/>
        <v>1399241.7117618802</v>
      </c>
      <c r="BH340" s="237">
        <f t="shared" si="333"/>
        <v>1403192.2820439436</v>
      </c>
      <c r="BI340" s="237">
        <f t="shared" si="333"/>
        <v>1406824.9328364201</v>
      </c>
      <c r="BJ340" s="237">
        <f t="shared" si="333"/>
        <v>1410137.0626948646</v>
      </c>
      <c r="BK340" s="237">
        <f t="shared" si="333"/>
        <v>1413126.2883334779</v>
      </c>
      <c r="BL340" s="237">
        <f t="shared" si="333"/>
        <v>1415790.4474767379</v>
      </c>
      <c r="BM340" s="237">
        <f t="shared" si="333"/>
        <v>1418127.6014599295</v>
      </c>
      <c r="BN340" s="237">
        <f t="shared" si="333"/>
        <v>1420136.0375742021</v>
      </c>
      <c r="BO340" s="237">
        <f t="shared" si="333"/>
        <v>1421814.2711521967</v>
      </c>
      <c r="BP340" s="231"/>
    </row>
    <row r="341" spans="1:96" ht="14.25" customHeight="1" x14ac:dyDescent="0.3">
      <c r="A341" s="56"/>
      <c r="B341" s="56"/>
      <c r="C341" s="56"/>
      <c r="D341" s="944"/>
      <c r="E341" s="232"/>
      <c r="F341" s="234" t="s">
        <v>544</v>
      </c>
      <c r="G341" s="237">
        <f t="shared" ref="G341:M341" si="334">0.359*G317</f>
        <v>1886019.4239999999</v>
      </c>
      <c r="H341" s="237">
        <f t="shared" si="334"/>
        <v>1923846.5359999998</v>
      </c>
      <c r="I341" s="237">
        <f t="shared" si="334"/>
        <v>1879562.45</v>
      </c>
      <c r="J341" s="237">
        <f t="shared" si="334"/>
        <v>1843149.798</v>
      </c>
      <c r="K341" s="237">
        <f t="shared" si="334"/>
        <v>1653060.0159999998</v>
      </c>
      <c r="L341" s="237">
        <f t="shared" si="334"/>
        <v>1477361.4669999999</v>
      </c>
      <c r="M341" s="237">
        <f t="shared" si="334"/>
        <v>1481704.649</v>
      </c>
      <c r="N341" s="237">
        <f>0.359*N317</f>
        <v>1504429.3489999999</v>
      </c>
      <c r="O341" s="237">
        <f>0.359*O317</f>
        <v>1456389.764</v>
      </c>
      <c r="P341" s="237">
        <f t="shared" ref="P341:BO341" si="335">0.359*P317</f>
        <v>1545941.5959999999</v>
      </c>
      <c r="Q341" s="237">
        <f t="shared" si="335"/>
        <v>1556596.716</v>
      </c>
      <c r="R341" s="237">
        <f t="shared" si="335"/>
        <v>1460027.8699999999</v>
      </c>
      <c r="S341" s="237">
        <f>0.359*S317</f>
        <v>1479655.4016281443</v>
      </c>
      <c r="T341" s="237">
        <f t="shared" si="335"/>
        <v>1499115.5561872784</v>
      </c>
      <c r="U341" s="237">
        <f t="shared" si="335"/>
        <v>1518396.7365438736</v>
      </c>
      <c r="V341" s="237">
        <f t="shared" si="335"/>
        <v>1537495.323734276</v>
      </c>
      <c r="W341" s="237">
        <f t="shared" si="335"/>
        <v>1556389.9329732552</v>
      </c>
      <c r="X341" s="237">
        <f t="shared" si="335"/>
        <v>1575073.4085826771</v>
      </c>
      <c r="Y341" s="237">
        <f t="shared" si="335"/>
        <v>1593532.3439471854</v>
      </c>
      <c r="Z341" s="237">
        <f t="shared" si="335"/>
        <v>1611764.1070932145</v>
      </c>
      <c r="AA341" s="237">
        <f t="shared" si="335"/>
        <v>1629748.2179764474</v>
      </c>
      <c r="AB341" s="237">
        <f t="shared" si="335"/>
        <v>1647475.0534435308</v>
      </c>
      <c r="AC341" s="237">
        <f t="shared" si="335"/>
        <v>1664932.1938691963</v>
      </c>
      <c r="AD341" s="237">
        <f t="shared" si="335"/>
        <v>1682105.2456480011</v>
      </c>
      <c r="AE341" s="237">
        <f t="shared" si="335"/>
        <v>1698987.1353509848</v>
      </c>
      <c r="AF341" s="237">
        <f t="shared" si="335"/>
        <v>1715565.5256020532</v>
      </c>
      <c r="AG341" s="237">
        <f t="shared" si="335"/>
        <v>1731833.1784738973</v>
      </c>
      <c r="AH341" s="237">
        <f t="shared" si="335"/>
        <v>1747776.1938561182</v>
      </c>
      <c r="AI341" s="237">
        <f t="shared" si="335"/>
        <v>1763389.0610540602</v>
      </c>
      <c r="AJ341" s="237">
        <f t="shared" si="335"/>
        <v>1778661.4989209785</v>
      </c>
      <c r="AK341" s="237">
        <f t="shared" si="335"/>
        <v>1793586.3517787377</v>
      </c>
      <c r="AL341" s="237">
        <f t="shared" si="335"/>
        <v>1808161.7278963376</v>
      </c>
      <c r="AM341" s="237">
        <f t="shared" si="335"/>
        <v>1822382.6100741662</v>
      </c>
      <c r="AN341" s="237">
        <f t="shared" si="335"/>
        <v>1836240.1976506095</v>
      </c>
      <c r="AO341" s="237">
        <f t="shared" si="335"/>
        <v>1849732.681143841</v>
      </c>
      <c r="AP341" s="237">
        <f t="shared" si="335"/>
        <v>1862851.2598922465</v>
      </c>
      <c r="AQ341" s="237">
        <f t="shared" si="335"/>
        <v>1875593.7131681293</v>
      </c>
      <c r="AR341" s="237">
        <f t="shared" si="335"/>
        <v>1887962.0972008384</v>
      </c>
      <c r="AS341" s="237">
        <f t="shared" si="335"/>
        <v>1899945.8018469322</v>
      </c>
      <c r="AT341" s="237">
        <f t="shared" si="335"/>
        <v>1911548.0348241956</v>
      </c>
      <c r="AU341" s="237">
        <f t="shared" si="335"/>
        <v>1922772.8263421527</v>
      </c>
      <c r="AV341" s="237">
        <f t="shared" si="335"/>
        <v>1933612.6066880058</v>
      </c>
      <c r="AW341" s="237">
        <f t="shared" si="335"/>
        <v>1944060.0307994285</v>
      </c>
      <c r="AX341" s="237">
        <f t="shared" si="335"/>
        <v>1954107.9865266073</v>
      </c>
      <c r="AY341" s="237">
        <f t="shared" si="335"/>
        <v>1963749.6026716251</v>
      </c>
      <c r="AZ341" s="237">
        <f t="shared" si="335"/>
        <v>1972978.256792516</v>
      </c>
      <c r="BA341" s="237">
        <f t="shared" si="335"/>
        <v>1981787.5827596269</v>
      </c>
      <c r="BB341" s="237">
        <f t="shared" si="335"/>
        <v>1990171.4780522578</v>
      </c>
      <c r="BC341" s="237">
        <f t="shared" si="335"/>
        <v>1998124.1107839125</v>
      </c>
      <c r="BD341" s="237">
        <f t="shared" si="335"/>
        <v>2005639.9264448648</v>
      </c>
      <c r="BE341" s="237">
        <f t="shared" si="335"/>
        <v>2012713.6543511671</v>
      </c>
      <c r="BF341" s="237">
        <f t="shared" si="335"/>
        <v>2019340.3137896415</v>
      </c>
      <c r="BG341" s="237">
        <f t="shared" si="335"/>
        <v>2025515.2198488505</v>
      </c>
      <c r="BH341" s="237">
        <f t="shared" si="335"/>
        <v>2031233.988926515</v>
      </c>
      <c r="BI341" s="237">
        <f t="shared" si="335"/>
        <v>2036492.5439043341</v>
      </c>
      <c r="BJ341" s="237">
        <f t="shared" si="335"/>
        <v>2041287.118981679</v>
      </c>
      <c r="BK341" s="237">
        <f t="shared" si="335"/>
        <v>2045614.2641601553</v>
      </c>
      <c r="BL341" s="237">
        <f t="shared" si="335"/>
        <v>2049470.8493715683</v>
      </c>
      <c r="BM341" s="237">
        <f t="shared" si="335"/>
        <v>2052854.0682423979</v>
      </c>
      <c r="BN341" s="237">
        <f t="shared" si="335"/>
        <v>2055761.4414884618</v>
      </c>
      <c r="BO341" s="237">
        <f t="shared" si="335"/>
        <v>2058190.8199340266</v>
      </c>
      <c r="BP341" s="231"/>
    </row>
    <row r="342" spans="1:96" ht="12.75" customHeight="1" x14ac:dyDescent="0.3">
      <c r="A342" s="960"/>
      <c r="B342" s="960"/>
      <c r="C342" s="960"/>
      <c r="D342" s="944"/>
      <c r="E342" s="232"/>
      <c r="F342" s="238"/>
      <c r="G342" s="241"/>
      <c r="H342" s="241"/>
      <c r="I342" s="241"/>
      <c r="J342" s="241"/>
      <c r="K342" s="241"/>
      <c r="L342" s="242"/>
      <c r="M342" s="242"/>
      <c r="N342" s="242"/>
      <c r="O342" s="242"/>
      <c r="P342" s="242"/>
      <c r="Q342" s="242"/>
      <c r="R342" s="242"/>
      <c r="S342" s="242"/>
      <c r="T342" s="242"/>
      <c r="U342" s="242"/>
      <c r="V342" s="242"/>
      <c r="W342" s="242"/>
      <c r="X342" s="242"/>
      <c r="Y342" s="242"/>
      <c r="Z342" s="242"/>
      <c r="AA342" s="242"/>
      <c r="AB342" s="242"/>
      <c r="AC342" s="242"/>
      <c r="AD342" s="242"/>
      <c r="AE342" s="242"/>
      <c r="AF342" s="242"/>
      <c r="AG342" s="242"/>
      <c r="AH342" s="242"/>
      <c r="AI342" s="242"/>
      <c r="AJ342" s="242"/>
      <c r="AK342" s="242"/>
      <c r="AL342" s="242"/>
      <c r="AM342" s="242"/>
      <c r="AN342" s="242"/>
      <c r="AO342" s="242"/>
      <c r="AP342" s="242"/>
      <c r="AQ342" s="242"/>
      <c r="AR342" s="242"/>
      <c r="AS342" s="242"/>
      <c r="AT342" s="242"/>
      <c r="AU342" s="242"/>
      <c r="AV342" s="242"/>
      <c r="AW342" s="242"/>
      <c r="AX342" s="242"/>
      <c r="AY342" s="242"/>
      <c r="AZ342" s="242"/>
      <c r="BA342" s="242"/>
      <c r="BB342" s="242"/>
      <c r="BC342" s="242"/>
      <c r="BD342" s="242"/>
      <c r="BE342" s="242"/>
      <c r="BF342" s="242"/>
      <c r="BG342" s="242"/>
      <c r="BH342" s="242"/>
      <c r="BI342" s="242"/>
      <c r="BJ342" s="242"/>
      <c r="BK342" s="242"/>
      <c r="BL342" s="242"/>
      <c r="BM342" s="242"/>
      <c r="BN342" s="242"/>
      <c r="BO342" s="242"/>
      <c r="BP342" s="231"/>
    </row>
    <row r="343" spans="1:96" ht="14.25" customHeight="1" x14ac:dyDescent="0.3">
      <c r="A343" s="960"/>
      <c r="B343" s="960"/>
      <c r="C343" s="960"/>
      <c r="D343" s="944"/>
      <c r="E343" s="226"/>
      <c r="F343" s="227" t="s">
        <v>545</v>
      </c>
      <c r="G343" s="228"/>
      <c r="H343" s="228"/>
      <c r="I343" s="228"/>
      <c r="J343" s="228"/>
      <c r="K343" s="228"/>
      <c r="L343" s="229"/>
      <c r="M343" s="230"/>
      <c r="N343" s="230"/>
      <c r="O343" s="230"/>
      <c r="P343" s="230"/>
      <c r="Q343" s="230"/>
      <c r="R343" s="230"/>
      <c r="S343" s="230"/>
      <c r="T343" s="230"/>
      <c r="U343" s="230"/>
      <c r="V343" s="230"/>
      <c r="W343" s="230"/>
      <c r="X343" s="230"/>
      <c r="Y343" s="230"/>
      <c r="Z343" s="230"/>
      <c r="AA343" s="230"/>
      <c r="AB343" s="230"/>
      <c r="AC343" s="230"/>
      <c r="AD343" s="230"/>
      <c r="AE343" s="230"/>
      <c r="AF343" s="230"/>
      <c r="AG343" s="230"/>
      <c r="AH343" s="230"/>
      <c r="AI343" s="230"/>
      <c r="AJ343" s="230"/>
      <c r="AK343" s="230"/>
      <c r="AL343" s="230"/>
      <c r="AM343" s="230"/>
      <c r="AN343" s="230"/>
      <c r="AO343" s="230"/>
      <c r="AP343" s="230"/>
      <c r="AQ343" s="230"/>
      <c r="AR343" s="230"/>
      <c r="AS343" s="230"/>
      <c r="AT343" s="230"/>
      <c r="AU343" s="230"/>
      <c r="AV343" s="230"/>
      <c r="AW343" s="230"/>
      <c r="AX343" s="230"/>
      <c r="AY343" s="230"/>
      <c r="AZ343" s="230"/>
      <c r="BA343" s="230"/>
      <c r="BB343" s="230"/>
      <c r="BC343" s="230"/>
      <c r="BD343" s="230"/>
      <c r="BE343" s="230"/>
      <c r="BF343" s="230"/>
      <c r="BG343" s="230"/>
      <c r="BH343" s="230"/>
      <c r="BI343" s="230"/>
      <c r="BJ343" s="230"/>
      <c r="BK343" s="230"/>
      <c r="BL343" s="230"/>
      <c r="BM343" s="230"/>
      <c r="BN343" s="230"/>
      <c r="BO343" s="230"/>
      <c r="BP343" s="231"/>
    </row>
    <row r="344" spans="1:96" ht="14.25" customHeight="1" x14ac:dyDescent="0.3">
      <c r="A344" s="960"/>
      <c r="B344" s="960"/>
      <c r="C344" s="960"/>
      <c r="D344" s="944"/>
      <c r="E344" s="232"/>
      <c r="F344" s="233" t="s">
        <v>546</v>
      </c>
      <c r="G344" s="228"/>
      <c r="H344" s="228"/>
      <c r="I344" s="228"/>
      <c r="J344" s="228"/>
      <c r="K344" s="228"/>
      <c r="L344" s="229"/>
      <c r="M344" s="230"/>
      <c r="N344" s="230"/>
      <c r="O344" s="230"/>
      <c r="P344" s="230"/>
      <c r="Q344" s="230"/>
      <c r="R344" s="230"/>
      <c r="S344" s="230"/>
      <c r="T344" s="230"/>
      <c r="U344" s="230"/>
      <c r="V344" s="230"/>
      <c r="W344" s="230"/>
      <c r="X344" s="230"/>
      <c r="Y344" s="230"/>
      <c r="Z344" s="230"/>
      <c r="AA344" s="230"/>
      <c r="AB344" s="230"/>
      <c r="AC344" s="230"/>
      <c r="AD344" s="230"/>
      <c r="AE344" s="230"/>
      <c r="AF344" s="230"/>
      <c r="AG344" s="230"/>
      <c r="AH344" s="230"/>
      <c r="AI344" s="230"/>
      <c r="AJ344" s="230"/>
      <c r="AK344" s="230"/>
      <c r="AL344" s="230"/>
      <c r="AM344" s="230"/>
      <c r="AN344" s="230"/>
      <c r="AO344" s="230"/>
      <c r="AP344" s="230"/>
      <c r="AQ344" s="230"/>
      <c r="AR344" s="230"/>
      <c r="AS344" s="230"/>
      <c r="AT344" s="230"/>
      <c r="AU344" s="230"/>
      <c r="AV344" s="230"/>
      <c r="AW344" s="230"/>
      <c r="AX344" s="230"/>
      <c r="AY344" s="230"/>
      <c r="AZ344" s="230"/>
      <c r="BA344" s="230"/>
      <c r="BB344" s="230"/>
      <c r="BC344" s="230"/>
      <c r="BD344" s="230"/>
      <c r="BE344" s="230"/>
      <c r="BF344" s="230"/>
      <c r="BG344" s="230"/>
      <c r="BH344" s="230"/>
      <c r="BI344" s="230"/>
      <c r="BJ344" s="230"/>
      <c r="BK344" s="230"/>
      <c r="BL344" s="230"/>
      <c r="BM344" s="230"/>
      <c r="BN344" s="230"/>
      <c r="BO344" s="230"/>
      <c r="BP344" s="231"/>
    </row>
    <row r="345" spans="1:96" ht="13.25" customHeight="1" x14ac:dyDescent="0.3">
      <c r="A345" s="960" t="s">
        <v>6</v>
      </c>
      <c r="B345" s="960"/>
      <c r="C345" s="960"/>
      <c r="D345" s="944"/>
      <c r="E345" s="232"/>
      <c r="F345" s="234" t="s">
        <v>547</v>
      </c>
      <c r="G345" s="243">
        <v>4.9199240000000009</v>
      </c>
      <c r="H345" s="243">
        <v>4.8109590000000004</v>
      </c>
      <c r="I345" s="243">
        <v>4.9761220000000002</v>
      </c>
      <c r="J345" s="243">
        <v>4.8506799999999997</v>
      </c>
      <c r="K345" s="243">
        <v>3.0877800000000004</v>
      </c>
      <c r="L345" s="244">
        <v>3.238219</v>
      </c>
      <c r="M345" s="244">
        <v>3.101035</v>
      </c>
      <c r="N345" s="244">
        <v>3.1255449999999998</v>
      </c>
      <c r="O345" s="244">
        <v>3.0943149999999999</v>
      </c>
      <c r="P345" s="244">
        <v>2.9013369999999998</v>
      </c>
      <c r="Q345" s="244">
        <v>2.9091149999999999</v>
      </c>
      <c r="R345" s="244">
        <v>3.0226899999999999</v>
      </c>
      <c r="S345" s="859">
        <f>(S317/S349)/1000000</f>
        <v>3.0633248021131103</v>
      </c>
      <c r="T345" s="859">
        <f>(T317/T349)/1000000</f>
        <v>3.1036130841336096</v>
      </c>
      <c r="U345" s="859">
        <f t="shared" ref="U345:BO345" si="336">(U317/U349)/1000000</f>
        <v>3.1435308365612236</v>
      </c>
      <c r="V345" s="859">
        <f t="shared" si="336"/>
        <v>3.1830705670696262</v>
      </c>
      <c r="W345" s="859">
        <f t="shared" si="336"/>
        <v>3.222188002821432</v>
      </c>
      <c r="X345" s="859">
        <f t="shared" si="336"/>
        <v>3.2608683294441305</v>
      </c>
      <c r="Y345" s="859">
        <f t="shared" si="336"/>
        <v>3.2990837912742843</v>
      </c>
      <c r="Z345" s="859">
        <f t="shared" si="336"/>
        <v>3.3368289393472943</v>
      </c>
      <c r="AA345" s="859">
        <f t="shared" si="336"/>
        <v>3.3740613739073542</v>
      </c>
      <c r="AB345" s="859">
        <f t="shared" si="336"/>
        <v>3.4107611721776423</v>
      </c>
      <c r="AC345" s="859">
        <f t="shared" si="336"/>
        <v>3.4469026218564456</v>
      </c>
      <c r="AD345" s="859">
        <f t="shared" si="336"/>
        <v>3.4824559239186006</v>
      </c>
      <c r="AE345" s="859">
        <f t="shared" si="336"/>
        <v>3.5174064342717433</v>
      </c>
      <c r="AF345" s="859">
        <f t="shared" si="336"/>
        <v>3.5517286108943042</v>
      </c>
      <c r="AG345" s="859">
        <f t="shared" si="336"/>
        <v>3.5854074691336302</v>
      </c>
      <c r="AH345" s="859">
        <f t="shared" si="336"/>
        <v>3.6184142316454206</v>
      </c>
      <c r="AI345" s="859">
        <f t="shared" si="336"/>
        <v>3.6507374896600417</v>
      </c>
      <c r="AJ345" s="859">
        <f t="shared" si="336"/>
        <v>3.6823559581595195</v>
      </c>
      <c r="AK345" s="859">
        <f t="shared" si="336"/>
        <v>3.7132548227713444</v>
      </c>
      <c r="AL345" s="859">
        <f t="shared" si="336"/>
        <v>3.743430167052209</v>
      </c>
      <c r="AM345" s="859">
        <f t="shared" si="336"/>
        <v>3.7728716039133428</v>
      </c>
      <c r="AN345" s="859">
        <f t="shared" si="336"/>
        <v>3.80156091337936</v>
      </c>
      <c r="AO345" s="859">
        <f t="shared" si="336"/>
        <v>3.8294943492870979</v>
      </c>
      <c r="AP345" s="859">
        <f t="shared" si="336"/>
        <v>3.8566536916611702</v>
      </c>
      <c r="AQ345" s="859">
        <f t="shared" si="336"/>
        <v>3.8830343429376959</v>
      </c>
      <c r="AR345" s="859">
        <f t="shared" si="336"/>
        <v>3.9086405601202681</v>
      </c>
      <c r="AS345" s="859">
        <f t="shared" si="336"/>
        <v>3.9334503770703391</v>
      </c>
      <c r="AT345" s="859">
        <f t="shared" si="336"/>
        <v>3.9574704347135157</v>
      </c>
      <c r="AU345" s="859">
        <f t="shared" si="336"/>
        <v>3.980709076776844</v>
      </c>
      <c r="AV345" s="859">
        <f t="shared" si="336"/>
        <v>4.003150631713468</v>
      </c>
      <c r="AW345" s="859">
        <f t="shared" si="336"/>
        <v>4.0247798930695238</v>
      </c>
      <c r="AX345" s="859">
        <f t="shared" si="336"/>
        <v>4.0455821365890161</v>
      </c>
      <c r="AY345" s="859">
        <f t="shared" si="336"/>
        <v>4.0655431368577197</v>
      </c>
      <c r="AZ345" s="859">
        <f t="shared" si="336"/>
        <v>4.0846491834598817</v>
      </c>
      <c r="BA345" s="859">
        <f t="shared" si="336"/>
        <v>4.1028870966221325</v>
      </c>
      <c r="BB345" s="859">
        <f t="shared" si="336"/>
        <v>4.1202442423196892</v>
      </c>
      <c r="BC345" s="859">
        <f t="shared" si="336"/>
        <v>4.1367085468207021</v>
      </c>
      <c r="BD345" s="859">
        <f t="shared" si="336"/>
        <v>4.1522685106453681</v>
      </c>
      <c r="BE345" s="859">
        <f t="shared" si="336"/>
        <v>4.1669132219172837</v>
      </c>
      <c r="BF345" s="859">
        <f t="shared" si="336"/>
        <v>4.1806323690854006</v>
      </c>
      <c r="BG345" s="859">
        <f t="shared" si="336"/>
        <v>4.1934162529958572</v>
      </c>
      <c r="BH345" s="859">
        <f t="shared" si="336"/>
        <v>4.2052557982939653</v>
      </c>
      <c r="BI345" s="859">
        <f t="shared" si="336"/>
        <v>4.2161425641376225</v>
      </c>
      <c r="BJ345" s="859">
        <f t="shared" si="336"/>
        <v>4.226068754204487</v>
      </c>
      <c r="BK345" s="859">
        <f t="shared" si="336"/>
        <v>4.2350272259763511</v>
      </c>
      <c r="BL345" s="859">
        <f t="shared" si="336"/>
        <v>4.243011499285247</v>
      </c>
      <c r="BM345" s="859">
        <f t="shared" si="336"/>
        <v>4.2500157641070331</v>
      </c>
      <c r="BN345" s="859">
        <f t="shared" si="336"/>
        <v>4.2560348875893439</v>
      </c>
      <c r="BO345" s="859">
        <f t="shared" si="336"/>
        <v>4.2610644203020476</v>
      </c>
      <c r="BP345" s="231"/>
    </row>
    <row r="346" spans="1:96" ht="12.75" customHeight="1" x14ac:dyDescent="0.3">
      <c r="A346" s="960"/>
      <c r="B346" s="960"/>
      <c r="C346" s="960"/>
      <c r="D346" s="944"/>
      <c r="E346" s="232"/>
      <c r="F346" s="238"/>
      <c r="G346" s="241"/>
      <c r="H346" s="241"/>
      <c r="I346" s="241"/>
      <c r="J346" s="241"/>
      <c r="K346" s="241"/>
      <c r="L346" s="242"/>
      <c r="M346" s="242"/>
      <c r="N346" s="242"/>
      <c r="O346" s="242"/>
      <c r="P346" s="242"/>
      <c r="Q346" s="242"/>
      <c r="R346" s="242"/>
      <c r="S346" s="242"/>
      <c r="T346" s="242"/>
      <c r="U346" s="242"/>
      <c r="V346" s="242"/>
      <c r="W346" s="242"/>
      <c r="X346" s="242"/>
      <c r="Y346" s="242"/>
      <c r="Z346" s="242"/>
      <c r="AA346" s="242"/>
      <c r="AB346" s="242"/>
      <c r="AC346" s="242"/>
      <c r="AD346" s="242"/>
      <c r="AE346" s="242"/>
      <c r="AF346" s="242"/>
      <c r="AG346" s="242"/>
      <c r="AH346" s="242"/>
      <c r="AI346" s="242"/>
      <c r="AJ346" s="242"/>
      <c r="AK346" s="242"/>
      <c r="AL346" s="242"/>
      <c r="AM346" s="242"/>
      <c r="AN346" s="242"/>
      <c r="AO346" s="242"/>
      <c r="AP346" s="242"/>
      <c r="AQ346" s="242"/>
      <c r="AR346" s="242"/>
      <c r="AS346" s="242"/>
      <c r="AT346" s="242"/>
      <c r="AU346" s="242"/>
      <c r="AV346" s="242"/>
      <c r="AW346" s="242"/>
      <c r="AX346" s="242"/>
      <c r="AY346" s="242"/>
      <c r="AZ346" s="242"/>
      <c r="BA346" s="242"/>
      <c r="BB346" s="242"/>
      <c r="BC346" s="242"/>
      <c r="BD346" s="242"/>
      <c r="BE346" s="242"/>
      <c r="BF346" s="242"/>
      <c r="BG346" s="242"/>
      <c r="BH346" s="242"/>
      <c r="BI346" s="242"/>
      <c r="BJ346" s="242"/>
      <c r="BK346" s="242"/>
      <c r="BL346" s="242"/>
      <c r="BM346" s="242"/>
      <c r="BN346" s="242"/>
      <c r="BO346" s="242"/>
      <c r="BP346" s="231"/>
    </row>
    <row r="347" spans="1:96" ht="14.25" customHeight="1" x14ac:dyDescent="0.3">
      <c r="A347" s="960"/>
      <c r="B347" s="960"/>
      <c r="C347" s="960"/>
      <c r="D347" s="944"/>
      <c r="E347" s="232"/>
      <c r="F347" s="227" t="s">
        <v>548</v>
      </c>
      <c r="G347" s="228"/>
      <c r="H347" s="228"/>
      <c r="I347" s="228"/>
      <c r="J347" s="228"/>
      <c r="K347" s="228"/>
      <c r="L347" s="229"/>
      <c r="M347" s="230"/>
      <c r="N347" s="230"/>
      <c r="O347" s="230"/>
      <c r="P347" s="230"/>
      <c r="Q347" s="230"/>
      <c r="R347" s="230"/>
      <c r="S347" s="230"/>
      <c r="T347" s="230"/>
      <c r="U347" s="230"/>
      <c r="V347" s="230"/>
      <c r="W347" s="230"/>
      <c r="X347" s="230"/>
      <c r="Y347" s="230"/>
      <c r="Z347" s="230"/>
      <c r="AA347" s="230"/>
      <c r="AB347" s="230"/>
      <c r="AC347" s="230"/>
      <c r="AD347" s="230"/>
      <c r="AE347" s="230"/>
      <c r="AF347" s="230"/>
      <c r="AG347" s="230"/>
      <c r="AH347" s="230"/>
      <c r="AI347" s="230"/>
      <c r="AJ347" s="230"/>
      <c r="AK347" s="230"/>
      <c r="AL347" s="230"/>
      <c r="AM347" s="230"/>
      <c r="AN347" s="230"/>
      <c r="AO347" s="230"/>
      <c r="AP347" s="230"/>
      <c r="AQ347" s="230"/>
      <c r="AR347" s="230"/>
      <c r="AS347" s="230"/>
      <c r="AT347" s="230"/>
      <c r="AU347" s="230"/>
      <c r="AV347" s="230"/>
      <c r="AW347" s="230"/>
      <c r="AX347" s="230"/>
      <c r="AY347" s="230"/>
      <c r="AZ347" s="230"/>
      <c r="BA347" s="230"/>
      <c r="BB347" s="230"/>
      <c r="BC347" s="230"/>
      <c r="BD347" s="230"/>
      <c r="BE347" s="230"/>
      <c r="BF347" s="230"/>
      <c r="BG347" s="230"/>
      <c r="BH347" s="230"/>
      <c r="BI347" s="230"/>
      <c r="BJ347" s="230"/>
      <c r="BK347" s="230"/>
      <c r="BL347" s="230"/>
      <c r="BM347" s="230"/>
      <c r="BN347" s="230"/>
      <c r="BO347" s="230"/>
      <c r="BP347" s="231"/>
    </row>
    <row r="348" spans="1:96" ht="14.25" customHeight="1" x14ac:dyDescent="0.3">
      <c r="A348" s="960"/>
      <c r="B348" s="960"/>
      <c r="C348" s="960"/>
      <c r="D348" s="944"/>
      <c r="E348" s="232"/>
      <c r="F348" s="233" t="s">
        <v>549</v>
      </c>
      <c r="G348" s="228"/>
      <c r="H348" s="228"/>
      <c r="I348" s="228"/>
      <c r="J348" s="228"/>
      <c r="K348" s="228"/>
      <c r="L348" s="229"/>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H348" s="230"/>
      <c r="AI348" s="230"/>
      <c r="AJ348" s="230"/>
      <c r="AK348" s="230"/>
      <c r="AL348" s="230"/>
      <c r="AM348" s="230"/>
      <c r="AN348" s="230"/>
      <c r="AO348" s="230"/>
      <c r="AP348" s="230"/>
      <c r="AQ348" s="230"/>
      <c r="AR348" s="230"/>
      <c r="AS348" s="230"/>
      <c r="AT348" s="230"/>
      <c r="AU348" s="230"/>
      <c r="AV348" s="230"/>
      <c r="AW348" s="230"/>
      <c r="AX348" s="230"/>
      <c r="AY348" s="230"/>
      <c r="AZ348" s="230"/>
      <c r="BA348" s="230"/>
      <c r="BB348" s="230"/>
      <c r="BC348" s="230"/>
      <c r="BD348" s="230"/>
      <c r="BE348" s="230"/>
      <c r="BF348" s="230"/>
      <c r="BG348" s="230"/>
      <c r="BH348" s="230"/>
      <c r="BI348" s="230"/>
      <c r="BJ348" s="230"/>
      <c r="BK348" s="230"/>
      <c r="BL348" s="230"/>
      <c r="BM348" s="230"/>
      <c r="BN348" s="230"/>
      <c r="BO348" s="230"/>
      <c r="BP348" s="231"/>
    </row>
    <row r="349" spans="1:96" ht="27" customHeight="1" x14ac:dyDescent="0.3">
      <c r="A349" s="964" t="s">
        <v>550</v>
      </c>
      <c r="B349" s="964"/>
      <c r="C349" s="964"/>
      <c r="D349" s="944"/>
      <c r="E349" s="232"/>
      <c r="F349" s="234" t="s">
        <v>551</v>
      </c>
      <c r="G349" s="246">
        <v>1.0678083645194518</v>
      </c>
      <c r="H349" s="246">
        <v>1.1138951714200849</v>
      </c>
      <c r="I349" s="246">
        <v>1.0521345738709782</v>
      </c>
      <c r="J349" s="246">
        <v>1.0584334567524554</v>
      </c>
      <c r="K349" s="246">
        <v>1.4912409562857456</v>
      </c>
      <c r="L349" s="891">
        <v>1.2708260312227184</v>
      </c>
      <c r="M349" s="891">
        <v>1.3309462808384942</v>
      </c>
      <c r="N349" s="891">
        <v>1.3407616911610616</v>
      </c>
      <c r="O349" s="891">
        <v>1.3110481641332572</v>
      </c>
      <c r="P349" s="891">
        <v>1.4842274441059415</v>
      </c>
      <c r="Q349" s="891">
        <v>1.4904615321154371</v>
      </c>
      <c r="R349" s="891">
        <v>1.3454671170381349</v>
      </c>
      <c r="S349" s="382">
        <f>R349</f>
        <v>1.3454671170381349</v>
      </c>
      <c r="T349" s="382">
        <f t="shared" ref="T349:BO349" si="337">S349</f>
        <v>1.3454671170381349</v>
      </c>
      <c r="U349" s="382">
        <f t="shared" si="337"/>
        <v>1.3454671170381349</v>
      </c>
      <c r="V349" s="382">
        <f t="shared" si="337"/>
        <v>1.3454671170381349</v>
      </c>
      <c r="W349" s="382">
        <f t="shared" si="337"/>
        <v>1.3454671170381349</v>
      </c>
      <c r="X349" s="382">
        <f t="shared" si="337"/>
        <v>1.3454671170381349</v>
      </c>
      <c r="Y349" s="382">
        <f t="shared" si="337"/>
        <v>1.3454671170381349</v>
      </c>
      <c r="Z349" s="382">
        <f t="shared" si="337"/>
        <v>1.3454671170381349</v>
      </c>
      <c r="AA349" s="382">
        <f t="shared" si="337"/>
        <v>1.3454671170381349</v>
      </c>
      <c r="AB349" s="382">
        <f t="shared" si="337"/>
        <v>1.3454671170381349</v>
      </c>
      <c r="AC349" s="382">
        <f t="shared" si="337"/>
        <v>1.3454671170381349</v>
      </c>
      <c r="AD349" s="382">
        <f t="shared" si="337"/>
        <v>1.3454671170381349</v>
      </c>
      <c r="AE349" s="382">
        <f t="shared" si="337"/>
        <v>1.3454671170381349</v>
      </c>
      <c r="AF349" s="382">
        <f t="shared" si="337"/>
        <v>1.3454671170381349</v>
      </c>
      <c r="AG349" s="382">
        <f t="shared" si="337"/>
        <v>1.3454671170381349</v>
      </c>
      <c r="AH349" s="382">
        <f t="shared" si="337"/>
        <v>1.3454671170381349</v>
      </c>
      <c r="AI349" s="382">
        <f t="shared" si="337"/>
        <v>1.3454671170381349</v>
      </c>
      <c r="AJ349" s="382">
        <f t="shared" si="337"/>
        <v>1.3454671170381349</v>
      </c>
      <c r="AK349" s="382">
        <f t="shared" si="337"/>
        <v>1.3454671170381349</v>
      </c>
      <c r="AL349" s="382">
        <f t="shared" si="337"/>
        <v>1.3454671170381349</v>
      </c>
      <c r="AM349" s="382">
        <f t="shared" si="337"/>
        <v>1.3454671170381349</v>
      </c>
      <c r="AN349" s="382">
        <f t="shared" si="337"/>
        <v>1.3454671170381349</v>
      </c>
      <c r="AO349" s="382">
        <f t="shared" si="337"/>
        <v>1.3454671170381349</v>
      </c>
      <c r="AP349" s="382">
        <f t="shared" si="337"/>
        <v>1.3454671170381349</v>
      </c>
      <c r="AQ349" s="382">
        <f t="shared" si="337"/>
        <v>1.3454671170381349</v>
      </c>
      <c r="AR349" s="382">
        <f t="shared" si="337"/>
        <v>1.3454671170381349</v>
      </c>
      <c r="AS349" s="382">
        <f t="shared" si="337"/>
        <v>1.3454671170381349</v>
      </c>
      <c r="AT349" s="382">
        <f t="shared" si="337"/>
        <v>1.3454671170381349</v>
      </c>
      <c r="AU349" s="382">
        <f t="shared" si="337"/>
        <v>1.3454671170381349</v>
      </c>
      <c r="AV349" s="382">
        <f t="shared" si="337"/>
        <v>1.3454671170381349</v>
      </c>
      <c r="AW349" s="382">
        <f t="shared" si="337"/>
        <v>1.3454671170381349</v>
      </c>
      <c r="AX349" s="382">
        <f t="shared" si="337"/>
        <v>1.3454671170381349</v>
      </c>
      <c r="AY349" s="382">
        <f t="shared" si="337"/>
        <v>1.3454671170381349</v>
      </c>
      <c r="AZ349" s="382">
        <f t="shared" si="337"/>
        <v>1.3454671170381349</v>
      </c>
      <c r="BA349" s="382">
        <f t="shared" si="337"/>
        <v>1.3454671170381349</v>
      </c>
      <c r="BB349" s="382">
        <f t="shared" si="337"/>
        <v>1.3454671170381349</v>
      </c>
      <c r="BC349" s="382">
        <f t="shared" si="337"/>
        <v>1.3454671170381349</v>
      </c>
      <c r="BD349" s="382">
        <f t="shared" si="337"/>
        <v>1.3454671170381349</v>
      </c>
      <c r="BE349" s="382">
        <f t="shared" si="337"/>
        <v>1.3454671170381349</v>
      </c>
      <c r="BF349" s="382">
        <f t="shared" si="337"/>
        <v>1.3454671170381349</v>
      </c>
      <c r="BG349" s="382">
        <f t="shared" si="337"/>
        <v>1.3454671170381349</v>
      </c>
      <c r="BH349" s="382">
        <f t="shared" si="337"/>
        <v>1.3454671170381349</v>
      </c>
      <c r="BI349" s="382">
        <f t="shared" si="337"/>
        <v>1.3454671170381349</v>
      </c>
      <c r="BJ349" s="382">
        <f t="shared" si="337"/>
        <v>1.3454671170381349</v>
      </c>
      <c r="BK349" s="382">
        <f t="shared" si="337"/>
        <v>1.3454671170381349</v>
      </c>
      <c r="BL349" s="382">
        <f t="shared" si="337"/>
        <v>1.3454671170381349</v>
      </c>
      <c r="BM349" s="382">
        <f t="shared" si="337"/>
        <v>1.3454671170381349</v>
      </c>
      <c r="BN349" s="382">
        <f t="shared" si="337"/>
        <v>1.3454671170381349</v>
      </c>
      <c r="BO349" s="382">
        <f t="shared" si="337"/>
        <v>1.3454671170381349</v>
      </c>
      <c r="BP349" s="231"/>
    </row>
    <row r="350" spans="1:96" ht="14.25" customHeight="1" thickBot="1" x14ac:dyDescent="0.4">
      <c r="A350" s="960"/>
      <c r="B350" s="960"/>
      <c r="C350" s="960"/>
      <c r="D350" s="944"/>
      <c r="E350" s="59"/>
      <c r="F350" s="247"/>
      <c r="G350" s="247"/>
      <c r="H350" s="247"/>
      <c r="I350" s="247"/>
      <c r="J350" s="247"/>
      <c r="K350" s="247"/>
      <c r="L350" s="248"/>
      <c r="M350" s="248"/>
      <c r="N350" s="248"/>
      <c r="O350" s="249"/>
      <c r="P350" s="249"/>
      <c r="Q350" s="249"/>
      <c r="R350" s="249"/>
      <c r="S350" s="249"/>
      <c r="T350" s="249"/>
      <c r="U350" s="249"/>
      <c r="V350" s="249"/>
      <c r="W350" s="249"/>
      <c r="X350" s="249"/>
      <c r="Y350" s="249"/>
      <c r="Z350" s="249"/>
      <c r="AA350" s="249"/>
      <c r="AB350" s="249"/>
      <c r="AC350" s="249"/>
      <c r="AD350" s="249"/>
      <c r="AE350" s="249"/>
      <c r="AF350" s="249"/>
      <c r="AG350" s="249"/>
      <c r="AH350" s="249"/>
      <c r="AI350" s="249"/>
      <c r="AJ350" s="249"/>
      <c r="AK350" s="249"/>
      <c r="AL350" s="249"/>
      <c r="AM350" s="249"/>
      <c r="AN350" s="249"/>
      <c r="AO350" s="249"/>
      <c r="AP350" s="249"/>
      <c r="AQ350" s="249"/>
      <c r="AR350" s="249"/>
      <c r="AS350" s="249"/>
      <c r="AT350" s="249"/>
      <c r="AU350" s="249"/>
      <c r="AV350" s="249"/>
      <c r="AW350" s="249"/>
      <c r="AX350" s="249"/>
      <c r="AY350" s="249"/>
      <c r="AZ350" s="249"/>
      <c r="BA350" s="249"/>
      <c r="BB350" s="249"/>
      <c r="BC350" s="249"/>
      <c r="BD350" s="249"/>
      <c r="BE350" s="249"/>
      <c r="BF350" s="249"/>
      <c r="BG350" s="249"/>
      <c r="BH350" s="249"/>
      <c r="BI350" s="249"/>
      <c r="BJ350" s="249"/>
      <c r="BK350" s="249"/>
      <c r="BL350" s="249"/>
      <c r="BM350" s="249"/>
      <c r="BN350" s="249"/>
      <c r="BO350" s="249"/>
      <c r="BP350" s="60"/>
    </row>
    <row r="351" spans="1:96" ht="14.25" customHeight="1" x14ac:dyDescent="0.35">
      <c r="A351" s="960"/>
      <c r="B351" s="960"/>
      <c r="C351" s="960"/>
      <c r="D351" s="944"/>
      <c r="E351" s="944"/>
      <c r="F351" s="11"/>
      <c r="G351" s="11"/>
      <c r="H351" s="11"/>
      <c r="I351" s="11"/>
      <c r="J351" s="11"/>
      <c r="K351" s="11"/>
      <c r="L351" s="61"/>
      <c r="M351" s="61"/>
      <c r="N351" s="61"/>
      <c r="O351" s="944"/>
      <c r="P351" s="944"/>
      <c r="Q351" s="944"/>
      <c r="R351" s="944"/>
      <c r="S351" s="944"/>
      <c r="T351" s="944"/>
      <c r="U351" s="944"/>
      <c r="V351" s="944"/>
      <c r="W351" s="944"/>
      <c r="X351" s="944"/>
      <c r="Y351" s="944"/>
      <c r="Z351" s="944"/>
      <c r="AA351" s="944"/>
      <c r="AB351" s="944"/>
      <c r="AC351" s="944"/>
      <c r="AD351" s="944"/>
      <c r="AE351" s="944"/>
      <c r="AF351" s="944"/>
      <c r="AG351" s="944"/>
      <c r="AH351" s="944"/>
      <c r="AI351" s="944"/>
      <c r="AJ351" s="944"/>
      <c r="AK351" s="944"/>
      <c r="AL351" s="944"/>
      <c r="AM351" s="944"/>
      <c r="AN351" s="944"/>
      <c r="AO351" s="944"/>
      <c r="AP351" s="944"/>
      <c r="AQ351" s="944"/>
      <c r="AR351" s="944"/>
      <c r="AS351" s="944"/>
      <c r="AT351" s="944"/>
      <c r="AU351" s="944"/>
      <c r="AV351" s="944"/>
      <c r="AW351" s="944"/>
      <c r="AX351" s="944"/>
      <c r="AY351" s="944"/>
      <c r="AZ351" s="944"/>
      <c r="BA351" s="944"/>
      <c r="BB351" s="944"/>
      <c r="BC351" s="944"/>
      <c r="BD351" s="944"/>
      <c r="BE351" s="944"/>
      <c r="BF351" s="944"/>
      <c r="BG351" s="944"/>
      <c r="BH351" s="944"/>
      <c r="BI351" s="944"/>
      <c r="BJ351" s="944"/>
      <c r="BK351" s="944"/>
      <c r="BL351" s="944"/>
      <c r="BM351" s="944"/>
      <c r="BN351" s="944"/>
      <c r="BO351" s="944"/>
      <c r="BP351" s="45"/>
    </row>
    <row r="352" spans="1:96" ht="15.75" customHeight="1" x14ac:dyDescent="0.3">
      <c r="A352" s="960"/>
      <c r="B352" s="960"/>
      <c r="C352" s="960"/>
      <c r="D352" s="944"/>
      <c r="E352" s="44"/>
      <c r="F352" s="44" t="s">
        <v>552</v>
      </c>
      <c r="G352" s="44"/>
      <c r="H352" s="45"/>
      <c r="I352" s="45"/>
      <c r="J352" s="45"/>
      <c r="K352" s="45"/>
      <c r="L352" s="944"/>
      <c r="M352" s="944"/>
      <c r="N352" s="944"/>
      <c r="O352" s="944"/>
      <c r="P352" s="944"/>
      <c r="Q352" s="944"/>
      <c r="R352" s="944"/>
      <c r="S352" s="944"/>
      <c r="T352" s="944"/>
      <c r="U352" s="944"/>
      <c r="V352" s="944"/>
      <c r="W352" s="944"/>
      <c r="X352" s="944"/>
      <c r="Y352" s="944"/>
      <c r="Z352" s="944"/>
      <c r="AA352" s="944"/>
      <c r="AB352" s="944"/>
      <c r="AC352" s="944"/>
      <c r="AD352" s="944"/>
      <c r="AE352" s="944"/>
      <c r="AF352" s="944"/>
      <c r="AG352" s="944"/>
      <c r="AH352" s="944"/>
      <c r="AI352" s="944"/>
      <c r="AJ352" s="944"/>
      <c r="AK352" s="944"/>
      <c r="AL352" s="944"/>
      <c r="AM352" s="944"/>
      <c r="AN352" s="944"/>
      <c r="AO352" s="944"/>
      <c r="AP352" s="944"/>
      <c r="AQ352" s="944"/>
      <c r="AR352" s="944"/>
      <c r="AS352" s="944"/>
      <c r="AT352" s="944"/>
      <c r="AU352" s="944"/>
      <c r="AV352" s="944"/>
      <c r="AW352" s="944"/>
      <c r="AX352" s="944"/>
      <c r="AY352" s="944"/>
      <c r="AZ352" s="944"/>
      <c r="BA352" s="944"/>
      <c r="BB352" s="944"/>
      <c r="BC352" s="944"/>
      <c r="BD352" s="944"/>
      <c r="BE352" s="944"/>
      <c r="BF352" s="944"/>
      <c r="BG352" s="944"/>
      <c r="BH352" s="944"/>
      <c r="BI352" s="944"/>
      <c r="BJ352" s="944"/>
      <c r="BK352" s="944"/>
      <c r="BL352" s="944"/>
      <c r="BM352" s="944"/>
      <c r="BN352" s="944"/>
      <c r="BO352" s="944"/>
      <c r="BP352" s="45"/>
    </row>
    <row r="353" spans="1:68" ht="14.25" customHeight="1" thickBot="1" x14ac:dyDescent="0.35">
      <c r="A353" s="960"/>
      <c r="B353" s="960"/>
      <c r="C353" s="960"/>
      <c r="D353" s="944"/>
      <c r="E353" s="944"/>
      <c r="F353" s="45"/>
      <c r="G353" s="45"/>
      <c r="H353" s="45"/>
      <c r="I353" s="45"/>
      <c r="J353" s="45"/>
      <c r="K353" s="45"/>
      <c r="L353" s="944"/>
      <c r="M353" s="944"/>
      <c r="N353" s="944"/>
      <c r="O353" s="944"/>
      <c r="P353" s="944"/>
      <c r="Q353" s="944"/>
      <c r="R353" s="944"/>
      <c r="S353" s="944"/>
      <c r="T353" s="944"/>
      <c r="U353" s="944"/>
      <c r="V353" s="944"/>
      <c r="W353" s="944"/>
      <c r="X353" s="944"/>
      <c r="Y353" s="944"/>
      <c r="Z353" s="944"/>
      <c r="AA353" s="944"/>
      <c r="AB353" s="944"/>
      <c r="AC353" s="944"/>
      <c r="AD353" s="944"/>
      <c r="AE353" s="944"/>
      <c r="AF353" s="944"/>
      <c r="AG353" s="944"/>
      <c r="AH353" s="944"/>
      <c r="AI353" s="944"/>
      <c r="AJ353" s="944"/>
      <c r="AK353" s="944"/>
      <c r="AL353" s="944"/>
      <c r="AM353" s="944"/>
      <c r="AN353" s="944"/>
      <c r="AO353" s="944"/>
      <c r="AP353" s="944"/>
      <c r="AQ353" s="944"/>
      <c r="AR353" s="944"/>
      <c r="AS353" s="944"/>
      <c r="AT353" s="944"/>
      <c r="AU353" s="944"/>
      <c r="AV353" s="944"/>
      <c r="AW353" s="944"/>
      <c r="AX353" s="944"/>
      <c r="AY353" s="944"/>
      <c r="AZ353" s="944"/>
      <c r="BA353" s="944"/>
      <c r="BB353" s="944"/>
      <c r="BC353" s="944"/>
      <c r="BD353" s="944"/>
      <c r="BE353" s="944"/>
      <c r="BF353" s="944"/>
      <c r="BG353" s="944"/>
      <c r="BH353" s="944"/>
      <c r="BI353" s="944"/>
      <c r="BJ353" s="944"/>
      <c r="BK353" s="944"/>
      <c r="BL353" s="944"/>
      <c r="BM353" s="944"/>
      <c r="BN353" s="944"/>
      <c r="BO353" s="944"/>
      <c r="BP353" s="45"/>
    </row>
    <row r="354" spans="1:68" ht="13.5" customHeight="1" x14ac:dyDescent="0.3">
      <c r="A354" s="960"/>
      <c r="B354" s="960"/>
      <c r="C354" s="960"/>
      <c r="D354" s="944"/>
      <c r="E354" s="54"/>
      <c r="F354" s="224"/>
      <c r="G354" s="224"/>
      <c r="H354" s="224"/>
      <c r="I354" s="224"/>
      <c r="J354" s="224"/>
      <c r="K354" s="224"/>
      <c r="L354" s="225"/>
      <c r="M354" s="225"/>
      <c r="N354" s="225"/>
      <c r="O354" s="225"/>
      <c r="P354" s="225"/>
      <c r="Q354" s="225"/>
      <c r="R354" s="225"/>
      <c r="S354" s="225"/>
      <c r="T354" s="225"/>
      <c r="U354" s="225"/>
      <c r="V354" s="225"/>
      <c r="W354" s="225"/>
      <c r="X354" s="225"/>
      <c r="Y354" s="225"/>
      <c r="Z354" s="225"/>
      <c r="AA354" s="225"/>
      <c r="AB354" s="225"/>
      <c r="AC354" s="225"/>
      <c r="AD354" s="225"/>
      <c r="AE354" s="225"/>
      <c r="AF354" s="225"/>
      <c r="AG354" s="225"/>
      <c r="AH354" s="225"/>
      <c r="AI354" s="225"/>
      <c r="AJ354" s="225"/>
      <c r="AK354" s="225"/>
      <c r="AL354" s="225"/>
      <c r="AM354" s="225"/>
      <c r="AN354" s="225"/>
      <c r="AO354" s="225"/>
      <c r="AP354" s="225"/>
      <c r="AQ354" s="225"/>
      <c r="AR354" s="225"/>
      <c r="AS354" s="225"/>
      <c r="AT354" s="225"/>
      <c r="AU354" s="225"/>
      <c r="AV354" s="225"/>
      <c r="AW354" s="225"/>
      <c r="AX354" s="225"/>
      <c r="AY354" s="225"/>
      <c r="AZ354" s="225"/>
      <c r="BA354" s="225"/>
      <c r="BB354" s="225"/>
      <c r="BC354" s="225"/>
      <c r="BD354" s="225"/>
      <c r="BE354" s="225"/>
      <c r="BF354" s="225"/>
      <c r="BG354" s="225"/>
      <c r="BH354" s="225"/>
      <c r="BI354" s="225"/>
      <c r="BJ354" s="225"/>
      <c r="BK354" s="225"/>
      <c r="BL354" s="225"/>
      <c r="BM354" s="225"/>
      <c r="BN354" s="225"/>
      <c r="BO354" s="225"/>
      <c r="BP354" s="55"/>
    </row>
    <row r="355" spans="1:68" ht="14.25" customHeight="1" x14ac:dyDescent="0.3">
      <c r="A355" s="960"/>
      <c r="B355" s="960"/>
      <c r="C355" s="960"/>
      <c r="D355" s="944"/>
      <c r="E355" s="226"/>
      <c r="F355" s="227" t="s">
        <v>553</v>
      </c>
      <c r="G355" s="228"/>
      <c r="H355" s="228"/>
      <c r="I355" s="228"/>
      <c r="J355" s="228"/>
      <c r="K355" s="228"/>
      <c r="L355" s="229"/>
      <c r="M355" s="230"/>
      <c r="N355" s="230"/>
      <c r="O355" s="230"/>
      <c r="P355" s="230"/>
      <c r="Q355" s="230"/>
      <c r="R355" s="230"/>
      <c r="S355" s="230"/>
      <c r="T355" s="230"/>
      <c r="U355" s="230"/>
      <c r="V355" s="230"/>
      <c r="W355" s="230"/>
      <c r="X355" s="230"/>
      <c r="Y355" s="230"/>
      <c r="Z355" s="230"/>
      <c r="AA355" s="230"/>
      <c r="AB355" s="230"/>
      <c r="AC355" s="230"/>
      <c r="AD355" s="230"/>
      <c r="AE355" s="230"/>
      <c r="AF355" s="230"/>
      <c r="AG355" s="230"/>
      <c r="AH355" s="230"/>
      <c r="AI355" s="230"/>
      <c r="AJ355" s="230"/>
      <c r="AK355" s="230"/>
      <c r="AL355" s="230"/>
      <c r="AM355" s="230"/>
      <c r="AN355" s="230"/>
      <c r="AO355" s="230"/>
      <c r="AP355" s="230"/>
      <c r="AQ355" s="230"/>
      <c r="AR355" s="230"/>
      <c r="AS355" s="230"/>
      <c r="AT355" s="230"/>
      <c r="AU355" s="230"/>
      <c r="AV355" s="230"/>
      <c r="AW355" s="230"/>
      <c r="AX355" s="230"/>
      <c r="AY355" s="230"/>
      <c r="AZ355" s="230"/>
      <c r="BA355" s="230"/>
      <c r="BB355" s="230"/>
      <c r="BC355" s="230"/>
      <c r="BD355" s="230"/>
      <c r="BE355" s="230"/>
      <c r="BF355" s="230"/>
      <c r="BG355" s="230"/>
      <c r="BH355" s="230"/>
      <c r="BI355" s="230"/>
      <c r="BJ355" s="230"/>
      <c r="BK355" s="230"/>
      <c r="BL355" s="230"/>
      <c r="BM355" s="230"/>
      <c r="BN355" s="230"/>
      <c r="BO355" s="230"/>
      <c r="BP355" s="231"/>
    </row>
    <row r="356" spans="1:68" ht="14.25" customHeight="1" x14ac:dyDescent="0.3">
      <c r="A356" s="960"/>
      <c r="B356" s="960"/>
      <c r="C356" s="960"/>
      <c r="D356" s="944"/>
      <c r="E356" s="226"/>
      <c r="F356" s="233" t="s">
        <v>554</v>
      </c>
      <c r="G356" s="228"/>
      <c r="H356" s="228"/>
      <c r="I356" s="228"/>
      <c r="J356" s="228"/>
      <c r="K356" s="228"/>
      <c r="L356" s="229"/>
      <c r="M356" s="230"/>
      <c r="N356" s="230"/>
      <c r="O356" s="230"/>
      <c r="P356" s="230"/>
      <c r="Q356" s="230"/>
      <c r="R356" s="230"/>
      <c r="S356" s="230"/>
      <c r="T356" s="230"/>
      <c r="U356" s="230"/>
      <c r="V356" s="230"/>
      <c r="W356" s="230"/>
      <c r="X356" s="230"/>
      <c r="Y356" s="230"/>
      <c r="Z356" s="230"/>
      <c r="AA356" s="230"/>
      <c r="AB356" s="230"/>
      <c r="AC356" s="230"/>
      <c r="AD356" s="230"/>
      <c r="AE356" s="230"/>
      <c r="AF356" s="230"/>
      <c r="AG356" s="230"/>
      <c r="AH356" s="230"/>
      <c r="AI356" s="230"/>
      <c r="AJ356" s="230"/>
      <c r="AK356" s="230"/>
      <c r="AL356" s="230"/>
      <c r="AM356" s="230"/>
      <c r="AN356" s="230"/>
      <c r="AO356" s="230"/>
      <c r="AP356" s="230"/>
      <c r="AQ356" s="230"/>
      <c r="AR356" s="230"/>
      <c r="AS356" s="230"/>
      <c r="AT356" s="230"/>
      <c r="AU356" s="230"/>
      <c r="AV356" s="230"/>
      <c r="AW356" s="230"/>
      <c r="AX356" s="230"/>
      <c r="AY356" s="230"/>
      <c r="AZ356" s="230"/>
      <c r="BA356" s="230"/>
      <c r="BB356" s="230"/>
      <c r="BC356" s="230"/>
      <c r="BD356" s="230"/>
      <c r="BE356" s="230"/>
      <c r="BF356" s="230"/>
      <c r="BG356" s="230"/>
      <c r="BH356" s="230"/>
      <c r="BI356" s="230"/>
      <c r="BJ356" s="230"/>
      <c r="BK356" s="230"/>
      <c r="BL356" s="230"/>
      <c r="BM356" s="230"/>
      <c r="BN356" s="230"/>
      <c r="BO356" s="230"/>
      <c r="BP356" s="231"/>
    </row>
    <row r="357" spans="1:68" ht="14.25" customHeight="1" x14ac:dyDescent="0.3">
      <c r="A357" s="960" t="s">
        <v>555</v>
      </c>
      <c r="B357" s="960"/>
      <c r="C357" s="960"/>
      <c r="D357" s="944"/>
      <c r="E357" s="232"/>
      <c r="F357" s="234" t="s">
        <v>556</v>
      </c>
      <c r="G357" s="246">
        <v>0.26</v>
      </c>
      <c r="H357" s="246">
        <v>0.26800000000000002</v>
      </c>
      <c r="I357" s="246">
        <v>0.26500000000000001</v>
      </c>
      <c r="J357" s="246">
        <v>0.26050000000000001</v>
      </c>
      <c r="K357" s="246">
        <v>0.23157</v>
      </c>
      <c r="L357" s="891">
        <v>0.21478800000000001</v>
      </c>
      <c r="M357" s="891">
        <v>0.21424799999999999</v>
      </c>
      <c r="N357" s="891">
        <v>0.21926599999999999</v>
      </c>
      <c r="O357" s="891">
        <v>0.213424</v>
      </c>
      <c r="P357" s="891">
        <v>0.228878</v>
      </c>
      <c r="Q357" s="891">
        <v>0.23342499999999999</v>
      </c>
      <c r="R357" s="893">
        <f t="shared" ref="R357:AW357" si="338">R364*R317*0.28/1000000</f>
        <v>0.24539855620000003</v>
      </c>
      <c r="S357" s="893">
        <f t="shared" si="338"/>
        <v>0.25042858552347097</v>
      </c>
      <c r="T357" s="893">
        <f t="shared" si="338"/>
        <v>0.25372217602768543</v>
      </c>
      <c r="U357" s="893">
        <f t="shared" si="338"/>
        <v>0.25703901416275537</v>
      </c>
      <c r="V357" s="893">
        <f t="shared" si="338"/>
        <v>0.2603262956175687</v>
      </c>
      <c r="W357" s="893">
        <f t="shared" si="338"/>
        <v>0.26358037948512436</v>
      </c>
      <c r="X357" s="893">
        <f t="shared" si="338"/>
        <v>0.2668000320958348</v>
      </c>
      <c r="Y357" s="893">
        <f t="shared" si="338"/>
        <v>0.26998295971077058</v>
      </c>
      <c r="Z357" s="893">
        <f t="shared" si="338"/>
        <v>0.27312869256522959</v>
      </c>
      <c r="AA357" s="893">
        <f t="shared" si="338"/>
        <v>0.27623373536935036</v>
      </c>
      <c r="AB357" s="893">
        <f t="shared" si="338"/>
        <v>0.2792964305133917</v>
      </c>
      <c r="AC357" s="893">
        <f t="shared" si="338"/>
        <v>0.28231464484590224</v>
      </c>
      <c r="AD357" s="893">
        <f t="shared" si="338"/>
        <v>0.28528590867572179</v>
      </c>
      <c r="AE357" s="893">
        <f t="shared" si="338"/>
        <v>0.28820899204539635</v>
      </c>
      <c r="AF357" s="893">
        <f t="shared" si="338"/>
        <v>0.29108177086050041</v>
      </c>
      <c r="AG357" s="893">
        <f t="shared" si="338"/>
        <v>0.29390298469508352</v>
      </c>
      <c r="AH357" s="893">
        <f t="shared" si="338"/>
        <v>0.29667024125307023</v>
      </c>
      <c r="AI357" s="893">
        <f t="shared" si="338"/>
        <v>0.29938257060616236</v>
      </c>
      <c r="AJ357" s="893">
        <f t="shared" si="338"/>
        <v>0.30203819196848669</v>
      </c>
      <c r="AK357" s="893">
        <f t="shared" si="338"/>
        <v>0.30463585395661813</v>
      </c>
      <c r="AL357" s="893">
        <f t="shared" si="338"/>
        <v>0.30717519843087071</v>
      </c>
      <c r="AM357" s="893">
        <f t="shared" si="338"/>
        <v>0.30965533591184086</v>
      </c>
      <c r="AN357" s="893">
        <f t="shared" si="338"/>
        <v>0.31207473320136353</v>
      </c>
      <c r="AO357" s="893">
        <f t="shared" si="338"/>
        <v>0.31443304427928903</v>
      </c>
      <c r="AP357" s="893">
        <f t="shared" si="338"/>
        <v>0.31672873420448966</v>
      </c>
      <c r="AQ357" s="893">
        <f t="shared" si="338"/>
        <v>0.31896138577085437</v>
      </c>
      <c r="AR357" s="893">
        <f t="shared" si="338"/>
        <v>0.32113130894443581</v>
      </c>
      <c r="AS357" s="893">
        <f t="shared" si="338"/>
        <v>0.32323665905876225</v>
      </c>
      <c r="AT357" s="893">
        <f t="shared" si="338"/>
        <v>0.32527794126270915</v>
      </c>
      <c r="AU357" s="893">
        <f t="shared" si="338"/>
        <v>0.32725580114560493</v>
      </c>
      <c r="AV357" s="893">
        <f t="shared" si="338"/>
        <v>0.32916891015021421</v>
      </c>
      <c r="AW357" s="893">
        <f t="shared" si="338"/>
        <v>0.33101597690300655</v>
      </c>
      <c r="AX357" s="893">
        <f t="shared" ref="AX357:BO357" si="339">AX364*AX317*0.28/1000000</f>
        <v>0.33279574866083567</v>
      </c>
      <c r="AY357" s="893">
        <f t="shared" si="339"/>
        <v>0.33450701272143779</v>
      </c>
      <c r="AZ357" s="893">
        <f t="shared" si="339"/>
        <v>0.33614859779553724</v>
      </c>
      <c r="BA357" s="893">
        <f t="shared" si="339"/>
        <v>0.33771937533839286</v>
      </c>
      <c r="BB357" s="893">
        <f t="shared" si="339"/>
        <v>0.33921826083867435</v>
      </c>
      <c r="BC357" s="893">
        <f t="shared" si="339"/>
        <v>0.34064421506261539</v>
      </c>
      <c r="BD357" s="893">
        <f t="shared" si="339"/>
        <v>0.34199624525145056</v>
      </c>
      <c r="BE357" s="893">
        <f t="shared" si="339"/>
        <v>0.34327340627021141</v>
      </c>
      <c r="BF357" s="893">
        <f t="shared" si="339"/>
        <v>0.34447480170602551</v>
      </c>
      <c r="BG357" s="893">
        <f t="shared" si="339"/>
        <v>0.34559958491413612</v>
      </c>
      <c r="BH357" s="893">
        <f t="shared" si="339"/>
        <v>0.34664696000993866</v>
      </c>
      <c r="BI357" s="893">
        <f t="shared" si="339"/>
        <v>0.34761618280541029</v>
      </c>
      <c r="BJ357" s="893">
        <f t="shared" si="339"/>
        <v>0.34850656168839339</v>
      </c>
      <c r="BK357" s="893">
        <f t="shared" si="339"/>
        <v>0.34931745844328338</v>
      </c>
      <c r="BL357" s="893">
        <f t="shared" si="339"/>
        <v>0.35004828901175833</v>
      </c>
      <c r="BM357" s="893">
        <f t="shared" si="339"/>
        <v>0.35069852419228537</v>
      </c>
      <c r="BN357" s="893">
        <f t="shared" si="339"/>
        <v>0.35126769027723326</v>
      </c>
      <c r="BO357" s="893">
        <f t="shared" si="339"/>
        <v>0.35175536962652032</v>
      </c>
      <c r="BP357" s="231"/>
    </row>
    <row r="358" spans="1:68" ht="13.5" customHeight="1" x14ac:dyDescent="0.3">
      <c r="A358" s="960"/>
      <c r="B358" s="960"/>
      <c r="C358" s="960"/>
      <c r="D358" s="944"/>
      <c r="E358" s="232"/>
      <c r="F358" s="234" t="s">
        <v>557</v>
      </c>
      <c r="G358" s="234">
        <v>2.1485539999999999</v>
      </c>
      <c r="H358" s="234">
        <v>2.3991289999999998</v>
      </c>
      <c r="I358" s="234">
        <v>2.1356130000000002</v>
      </c>
      <c r="J358" s="234">
        <v>2.3566379999999998</v>
      </c>
      <c r="K358" s="234">
        <v>2.0661049999999999</v>
      </c>
      <c r="L358" s="230">
        <v>1.85</v>
      </c>
      <c r="M358" s="230">
        <v>1.9</v>
      </c>
      <c r="N358" s="230">
        <v>1.85</v>
      </c>
      <c r="O358" s="230">
        <v>1.8666670000000001</v>
      </c>
      <c r="P358" s="230">
        <v>1.851925</v>
      </c>
      <c r="Q358" s="230">
        <v>1.7874890000000001</v>
      </c>
      <c r="R358" s="893">
        <f t="shared" ref="R358:AW358" si="340">R365*R318*0.95/1000000</f>
        <v>1.9764750003367035</v>
      </c>
      <c r="S358" s="893">
        <f t="shared" si="340"/>
        <v>2.0058040270839923</v>
      </c>
      <c r="T358" s="893">
        <f t="shared" si="340"/>
        <v>2.036417707837078</v>
      </c>
      <c r="U358" s="893">
        <f t="shared" si="340"/>
        <v>2.0668976788171856</v>
      </c>
      <c r="V358" s="893">
        <f t="shared" si="340"/>
        <v>2.0972374871907458</v>
      </c>
      <c r="W358" s="893">
        <f t="shared" si="340"/>
        <v>2.1274063554038354</v>
      </c>
      <c r="X358" s="893">
        <f t="shared" si="340"/>
        <v>2.1573927540686144</v>
      </c>
      <c r="Y358" s="893">
        <f t="shared" si="340"/>
        <v>2.1871764933419917</v>
      </c>
      <c r="Z358" s="893">
        <f t="shared" si="340"/>
        <v>2.2167520509178025</v>
      </c>
      <c r="AA358" s="893">
        <f t="shared" si="340"/>
        <v>2.2460892768719405</v>
      </c>
      <c r="AB358" s="893">
        <f t="shared" si="340"/>
        <v>2.2751727833565778</v>
      </c>
      <c r="AC358" s="893">
        <f t="shared" si="340"/>
        <v>2.3039832039733699</v>
      </c>
      <c r="AD358" s="893">
        <f t="shared" si="340"/>
        <v>2.3324982947968911</v>
      </c>
      <c r="AE358" s="893">
        <f t="shared" si="340"/>
        <v>2.3607058205299705</v>
      </c>
      <c r="AF358" s="893">
        <f t="shared" si="340"/>
        <v>2.3885861369632861</v>
      </c>
      <c r="AG358" s="893">
        <f t="shared" si="340"/>
        <v>2.4161265748942244</v>
      </c>
      <c r="AH358" s="893">
        <f t="shared" si="340"/>
        <v>2.4433050699524497</v>
      </c>
      <c r="AI358" s="893">
        <f t="shared" si="340"/>
        <v>2.4701111524271102</v>
      </c>
      <c r="AJ358" s="893">
        <f t="shared" si="340"/>
        <v>2.4965275945533616</v>
      </c>
      <c r="AK358" s="893">
        <f t="shared" si="340"/>
        <v>2.5225414481561979</v>
      </c>
      <c r="AL358" s="893">
        <f t="shared" si="340"/>
        <v>2.5481471024294686</v>
      </c>
      <c r="AM358" s="893">
        <f t="shared" si="340"/>
        <v>2.5733345118118565</v>
      </c>
      <c r="AN358" s="893">
        <f t="shared" si="340"/>
        <v>2.5980882208610567</v>
      </c>
      <c r="AO358" s="893">
        <f t="shared" si="340"/>
        <v>2.6224025862512392</v>
      </c>
      <c r="AP358" s="893">
        <f t="shared" si="340"/>
        <v>2.6462620129377603</v>
      </c>
      <c r="AQ358" s="893">
        <f t="shared" si="340"/>
        <v>2.6696601721264006</v>
      </c>
      <c r="AR358" s="893">
        <f t="shared" si="340"/>
        <v>2.6925968096990918</v>
      </c>
      <c r="AS358" s="893">
        <f t="shared" si="340"/>
        <v>2.7150535943124328</v>
      </c>
      <c r="AT358" s="893">
        <f t="shared" si="340"/>
        <v>2.7370318597378556</v>
      </c>
      <c r="AU358" s="893">
        <f t="shared" si="340"/>
        <v>2.7585341559828103</v>
      </c>
      <c r="AV358" s="893">
        <f t="shared" si="340"/>
        <v>2.7795464038242477</v>
      </c>
      <c r="AW358" s="893">
        <f t="shared" si="340"/>
        <v>2.800054762094291</v>
      </c>
      <c r="AX358" s="893">
        <f t="shared" ref="AX358:BO358" si="341">AX365*AX318*0.95/1000000</f>
        <v>2.8200456427757161</v>
      </c>
      <c r="AY358" s="893">
        <f t="shared" si="341"/>
        <v>2.8395057259154801</v>
      </c>
      <c r="AZ358" s="893">
        <f t="shared" si="341"/>
        <v>2.8584219743335351</v>
      </c>
      <c r="BA358" s="893">
        <f t="shared" si="341"/>
        <v>2.8767816481043225</v>
      </c>
      <c r="BB358" s="893">
        <f t="shared" si="341"/>
        <v>2.8945723187885726</v>
      </c>
      <c r="BC358" s="893">
        <f t="shared" si="341"/>
        <v>2.9117818833932447</v>
      </c>
      <c r="BD358" s="893">
        <f t="shared" si="341"/>
        <v>2.9283985780377795</v>
      </c>
      <c r="BE358" s="893">
        <f t="shared" si="341"/>
        <v>2.9444109913051486</v>
      </c>
      <c r="BF358" s="893">
        <f t="shared" si="341"/>
        <v>2.9598080772565796</v>
      </c>
      <c r="BG358" s="893">
        <f t="shared" si="341"/>
        <v>2.9745791680892411</v>
      </c>
      <c r="BH358" s="893">
        <f t="shared" si="341"/>
        <v>2.9887139864166796</v>
      </c>
      <c r="BI358" s="893">
        <f t="shared" si="341"/>
        <v>3.0022026571522482</v>
      </c>
      <c r="BJ358" s="893">
        <f t="shared" si="341"/>
        <v>3.0150357189763746</v>
      </c>
      <c r="BK358" s="893">
        <f t="shared" si="341"/>
        <v>3.027204135369074</v>
      </c>
      <c r="BL358" s="893">
        <f t="shared" si="341"/>
        <v>3.0386993051897337</v>
      </c>
      <c r="BM358" s="893">
        <f t="shared" si="341"/>
        <v>3.0495130727868833</v>
      </c>
      <c r="BN358" s="893">
        <f t="shared" si="341"/>
        <v>3.0596377376213435</v>
      </c>
      <c r="BO358" s="893">
        <f t="shared" si="341"/>
        <v>3.0690660633869093</v>
      </c>
      <c r="BP358" s="231"/>
    </row>
    <row r="359" spans="1:68" ht="14.25" customHeight="1" x14ac:dyDescent="0.35">
      <c r="A359" s="960"/>
      <c r="B359" s="960"/>
      <c r="C359" s="960"/>
      <c r="D359" s="944"/>
      <c r="E359" s="232"/>
      <c r="F359" s="250"/>
      <c r="G359" s="250"/>
      <c r="H359" s="250"/>
      <c r="I359" s="250"/>
      <c r="J359" s="250"/>
      <c r="K359" s="250"/>
      <c r="L359" s="251"/>
      <c r="M359" s="251"/>
      <c r="N359" s="251"/>
      <c r="O359" s="252"/>
      <c r="P359" s="252"/>
      <c r="Q359" s="252"/>
      <c r="R359" s="252"/>
      <c r="S359" s="252"/>
      <c r="T359" s="252"/>
      <c r="U359" s="252"/>
      <c r="V359" s="252"/>
      <c r="W359" s="252"/>
      <c r="X359" s="252"/>
      <c r="Y359" s="252"/>
      <c r="Z359" s="252"/>
      <c r="AA359" s="252"/>
      <c r="AB359" s="252"/>
      <c r="AC359" s="252"/>
      <c r="AD359" s="252"/>
      <c r="AE359" s="252"/>
      <c r="AF359" s="252"/>
      <c r="AG359" s="252"/>
      <c r="AH359" s="252"/>
      <c r="AI359" s="252"/>
      <c r="AJ359" s="252"/>
      <c r="AK359" s="252"/>
      <c r="AL359" s="252"/>
      <c r="AM359" s="252"/>
      <c r="AN359" s="252"/>
      <c r="AO359" s="252"/>
      <c r="AP359" s="252"/>
      <c r="AQ359" s="252"/>
      <c r="AR359" s="252"/>
      <c r="AS359" s="252"/>
      <c r="AT359" s="252"/>
      <c r="AU359" s="252"/>
      <c r="AV359" s="252"/>
      <c r="AW359" s="252"/>
      <c r="AX359" s="252"/>
      <c r="AY359" s="252"/>
      <c r="AZ359" s="252"/>
      <c r="BA359" s="252"/>
      <c r="BB359" s="252"/>
      <c r="BC359" s="252"/>
      <c r="BD359" s="252"/>
      <c r="BE359" s="252"/>
      <c r="BF359" s="252"/>
      <c r="BG359" s="252"/>
      <c r="BH359" s="252"/>
      <c r="BI359" s="252"/>
      <c r="BJ359" s="252"/>
      <c r="BK359" s="252"/>
      <c r="BL359" s="252"/>
      <c r="BM359" s="252"/>
      <c r="BN359" s="252"/>
      <c r="BO359" s="252"/>
      <c r="BP359" s="231"/>
    </row>
    <row r="360" spans="1:68" ht="14.25" customHeight="1" x14ac:dyDescent="0.3">
      <c r="A360" s="960"/>
      <c r="B360" s="960"/>
      <c r="C360" s="960"/>
      <c r="D360" s="944"/>
      <c r="E360" s="232"/>
      <c r="F360" s="227" t="s">
        <v>558</v>
      </c>
      <c r="G360" s="228"/>
      <c r="H360" s="228"/>
      <c r="I360" s="228"/>
      <c r="J360" s="228"/>
      <c r="K360" s="228"/>
      <c r="L360" s="229"/>
      <c r="M360" s="230"/>
      <c r="N360" s="230"/>
      <c r="O360" s="230"/>
      <c r="P360" s="230"/>
      <c r="Q360" s="230"/>
      <c r="R360" s="230"/>
      <c r="S360" s="230"/>
      <c r="T360" s="230"/>
      <c r="U360" s="230"/>
      <c r="V360" s="230"/>
      <c r="W360" s="230"/>
      <c r="X360" s="230"/>
      <c r="Y360" s="230"/>
      <c r="Z360" s="230"/>
      <c r="AA360" s="230"/>
      <c r="AB360" s="230"/>
      <c r="AC360" s="230"/>
      <c r="AD360" s="230"/>
      <c r="AE360" s="230"/>
      <c r="AF360" s="230"/>
      <c r="AG360" s="230"/>
      <c r="AH360" s="230"/>
      <c r="AI360" s="230"/>
      <c r="AJ360" s="230"/>
      <c r="AK360" s="230"/>
      <c r="AL360" s="230"/>
      <c r="AM360" s="230"/>
      <c r="AN360" s="230"/>
      <c r="AO360" s="230"/>
      <c r="AP360" s="230"/>
      <c r="AQ360" s="230"/>
      <c r="AR360" s="230"/>
      <c r="AS360" s="230"/>
      <c r="AT360" s="230"/>
      <c r="AU360" s="230"/>
      <c r="AV360" s="230"/>
      <c r="AW360" s="230"/>
      <c r="AX360" s="230"/>
      <c r="AY360" s="230"/>
      <c r="AZ360" s="230"/>
      <c r="BA360" s="230"/>
      <c r="BB360" s="230"/>
      <c r="BC360" s="230"/>
      <c r="BD360" s="230"/>
      <c r="BE360" s="230"/>
      <c r="BF360" s="230"/>
      <c r="BG360" s="230"/>
      <c r="BH360" s="230"/>
      <c r="BI360" s="230"/>
      <c r="BJ360" s="230"/>
      <c r="BK360" s="230"/>
      <c r="BL360" s="230"/>
      <c r="BM360" s="230"/>
      <c r="BN360" s="230"/>
      <c r="BO360" s="230"/>
      <c r="BP360" s="231"/>
    </row>
    <row r="361" spans="1:68" ht="14.25" customHeight="1" x14ac:dyDescent="0.3">
      <c r="A361" s="960"/>
      <c r="B361" s="960"/>
      <c r="C361" s="960"/>
      <c r="D361" s="944"/>
      <c r="E361" s="232"/>
      <c r="F361" s="233" t="s">
        <v>559</v>
      </c>
      <c r="G361" s="228"/>
      <c r="H361" s="228"/>
      <c r="I361" s="228"/>
      <c r="J361" s="228"/>
      <c r="K361" s="228"/>
      <c r="L361" s="229"/>
      <c r="M361" s="230"/>
      <c r="N361" s="230"/>
      <c r="O361" s="230"/>
      <c r="P361" s="230"/>
      <c r="Q361" s="230"/>
      <c r="R361" s="230"/>
      <c r="S361" s="230"/>
      <c r="T361" s="230"/>
      <c r="U361" s="230"/>
      <c r="V361" s="230"/>
      <c r="W361" s="230"/>
      <c r="X361" s="230"/>
      <c r="Y361" s="230"/>
      <c r="Z361" s="230"/>
      <c r="AA361" s="230"/>
      <c r="AB361" s="230"/>
      <c r="AC361" s="230"/>
      <c r="AD361" s="230"/>
      <c r="AE361" s="230"/>
      <c r="AF361" s="230"/>
      <c r="AG361" s="230"/>
      <c r="AH361" s="230"/>
      <c r="AI361" s="230"/>
      <c r="AJ361" s="230"/>
      <c r="AK361" s="230"/>
      <c r="AL361" s="230"/>
      <c r="AM361" s="230"/>
      <c r="AN361" s="230"/>
      <c r="AO361" s="230"/>
      <c r="AP361" s="230"/>
      <c r="AQ361" s="230"/>
      <c r="AR361" s="230"/>
      <c r="AS361" s="230"/>
      <c r="AT361" s="230"/>
      <c r="AU361" s="230"/>
      <c r="AV361" s="230"/>
      <c r="AW361" s="230"/>
      <c r="AX361" s="230"/>
      <c r="AY361" s="230"/>
      <c r="AZ361" s="230"/>
      <c r="BA361" s="230"/>
      <c r="BB361" s="230"/>
      <c r="BC361" s="230"/>
      <c r="BD361" s="230"/>
      <c r="BE361" s="230"/>
      <c r="BF361" s="230"/>
      <c r="BG361" s="230"/>
      <c r="BH361" s="230"/>
      <c r="BI361" s="230"/>
      <c r="BJ361" s="230"/>
      <c r="BK361" s="230"/>
      <c r="BL361" s="230"/>
      <c r="BM361" s="230"/>
      <c r="BN361" s="230"/>
      <c r="BO361" s="230"/>
      <c r="BP361" s="231"/>
    </row>
    <row r="362" spans="1:68" ht="28.5" customHeight="1" x14ac:dyDescent="0.3">
      <c r="A362" s="964" t="s">
        <v>518</v>
      </c>
      <c r="B362" s="964"/>
      <c r="C362" s="964"/>
      <c r="D362" s="944"/>
      <c r="E362" s="232"/>
      <c r="F362" s="234" t="s">
        <v>560</v>
      </c>
      <c r="G362" s="243">
        <f>SUM(G357:G358)/G345</f>
        <v>0.48955105810577548</v>
      </c>
      <c r="H362" s="243">
        <f t="shared" ref="H362:BO362" si="342">SUM(H357:H358)/H345</f>
        <v>0.55438614213922832</v>
      </c>
      <c r="I362" s="243">
        <f t="shared" si="342"/>
        <v>0.48242647587820398</v>
      </c>
      <c r="J362" s="243">
        <f t="shared" si="342"/>
        <v>0.53954043556779663</v>
      </c>
      <c r="K362" s="243">
        <f t="shared" si="342"/>
        <v>0.74411875198362565</v>
      </c>
      <c r="L362" s="243">
        <f t="shared" si="342"/>
        <v>0.63763074702483069</v>
      </c>
      <c r="M362" s="243">
        <f t="shared" si="342"/>
        <v>0.68178785470012426</v>
      </c>
      <c r="N362" s="243">
        <f t="shared" si="342"/>
        <v>0.66204965853955078</v>
      </c>
      <c r="O362" s="243">
        <f t="shared" si="342"/>
        <v>0.67222987963410319</v>
      </c>
      <c r="P362" s="243">
        <f t="shared" si="342"/>
        <v>0.71718762763512134</v>
      </c>
      <c r="Q362" s="243">
        <f t="shared" si="342"/>
        <v>0.69468343465280691</v>
      </c>
      <c r="R362" s="243">
        <f t="shared" si="342"/>
        <v>0.73506497739983379</v>
      </c>
      <c r="S362" s="243">
        <f t="shared" si="342"/>
        <v>0.73653065161457665</v>
      </c>
      <c r="T362" s="243">
        <f t="shared" si="342"/>
        <v>0.73789477675954196</v>
      </c>
      <c r="U362" s="243">
        <f t="shared" si="342"/>
        <v>0.73927593327576369</v>
      </c>
      <c r="V362" s="243">
        <f t="shared" si="342"/>
        <v>0.74065708979198552</v>
      </c>
      <c r="W362" s="243">
        <f t="shared" si="342"/>
        <v>0.74203824630820714</v>
      </c>
      <c r="X362" s="243">
        <f t="shared" si="342"/>
        <v>0.74341940282442909</v>
      </c>
      <c r="Y362" s="243">
        <f t="shared" si="342"/>
        <v>0.74480055934065093</v>
      </c>
      <c r="Z362" s="243">
        <f t="shared" si="342"/>
        <v>0.74618171585687243</v>
      </c>
      <c r="AA362" s="243">
        <f t="shared" si="342"/>
        <v>0.74756287237309438</v>
      </c>
      <c r="AB362" s="243">
        <f t="shared" si="342"/>
        <v>0.74894402888931599</v>
      </c>
      <c r="AC362" s="243">
        <f t="shared" si="342"/>
        <v>0.75032518540553794</v>
      </c>
      <c r="AD362" s="243">
        <f t="shared" si="342"/>
        <v>0.75170634192175967</v>
      </c>
      <c r="AE362" s="243">
        <f t="shared" si="342"/>
        <v>0.7530874984379814</v>
      </c>
      <c r="AF362" s="243">
        <f t="shared" si="342"/>
        <v>0.75446865495420334</v>
      </c>
      <c r="AG362" s="243">
        <f t="shared" si="342"/>
        <v>0.75584981147042496</v>
      </c>
      <c r="AH362" s="243">
        <f t="shared" si="342"/>
        <v>0.75723096798664657</v>
      </c>
      <c r="AI362" s="243">
        <f t="shared" si="342"/>
        <v>0.7586121245028683</v>
      </c>
      <c r="AJ362" s="243">
        <f t="shared" si="342"/>
        <v>0.75999328101909014</v>
      </c>
      <c r="AK362" s="243">
        <f t="shared" si="342"/>
        <v>0.76137443753531175</v>
      </c>
      <c r="AL362" s="243">
        <f t="shared" si="342"/>
        <v>0.76275559405153359</v>
      </c>
      <c r="AM362" s="243">
        <f t="shared" si="342"/>
        <v>0.76413675056775543</v>
      </c>
      <c r="AN362" s="243">
        <f t="shared" si="342"/>
        <v>0.76551790708397716</v>
      </c>
      <c r="AO362" s="243">
        <f t="shared" si="342"/>
        <v>0.76689906360019888</v>
      </c>
      <c r="AP362" s="243">
        <f t="shared" si="342"/>
        <v>0.76828022011642061</v>
      </c>
      <c r="AQ362" s="243">
        <f t="shared" si="342"/>
        <v>0.76966137663264234</v>
      </c>
      <c r="AR362" s="243">
        <f t="shared" si="342"/>
        <v>0.77104253314886428</v>
      </c>
      <c r="AS362" s="243">
        <f t="shared" si="342"/>
        <v>0.77242368966508601</v>
      </c>
      <c r="AT362" s="243">
        <f t="shared" si="342"/>
        <v>0.77380484618130763</v>
      </c>
      <c r="AU362" s="243">
        <f t="shared" si="342"/>
        <v>0.77518600269752957</v>
      </c>
      <c r="AV362" s="243">
        <f t="shared" si="342"/>
        <v>0.7765671592137513</v>
      </c>
      <c r="AW362" s="243">
        <f t="shared" si="342"/>
        <v>0.77794831572997314</v>
      </c>
      <c r="AX362" s="243">
        <f t="shared" si="342"/>
        <v>0.77932947224619498</v>
      </c>
      <c r="AY362" s="243">
        <f t="shared" si="342"/>
        <v>0.7807106287624167</v>
      </c>
      <c r="AZ362" s="243">
        <f t="shared" si="342"/>
        <v>0.78209178527863854</v>
      </c>
      <c r="BA362" s="243">
        <f t="shared" si="342"/>
        <v>0.78347294179486027</v>
      </c>
      <c r="BB362" s="243">
        <f t="shared" si="342"/>
        <v>0.78485409831108199</v>
      </c>
      <c r="BC362" s="243">
        <f t="shared" si="342"/>
        <v>0.78623525482730372</v>
      </c>
      <c r="BD362" s="243">
        <f t="shared" si="342"/>
        <v>0.78761641134352545</v>
      </c>
      <c r="BE362" s="243">
        <f t="shared" si="342"/>
        <v>0.78899756785974717</v>
      </c>
      <c r="BF362" s="243">
        <f t="shared" si="342"/>
        <v>0.79037872437596923</v>
      </c>
      <c r="BG362" s="243">
        <f t="shared" si="342"/>
        <v>0.79175988089219085</v>
      </c>
      <c r="BH362" s="243">
        <f t="shared" si="342"/>
        <v>0.79314103740841269</v>
      </c>
      <c r="BI362" s="243">
        <f t="shared" si="342"/>
        <v>0.79452219392463463</v>
      </c>
      <c r="BJ362" s="243">
        <f t="shared" si="342"/>
        <v>0.79590335044085658</v>
      </c>
      <c r="BK362" s="243">
        <f t="shared" si="342"/>
        <v>0.79728450695707809</v>
      </c>
      <c r="BL362" s="243">
        <f t="shared" si="342"/>
        <v>0.7986656634732997</v>
      </c>
      <c r="BM362" s="243">
        <f t="shared" si="342"/>
        <v>0.80004681998952165</v>
      </c>
      <c r="BN362" s="243">
        <f t="shared" si="342"/>
        <v>0.80142797650574338</v>
      </c>
      <c r="BO362" s="243">
        <f t="shared" si="342"/>
        <v>0.80280913302196522</v>
      </c>
      <c r="BP362" s="231"/>
    </row>
    <row r="363" spans="1:68" ht="14.25" customHeight="1" x14ac:dyDescent="0.3">
      <c r="A363" s="960"/>
      <c r="B363" s="960"/>
      <c r="C363" s="960"/>
      <c r="D363" s="944"/>
      <c r="E363" s="232"/>
      <c r="F363" s="233" t="s">
        <v>561</v>
      </c>
      <c r="G363" s="228"/>
      <c r="H363" s="228"/>
      <c r="I363" s="228"/>
      <c r="J363" s="228"/>
      <c r="K363" s="228"/>
      <c r="L363" s="229"/>
      <c r="M363" s="230"/>
      <c r="N363" s="230"/>
      <c r="O363" s="230"/>
      <c r="P363" s="230"/>
      <c r="Q363" s="230"/>
      <c r="R363" s="230"/>
      <c r="S363" s="230"/>
      <c r="T363" s="230"/>
      <c r="U363" s="230"/>
      <c r="V363" s="230"/>
      <c r="W363" s="230"/>
      <c r="X363" s="230"/>
      <c r="Y363" s="230"/>
      <c r="Z363" s="230"/>
      <c r="AA363" s="230"/>
      <c r="AB363" s="230"/>
      <c r="AC363" s="230"/>
      <c r="AD363" s="230"/>
      <c r="AE363" s="230"/>
      <c r="AF363" s="230"/>
      <c r="AG363" s="230"/>
      <c r="AH363" s="230"/>
      <c r="AI363" s="230"/>
      <c r="AJ363" s="230"/>
      <c r="AK363" s="230"/>
      <c r="AL363" s="230"/>
      <c r="AM363" s="230"/>
      <c r="AN363" s="230"/>
      <c r="AO363" s="230"/>
      <c r="AP363" s="230"/>
      <c r="AQ363" s="230"/>
      <c r="AR363" s="230"/>
      <c r="AS363" s="230"/>
      <c r="AT363" s="230"/>
      <c r="AU363" s="230"/>
      <c r="AV363" s="230"/>
      <c r="AW363" s="230"/>
      <c r="AX363" s="230"/>
      <c r="AY363" s="230"/>
      <c r="AZ363" s="230"/>
      <c r="BA363" s="230"/>
      <c r="BB363" s="230"/>
      <c r="BC363" s="230"/>
      <c r="BD363" s="230"/>
      <c r="BE363" s="230"/>
      <c r="BF363" s="230"/>
      <c r="BG363" s="230"/>
      <c r="BH363" s="230"/>
      <c r="BI363" s="230"/>
      <c r="BJ363" s="230"/>
      <c r="BK363" s="230"/>
      <c r="BL363" s="230"/>
      <c r="BM363" s="230"/>
      <c r="BN363" s="230"/>
      <c r="BO363" s="230"/>
      <c r="BP363" s="231"/>
    </row>
    <row r="364" spans="1:68" ht="14.25" customHeight="1" x14ac:dyDescent="0.3">
      <c r="A364" s="58"/>
      <c r="B364" s="58"/>
      <c r="C364" s="58">
        <f>+G357/G364</f>
        <v>1.9963436799999998</v>
      </c>
      <c r="D364" s="944"/>
      <c r="E364" s="232"/>
      <c r="F364" s="234" t="s">
        <v>562</v>
      </c>
      <c r="G364" s="892">
        <v>0.13023809607772546</v>
      </c>
      <c r="H364" s="892">
        <v>0.13160585781994544</v>
      </c>
      <c r="I364" s="892">
        <v>0.13319869374805543</v>
      </c>
      <c r="J364" s="892">
        <v>0.13352357341517668</v>
      </c>
      <c r="K364" s="892">
        <v>0.13234408213181037</v>
      </c>
      <c r="L364" s="892">
        <v>0.13735171884113129</v>
      </c>
      <c r="M364" s="892">
        <v>0.13660480790417526</v>
      </c>
      <c r="N364" s="892">
        <v>0.13769252012980548</v>
      </c>
      <c r="O364" s="894">
        <v>0.21360000000000001</v>
      </c>
      <c r="P364" s="894">
        <v>0.21529999999999999</v>
      </c>
      <c r="Q364" s="894">
        <v>0.215</v>
      </c>
      <c r="R364" s="894">
        <v>0.2155</v>
      </c>
      <c r="S364" s="894">
        <v>0.217</v>
      </c>
      <c r="T364" s="894">
        <f t="shared" ref="T364" si="343">S364</f>
        <v>0.217</v>
      </c>
      <c r="U364" s="894">
        <f>T364+$S$364*0.01/48</f>
        <v>0.21704520833333332</v>
      </c>
      <c r="V364" s="894">
        <f t="shared" ref="V364:BO364" si="344">U364+$S$364*0.01/48</f>
        <v>0.21709041666666665</v>
      </c>
      <c r="W364" s="894">
        <f t="shared" si="344"/>
        <v>0.21713562499999997</v>
      </c>
      <c r="X364" s="894">
        <f t="shared" si="344"/>
        <v>0.2171808333333333</v>
      </c>
      <c r="Y364" s="894">
        <f t="shared" si="344"/>
        <v>0.21722604166666662</v>
      </c>
      <c r="Z364" s="894">
        <f t="shared" si="344"/>
        <v>0.21727124999999994</v>
      </c>
      <c r="AA364" s="894">
        <f t="shared" si="344"/>
        <v>0.21731645833333327</v>
      </c>
      <c r="AB364" s="894">
        <f t="shared" si="344"/>
        <v>0.21736166666666659</v>
      </c>
      <c r="AC364" s="894">
        <f t="shared" si="344"/>
        <v>0.21740687499999992</v>
      </c>
      <c r="AD364" s="894">
        <f t="shared" si="344"/>
        <v>0.21745208333333324</v>
      </c>
      <c r="AE364" s="894">
        <f t="shared" si="344"/>
        <v>0.21749729166666656</v>
      </c>
      <c r="AF364" s="894">
        <f t="shared" si="344"/>
        <v>0.21754249999999989</v>
      </c>
      <c r="AG364" s="894">
        <f t="shared" si="344"/>
        <v>0.21758770833333321</v>
      </c>
      <c r="AH364" s="894">
        <f t="shared" si="344"/>
        <v>0.21763291666666654</v>
      </c>
      <c r="AI364" s="894">
        <f t="shared" si="344"/>
        <v>0.21767812499999986</v>
      </c>
      <c r="AJ364" s="894">
        <f t="shared" si="344"/>
        <v>0.21772333333333319</v>
      </c>
      <c r="AK364" s="894">
        <f t="shared" si="344"/>
        <v>0.21776854166666651</v>
      </c>
      <c r="AL364" s="894">
        <f t="shared" si="344"/>
        <v>0.21781374999999983</v>
      </c>
      <c r="AM364" s="894">
        <f t="shared" si="344"/>
        <v>0.21785895833333316</v>
      </c>
      <c r="AN364" s="894">
        <f t="shared" si="344"/>
        <v>0.21790416666666648</v>
      </c>
      <c r="AO364" s="894">
        <f t="shared" si="344"/>
        <v>0.21794937499999981</v>
      </c>
      <c r="AP364" s="894">
        <f t="shared" si="344"/>
        <v>0.21799458333333313</v>
      </c>
      <c r="AQ364" s="894">
        <f t="shared" si="344"/>
        <v>0.21803979166666645</v>
      </c>
      <c r="AR364" s="894">
        <f t="shared" si="344"/>
        <v>0.21808499999999978</v>
      </c>
      <c r="AS364" s="894">
        <f t="shared" si="344"/>
        <v>0.2181302083333331</v>
      </c>
      <c r="AT364" s="894">
        <f t="shared" si="344"/>
        <v>0.21817541666666643</v>
      </c>
      <c r="AU364" s="894">
        <f t="shared" si="344"/>
        <v>0.21822062499999975</v>
      </c>
      <c r="AV364" s="894">
        <f t="shared" si="344"/>
        <v>0.21826583333333308</v>
      </c>
      <c r="AW364" s="894">
        <f t="shared" si="344"/>
        <v>0.2183110416666664</v>
      </c>
      <c r="AX364" s="894">
        <f t="shared" si="344"/>
        <v>0.21835624999999972</v>
      </c>
      <c r="AY364" s="894">
        <f t="shared" si="344"/>
        <v>0.21840145833333305</v>
      </c>
      <c r="AZ364" s="894">
        <f t="shared" si="344"/>
        <v>0.21844666666666637</v>
      </c>
      <c r="BA364" s="894">
        <f t="shared" si="344"/>
        <v>0.2184918749999997</v>
      </c>
      <c r="BB364" s="894">
        <f t="shared" si="344"/>
        <v>0.21853708333333302</v>
      </c>
      <c r="BC364" s="894">
        <f t="shared" si="344"/>
        <v>0.21858229166666635</v>
      </c>
      <c r="BD364" s="894">
        <f t="shared" si="344"/>
        <v>0.21862749999999967</v>
      </c>
      <c r="BE364" s="894">
        <f t="shared" si="344"/>
        <v>0.21867270833333299</v>
      </c>
      <c r="BF364" s="894">
        <f t="shared" si="344"/>
        <v>0.21871791666666632</v>
      </c>
      <c r="BG364" s="894">
        <f t="shared" si="344"/>
        <v>0.21876312499999964</v>
      </c>
      <c r="BH364" s="894">
        <f t="shared" si="344"/>
        <v>0.21880833333333297</v>
      </c>
      <c r="BI364" s="894">
        <f t="shared" si="344"/>
        <v>0.21885354166666629</v>
      </c>
      <c r="BJ364" s="894">
        <f t="shared" si="344"/>
        <v>0.21889874999999961</v>
      </c>
      <c r="BK364" s="894">
        <f t="shared" si="344"/>
        <v>0.21894395833333294</v>
      </c>
      <c r="BL364" s="894">
        <f t="shared" si="344"/>
        <v>0.21898916666666626</v>
      </c>
      <c r="BM364" s="894">
        <f t="shared" si="344"/>
        <v>0.21903437499999959</v>
      </c>
      <c r="BN364" s="894">
        <f t="shared" si="344"/>
        <v>0.21907958333333291</v>
      </c>
      <c r="BO364" s="894">
        <f t="shared" si="344"/>
        <v>0.21912479166666624</v>
      </c>
      <c r="BP364" s="231"/>
    </row>
    <row r="365" spans="1:68" ht="14.25" customHeight="1" x14ac:dyDescent="0.3">
      <c r="A365" s="58"/>
      <c r="B365" s="58"/>
      <c r="C365" s="58"/>
      <c r="D365" s="944"/>
      <c r="E365" s="232"/>
      <c r="F365" s="234" t="s">
        <v>563</v>
      </c>
      <c r="G365" s="892">
        <v>2.7264861863197156</v>
      </c>
      <c r="H365" s="892">
        <v>2.984601577735547</v>
      </c>
      <c r="I365" s="892">
        <v>2.7193742777740639</v>
      </c>
      <c r="J365" s="892">
        <v>3.0600986887339259</v>
      </c>
      <c r="K365" s="892">
        <v>2.9913481173127994</v>
      </c>
      <c r="L365" s="892">
        <v>2.997009713308481</v>
      </c>
      <c r="M365" s="892">
        <v>3.0689876936016369</v>
      </c>
      <c r="N365" s="892">
        <v>2.9430871377308305</v>
      </c>
      <c r="O365" s="894">
        <v>2.1920000000000002</v>
      </c>
      <c r="P365" s="894">
        <v>2.4357678800000002</v>
      </c>
      <c r="Q365" s="894">
        <v>2.3321593319999998</v>
      </c>
      <c r="R365" s="894">
        <v>2.457143195</v>
      </c>
      <c r="S365" s="894">
        <v>2.4605273799999998</v>
      </c>
      <c r="T365" s="894">
        <f>S365+$S$365*0.1/48</f>
        <v>2.4656534787083331</v>
      </c>
      <c r="U365" s="894">
        <f t="shared" ref="U365:BO365" si="345">T365+$S$365*0.1/48</f>
        <v>2.4707795774166663</v>
      </c>
      <c r="V365" s="894">
        <f t="shared" si="345"/>
        <v>2.4759056761249996</v>
      </c>
      <c r="W365" s="894">
        <f t="shared" si="345"/>
        <v>2.4810317748333328</v>
      </c>
      <c r="X365" s="894">
        <f t="shared" si="345"/>
        <v>2.4861578735416661</v>
      </c>
      <c r="Y365" s="894">
        <f t="shared" si="345"/>
        <v>2.4912839722499993</v>
      </c>
      <c r="Z365" s="894">
        <f t="shared" si="345"/>
        <v>2.4964100709583326</v>
      </c>
      <c r="AA365" s="894">
        <f t="shared" si="345"/>
        <v>2.5015361696666658</v>
      </c>
      <c r="AB365" s="894">
        <f t="shared" si="345"/>
        <v>2.5066622683749991</v>
      </c>
      <c r="AC365" s="894">
        <f t="shared" si="345"/>
        <v>2.5117883670833323</v>
      </c>
      <c r="AD365" s="894">
        <f t="shared" si="345"/>
        <v>2.5169144657916656</v>
      </c>
      <c r="AE365" s="894">
        <f t="shared" si="345"/>
        <v>2.5220405644999988</v>
      </c>
      <c r="AF365" s="894">
        <f t="shared" si="345"/>
        <v>2.5271666632083321</v>
      </c>
      <c r="AG365" s="894">
        <f t="shared" si="345"/>
        <v>2.5322927619166653</v>
      </c>
      <c r="AH365" s="894">
        <f t="shared" si="345"/>
        <v>2.5374188606249986</v>
      </c>
      <c r="AI365" s="894">
        <f t="shared" si="345"/>
        <v>2.5425449593333318</v>
      </c>
      <c r="AJ365" s="894">
        <f t="shared" si="345"/>
        <v>2.547671058041665</v>
      </c>
      <c r="AK365" s="894">
        <f t="shared" si="345"/>
        <v>2.5527971567499983</v>
      </c>
      <c r="AL365" s="894">
        <f t="shared" si="345"/>
        <v>2.5579232554583315</v>
      </c>
      <c r="AM365" s="894">
        <f t="shared" si="345"/>
        <v>2.5630493541666648</v>
      </c>
      <c r="AN365" s="894">
        <f t="shared" si="345"/>
        <v>2.568175452874998</v>
      </c>
      <c r="AO365" s="894">
        <f t="shared" si="345"/>
        <v>2.5733015515833313</v>
      </c>
      <c r="AP365" s="894">
        <f t="shared" si="345"/>
        <v>2.5784276502916645</v>
      </c>
      <c r="AQ365" s="894">
        <f t="shared" si="345"/>
        <v>2.5835537489999978</v>
      </c>
      <c r="AR365" s="894">
        <f t="shared" si="345"/>
        <v>2.588679847708331</v>
      </c>
      <c r="AS365" s="894">
        <f t="shared" si="345"/>
        <v>2.5938059464166643</v>
      </c>
      <c r="AT365" s="894">
        <f t="shared" si="345"/>
        <v>2.5989320451249975</v>
      </c>
      <c r="AU365" s="894">
        <f t="shared" si="345"/>
        <v>2.6040581438333308</v>
      </c>
      <c r="AV365" s="894">
        <f t="shared" si="345"/>
        <v>2.609184242541664</v>
      </c>
      <c r="AW365" s="894">
        <f t="shared" si="345"/>
        <v>2.6143103412499973</v>
      </c>
      <c r="AX365" s="894">
        <f t="shared" si="345"/>
        <v>2.6194364399583305</v>
      </c>
      <c r="AY365" s="894">
        <f t="shared" si="345"/>
        <v>2.6245625386666638</v>
      </c>
      <c r="AZ365" s="894">
        <f t="shared" si="345"/>
        <v>2.629688637374997</v>
      </c>
      <c r="BA365" s="894">
        <f t="shared" si="345"/>
        <v>2.6348147360833303</v>
      </c>
      <c r="BB365" s="894">
        <f t="shared" si="345"/>
        <v>2.6399408347916635</v>
      </c>
      <c r="BC365" s="894">
        <f t="shared" si="345"/>
        <v>2.6450669334999968</v>
      </c>
      <c r="BD365" s="894">
        <f t="shared" si="345"/>
        <v>2.65019303220833</v>
      </c>
      <c r="BE365" s="894">
        <f t="shared" si="345"/>
        <v>2.6553191309166633</v>
      </c>
      <c r="BF365" s="894">
        <f t="shared" si="345"/>
        <v>2.6604452296249965</v>
      </c>
      <c r="BG365" s="894">
        <f t="shared" si="345"/>
        <v>2.6655713283333298</v>
      </c>
      <c r="BH365" s="894">
        <f t="shared" si="345"/>
        <v>2.670697427041663</v>
      </c>
      <c r="BI365" s="894">
        <f t="shared" si="345"/>
        <v>2.6758235257499963</v>
      </c>
      <c r="BJ365" s="894">
        <f t="shared" si="345"/>
        <v>2.6809496244583295</v>
      </c>
      <c r="BK365" s="894">
        <f t="shared" si="345"/>
        <v>2.6860757231666628</v>
      </c>
      <c r="BL365" s="894">
        <f t="shared" si="345"/>
        <v>2.691201821874996</v>
      </c>
      <c r="BM365" s="894">
        <f t="shared" si="345"/>
        <v>2.6963279205833293</v>
      </c>
      <c r="BN365" s="894">
        <f t="shared" si="345"/>
        <v>2.7014540192916625</v>
      </c>
      <c r="BO365" s="894">
        <f t="shared" si="345"/>
        <v>2.7065801179999958</v>
      </c>
      <c r="BP365" s="231"/>
    </row>
    <row r="366" spans="1:68" ht="14.25" customHeight="1" x14ac:dyDescent="0.35">
      <c r="A366" s="960"/>
      <c r="B366" s="960"/>
      <c r="C366" s="960"/>
      <c r="D366" s="944"/>
      <c r="E366" s="232"/>
      <c r="F366" s="250"/>
      <c r="G366" s="250"/>
      <c r="H366" s="250"/>
      <c r="I366" s="250"/>
      <c r="J366" s="250"/>
      <c r="K366" s="250"/>
      <c r="L366" s="251"/>
      <c r="M366" s="251"/>
      <c r="N366" s="251"/>
      <c r="O366" s="252"/>
      <c r="P366" s="252"/>
      <c r="Q366" s="252"/>
      <c r="R366" s="252"/>
      <c r="S366" s="252"/>
      <c r="T366" s="252"/>
      <c r="U366" s="252"/>
      <c r="V366" s="252"/>
      <c r="W366" s="252"/>
      <c r="X366" s="252"/>
      <c r="Y366" s="252"/>
      <c r="Z366" s="252"/>
      <c r="AA366" s="252"/>
      <c r="AB366" s="252"/>
      <c r="AC366" s="252"/>
      <c r="AD366" s="252"/>
      <c r="AE366" s="252"/>
      <c r="AF366" s="252"/>
      <c r="AG366" s="252"/>
      <c r="AH366" s="252"/>
      <c r="AI366" s="252"/>
      <c r="AJ366" s="252"/>
      <c r="AK366" s="252"/>
      <c r="AL366" s="252"/>
      <c r="AM366" s="252"/>
      <c r="AN366" s="252"/>
      <c r="AO366" s="252"/>
      <c r="AP366" s="252"/>
      <c r="AQ366" s="252"/>
      <c r="AR366" s="252"/>
      <c r="AS366" s="252"/>
      <c r="AT366" s="252"/>
      <c r="AU366" s="252"/>
      <c r="AV366" s="252"/>
      <c r="AW366" s="252"/>
      <c r="AX366" s="252"/>
      <c r="AY366" s="252"/>
      <c r="AZ366" s="252"/>
      <c r="BA366" s="252"/>
      <c r="BB366" s="252"/>
      <c r="BC366" s="252"/>
      <c r="BD366" s="252"/>
      <c r="BE366" s="252"/>
      <c r="BF366" s="252"/>
      <c r="BG366" s="252"/>
      <c r="BH366" s="252"/>
      <c r="BI366" s="252"/>
      <c r="BJ366" s="252"/>
      <c r="BK366" s="252"/>
      <c r="BL366" s="252"/>
      <c r="BM366" s="252"/>
      <c r="BN366" s="252"/>
      <c r="BO366" s="252"/>
      <c r="BP366" s="231"/>
    </row>
    <row r="367" spans="1:68" ht="14.25" customHeight="1" x14ac:dyDescent="0.3">
      <c r="A367" s="960"/>
      <c r="B367" s="960"/>
      <c r="C367" s="960"/>
      <c r="D367" s="944"/>
      <c r="E367" s="226"/>
      <c r="F367" s="227" t="s">
        <v>564</v>
      </c>
      <c r="G367" s="228"/>
      <c r="H367" s="228"/>
      <c r="I367" s="228"/>
      <c r="J367" s="228"/>
      <c r="K367" s="228"/>
      <c r="L367" s="229"/>
      <c r="M367" s="230"/>
      <c r="N367" s="230"/>
      <c r="O367" s="230"/>
      <c r="P367" s="230"/>
      <c r="Q367" s="230"/>
      <c r="R367" s="230"/>
      <c r="S367" s="230"/>
      <c r="T367" s="230"/>
      <c r="U367" s="230"/>
      <c r="V367" s="230"/>
      <c r="W367" s="230"/>
      <c r="X367" s="230"/>
      <c r="Y367" s="230"/>
      <c r="Z367" s="230"/>
      <c r="AA367" s="230"/>
      <c r="AB367" s="230"/>
      <c r="AC367" s="230"/>
      <c r="AD367" s="230"/>
      <c r="AE367" s="230"/>
      <c r="AF367" s="230"/>
      <c r="AG367" s="230"/>
      <c r="AH367" s="230"/>
      <c r="AI367" s="230"/>
      <c r="AJ367" s="230"/>
      <c r="AK367" s="230"/>
      <c r="AL367" s="230"/>
      <c r="AM367" s="230"/>
      <c r="AN367" s="230"/>
      <c r="AO367" s="230"/>
      <c r="AP367" s="230"/>
      <c r="AQ367" s="230"/>
      <c r="AR367" s="230"/>
      <c r="AS367" s="230"/>
      <c r="AT367" s="230"/>
      <c r="AU367" s="230"/>
      <c r="AV367" s="230"/>
      <c r="AW367" s="230"/>
      <c r="AX367" s="230"/>
      <c r="AY367" s="230"/>
      <c r="AZ367" s="230"/>
      <c r="BA367" s="230"/>
      <c r="BB367" s="230"/>
      <c r="BC367" s="230"/>
      <c r="BD367" s="230"/>
      <c r="BE367" s="230"/>
      <c r="BF367" s="230"/>
      <c r="BG367" s="230"/>
      <c r="BH367" s="230"/>
      <c r="BI367" s="230"/>
      <c r="BJ367" s="230"/>
      <c r="BK367" s="230"/>
      <c r="BL367" s="230"/>
      <c r="BM367" s="230"/>
      <c r="BN367" s="230"/>
      <c r="BO367" s="230"/>
      <c r="BP367" s="231"/>
    </row>
    <row r="368" spans="1:68" ht="14.25" customHeight="1" x14ac:dyDescent="0.3">
      <c r="A368" s="960"/>
      <c r="B368" s="960"/>
      <c r="C368" s="960"/>
      <c r="D368" s="944"/>
      <c r="E368" s="232"/>
      <c r="F368" s="233" t="s">
        <v>565</v>
      </c>
      <c r="G368" s="228"/>
      <c r="H368" s="228"/>
      <c r="I368" s="228"/>
      <c r="J368" s="228"/>
      <c r="K368" s="228"/>
      <c r="L368" s="229"/>
      <c r="M368" s="230"/>
      <c r="N368" s="230"/>
      <c r="O368" s="230"/>
      <c r="P368" s="230"/>
      <c r="Q368" s="230"/>
      <c r="R368" s="230"/>
      <c r="S368" s="230"/>
      <c r="T368" s="230"/>
      <c r="U368" s="230"/>
      <c r="V368" s="230"/>
      <c r="W368" s="230"/>
      <c r="X368" s="230"/>
      <c r="Y368" s="230"/>
      <c r="Z368" s="230"/>
      <c r="AA368" s="230"/>
      <c r="AB368" s="230"/>
      <c r="AC368" s="230"/>
      <c r="AD368" s="230"/>
      <c r="AE368" s="230"/>
      <c r="AF368" s="230"/>
      <c r="AG368" s="230"/>
      <c r="AH368" s="230"/>
      <c r="AI368" s="230"/>
      <c r="AJ368" s="230"/>
      <c r="AK368" s="230"/>
      <c r="AL368" s="230"/>
      <c r="AM368" s="230"/>
      <c r="AN368" s="230"/>
      <c r="AO368" s="230"/>
      <c r="AP368" s="230"/>
      <c r="AQ368" s="230"/>
      <c r="AR368" s="230"/>
      <c r="AS368" s="230"/>
      <c r="AT368" s="230"/>
      <c r="AU368" s="230"/>
      <c r="AV368" s="230"/>
      <c r="AW368" s="230"/>
      <c r="AX368" s="230"/>
      <c r="AY368" s="230"/>
      <c r="AZ368" s="230"/>
      <c r="BA368" s="230"/>
      <c r="BB368" s="230"/>
      <c r="BC368" s="230"/>
      <c r="BD368" s="230"/>
      <c r="BE368" s="230"/>
      <c r="BF368" s="230"/>
      <c r="BG368" s="230"/>
      <c r="BH368" s="230"/>
      <c r="BI368" s="230"/>
      <c r="BJ368" s="230"/>
      <c r="BK368" s="230"/>
      <c r="BL368" s="230"/>
      <c r="BM368" s="230"/>
      <c r="BN368" s="230"/>
      <c r="BO368" s="230"/>
      <c r="BP368" s="231"/>
    </row>
    <row r="369" spans="1:96" ht="14.25" customHeight="1" x14ac:dyDescent="0.3">
      <c r="A369" s="1178" t="s">
        <v>521</v>
      </c>
      <c r="B369" s="960"/>
      <c r="C369" s="960"/>
      <c r="D369" s="944"/>
      <c r="E369" s="232"/>
      <c r="F369" s="234" t="s">
        <v>566</v>
      </c>
      <c r="G369" s="246">
        <v>0</v>
      </c>
      <c r="H369" s="246">
        <v>0</v>
      </c>
      <c r="I369" s="246">
        <v>0</v>
      </c>
      <c r="J369" s="246">
        <v>0</v>
      </c>
      <c r="K369" s="246">
        <v>1.6520000000000001</v>
      </c>
      <c r="L369" s="891">
        <v>0.505</v>
      </c>
      <c r="M369" s="891">
        <v>0</v>
      </c>
      <c r="N369" s="891">
        <v>0.26</v>
      </c>
      <c r="O369" s="891">
        <v>0.5</v>
      </c>
      <c r="P369" s="891">
        <v>0</v>
      </c>
      <c r="Q369" s="891">
        <v>3.0000000000000001E-3</v>
      </c>
      <c r="R369" s="891">
        <v>0</v>
      </c>
      <c r="S369" s="891"/>
      <c r="T369" s="891"/>
      <c r="U369" s="891"/>
      <c r="V369" s="891"/>
      <c r="W369" s="891"/>
      <c r="X369" s="891"/>
      <c r="Y369" s="891"/>
      <c r="Z369" s="891"/>
      <c r="AA369" s="891"/>
      <c r="AB369" s="891"/>
      <c r="AC369" s="891"/>
      <c r="AD369" s="891"/>
      <c r="AE369" s="891"/>
      <c r="AF369" s="891"/>
      <c r="AG369" s="891"/>
      <c r="AH369" s="891"/>
      <c r="AI369" s="891"/>
      <c r="AJ369" s="891"/>
      <c r="AK369" s="891"/>
      <c r="AL369" s="891"/>
      <c r="AM369" s="891"/>
      <c r="AN369" s="891"/>
      <c r="AO369" s="891"/>
      <c r="AP369" s="891"/>
      <c r="AQ369" s="891"/>
      <c r="AR369" s="891"/>
      <c r="AS369" s="891"/>
      <c r="AT369" s="891"/>
      <c r="AU369" s="891"/>
      <c r="AV369" s="891"/>
      <c r="AW369" s="891"/>
      <c r="AX369" s="891"/>
      <c r="AY369" s="891"/>
      <c r="AZ369" s="891"/>
      <c r="BA369" s="891"/>
      <c r="BB369" s="891"/>
      <c r="BC369" s="891"/>
      <c r="BD369" s="891"/>
      <c r="BE369" s="891"/>
      <c r="BF369" s="891"/>
      <c r="BG369" s="891"/>
      <c r="BH369" s="891"/>
      <c r="BI369" s="891"/>
      <c r="BJ369" s="891"/>
      <c r="BK369" s="891"/>
      <c r="BL369" s="891"/>
      <c r="BM369" s="891"/>
      <c r="BN369" s="891"/>
      <c r="BO369" s="891"/>
      <c r="BP369" s="231"/>
    </row>
    <row r="370" spans="1:96" ht="14.25" customHeight="1" x14ac:dyDescent="0.35">
      <c r="A370" s="982"/>
      <c r="D370" s="944"/>
      <c r="E370" s="232"/>
      <c r="F370" s="234" t="s">
        <v>567</v>
      </c>
      <c r="G370" s="246">
        <v>10313.996000000001</v>
      </c>
      <c r="H370" s="253">
        <v>19429.969999999994</v>
      </c>
      <c r="I370" s="246">
        <v>19693.512999999999</v>
      </c>
      <c r="J370" s="246">
        <v>5047.5109999999995</v>
      </c>
      <c r="K370" s="246">
        <v>8285.5679999999993</v>
      </c>
      <c r="L370" s="891">
        <v>3121.2689999999993</v>
      </c>
      <c r="M370" s="891">
        <v>267.87599999999998</v>
      </c>
      <c r="N370" s="891">
        <v>53.98321</v>
      </c>
      <c r="O370" s="891">
        <v>8.0000000000000004E-4</v>
      </c>
      <c r="P370" s="891">
        <v>26.648029999999999</v>
      </c>
      <c r="Q370" s="891">
        <v>0.03</v>
      </c>
      <c r="R370" s="891">
        <v>537.36009999999999</v>
      </c>
      <c r="S370" s="891"/>
      <c r="T370" s="891"/>
      <c r="U370" s="891"/>
      <c r="V370" s="891"/>
      <c r="W370" s="891"/>
      <c r="X370" s="891"/>
      <c r="Y370" s="891"/>
      <c r="Z370" s="891"/>
      <c r="AA370" s="891"/>
      <c r="AB370" s="891"/>
      <c r="AC370" s="891"/>
      <c r="AD370" s="891"/>
      <c r="AE370" s="891"/>
      <c r="AF370" s="891"/>
      <c r="AG370" s="891"/>
      <c r="AH370" s="891"/>
      <c r="AI370" s="891"/>
      <c r="AJ370" s="891"/>
      <c r="AK370" s="891"/>
      <c r="AL370" s="891"/>
      <c r="AM370" s="891"/>
      <c r="AN370" s="891"/>
      <c r="AO370" s="891"/>
      <c r="AP370" s="891"/>
      <c r="AQ370" s="891"/>
      <c r="AR370" s="891"/>
      <c r="AS370" s="891"/>
      <c r="AT370" s="891"/>
      <c r="AU370" s="891"/>
      <c r="AV370" s="891"/>
      <c r="AW370" s="891"/>
      <c r="AX370" s="891"/>
      <c r="AY370" s="891"/>
      <c r="AZ370" s="891"/>
      <c r="BA370" s="891"/>
      <c r="BB370" s="891"/>
      <c r="BC370" s="891"/>
      <c r="BD370" s="891"/>
      <c r="BE370" s="891"/>
      <c r="BF370" s="891"/>
      <c r="BG370" s="891"/>
      <c r="BH370" s="891"/>
      <c r="BI370" s="891"/>
      <c r="BJ370" s="891"/>
      <c r="BK370" s="891"/>
      <c r="BL370" s="891"/>
      <c r="BM370" s="891"/>
      <c r="BN370" s="891"/>
      <c r="BO370" s="891"/>
      <c r="BP370" s="231"/>
    </row>
    <row r="371" spans="1:96" ht="14.25" customHeight="1" x14ac:dyDescent="0.3">
      <c r="A371" s="960"/>
      <c r="B371" s="960"/>
      <c r="C371" s="960"/>
      <c r="D371" s="944"/>
      <c r="E371" s="232"/>
      <c r="F371" s="233" t="s">
        <v>568</v>
      </c>
      <c r="G371" s="228"/>
      <c r="H371" s="228"/>
      <c r="I371" s="228"/>
      <c r="J371" s="228"/>
      <c r="K371" s="228"/>
      <c r="L371" s="229"/>
      <c r="M371" s="230"/>
      <c r="N371" s="230"/>
      <c r="O371" s="230"/>
      <c r="P371" s="230"/>
      <c r="Q371" s="230"/>
      <c r="R371" s="230"/>
      <c r="S371" s="230"/>
      <c r="T371" s="230"/>
      <c r="U371" s="230"/>
      <c r="V371" s="230"/>
      <c r="W371" s="230"/>
      <c r="X371" s="230"/>
      <c r="Y371" s="230"/>
      <c r="Z371" s="230"/>
      <c r="AA371" s="230"/>
      <c r="AB371" s="230"/>
      <c r="AC371" s="230"/>
      <c r="AD371" s="230"/>
      <c r="AE371" s="230"/>
      <c r="AF371" s="230"/>
      <c r="AG371" s="230"/>
      <c r="AH371" s="230"/>
      <c r="AI371" s="230"/>
      <c r="AJ371" s="230"/>
      <c r="AK371" s="230"/>
      <c r="AL371" s="230"/>
      <c r="AM371" s="230"/>
      <c r="AN371" s="230"/>
      <c r="AO371" s="230"/>
      <c r="AP371" s="230"/>
      <c r="AQ371" s="230"/>
      <c r="AR371" s="230"/>
      <c r="AS371" s="230"/>
      <c r="AT371" s="230"/>
      <c r="AU371" s="230"/>
      <c r="AV371" s="230"/>
      <c r="AW371" s="230"/>
      <c r="AX371" s="230"/>
      <c r="AY371" s="230"/>
      <c r="AZ371" s="230"/>
      <c r="BA371" s="230"/>
      <c r="BB371" s="230"/>
      <c r="BC371" s="230"/>
      <c r="BD371" s="230"/>
      <c r="BE371" s="230"/>
      <c r="BF371" s="230"/>
      <c r="BG371" s="230"/>
      <c r="BH371" s="230"/>
      <c r="BI371" s="230"/>
      <c r="BJ371" s="230"/>
      <c r="BK371" s="230"/>
      <c r="BL371" s="230"/>
      <c r="BM371" s="230"/>
      <c r="BN371" s="230"/>
      <c r="BO371" s="230"/>
      <c r="BP371" s="231"/>
    </row>
    <row r="372" spans="1:96" ht="14.25" customHeight="1" x14ac:dyDescent="0.3">
      <c r="A372" s="1178" t="s">
        <v>521</v>
      </c>
      <c r="B372" s="960"/>
      <c r="C372" s="960"/>
      <c r="D372" s="944"/>
      <c r="E372" s="232"/>
      <c r="F372" s="234" t="s">
        <v>569</v>
      </c>
      <c r="G372" s="246">
        <f t="shared" ref="G372:R372" si="346">G369/1000000</f>
        <v>0</v>
      </c>
      <c r="H372" s="246">
        <f t="shared" si="346"/>
        <v>0</v>
      </c>
      <c r="I372" s="246">
        <f t="shared" si="346"/>
        <v>0</v>
      </c>
      <c r="J372" s="246">
        <f t="shared" si="346"/>
        <v>0</v>
      </c>
      <c r="K372" s="246">
        <f t="shared" si="346"/>
        <v>1.6520000000000002E-6</v>
      </c>
      <c r="L372" s="891">
        <f t="shared" si="346"/>
        <v>5.0500000000000004E-7</v>
      </c>
      <c r="M372" s="891">
        <f t="shared" si="346"/>
        <v>0</v>
      </c>
      <c r="N372" s="891">
        <f t="shared" si="346"/>
        <v>2.6E-7</v>
      </c>
      <c r="O372" s="891">
        <f t="shared" si="346"/>
        <v>4.9999999999999998E-7</v>
      </c>
      <c r="P372" s="891">
        <f t="shared" si="346"/>
        <v>0</v>
      </c>
      <c r="Q372" s="891">
        <f t="shared" si="346"/>
        <v>3E-9</v>
      </c>
      <c r="R372" s="891">
        <f t="shared" si="346"/>
        <v>0</v>
      </c>
      <c r="S372" s="245">
        <f>0.57*R372*(1+Driver_macroeconómicos_Agricult!H$57)</f>
        <v>0</v>
      </c>
      <c r="T372" s="245">
        <f>0.57*S372*(1+Driver_macroeconómicos_Agricult!I$57)</f>
        <v>0</v>
      </c>
      <c r="U372" s="245">
        <f>0.57*T372*(1+Driver_macroeconómicos_Agricult!J$57)</f>
        <v>0</v>
      </c>
      <c r="V372" s="245">
        <f>0.57*U372*(1+Driver_macroeconómicos_Agricult!K$57)</f>
        <v>0</v>
      </c>
      <c r="W372" s="245">
        <f>0.57*V372*(1+Driver_macroeconómicos_Agricult!L$57)</f>
        <v>0</v>
      </c>
      <c r="X372" s="245">
        <f>0.57*W372*(1+Driver_macroeconómicos_Agricult!M$57)</f>
        <v>0</v>
      </c>
      <c r="Y372" s="245">
        <f>0.57*X372*(1+Driver_macroeconómicos_Agricult!N$57)</f>
        <v>0</v>
      </c>
      <c r="Z372" s="245">
        <f>0.57*Y372*(1+Driver_macroeconómicos_Agricult!O$57)</f>
        <v>0</v>
      </c>
      <c r="AA372" s="245">
        <f>0.57*Z372*(1+Driver_macroeconómicos_Agricult!P$57)</f>
        <v>0</v>
      </c>
      <c r="AB372" s="245">
        <f>0.57*AA372*(1+Driver_macroeconómicos_Agricult!Q$57)</f>
        <v>0</v>
      </c>
      <c r="AC372" s="245">
        <f>0.57*AB372*(1+Driver_macroeconómicos_Agricult!R$57)</f>
        <v>0</v>
      </c>
      <c r="AD372" s="245">
        <f>0.57*AC372*(1+Driver_macroeconómicos_Agricult!S$57)</f>
        <v>0</v>
      </c>
      <c r="AE372" s="245">
        <f>0.57*AD372*(1+Driver_macroeconómicos_Agricult!T$57)</f>
        <v>0</v>
      </c>
      <c r="AF372" s="245">
        <f>0.57*AE372*(1+Driver_macroeconómicos_Agricult!U$57)</f>
        <v>0</v>
      </c>
      <c r="AG372" s="245">
        <f>0.57*AF372*(1+Driver_macroeconómicos_Agricult!V$57)</f>
        <v>0</v>
      </c>
      <c r="AH372" s="245">
        <f>0.57*AG372*(1+Driver_macroeconómicos_Agricult!W$57)</f>
        <v>0</v>
      </c>
      <c r="AI372" s="245">
        <f>0.57*AH372*(1+Driver_macroeconómicos_Agricult!X$57)</f>
        <v>0</v>
      </c>
      <c r="AJ372" s="245">
        <f>0.57*AI372*(1+Driver_macroeconómicos_Agricult!Y$57)</f>
        <v>0</v>
      </c>
      <c r="AK372" s="245">
        <f>0.57*AJ372*(1+Driver_macroeconómicos_Agricult!Z$57)</f>
        <v>0</v>
      </c>
      <c r="AL372" s="245">
        <f>0.57*AK372*(1+Driver_macroeconómicos_Agricult!AA$57)</f>
        <v>0</v>
      </c>
      <c r="AM372" s="245">
        <f>0.57*AL372*(1+Driver_macroeconómicos_Agricult!AB$57)</f>
        <v>0</v>
      </c>
      <c r="AN372" s="245">
        <f>0.57*AM372*(1+Driver_macroeconómicos_Agricult!AC$57)</f>
        <v>0</v>
      </c>
      <c r="AO372" s="245">
        <f>0.57*AN372*(1+Driver_macroeconómicos_Agricult!AD$57)</f>
        <v>0</v>
      </c>
      <c r="AP372" s="245">
        <f>0.57*AO372*(1+Driver_macroeconómicos_Agricult!AE$57)</f>
        <v>0</v>
      </c>
      <c r="AQ372" s="245">
        <f>0.57*AP372*(1+Driver_macroeconómicos_Agricult!AF$57)</f>
        <v>0</v>
      </c>
      <c r="AR372" s="245">
        <f>0.57*AQ372*(1+Driver_macroeconómicos_Agricult!AG$57)</f>
        <v>0</v>
      </c>
      <c r="AS372" s="245">
        <f>0.57*AR372*(1+Driver_macroeconómicos_Agricult!AH$57)</f>
        <v>0</v>
      </c>
      <c r="AT372" s="245">
        <f>0.57*AS372*(1+Driver_macroeconómicos_Agricult!AI$57)</f>
        <v>0</v>
      </c>
      <c r="AU372" s="245">
        <f>0.57*AT372*(1+Driver_macroeconómicos_Agricult!AJ$57)</f>
        <v>0</v>
      </c>
      <c r="AV372" s="245">
        <f>0.57*AU372*(1+Driver_macroeconómicos_Agricult!AK$57)</f>
        <v>0</v>
      </c>
      <c r="AW372" s="245">
        <f>0.57*AV372*(1+Driver_macroeconómicos_Agricult!AL$57)</f>
        <v>0</v>
      </c>
      <c r="AX372" s="245">
        <f>0.57*AW372*(1+Driver_macroeconómicos_Agricult!AM$57)</f>
        <v>0</v>
      </c>
      <c r="AY372" s="245">
        <f>0.57*AX372*(1+Driver_macroeconómicos_Agricult!AN$57)</f>
        <v>0</v>
      </c>
      <c r="AZ372" s="245">
        <f>0.57*AY372*(1+Driver_macroeconómicos_Agricult!AO$57)</f>
        <v>0</v>
      </c>
      <c r="BA372" s="245">
        <f>0.57*AZ372*(1+Driver_macroeconómicos_Agricult!AP$57)</f>
        <v>0</v>
      </c>
      <c r="BB372" s="245">
        <f>0.57*BA372*(1+Driver_macroeconómicos_Agricult!AQ$57)</f>
        <v>0</v>
      </c>
      <c r="BC372" s="245">
        <f>0.57*BB372*(1+Driver_macroeconómicos_Agricult!AR$57)</f>
        <v>0</v>
      </c>
      <c r="BD372" s="245">
        <f>0.57*BC372*(1+Driver_macroeconómicos_Agricult!AS$57)</f>
        <v>0</v>
      </c>
      <c r="BE372" s="245">
        <f>0.57*BD372*(1+Driver_macroeconómicos_Agricult!AT$57)</f>
        <v>0</v>
      </c>
      <c r="BF372" s="245">
        <f>0.57*BE372*(1+Driver_macroeconómicos_Agricult!AU$57)</f>
        <v>0</v>
      </c>
      <c r="BG372" s="245">
        <f>0.57*BF372*(1+Driver_macroeconómicos_Agricult!AV$57)</f>
        <v>0</v>
      </c>
      <c r="BH372" s="245">
        <f>0.57*BG372*(1+Driver_macroeconómicos_Agricult!AW$57)</f>
        <v>0</v>
      </c>
      <c r="BI372" s="245">
        <f>0.57*BH372*(1+Driver_macroeconómicos_Agricult!AX$57)</f>
        <v>0</v>
      </c>
      <c r="BJ372" s="245">
        <f>0.57*BI372*(1+Driver_macroeconómicos_Agricult!AY$57)</f>
        <v>0</v>
      </c>
      <c r="BK372" s="245">
        <f>0.57*BJ372*(1+Driver_macroeconómicos_Agricult!AZ$57)</f>
        <v>0</v>
      </c>
      <c r="BL372" s="245">
        <f>0.57*BK372*(1+Driver_macroeconómicos_Agricult!BA$57)</f>
        <v>0</v>
      </c>
      <c r="BM372" s="245">
        <f>0.57*BL372*(1+Driver_macroeconómicos_Agricult!BB$57)</f>
        <v>0</v>
      </c>
      <c r="BN372" s="245">
        <f>0.57*BM372*(1+Driver_macroeconómicos_Agricult!BC$57)</f>
        <v>0</v>
      </c>
      <c r="BO372" s="245">
        <f>0.57*BN372*(1+Driver_macroeconómicos_Agricult!BD$57)</f>
        <v>0</v>
      </c>
      <c r="BP372" s="231"/>
    </row>
    <row r="373" spans="1:96" ht="14.25" customHeight="1" x14ac:dyDescent="0.3">
      <c r="A373" s="982"/>
      <c r="D373" s="944"/>
      <c r="E373" s="232"/>
      <c r="F373" s="234" t="s">
        <v>570</v>
      </c>
      <c r="G373" s="246">
        <f t="shared" ref="G373:R373" si="347">G370/1000000</f>
        <v>1.0313996000000001E-2</v>
      </c>
      <c r="H373" s="246">
        <f t="shared" si="347"/>
        <v>1.9429969999999994E-2</v>
      </c>
      <c r="I373" s="246">
        <f t="shared" si="347"/>
        <v>1.9693512999999999E-2</v>
      </c>
      <c r="J373" s="246">
        <f t="shared" si="347"/>
        <v>5.0475109999999993E-3</v>
      </c>
      <c r="K373" s="246">
        <f t="shared" si="347"/>
        <v>8.2855680000000001E-3</v>
      </c>
      <c r="L373" s="891">
        <f t="shared" si="347"/>
        <v>3.1212689999999994E-3</v>
      </c>
      <c r="M373" s="891">
        <f t="shared" si="347"/>
        <v>2.6787599999999995E-4</v>
      </c>
      <c r="N373" s="891">
        <f t="shared" si="347"/>
        <v>5.3983210000000002E-5</v>
      </c>
      <c r="O373" s="891">
        <f t="shared" si="347"/>
        <v>8.0000000000000003E-10</v>
      </c>
      <c r="P373" s="891">
        <f t="shared" si="347"/>
        <v>2.6648029999999998E-5</v>
      </c>
      <c r="Q373" s="891">
        <f t="shared" si="347"/>
        <v>2.9999999999999997E-8</v>
      </c>
      <c r="R373" s="891">
        <f t="shared" si="347"/>
        <v>5.373601E-4</v>
      </c>
      <c r="S373" s="245">
        <f>0.57*R373*(1+Driver_macroeconómicos_Agricult!H$57)</f>
        <v>2.6787669699763182E-4</v>
      </c>
      <c r="T373" s="245">
        <f>0.57*S373*(1+Driver_macroeconómicos_Agricult!I$57)</f>
        <v>1.6390823144710998E-4</v>
      </c>
      <c r="U373" s="245">
        <f>0.57*T373*(1+Driver_macroeconómicos_Agricult!J$57)</f>
        <v>1.0039100693319076E-4</v>
      </c>
      <c r="V373" s="245">
        <f>0.57*U373*(1+Driver_macroeconómicos_Agricult!K$57)</f>
        <v>5.9760462103891296E-5</v>
      </c>
      <c r="W373" s="245">
        <f>0.57*V373*(1+Driver_macroeconómicos_Agricult!L$57)</f>
        <v>3.4111658383427623E-5</v>
      </c>
      <c r="X373" s="245">
        <f>0.57*W373*(1+Driver_macroeconómicos_Agricult!M$57)</f>
        <v>1.9821841909838098E-5</v>
      </c>
      <c r="Y373" s="245">
        <f>0.57*X373*(1+Driver_macroeconómicos_Agricult!N$57)</f>
        <v>1.1885579566359984E-5</v>
      </c>
      <c r="Z373" s="245">
        <f>0.57*Y373*(1+Driver_macroeconómicos_Agricult!O$57)</f>
        <v>7.0185587616474176E-6</v>
      </c>
      <c r="AA373" s="245">
        <f>0.57*Z373*(1+Driver_macroeconómicos_Agricult!P$57)</f>
        <v>4.1327947210574689E-6</v>
      </c>
      <c r="AB373" s="245">
        <f>0.57*AA373*(1+Driver_macroeconómicos_Agricult!Q$57)</f>
        <v>2.4427598123572697E-6</v>
      </c>
      <c r="AC373" s="245">
        <f>0.57*AB373*(1+Driver_macroeconómicos_Agricult!R$57)</f>
        <v>1.4452788305170939E-6</v>
      </c>
      <c r="AD373" s="245">
        <f>0.57*AC373*(1+Driver_macroeconómicos_Agricult!S$57)</f>
        <v>8.6587596570455533E-7</v>
      </c>
      <c r="AE373" s="245">
        <f>0.57*AD373*(1+Driver_macroeconómicos_Agricult!T$57)</f>
        <v>5.1333695526645934E-7</v>
      </c>
      <c r="AF373" s="245">
        <f>0.57*AE373*(1+Driver_macroeconómicos_Agricult!U$57)</f>
        <v>3.0475690083013979E-7</v>
      </c>
      <c r="AG373" s="245">
        <f>0.57*AF373*(1+Driver_macroeconómicos_Agricult!V$57)</f>
        <v>1.8146898613848811E-7</v>
      </c>
      <c r="AH373" s="245">
        <f>0.57*AG373*(1+Driver_macroeconómicos_Agricult!W$57)</f>
        <v>1.0769028127056646E-7</v>
      </c>
      <c r="AI373" s="245">
        <f>0.57*AH373*(1+Driver_macroeconómicos_Agricult!X$57)</f>
        <v>6.4088882585561349E-8</v>
      </c>
      <c r="AJ373" s="245">
        <f>0.57*AI373*(1+Driver_macroeconómicos_Agricult!Y$57)</f>
        <v>3.8236205022763675E-8</v>
      </c>
      <c r="AK373" s="245">
        <f>0.57*AJ373*(1+Driver_macroeconómicos_Agricult!Z$57)</f>
        <v>2.2708658414457104E-8</v>
      </c>
      <c r="AL373" s="245">
        <f>0.57*AK373*(1+Driver_macroeconómicos_Agricult!AA$57)</f>
        <v>1.3518688173520437E-8</v>
      </c>
      <c r="AM373" s="245">
        <f>0.57*AL373*(1+Driver_macroeconómicos_Agricult!AB$57)</f>
        <v>8.0456912102650324E-9</v>
      </c>
      <c r="AN373" s="245">
        <f>0.57*AM373*(1+Driver_macroeconómicos_Agricult!AC$57)</f>
        <v>4.7647601196712463E-9</v>
      </c>
      <c r="AO373" s="245">
        <f>0.57*AN373*(1+Driver_macroeconómicos_Agricult!AD$57)</f>
        <v>2.8374459361472753E-9</v>
      </c>
      <c r="AP373" s="245">
        <f>0.57*AO373*(1+Driver_macroeconómicos_Agricult!AE$57)</f>
        <v>1.6826629053442615E-9</v>
      </c>
      <c r="AQ373" s="245">
        <f>0.57*AP373*(1+Driver_macroeconómicos_Agricult!AF$57)</f>
        <v>1.0052797542444014E-9</v>
      </c>
      <c r="AR373" s="245">
        <f>0.57*AQ373*(1+Driver_macroeconómicos_Agricult!AG$57)</f>
        <v>5.9626339341751456E-10</v>
      </c>
      <c r="AS373" s="245">
        <f>0.57*AR373*(1+Driver_macroeconómicos_Agricult!AH$57)</f>
        <v>3.5419574453779298E-10</v>
      </c>
      <c r="AT373" s="245">
        <f>0.57*AS373*(1+Driver_macroeconómicos_Agricult!AI$57)</f>
        <v>2.1059086432896619E-10</v>
      </c>
      <c r="AU373" s="245">
        <f>0.57*AT373*(1+Driver_macroeconómicos_Agricult!AJ$57)</f>
        <v>1.2522571391761652E-10</v>
      </c>
      <c r="AV373" s="245">
        <f>0.57*AU373*(1+Driver_macroeconómicos_Agricult!AK$57)</f>
        <v>7.446449063934488E-11</v>
      </c>
      <c r="AW373" s="245">
        <f>0.57*AV373*(1+Driver_macroeconómicos_Agricult!AL$57)</f>
        <v>4.429455460267725E-11</v>
      </c>
      <c r="AX373" s="245">
        <f>0.57*AW373*(1+Driver_macroeconómicos_Agricult!AM$57)</f>
        <v>2.6349922600089082E-11</v>
      </c>
      <c r="AY373" s="245">
        <f>0.57*AX373*(1+Driver_macroeconómicos_Agricult!AN$57)</f>
        <v>1.5669573633846494E-11</v>
      </c>
      <c r="AZ373" s="245">
        <f>0.57*AY373*(1+Driver_macroeconómicos_Agricult!AO$57)</f>
        <v>9.3250621268568802E-12</v>
      </c>
      <c r="BA373" s="245">
        <f>0.57*AZ373*(1+Driver_macroeconómicos_Agricult!AP$57)</f>
        <v>5.5489999153658458E-12</v>
      </c>
      <c r="BB373" s="245">
        <f>0.57*BA373*(1+Driver_macroeconómicos_Agricult!AQ$57)</f>
        <v>3.3036478772582935E-12</v>
      </c>
      <c r="BC373" s="245">
        <f>0.57*BB373*(1+Driver_macroeconómicos_Agricult!AR$57)</f>
        <v>1.9659324817497357E-12</v>
      </c>
      <c r="BD373" s="245">
        <f>0.57*BC373*(1+Driver_macroeconómicos_Agricult!AS$57)</f>
        <v>1.1701789297894381E-12</v>
      </c>
      <c r="BE373" s="245">
        <f>0.57*BD373*(1+Driver_macroeconómicos_Agricult!AT$57)</f>
        <v>6.9664522285174474E-13</v>
      </c>
      <c r="BF373" s="245">
        <f>0.57*BE373*(1+Driver_macroeconómicos_Agricult!AU$57)</f>
        <v>4.1477055854323377E-13</v>
      </c>
      <c r="BG373" s="245">
        <f>0.57*BF373*(1+Driver_macroeconómicos_Agricult!AV$57)</f>
        <v>2.469570396967733E-13</v>
      </c>
      <c r="BH373" s="245">
        <f>0.57*BG373*(1+Driver_macroeconómicos_Agricult!AW$57)</f>
        <v>1.4706452791270778E-13</v>
      </c>
      <c r="BI373" s="245">
        <f>0.57*BH373*(1+Driver_macroeconómicos_Agricult!AX$57)</f>
        <v>8.7585267073343398E-14</v>
      </c>
      <c r="BJ373" s="245">
        <f>0.57*BI373*(1+Driver_macroeconómicos_Agricult!AY$57)</f>
        <v>5.2168643788830176E-14</v>
      </c>
      <c r="BK373" s="245">
        <f>0.57*BJ373*(1+Driver_macroeconómicos_Agricult!AZ$57)</f>
        <v>3.1075484127952454E-14</v>
      </c>
      <c r="BL373" s="245">
        <f>0.57*BK373*(1+Driver_macroeconómicos_Agricult!BA$57)</f>
        <v>1.8512472768837995E-14</v>
      </c>
      <c r="BM373" s="245">
        <f>0.57*BL373*(1+Driver_macroeconómicos_Agricult!BB$57)</f>
        <v>1.1029030256514195E-14</v>
      </c>
      <c r="BN373" s="245">
        <f>0.57*BM373*(1+Driver_macroeconómicos_Agricult!BC$57)</f>
        <v>6.5713787808947727E-15</v>
      </c>
      <c r="BO373" s="245">
        <f>0.57*BN373*(1+Driver_macroeconómicos_Agricult!BD$57)</f>
        <v>3.91573990450679E-15</v>
      </c>
      <c r="BP373" s="231"/>
    </row>
    <row r="374" spans="1:96" ht="13.5" customHeight="1" x14ac:dyDescent="0.35">
      <c r="A374" s="960"/>
      <c r="B374" s="960"/>
      <c r="C374" s="960"/>
      <c r="D374" s="944"/>
      <c r="E374" s="232"/>
      <c r="F374" s="250"/>
      <c r="G374" s="250"/>
      <c r="H374" s="250"/>
      <c r="I374" s="250"/>
      <c r="J374" s="250"/>
      <c r="K374" s="250"/>
      <c r="L374" s="251"/>
      <c r="M374" s="251"/>
      <c r="N374" s="251"/>
      <c r="O374" s="252"/>
      <c r="P374" s="252"/>
      <c r="Q374" s="252"/>
      <c r="R374" s="252"/>
      <c r="S374" s="252"/>
      <c r="T374" s="252"/>
      <c r="U374" s="252"/>
      <c r="V374" s="252"/>
      <c r="W374" s="252"/>
      <c r="X374" s="252"/>
      <c r="Y374" s="252"/>
      <c r="Z374" s="252"/>
      <c r="AA374" s="252"/>
      <c r="AB374" s="252"/>
      <c r="AC374" s="252"/>
      <c r="AD374" s="252"/>
      <c r="AE374" s="252"/>
      <c r="AF374" s="252"/>
      <c r="AG374" s="252"/>
      <c r="AH374" s="252"/>
      <c r="AI374" s="252"/>
      <c r="AJ374" s="252"/>
      <c r="AK374" s="252"/>
      <c r="AL374" s="252"/>
      <c r="AM374" s="252"/>
      <c r="AN374" s="252"/>
      <c r="AO374" s="252"/>
      <c r="AP374" s="252"/>
      <c r="AQ374" s="252"/>
      <c r="AR374" s="252"/>
      <c r="AS374" s="252"/>
      <c r="AT374" s="252"/>
      <c r="AU374" s="252"/>
      <c r="AV374" s="252"/>
      <c r="AW374" s="252"/>
      <c r="AX374" s="252"/>
      <c r="AY374" s="252"/>
      <c r="AZ374" s="252"/>
      <c r="BA374" s="252"/>
      <c r="BB374" s="252"/>
      <c r="BC374" s="252"/>
      <c r="BD374" s="252"/>
      <c r="BE374" s="252"/>
      <c r="BF374" s="252"/>
      <c r="BG374" s="252"/>
      <c r="BH374" s="252"/>
      <c r="BI374" s="252"/>
      <c r="BJ374" s="252"/>
      <c r="BK374" s="252"/>
      <c r="BL374" s="252"/>
      <c r="BM374" s="252"/>
      <c r="BN374" s="252"/>
      <c r="BO374" s="252"/>
      <c r="BP374" s="231"/>
    </row>
    <row r="375" spans="1:96" ht="14.25" customHeight="1" x14ac:dyDescent="0.3">
      <c r="A375" s="960"/>
      <c r="B375" s="960"/>
      <c r="C375" s="960"/>
      <c r="D375" s="944"/>
      <c r="E375" s="232"/>
      <c r="F375" s="227" t="s">
        <v>571</v>
      </c>
      <c r="G375" s="228"/>
      <c r="H375" s="228"/>
      <c r="I375" s="228"/>
      <c r="J375" s="228"/>
      <c r="K375" s="228"/>
      <c r="L375" s="229"/>
      <c r="M375" s="230"/>
      <c r="N375" s="230"/>
      <c r="O375" s="230"/>
      <c r="P375" s="230"/>
      <c r="Q375" s="230"/>
      <c r="R375" s="230"/>
      <c r="S375" s="230"/>
      <c r="T375" s="230"/>
      <c r="U375" s="230"/>
      <c r="V375" s="230"/>
      <c r="W375" s="230"/>
      <c r="X375" s="230"/>
      <c r="Y375" s="230"/>
      <c r="Z375" s="230"/>
      <c r="AA375" s="230"/>
      <c r="AB375" s="230"/>
      <c r="AC375" s="230"/>
      <c r="AD375" s="230"/>
      <c r="AE375" s="230"/>
      <c r="AF375" s="230"/>
      <c r="AG375" s="230"/>
      <c r="AH375" s="230"/>
      <c r="AI375" s="230"/>
      <c r="AJ375" s="230"/>
      <c r="AK375" s="230"/>
      <c r="AL375" s="230"/>
      <c r="AM375" s="230"/>
      <c r="AN375" s="230"/>
      <c r="AO375" s="230"/>
      <c r="AP375" s="230"/>
      <c r="AQ375" s="230"/>
      <c r="AR375" s="230"/>
      <c r="AS375" s="230"/>
      <c r="AT375" s="230"/>
      <c r="AU375" s="230"/>
      <c r="AV375" s="230"/>
      <c r="AW375" s="230"/>
      <c r="AX375" s="230"/>
      <c r="AY375" s="230"/>
      <c r="AZ375" s="230"/>
      <c r="BA375" s="230"/>
      <c r="BB375" s="230"/>
      <c r="BC375" s="230"/>
      <c r="BD375" s="230"/>
      <c r="BE375" s="230"/>
      <c r="BF375" s="230"/>
      <c r="BG375" s="230"/>
      <c r="BH375" s="230"/>
      <c r="BI375" s="230"/>
      <c r="BJ375" s="230"/>
      <c r="BK375" s="230"/>
      <c r="BL375" s="230"/>
      <c r="BM375" s="230"/>
      <c r="BN375" s="230"/>
      <c r="BO375" s="230"/>
      <c r="BP375" s="231"/>
    </row>
    <row r="376" spans="1:96" ht="14.25" customHeight="1" x14ac:dyDescent="0.3">
      <c r="A376" s="960"/>
      <c r="B376" s="960"/>
      <c r="C376" s="960"/>
      <c r="D376" s="944"/>
      <c r="E376" s="232"/>
      <c r="F376" s="233" t="s">
        <v>572</v>
      </c>
      <c r="G376" s="228"/>
      <c r="H376" s="228"/>
      <c r="I376" s="228"/>
      <c r="J376" s="228"/>
      <c r="K376" s="228"/>
      <c r="L376" s="229"/>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H376" s="230"/>
      <c r="AI376" s="230"/>
      <c r="AJ376" s="230"/>
      <c r="AK376" s="230"/>
      <c r="AL376" s="230"/>
      <c r="AM376" s="230"/>
      <c r="AN376" s="230"/>
      <c r="AO376" s="230"/>
      <c r="AP376" s="230"/>
      <c r="AQ376" s="230"/>
      <c r="AR376" s="230"/>
      <c r="AS376" s="230"/>
      <c r="AT376" s="230"/>
      <c r="AU376" s="230"/>
      <c r="AV376" s="230"/>
      <c r="AW376" s="230"/>
      <c r="AX376" s="230"/>
      <c r="AY376" s="230"/>
      <c r="AZ376" s="230"/>
      <c r="BA376" s="230"/>
      <c r="BB376" s="230"/>
      <c r="BC376" s="230"/>
      <c r="BD376" s="230"/>
      <c r="BE376" s="230"/>
      <c r="BF376" s="230"/>
      <c r="BG376" s="230"/>
      <c r="BH376" s="230"/>
      <c r="BI376" s="230"/>
      <c r="BJ376" s="230"/>
      <c r="BK376" s="230"/>
      <c r="BL376" s="230"/>
      <c r="BM376" s="230"/>
      <c r="BN376" s="230"/>
      <c r="BO376" s="230"/>
      <c r="BP376" s="231"/>
    </row>
    <row r="377" spans="1:96" ht="14.25" customHeight="1" x14ac:dyDescent="0.3">
      <c r="A377" s="1178" t="s">
        <v>521</v>
      </c>
      <c r="B377" s="960"/>
      <c r="C377" s="960"/>
      <c r="D377" s="944"/>
      <c r="E377" s="232"/>
      <c r="F377" s="234" t="s">
        <v>566</v>
      </c>
      <c r="G377" s="246">
        <v>1203.5489999999998</v>
      </c>
      <c r="H377" s="246">
        <v>1147.1089999999999</v>
      </c>
      <c r="I377" s="246">
        <v>1121.2549999999999</v>
      </c>
      <c r="J377" s="246">
        <v>1006.304</v>
      </c>
      <c r="K377" s="246">
        <v>1050.048</v>
      </c>
      <c r="L377" s="891">
        <v>1053.1539999999998</v>
      </c>
      <c r="M377" s="891">
        <v>941.81799999999987</v>
      </c>
      <c r="N377" s="891">
        <v>1035.35257</v>
      </c>
      <c r="O377" s="891">
        <v>1422.06591</v>
      </c>
      <c r="P377" s="891">
        <v>1615.844531</v>
      </c>
      <c r="Q377" s="891">
        <v>1679.1366089999999</v>
      </c>
      <c r="R377" s="891">
        <v>2253.0822370000001</v>
      </c>
      <c r="S377" s="891"/>
      <c r="T377" s="891"/>
      <c r="U377" s="891"/>
      <c r="V377" s="891"/>
      <c r="W377" s="891"/>
      <c r="X377" s="891"/>
      <c r="Y377" s="891"/>
      <c r="Z377" s="891"/>
      <c r="AA377" s="891"/>
      <c r="AB377" s="891"/>
      <c r="AC377" s="891"/>
      <c r="AD377" s="891"/>
      <c r="AE377" s="891"/>
      <c r="AF377" s="891"/>
      <c r="AG377" s="891"/>
      <c r="AH377" s="891"/>
      <c r="AI377" s="891"/>
      <c r="AJ377" s="891"/>
      <c r="AK377" s="891"/>
      <c r="AL377" s="891"/>
      <c r="AM377" s="891"/>
      <c r="AN377" s="891"/>
      <c r="AO377" s="891"/>
      <c r="AP377" s="891"/>
      <c r="AQ377" s="891"/>
      <c r="AR377" s="891"/>
      <c r="AS377" s="891"/>
      <c r="AT377" s="891"/>
      <c r="AU377" s="891"/>
      <c r="AV377" s="891"/>
      <c r="AW377" s="891"/>
      <c r="AX377" s="891"/>
      <c r="AY377" s="891"/>
      <c r="AZ377" s="891"/>
      <c r="BA377" s="891"/>
      <c r="BB377" s="891"/>
      <c r="BC377" s="891"/>
      <c r="BD377" s="891"/>
      <c r="BE377" s="891"/>
      <c r="BF377" s="891"/>
      <c r="BG377" s="891"/>
      <c r="BH377" s="891"/>
      <c r="BI377" s="891"/>
      <c r="BJ377" s="891"/>
      <c r="BK377" s="891"/>
      <c r="BL377" s="891"/>
      <c r="BM377" s="891"/>
      <c r="BN377" s="891"/>
      <c r="BO377" s="891"/>
      <c r="BP377" s="231"/>
    </row>
    <row r="378" spans="1:96" ht="14.25" customHeight="1" x14ac:dyDescent="0.35">
      <c r="A378" s="982"/>
      <c r="D378" s="944"/>
      <c r="E378" s="232"/>
      <c r="F378" s="234" t="s">
        <v>567</v>
      </c>
      <c r="G378" s="246">
        <v>0</v>
      </c>
      <c r="H378" s="253">
        <v>0</v>
      </c>
      <c r="I378" s="246">
        <v>387.58500000000004</v>
      </c>
      <c r="J378" s="246">
        <v>0</v>
      </c>
      <c r="K378" s="246">
        <v>0</v>
      </c>
      <c r="L378" s="891">
        <v>0</v>
      </c>
      <c r="M378" s="891">
        <v>0</v>
      </c>
      <c r="N378" s="891">
        <v>0</v>
      </c>
      <c r="O378" s="891">
        <v>0</v>
      </c>
      <c r="P378" s="891">
        <v>0</v>
      </c>
      <c r="Q378" s="891">
        <v>0</v>
      </c>
      <c r="R378" s="891">
        <v>0</v>
      </c>
      <c r="S378" s="891"/>
      <c r="T378" s="891"/>
      <c r="U378" s="891"/>
      <c r="V378" s="891"/>
      <c r="W378" s="891"/>
      <c r="X378" s="891"/>
      <c r="Y378" s="891"/>
      <c r="Z378" s="891"/>
      <c r="AA378" s="891"/>
      <c r="AB378" s="891"/>
      <c r="AC378" s="891"/>
      <c r="AD378" s="891"/>
      <c r="AE378" s="891"/>
      <c r="AF378" s="891"/>
      <c r="AG378" s="891"/>
      <c r="AH378" s="891"/>
      <c r="AI378" s="891"/>
      <c r="AJ378" s="891"/>
      <c r="AK378" s="891"/>
      <c r="AL378" s="891"/>
      <c r="AM378" s="891"/>
      <c r="AN378" s="891"/>
      <c r="AO378" s="891"/>
      <c r="AP378" s="891"/>
      <c r="AQ378" s="891"/>
      <c r="AR378" s="891"/>
      <c r="AS378" s="891"/>
      <c r="AT378" s="891"/>
      <c r="AU378" s="891"/>
      <c r="AV378" s="891"/>
      <c r="AW378" s="891"/>
      <c r="AX378" s="891"/>
      <c r="AY378" s="891"/>
      <c r="AZ378" s="891"/>
      <c r="BA378" s="891"/>
      <c r="BB378" s="891"/>
      <c r="BC378" s="891"/>
      <c r="BD378" s="891"/>
      <c r="BE378" s="891"/>
      <c r="BF378" s="891"/>
      <c r="BG378" s="891"/>
      <c r="BH378" s="891"/>
      <c r="BI378" s="891"/>
      <c r="BJ378" s="891"/>
      <c r="BK378" s="891"/>
      <c r="BL378" s="891"/>
      <c r="BM378" s="891"/>
      <c r="BN378" s="891"/>
      <c r="BO378" s="891"/>
      <c r="BP378" s="231"/>
    </row>
    <row r="379" spans="1:96" ht="14.25" customHeight="1" x14ac:dyDescent="0.3">
      <c r="A379" s="960"/>
      <c r="B379" s="960"/>
      <c r="C379" s="960"/>
      <c r="D379" s="944"/>
      <c r="E379" s="232"/>
      <c r="F379" s="233" t="s">
        <v>573</v>
      </c>
      <c r="G379" s="228"/>
      <c r="H379" s="228"/>
      <c r="I379" s="228"/>
      <c r="J379" s="228"/>
      <c r="K379" s="228"/>
      <c r="L379" s="229"/>
      <c r="M379" s="230"/>
      <c r="N379" s="230"/>
      <c r="O379" s="230"/>
      <c r="P379" s="230"/>
      <c r="Q379" s="230"/>
      <c r="R379" s="230"/>
      <c r="S379" s="230"/>
      <c r="T379" s="230"/>
      <c r="U379" s="230"/>
      <c r="V379" s="230"/>
      <c r="W379" s="230"/>
      <c r="X379" s="230"/>
      <c r="Y379" s="230"/>
      <c r="Z379" s="230"/>
      <c r="AA379" s="230"/>
      <c r="AB379" s="230"/>
      <c r="AC379" s="230"/>
      <c r="AD379" s="230"/>
      <c r="AE379" s="230"/>
      <c r="AF379" s="230"/>
      <c r="AG379" s="230"/>
      <c r="AH379" s="230"/>
      <c r="AI379" s="230"/>
      <c r="AJ379" s="230"/>
      <c r="AK379" s="230"/>
      <c r="AL379" s="230"/>
      <c r="AM379" s="230"/>
      <c r="AN379" s="230"/>
      <c r="AO379" s="230"/>
      <c r="AP379" s="230"/>
      <c r="AQ379" s="230"/>
      <c r="AR379" s="230"/>
      <c r="AS379" s="230"/>
      <c r="AT379" s="230"/>
      <c r="AU379" s="230"/>
      <c r="AV379" s="230"/>
      <c r="AW379" s="230"/>
      <c r="AX379" s="230"/>
      <c r="AY379" s="230"/>
      <c r="AZ379" s="230"/>
      <c r="BA379" s="230"/>
      <c r="BB379" s="230"/>
      <c r="BC379" s="230"/>
      <c r="BD379" s="230"/>
      <c r="BE379" s="230"/>
      <c r="BF379" s="230"/>
      <c r="BG379" s="230"/>
      <c r="BH379" s="230"/>
      <c r="BI379" s="230"/>
      <c r="BJ379" s="230"/>
      <c r="BK379" s="230"/>
      <c r="BL379" s="230"/>
      <c r="BM379" s="230"/>
      <c r="BN379" s="230"/>
      <c r="BO379" s="230"/>
      <c r="BP379" s="231"/>
    </row>
    <row r="380" spans="1:96" ht="13.5" customHeight="1" x14ac:dyDescent="0.3">
      <c r="A380" s="1178" t="s">
        <v>521</v>
      </c>
      <c r="B380" s="960"/>
      <c r="C380" s="960"/>
      <c r="D380" s="944"/>
      <c r="E380" s="232"/>
      <c r="F380" s="234" t="s">
        <v>569</v>
      </c>
      <c r="G380" s="246">
        <f t="shared" ref="G380:R380" si="348">G377/1000000</f>
        <v>1.2035489999999997E-3</v>
      </c>
      <c r="H380" s="246">
        <f t="shared" si="348"/>
        <v>1.1471089999999999E-3</v>
      </c>
      <c r="I380" s="246">
        <f t="shared" si="348"/>
        <v>1.1212549999999998E-3</v>
      </c>
      <c r="J380" s="246">
        <f t="shared" si="348"/>
        <v>1.006304E-3</v>
      </c>
      <c r="K380" s="246">
        <f t="shared" si="348"/>
        <v>1.050048E-3</v>
      </c>
      <c r="L380" s="891">
        <f t="shared" si="348"/>
        <v>1.0531539999999997E-3</v>
      </c>
      <c r="M380" s="891">
        <f t="shared" si="348"/>
        <v>9.4181799999999987E-4</v>
      </c>
      <c r="N380" s="891">
        <f t="shared" si="348"/>
        <v>1.0353525699999999E-3</v>
      </c>
      <c r="O380" s="891">
        <f t="shared" si="348"/>
        <v>1.42206591E-3</v>
      </c>
      <c r="P380" s="891">
        <f t="shared" si="348"/>
        <v>1.615844531E-3</v>
      </c>
      <c r="Q380" s="891">
        <f t="shared" si="348"/>
        <v>1.6791366089999999E-3</v>
      </c>
      <c r="R380" s="891">
        <f t="shared" si="348"/>
        <v>2.2530822369999999E-3</v>
      </c>
      <c r="S380" s="245">
        <f>R380*(1+1.2*Driver_macroeconómicos_Agricult!H$8)</f>
        <v>2.289428756495572E-3</v>
      </c>
      <c r="T380" s="245">
        <f>S380*(1+1.2*Driver_macroeconómicos_Agricult!I$8)</f>
        <v>2.3255609294903163E-3</v>
      </c>
      <c r="U380" s="245">
        <f>T380*(1+1.2*Driver_macroeconómicos_Agricult!J$8)</f>
        <v>2.3614537407095891E-3</v>
      </c>
      <c r="V380" s="245">
        <f>U380*(1+1.2*Driver_macroeconómicos_Agricult!K$8)</f>
        <v>2.3970969391524672E-3</v>
      </c>
      <c r="W380" s="245">
        <f>V380*(1+1.2*Driver_macroeconómicos_Agricult!L$8)</f>
        <v>2.4324470642090299E-3</v>
      </c>
      <c r="X380" s="245">
        <f>W380*(1+1.2*Driver_macroeconómicos_Agricult!M$8)</f>
        <v>2.4674870482895282E-3</v>
      </c>
      <c r="Y380" s="245">
        <f>X380*(1+1.2*Driver_macroeconómicos_Agricult!N$8)</f>
        <v>2.5021880472567756E-3</v>
      </c>
      <c r="Z380" s="245">
        <f>Y380*(1+1.2*Driver_macroeconómicos_Agricult!O$8)</f>
        <v>2.5365413881206912E-3</v>
      </c>
      <c r="AA380" s="245">
        <f>Z380*(1+1.2*Driver_macroeconómicos_Agricult!P$8)</f>
        <v>2.5705047514067558E-3</v>
      </c>
      <c r="AB380" s="245">
        <f>AA380*(1+1.2*Driver_macroeconómicos_Agricult!Q$8)</f>
        <v>2.6040561289456402E-3</v>
      </c>
      <c r="AC380" s="245">
        <f>AB380*(1+1.2*Driver_macroeconómicos_Agricult!R$8)</f>
        <v>2.6371681618769802E-3</v>
      </c>
      <c r="AD380" s="245">
        <f>AC380*(1+1.2*Driver_macroeconómicos_Agricult!S$8)</f>
        <v>2.669809653627884E-3</v>
      </c>
      <c r="AE380" s="245">
        <f>AD380*(1+1.2*Driver_macroeconómicos_Agricult!T$8)</f>
        <v>2.7019632413183932E-3</v>
      </c>
      <c r="AF380" s="245">
        <f>AE380*(1+1.2*Driver_macroeconómicos_Agricult!U$8)</f>
        <v>2.7336015275372214E-3</v>
      </c>
      <c r="AG380" s="245">
        <f>AF380*(1+1.2*Driver_macroeconómicos_Agricult!V$8)</f>
        <v>2.7647068022070274E-3</v>
      </c>
      <c r="AH380" s="245">
        <f>AG380*(1+1.2*Driver_macroeconómicos_Agricult!W$8)</f>
        <v>2.7952486097825762E-3</v>
      </c>
      <c r="AI380" s="245">
        <f>AH380*(1+1.2*Driver_macroeconómicos_Agricult!X$8)</f>
        <v>2.8252125231141658E-3</v>
      </c>
      <c r="AJ380" s="245">
        <f>AI380*(1+1.2*Driver_macroeconómicos_Agricult!Y$8)</f>
        <v>2.8545749936021987E-3</v>
      </c>
      <c r="AK380" s="245">
        <f>AJ380*(1+1.2*Driver_macroeconómicos_Agricult!Z$8)</f>
        <v>2.8833184808436767E-3</v>
      </c>
      <c r="AL380" s="245">
        <f>AK380*(1+1.2*Driver_macroeconómicos_Agricult!AA$8)</f>
        <v>2.9114356336867133E-3</v>
      </c>
      <c r="AM380" s="245">
        <f>AL380*(1+1.2*Driver_macroeconómicos_Agricult!AB$8)</f>
        <v>2.9389131645798112E-3</v>
      </c>
      <c r="AN380" s="245">
        <f>AM380*(1+1.2*Driver_macroeconómicos_Agricult!AC$8)</f>
        <v>2.9657305275194654E-3</v>
      </c>
      <c r="AO380" s="245">
        <f>AN380*(1+1.2*Driver_macroeconómicos_Agricult!AD$8)</f>
        <v>2.991880747020679E-3</v>
      </c>
      <c r="AP380" s="245">
        <f>AO380*(1+1.2*Driver_macroeconómicos_Agricult!AE$8)</f>
        <v>3.0173433818667206E-3</v>
      </c>
      <c r="AQ380" s="245">
        <f>AP380*(1+1.2*Driver_macroeconómicos_Agricult!AF$8)</f>
        <v>3.0421108066559358E-3</v>
      </c>
      <c r="AR380" s="245">
        <f>AQ380*(1+1.2*Driver_macroeconómicos_Agricult!AG$8)</f>
        <v>3.0661838206328604E-3</v>
      </c>
      <c r="AS380" s="245">
        <f>AR380*(1+1.2*Driver_macroeconómicos_Agricult!AH$8)</f>
        <v>3.0895386801514328E-3</v>
      </c>
      <c r="AT380" s="245">
        <f>AS380*(1+1.2*Driver_macroeconómicos_Agricult!AI$8)</f>
        <v>3.1121786191588758E-3</v>
      </c>
      <c r="AU380" s="245">
        <f>AT380*(1+1.2*Driver_macroeconómicos_Agricult!AJ$8)</f>
        <v>3.1341086290965535E-3</v>
      </c>
      <c r="AV380" s="245">
        <f>AU380*(1+1.2*Driver_macroeconómicos_Agricult!AK$8)</f>
        <v>3.1553111645104197E-3</v>
      </c>
      <c r="AW380" s="245">
        <f>AV380*(1+1.2*Driver_macroeconómicos_Agricult!AL$8)</f>
        <v>3.1757691655547623E-3</v>
      </c>
      <c r="AX380" s="245">
        <f>AW380*(1+1.2*Driver_macroeconómicos_Agricult!AM$8)</f>
        <v>3.1954660807547181E-3</v>
      </c>
      <c r="AY380" s="245">
        <f>AX380*(1+1.2*Driver_macroeconómicos_Agricult!AN$8)</f>
        <v>3.2143858892202627E-3</v>
      </c>
      <c r="AZ380" s="245">
        <f>AY380*(1+1.2*Driver_macroeconómicos_Agricult!AO$8)</f>
        <v>3.2325131222701356E-3</v>
      </c>
      <c r="BA380" s="245">
        <f>AZ380*(1+1.2*Driver_macroeconómicos_Agricult!AP$8)</f>
        <v>3.249832884425043E-3</v>
      </c>
      <c r="BB380" s="245">
        <f>BA380*(1+1.2*Driver_macroeconómicos_Agricult!AQ$8)</f>
        <v>3.2663308737304127E-3</v>
      </c>
      <c r="BC380" s="245">
        <f>BB380*(1+1.2*Driver_macroeconómicos_Agricult!AR$8)</f>
        <v>3.2819934013700496E-3</v>
      </c>
      <c r="BD380" s="245">
        <f>BC380*(1+1.2*Driver_macroeconómicos_Agricult!AS$8)</f>
        <v>3.2968074105331627E-3</v>
      </c>
      <c r="BE380" s="245">
        <f>BD380*(1+1.2*Driver_macroeconómicos_Agricult!AT$8)</f>
        <v>3.3107604944984958E-3</v>
      </c>
      <c r="BF380" s="245">
        <f>BE380*(1+1.2*Driver_macroeconómicos_Agricult!AU$8)</f>
        <v>3.3238409139006104E-3</v>
      </c>
      <c r="BG380" s="245">
        <f>BF380*(1+1.2*Driver_macroeconómicos_Agricult!AV$8)</f>
        <v>3.3360376131447763E-3</v>
      </c>
      <c r="BH380" s="245">
        <f>BG380*(1+1.2*Driver_macroeconómicos_Agricult!AW$8)</f>
        <v>3.3473402359384388E-3</v>
      </c>
      <c r="BI380" s="245">
        <f>BH380*(1+1.2*Driver_macroeconómicos_Agricult!AX$8)</f>
        <v>3.3577391399087979E-3</v>
      </c>
      <c r="BJ380" s="245">
        <f>BI380*(1+1.2*Driver_macroeconómicos_Agricult!AY$8)</f>
        <v>3.3672254102776952E-3</v>
      </c>
      <c r="BK380" s="245">
        <f>BJ380*(1+1.2*Driver_macroeconómicos_Agricult!AZ$8)</f>
        <v>3.3757908725667212E-3</v>
      </c>
      <c r="BL380" s="245">
        <f>BK380*(1+1.2*Driver_macroeconómicos_Agricult!BA$8)</f>
        <v>3.3834281043072655E-3</v>
      </c>
      <c r="BM380" s="245">
        <f>BL380*(1+1.2*Driver_macroeconómicos_Agricult!BB$8)</f>
        <v>3.3901304457320857E-3</v>
      </c>
      <c r="BN380" s="245">
        <f>BM380*(1+1.2*Driver_macroeconómicos_Agricult!BC$8)</f>
        <v>3.3958920094268852E-3</v>
      </c>
      <c r="BO380" s="245">
        <f>BN380*(1+1.2*Driver_macroeconómicos_Agricult!BD$8)</f>
        <v>3.4007076889223786E-3</v>
      </c>
      <c r="BP380" s="231"/>
      <c r="BQ380" s="62" t="str">
        <f t="shared" ref="BQ380:BZ381" si="349">IF(T380&lt;0,"PROBLEMA","")</f>
        <v/>
      </c>
      <c r="BR380" s="62" t="str">
        <f t="shared" si="349"/>
        <v/>
      </c>
      <c r="BS380" s="62" t="str">
        <f t="shared" si="349"/>
        <v/>
      </c>
      <c r="BT380" s="62" t="str">
        <f t="shared" si="349"/>
        <v/>
      </c>
      <c r="BU380" s="62" t="str">
        <f t="shared" si="349"/>
        <v/>
      </c>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row>
    <row r="381" spans="1:96" ht="14.25" customHeight="1" x14ac:dyDescent="0.3">
      <c r="A381" s="982"/>
      <c r="D381" s="944"/>
      <c r="E381" s="232"/>
      <c r="F381" s="234" t="s">
        <v>570</v>
      </c>
      <c r="G381" s="246">
        <f t="shared" ref="G381:R381" si="350">G378/1000000</f>
        <v>0</v>
      </c>
      <c r="H381" s="246">
        <f t="shared" si="350"/>
        <v>0</v>
      </c>
      <c r="I381" s="246">
        <f t="shared" si="350"/>
        <v>3.8758500000000002E-4</v>
      </c>
      <c r="J381" s="246">
        <f t="shared" si="350"/>
        <v>0</v>
      </c>
      <c r="K381" s="246">
        <f t="shared" si="350"/>
        <v>0</v>
      </c>
      <c r="L381" s="891">
        <f t="shared" si="350"/>
        <v>0</v>
      </c>
      <c r="M381" s="891">
        <f t="shared" si="350"/>
        <v>0</v>
      </c>
      <c r="N381" s="891">
        <f t="shared" si="350"/>
        <v>0</v>
      </c>
      <c r="O381" s="891">
        <f t="shared" si="350"/>
        <v>0</v>
      </c>
      <c r="P381" s="891">
        <f t="shared" si="350"/>
        <v>0</v>
      </c>
      <c r="Q381" s="891">
        <f t="shared" si="350"/>
        <v>0</v>
      </c>
      <c r="R381" s="891">
        <f t="shared" si="350"/>
        <v>0</v>
      </c>
      <c r="S381" s="245">
        <f>R381*(1+1.2*Driver_macroeconómicos_Agricult!H$8)</f>
        <v>0</v>
      </c>
      <c r="T381" s="245">
        <f>S381*(1+1.2*Driver_macroeconómicos_Agricult!I$8)</f>
        <v>0</v>
      </c>
      <c r="U381" s="245">
        <f>T381*(1+1.2*Driver_macroeconómicos_Agricult!J$8)</f>
        <v>0</v>
      </c>
      <c r="V381" s="245">
        <f>U381*(1+1.2*Driver_macroeconómicos_Agricult!K$8)</f>
        <v>0</v>
      </c>
      <c r="W381" s="245">
        <f>V381*(1+1.2*Driver_macroeconómicos_Agricult!L$8)</f>
        <v>0</v>
      </c>
      <c r="X381" s="245">
        <f>W381*(1+1.2*Driver_macroeconómicos_Agricult!M$8)</f>
        <v>0</v>
      </c>
      <c r="Y381" s="245">
        <f>X381*(1+1.2*Driver_macroeconómicos_Agricult!N$8)</f>
        <v>0</v>
      </c>
      <c r="Z381" s="245">
        <f>Y381*(1+1.2*Driver_macroeconómicos_Agricult!O$8)</f>
        <v>0</v>
      </c>
      <c r="AA381" s="245">
        <f>Z381*(1+1.2*Driver_macroeconómicos_Agricult!P$8)</f>
        <v>0</v>
      </c>
      <c r="AB381" s="245">
        <f>AA381*(1+1.2*Driver_macroeconómicos_Agricult!Q$8)</f>
        <v>0</v>
      </c>
      <c r="AC381" s="245">
        <f>AB381*(1+1.2*Driver_macroeconómicos_Agricult!R$8)</f>
        <v>0</v>
      </c>
      <c r="AD381" s="245">
        <f>AC381*(1+1.2*Driver_macroeconómicos_Agricult!S$8)</f>
        <v>0</v>
      </c>
      <c r="AE381" s="245">
        <f>AD381*(1+1.2*Driver_macroeconómicos_Agricult!T$8)</f>
        <v>0</v>
      </c>
      <c r="AF381" s="245">
        <f>AE381*(1+1.2*Driver_macroeconómicos_Agricult!U$8)</f>
        <v>0</v>
      </c>
      <c r="AG381" s="245">
        <f>AF381*(1+1.2*Driver_macroeconómicos_Agricult!V$8)</f>
        <v>0</v>
      </c>
      <c r="AH381" s="245">
        <f>AG381*(1+1.2*Driver_macroeconómicos_Agricult!W$8)</f>
        <v>0</v>
      </c>
      <c r="AI381" s="245">
        <f>AH381*(1+1.2*Driver_macroeconómicos_Agricult!X$8)</f>
        <v>0</v>
      </c>
      <c r="AJ381" s="245">
        <f>AI381*(1+1.2*Driver_macroeconómicos_Agricult!Y$8)</f>
        <v>0</v>
      </c>
      <c r="AK381" s="245">
        <f>AJ381*(1+1.2*Driver_macroeconómicos_Agricult!Z$8)</f>
        <v>0</v>
      </c>
      <c r="AL381" s="245">
        <f>AK381*(1+1.2*Driver_macroeconómicos_Agricult!AA$8)</f>
        <v>0</v>
      </c>
      <c r="AM381" s="245">
        <f>AL381*(1+1.2*Driver_macroeconómicos_Agricult!AB$8)</f>
        <v>0</v>
      </c>
      <c r="AN381" s="245">
        <f>AM381*(1+1.2*Driver_macroeconómicos_Agricult!AC$8)</f>
        <v>0</v>
      </c>
      <c r="AO381" s="245">
        <f>AN381*(1+1.2*Driver_macroeconómicos_Agricult!AD$8)</f>
        <v>0</v>
      </c>
      <c r="AP381" s="245">
        <f>AO381*(1+1.2*Driver_macroeconómicos_Agricult!AE$8)</f>
        <v>0</v>
      </c>
      <c r="AQ381" s="245">
        <f>AP381*(1+1.2*Driver_macroeconómicos_Agricult!AF$8)</f>
        <v>0</v>
      </c>
      <c r="AR381" s="245">
        <f>AQ381*(1+1.2*Driver_macroeconómicos_Agricult!AG$8)</f>
        <v>0</v>
      </c>
      <c r="AS381" s="245">
        <f>AR381*(1+1.2*Driver_macroeconómicos_Agricult!AH$8)</f>
        <v>0</v>
      </c>
      <c r="AT381" s="245">
        <f>AS381*(1+1.2*Driver_macroeconómicos_Agricult!AI$8)</f>
        <v>0</v>
      </c>
      <c r="AU381" s="245">
        <f>AT381*(1+1.2*Driver_macroeconómicos_Agricult!AJ$8)</f>
        <v>0</v>
      </c>
      <c r="AV381" s="245">
        <f>AU381*(1+1.2*Driver_macroeconómicos_Agricult!AK$8)</f>
        <v>0</v>
      </c>
      <c r="AW381" s="245">
        <f>AV381*(1+1.2*Driver_macroeconómicos_Agricult!AL$8)</f>
        <v>0</v>
      </c>
      <c r="AX381" s="245">
        <f>AW381*(1+1.2*Driver_macroeconómicos_Agricult!AM$8)</f>
        <v>0</v>
      </c>
      <c r="AY381" s="245">
        <f>AX381*(1+1.2*Driver_macroeconómicos_Agricult!AN$8)</f>
        <v>0</v>
      </c>
      <c r="AZ381" s="245">
        <f>AY381*(1+1.2*Driver_macroeconómicos_Agricult!AO$8)</f>
        <v>0</v>
      </c>
      <c r="BA381" s="245">
        <f>AZ381*(1+1.2*Driver_macroeconómicos_Agricult!AP$8)</f>
        <v>0</v>
      </c>
      <c r="BB381" s="245">
        <f>BA381*(1+1.2*Driver_macroeconómicos_Agricult!AQ$8)</f>
        <v>0</v>
      </c>
      <c r="BC381" s="245">
        <f>BB381*(1+1.2*Driver_macroeconómicos_Agricult!AR$8)</f>
        <v>0</v>
      </c>
      <c r="BD381" s="245">
        <f>BC381*(1+1.2*Driver_macroeconómicos_Agricult!AS$8)</f>
        <v>0</v>
      </c>
      <c r="BE381" s="245">
        <f>BD381*(1+1.2*Driver_macroeconómicos_Agricult!AT$8)</f>
        <v>0</v>
      </c>
      <c r="BF381" s="245">
        <f>BE381*(1+1.2*Driver_macroeconómicos_Agricult!AU$8)</f>
        <v>0</v>
      </c>
      <c r="BG381" s="245">
        <f>BF381*(1+1.2*Driver_macroeconómicos_Agricult!AV$8)</f>
        <v>0</v>
      </c>
      <c r="BH381" s="245">
        <f>BG381*(1+1.2*Driver_macroeconómicos_Agricult!AW$8)</f>
        <v>0</v>
      </c>
      <c r="BI381" s="245">
        <f>BH381*(1+1.2*Driver_macroeconómicos_Agricult!AX$8)</f>
        <v>0</v>
      </c>
      <c r="BJ381" s="245">
        <f>BI381*(1+1.2*Driver_macroeconómicos_Agricult!AY$8)</f>
        <v>0</v>
      </c>
      <c r="BK381" s="245">
        <f>BJ381*(1+1.2*Driver_macroeconómicos_Agricult!AZ$8)</f>
        <v>0</v>
      </c>
      <c r="BL381" s="245">
        <f>BK381*(1+1.2*Driver_macroeconómicos_Agricult!BA$8)</f>
        <v>0</v>
      </c>
      <c r="BM381" s="245">
        <f>BL381*(1+1.2*Driver_macroeconómicos_Agricult!BB$8)</f>
        <v>0</v>
      </c>
      <c r="BN381" s="245">
        <f>BM381*(1+1.2*Driver_macroeconómicos_Agricult!BC$8)</f>
        <v>0</v>
      </c>
      <c r="BO381" s="245">
        <f>BN381*(1+1.2*Driver_macroeconómicos_Agricult!BD$8)</f>
        <v>0</v>
      </c>
      <c r="BP381" s="231"/>
      <c r="BQ381" s="62" t="str">
        <f t="shared" si="349"/>
        <v/>
      </c>
      <c r="BR381" s="62" t="str">
        <f t="shared" si="349"/>
        <v/>
      </c>
      <c r="BS381" s="62" t="str">
        <f t="shared" si="349"/>
        <v/>
      </c>
      <c r="BT381" s="62" t="str">
        <f t="shared" si="349"/>
        <v/>
      </c>
      <c r="BU381" s="62" t="str">
        <f t="shared" si="349"/>
        <v/>
      </c>
      <c r="BV381" s="62" t="str">
        <f t="shared" si="349"/>
        <v/>
      </c>
      <c r="BW381" s="62" t="str">
        <f t="shared" si="349"/>
        <v/>
      </c>
      <c r="BX381" s="62" t="str">
        <f t="shared" si="349"/>
        <v/>
      </c>
      <c r="BY381" s="62" t="str">
        <f t="shared" si="349"/>
        <v/>
      </c>
      <c r="BZ381" s="62" t="str">
        <f t="shared" si="349"/>
        <v/>
      </c>
      <c r="CA381" s="62" t="str">
        <f t="shared" ref="CA381:CJ381" si="351">IF(AD381&lt;0,"PROBLEMA","")</f>
        <v/>
      </c>
      <c r="CB381" s="62" t="str">
        <f t="shared" si="351"/>
        <v/>
      </c>
      <c r="CC381" s="62" t="str">
        <f t="shared" si="351"/>
        <v/>
      </c>
      <c r="CD381" s="62" t="str">
        <f t="shared" si="351"/>
        <v/>
      </c>
      <c r="CE381" s="62" t="str">
        <f t="shared" si="351"/>
        <v/>
      </c>
      <c r="CF381" s="62" t="str">
        <f t="shared" si="351"/>
        <v/>
      </c>
      <c r="CG381" s="62" t="str">
        <f t="shared" si="351"/>
        <v/>
      </c>
      <c r="CH381" s="62" t="str">
        <f t="shared" si="351"/>
        <v/>
      </c>
      <c r="CI381" s="62" t="str">
        <f t="shared" si="351"/>
        <v/>
      </c>
      <c r="CJ381" s="62" t="str">
        <f t="shared" si="351"/>
        <v/>
      </c>
      <c r="CK381" s="62" t="str">
        <f t="shared" ref="CK381:CR381" si="352">IF(AN381&lt;0,"PROBLEMA","")</f>
        <v/>
      </c>
      <c r="CL381" s="62" t="str">
        <f t="shared" si="352"/>
        <v/>
      </c>
      <c r="CM381" s="62" t="str">
        <f t="shared" si="352"/>
        <v/>
      </c>
      <c r="CN381" s="62" t="str">
        <f t="shared" si="352"/>
        <v/>
      </c>
      <c r="CO381" s="62" t="str">
        <f t="shared" si="352"/>
        <v/>
      </c>
      <c r="CP381" s="62" t="str">
        <f t="shared" si="352"/>
        <v/>
      </c>
      <c r="CQ381" s="62" t="str">
        <f t="shared" si="352"/>
        <v/>
      </c>
      <c r="CR381" s="62" t="str">
        <f t="shared" si="352"/>
        <v/>
      </c>
    </row>
    <row r="382" spans="1:96" ht="14.25" customHeight="1" x14ac:dyDescent="0.3">
      <c r="A382" s="960"/>
      <c r="B382" s="960"/>
      <c r="C382" s="960"/>
      <c r="D382" s="944"/>
      <c r="E382" s="232"/>
      <c r="F382" s="238"/>
      <c r="G382" s="238"/>
      <c r="H382" s="238"/>
      <c r="I382" s="238"/>
      <c r="J382" s="238"/>
      <c r="K382" s="238"/>
      <c r="L382" s="252"/>
      <c r="M382" s="252"/>
      <c r="N382" s="252"/>
      <c r="O382" s="252"/>
      <c r="P382" s="252"/>
      <c r="Q382" s="252"/>
      <c r="R382" s="252"/>
      <c r="S382" s="252"/>
      <c r="T382" s="252"/>
      <c r="U382" s="252"/>
      <c r="V382" s="252"/>
      <c r="W382" s="252"/>
      <c r="X382" s="252"/>
      <c r="Y382" s="252"/>
      <c r="Z382" s="252"/>
      <c r="AA382" s="252"/>
      <c r="AB382" s="252"/>
      <c r="AC382" s="252"/>
      <c r="AD382" s="252"/>
      <c r="AE382" s="252"/>
      <c r="AF382" s="252"/>
      <c r="AG382" s="252"/>
      <c r="AH382" s="252"/>
      <c r="AI382" s="252"/>
      <c r="AJ382" s="252"/>
      <c r="AK382" s="252"/>
      <c r="AL382" s="252"/>
      <c r="AM382" s="252"/>
      <c r="AN382" s="252"/>
      <c r="AO382" s="252"/>
      <c r="AP382" s="252"/>
      <c r="AQ382" s="252"/>
      <c r="AR382" s="252"/>
      <c r="AS382" s="252"/>
      <c r="AT382" s="252"/>
      <c r="AU382" s="252"/>
      <c r="AV382" s="252"/>
      <c r="AW382" s="252"/>
      <c r="AX382" s="252"/>
      <c r="AY382" s="252"/>
      <c r="AZ382" s="252"/>
      <c r="BA382" s="252"/>
      <c r="BB382" s="252"/>
      <c r="BC382" s="252"/>
      <c r="BD382" s="252"/>
      <c r="BE382" s="252"/>
      <c r="BF382" s="252"/>
      <c r="BG382" s="252"/>
      <c r="BH382" s="252"/>
      <c r="BI382" s="252"/>
      <c r="BJ382" s="252"/>
      <c r="BK382" s="252"/>
      <c r="BL382" s="252"/>
      <c r="BM382" s="252"/>
      <c r="BN382" s="252"/>
      <c r="BO382" s="252"/>
      <c r="BP382" s="231"/>
    </row>
    <row r="383" spans="1:96" ht="14.25" customHeight="1" x14ac:dyDescent="0.3">
      <c r="A383" s="960"/>
      <c r="B383" s="960"/>
      <c r="C383" s="960"/>
      <c r="D383" s="944"/>
      <c r="E383" s="232"/>
      <c r="F383" s="227" t="s">
        <v>574</v>
      </c>
      <c r="G383" s="228"/>
      <c r="H383" s="228"/>
      <c r="I383" s="228"/>
      <c r="J383" s="228"/>
      <c r="K383" s="228"/>
      <c r="L383" s="229"/>
      <c r="M383" s="230"/>
      <c r="N383" s="230"/>
      <c r="O383" s="230"/>
      <c r="P383" s="230"/>
      <c r="Q383" s="230"/>
      <c r="R383" s="230"/>
      <c r="S383" s="230"/>
      <c r="T383" s="230"/>
      <c r="U383" s="230"/>
      <c r="V383" s="230"/>
      <c r="W383" s="230"/>
      <c r="X383" s="230"/>
      <c r="Y383" s="230"/>
      <c r="Z383" s="230"/>
      <c r="AA383" s="230"/>
      <c r="AB383" s="230"/>
      <c r="AC383" s="230"/>
      <c r="AD383" s="230"/>
      <c r="AE383" s="230"/>
      <c r="AF383" s="230"/>
      <c r="AG383" s="230"/>
      <c r="AH383" s="230"/>
      <c r="AI383" s="230"/>
      <c r="AJ383" s="230"/>
      <c r="AK383" s="230"/>
      <c r="AL383" s="230"/>
      <c r="AM383" s="230"/>
      <c r="AN383" s="230"/>
      <c r="AO383" s="230"/>
      <c r="AP383" s="230"/>
      <c r="AQ383" s="230"/>
      <c r="AR383" s="230"/>
      <c r="AS383" s="230"/>
      <c r="AT383" s="230"/>
      <c r="AU383" s="230"/>
      <c r="AV383" s="230"/>
      <c r="AW383" s="230"/>
      <c r="AX383" s="230"/>
      <c r="AY383" s="230"/>
      <c r="AZ383" s="230"/>
      <c r="BA383" s="230"/>
      <c r="BB383" s="230"/>
      <c r="BC383" s="230"/>
      <c r="BD383" s="230"/>
      <c r="BE383" s="230"/>
      <c r="BF383" s="230"/>
      <c r="BG383" s="230"/>
      <c r="BH383" s="230"/>
      <c r="BI383" s="230"/>
      <c r="BJ383" s="230"/>
      <c r="BK383" s="230"/>
      <c r="BL383" s="230"/>
      <c r="BM383" s="230"/>
      <c r="BN383" s="230"/>
      <c r="BO383" s="230"/>
      <c r="BP383" s="231"/>
    </row>
    <row r="384" spans="1:96" ht="14.25" customHeight="1" x14ac:dyDescent="0.3">
      <c r="A384" s="960"/>
      <c r="B384" s="960"/>
      <c r="C384" s="960"/>
      <c r="D384" s="944"/>
      <c r="E384" s="232"/>
      <c r="F384" s="233" t="s">
        <v>575</v>
      </c>
      <c r="G384" s="228"/>
      <c r="H384" s="228"/>
      <c r="I384" s="228"/>
      <c r="J384" s="228"/>
      <c r="K384" s="228"/>
      <c r="L384" s="229"/>
      <c r="M384" s="230"/>
      <c r="N384" s="230"/>
      <c r="O384" s="230"/>
      <c r="P384" s="230"/>
      <c r="Q384" s="230"/>
      <c r="R384" s="230"/>
      <c r="S384" s="230"/>
      <c r="T384" s="230"/>
      <c r="U384" s="230"/>
      <c r="V384" s="230"/>
      <c r="W384" s="230"/>
      <c r="X384" s="230"/>
      <c r="Y384" s="230"/>
      <c r="Z384" s="230"/>
      <c r="AA384" s="230"/>
      <c r="AB384" s="230"/>
      <c r="AC384" s="230"/>
      <c r="AD384" s="230"/>
      <c r="AE384" s="230"/>
      <c r="AF384" s="230"/>
      <c r="AG384" s="230"/>
      <c r="AH384" s="230"/>
      <c r="AI384" s="230"/>
      <c r="AJ384" s="230"/>
      <c r="AK384" s="230"/>
      <c r="AL384" s="230"/>
      <c r="AM384" s="230"/>
      <c r="AN384" s="230"/>
      <c r="AO384" s="230"/>
      <c r="AP384" s="230"/>
      <c r="AQ384" s="230"/>
      <c r="AR384" s="230"/>
      <c r="AS384" s="230"/>
      <c r="AT384" s="230"/>
      <c r="AU384" s="230"/>
      <c r="AV384" s="230"/>
      <c r="AW384" s="230"/>
      <c r="AX384" s="230"/>
      <c r="AY384" s="230"/>
      <c r="AZ384" s="230"/>
      <c r="BA384" s="230"/>
      <c r="BB384" s="230"/>
      <c r="BC384" s="230"/>
      <c r="BD384" s="230"/>
      <c r="BE384" s="230"/>
      <c r="BF384" s="230"/>
      <c r="BG384" s="230"/>
      <c r="BH384" s="230"/>
      <c r="BI384" s="230"/>
      <c r="BJ384" s="230"/>
      <c r="BK384" s="230"/>
      <c r="BL384" s="230"/>
      <c r="BM384" s="230"/>
      <c r="BN384" s="230"/>
      <c r="BO384" s="230"/>
      <c r="BP384" s="231"/>
    </row>
    <row r="385" spans="1:68" ht="15.75" customHeight="1" x14ac:dyDescent="0.3">
      <c r="A385" s="1202"/>
      <c r="B385" s="965"/>
      <c r="C385" s="965"/>
      <c r="D385" s="944"/>
      <c r="E385" s="232"/>
      <c r="F385" s="234" t="s">
        <v>576</v>
      </c>
      <c r="G385" s="228">
        <v>0.25879645099999998</v>
      </c>
      <c r="H385" s="228">
        <v>0.26685289100000004</v>
      </c>
      <c r="I385" s="228">
        <v>0.26387874500000003</v>
      </c>
      <c r="J385" s="228">
        <v>0.259493696</v>
      </c>
      <c r="K385" s="228">
        <v>0.23052160399999999</v>
      </c>
      <c r="L385" s="229">
        <v>0.21373535100000002</v>
      </c>
      <c r="M385" s="230">
        <v>0.21330618199999998</v>
      </c>
      <c r="N385" s="230">
        <v>0.21823090742999998</v>
      </c>
      <c r="O385" s="893">
        <f t="shared" ref="O385:AT385" si="353">O357+O380-O372</f>
        <v>0.21484556591000001</v>
      </c>
      <c r="P385" s="893">
        <f t="shared" si="353"/>
        <v>0.230493844531</v>
      </c>
      <c r="Q385" s="893">
        <f t="shared" si="353"/>
        <v>0.23510413360899998</v>
      </c>
      <c r="R385" s="893">
        <f t="shared" si="353"/>
        <v>0.24765163843700003</v>
      </c>
      <c r="S385" s="893">
        <f t="shared" si="353"/>
        <v>0.25271801427996654</v>
      </c>
      <c r="T385" s="893">
        <f t="shared" si="353"/>
        <v>0.25604773695717575</v>
      </c>
      <c r="U385" s="893">
        <f t="shared" si="353"/>
        <v>0.25940046790346494</v>
      </c>
      <c r="V385" s="893">
        <f t="shared" si="353"/>
        <v>0.26272339255672117</v>
      </c>
      <c r="W385" s="893">
        <f t="shared" si="353"/>
        <v>0.26601282654933339</v>
      </c>
      <c r="X385" s="893">
        <f t="shared" si="353"/>
        <v>0.26926751914412433</v>
      </c>
      <c r="Y385" s="893">
        <f t="shared" si="353"/>
        <v>0.27248514775802735</v>
      </c>
      <c r="Z385" s="893">
        <f t="shared" si="353"/>
        <v>0.2756652339533503</v>
      </c>
      <c r="AA385" s="893">
        <f t="shared" si="353"/>
        <v>0.27880424012075711</v>
      </c>
      <c r="AB385" s="893">
        <f t="shared" si="353"/>
        <v>0.28190048664233736</v>
      </c>
      <c r="AC385" s="893">
        <f t="shared" si="353"/>
        <v>0.28495181300777922</v>
      </c>
      <c r="AD385" s="893">
        <f t="shared" si="353"/>
        <v>0.28795571832934969</v>
      </c>
      <c r="AE385" s="893">
        <f t="shared" si="353"/>
        <v>0.29091095528671473</v>
      </c>
      <c r="AF385" s="893">
        <f t="shared" si="353"/>
        <v>0.29381537238803762</v>
      </c>
      <c r="AG385" s="893">
        <f t="shared" si="353"/>
        <v>0.29666769149729055</v>
      </c>
      <c r="AH385" s="893">
        <f t="shared" si="353"/>
        <v>0.29946548986285282</v>
      </c>
      <c r="AI385" s="893">
        <f t="shared" si="353"/>
        <v>0.30220778312927654</v>
      </c>
      <c r="AJ385" s="893">
        <f t="shared" si="353"/>
        <v>0.30489276696208889</v>
      </c>
      <c r="AK385" s="893">
        <f t="shared" si="353"/>
        <v>0.3075191724374618</v>
      </c>
      <c r="AL385" s="893">
        <f t="shared" si="353"/>
        <v>0.31008663406455744</v>
      </c>
      <c r="AM385" s="893">
        <f t="shared" si="353"/>
        <v>0.31259424907642069</v>
      </c>
      <c r="AN385" s="893">
        <f t="shared" si="353"/>
        <v>0.315040463728883</v>
      </c>
      <c r="AO385" s="893">
        <f t="shared" si="353"/>
        <v>0.3174249250263097</v>
      </c>
      <c r="AP385" s="893">
        <f t="shared" si="353"/>
        <v>0.31974607758635637</v>
      </c>
      <c r="AQ385" s="893">
        <f t="shared" si="353"/>
        <v>0.32200349657751032</v>
      </c>
      <c r="AR385" s="893">
        <f t="shared" si="353"/>
        <v>0.32419749276506865</v>
      </c>
      <c r="AS385" s="893">
        <f t="shared" si="353"/>
        <v>0.32632619773891369</v>
      </c>
      <c r="AT385" s="893">
        <f t="shared" si="353"/>
        <v>0.328390119881868</v>
      </c>
      <c r="AU385" s="893">
        <f t="shared" ref="AU385:BO385" si="354">AU357+AU380-AU372</f>
        <v>0.33038990977470151</v>
      </c>
      <c r="AV385" s="893">
        <f t="shared" si="354"/>
        <v>0.33232422131472461</v>
      </c>
      <c r="AW385" s="893">
        <f t="shared" si="354"/>
        <v>0.33419174606856134</v>
      </c>
      <c r="AX385" s="893">
        <f t="shared" si="354"/>
        <v>0.33599121474159038</v>
      </c>
      <c r="AY385" s="893">
        <f t="shared" si="354"/>
        <v>0.33772139861065803</v>
      </c>
      <c r="AZ385" s="893">
        <f t="shared" si="354"/>
        <v>0.33938111091780737</v>
      </c>
      <c r="BA385" s="893">
        <f t="shared" si="354"/>
        <v>0.3409692082228179</v>
      </c>
      <c r="BB385" s="893">
        <f t="shared" si="354"/>
        <v>0.34248459171240475</v>
      </c>
      <c r="BC385" s="893">
        <f t="shared" si="354"/>
        <v>0.34392620846398542</v>
      </c>
      <c r="BD385" s="893">
        <f t="shared" si="354"/>
        <v>0.34529305266198373</v>
      </c>
      <c r="BE385" s="893">
        <f t="shared" si="354"/>
        <v>0.34658416676470993</v>
      </c>
      <c r="BF385" s="893">
        <f t="shared" si="354"/>
        <v>0.3477986426199261</v>
      </c>
      <c r="BG385" s="893">
        <f t="shared" si="354"/>
        <v>0.34893562252728089</v>
      </c>
      <c r="BH385" s="893">
        <f t="shared" si="354"/>
        <v>0.34999430024587708</v>
      </c>
      <c r="BI385" s="893">
        <f t="shared" si="354"/>
        <v>0.35097392194531907</v>
      </c>
      <c r="BJ385" s="893">
        <f t="shared" si="354"/>
        <v>0.35187378709867106</v>
      </c>
      <c r="BK385" s="893">
        <f t="shared" si="354"/>
        <v>0.35269324931585011</v>
      </c>
      <c r="BL385" s="893">
        <f t="shared" si="354"/>
        <v>0.35343171711606558</v>
      </c>
      <c r="BM385" s="893">
        <f t="shared" si="354"/>
        <v>0.35408865463801747</v>
      </c>
      <c r="BN385" s="893">
        <f t="shared" si="354"/>
        <v>0.35466358228666012</v>
      </c>
      <c r="BO385" s="893">
        <f t="shared" si="354"/>
        <v>0.35515607731544269</v>
      </c>
      <c r="BP385" s="231"/>
    </row>
    <row r="386" spans="1:68" ht="14.5" x14ac:dyDescent="0.3">
      <c r="A386" s="1202"/>
      <c r="B386" s="965"/>
      <c r="C386" s="965"/>
      <c r="D386" s="944"/>
      <c r="E386" s="232"/>
      <c r="F386" s="234" t="s">
        <v>557</v>
      </c>
      <c r="G386" s="246">
        <v>2.1588679959999997</v>
      </c>
      <c r="H386" s="246">
        <v>2.4185589699999999</v>
      </c>
      <c r="I386" s="246">
        <v>2.1549189280000003</v>
      </c>
      <c r="J386" s="246">
        <v>2.3616855109999997</v>
      </c>
      <c r="K386" s="246">
        <v>2.0743905679999997</v>
      </c>
      <c r="L386" s="891">
        <v>1.8531212690000001</v>
      </c>
      <c r="M386" s="891">
        <v>1.9002678759999998</v>
      </c>
      <c r="N386" s="891">
        <v>1.85005398321</v>
      </c>
      <c r="O386" s="891">
        <v>1.8666670008000001</v>
      </c>
      <c r="P386" s="891">
        <v>1.85195164803</v>
      </c>
      <c r="Q386" s="891">
        <v>1.7874890300000001</v>
      </c>
      <c r="R386" s="893">
        <f t="shared" ref="R386:AW386" si="355">R358+R381-R373</f>
        <v>1.9759376402367035</v>
      </c>
      <c r="S386" s="893">
        <f t="shared" si="355"/>
        <v>2.0055361503869946</v>
      </c>
      <c r="T386" s="893">
        <f t="shared" si="355"/>
        <v>2.0362537996056309</v>
      </c>
      <c r="U386" s="893">
        <f t="shared" si="355"/>
        <v>2.0667972878102523</v>
      </c>
      <c r="V386" s="893">
        <f t="shared" si="355"/>
        <v>2.097177726728642</v>
      </c>
      <c r="W386" s="893">
        <f t="shared" si="355"/>
        <v>2.1273722437454521</v>
      </c>
      <c r="X386" s="893">
        <f t="shared" si="355"/>
        <v>2.1573729322267048</v>
      </c>
      <c r="Y386" s="893">
        <f t="shared" si="355"/>
        <v>2.1871646077624254</v>
      </c>
      <c r="Z386" s="893">
        <f t="shared" si="355"/>
        <v>2.2167450323590407</v>
      </c>
      <c r="AA386" s="893">
        <f t="shared" si="355"/>
        <v>2.2460851440772194</v>
      </c>
      <c r="AB386" s="893">
        <f t="shared" si="355"/>
        <v>2.2751703405967656</v>
      </c>
      <c r="AC386" s="893">
        <f t="shared" si="355"/>
        <v>2.3039817586945395</v>
      </c>
      <c r="AD386" s="893">
        <f t="shared" si="355"/>
        <v>2.3324974289209255</v>
      </c>
      <c r="AE386" s="893">
        <f t="shared" si="355"/>
        <v>2.3607053071930153</v>
      </c>
      <c r="AF386" s="893">
        <f t="shared" si="355"/>
        <v>2.3885858322063851</v>
      </c>
      <c r="AG386" s="893">
        <f t="shared" si="355"/>
        <v>2.4161263934252384</v>
      </c>
      <c r="AH386" s="893">
        <f t="shared" si="355"/>
        <v>2.4433049622621685</v>
      </c>
      <c r="AI386" s="893">
        <f t="shared" si="355"/>
        <v>2.4701110883382276</v>
      </c>
      <c r="AJ386" s="893">
        <f t="shared" si="355"/>
        <v>2.4965275563171567</v>
      </c>
      <c r="AK386" s="893">
        <f t="shared" si="355"/>
        <v>2.5225414254475393</v>
      </c>
      <c r="AL386" s="893">
        <f t="shared" si="355"/>
        <v>2.5481470889107802</v>
      </c>
      <c r="AM386" s="893">
        <f t="shared" si="355"/>
        <v>2.5733345037661652</v>
      </c>
      <c r="AN386" s="893">
        <f t="shared" si="355"/>
        <v>2.5980882160962966</v>
      </c>
      <c r="AO386" s="893">
        <f t="shared" si="355"/>
        <v>2.6224025834137934</v>
      </c>
      <c r="AP386" s="893">
        <f t="shared" si="355"/>
        <v>2.6462620112550974</v>
      </c>
      <c r="AQ386" s="893">
        <f t="shared" si="355"/>
        <v>2.6696601711211208</v>
      </c>
      <c r="AR386" s="893">
        <f t="shared" si="355"/>
        <v>2.6925968091028283</v>
      </c>
      <c r="AS386" s="893">
        <f t="shared" si="355"/>
        <v>2.715053593958237</v>
      </c>
      <c r="AT386" s="893">
        <f t="shared" si="355"/>
        <v>2.7370318595272649</v>
      </c>
      <c r="AU386" s="893">
        <f t="shared" si="355"/>
        <v>2.7585341558575847</v>
      </c>
      <c r="AV386" s="893">
        <f t="shared" si="355"/>
        <v>2.7795464037497832</v>
      </c>
      <c r="AW386" s="893">
        <f t="shared" si="355"/>
        <v>2.8000547620499967</v>
      </c>
      <c r="AX386" s="893">
        <f t="shared" ref="AX386:BO386" si="356">AX358+AX381-AX373</f>
        <v>2.8200456427493661</v>
      </c>
      <c r="AY386" s="893">
        <f t="shared" si="356"/>
        <v>2.8395057258998104</v>
      </c>
      <c r="AZ386" s="893">
        <f t="shared" si="356"/>
        <v>2.8584219743242101</v>
      </c>
      <c r="BA386" s="893">
        <f t="shared" si="356"/>
        <v>2.8767816480987736</v>
      </c>
      <c r="BB386" s="893">
        <f t="shared" si="356"/>
        <v>2.894572318785269</v>
      </c>
      <c r="BC386" s="893">
        <f t="shared" si="356"/>
        <v>2.9117818833912787</v>
      </c>
      <c r="BD386" s="893">
        <f t="shared" si="356"/>
        <v>2.9283985780366093</v>
      </c>
      <c r="BE386" s="893">
        <f t="shared" si="356"/>
        <v>2.9444109913044518</v>
      </c>
      <c r="BF386" s="893">
        <f t="shared" si="356"/>
        <v>2.9598080772561648</v>
      </c>
      <c r="BG386" s="893">
        <f t="shared" si="356"/>
        <v>2.9745791680889941</v>
      </c>
      <c r="BH386" s="893">
        <f t="shared" si="356"/>
        <v>2.9887139864165326</v>
      </c>
      <c r="BI386" s="893">
        <f t="shared" si="356"/>
        <v>3.0022026571521607</v>
      </c>
      <c r="BJ386" s="893">
        <f t="shared" si="356"/>
        <v>3.0150357189763226</v>
      </c>
      <c r="BK386" s="893">
        <f t="shared" si="356"/>
        <v>3.0272041353690429</v>
      </c>
      <c r="BL386" s="893">
        <f t="shared" si="356"/>
        <v>3.0386993051897151</v>
      </c>
      <c r="BM386" s="893">
        <f t="shared" si="356"/>
        <v>3.0495130727868722</v>
      </c>
      <c r="BN386" s="893">
        <f t="shared" si="356"/>
        <v>3.0596377376213368</v>
      </c>
      <c r="BO386" s="893">
        <f t="shared" si="356"/>
        <v>3.0690660633869054</v>
      </c>
      <c r="BP386" s="231"/>
    </row>
    <row r="387" spans="1:68" ht="28.5" customHeight="1" x14ac:dyDescent="0.3">
      <c r="D387" s="944"/>
      <c r="E387" s="232"/>
      <c r="F387" s="234"/>
      <c r="G387" s="246"/>
      <c r="H387" s="246"/>
      <c r="I387" s="246"/>
      <c r="J387" s="246"/>
      <c r="K387" s="246"/>
      <c r="L387" s="891"/>
      <c r="M387" s="891"/>
      <c r="N387" s="891"/>
      <c r="O387" s="891"/>
      <c r="P387" s="891"/>
      <c r="Q387" s="891"/>
      <c r="R387" s="891"/>
      <c r="S387" s="891"/>
      <c r="T387" s="891"/>
      <c r="U387" s="891"/>
      <c r="V387" s="891"/>
      <c r="W387" s="891"/>
      <c r="X387" s="891"/>
      <c r="Y387" s="891"/>
      <c r="Z387" s="891"/>
      <c r="AA387" s="891"/>
      <c r="AB387" s="891"/>
      <c r="AC387" s="891"/>
      <c r="AD387" s="891"/>
      <c r="AE387" s="891"/>
      <c r="AF387" s="891"/>
      <c r="AG387" s="891"/>
      <c r="AH387" s="891"/>
      <c r="AI387" s="891"/>
      <c r="AJ387" s="891"/>
      <c r="AK387" s="891"/>
      <c r="AL387" s="891"/>
      <c r="AM387" s="891"/>
      <c r="AN387" s="891"/>
      <c r="AO387" s="891"/>
      <c r="AP387" s="891"/>
      <c r="AQ387" s="891"/>
      <c r="AR387" s="891"/>
      <c r="AS387" s="891"/>
      <c r="AT387" s="891"/>
      <c r="AU387" s="891"/>
      <c r="AV387" s="891"/>
      <c r="AW387" s="891"/>
      <c r="AX387" s="891"/>
      <c r="AY387" s="891"/>
      <c r="AZ387" s="891"/>
      <c r="BA387" s="891"/>
      <c r="BB387" s="891"/>
      <c r="BC387" s="891"/>
      <c r="BD387" s="891"/>
      <c r="BE387" s="891"/>
      <c r="BF387" s="891"/>
      <c r="BG387" s="891"/>
      <c r="BH387" s="891"/>
      <c r="BI387" s="891"/>
      <c r="BJ387" s="891"/>
      <c r="BK387" s="891"/>
      <c r="BL387" s="891"/>
      <c r="BM387" s="891"/>
      <c r="BN387" s="891"/>
      <c r="BO387" s="891"/>
      <c r="BP387" s="231"/>
    </row>
    <row r="388" spans="1:68" ht="14.25" customHeight="1" thickBot="1" x14ac:dyDescent="0.4">
      <c r="A388" s="960"/>
      <c r="B388" s="960"/>
      <c r="C388" s="960"/>
      <c r="D388" s="944"/>
      <c r="E388" s="59"/>
      <c r="F388" s="247"/>
      <c r="G388" s="247"/>
      <c r="H388" s="247"/>
      <c r="I388" s="247"/>
      <c r="J388" s="247"/>
      <c r="K388" s="247"/>
      <c r="L388" s="248"/>
      <c r="M388" s="248"/>
      <c r="N388" s="248"/>
      <c r="O388" s="249"/>
      <c r="P388" s="249"/>
      <c r="Q388" s="249"/>
      <c r="R388" s="249"/>
      <c r="S388" s="249"/>
      <c r="T388" s="249"/>
      <c r="U388" s="249"/>
      <c r="V388" s="249"/>
      <c r="W388" s="249"/>
      <c r="X388" s="249"/>
      <c r="Y388" s="249"/>
      <c r="Z388" s="249"/>
      <c r="AA388" s="249"/>
      <c r="AB388" s="249"/>
      <c r="AC388" s="249"/>
      <c r="AD388" s="249"/>
      <c r="AE388" s="249"/>
      <c r="AF388" s="249"/>
      <c r="AG388" s="249"/>
      <c r="AH388" s="249"/>
      <c r="AI388" s="249"/>
      <c r="AJ388" s="249"/>
      <c r="AK388" s="249"/>
      <c r="AL388" s="249"/>
      <c r="AM388" s="249"/>
      <c r="AN388" s="249"/>
      <c r="AO388" s="249"/>
      <c r="AP388" s="249"/>
      <c r="AQ388" s="249"/>
      <c r="AR388" s="249"/>
      <c r="AS388" s="249"/>
      <c r="AT388" s="249"/>
      <c r="AU388" s="249"/>
      <c r="AV388" s="249"/>
      <c r="AW388" s="249"/>
      <c r="AX388" s="249"/>
      <c r="AY388" s="249"/>
      <c r="AZ388" s="249"/>
      <c r="BA388" s="249"/>
      <c r="BB388" s="249"/>
      <c r="BC388" s="249"/>
      <c r="BD388" s="249"/>
      <c r="BE388" s="249"/>
      <c r="BF388" s="249"/>
      <c r="BG388" s="249"/>
      <c r="BH388" s="249"/>
      <c r="BI388" s="249"/>
      <c r="BJ388" s="249"/>
      <c r="BK388" s="249"/>
      <c r="BL388" s="249"/>
      <c r="BM388" s="249"/>
      <c r="BN388" s="249"/>
      <c r="BO388" s="249"/>
      <c r="BP388" s="60"/>
    </row>
    <row r="389" spans="1:68" ht="14.25" customHeight="1" x14ac:dyDescent="0.3">
      <c r="A389" s="960"/>
      <c r="B389" s="960"/>
      <c r="C389" s="960"/>
      <c r="D389" s="944"/>
      <c r="E389" s="944"/>
      <c r="F389" s="45"/>
      <c r="G389" s="45"/>
      <c r="H389" s="45"/>
      <c r="I389" s="45"/>
      <c r="J389" s="45"/>
      <c r="K389" s="45"/>
      <c r="L389" s="944"/>
      <c r="M389" s="944"/>
      <c r="N389" s="944"/>
      <c r="O389" s="944"/>
      <c r="P389" s="944"/>
      <c r="Q389" s="944"/>
      <c r="R389" s="944"/>
      <c r="S389" s="944"/>
      <c r="T389" s="944"/>
      <c r="U389" s="944"/>
      <c r="V389" s="944"/>
      <c r="W389" s="944"/>
      <c r="X389" s="944"/>
      <c r="Y389" s="944"/>
      <c r="Z389" s="944"/>
      <c r="AA389" s="944"/>
      <c r="AB389" s="944"/>
      <c r="AC389" s="944"/>
      <c r="AD389" s="944"/>
      <c r="AE389" s="944"/>
      <c r="AF389" s="944"/>
      <c r="AG389" s="944"/>
      <c r="AH389" s="944"/>
      <c r="AI389" s="944"/>
      <c r="AJ389" s="944"/>
      <c r="AK389" s="944"/>
      <c r="AL389" s="944"/>
      <c r="AM389" s="944"/>
      <c r="AN389" s="944"/>
      <c r="AO389" s="944"/>
      <c r="AP389" s="944"/>
      <c r="AQ389" s="944"/>
      <c r="AR389" s="944"/>
      <c r="AS389" s="944"/>
      <c r="AT389" s="944"/>
      <c r="AU389" s="944"/>
      <c r="AV389" s="944"/>
      <c r="AW389" s="944"/>
      <c r="AX389" s="944"/>
      <c r="AY389" s="944"/>
      <c r="AZ389" s="944"/>
      <c r="BA389" s="944"/>
      <c r="BB389" s="944"/>
      <c r="BC389" s="944"/>
      <c r="BD389" s="944"/>
      <c r="BE389" s="944"/>
      <c r="BF389" s="944"/>
      <c r="BG389" s="944"/>
      <c r="BH389" s="944"/>
      <c r="BI389" s="944"/>
      <c r="BJ389" s="944"/>
      <c r="BK389" s="944"/>
      <c r="BL389" s="944"/>
      <c r="BM389" s="944"/>
      <c r="BN389" s="944"/>
      <c r="BO389" s="944"/>
      <c r="BP389" s="45"/>
    </row>
    <row r="390" spans="1:68" ht="15.75" customHeight="1" x14ac:dyDescent="0.3">
      <c r="A390" s="960"/>
      <c r="B390" s="960"/>
      <c r="C390" s="960"/>
      <c r="D390" s="944"/>
      <c r="E390" s="44"/>
      <c r="F390" s="44" t="s">
        <v>577</v>
      </c>
      <c r="G390" s="44"/>
      <c r="H390" s="45"/>
      <c r="I390" s="45"/>
      <c r="J390" s="45"/>
      <c r="K390" s="45"/>
      <c r="L390" s="944"/>
      <c r="M390" s="944"/>
      <c r="N390" s="944"/>
      <c r="O390" s="944"/>
      <c r="P390" s="944"/>
      <c r="Q390" s="944"/>
      <c r="R390" s="944"/>
      <c r="S390" s="944"/>
      <c r="T390" s="944"/>
      <c r="U390" s="944"/>
      <c r="V390" s="944"/>
      <c r="W390" s="944"/>
      <c r="X390" s="944"/>
      <c r="Y390" s="944"/>
      <c r="Z390" s="944"/>
      <c r="AA390" s="944"/>
      <c r="AB390" s="944"/>
      <c r="AC390" s="944"/>
      <c r="AD390" s="944"/>
      <c r="AE390" s="944"/>
      <c r="AF390" s="944"/>
      <c r="AG390" s="944"/>
      <c r="AH390" s="944"/>
      <c r="AI390" s="944"/>
      <c r="AJ390" s="944"/>
      <c r="AK390" s="944"/>
      <c r="AL390" s="944"/>
      <c r="AM390" s="944"/>
      <c r="AN390" s="944"/>
      <c r="AO390" s="944"/>
      <c r="AP390" s="944"/>
      <c r="AQ390" s="944"/>
      <c r="AR390" s="944"/>
      <c r="AS390" s="944"/>
      <c r="AT390" s="944"/>
      <c r="AU390" s="944"/>
      <c r="AV390" s="944"/>
      <c r="AW390" s="944"/>
      <c r="AX390" s="944"/>
      <c r="AY390" s="944"/>
      <c r="AZ390" s="944"/>
      <c r="BA390" s="944"/>
      <c r="BB390" s="944"/>
      <c r="BC390" s="944"/>
      <c r="BD390" s="944"/>
      <c r="BE390" s="944"/>
      <c r="BF390" s="944"/>
      <c r="BG390" s="944"/>
      <c r="BH390" s="944"/>
      <c r="BI390" s="944"/>
      <c r="BJ390" s="944"/>
      <c r="BK390" s="944"/>
      <c r="BL390" s="944"/>
      <c r="BM390" s="944"/>
      <c r="BN390" s="944"/>
      <c r="BO390" s="944"/>
      <c r="BP390" s="45"/>
    </row>
    <row r="391" spans="1:68" ht="13.5" customHeight="1" thickBot="1" x14ac:dyDescent="0.35">
      <c r="A391" s="960"/>
      <c r="B391" s="960"/>
      <c r="C391" s="960"/>
      <c r="D391" s="944"/>
      <c r="E391" s="26"/>
      <c r="L391" s="26"/>
      <c r="M391" s="26"/>
      <c r="N391" s="26"/>
      <c r="O391" s="944"/>
      <c r="P391" s="944"/>
      <c r="Q391" s="944"/>
      <c r="R391" s="944"/>
      <c r="S391" s="944"/>
      <c r="T391" s="944"/>
      <c r="U391" s="944"/>
      <c r="V391" s="944"/>
      <c r="W391" s="944"/>
      <c r="X391" s="944"/>
      <c r="Y391" s="944"/>
      <c r="Z391" s="944"/>
      <c r="AA391" s="944"/>
      <c r="AB391" s="944"/>
      <c r="AC391" s="944"/>
      <c r="AD391" s="944"/>
      <c r="AE391" s="944"/>
      <c r="AF391" s="944"/>
      <c r="AG391" s="944"/>
      <c r="AH391" s="944"/>
      <c r="AI391" s="944"/>
      <c r="AJ391" s="944"/>
      <c r="AK391" s="944"/>
      <c r="AL391" s="944"/>
      <c r="AM391" s="944"/>
      <c r="AN391" s="944"/>
      <c r="AO391" s="944"/>
      <c r="AP391" s="944"/>
      <c r="AQ391" s="944"/>
      <c r="AR391" s="944"/>
      <c r="AS391" s="944"/>
      <c r="AT391" s="944"/>
      <c r="AU391" s="944"/>
      <c r="AV391" s="944"/>
      <c r="AW391" s="944"/>
      <c r="AX391" s="944"/>
      <c r="AY391" s="944"/>
      <c r="AZ391" s="944"/>
      <c r="BA391" s="944"/>
      <c r="BB391" s="944"/>
      <c r="BC391" s="944"/>
      <c r="BD391" s="944"/>
      <c r="BE391" s="944"/>
      <c r="BF391" s="944"/>
      <c r="BG391" s="944"/>
      <c r="BH391" s="944"/>
      <c r="BI391" s="944"/>
      <c r="BJ391" s="944"/>
      <c r="BK391" s="944"/>
      <c r="BL391" s="944"/>
      <c r="BM391" s="944"/>
      <c r="BN391" s="944"/>
      <c r="BO391" s="944"/>
    </row>
    <row r="392" spans="1:68" ht="13.5" customHeight="1" x14ac:dyDescent="0.3">
      <c r="A392" s="960"/>
      <c r="B392" s="960"/>
      <c r="C392" s="960"/>
      <c r="D392" s="944"/>
      <c r="E392" s="63"/>
      <c r="F392" s="254"/>
      <c r="G392" s="254"/>
      <c r="H392" s="254"/>
      <c r="I392" s="254"/>
      <c r="J392" s="254"/>
      <c r="K392" s="254"/>
      <c r="L392" s="255"/>
      <c r="M392" s="255"/>
      <c r="N392" s="255"/>
      <c r="O392" s="255"/>
      <c r="P392" s="255"/>
      <c r="Q392" s="255"/>
      <c r="R392" s="255"/>
      <c r="S392" s="255"/>
      <c r="T392" s="255"/>
      <c r="U392" s="255"/>
      <c r="V392" s="255"/>
      <c r="W392" s="255"/>
      <c r="X392" s="255"/>
      <c r="Y392" s="255"/>
      <c r="Z392" s="255"/>
      <c r="AA392" s="255"/>
      <c r="AB392" s="255"/>
      <c r="AC392" s="255"/>
      <c r="AD392" s="255"/>
      <c r="AE392" s="255"/>
      <c r="AF392" s="255"/>
      <c r="AG392" s="255"/>
      <c r="AH392" s="255"/>
      <c r="AI392" s="255"/>
      <c r="AJ392" s="255"/>
      <c r="AK392" s="255"/>
      <c r="AL392" s="255"/>
      <c r="AM392" s="255"/>
      <c r="AN392" s="255"/>
      <c r="AO392" s="255"/>
      <c r="AP392" s="255"/>
      <c r="AQ392" s="255"/>
      <c r="AR392" s="255"/>
      <c r="AS392" s="255"/>
      <c r="AT392" s="255"/>
      <c r="AU392" s="255"/>
      <c r="AV392" s="255"/>
      <c r="AW392" s="255"/>
      <c r="AX392" s="255"/>
      <c r="AY392" s="255"/>
      <c r="AZ392" s="255"/>
      <c r="BA392" s="255"/>
      <c r="BB392" s="255"/>
      <c r="BC392" s="255"/>
      <c r="BD392" s="255"/>
      <c r="BE392" s="255"/>
      <c r="BF392" s="255"/>
      <c r="BG392" s="255"/>
      <c r="BH392" s="255"/>
      <c r="BI392" s="255"/>
      <c r="BJ392" s="255"/>
      <c r="BK392" s="255"/>
      <c r="BL392" s="255"/>
      <c r="BM392" s="255"/>
      <c r="BN392" s="255"/>
      <c r="BO392" s="255"/>
      <c r="BP392" s="64"/>
    </row>
    <row r="393" spans="1:68" ht="14.25" customHeight="1" x14ac:dyDescent="0.3">
      <c r="A393" s="960"/>
      <c r="B393" s="960"/>
      <c r="C393" s="960"/>
      <c r="D393" s="944"/>
      <c r="E393" s="256"/>
      <c r="F393" s="257" t="s">
        <v>578</v>
      </c>
      <c r="G393" s="258"/>
      <c r="H393" s="258"/>
      <c r="I393" s="258"/>
      <c r="J393" s="258"/>
      <c r="K393" s="258"/>
      <c r="L393" s="259"/>
      <c r="M393" s="260"/>
      <c r="N393" s="260"/>
      <c r="O393" s="260"/>
      <c r="P393" s="260"/>
      <c r="Q393" s="260"/>
      <c r="R393" s="260"/>
      <c r="S393" s="260"/>
      <c r="T393" s="260"/>
      <c r="U393" s="260"/>
      <c r="V393" s="260"/>
      <c r="W393" s="260"/>
      <c r="X393" s="260"/>
      <c r="Y393" s="260"/>
      <c r="Z393" s="260"/>
      <c r="AA393" s="260"/>
      <c r="AB393" s="260"/>
      <c r="AC393" s="260"/>
      <c r="AD393" s="260"/>
      <c r="AE393" s="260"/>
      <c r="AF393" s="260"/>
      <c r="AG393" s="260"/>
      <c r="AH393" s="260"/>
      <c r="AI393" s="260"/>
      <c r="AJ393" s="260"/>
      <c r="AK393" s="260"/>
      <c r="AL393" s="260"/>
      <c r="AM393" s="260"/>
      <c r="AN393" s="260"/>
      <c r="AO393" s="260"/>
      <c r="AP393" s="260"/>
      <c r="AQ393" s="260"/>
      <c r="AR393" s="260"/>
      <c r="AS393" s="260"/>
      <c r="AT393" s="260"/>
      <c r="AU393" s="260"/>
      <c r="AV393" s="260"/>
      <c r="AW393" s="260"/>
      <c r="AX393" s="260"/>
      <c r="AY393" s="260"/>
      <c r="AZ393" s="260"/>
      <c r="BA393" s="260"/>
      <c r="BB393" s="260"/>
      <c r="BC393" s="260"/>
      <c r="BD393" s="260"/>
      <c r="BE393" s="260"/>
      <c r="BF393" s="260"/>
      <c r="BG393" s="260"/>
      <c r="BH393" s="260"/>
      <c r="BI393" s="260"/>
      <c r="BJ393" s="260"/>
      <c r="BK393" s="260"/>
      <c r="BL393" s="260"/>
      <c r="BM393" s="260"/>
      <c r="BN393" s="260"/>
      <c r="BO393" s="260"/>
      <c r="BP393" s="261"/>
    </row>
    <row r="394" spans="1:68" ht="14.25" customHeight="1" x14ac:dyDescent="0.3">
      <c r="A394" s="960"/>
      <c r="B394" s="960"/>
      <c r="C394" s="960"/>
      <c r="D394" s="944"/>
      <c r="E394" s="262"/>
      <c r="F394" s="263" t="s">
        <v>579</v>
      </c>
      <c r="G394" s="258"/>
      <c r="H394" s="258"/>
      <c r="I394" s="258"/>
      <c r="J394" s="258"/>
      <c r="K394" s="258"/>
      <c r="L394" s="259"/>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0"/>
      <c r="AS394" s="260"/>
      <c r="AT394" s="260"/>
      <c r="AU394" s="260"/>
      <c r="AV394" s="260"/>
      <c r="AW394" s="260"/>
      <c r="AX394" s="260"/>
      <c r="AY394" s="260"/>
      <c r="AZ394" s="260"/>
      <c r="BA394" s="260"/>
      <c r="BB394" s="260"/>
      <c r="BC394" s="260"/>
      <c r="BD394" s="260"/>
      <c r="BE394" s="260"/>
      <c r="BF394" s="260"/>
      <c r="BG394" s="260"/>
      <c r="BH394" s="260"/>
      <c r="BI394" s="260"/>
      <c r="BJ394" s="260"/>
      <c r="BK394" s="260"/>
      <c r="BL394" s="260"/>
      <c r="BM394" s="260"/>
      <c r="BN394" s="260"/>
      <c r="BO394" s="260"/>
      <c r="BP394" s="261"/>
    </row>
    <row r="395" spans="1:68" ht="13.5" customHeight="1" x14ac:dyDescent="0.3">
      <c r="A395" s="1178" t="s">
        <v>6</v>
      </c>
      <c r="B395" s="960"/>
      <c r="C395" s="960"/>
      <c r="D395" s="944"/>
      <c r="E395" s="262"/>
      <c r="F395" s="264" t="s">
        <v>580</v>
      </c>
      <c r="G395" s="264">
        <v>5103324</v>
      </c>
      <c r="H395" s="264">
        <v>4751549</v>
      </c>
      <c r="I395" s="265">
        <v>4720671.6523124119</v>
      </c>
      <c r="J395" s="264">
        <v>5243671</v>
      </c>
      <c r="K395" s="264">
        <v>5742914</v>
      </c>
      <c r="L395" s="260">
        <v>2616788</v>
      </c>
      <c r="M395" s="260">
        <v>3478581</v>
      </c>
      <c r="N395" s="260">
        <v>3344602</v>
      </c>
      <c r="O395" s="260">
        <v>3196303</v>
      </c>
      <c r="P395" s="260">
        <v>4775794</v>
      </c>
      <c r="Q395" s="260">
        <v>3759096</v>
      </c>
      <c r="R395" s="260">
        <v>4591351</v>
      </c>
      <c r="S395" s="235">
        <f>R395*(1+Driver_macroeconómicos_Agricult!H$8)</f>
        <v>4653073.7169563631</v>
      </c>
      <c r="T395" s="235">
        <f>S395*(1+Driver_macroeconómicos_Agricult!I$8)</f>
        <v>4714270.0830882201</v>
      </c>
      <c r="U395" s="235">
        <f>T395*(1+Driver_macroeconómicos_Agricult!J$8)</f>
        <v>4774903.6288789818</v>
      </c>
      <c r="V395" s="235">
        <f>U395*(1+Driver_macroeconómicos_Agricult!K$8)</f>
        <v>4834962.9737702822</v>
      </c>
      <c r="W395" s="235">
        <f>V395*(1+Driver_macroeconómicos_Agricult!L$8)</f>
        <v>4894380.8690081295</v>
      </c>
      <c r="X395" s="235">
        <f>W395*(1+Driver_macroeconómicos_Agricult!M$8)</f>
        <v>4953134.8121248418</v>
      </c>
      <c r="Y395" s="235">
        <f>X395*(1+Driver_macroeconómicos_Agricult!N$8)</f>
        <v>5011182.6433246471</v>
      </c>
      <c r="Z395" s="235">
        <f>Y395*(1+Driver_macroeconómicos_Agricult!O$8)</f>
        <v>5068516.0858378252</v>
      </c>
      <c r="AA395" s="235">
        <f>Z395*(1+Driver_macroeconómicos_Agricult!P$8)</f>
        <v>5125070.7360499762</v>
      </c>
      <c r="AB395" s="235">
        <f>AA395*(1+Driver_macroeconómicos_Agricult!Q$8)</f>
        <v>5180816.3320218036</v>
      </c>
      <c r="AC395" s="235">
        <f>AB395*(1+Driver_macroeconómicos_Agricult!R$8)</f>
        <v>5235713.817746182</v>
      </c>
      <c r="AD395" s="235">
        <f>AC395*(1+Driver_macroeconómicos_Agricult!S$8)</f>
        <v>5289717.929638695</v>
      </c>
      <c r="AE395" s="235">
        <f>AD395*(1+Driver_macroeconómicos_Agricult!T$8)</f>
        <v>5342806.4238807149</v>
      </c>
      <c r="AF395" s="235">
        <f>AE395*(1+Driver_macroeconómicos_Agricult!U$8)</f>
        <v>5394940.5031141695</v>
      </c>
      <c r="AG395" s="235">
        <f>AF395*(1+Driver_macroeconómicos_Agricult!V$8)</f>
        <v>5446097.4062223239</v>
      </c>
      <c r="AH395" s="235">
        <f>AG395*(1+Driver_macroeconómicos_Agricult!W$8)</f>
        <v>5496233.4215150829</v>
      </c>
      <c r="AI395" s="235">
        <f>AH395*(1+Driver_macroeconómicos_Agricult!X$8)</f>
        <v>5545331.2195058418</v>
      </c>
      <c r="AJ395" s="235">
        <f>AI395*(1+Driver_macroeconómicos_Agricult!Y$8)</f>
        <v>5593358.4690628741</v>
      </c>
      <c r="AK395" s="235">
        <f>AJ395*(1+Driver_macroeconómicos_Agricult!Z$8)</f>
        <v>5640292.6677184971</v>
      </c>
      <c r="AL395" s="235">
        <f>AK395*(1+Driver_macroeconómicos_Agricult!AA$8)</f>
        <v>5686127.8665444739</v>
      </c>
      <c r="AM395" s="235">
        <f>AL395*(1+Driver_macroeconómicos_Agricult!AB$8)</f>
        <v>5730848.2879485227</v>
      </c>
      <c r="AN395" s="235">
        <f>AM395*(1+Driver_macroeconómicos_Agricult!AC$8)</f>
        <v>5774426.256481885</v>
      </c>
      <c r="AO395" s="235">
        <f>AN395*(1+Driver_macroeconómicos_Agricult!AD$8)</f>
        <v>5816856.0818653768</v>
      </c>
      <c r="AP395" s="235">
        <f>AO395*(1+Driver_macroeconómicos_Agricult!AE$8)</f>
        <v>5858110.0886502406</v>
      </c>
      <c r="AQ395" s="235">
        <f>AP395*(1+Driver_macroeconómicos_Agricult!AF$8)</f>
        <v>5898181.2933120243</v>
      </c>
      <c r="AR395" s="235">
        <f>AQ395*(1+Driver_macroeconómicos_Agricult!AG$8)</f>
        <v>5937076.1620770721</v>
      </c>
      <c r="AS395" s="235">
        <f>AR395*(1+Driver_macroeconómicos_Agricult!AH$8)</f>
        <v>5974761.3292174414</v>
      </c>
      <c r="AT395" s="235">
        <f>AS395*(1+Driver_macroeconómicos_Agricult!AI$8)</f>
        <v>6011246.882046232</v>
      </c>
      <c r="AU395" s="235">
        <f>AT395*(1+Driver_macroeconómicos_Agricult!AJ$8)</f>
        <v>6046545.4943670807</v>
      </c>
      <c r="AV395" s="235">
        <f>AU395*(1+Driver_macroeconómicos_Agricult!AK$8)</f>
        <v>6080633.3616971159</v>
      </c>
      <c r="AW395" s="235">
        <f>AV395*(1+Driver_macroeconómicos_Agricult!AL$8)</f>
        <v>6113487.3860120103</v>
      </c>
      <c r="AX395" s="235">
        <f>AW395*(1+Driver_macroeconómicos_Agricult!AM$8)</f>
        <v>6145085.2017276362</v>
      </c>
      <c r="AY395" s="235">
        <f>AX395*(1+Driver_macroeconómicos_Agricult!AN$8)</f>
        <v>6175405.2009815164</v>
      </c>
      <c r="AZ395" s="235">
        <f>AY395*(1+Driver_macroeconómicos_Agricult!AO$8)</f>
        <v>6204426.5581742441</v>
      </c>
      <c r="BA395" s="235">
        <f>AZ395*(1+Driver_macroeconómicos_Agricult!AP$8)</f>
        <v>6232129.25373198</v>
      </c>
      <c r="BB395" s="235">
        <f>BA395*(1+Driver_macroeconómicos_Agricult!AQ$8)</f>
        <v>6258494.0970522091</v>
      </c>
      <c r="BC395" s="235">
        <f>BB395*(1+Driver_macroeconómicos_Agricult!AR$8)</f>
        <v>6283502.7485960424</v>
      </c>
      <c r="BD395" s="235">
        <f>BC395*(1+Driver_macroeconómicos_Agricult!AS$8)</f>
        <v>6307137.7410915811</v>
      </c>
      <c r="BE395" s="235">
        <f>BD395*(1+Driver_macroeconómicos_Agricult!AT$8)</f>
        <v>6329382.4998141173</v>
      </c>
      <c r="BF395" s="235">
        <f>BE395*(1+Driver_macroeconómicos_Agricult!AU$8)</f>
        <v>6350221.3619102901</v>
      </c>
      <c r="BG395" s="235">
        <f>BF395*(1+Driver_macroeconómicos_Agricult!AV$8)</f>
        <v>6369639.5947347479</v>
      </c>
      <c r="BH395" s="235">
        <f>BG395*(1+Driver_macroeconómicos_Agricult!AW$8)</f>
        <v>6387623.4131693253</v>
      </c>
      <c r="BI395" s="235">
        <f>BH395*(1+Driver_macroeconómicos_Agricult!AX$8)</f>
        <v>6404159.9958963143</v>
      </c>
      <c r="BJ395" s="235">
        <f>BI395*(1+Driver_macroeconómicos_Agricult!AY$8)</f>
        <v>6419237.5005989764</v>
      </c>
      <c r="BK395" s="235">
        <f>BJ395*(1+Driver_macroeconómicos_Agricult!AZ$8)</f>
        <v>6432845.0780641539</v>
      </c>
      <c r="BL395" s="235">
        <f>BK395*(1+Driver_macroeconómicos_Agricult!BA$8)</f>
        <v>6444972.8851634832</v>
      </c>
      <c r="BM395" s="235">
        <f>BL395*(1+Driver_macroeconómicos_Agricult!BB$8)</f>
        <v>6455612.0966915498</v>
      </c>
      <c r="BN395" s="235">
        <f>BM395*(1+Driver_macroeconómicos_Agricult!BC$8)</f>
        <v>6464754.9160410799</v>
      </c>
      <c r="BO395" s="235">
        <f>BN395*(1+Driver_macroeconómicos_Agricult!BD$8)</f>
        <v>6472394.584697146</v>
      </c>
      <c r="BP395" s="261"/>
    </row>
    <row r="396" spans="1:68" ht="13.5" customHeight="1" x14ac:dyDescent="0.3">
      <c r="A396" s="982"/>
      <c r="D396" s="944"/>
      <c r="E396" s="262"/>
      <c r="F396" s="264" t="s">
        <v>581</v>
      </c>
      <c r="G396" s="264">
        <v>13189288</v>
      </c>
      <c r="H396" s="264">
        <v>8697936</v>
      </c>
      <c r="I396" s="266">
        <v>10180560</v>
      </c>
      <c r="J396" s="266">
        <v>11129097</v>
      </c>
      <c r="K396" s="266">
        <v>10487005</v>
      </c>
      <c r="L396" s="260">
        <v>12275062</v>
      </c>
      <c r="M396" s="260">
        <v>10828280</v>
      </c>
      <c r="N396" s="260">
        <v>10061652</v>
      </c>
      <c r="O396" s="260">
        <v>9759176</v>
      </c>
      <c r="P396" s="260">
        <v>11336435</v>
      </c>
      <c r="Q396" s="260">
        <v>13972704</v>
      </c>
      <c r="R396" s="260">
        <v>16613863</v>
      </c>
      <c r="S396" s="235">
        <f>R396*(1+Driver_macroeconómicos_Agricult!H$8)</f>
        <v>16837207.449923519</v>
      </c>
      <c r="T396" s="235">
        <f>S396*(1+Driver_macroeconómicos_Agricult!I$8)</f>
        <v>17058647.29257822</v>
      </c>
      <c r="U396" s="235">
        <f>T396*(1+Driver_macroeconómicos_Agricult!J$8)</f>
        <v>17278050.562546462</v>
      </c>
      <c r="V396" s="235">
        <f>U396*(1+Driver_macroeconómicos_Agricult!K$8)</f>
        <v>17495376.079130538</v>
      </c>
      <c r="W396" s="235">
        <f>V396*(1+Driver_macroeconómicos_Agricult!L$8)</f>
        <v>17710380.501844015</v>
      </c>
      <c r="X396" s="235">
        <f>W396*(1+Driver_macroeconómicos_Agricult!M$8)</f>
        <v>17922982.405216433</v>
      </c>
      <c r="Y396" s="235">
        <f>X396*(1+Driver_macroeconómicos_Agricult!N$8)</f>
        <v>18133029.233481295</v>
      </c>
      <c r="Z396" s="235">
        <f>Y396*(1+Driver_macroeconómicos_Agricult!O$8)</f>
        <v>18340491.037040275</v>
      </c>
      <c r="AA396" s="235">
        <f>Z396*(1+Driver_macroeconómicos_Agricult!P$8)</f>
        <v>18545134.770581361</v>
      </c>
      <c r="AB396" s="235">
        <f>AA396*(1+Driver_macroeconómicos_Agricult!Q$8)</f>
        <v>18746850.930885658</v>
      </c>
      <c r="AC396" s="235">
        <f>AB396*(1+Driver_macroeconómicos_Agricult!R$8)</f>
        <v>18945498.193286046</v>
      </c>
      <c r="AD396" s="235">
        <f>AC396*(1+Driver_macroeconómicos_Agricult!S$8)</f>
        <v>19140912.770916656</v>
      </c>
      <c r="AE396" s="235">
        <f>AD396*(1+Driver_macroeconómicos_Agricult!T$8)</f>
        <v>19333014.17423198</v>
      </c>
      <c r="AF396" s="235">
        <f>AE396*(1+Driver_macroeconómicos_Agricult!U$8)</f>
        <v>19521662.014489841</v>
      </c>
      <c r="AG396" s="235">
        <f>AF396*(1+Driver_macroeconómicos_Agricult!V$8)</f>
        <v>19706773.93029483</v>
      </c>
      <c r="AH396" s="235">
        <f>AG396*(1+Driver_macroeconómicos_Agricult!W$8)</f>
        <v>19888191.750330765</v>
      </c>
      <c r="AI396" s="235">
        <f>AH396*(1+Driver_macroeconómicos_Agricult!X$8)</f>
        <v>20065852.767626144</v>
      </c>
      <c r="AJ396" s="235">
        <f>AI396*(1+Driver_macroeconómicos_Agricult!Y$8)</f>
        <v>20239639.991562486</v>
      </c>
      <c r="AK396" s="235">
        <f>AJ396*(1+Driver_macroeconómicos_Agricult!Z$8)</f>
        <v>20409471.99666933</v>
      </c>
      <c r="AL396" s="235">
        <f>AK396*(1+Driver_macroeconómicos_Agricult!AA$8)</f>
        <v>20575327.256672878</v>
      </c>
      <c r="AM396" s="235">
        <f>AL396*(1+Driver_macroeconómicos_Agricult!AB$8)</f>
        <v>20737148.680151314</v>
      </c>
      <c r="AN396" s="235">
        <f>AM396*(1+Driver_macroeconómicos_Agricult!AC$8)</f>
        <v>20894836.123135217</v>
      </c>
      <c r="AO396" s="235">
        <f>AN396*(1+Driver_macroeconómicos_Agricult!AD$8)</f>
        <v>21048368.995275736</v>
      </c>
      <c r="AP396" s="235">
        <f>AO396*(1+Driver_macroeconómicos_Agricult!AE$8)</f>
        <v>21197647.152603459</v>
      </c>
      <c r="AQ396" s="235">
        <f>AP396*(1+Driver_macroeconómicos_Agricult!AF$8)</f>
        <v>21342645.325144794</v>
      </c>
      <c r="AR396" s="235">
        <f>AQ396*(1+Driver_macroeconómicos_Agricult!AG$8)</f>
        <v>21483386.911023434</v>
      </c>
      <c r="AS396" s="235">
        <f>AR396*(1+Driver_macroeconómicos_Agricult!AH$8)</f>
        <v>21619751.175921109</v>
      </c>
      <c r="AT396" s="235">
        <f>AS396*(1+Driver_macroeconómicos_Agricult!AI$8)</f>
        <v>21751774.620910782</v>
      </c>
      <c r="AU396" s="235">
        <f>AT396*(1+Driver_macroeconómicos_Agricult!AJ$8)</f>
        <v>21879503.106314905</v>
      </c>
      <c r="AV396" s="235">
        <f>AU396*(1+Driver_macroeconómicos_Agricult!AK$8)</f>
        <v>22002850.495304197</v>
      </c>
      <c r="AW396" s="235">
        <f>AV396*(1+Driver_macroeconómicos_Agricult!AL$8)</f>
        <v>22121733.207378775</v>
      </c>
      <c r="AX396" s="235">
        <f>AW396*(1+Driver_macroeconómicos_Agricult!AM$8)</f>
        <v>22236070.312383085</v>
      </c>
      <c r="AY396" s="235">
        <f>AX396*(1+Driver_macroeconómicos_Agricult!AN$8)</f>
        <v>22345783.621987179</v>
      </c>
      <c r="AZ396" s="235">
        <f>AY396*(1+Driver_macroeconómicos_Agricult!AO$8)</f>
        <v>22450797.778490145</v>
      </c>
      <c r="BA396" s="235">
        <f>AZ396*(1+Driver_macroeconómicos_Agricult!AP$8)</f>
        <v>22551040.340805013</v>
      </c>
      <c r="BB396" s="235">
        <f>BA396*(1+Driver_macroeconómicos_Agricult!AQ$8)</f>
        <v>22646441.86748828</v>
      </c>
      <c r="BC396" s="235">
        <f>BB396*(1+Driver_macroeconómicos_Agricult!AR$8)</f>
        <v>22736935.996681187</v>
      </c>
      <c r="BD396" s="235">
        <f>BC396*(1+Driver_macroeconómicos_Agricult!AS$8)</f>
        <v>22822459.522834364</v>
      </c>
      <c r="BE396" s="235">
        <f>BD396*(1+Driver_macroeconómicos_Agricult!AT$8)</f>
        <v>22902952.470091999</v>
      </c>
      <c r="BF396" s="235">
        <f>BE396*(1+Driver_macroeconómicos_Agricult!AU$8)</f>
        <v>22978358.16221654</v>
      </c>
      <c r="BG396" s="235">
        <f>BF396*(1+Driver_macroeconómicos_Agricult!AV$8)</f>
        <v>23048623.288940165</v>
      </c>
      <c r="BH396" s="235">
        <f>BG396*(1+Driver_macroeconómicos_Agricult!AW$8)</f>
        <v>23113697.96863443</v>
      </c>
      <c r="BI396" s="235">
        <f>BH396*(1+Driver_macroeconómicos_Agricult!AX$8)</f>
        <v>23173535.807195313</v>
      </c>
      <c r="BJ396" s="235">
        <f>BI396*(1+Driver_macroeconómicos_Agricult!AY$8)</f>
        <v>23228093.953046478</v>
      </c>
      <c r="BK396" s="235">
        <f>BJ396*(1+Driver_macroeconómicos_Agricult!AZ$8)</f>
        <v>23277333.14816973</v>
      </c>
      <c r="BL396" s="235">
        <f>BK396*(1+Driver_macroeconómicos_Agricult!BA$8)</f>
        <v>23321217.775077734</v>
      </c>
      <c r="BM396" s="235">
        <f>BL396*(1+Driver_macroeconómicos_Agricult!BB$8)</f>
        <v>23359715.899650507</v>
      </c>
      <c r="BN396" s="235">
        <f>BM396*(1+Driver_macroeconómicos_Agricult!BC$8)</f>
        <v>23392799.309763748</v>
      </c>
      <c r="BO396" s="235">
        <f>BN396*(1+Driver_macroeconómicos_Agricult!BD$8)</f>
        <v>23420443.549643748</v>
      </c>
      <c r="BP396" s="261"/>
    </row>
    <row r="397" spans="1:68" ht="12.75" customHeight="1" x14ac:dyDescent="0.3">
      <c r="A397" s="960"/>
      <c r="B397" s="960"/>
      <c r="C397" s="960"/>
      <c r="D397" s="944"/>
      <c r="E397" s="262"/>
      <c r="F397" s="267"/>
      <c r="G397" s="267"/>
      <c r="H397" s="267"/>
      <c r="I397" s="267"/>
      <c r="J397" s="267"/>
      <c r="K397" s="267"/>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c r="AI397" s="268"/>
      <c r="AJ397" s="268"/>
      <c r="AK397" s="268"/>
      <c r="AL397" s="268"/>
      <c r="AM397" s="268"/>
      <c r="AN397" s="268"/>
      <c r="AO397" s="268"/>
      <c r="AP397" s="268"/>
      <c r="AQ397" s="268"/>
      <c r="AR397" s="268"/>
      <c r="AS397" s="268"/>
      <c r="AT397" s="268"/>
      <c r="AU397" s="268"/>
      <c r="AV397" s="268"/>
      <c r="AW397" s="268"/>
      <c r="AX397" s="268"/>
      <c r="AY397" s="268"/>
      <c r="AZ397" s="268"/>
      <c r="BA397" s="268"/>
      <c r="BB397" s="268"/>
      <c r="BC397" s="268"/>
      <c r="BD397" s="268"/>
      <c r="BE397" s="268"/>
      <c r="BF397" s="268"/>
      <c r="BG397" s="268"/>
      <c r="BH397" s="268"/>
      <c r="BI397" s="268"/>
      <c r="BJ397" s="268"/>
      <c r="BK397" s="268"/>
      <c r="BL397" s="268"/>
      <c r="BM397" s="268"/>
      <c r="BN397" s="268"/>
      <c r="BO397" s="268"/>
      <c r="BP397" s="261"/>
    </row>
    <row r="398" spans="1:68" ht="14.25" customHeight="1" x14ac:dyDescent="0.3">
      <c r="A398" s="960"/>
      <c r="B398" s="960"/>
      <c r="C398" s="960"/>
      <c r="D398" s="944"/>
      <c r="E398" s="262"/>
      <c r="F398" s="257" t="s">
        <v>582</v>
      </c>
      <c r="G398" s="258"/>
      <c r="H398" s="258"/>
      <c r="I398" s="258"/>
      <c r="J398" s="258"/>
      <c r="K398" s="258"/>
      <c r="L398" s="259"/>
      <c r="M398" s="260"/>
      <c r="N398" s="260"/>
      <c r="O398" s="260"/>
      <c r="P398" s="260"/>
      <c r="Q398" s="260"/>
      <c r="R398" s="260"/>
      <c r="S398" s="260"/>
      <c r="T398" s="260"/>
      <c r="U398" s="260"/>
      <c r="V398" s="260"/>
      <c r="W398" s="260"/>
      <c r="X398" s="260"/>
      <c r="Y398" s="260"/>
      <c r="Z398" s="260"/>
      <c r="AA398" s="260"/>
      <c r="AB398" s="260"/>
      <c r="AC398" s="260"/>
      <c r="AD398" s="260"/>
      <c r="AE398" s="260"/>
      <c r="AF398" s="260"/>
      <c r="AG398" s="260"/>
      <c r="AH398" s="260"/>
      <c r="AI398" s="260"/>
      <c r="AJ398" s="260"/>
      <c r="AK398" s="260"/>
      <c r="AL398" s="260"/>
      <c r="AM398" s="260"/>
      <c r="AN398" s="260"/>
      <c r="AO398" s="260"/>
      <c r="AP398" s="260"/>
      <c r="AQ398" s="260"/>
      <c r="AR398" s="260"/>
      <c r="AS398" s="260"/>
      <c r="AT398" s="260"/>
      <c r="AU398" s="260"/>
      <c r="AV398" s="260"/>
      <c r="AW398" s="260"/>
      <c r="AX398" s="260"/>
      <c r="AY398" s="260"/>
      <c r="AZ398" s="260"/>
      <c r="BA398" s="260"/>
      <c r="BB398" s="260"/>
      <c r="BC398" s="260"/>
      <c r="BD398" s="260"/>
      <c r="BE398" s="260"/>
      <c r="BF398" s="260"/>
      <c r="BG398" s="260"/>
      <c r="BH398" s="260"/>
      <c r="BI398" s="260"/>
      <c r="BJ398" s="260"/>
      <c r="BK398" s="260"/>
      <c r="BL398" s="260"/>
      <c r="BM398" s="260"/>
      <c r="BN398" s="260"/>
      <c r="BO398" s="260"/>
      <c r="BP398" s="261"/>
    </row>
    <row r="399" spans="1:68" ht="14.25" customHeight="1" x14ac:dyDescent="0.3">
      <c r="A399" s="960"/>
      <c r="B399" s="960"/>
      <c r="C399" s="960"/>
      <c r="D399" s="944"/>
      <c r="E399" s="262"/>
      <c r="F399" s="263" t="s">
        <v>583</v>
      </c>
      <c r="G399" s="258"/>
      <c r="H399" s="258"/>
      <c r="I399" s="258"/>
      <c r="J399" s="258"/>
      <c r="K399" s="258"/>
      <c r="L399" s="259"/>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0"/>
      <c r="AS399" s="260"/>
      <c r="AT399" s="260"/>
      <c r="AU399" s="260"/>
      <c r="AV399" s="260"/>
      <c r="AW399" s="260"/>
      <c r="AX399" s="260"/>
      <c r="AY399" s="260"/>
      <c r="AZ399" s="260"/>
      <c r="BA399" s="260"/>
      <c r="BB399" s="260"/>
      <c r="BC399" s="260"/>
      <c r="BD399" s="260"/>
      <c r="BE399" s="260"/>
      <c r="BF399" s="260"/>
      <c r="BG399" s="260"/>
      <c r="BH399" s="260"/>
      <c r="BI399" s="260"/>
      <c r="BJ399" s="260"/>
      <c r="BK399" s="260"/>
      <c r="BL399" s="260"/>
      <c r="BM399" s="260"/>
      <c r="BN399" s="260"/>
      <c r="BO399" s="260"/>
      <c r="BP399" s="261"/>
    </row>
    <row r="400" spans="1:68" ht="14.25" customHeight="1" x14ac:dyDescent="0.3">
      <c r="A400" s="1178" t="s">
        <v>6</v>
      </c>
      <c r="B400" s="960"/>
      <c r="C400" s="960"/>
      <c r="D400" s="944"/>
      <c r="E400" s="262"/>
      <c r="F400" s="264" t="s">
        <v>584</v>
      </c>
      <c r="G400" s="265">
        <f>7885770+46676634</f>
        <v>54562404</v>
      </c>
      <c r="H400" s="265">
        <f>8753527+39396564</f>
        <v>48150091</v>
      </c>
      <c r="I400" s="265">
        <v>47431058</v>
      </c>
      <c r="J400" s="265">
        <v>42468054</v>
      </c>
      <c r="K400" s="265">
        <v>55427095</v>
      </c>
      <c r="L400" s="269">
        <v>64332941</v>
      </c>
      <c r="M400" s="269">
        <v>59156593</v>
      </c>
      <c r="N400" s="269">
        <v>47961551</v>
      </c>
      <c r="O400" s="269">
        <v>44411748</v>
      </c>
      <c r="P400" s="269">
        <v>89393421</v>
      </c>
      <c r="Q400" s="269">
        <v>86434176</v>
      </c>
      <c r="R400" s="269">
        <v>85369879</v>
      </c>
      <c r="S400" s="235">
        <f>R400*(1+Driver_macroeconómicos_Agricult!H$8)</f>
        <v>86517528.325463459</v>
      </c>
      <c r="T400" s="235">
        <f>S400*(1+Driver_macroeconómicos_Agricult!I$8)</f>
        <v>87655390.878754705</v>
      </c>
      <c r="U400" s="235">
        <f>T400*(1+Driver_macroeconómicos_Agricult!J$8)</f>
        <v>88782788.559197411</v>
      </c>
      <c r="V400" s="235">
        <f>U400*(1+Driver_macroeconómicos_Agricult!K$8)</f>
        <v>89899509.760906801</v>
      </c>
      <c r="W400" s="235">
        <f>V400*(1+Driver_macroeconómicos_Agricult!L$8)</f>
        <v>91004304.085472628</v>
      </c>
      <c r="X400" s="235">
        <f>W400*(1+Driver_macroeconómicos_Agricult!M$8)</f>
        <v>92096753.130349964</v>
      </c>
      <c r="Y400" s="235">
        <f>X400*(1+Driver_macroeconómicos_Agricult!N$8)</f>
        <v>93176072.991920084</v>
      </c>
      <c r="Z400" s="235">
        <f>Y400*(1+Driver_macroeconómicos_Agricult!O$8)</f>
        <v>94242109.77499406</v>
      </c>
      <c r="AA400" s="235">
        <f>Z400*(1+Driver_macroeconómicos_Agricult!P$8)</f>
        <v>95293665.982632875</v>
      </c>
      <c r="AB400" s="235">
        <f>AA400*(1+Driver_macroeconómicos_Agricult!Q$8)</f>
        <v>96330178.935551926</v>
      </c>
      <c r="AC400" s="235">
        <f>AB400*(1+Driver_macroeconómicos_Agricult!R$8)</f>
        <v>97350922.440828353</v>
      </c>
      <c r="AD400" s="235">
        <f>AC400*(1+Driver_macroeconómicos_Agricult!S$8)</f>
        <v>98355054.884147599</v>
      </c>
      <c r="AE400" s="235">
        <f>AD400*(1+Driver_macroeconómicos_Agricult!T$8)</f>
        <v>99342162.672189385</v>
      </c>
      <c r="AF400" s="235">
        <f>AE400*(1+Driver_macroeconómicos_Agricult!U$8)</f>
        <v>100311524.4212555</v>
      </c>
      <c r="AG400" s="235">
        <f>AF400*(1+Driver_macroeconómicos_Agricult!V$8)</f>
        <v>101262716.91957633</v>
      </c>
      <c r="AH400" s="235">
        <f>AG400*(1+Driver_macroeconómicos_Agricult!W$8)</f>
        <v>102194927.40818524</v>
      </c>
      <c r="AI400" s="235">
        <f>AH400*(1+Driver_macroeconómicos_Agricult!X$8)</f>
        <v>103107833.66903037</v>
      </c>
      <c r="AJ400" s="235">
        <f>AI400*(1+Driver_macroeconómicos_Agricult!Y$8)</f>
        <v>104000834.54902987</v>
      </c>
      <c r="AK400" s="235">
        <f>AJ400*(1+Driver_macroeconómicos_Agricult!Z$8)</f>
        <v>104873511.64563881</v>
      </c>
      <c r="AL400" s="235">
        <f>AK400*(1+Driver_macroeconómicos_Agricult!AA$8)</f>
        <v>105725754.34669012</v>
      </c>
      <c r="AM400" s="235">
        <f>AL400*(1+Driver_macroeconómicos_Agricult!AB$8)</f>
        <v>106557269.28947987</v>
      </c>
      <c r="AN400" s="235">
        <f>AM400*(1+Driver_macroeconómicos_Agricult!AC$8)</f>
        <v>107367541.88697</v>
      </c>
      <c r="AO400" s="235">
        <f>AN400*(1+Driver_macroeconómicos_Agricult!AD$8)</f>
        <v>108156466.33621812</v>
      </c>
      <c r="AP400" s="235">
        <f>AO400*(1+Driver_macroeconómicos_Agricult!AE$8)</f>
        <v>108923528.05018619</v>
      </c>
      <c r="AQ400" s="235">
        <f>AP400*(1+Driver_macroeconómicos_Agricult!AF$8)</f>
        <v>109668597.17980853</v>
      </c>
      <c r="AR400" s="235">
        <f>AQ400*(1+Driver_macroeconómicos_Agricult!AG$8)</f>
        <v>110391793.9557015</v>
      </c>
      <c r="AS400" s="235">
        <f>AR400*(1+Driver_macroeconómicos_Agricult!AH$8)</f>
        <v>111092497.98788464</v>
      </c>
      <c r="AT400" s="235">
        <f>AS400*(1+Driver_macroeconómicos_Agricult!AI$8)</f>
        <v>111770896.8361195</v>
      </c>
      <c r="AU400" s="235">
        <f>AT400*(1+Driver_macroeconómicos_Agricult!AJ$8)</f>
        <v>112427226.15241416</v>
      </c>
      <c r="AV400" s="235">
        <f>AU400*(1+Driver_macroeconómicos_Agricult!AK$8)</f>
        <v>113061043.32503571</v>
      </c>
      <c r="AW400" s="235">
        <f>AV400*(1+Driver_macroeconómicos_Agricult!AL$8)</f>
        <v>113671918.87787965</v>
      </c>
      <c r="AX400" s="235">
        <f>AW400*(1+Driver_macroeconómicos_Agricult!AM$8)</f>
        <v>114259436.95356309</v>
      </c>
      <c r="AY400" s="235">
        <f>AX400*(1+Driver_macroeconómicos_Agricult!AN$8)</f>
        <v>114823195.78349873</v>
      </c>
      <c r="AZ400" s="235">
        <f>AY400*(1+Driver_macroeconómicos_Agricult!AO$8)</f>
        <v>115362808.14420889</v>
      </c>
      <c r="BA400" s="235">
        <f>AZ400*(1+Driver_macroeconómicos_Agricult!AP$8)</f>
        <v>115877901.79915659</v>
      </c>
      <c r="BB400" s="235">
        <f>BA400*(1+Driver_macroeconómicos_Agricult!AQ$8)</f>
        <v>116368119.92539044</v>
      </c>
      <c r="BC400" s="235">
        <f>BB400*(1+Driver_macroeconómicos_Agricult!AR$8)</f>
        <v>116833121.52432072</v>
      </c>
      <c r="BD400" s="235">
        <f>BC400*(1+Driver_macroeconómicos_Agricult!AS$8)</f>
        <v>117272581.81596692</v>
      </c>
      <c r="BE400" s="235">
        <f>BD400*(1+Driver_macroeconómicos_Agricult!AT$8)</f>
        <v>117686192.61604017</v>
      </c>
      <c r="BF400" s="235">
        <f>BE400*(1+Driver_macroeconómicos_Agricult!AU$8)</f>
        <v>118073662.69524953</v>
      </c>
      <c r="BG400" s="235">
        <f>BF400*(1+Driver_macroeconómicos_Agricult!AV$8)</f>
        <v>118434718.12024704</v>
      </c>
      <c r="BH400" s="235">
        <f>BG400*(1+Driver_macroeconómicos_Agricult!AW$8)</f>
        <v>118769102.57565415</v>
      </c>
      <c r="BI400" s="235">
        <f>BH400*(1+Driver_macroeconómicos_Agricult!AX$8)</f>
        <v>119076577.66664077</v>
      </c>
      <c r="BJ400" s="235">
        <f>BI400*(1+Driver_macroeconómicos_Agricult!AY$8)</f>
        <v>119356923.20155811</v>
      </c>
      <c r="BK400" s="235">
        <f>BJ400*(1+Driver_macroeconómicos_Agricult!AZ$8)</f>
        <v>119609937.45415725</v>
      </c>
      <c r="BL400" s="235">
        <f>BK400*(1+Driver_macroeconómicos_Agricult!BA$8)</f>
        <v>119835437.40495715</v>
      </c>
      <c r="BM400" s="235">
        <f>BL400*(1+Driver_macroeconómicos_Agricult!BB$8)</f>
        <v>120033258.96135885</v>
      </c>
      <c r="BN400" s="235">
        <f>BM400*(1+Driver_macroeconómicos_Agricult!BC$8)</f>
        <v>120203257.15613599</v>
      </c>
      <c r="BO400" s="235">
        <f>BN400*(1+Driver_macroeconómicos_Agricult!BD$8)</f>
        <v>120345306.32396665</v>
      </c>
      <c r="BP400" s="261"/>
    </row>
    <row r="401" spans="1:68" ht="14.25" customHeight="1" x14ac:dyDescent="0.3">
      <c r="A401" s="982"/>
      <c r="D401" s="944"/>
      <c r="E401" s="262"/>
      <c r="F401" s="264" t="s">
        <v>585</v>
      </c>
      <c r="G401" s="265">
        <f>6240594+329192</f>
        <v>6569786</v>
      </c>
      <c r="H401" s="265">
        <f>6792358+6564</f>
        <v>6798922</v>
      </c>
      <c r="I401" s="265">
        <v>5849938</v>
      </c>
      <c r="J401" s="265">
        <v>6541108</v>
      </c>
      <c r="K401" s="265">
        <v>7861318</v>
      </c>
      <c r="L401" s="269">
        <v>2966045</v>
      </c>
      <c r="M401" s="269">
        <v>4362341</v>
      </c>
      <c r="N401" s="269">
        <v>4021186</v>
      </c>
      <c r="O401" s="269">
        <v>3426364</v>
      </c>
      <c r="P401" s="269">
        <v>6107526</v>
      </c>
      <c r="Q401" s="269">
        <v>3917999</v>
      </c>
      <c r="R401" s="260">
        <v>5412876</v>
      </c>
      <c r="S401" s="235">
        <f>R401*(1+Driver_macroeconómicos_Agricult!H$8)</f>
        <v>5485642.6896449197</v>
      </c>
      <c r="T401" s="235">
        <f>S401*(1+Driver_macroeconómicos_Agricult!I$8)</f>
        <v>5557788.8491353048</v>
      </c>
      <c r="U401" s="235">
        <f>T401*(1+Driver_macroeconómicos_Agricult!J$8)</f>
        <v>5629271.4835071303</v>
      </c>
      <c r="V401" s="235">
        <f>U401*(1+Driver_macroeconómicos_Agricult!K$8)</f>
        <v>5700077.175892191</v>
      </c>
      <c r="W401" s="235">
        <f>V401*(1+Driver_macroeconómicos_Agricult!L$8)</f>
        <v>5770126.644796541</v>
      </c>
      <c r="X401" s="235">
        <f>W401*(1+Driver_macroeconómicos_Agricult!M$8)</f>
        <v>5839393.3614125904</v>
      </c>
      <c r="Y401" s="235">
        <f>X401*(1+Driver_macroeconómicos_Agricult!N$8)</f>
        <v>5907827.6223422121</v>
      </c>
      <c r="Z401" s="235">
        <f>Y401*(1+Driver_macroeconómicos_Agricult!O$8)</f>
        <v>5975419.669863075</v>
      </c>
      <c r="AA401" s="235">
        <f>Z401*(1+Driver_macroeconómicos_Agricult!P$8)</f>
        <v>6042093.5766982846</v>
      </c>
      <c r="AB401" s="235">
        <f>AA401*(1+Driver_macroeconómicos_Agricult!Q$8)</f>
        <v>6107813.6661755657</v>
      </c>
      <c r="AC401" s="235">
        <f>AB401*(1+Driver_macroeconómicos_Agricult!R$8)</f>
        <v>6172533.8940426642</v>
      </c>
      <c r="AD401" s="235">
        <f>AC401*(1+Driver_macroeconómicos_Agricult!S$8)</f>
        <v>6236200.89775558</v>
      </c>
      <c r="AE401" s="235">
        <f>AD401*(1+Driver_macroeconómicos_Agricult!T$8)</f>
        <v>6298788.4534355467</v>
      </c>
      <c r="AF401" s="235">
        <f>AE401*(1+Driver_macroeconómicos_Agricult!U$8)</f>
        <v>6360250.8217591327</v>
      </c>
      <c r="AG401" s="235">
        <f>AF401*(1+Driver_macroeconómicos_Agricult!V$8)</f>
        <v>6420561.1689899266</v>
      </c>
      <c r="AH401" s="235">
        <f>AG401*(1+Driver_macroeconómicos_Agricult!W$8)</f>
        <v>6479667.9621568639</v>
      </c>
      <c r="AI401" s="235">
        <f>AH401*(1+Driver_macroeconómicos_Agricult!X$8)</f>
        <v>6537550.771028812</v>
      </c>
      <c r="AJ401" s="235">
        <f>AI401*(1+Driver_macroeconómicos_Agricult!Y$8)</f>
        <v>6594171.4795029126</v>
      </c>
      <c r="AK401" s="235">
        <f>AJ401*(1+Driver_macroeconómicos_Agricult!Z$8)</f>
        <v>6649503.5587715758</v>
      </c>
      <c r="AL401" s="235">
        <f>AK401*(1+Driver_macroeconómicos_Agricult!AA$8)</f>
        <v>6703539.9954718761</v>
      </c>
      <c r="AM401" s="235">
        <f>AL401*(1+Driver_macroeconómicos_Agricult!AB$8)</f>
        <v>6756262.1889456185</v>
      </c>
      <c r="AN401" s="235">
        <f>AM401*(1+Driver_macroeconómicos_Agricult!AC$8)</f>
        <v>6807637.5118087558</v>
      </c>
      <c r="AO401" s="235">
        <f>AN401*(1+Driver_macroeconómicos_Agricult!AD$8)</f>
        <v>6857659.255627186</v>
      </c>
      <c r="AP401" s="235">
        <f>AO401*(1+Driver_macroeconómicos_Agricult!AE$8)</f>
        <v>6906294.7930168621</v>
      </c>
      <c r="AQ401" s="235">
        <f>AP401*(1+Driver_macroeconómicos_Agricult!AF$8)</f>
        <v>6953535.8908995669</v>
      </c>
      <c r="AR401" s="235">
        <f>AQ401*(1+Driver_macroeconómicos_Agricult!AG$8)</f>
        <v>6999390.1724958718</v>
      </c>
      <c r="AS401" s="235">
        <f>AR401*(1+Driver_macroeconómicos_Agricult!AH$8)</f>
        <v>7043818.3019876257</v>
      </c>
      <c r="AT401" s="235">
        <f>AS401*(1+Driver_macroeconómicos_Agricult!AI$8)</f>
        <v>7086832.1715989215</v>
      </c>
      <c r="AU401" s="235">
        <f>AT401*(1+Driver_macroeconómicos_Agricult!AJ$8)</f>
        <v>7128446.7228420805</v>
      </c>
      <c r="AV401" s="235">
        <f>AU401*(1+Driver_macroeconómicos_Agricult!AK$8)</f>
        <v>7168633.8919262849</v>
      </c>
      <c r="AW401" s="235">
        <f>AV401*(1+Driver_macroeconómicos_Agricult!AL$8)</f>
        <v>7207366.4479250554</v>
      </c>
      <c r="AX401" s="235">
        <f>AW401*(1+Driver_macroeconómicos_Agricult!AM$8)</f>
        <v>7244618.0234067673</v>
      </c>
      <c r="AY401" s="235">
        <f>AX401*(1+Driver_macroeconómicos_Agricult!AN$8)</f>
        <v>7280363.1442396864</v>
      </c>
      <c r="AZ401" s="235">
        <f>AY401*(1+Driver_macroeconómicos_Agricult!AO$8)</f>
        <v>7314577.2585245548</v>
      </c>
      <c r="BA401" s="235">
        <f>AZ401*(1+Driver_macroeconómicos_Agricult!AP$8)</f>
        <v>7347236.7646088805</v>
      </c>
      <c r="BB401" s="235">
        <f>BA401*(1+Driver_macroeconómicos_Agricult!AQ$8)</f>
        <v>7378319.0381383551</v>
      </c>
      <c r="BC401" s="235">
        <f>BB401*(1+Driver_macroeconómicos_Agricult!AR$8)</f>
        <v>7407802.4581021033</v>
      </c>
      <c r="BD401" s="235">
        <f>BC401*(1+Driver_macroeconómicos_Agricult!AS$8)</f>
        <v>7435666.4318299415</v>
      </c>
      <c r="BE401" s="235">
        <f>BD401*(1+Driver_macroeconómicos_Agricult!AT$8)</f>
        <v>7461891.418901287</v>
      </c>
      <c r="BF401" s="235">
        <f>BE401*(1+Driver_macroeconómicos_Agricult!AU$8)</f>
        <v>7486458.9539269656</v>
      </c>
      <c r="BG401" s="235">
        <f>BF401*(1+Driver_macroeconómicos_Agricult!AV$8)</f>
        <v>7509351.6681668302</v>
      </c>
      <c r="BH401" s="235">
        <f>BG401*(1+Driver_macroeconómicos_Agricult!AW$8)</f>
        <v>7530553.3099478409</v>
      </c>
      <c r="BI401" s="235">
        <f>BH401*(1+Driver_macroeconómicos_Agricult!AX$8)</f>
        <v>7550048.7638490852</v>
      </c>
      <c r="BJ401" s="235">
        <f>BI401*(1+Driver_macroeconómicos_Agricult!AY$8)</f>
        <v>7567824.0686221095</v>
      </c>
      <c r="BK401" s="235">
        <f>BJ401*(1+Driver_macroeconómicos_Agricult!AZ$8)</f>
        <v>7583866.4338168856</v>
      </c>
      <c r="BL401" s="235">
        <f>BK401*(1+Driver_macroeconómicos_Agricult!BA$8)</f>
        <v>7598164.255085743</v>
      </c>
      <c r="BM401" s="235">
        <f>BL401*(1+Driver_macroeconómicos_Agricult!BB$8)</f>
        <v>7610707.1281397082</v>
      </c>
      <c r="BN401" s="235">
        <f>BM401*(1+Driver_macroeconómicos_Agricult!BC$8)</f>
        <v>7621485.8613337958</v>
      </c>
      <c r="BO401" s="235">
        <f>BN401*(1+Driver_macroeconómicos_Agricult!BD$8)</f>
        <v>7630492.4868600024</v>
      </c>
      <c r="BP401" s="261"/>
    </row>
    <row r="402" spans="1:68" ht="14.25" customHeight="1" thickBot="1" x14ac:dyDescent="0.35">
      <c r="A402" s="960"/>
      <c r="B402" s="960"/>
      <c r="C402" s="960"/>
      <c r="D402" s="944"/>
      <c r="E402" s="65"/>
      <c r="F402" s="270"/>
      <c r="G402" s="270"/>
      <c r="H402" s="270"/>
      <c r="I402" s="270"/>
      <c r="J402" s="270"/>
      <c r="K402" s="270"/>
      <c r="L402" s="271"/>
      <c r="M402" s="271"/>
      <c r="N402" s="271"/>
      <c r="O402" s="271"/>
      <c r="P402" s="271"/>
      <c r="Q402" s="271"/>
      <c r="R402" s="271"/>
      <c r="S402" s="271"/>
      <c r="T402" s="271"/>
      <c r="U402" s="271"/>
      <c r="V402" s="271"/>
      <c r="W402" s="271"/>
      <c r="X402" s="271"/>
      <c r="Y402" s="271"/>
      <c r="Z402" s="271"/>
      <c r="AA402" s="271"/>
      <c r="AB402" s="271"/>
      <c r="AC402" s="271"/>
      <c r="AD402" s="271"/>
      <c r="AE402" s="271"/>
      <c r="AF402" s="271"/>
      <c r="AG402" s="271"/>
      <c r="AH402" s="271"/>
      <c r="AI402" s="271"/>
      <c r="AJ402" s="271"/>
      <c r="AK402" s="271"/>
      <c r="AL402" s="271"/>
      <c r="AM402" s="271"/>
      <c r="AN402" s="271"/>
      <c r="AO402" s="271"/>
      <c r="AP402" s="271"/>
      <c r="AQ402" s="271"/>
      <c r="AR402" s="271"/>
      <c r="AS402" s="271"/>
      <c r="AT402" s="271"/>
      <c r="AU402" s="271"/>
      <c r="AV402" s="271"/>
      <c r="AW402" s="271"/>
      <c r="AX402" s="271"/>
      <c r="AY402" s="271"/>
      <c r="AZ402" s="271"/>
      <c r="BA402" s="271"/>
      <c r="BB402" s="271"/>
      <c r="BC402" s="271"/>
      <c r="BD402" s="271"/>
      <c r="BE402" s="271"/>
      <c r="BF402" s="271"/>
      <c r="BG402" s="271"/>
      <c r="BH402" s="271"/>
      <c r="BI402" s="271"/>
      <c r="BJ402" s="271"/>
      <c r="BK402" s="271"/>
      <c r="BL402" s="271"/>
      <c r="BM402" s="271"/>
      <c r="BN402" s="271"/>
      <c r="BO402" s="271"/>
      <c r="BP402" s="66"/>
    </row>
    <row r="403" spans="1:68" ht="14.25" customHeight="1" x14ac:dyDescent="0.3">
      <c r="A403" s="960"/>
      <c r="B403" s="960"/>
      <c r="C403" s="960"/>
      <c r="D403" s="944"/>
      <c r="E403" s="944"/>
      <c r="F403" s="45"/>
      <c r="G403" s="45"/>
      <c r="H403" s="45"/>
      <c r="I403" s="45"/>
      <c r="J403" s="45"/>
      <c r="K403" s="45"/>
      <c r="L403" s="944"/>
      <c r="M403" s="944"/>
      <c r="N403" s="944"/>
      <c r="O403" s="944"/>
      <c r="P403" s="944"/>
      <c r="Q403" s="944"/>
      <c r="R403" s="944"/>
      <c r="S403" s="944"/>
      <c r="T403" s="944"/>
      <c r="U403" s="944"/>
      <c r="V403" s="944"/>
      <c r="W403" s="944"/>
      <c r="X403" s="944"/>
      <c r="Y403" s="944"/>
      <c r="Z403" s="944"/>
      <c r="AA403" s="944"/>
      <c r="AB403" s="944"/>
      <c r="AC403" s="944"/>
      <c r="AD403" s="944"/>
      <c r="AE403" s="944"/>
      <c r="AF403" s="944"/>
      <c r="AG403" s="944"/>
      <c r="AH403" s="944"/>
      <c r="AI403" s="944"/>
      <c r="AJ403" s="944"/>
      <c r="AK403" s="944"/>
      <c r="AL403" s="944"/>
      <c r="AM403" s="944"/>
      <c r="AN403" s="944"/>
      <c r="AO403" s="944"/>
      <c r="AP403" s="944"/>
      <c r="AQ403" s="944"/>
      <c r="AR403" s="944"/>
      <c r="AS403" s="944"/>
      <c r="AT403" s="944"/>
      <c r="AU403" s="944"/>
      <c r="AV403" s="944"/>
      <c r="AW403" s="944"/>
      <c r="AX403" s="944"/>
      <c r="AY403" s="944"/>
      <c r="AZ403" s="944"/>
      <c r="BA403" s="944"/>
      <c r="BB403" s="944"/>
      <c r="BC403" s="944"/>
      <c r="BD403" s="944"/>
      <c r="BE403" s="944"/>
      <c r="BF403" s="944"/>
      <c r="BG403" s="944"/>
      <c r="BH403" s="944"/>
      <c r="BI403" s="944"/>
      <c r="BJ403" s="944"/>
      <c r="BK403" s="944"/>
      <c r="BL403" s="944"/>
      <c r="BM403" s="944"/>
      <c r="BN403" s="944"/>
      <c r="BO403" s="944"/>
      <c r="BP403" s="45"/>
    </row>
    <row r="404" spans="1:68" ht="15.75" customHeight="1" x14ac:dyDescent="0.3">
      <c r="A404" s="960"/>
      <c r="B404" s="960"/>
      <c r="C404" s="960"/>
      <c r="D404" s="944"/>
      <c r="E404" s="44"/>
      <c r="F404" s="44" t="s">
        <v>586</v>
      </c>
      <c r="G404" s="44"/>
      <c r="H404" s="45"/>
      <c r="I404" s="45"/>
      <c r="J404" s="45"/>
      <c r="K404" s="45"/>
      <c r="L404" s="944"/>
      <c r="M404" s="944"/>
      <c r="N404" s="944"/>
      <c r="O404" s="944"/>
      <c r="P404" s="944"/>
      <c r="Q404" s="944"/>
      <c r="R404" s="944"/>
      <c r="S404" s="944"/>
      <c r="T404" s="944"/>
      <c r="U404" s="944"/>
      <c r="V404" s="944"/>
      <c r="W404" s="944"/>
      <c r="X404" s="944"/>
      <c r="Y404" s="944"/>
      <c r="Z404" s="944"/>
      <c r="AA404" s="944"/>
      <c r="AB404" s="944"/>
      <c r="AC404" s="944"/>
      <c r="AD404" s="944"/>
      <c r="AE404" s="944"/>
      <c r="AF404" s="944"/>
      <c r="AG404" s="944"/>
      <c r="AH404" s="944"/>
      <c r="AI404" s="944"/>
      <c r="AJ404" s="944"/>
      <c r="AK404" s="944"/>
      <c r="AL404" s="944"/>
      <c r="AM404" s="944"/>
      <c r="AN404" s="944"/>
      <c r="AO404" s="944"/>
      <c r="AP404" s="944"/>
      <c r="AQ404" s="944"/>
      <c r="AR404" s="944"/>
      <c r="AS404" s="944"/>
      <c r="AT404" s="944"/>
      <c r="AU404" s="944"/>
      <c r="AV404" s="944"/>
      <c r="AW404" s="944"/>
      <c r="AX404" s="944"/>
      <c r="AY404" s="944"/>
      <c r="AZ404" s="944"/>
      <c r="BA404" s="944"/>
      <c r="BB404" s="944"/>
      <c r="BC404" s="944"/>
      <c r="BD404" s="944"/>
      <c r="BE404" s="944"/>
      <c r="BF404" s="944"/>
      <c r="BG404" s="944"/>
      <c r="BH404" s="944"/>
      <c r="BI404" s="944"/>
      <c r="BJ404" s="944"/>
      <c r="BK404" s="944"/>
      <c r="BL404" s="944"/>
      <c r="BM404" s="944"/>
      <c r="BN404" s="944"/>
      <c r="BO404" s="944"/>
      <c r="BP404" s="45"/>
    </row>
    <row r="405" spans="1:68" ht="13.5" customHeight="1" thickBot="1" x14ac:dyDescent="0.35">
      <c r="A405" s="960"/>
      <c r="B405" s="960"/>
      <c r="C405" s="960"/>
      <c r="D405" s="944"/>
      <c r="E405" s="26"/>
      <c r="L405" s="26"/>
      <c r="M405" s="26"/>
      <c r="N405" s="26"/>
      <c r="O405" s="944"/>
      <c r="P405" s="944"/>
      <c r="Q405" s="944"/>
      <c r="R405" s="944"/>
      <c r="S405" s="944"/>
      <c r="T405" s="944"/>
      <c r="U405" s="944"/>
      <c r="V405" s="944"/>
      <c r="W405" s="944"/>
      <c r="X405" s="944"/>
      <c r="Y405" s="944"/>
      <c r="Z405" s="944"/>
      <c r="AA405" s="944"/>
      <c r="AB405" s="944"/>
      <c r="AC405" s="944"/>
      <c r="AD405" s="944"/>
      <c r="AE405" s="944"/>
      <c r="AF405" s="944"/>
      <c r="AG405" s="944"/>
      <c r="AH405" s="944"/>
      <c r="AI405" s="944"/>
      <c r="AJ405" s="944"/>
      <c r="AK405" s="944"/>
      <c r="AL405" s="944"/>
      <c r="AM405" s="944"/>
      <c r="AN405" s="944"/>
      <c r="AO405" s="944"/>
      <c r="AP405" s="944"/>
      <c r="AQ405" s="944"/>
      <c r="AR405" s="944"/>
      <c r="AS405" s="944"/>
      <c r="AT405" s="944"/>
      <c r="AU405" s="944"/>
      <c r="AV405" s="944"/>
      <c r="AW405" s="944"/>
      <c r="AX405" s="944"/>
      <c r="AY405" s="944"/>
      <c r="AZ405" s="944"/>
      <c r="BA405" s="944"/>
      <c r="BB405" s="944"/>
      <c r="BC405" s="944"/>
      <c r="BD405" s="944"/>
      <c r="BE405" s="944"/>
      <c r="BF405" s="944"/>
      <c r="BG405" s="944"/>
      <c r="BH405" s="944"/>
      <c r="BI405" s="944"/>
      <c r="BJ405" s="944"/>
      <c r="BK405" s="944"/>
      <c r="BL405" s="944"/>
      <c r="BM405" s="944"/>
      <c r="BN405" s="944"/>
      <c r="BO405" s="944"/>
    </row>
    <row r="406" spans="1:68" ht="14.25" customHeight="1" x14ac:dyDescent="0.3">
      <c r="A406" s="960"/>
      <c r="B406" s="960"/>
      <c r="C406" s="960"/>
      <c r="D406" s="944"/>
      <c r="E406" s="67"/>
      <c r="F406" s="272"/>
      <c r="G406" s="272"/>
      <c r="H406" s="272"/>
      <c r="I406" s="272"/>
      <c r="J406" s="272"/>
      <c r="K406" s="272"/>
      <c r="L406" s="273"/>
      <c r="M406" s="273"/>
      <c r="N406" s="273"/>
      <c r="O406" s="273"/>
      <c r="P406" s="273"/>
      <c r="Q406" s="273"/>
      <c r="R406" s="273"/>
      <c r="S406" s="273"/>
      <c r="T406" s="273"/>
      <c r="U406" s="273"/>
      <c r="V406" s="273"/>
      <c r="W406" s="273"/>
      <c r="X406" s="273"/>
      <c r="Y406" s="273"/>
      <c r="Z406" s="273"/>
      <c r="AA406" s="273"/>
      <c r="AB406" s="273"/>
      <c r="AC406" s="273"/>
      <c r="AD406" s="273"/>
      <c r="AE406" s="273"/>
      <c r="AF406" s="273"/>
      <c r="AG406" s="273"/>
      <c r="AH406" s="273"/>
      <c r="AI406" s="273"/>
      <c r="AJ406" s="273"/>
      <c r="AK406" s="273"/>
      <c r="AL406" s="273"/>
      <c r="AM406" s="273"/>
      <c r="AN406" s="273"/>
      <c r="AO406" s="273"/>
      <c r="AP406" s="273"/>
      <c r="AQ406" s="273"/>
      <c r="AR406" s="273"/>
      <c r="AS406" s="273"/>
      <c r="AT406" s="273"/>
      <c r="AU406" s="273"/>
      <c r="AV406" s="273"/>
      <c r="AW406" s="273"/>
      <c r="AX406" s="273"/>
      <c r="AY406" s="273"/>
      <c r="AZ406" s="273"/>
      <c r="BA406" s="273"/>
      <c r="BB406" s="273"/>
      <c r="BC406" s="273"/>
      <c r="BD406" s="273"/>
      <c r="BE406" s="273"/>
      <c r="BF406" s="273"/>
      <c r="BG406" s="273"/>
      <c r="BH406" s="273"/>
      <c r="BI406" s="273"/>
      <c r="BJ406" s="273"/>
      <c r="BK406" s="273"/>
      <c r="BL406" s="273"/>
      <c r="BM406" s="273"/>
      <c r="BN406" s="273"/>
      <c r="BO406" s="273"/>
      <c r="BP406" s="68"/>
    </row>
    <row r="407" spans="1:68" ht="14.25" customHeight="1" x14ac:dyDescent="0.3">
      <c r="A407" s="960"/>
      <c r="B407" s="960"/>
      <c r="C407" s="960"/>
      <c r="D407" s="944"/>
      <c r="E407" s="274"/>
      <c r="F407" s="127" t="s">
        <v>587</v>
      </c>
      <c r="G407" s="275"/>
      <c r="H407" s="275"/>
      <c r="I407" s="275"/>
      <c r="J407" s="275"/>
      <c r="K407" s="275"/>
      <c r="L407" s="963"/>
      <c r="M407" s="946"/>
      <c r="N407" s="946"/>
      <c r="O407" s="946"/>
      <c r="P407" s="946"/>
      <c r="Q407" s="946"/>
      <c r="R407" s="946"/>
      <c r="S407" s="946"/>
      <c r="T407" s="946"/>
      <c r="U407" s="946"/>
      <c r="V407" s="946"/>
      <c r="W407" s="946"/>
      <c r="X407" s="946"/>
      <c r="Y407" s="946"/>
      <c r="Z407" s="946"/>
      <c r="AA407" s="946"/>
      <c r="AB407" s="946"/>
      <c r="AC407" s="946"/>
      <c r="AD407" s="946"/>
      <c r="AE407" s="946"/>
      <c r="AF407" s="946"/>
      <c r="AG407" s="946"/>
      <c r="AH407" s="946"/>
      <c r="AI407" s="946"/>
      <c r="AJ407" s="946"/>
      <c r="AK407" s="946"/>
      <c r="AL407" s="946"/>
      <c r="AM407" s="946"/>
      <c r="AN407" s="946"/>
      <c r="AO407" s="946"/>
      <c r="AP407" s="946"/>
      <c r="AQ407" s="946"/>
      <c r="AR407" s="946"/>
      <c r="AS407" s="946"/>
      <c r="AT407" s="946"/>
      <c r="AU407" s="946"/>
      <c r="AV407" s="946"/>
      <c r="AW407" s="946"/>
      <c r="AX407" s="946"/>
      <c r="AY407" s="946"/>
      <c r="AZ407" s="946"/>
      <c r="BA407" s="946"/>
      <c r="BB407" s="946"/>
      <c r="BC407" s="946"/>
      <c r="BD407" s="946"/>
      <c r="BE407" s="946"/>
      <c r="BF407" s="946"/>
      <c r="BG407" s="946"/>
      <c r="BH407" s="946"/>
      <c r="BI407" s="946"/>
      <c r="BJ407" s="946"/>
      <c r="BK407" s="946"/>
      <c r="BL407" s="946"/>
      <c r="BM407" s="946"/>
      <c r="BN407" s="946"/>
      <c r="BO407" s="946"/>
      <c r="BP407" s="276"/>
    </row>
    <row r="408" spans="1:68" ht="14.25" customHeight="1" x14ac:dyDescent="0.3">
      <c r="A408" s="960"/>
      <c r="B408" s="960"/>
      <c r="C408" s="960"/>
      <c r="D408" s="944"/>
      <c r="E408" s="277"/>
      <c r="F408" s="131" t="s">
        <v>588</v>
      </c>
      <c r="G408" s="275"/>
      <c r="H408" s="275"/>
      <c r="I408" s="275"/>
      <c r="J408" s="275"/>
      <c r="K408" s="275"/>
      <c r="L408" s="963"/>
      <c r="M408" s="946"/>
      <c r="N408" s="946"/>
      <c r="O408" s="946"/>
      <c r="P408" s="946"/>
      <c r="Q408" s="946"/>
      <c r="R408" s="946"/>
      <c r="S408" s="946"/>
      <c r="T408" s="946"/>
      <c r="U408" s="946"/>
      <c r="V408" s="946"/>
      <c r="W408" s="946"/>
      <c r="X408" s="946"/>
      <c r="Y408" s="946"/>
      <c r="Z408" s="946"/>
      <c r="AA408" s="946"/>
      <c r="AB408" s="946"/>
      <c r="AC408" s="946"/>
      <c r="AD408" s="946"/>
      <c r="AE408" s="946"/>
      <c r="AF408" s="946"/>
      <c r="AG408" s="946"/>
      <c r="AH408" s="946"/>
      <c r="AI408" s="946"/>
      <c r="AJ408" s="946"/>
      <c r="AK408" s="946"/>
      <c r="AL408" s="946"/>
      <c r="AM408" s="946"/>
      <c r="AN408" s="946"/>
      <c r="AO408" s="946"/>
      <c r="AP408" s="946"/>
      <c r="AQ408" s="946"/>
      <c r="AR408" s="946"/>
      <c r="AS408" s="946"/>
      <c r="AT408" s="946"/>
      <c r="AU408" s="946"/>
      <c r="AV408" s="946"/>
      <c r="AW408" s="946"/>
      <c r="AX408" s="946"/>
      <c r="AY408" s="946"/>
      <c r="AZ408" s="946"/>
      <c r="BA408" s="946"/>
      <c r="BB408" s="946"/>
      <c r="BC408" s="946"/>
      <c r="BD408" s="946"/>
      <c r="BE408" s="946"/>
      <c r="BF408" s="946"/>
      <c r="BG408" s="946"/>
      <c r="BH408" s="946"/>
      <c r="BI408" s="946"/>
      <c r="BJ408" s="946"/>
      <c r="BK408" s="946"/>
      <c r="BL408" s="946"/>
      <c r="BM408" s="946"/>
      <c r="BN408" s="946"/>
      <c r="BO408" s="946"/>
      <c r="BP408" s="276"/>
    </row>
    <row r="409" spans="1:68" ht="14.25" customHeight="1" x14ac:dyDescent="0.3">
      <c r="A409" s="1199" t="s">
        <v>589</v>
      </c>
      <c r="B409" s="964"/>
      <c r="C409" s="964"/>
      <c r="D409" s="944"/>
      <c r="E409" s="274"/>
      <c r="F409" s="128" t="s">
        <v>590</v>
      </c>
      <c r="G409" s="128"/>
      <c r="H409" s="128"/>
      <c r="I409" s="128"/>
      <c r="J409" s="128"/>
      <c r="K409" s="128">
        <v>2.1</v>
      </c>
      <c r="L409" s="946"/>
      <c r="M409" s="946"/>
      <c r="N409" s="946"/>
      <c r="O409" s="946"/>
      <c r="P409" s="946"/>
      <c r="Q409" s="946"/>
      <c r="R409" s="946"/>
      <c r="S409" s="946"/>
      <c r="T409" s="946"/>
      <c r="U409" s="946"/>
      <c r="V409" s="946"/>
      <c r="W409" s="946"/>
      <c r="X409" s="946"/>
      <c r="Y409" s="946"/>
      <c r="Z409" s="946"/>
      <c r="AA409" s="946"/>
      <c r="AB409" s="946"/>
      <c r="AC409" s="946"/>
      <c r="AD409" s="946"/>
      <c r="AE409" s="946"/>
      <c r="AF409" s="946"/>
      <c r="AG409" s="946"/>
      <c r="AH409" s="946"/>
      <c r="AI409" s="946"/>
      <c r="AJ409" s="946"/>
      <c r="AK409" s="946"/>
      <c r="AL409" s="946"/>
      <c r="AM409" s="946"/>
      <c r="AN409" s="946"/>
      <c r="AO409" s="946"/>
      <c r="AP409" s="946"/>
      <c r="AQ409" s="946"/>
      <c r="AR409" s="946"/>
      <c r="AS409" s="946"/>
      <c r="AT409" s="946"/>
      <c r="AU409" s="946"/>
      <c r="AV409" s="946"/>
      <c r="AW409" s="946"/>
      <c r="AX409" s="946"/>
      <c r="AY409" s="946"/>
      <c r="AZ409" s="946"/>
      <c r="BA409" s="946"/>
      <c r="BB409" s="946"/>
      <c r="BC409" s="946"/>
      <c r="BD409" s="946"/>
      <c r="BE409" s="946"/>
      <c r="BF409" s="946"/>
      <c r="BG409" s="946"/>
      <c r="BH409" s="946"/>
      <c r="BI409" s="946"/>
      <c r="BJ409" s="946"/>
      <c r="BK409" s="946"/>
      <c r="BL409" s="946"/>
      <c r="BM409" s="946"/>
      <c r="BN409" s="946"/>
      <c r="BO409" s="946"/>
      <c r="BP409" s="276"/>
    </row>
    <row r="410" spans="1:68" ht="14.25" customHeight="1" x14ac:dyDescent="0.3">
      <c r="A410" s="982"/>
      <c r="D410" s="944"/>
      <c r="E410" s="274"/>
      <c r="F410" s="128" t="s">
        <v>591</v>
      </c>
      <c r="G410" s="128"/>
      <c r="H410" s="128"/>
      <c r="I410" s="128"/>
      <c r="J410" s="128"/>
      <c r="K410" s="128">
        <v>4.9000000000000004</v>
      </c>
      <c r="L410" s="946"/>
      <c r="M410" s="946"/>
      <c r="N410" s="946"/>
      <c r="O410" s="946"/>
      <c r="P410" s="946"/>
      <c r="Q410" s="946"/>
      <c r="R410" s="946"/>
      <c r="S410" s="946"/>
      <c r="T410" s="946"/>
      <c r="U410" s="946"/>
      <c r="V410" s="946"/>
      <c r="W410" s="946"/>
      <c r="X410" s="946"/>
      <c r="Y410" s="946"/>
      <c r="Z410" s="946"/>
      <c r="AA410" s="946"/>
      <c r="AB410" s="946"/>
      <c r="AC410" s="946"/>
      <c r="AD410" s="946"/>
      <c r="AE410" s="946"/>
      <c r="AF410" s="946"/>
      <c r="AG410" s="946"/>
      <c r="AH410" s="946"/>
      <c r="AI410" s="946"/>
      <c r="AJ410" s="946"/>
      <c r="AK410" s="946"/>
      <c r="AL410" s="946"/>
      <c r="AM410" s="946"/>
      <c r="AN410" s="946"/>
      <c r="AO410" s="946"/>
      <c r="AP410" s="946"/>
      <c r="AQ410" s="946"/>
      <c r="AR410" s="946"/>
      <c r="AS410" s="946"/>
      <c r="AT410" s="946"/>
      <c r="AU410" s="946"/>
      <c r="AV410" s="946"/>
      <c r="AW410" s="946"/>
      <c r="AX410" s="946"/>
      <c r="AY410" s="946"/>
      <c r="AZ410" s="946"/>
      <c r="BA410" s="946"/>
      <c r="BB410" s="946"/>
      <c r="BC410" s="946"/>
      <c r="BD410" s="946"/>
      <c r="BE410" s="946"/>
      <c r="BF410" s="946"/>
      <c r="BG410" s="946"/>
      <c r="BH410" s="946"/>
      <c r="BI410" s="946"/>
      <c r="BJ410" s="946"/>
      <c r="BK410" s="946"/>
      <c r="BL410" s="946"/>
      <c r="BM410" s="946"/>
      <c r="BN410" s="946"/>
      <c r="BO410" s="946"/>
      <c r="BP410" s="276"/>
    </row>
    <row r="411" spans="1:68" ht="14.25" customHeight="1" x14ac:dyDescent="0.3">
      <c r="A411" s="982"/>
      <c r="D411" s="69"/>
      <c r="E411" s="274"/>
      <c r="F411" s="128" t="s">
        <v>592</v>
      </c>
      <c r="G411" s="128"/>
      <c r="H411" s="128"/>
      <c r="I411" s="128"/>
      <c r="J411" s="128"/>
      <c r="K411" s="128">
        <v>1.99</v>
      </c>
      <c r="L411" s="946"/>
      <c r="M411" s="946"/>
      <c r="N411" s="946"/>
      <c r="O411" s="946"/>
      <c r="P411" s="946"/>
      <c r="Q411" s="946"/>
      <c r="R411" s="946"/>
      <c r="S411" s="946"/>
      <c r="T411" s="946"/>
      <c r="U411" s="946"/>
      <c r="V411" s="946"/>
      <c r="W411" s="946"/>
      <c r="X411" s="946"/>
      <c r="Y411" s="946"/>
      <c r="Z411" s="946"/>
      <c r="AA411" s="946"/>
      <c r="AB411" s="946"/>
      <c r="AC411" s="946"/>
      <c r="AD411" s="946"/>
      <c r="AE411" s="946"/>
      <c r="AF411" s="946"/>
      <c r="AG411" s="946"/>
      <c r="AH411" s="946"/>
      <c r="AI411" s="946"/>
      <c r="AJ411" s="946"/>
      <c r="AK411" s="946"/>
      <c r="AL411" s="946"/>
      <c r="AM411" s="946"/>
      <c r="AN411" s="946"/>
      <c r="AO411" s="946"/>
      <c r="AP411" s="946"/>
      <c r="AQ411" s="946"/>
      <c r="AR411" s="946"/>
      <c r="AS411" s="946"/>
      <c r="AT411" s="946"/>
      <c r="AU411" s="946"/>
      <c r="AV411" s="946"/>
      <c r="AW411" s="946"/>
      <c r="AX411" s="946"/>
      <c r="AY411" s="946"/>
      <c r="AZ411" s="946"/>
      <c r="BA411" s="946"/>
      <c r="BB411" s="946"/>
      <c r="BC411" s="946"/>
      <c r="BD411" s="946"/>
      <c r="BE411" s="946"/>
      <c r="BF411" s="946"/>
      <c r="BG411" s="946"/>
      <c r="BH411" s="946"/>
      <c r="BI411" s="946"/>
      <c r="BJ411" s="946"/>
      <c r="BK411" s="946"/>
      <c r="BL411" s="946"/>
      <c r="BM411" s="946"/>
      <c r="BN411" s="946"/>
      <c r="BO411" s="946"/>
      <c r="BP411" s="276"/>
    </row>
    <row r="412" spans="1:68" ht="14.25" customHeight="1" x14ac:dyDescent="0.3">
      <c r="A412" s="982"/>
      <c r="D412" s="69"/>
      <c r="E412" s="278"/>
      <c r="F412" s="128" t="s">
        <v>593</v>
      </c>
      <c r="G412" s="128"/>
      <c r="H412" s="128"/>
      <c r="I412" s="128"/>
      <c r="J412" s="128"/>
      <c r="K412" s="128">
        <v>0.06</v>
      </c>
      <c r="L412" s="946"/>
      <c r="M412" s="946"/>
      <c r="N412" s="946"/>
      <c r="O412" s="946"/>
      <c r="P412" s="946"/>
      <c r="Q412" s="946"/>
      <c r="R412" s="946"/>
      <c r="S412" s="946"/>
      <c r="T412" s="946"/>
      <c r="U412" s="946"/>
      <c r="V412" s="946"/>
      <c r="W412" s="946"/>
      <c r="X412" s="946"/>
      <c r="Y412" s="946"/>
      <c r="Z412" s="946"/>
      <c r="AA412" s="946"/>
      <c r="AB412" s="946"/>
      <c r="AC412" s="946"/>
      <c r="AD412" s="946"/>
      <c r="AE412" s="946"/>
      <c r="AF412" s="946"/>
      <c r="AG412" s="946"/>
      <c r="AH412" s="946"/>
      <c r="AI412" s="946"/>
      <c r="AJ412" s="946"/>
      <c r="AK412" s="946"/>
      <c r="AL412" s="946"/>
      <c r="AM412" s="946"/>
      <c r="AN412" s="946"/>
      <c r="AO412" s="946"/>
      <c r="AP412" s="946"/>
      <c r="AQ412" s="946"/>
      <c r="AR412" s="946"/>
      <c r="AS412" s="946"/>
      <c r="AT412" s="946"/>
      <c r="AU412" s="946"/>
      <c r="AV412" s="946"/>
      <c r="AW412" s="946"/>
      <c r="AX412" s="946"/>
      <c r="AY412" s="946"/>
      <c r="AZ412" s="946"/>
      <c r="BA412" s="946"/>
      <c r="BB412" s="946"/>
      <c r="BC412" s="946"/>
      <c r="BD412" s="946"/>
      <c r="BE412" s="946"/>
      <c r="BF412" s="946"/>
      <c r="BG412" s="946"/>
      <c r="BH412" s="946"/>
      <c r="BI412" s="946"/>
      <c r="BJ412" s="946"/>
      <c r="BK412" s="946"/>
      <c r="BL412" s="946"/>
      <c r="BM412" s="946"/>
      <c r="BN412" s="946"/>
      <c r="BO412" s="946"/>
      <c r="BP412" s="276"/>
    </row>
    <row r="413" spans="1:68" ht="14.25" customHeight="1" x14ac:dyDescent="0.3">
      <c r="A413" s="982"/>
      <c r="D413" s="944"/>
      <c r="E413" s="274"/>
      <c r="F413" s="128" t="s">
        <v>594</v>
      </c>
      <c r="G413" s="128"/>
      <c r="H413" s="128"/>
      <c r="I413" s="128"/>
      <c r="J413" s="128"/>
      <c r="K413" s="128">
        <v>0.8</v>
      </c>
      <c r="L413" s="946"/>
      <c r="M413" s="946"/>
      <c r="N413" s="946"/>
      <c r="O413" s="946"/>
      <c r="P413" s="946"/>
      <c r="Q413" s="946"/>
      <c r="R413" s="946"/>
      <c r="S413" s="946"/>
      <c r="T413" s="946"/>
      <c r="U413" s="946"/>
      <c r="V413" s="946"/>
      <c r="W413" s="946"/>
      <c r="X413" s="946"/>
      <c r="Y413" s="946"/>
      <c r="Z413" s="946"/>
      <c r="AA413" s="946"/>
      <c r="AB413" s="946"/>
      <c r="AC413" s="946"/>
      <c r="AD413" s="946"/>
      <c r="AE413" s="946"/>
      <c r="AF413" s="946"/>
      <c r="AG413" s="946"/>
      <c r="AH413" s="946"/>
      <c r="AI413" s="946"/>
      <c r="AJ413" s="946"/>
      <c r="AK413" s="946"/>
      <c r="AL413" s="946"/>
      <c r="AM413" s="946"/>
      <c r="AN413" s="946"/>
      <c r="AO413" s="946"/>
      <c r="AP413" s="946"/>
      <c r="AQ413" s="946"/>
      <c r="AR413" s="946"/>
      <c r="AS413" s="946"/>
      <c r="AT413" s="946"/>
      <c r="AU413" s="946"/>
      <c r="AV413" s="946"/>
      <c r="AW413" s="946"/>
      <c r="AX413" s="946"/>
      <c r="AY413" s="946"/>
      <c r="AZ413" s="946"/>
      <c r="BA413" s="946"/>
      <c r="BB413" s="946"/>
      <c r="BC413" s="946"/>
      <c r="BD413" s="946"/>
      <c r="BE413" s="946"/>
      <c r="BF413" s="946"/>
      <c r="BG413" s="946"/>
      <c r="BH413" s="946"/>
      <c r="BI413" s="946"/>
      <c r="BJ413" s="946"/>
      <c r="BK413" s="946"/>
      <c r="BL413" s="946"/>
      <c r="BM413" s="946"/>
      <c r="BN413" s="946"/>
      <c r="BO413" s="946"/>
      <c r="BP413" s="276"/>
    </row>
    <row r="414" spans="1:68" ht="14.25" customHeight="1" x14ac:dyDescent="0.3">
      <c r="A414" s="982"/>
      <c r="D414" s="69"/>
      <c r="E414" s="278"/>
      <c r="F414" s="128" t="s">
        <v>595</v>
      </c>
      <c r="G414" s="128"/>
      <c r="H414" s="128"/>
      <c r="I414" s="128"/>
      <c r="J414" s="128"/>
      <c r="K414" s="128">
        <v>0.41</v>
      </c>
      <c r="L414" s="946"/>
      <c r="M414" s="946"/>
      <c r="N414" s="946"/>
      <c r="O414" s="946"/>
      <c r="P414" s="946"/>
      <c r="Q414" s="946"/>
      <c r="R414" s="946"/>
      <c r="S414" s="946"/>
      <c r="T414" s="946"/>
      <c r="U414" s="946"/>
      <c r="V414" s="946"/>
      <c r="W414" s="946"/>
      <c r="X414" s="946"/>
      <c r="Y414" s="946"/>
      <c r="Z414" s="946"/>
      <c r="AA414" s="946"/>
      <c r="AB414" s="946"/>
      <c r="AC414" s="946"/>
      <c r="AD414" s="946"/>
      <c r="AE414" s="946"/>
      <c r="AF414" s="946"/>
      <c r="AG414" s="946"/>
      <c r="AH414" s="946"/>
      <c r="AI414" s="946"/>
      <c r="AJ414" s="946"/>
      <c r="AK414" s="946"/>
      <c r="AL414" s="946"/>
      <c r="AM414" s="946"/>
      <c r="AN414" s="946"/>
      <c r="AO414" s="946"/>
      <c r="AP414" s="946"/>
      <c r="AQ414" s="946"/>
      <c r="AR414" s="946"/>
      <c r="AS414" s="946"/>
      <c r="AT414" s="946"/>
      <c r="AU414" s="946"/>
      <c r="AV414" s="946"/>
      <c r="AW414" s="946"/>
      <c r="AX414" s="946"/>
      <c r="AY414" s="946"/>
      <c r="AZ414" s="946"/>
      <c r="BA414" s="946"/>
      <c r="BB414" s="946"/>
      <c r="BC414" s="946"/>
      <c r="BD414" s="946"/>
      <c r="BE414" s="946"/>
      <c r="BF414" s="946"/>
      <c r="BG414" s="946"/>
      <c r="BH414" s="946"/>
      <c r="BI414" s="946"/>
      <c r="BJ414" s="946"/>
      <c r="BK414" s="946"/>
      <c r="BL414" s="946"/>
      <c r="BM414" s="946"/>
      <c r="BN414" s="946"/>
      <c r="BO414" s="946"/>
      <c r="BP414" s="276"/>
    </row>
    <row r="415" spans="1:68" ht="14.25" customHeight="1" x14ac:dyDescent="0.3">
      <c r="A415" s="982"/>
      <c r="D415" s="944"/>
      <c r="E415" s="274"/>
      <c r="F415" s="128" t="s">
        <v>596</v>
      </c>
      <c r="G415" s="128"/>
      <c r="H415" s="128"/>
      <c r="I415" s="128"/>
      <c r="J415" s="128"/>
      <c r="K415" s="128">
        <v>6.87</v>
      </c>
      <c r="L415" s="946"/>
      <c r="M415" s="946"/>
      <c r="N415" s="946"/>
      <c r="O415" s="946"/>
      <c r="P415" s="946"/>
      <c r="Q415" s="946"/>
      <c r="R415" s="946"/>
      <c r="S415" s="946"/>
      <c r="T415" s="946"/>
      <c r="U415" s="946"/>
      <c r="V415" s="946"/>
      <c r="W415" s="946"/>
      <c r="X415" s="946"/>
      <c r="Y415" s="946"/>
      <c r="Z415" s="946"/>
      <c r="AA415" s="946"/>
      <c r="AB415" s="946"/>
      <c r="AC415" s="946"/>
      <c r="AD415" s="946"/>
      <c r="AE415" s="946"/>
      <c r="AF415" s="946"/>
      <c r="AG415" s="946"/>
      <c r="AH415" s="946"/>
      <c r="AI415" s="946"/>
      <c r="AJ415" s="946"/>
      <c r="AK415" s="946"/>
      <c r="AL415" s="946"/>
      <c r="AM415" s="946"/>
      <c r="AN415" s="946"/>
      <c r="AO415" s="946"/>
      <c r="AP415" s="946"/>
      <c r="AQ415" s="946"/>
      <c r="AR415" s="946"/>
      <c r="AS415" s="946"/>
      <c r="AT415" s="946"/>
      <c r="AU415" s="946"/>
      <c r="AV415" s="946"/>
      <c r="AW415" s="946"/>
      <c r="AX415" s="946"/>
      <c r="AY415" s="946"/>
      <c r="AZ415" s="946"/>
      <c r="BA415" s="946"/>
      <c r="BB415" s="946"/>
      <c r="BC415" s="946"/>
      <c r="BD415" s="946"/>
      <c r="BE415" s="946"/>
      <c r="BF415" s="946"/>
      <c r="BG415" s="946"/>
      <c r="BH415" s="946"/>
      <c r="BI415" s="946"/>
      <c r="BJ415" s="946"/>
      <c r="BK415" s="946"/>
      <c r="BL415" s="946"/>
      <c r="BM415" s="946"/>
      <c r="BN415" s="946"/>
      <c r="BO415" s="946"/>
      <c r="BP415" s="276"/>
    </row>
    <row r="416" spans="1:68" ht="13.5" customHeight="1" x14ac:dyDescent="0.3">
      <c r="A416" s="960"/>
      <c r="B416" s="960"/>
      <c r="C416" s="960"/>
      <c r="D416" s="944"/>
      <c r="E416" s="274"/>
      <c r="F416" s="128" t="s">
        <v>427</v>
      </c>
      <c r="G416" s="128"/>
      <c r="H416" s="128"/>
      <c r="I416" s="128"/>
      <c r="J416" s="128"/>
      <c r="K416" s="128">
        <f>SUM(K409:K415)</f>
        <v>17.130000000000003</v>
      </c>
      <c r="L416" s="946"/>
      <c r="M416" s="946"/>
      <c r="N416" s="946"/>
      <c r="O416" s="946"/>
      <c r="P416" s="946"/>
      <c r="Q416" s="946"/>
      <c r="R416" s="946"/>
      <c r="S416" s="946"/>
      <c r="T416" s="946"/>
      <c r="U416" s="946"/>
      <c r="V416" s="946"/>
      <c r="W416" s="946"/>
      <c r="X416" s="946"/>
      <c r="Y416" s="946"/>
      <c r="Z416" s="946"/>
      <c r="AA416" s="946"/>
      <c r="AB416" s="946"/>
      <c r="AC416" s="946"/>
      <c r="AD416" s="946"/>
      <c r="AE416" s="946"/>
      <c r="AF416" s="946"/>
      <c r="AG416" s="946"/>
      <c r="AH416" s="946"/>
      <c r="AI416" s="946"/>
      <c r="AJ416" s="946"/>
      <c r="AK416" s="946"/>
      <c r="AL416" s="946"/>
      <c r="AM416" s="946"/>
      <c r="AN416" s="946"/>
      <c r="AO416" s="946"/>
      <c r="AP416" s="946"/>
      <c r="AQ416" s="946"/>
      <c r="AR416" s="946"/>
      <c r="AS416" s="946"/>
      <c r="AT416" s="946"/>
      <c r="AU416" s="946"/>
      <c r="AV416" s="946"/>
      <c r="AW416" s="946"/>
      <c r="AX416" s="946"/>
      <c r="AY416" s="946"/>
      <c r="AZ416" s="946"/>
      <c r="BA416" s="946"/>
      <c r="BB416" s="946"/>
      <c r="BC416" s="946"/>
      <c r="BD416" s="946"/>
      <c r="BE416" s="946"/>
      <c r="BF416" s="946"/>
      <c r="BG416" s="946"/>
      <c r="BH416" s="946"/>
      <c r="BI416" s="946"/>
      <c r="BJ416" s="946"/>
      <c r="BK416" s="946"/>
      <c r="BL416" s="946"/>
      <c r="BM416" s="946"/>
      <c r="BN416" s="946"/>
      <c r="BO416" s="946"/>
      <c r="BP416" s="276"/>
    </row>
    <row r="417" spans="1:96" ht="13.5" customHeight="1" x14ac:dyDescent="0.3">
      <c r="A417" s="960"/>
      <c r="B417" s="960"/>
      <c r="C417" s="960"/>
      <c r="D417" s="944"/>
      <c r="E417" s="274"/>
      <c r="F417" s="279"/>
      <c r="G417" s="279"/>
      <c r="H417" s="279"/>
      <c r="I417" s="279"/>
      <c r="J417" s="279"/>
      <c r="K417" s="279"/>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c r="BA417" s="280"/>
      <c r="BB417" s="280"/>
      <c r="BC417" s="280"/>
      <c r="BD417" s="280"/>
      <c r="BE417" s="280"/>
      <c r="BF417" s="280"/>
      <c r="BG417" s="280"/>
      <c r="BH417" s="280"/>
      <c r="BI417" s="280"/>
      <c r="BJ417" s="280"/>
      <c r="BK417" s="280"/>
      <c r="BL417" s="280"/>
      <c r="BM417" s="280"/>
      <c r="BN417" s="280"/>
      <c r="BO417" s="280"/>
      <c r="BP417" s="276"/>
    </row>
    <row r="418" spans="1:96" ht="14.25" customHeight="1" x14ac:dyDescent="0.3">
      <c r="A418" s="960"/>
      <c r="B418" s="960"/>
      <c r="C418" s="960"/>
      <c r="D418" s="944"/>
      <c r="E418" s="274"/>
      <c r="F418" s="127" t="s">
        <v>597</v>
      </c>
      <c r="G418" s="275"/>
      <c r="H418" s="275"/>
      <c r="I418" s="275"/>
      <c r="J418" s="275"/>
      <c r="K418" s="275"/>
      <c r="L418" s="963"/>
      <c r="M418" s="946"/>
      <c r="N418" s="946"/>
      <c r="O418" s="946"/>
      <c r="P418" s="946"/>
      <c r="Q418" s="946"/>
      <c r="R418" s="946"/>
      <c r="S418" s="946"/>
      <c r="T418" s="946"/>
      <c r="U418" s="946"/>
      <c r="V418" s="946"/>
      <c r="W418" s="946"/>
      <c r="X418" s="946"/>
      <c r="Y418" s="946"/>
      <c r="Z418" s="946"/>
      <c r="AA418" s="946"/>
      <c r="AB418" s="946"/>
      <c r="AC418" s="946"/>
      <c r="AD418" s="946"/>
      <c r="AE418" s="946"/>
      <c r="AF418" s="946"/>
      <c r="AG418" s="946"/>
      <c r="AH418" s="946"/>
      <c r="AI418" s="946"/>
      <c r="AJ418" s="946"/>
      <c r="AK418" s="946"/>
      <c r="AL418" s="946"/>
      <c r="AM418" s="946"/>
      <c r="AN418" s="946"/>
      <c r="AO418" s="946"/>
      <c r="AP418" s="946"/>
      <c r="AQ418" s="946"/>
      <c r="AR418" s="946"/>
      <c r="AS418" s="946"/>
      <c r="AT418" s="946"/>
      <c r="AU418" s="946"/>
      <c r="AV418" s="946"/>
      <c r="AW418" s="946"/>
      <c r="AX418" s="946"/>
      <c r="AY418" s="946"/>
      <c r="AZ418" s="946"/>
      <c r="BA418" s="946"/>
      <c r="BB418" s="946"/>
      <c r="BC418" s="946"/>
      <c r="BD418" s="946"/>
      <c r="BE418" s="946"/>
      <c r="BF418" s="946"/>
      <c r="BG418" s="946"/>
      <c r="BH418" s="946"/>
      <c r="BI418" s="946"/>
      <c r="BJ418" s="946"/>
      <c r="BK418" s="946"/>
      <c r="BL418" s="946"/>
      <c r="BM418" s="946"/>
      <c r="BN418" s="946"/>
      <c r="BO418" s="946"/>
      <c r="BP418" s="276"/>
    </row>
    <row r="419" spans="1:96" ht="14.25" customHeight="1" x14ac:dyDescent="0.3">
      <c r="A419" s="960"/>
      <c r="B419" s="960"/>
      <c r="C419" s="960"/>
      <c r="D419" s="944"/>
      <c r="E419" s="277"/>
      <c r="F419" s="131" t="s">
        <v>598</v>
      </c>
      <c r="G419" s="275"/>
      <c r="H419" s="275"/>
      <c r="I419" s="275"/>
      <c r="J419" s="275"/>
      <c r="K419" s="275"/>
      <c r="L419" s="963"/>
      <c r="M419" s="946"/>
      <c r="N419" s="946"/>
      <c r="O419" s="946"/>
      <c r="P419" s="946"/>
      <c r="Q419" s="946"/>
      <c r="R419" s="946"/>
      <c r="S419" s="946"/>
      <c r="T419" s="946"/>
      <c r="U419" s="946"/>
      <c r="V419" s="946"/>
      <c r="W419" s="946"/>
      <c r="X419" s="946"/>
      <c r="Y419" s="946"/>
      <c r="Z419" s="946"/>
      <c r="AA419" s="946"/>
      <c r="AB419" s="946"/>
      <c r="AC419" s="946"/>
      <c r="AD419" s="946"/>
      <c r="AE419" s="946"/>
      <c r="AF419" s="946"/>
      <c r="AG419" s="946"/>
      <c r="AH419" s="946"/>
      <c r="AI419" s="946"/>
      <c r="AJ419" s="946"/>
      <c r="AK419" s="946"/>
      <c r="AL419" s="946"/>
      <c r="AM419" s="946"/>
      <c r="AN419" s="946"/>
      <c r="AO419" s="946"/>
      <c r="AP419" s="946"/>
      <c r="AQ419" s="946"/>
      <c r="AR419" s="946"/>
      <c r="AS419" s="946"/>
      <c r="AT419" s="946"/>
      <c r="AU419" s="946"/>
      <c r="AV419" s="946"/>
      <c r="AW419" s="946"/>
      <c r="AX419" s="946"/>
      <c r="AY419" s="946"/>
      <c r="AZ419" s="946"/>
      <c r="BA419" s="946"/>
      <c r="BB419" s="946"/>
      <c r="BC419" s="946"/>
      <c r="BD419" s="946"/>
      <c r="BE419" s="946"/>
      <c r="BF419" s="946"/>
      <c r="BG419" s="946"/>
      <c r="BH419" s="946"/>
      <c r="BI419" s="946"/>
      <c r="BJ419" s="946"/>
      <c r="BK419" s="946"/>
      <c r="BL419" s="946"/>
      <c r="BM419" s="946"/>
      <c r="BN419" s="946"/>
      <c r="BO419" s="946"/>
      <c r="BP419" s="276"/>
    </row>
    <row r="420" spans="1:96" ht="14.25" customHeight="1" x14ac:dyDescent="0.3">
      <c r="A420" s="1199" t="s">
        <v>599</v>
      </c>
      <c r="B420" s="964"/>
      <c r="C420" s="964"/>
      <c r="D420" s="944"/>
      <c r="E420" s="1201"/>
      <c r="F420" s="128" t="s">
        <v>600</v>
      </c>
      <c r="G420" s="281">
        <f t="shared" ref="G420:R420" si="357">G102*0.23</f>
        <v>0.65560695000000002</v>
      </c>
      <c r="H420" s="281">
        <f t="shared" si="357"/>
        <v>0.48239188</v>
      </c>
      <c r="I420" s="281">
        <f t="shared" si="357"/>
        <v>0.60928173000000008</v>
      </c>
      <c r="J420" s="281">
        <f t="shared" si="357"/>
        <v>0.53287274000000007</v>
      </c>
      <c r="K420" s="281">
        <f t="shared" si="357"/>
        <v>0.79775730000000011</v>
      </c>
      <c r="L420" s="282">
        <f t="shared" si="357"/>
        <v>0.96040156999999993</v>
      </c>
      <c r="M420" s="282">
        <f t="shared" si="357"/>
        <v>0.71853587000000008</v>
      </c>
      <c r="N420" s="282">
        <f t="shared" si="357"/>
        <v>0.75347839000000005</v>
      </c>
      <c r="O420" s="282">
        <f t="shared" si="357"/>
        <v>0.64072388000000002</v>
      </c>
      <c r="P420" s="282">
        <f t="shared" si="357"/>
        <v>0.52346804000000002</v>
      </c>
      <c r="Q420" s="282">
        <f t="shared" si="357"/>
        <v>0.56265175999999995</v>
      </c>
      <c r="R420" s="282">
        <f t="shared" si="357"/>
        <v>0.5563366500000001</v>
      </c>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76"/>
    </row>
    <row r="421" spans="1:96" ht="14.25" customHeight="1" x14ac:dyDescent="0.3">
      <c r="A421" s="982"/>
      <c r="D421" s="944"/>
      <c r="E421" s="1201"/>
      <c r="F421" s="128" t="s">
        <v>601</v>
      </c>
      <c r="G421" s="145">
        <f t="shared" ref="G421:R421" si="358">G102*0.14</f>
        <v>0.39906510000000001</v>
      </c>
      <c r="H421" s="145">
        <f t="shared" si="358"/>
        <v>0.29362984000000003</v>
      </c>
      <c r="I421" s="145">
        <f t="shared" si="358"/>
        <v>0.37086714000000004</v>
      </c>
      <c r="J421" s="145">
        <f t="shared" si="358"/>
        <v>0.32435732000000006</v>
      </c>
      <c r="K421" s="145">
        <f t="shared" si="358"/>
        <v>0.48559140000000006</v>
      </c>
      <c r="L421" s="284">
        <f t="shared" si="358"/>
        <v>0.58459225999999997</v>
      </c>
      <c r="M421" s="284">
        <f t="shared" si="358"/>
        <v>0.43736966000000005</v>
      </c>
      <c r="N421" s="284">
        <f t="shared" si="358"/>
        <v>0.45863902000000006</v>
      </c>
      <c r="O421" s="284">
        <f t="shared" si="358"/>
        <v>0.39000584000000005</v>
      </c>
      <c r="P421" s="284">
        <f t="shared" si="358"/>
        <v>0.31863272000000004</v>
      </c>
      <c r="Q421" s="284">
        <f t="shared" si="358"/>
        <v>0.34248368000000001</v>
      </c>
      <c r="R421" s="284">
        <f t="shared" si="358"/>
        <v>0.33863970000000004</v>
      </c>
      <c r="S421" s="946"/>
      <c r="T421" s="946"/>
      <c r="U421" s="946"/>
      <c r="V421" s="946"/>
      <c r="W421" s="946"/>
      <c r="X421" s="946"/>
      <c r="Y421" s="946"/>
      <c r="Z421" s="946"/>
      <c r="AA421" s="946"/>
      <c r="AB421" s="946"/>
      <c r="AC421" s="946"/>
      <c r="AD421" s="946"/>
      <c r="AE421" s="946"/>
      <c r="AF421" s="946"/>
      <c r="AG421" s="946"/>
      <c r="AH421" s="946"/>
      <c r="AI421" s="946"/>
      <c r="AJ421" s="946"/>
      <c r="AK421" s="946"/>
      <c r="AL421" s="946"/>
      <c r="AM421" s="946"/>
      <c r="AN421" s="946"/>
      <c r="AO421" s="946"/>
      <c r="AP421" s="946"/>
      <c r="AQ421" s="946"/>
      <c r="AR421" s="946"/>
      <c r="AS421" s="946"/>
      <c r="AT421" s="946"/>
      <c r="AU421" s="946"/>
      <c r="AV421" s="946"/>
      <c r="AW421" s="946"/>
      <c r="AX421" s="946"/>
      <c r="AY421" s="946"/>
      <c r="AZ421" s="946"/>
      <c r="BA421" s="946"/>
      <c r="BB421" s="946"/>
      <c r="BC421" s="946"/>
      <c r="BD421" s="946"/>
      <c r="BE421" s="946"/>
      <c r="BF421" s="946"/>
      <c r="BG421" s="946"/>
      <c r="BH421" s="946"/>
      <c r="BI421" s="946"/>
      <c r="BJ421" s="946"/>
      <c r="BK421" s="946"/>
      <c r="BL421" s="946"/>
      <c r="BM421" s="946"/>
      <c r="BN421" s="946"/>
      <c r="BO421" s="946"/>
      <c r="BP421" s="276"/>
    </row>
    <row r="422" spans="1:96" ht="14.25" customHeight="1" x14ac:dyDescent="0.3">
      <c r="A422" s="982"/>
      <c r="D422" s="944"/>
      <c r="E422" s="1201"/>
      <c r="F422" s="128" t="s">
        <v>602</v>
      </c>
      <c r="G422" s="145">
        <f t="shared" ref="G422:R422" si="359">G102*0.07</f>
        <v>0.19953255</v>
      </c>
      <c r="H422" s="145">
        <f t="shared" si="359"/>
        <v>0.14681492000000002</v>
      </c>
      <c r="I422" s="145">
        <f t="shared" si="359"/>
        <v>0.18543357000000002</v>
      </c>
      <c r="J422" s="145">
        <f t="shared" si="359"/>
        <v>0.16217866000000003</v>
      </c>
      <c r="K422" s="145">
        <f t="shared" si="359"/>
        <v>0.24279570000000003</v>
      </c>
      <c r="L422" s="284">
        <f t="shared" si="359"/>
        <v>0.29229612999999999</v>
      </c>
      <c r="M422" s="284">
        <f t="shared" si="359"/>
        <v>0.21868483000000002</v>
      </c>
      <c r="N422" s="284">
        <f t="shared" si="359"/>
        <v>0.22931951000000003</v>
      </c>
      <c r="O422" s="284">
        <f t="shared" si="359"/>
        <v>0.19500292000000002</v>
      </c>
      <c r="P422" s="284">
        <f t="shared" si="359"/>
        <v>0.15931636000000002</v>
      </c>
      <c r="Q422" s="284">
        <f t="shared" si="359"/>
        <v>0.17124184000000001</v>
      </c>
      <c r="R422" s="284">
        <f t="shared" si="359"/>
        <v>0.16931985000000002</v>
      </c>
      <c r="S422" s="946"/>
      <c r="T422" s="946"/>
      <c r="U422" s="946"/>
      <c r="V422" s="946"/>
      <c r="W422" s="946"/>
      <c r="X422" s="946"/>
      <c r="Y422" s="946"/>
      <c r="Z422" s="946"/>
      <c r="AA422" s="946"/>
      <c r="AB422" s="946"/>
      <c r="AC422" s="946"/>
      <c r="AD422" s="946"/>
      <c r="AE422" s="946"/>
      <c r="AF422" s="946"/>
      <c r="AG422" s="946"/>
      <c r="AH422" s="946"/>
      <c r="AI422" s="946"/>
      <c r="AJ422" s="946"/>
      <c r="AK422" s="946"/>
      <c r="AL422" s="946"/>
      <c r="AM422" s="946"/>
      <c r="AN422" s="946"/>
      <c r="AO422" s="946"/>
      <c r="AP422" s="946"/>
      <c r="AQ422" s="946"/>
      <c r="AR422" s="946"/>
      <c r="AS422" s="946"/>
      <c r="AT422" s="946"/>
      <c r="AU422" s="946"/>
      <c r="AV422" s="946"/>
      <c r="AW422" s="946"/>
      <c r="AX422" s="946"/>
      <c r="AY422" s="946"/>
      <c r="AZ422" s="946"/>
      <c r="BA422" s="946"/>
      <c r="BB422" s="946"/>
      <c r="BC422" s="946"/>
      <c r="BD422" s="946"/>
      <c r="BE422" s="946"/>
      <c r="BF422" s="946"/>
      <c r="BG422" s="946"/>
      <c r="BH422" s="946"/>
      <c r="BI422" s="946"/>
      <c r="BJ422" s="946"/>
      <c r="BK422" s="946"/>
      <c r="BL422" s="946"/>
      <c r="BM422" s="946"/>
      <c r="BN422" s="946"/>
      <c r="BO422" s="946"/>
      <c r="BP422" s="276"/>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row>
    <row r="423" spans="1:96" ht="14.25" customHeight="1" x14ac:dyDescent="0.3">
      <c r="A423" s="982"/>
      <c r="D423" s="944"/>
      <c r="E423" s="1201"/>
      <c r="F423" s="128" t="s">
        <v>603</v>
      </c>
      <c r="G423" s="285">
        <f t="shared" ref="G423:R423" si="360">G102*0.06</f>
        <v>0.17102789999999998</v>
      </c>
      <c r="H423" s="285">
        <f t="shared" si="360"/>
        <v>0.12584135999999999</v>
      </c>
      <c r="I423" s="285">
        <f t="shared" si="360"/>
        <v>0.15894306</v>
      </c>
      <c r="J423" s="285">
        <f t="shared" si="360"/>
        <v>0.13901028000000001</v>
      </c>
      <c r="K423" s="285">
        <f t="shared" si="360"/>
        <v>0.20811060000000001</v>
      </c>
      <c r="L423" s="286">
        <f t="shared" si="360"/>
        <v>0.25053953999999995</v>
      </c>
      <c r="M423" s="286">
        <f t="shared" si="360"/>
        <v>0.18744413999999998</v>
      </c>
      <c r="N423" s="286">
        <f t="shared" si="360"/>
        <v>0.19655958000000001</v>
      </c>
      <c r="O423" s="286">
        <f t="shared" si="360"/>
        <v>0.16714535999999999</v>
      </c>
      <c r="P423" s="286">
        <f t="shared" si="360"/>
        <v>0.13655687999999999</v>
      </c>
      <c r="Q423" s="286">
        <f t="shared" si="360"/>
        <v>0.14677871999999997</v>
      </c>
      <c r="R423" s="286">
        <f t="shared" si="360"/>
        <v>0.14513130000000002</v>
      </c>
      <c r="S423" s="287"/>
      <c r="T423" s="287"/>
      <c r="U423" s="287"/>
      <c r="V423" s="287"/>
      <c r="W423" s="287"/>
      <c r="X423" s="287"/>
      <c r="Y423" s="287"/>
      <c r="Z423" s="287"/>
      <c r="AA423" s="287"/>
      <c r="AB423" s="287"/>
      <c r="AC423" s="287"/>
      <c r="AD423" s="287"/>
      <c r="AE423" s="287"/>
      <c r="AF423" s="287"/>
      <c r="AG423" s="287"/>
      <c r="AH423" s="287"/>
      <c r="AI423" s="287"/>
      <c r="AJ423" s="287"/>
      <c r="AK423" s="287"/>
      <c r="AL423" s="287"/>
      <c r="AM423" s="287"/>
      <c r="AN423" s="287"/>
      <c r="AO423" s="287"/>
      <c r="AP423" s="287"/>
      <c r="AQ423" s="287"/>
      <c r="AR423" s="287"/>
      <c r="AS423" s="287"/>
      <c r="AT423" s="287"/>
      <c r="AU423" s="287"/>
      <c r="AV423" s="287"/>
      <c r="AW423" s="287"/>
      <c r="AX423" s="287"/>
      <c r="AY423" s="287"/>
      <c r="AZ423" s="287"/>
      <c r="BA423" s="287"/>
      <c r="BB423" s="287"/>
      <c r="BC423" s="287"/>
      <c r="BD423" s="287"/>
      <c r="BE423" s="287"/>
      <c r="BF423" s="287"/>
      <c r="BG423" s="287"/>
      <c r="BH423" s="287"/>
      <c r="BI423" s="287"/>
      <c r="BJ423" s="287"/>
      <c r="BK423" s="287"/>
      <c r="BL423" s="287"/>
      <c r="BM423" s="287"/>
      <c r="BN423" s="287"/>
      <c r="BO423" s="287"/>
      <c r="BP423" s="276"/>
    </row>
    <row r="424" spans="1:96" ht="14.25" customHeight="1" x14ac:dyDescent="0.3">
      <c r="A424" s="982"/>
      <c r="D424" s="944"/>
      <c r="E424" s="1201"/>
      <c r="F424" s="128" t="s">
        <v>604</v>
      </c>
      <c r="G424" s="145">
        <f t="shared" ref="G424:R424" si="361">G102*0.45</f>
        <v>1.2827092499999999</v>
      </c>
      <c r="H424" s="145">
        <f t="shared" si="361"/>
        <v>0.94381020000000004</v>
      </c>
      <c r="I424" s="145">
        <f t="shared" si="361"/>
        <v>1.19207295</v>
      </c>
      <c r="J424" s="145">
        <f t="shared" si="361"/>
        <v>1.0425771000000001</v>
      </c>
      <c r="K424" s="145">
        <f t="shared" si="361"/>
        <v>1.5608295000000001</v>
      </c>
      <c r="L424" s="284">
        <f t="shared" si="361"/>
        <v>1.8790465499999998</v>
      </c>
      <c r="M424" s="284">
        <f t="shared" si="361"/>
        <v>1.40583105</v>
      </c>
      <c r="N424" s="284">
        <f t="shared" si="361"/>
        <v>1.47419685</v>
      </c>
      <c r="O424" s="284">
        <f t="shared" si="361"/>
        <v>1.2535902000000001</v>
      </c>
      <c r="P424" s="284">
        <f t="shared" si="361"/>
        <v>1.0241766000000001</v>
      </c>
      <c r="Q424" s="284">
        <f t="shared" si="361"/>
        <v>1.1008404000000001</v>
      </c>
      <c r="R424" s="284">
        <f t="shared" si="361"/>
        <v>1.0884847500000001</v>
      </c>
      <c r="S424" s="946"/>
      <c r="T424" s="946"/>
      <c r="U424" s="946"/>
      <c r="V424" s="946"/>
      <c r="W424" s="946"/>
      <c r="X424" s="946"/>
      <c r="Y424" s="946"/>
      <c r="Z424" s="946"/>
      <c r="AA424" s="946"/>
      <c r="AB424" s="946"/>
      <c r="AC424" s="946"/>
      <c r="AD424" s="946"/>
      <c r="AE424" s="946"/>
      <c r="AF424" s="946"/>
      <c r="AG424" s="946"/>
      <c r="AH424" s="946"/>
      <c r="AI424" s="946"/>
      <c r="AJ424" s="946"/>
      <c r="AK424" s="946"/>
      <c r="AL424" s="946"/>
      <c r="AM424" s="946"/>
      <c r="AN424" s="946"/>
      <c r="AO424" s="946"/>
      <c r="AP424" s="946"/>
      <c r="AQ424" s="946"/>
      <c r="AR424" s="946"/>
      <c r="AS424" s="946"/>
      <c r="AT424" s="946"/>
      <c r="AU424" s="946"/>
      <c r="AV424" s="946"/>
      <c r="AW424" s="946"/>
      <c r="AX424" s="946"/>
      <c r="AY424" s="946"/>
      <c r="AZ424" s="946"/>
      <c r="BA424" s="946"/>
      <c r="BB424" s="946"/>
      <c r="BC424" s="946"/>
      <c r="BD424" s="946"/>
      <c r="BE424" s="946"/>
      <c r="BF424" s="946"/>
      <c r="BG424" s="946"/>
      <c r="BH424" s="946"/>
      <c r="BI424" s="946"/>
      <c r="BJ424" s="946"/>
      <c r="BK424" s="946"/>
      <c r="BL424" s="946"/>
      <c r="BM424" s="946"/>
      <c r="BN424" s="946"/>
      <c r="BO424" s="946"/>
      <c r="BP424" s="276"/>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row>
    <row r="425" spans="1:96" ht="14.25" customHeight="1" x14ac:dyDescent="0.3">
      <c r="A425" s="982"/>
      <c r="D425" s="944"/>
      <c r="E425" s="1201"/>
      <c r="F425" s="128" t="s">
        <v>605</v>
      </c>
      <c r="G425" s="281">
        <f t="shared" ref="G425:R425" si="362">G102*0.05</f>
        <v>0.14252324999999999</v>
      </c>
      <c r="H425" s="281">
        <f t="shared" si="362"/>
        <v>0.10486780000000001</v>
      </c>
      <c r="I425" s="281">
        <f t="shared" si="362"/>
        <v>0.13245255</v>
      </c>
      <c r="J425" s="281">
        <f t="shared" si="362"/>
        <v>0.11584190000000001</v>
      </c>
      <c r="K425" s="281">
        <f t="shared" si="362"/>
        <v>0.17342550000000001</v>
      </c>
      <c r="L425" s="282">
        <f t="shared" si="362"/>
        <v>0.20878294999999999</v>
      </c>
      <c r="M425" s="282">
        <f t="shared" si="362"/>
        <v>0.15620345000000002</v>
      </c>
      <c r="N425" s="282">
        <f t="shared" si="362"/>
        <v>0.16379965000000002</v>
      </c>
      <c r="O425" s="282">
        <f t="shared" si="362"/>
        <v>0.13928780000000002</v>
      </c>
      <c r="P425" s="282">
        <f t="shared" si="362"/>
        <v>0.11379740000000001</v>
      </c>
      <c r="Q425" s="282">
        <f t="shared" si="362"/>
        <v>0.1223156</v>
      </c>
      <c r="R425" s="282">
        <f t="shared" si="362"/>
        <v>0.12094275000000002</v>
      </c>
      <c r="S425" s="287"/>
      <c r="T425" s="287"/>
      <c r="U425" s="287"/>
      <c r="V425" s="287"/>
      <c r="W425" s="287"/>
      <c r="X425" s="287"/>
      <c r="Y425" s="287"/>
      <c r="Z425" s="287"/>
      <c r="AA425" s="287"/>
      <c r="AB425" s="287"/>
      <c r="AC425" s="287"/>
      <c r="AD425" s="287"/>
      <c r="AE425" s="287"/>
      <c r="AF425" s="287"/>
      <c r="AG425" s="287"/>
      <c r="AH425" s="287"/>
      <c r="AI425" s="287"/>
      <c r="AJ425" s="287"/>
      <c r="AK425" s="287"/>
      <c r="AL425" s="287"/>
      <c r="AM425" s="287"/>
      <c r="AN425" s="287"/>
      <c r="AO425" s="287"/>
      <c r="AP425" s="287"/>
      <c r="AQ425" s="287"/>
      <c r="AR425" s="287"/>
      <c r="AS425" s="287"/>
      <c r="AT425" s="287"/>
      <c r="AU425" s="287"/>
      <c r="AV425" s="287"/>
      <c r="AW425" s="287"/>
      <c r="AX425" s="287"/>
      <c r="AY425" s="287"/>
      <c r="AZ425" s="287"/>
      <c r="BA425" s="287"/>
      <c r="BB425" s="287"/>
      <c r="BC425" s="287"/>
      <c r="BD425" s="287"/>
      <c r="BE425" s="287"/>
      <c r="BF425" s="287"/>
      <c r="BG425" s="287"/>
      <c r="BH425" s="287"/>
      <c r="BI425" s="287"/>
      <c r="BJ425" s="287"/>
      <c r="BK425" s="287"/>
      <c r="BL425" s="287"/>
      <c r="BM425" s="287"/>
      <c r="BN425" s="287"/>
      <c r="BO425" s="287"/>
      <c r="BP425" s="276"/>
    </row>
    <row r="426" spans="1:96" ht="13.5" customHeight="1" x14ac:dyDescent="0.3">
      <c r="A426" s="960"/>
      <c r="B426" s="960"/>
      <c r="C426" s="960"/>
      <c r="D426" s="944"/>
      <c r="E426" s="274"/>
      <c r="F426" s="279"/>
      <c r="G426" s="279"/>
      <c r="H426" s="279"/>
      <c r="I426" s="279"/>
      <c r="J426" s="279"/>
      <c r="K426" s="279"/>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c r="BA426" s="280"/>
      <c r="BB426" s="280"/>
      <c r="BC426" s="280"/>
      <c r="BD426" s="280"/>
      <c r="BE426" s="280"/>
      <c r="BF426" s="280"/>
      <c r="BG426" s="280"/>
      <c r="BH426" s="280"/>
      <c r="BI426" s="280"/>
      <c r="BJ426" s="280"/>
      <c r="BK426" s="280"/>
      <c r="BL426" s="280"/>
      <c r="BM426" s="280"/>
      <c r="BN426" s="280"/>
      <c r="BO426" s="280"/>
      <c r="BP426" s="276"/>
    </row>
    <row r="427" spans="1:96" ht="14.25" customHeight="1" x14ac:dyDescent="0.3">
      <c r="A427" s="960"/>
      <c r="B427" s="960"/>
      <c r="C427" s="960"/>
      <c r="D427" s="944"/>
      <c r="E427" s="274"/>
      <c r="F427" s="127" t="s">
        <v>606</v>
      </c>
      <c r="G427" s="275"/>
      <c r="H427" s="275"/>
      <c r="I427" s="275"/>
      <c r="J427" s="275"/>
      <c r="K427" s="275"/>
      <c r="L427" s="963"/>
      <c r="M427" s="946"/>
      <c r="N427" s="946"/>
      <c r="O427" s="946"/>
      <c r="P427" s="946"/>
      <c r="Q427" s="946"/>
      <c r="R427" s="946"/>
      <c r="S427" s="946"/>
      <c r="T427" s="946"/>
      <c r="U427" s="946"/>
      <c r="V427" s="946"/>
      <c r="W427" s="946"/>
      <c r="X427" s="946"/>
      <c r="Y427" s="946"/>
      <c r="Z427" s="946"/>
      <c r="AA427" s="946"/>
      <c r="AB427" s="946"/>
      <c r="AC427" s="946"/>
      <c r="AD427" s="946"/>
      <c r="AE427" s="946"/>
      <c r="AF427" s="946"/>
      <c r="AG427" s="946"/>
      <c r="AH427" s="946"/>
      <c r="AI427" s="946"/>
      <c r="AJ427" s="946"/>
      <c r="AK427" s="946"/>
      <c r="AL427" s="946"/>
      <c r="AM427" s="946"/>
      <c r="AN427" s="946"/>
      <c r="AO427" s="946"/>
      <c r="AP427" s="946"/>
      <c r="AQ427" s="946"/>
      <c r="AR427" s="946"/>
      <c r="AS427" s="946"/>
      <c r="AT427" s="946"/>
      <c r="AU427" s="946"/>
      <c r="AV427" s="946"/>
      <c r="AW427" s="946"/>
      <c r="AX427" s="946"/>
      <c r="AY427" s="946"/>
      <c r="AZ427" s="946"/>
      <c r="BA427" s="946"/>
      <c r="BB427" s="946"/>
      <c r="BC427" s="946"/>
      <c r="BD427" s="946"/>
      <c r="BE427" s="946"/>
      <c r="BF427" s="946"/>
      <c r="BG427" s="946"/>
      <c r="BH427" s="946"/>
      <c r="BI427" s="946"/>
      <c r="BJ427" s="946"/>
      <c r="BK427" s="946"/>
      <c r="BL427" s="946"/>
      <c r="BM427" s="946"/>
      <c r="BN427" s="946"/>
      <c r="BO427" s="946"/>
      <c r="BP427" s="276"/>
    </row>
    <row r="428" spans="1:96" ht="14.25" customHeight="1" x14ac:dyDescent="0.3">
      <c r="A428" s="960"/>
      <c r="B428" s="960"/>
      <c r="C428" s="960"/>
      <c r="D428" s="944"/>
      <c r="E428" s="277"/>
      <c r="F428" s="131" t="s">
        <v>607</v>
      </c>
      <c r="G428" s="275"/>
      <c r="H428" s="275"/>
      <c r="I428" s="275"/>
      <c r="J428" s="275"/>
      <c r="K428" s="275"/>
      <c r="L428" s="963"/>
      <c r="M428" s="946"/>
      <c r="N428" s="946"/>
      <c r="O428" s="946"/>
      <c r="P428" s="946"/>
      <c r="Q428" s="946"/>
      <c r="R428" s="946"/>
      <c r="S428" s="946"/>
      <c r="T428" s="946"/>
      <c r="U428" s="946"/>
      <c r="V428" s="946"/>
      <c r="W428" s="946"/>
      <c r="X428" s="946"/>
      <c r="Y428" s="946"/>
      <c r="Z428" s="946"/>
      <c r="AA428" s="946"/>
      <c r="AB428" s="946"/>
      <c r="AC428" s="946"/>
      <c r="AD428" s="946"/>
      <c r="AE428" s="946"/>
      <c r="AF428" s="946"/>
      <c r="AG428" s="946"/>
      <c r="AH428" s="946"/>
      <c r="AI428" s="946"/>
      <c r="AJ428" s="946"/>
      <c r="AK428" s="946"/>
      <c r="AL428" s="946"/>
      <c r="AM428" s="946"/>
      <c r="AN428" s="946"/>
      <c r="AO428" s="946"/>
      <c r="AP428" s="946"/>
      <c r="AQ428" s="946"/>
      <c r="AR428" s="946"/>
      <c r="AS428" s="946"/>
      <c r="AT428" s="946"/>
      <c r="AU428" s="946"/>
      <c r="AV428" s="946"/>
      <c r="AW428" s="946"/>
      <c r="AX428" s="946"/>
      <c r="AY428" s="946"/>
      <c r="AZ428" s="946"/>
      <c r="BA428" s="946"/>
      <c r="BB428" s="946"/>
      <c r="BC428" s="946"/>
      <c r="BD428" s="946"/>
      <c r="BE428" s="946"/>
      <c r="BF428" s="946"/>
      <c r="BG428" s="946"/>
      <c r="BH428" s="946"/>
      <c r="BI428" s="946"/>
      <c r="BJ428" s="946"/>
      <c r="BK428" s="946"/>
      <c r="BL428" s="946"/>
      <c r="BM428" s="946"/>
      <c r="BN428" s="946"/>
      <c r="BO428" s="946"/>
      <c r="BP428" s="276"/>
    </row>
    <row r="429" spans="1:96" ht="14.25" customHeight="1" x14ac:dyDescent="0.3">
      <c r="A429" s="1178"/>
      <c r="B429" s="960"/>
      <c r="C429" s="960"/>
      <c r="D429" s="944"/>
      <c r="E429" s="1201"/>
      <c r="F429" s="128" t="s">
        <v>608</v>
      </c>
      <c r="G429" s="281">
        <f t="shared" ref="G429:R429" si="363">G100/3</f>
        <v>2.782394</v>
      </c>
      <c r="H429" s="281">
        <f t="shared" si="363"/>
        <v>2.7106063333333332</v>
      </c>
      <c r="I429" s="281">
        <f t="shared" si="363"/>
        <v>2.4596406666666666</v>
      </c>
      <c r="J429" s="281">
        <f t="shared" si="363"/>
        <v>2.3860883333333334</v>
      </c>
      <c r="K429" s="281">
        <f t="shared" si="363"/>
        <v>2.7504353333333333</v>
      </c>
      <c r="L429" s="282">
        <f t="shared" si="363"/>
        <v>3.3687016666666665</v>
      </c>
      <c r="M429" s="282">
        <f t="shared" si="363"/>
        <v>2.887203</v>
      </c>
      <c r="N429" s="282">
        <f t="shared" si="363"/>
        <v>3.1149943333333332</v>
      </c>
      <c r="O429" s="282">
        <f t="shared" si="363"/>
        <v>2.6135449999999998</v>
      </c>
      <c r="P429" s="282">
        <f t="shared" si="363"/>
        <v>3.3629566666666668</v>
      </c>
      <c r="Q429" s="282">
        <f t="shared" si="363"/>
        <v>3.7967483333333334</v>
      </c>
      <c r="R429" s="282">
        <f t="shared" si="363"/>
        <v>3.8905666666666665</v>
      </c>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76"/>
    </row>
    <row r="430" spans="1:96" ht="14.25" customHeight="1" x14ac:dyDescent="0.3">
      <c r="A430" s="982"/>
      <c r="D430" s="944"/>
      <c r="E430" s="1201"/>
      <c r="F430" s="128" t="s">
        <v>609</v>
      </c>
      <c r="G430" s="145">
        <f t="shared" ref="G430:R430" si="364">G100/3</f>
        <v>2.782394</v>
      </c>
      <c r="H430" s="145">
        <f t="shared" si="364"/>
        <v>2.7106063333333332</v>
      </c>
      <c r="I430" s="145">
        <f t="shared" si="364"/>
        <v>2.4596406666666666</v>
      </c>
      <c r="J430" s="145">
        <f t="shared" si="364"/>
        <v>2.3860883333333334</v>
      </c>
      <c r="K430" s="145">
        <f t="shared" si="364"/>
        <v>2.7504353333333333</v>
      </c>
      <c r="L430" s="284">
        <f t="shared" si="364"/>
        <v>3.3687016666666665</v>
      </c>
      <c r="M430" s="284">
        <f t="shared" si="364"/>
        <v>2.887203</v>
      </c>
      <c r="N430" s="284">
        <f t="shared" si="364"/>
        <v>3.1149943333333332</v>
      </c>
      <c r="O430" s="284">
        <f t="shared" si="364"/>
        <v>2.6135449999999998</v>
      </c>
      <c r="P430" s="284">
        <f t="shared" si="364"/>
        <v>3.3629566666666668</v>
      </c>
      <c r="Q430" s="284">
        <f t="shared" si="364"/>
        <v>3.7967483333333334</v>
      </c>
      <c r="R430" s="284">
        <f t="shared" si="364"/>
        <v>3.8905666666666665</v>
      </c>
      <c r="S430" s="946"/>
      <c r="T430" s="946"/>
      <c r="U430" s="946"/>
      <c r="V430" s="946"/>
      <c r="W430" s="946"/>
      <c r="X430" s="946"/>
      <c r="Y430" s="946"/>
      <c r="Z430" s="946"/>
      <c r="AA430" s="946"/>
      <c r="AB430" s="946"/>
      <c r="AC430" s="946"/>
      <c r="AD430" s="946"/>
      <c r="AE430" s="946"/>
      <c r="AF430" s="946"/>
      <c r="AG430" s="946"/>
      <c r="AH430" s="946"/>
      <c r="AI430" s="946"/>
      <c r="AJ430" s="946"/>
      <c r="AK430" s="946"/>
      <c r="AL430" s="946"/>
      <c r="AM430" s="946"/>
      <c r="AN430" s="946"/>
      <c r="AO430" s="946"/>
      <c r="AP430" s="946"/>
      <c r="AQ430" s="946"/>
      <c r="AR430" s="946"/>
      <c r="AS430" s="946"/>
      <c r="AT430" s="946"/>
      <c r="AU430" s="946"/>
      <c r="AV430" s="946"/>
      <c r="AW430" s="946"/>
      <c r="AX430" s="946"/>
      <c r="AY430" s="946"/>
      <c r="AZ430" s="946"/>
      <c r="BA430" s="946"/>
      <c r="BB430" s="946"/>
      <c r="BC430" s="946"/>
      <c r="BD430" s="946"/>
      <c r="BE430" s="946"/>
      <c r="BF430" s="946"/>
      <c r="BG430" s="946"/>
      <c r="BH430" s="946"/>
      <c r="BI430" s="946"/>
      <c r="BJ430" s="946"/>
      <c r="BK430" s="946"/>
      <c r="BL430" s="946"/>
      <c r="BM430" s="946"/>
      <c r="BN430" s="946"/>
      <c r="BO430" s="946"/>
      <c r="BP430" s="276"/>
    </row>
    <row r="431" spans="1:96" ht="14.25" customHeight="1" x14ac:dyDescent="0.3">
      <c r="A431" s="982"/>
      <c r="D431" s="944"/>
      <c r="E431" s="1201"/>
      <c r="F431" s="128" t="s">
        <v>610</v>
      </c>
      <c r="G431" s="145">
        <f t="shared" ref="G431:R431" si="365">G100/3</f>
        <v>2.782394</v>
      </c>
      <c r="H431" s="145">
        <f t="shared" si="365"/>
        <v>2.7106063333333332</v>
      </c>
      <c r="I431" s="145">
        <f t="shared" si="365"/>
        <v>2.4596406666666666</v>
      </c>
      <c r="J431" s="145">
        <f t="shared" si="365"/>
        <v>2.3860883333333334</v>
      </c>
      <c r="K431" s="145">
        <f t="shared" si="365"/>
        <v>2.7504353333333333</v>
      </c>
      <c r="L431" s="284">
        <f t="shared" si="365"/>
        <v>3.3687016666666665</v>
      </c>
      <c r="M431" s="284">
        <f t="shared" si="365"/>
        <v>2.887203</v>
      </c>
      <c r="N431" s="284">
        <f t="shared" si="365"/>
        <v>3.1149943333333332</v>
      </c>
      <c r="O431" s="284">
        <f t="shared" si="365"/>
        <v>2.6135449999999998</v>
      </c>
      <c r="P431" s="284">
        <f t="shared" si="365"/>
        <v>3.3629566666666668</v>
      </c>
      <c r="Q431" s="284">
        <f t="shared" si="365"/>
        <v>3.7967483333333334</v>
      </c>
      <c r="R431" s="284">
        <f t="shared" si="365"/>
        <v>3.8905666666666665</v>
      </c>
      <c r="S431" s="946"/>
      <c r="T431" s="946"/>
      <c r="U431" s="946"/>
      <c r="V431" s="946"/>
      <c r="W431" s="946"/>
      <c r="X431" s="946"/>
      <c r="Y431" s="946"/>
      <c r="Z431" s="946"/>
      <c r="AA431" s="946"/>
      <c r="AB431" s="946"/>
      <c r="AC431" s="946"/>
      <c r="AD431" s="946"/>
      <c r="AE431" s="946"/>
      <c r="AF431" s="946"/>
      <c r="AG431" s="946"/>
      <c r="AH431" s="946"/>
      <c r="AI431" s="946"/>
      <c r="AJ431" s="946"/>
      <c r="AK431" s="946"/>
      <c r="AL431" s="946"/>
      <c r="AM431" s="946"/>
      <c r="AN431" s="946"/>
      <c r="AO431" s="946"/>
      <c r="AP431" s="946"/>
      <c r="AQ431" s="946"/>
      <c r="AR431" s="946"/>
      <c r="AS431" s="946"/>
      <c r="AT431" s="946"/>
      <c r="AU431" s="946"/>
      <c r="AV431" s="946"/>
      <c r="AW431" s="946"/>
      <c r="AX431" s="946"/>
      <c r="AY431" s="946"/>
      <c r="AZ431" s="946"/>
      <c r="BA431" s="946"/>
      <c r="BB431" s="946"/>
      <c r="BC431" s="946"/>
      <c r="BD431" s="946"/>
      <c r="BE431" s="946"/>
      <c r="BF431" s="946"/>
      <c r="BG431" s="946"/>
      <c r="BH431" s="946"/>
      <c r="BI431" s="946"/>
      <c r="BJ431" s="946"/>
      <c r="BK431" s="946"/>
      <c r="BL431" s="946"/>
      <c r="BM431" s="946"/>
      <c r="BN431" s="946"/>
      <c r="BO431" s="946"/>
      <c r="BP431" s="276"/>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row>
    <row r="432" spans="1:96" ht="14.25" customHeight="1" thickBot="1" x14ac:dyDescent="0.35">
      <c r="A432" s="960"/>
      <c r="B432" s="960"/>
      <c r="C432" s="960"/>
      <c r="D432" s="944"/>
      <c r="E432" s="70"/>
      <c r="F432" s="288"/>
      <c r="G432" s="288"/>
      <c r="H432" s="288"/>
      <c r="I432" s="288"/>
      <c r="J432" s="288"/>
      <c r="K432" s="288"/>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c r="AZ432" s="289"/>
      <c r="BA432" s="289"/>
      <c r="BB432" s="289"/>
      <c r="BC432" s="289"/>
      <c r="BD432" s="289"/>
      <c r="BE432" s="289"/>
      <c r="BF432" s="289"/>
      <c r="BG432" s="289"/>
      <c r="BH432" s="289"/>
      <c r="BI432" s="289"/>
      <c r="BJ432" s="289"/>
      <c r="BK432" s="289"/>
      <c r="BL432" s="289"/>
      <c r="BM432" s="289"/>
      <c r="BN432" s="289"/>
      <c r="BO432" s="289"/>
      <c r="BP432" s="71"/>
    </row>
    <row r="433" spans="1:68" ht="14.25" customHeight="1" x14ac:dyDescent="0.3">
      <c r="A433" s="960"/>
      <c r="B433" s="960"/>
      <c r="C433" s="960"/>
      <c r="D433" s="944"/>
      <c r="E433" s="72"/>
      <c r="F433" s="45"/>
      <c r="G433" s="45"/>
      <c r="H433" s="45"/>
      <c r="I433" s="45"/>
      <c r="J433" s="45"/>
      <c r="K433" s="45"/>
      <c r="L433" s="944"/>
      <c r="M433" s="944"/>
      <c r="N433" s="944"/>
      <c r="O433" s="944"/>
      <c r="P433" s="944"/>
      <c r="Q433" s="944"/>
      <c r="R433" s="944"/>
      <c r="S433" s="944"/>
      <c r="T433" s="944"/>
      <c r="U433" s="944"/>
      <c r="V433" s="944"/>
      <c r="W433" s="944"/>
      <c r="X433" s="944"/>
      <c r="Y433" s="944"/>
      <c r="Z433" s="944"/>
      <c r="AA433" s="944"/>
      <c r="AB433" s="944"/>
      <c r="AC433" s="944"/>
      <c r="AD433" s="944"/>
      <c r="AE433" s="944"/>
      <c r="AF433" s="944"/>
      <c r="AG433" s="944"/>
      <c r="AH433" s="944"/>
      <c r="AI433" s="944"/>
      <c r="AJ433" s="944"/>
      <c r="AK433" s="944"/>
      <c r="AL433" s="944"/>
      <c r="AM433" s="944"/>
      <c r="AN433" s="944"/>
      <c r="AO433" s="944"/>
      <c r="AP433" s="944"/>
      <c r="AQ433" s="944"/>
      <c r="AR433" s="944"/>
      <c r="AS433" s="944"/>
      <c r="AT433" s="944"/>
      <c r="AU433" s="944"/>
      <c r="AV433" s="944"/>
      <c r="AW433" s="944"/>
      <c r="AX433" s="944"/>
      <c r="AY433" s="944"/>
      <c r="AZ433" s="944"/>
      <c r="BA433" s="944"/>
      <c r="BB433" s="944"/>
      <c r="BC433" s="944"/>
      <c r="BD433" s="944"/>
      <c r="BE433" s="944"/>
      <c r="BF433" s="944"/>
      <c r="BG433" s="944"/>
      <c r="BH433" s="944"/>
      <c r="BI433" s="944"/>
      <c r="BJ433" s="944"/>
      <c r="BK433" s="944"/>
      <c r="BL433" s="944"/>
      <c r="BM433" s="944"/>
      <c r="BN433" s="944"/>
      <c r="BO433" s="944"/>
      <c r="BP433" s="45"/>
    </row>
    <row r="434" spans="1:68" ht="15.75" customHeight="1" x14ac:dyDescent="0.3">
      <c r="A434" s="960"/>
      <c r="B434" s="960"/>
      <c r="C434" s="960"/>
      <c r="D434" s="944"/>
      <c r="E434" s="44"/>
      <c r="F434" s="44" t="s">
        <v>611</v>
      </c>
      <c r="G434" s="44"/>
      <c r="H434" s="45"/>
      <c r="I434" s="45"/>
      <c r="J434" s="45"/>
      <c r="K434" s="45"/>
      <c r="L434" s="944"/>
      <c r="M434" s="944"/>
      <c r="N434" s="944"/>
      <c r="O434" s="944"/>
      <c r="P434" s="944"/>
      <c r="Q434" s="944"/>
      <c r="R434" s="944"/>
      <c r="S434" s="944"/>
      <c r="T434" s="944"/>
      <c r="U434" s="944"/>
      <c r="V434" s="944"/>
      <c r="W434" s="944"/>
      <c r="X434" s="944"/>
      <c r="Y434" s="944"/>
      <c r="Z434" s="944"/>
      <c r="AA434" s="944"/>
      <c r="AB434" s="944"/>
      <c r="AC434" s="944"/>
      <c r="AD434" s="944"/>
      <c r="AE434" s="944"/>
      <c r="AF434" s="944"/>
      <c r="AG434" s="944"/>
      <c r="AH434" s="944"/>
      <c r="AI434" s="944"/>
      <c r="AJ434" s="944"/>
      <c r="AK434" s="944"/>
      <c r="AL434" s="944"/>
      <c r="AM434" s="944"/>
      <c r="AN434" s="944"/>
      <c r="AO434" s="944"/>
      <c r="AP434" s="944"/>
      <c r="AQ434" s="944"/>
      <c r="AR434" s="944"/>
      <c r="AS434" s="944"/>
      <c r="AT434" s="944"/>
      <c r="AU434" s="944"/>
      <c r="AV434" s="944"/>
      <c r="AW434" s="944"/>
      <c r="AX434" s="944"/>
      <c r="AY434" s="944"/>
      <c r="AZ434" s="944"/>
      <c r="BA434" s="944"/>
      <c r="BB434" s="944"/>
      <c r="BC434" s="944"/>
      <c r="BD434" s="944"/>
      <c r="BE434" s="944"/>
      <c r="BF434" s="944"/>
      <c r="BG434" s="944"/>
      <c r="BH434" s="944"/>
      <c r="BI434" s="944"/>
      <c r="BJ434" s="944"/>
      <c r="BK434" s="944"/>
      <c r="BL434" s="944"/>
      <c r="BM434" s="944"/>
      <c r="BN434" s="944"/>
      <c r="BO434" s="944"/>
      <c r="BP434" s="45"/>
    </row>
    <row r="435" spans="1:68" ht="14.25" customHeight="1" x14ac:dyDescent="0.3">
      <c r="A435" s="960"/>
      <c r="B435" s="960"/>
      <c r="C435" s="960"/>
      <c r="D435" s="944"/>
      <c r="E435" s="944"/>
      <c r="F435" s="45"/>
      <c r="G435" s="45"/>
      <c r="H435" s="45"/>
      <c r="I435" s="45"/>
      <c r="J435" s="45"/>
      <c r="K435" s="45"/>
      <c r="L435" s="944"/>
      <c r="M435" s="944"/>
      <c r="N435" s="944"/>
      <c r="O435" s="944"/>
      <c r="P435" s="944"/>
      <c r="Q435" s="944"/>
      <c r="R435" s="944"/>
      <c r="S435" s="944"/>
      <c r="T435" s="944"/>
      <c r="U435" s="944"/>
      <c r="V435" s="944"/>
      <c r="W435" s="944"/>
      <c r="X435" s="944"/>
      <c r="Y435" s="944"/>
      <c r="Z435" s="944"/>
      <c r="AA435" s="944"/>
      <c r="AB435" s="944"/>
      <c r="AC435" s="944"/>
      <c r="AD435" s="944"/>
      <c r="AE435" s="944"/>
      <c r="AF435" s="944"/>
      <c r="AG435" s="944"/>
      <c r="AH435" s="944"/>
      <c r="AI435" s="944"/>
      <c r="AJ435" s="944"/>
      <c r="AK435" s="944"/>
      <c r="AL435" s="944"/>
      <c r="AM435" s="944"/>
      <c r="AN435" s="944"/>
      <c r="AO435" s="944"/>
      <c r="AP435" s="944"/>
      <c r="AQ435" s="944"/>
      <c r="AR435" s="944"/>
      <c r="AS435" s="944"/>
      <c r="AT435" s="944"/>
      <c r="AU435" s="944"/>
      <c r="AV435" s="944"/>
      <c r="AW435" s="944"/>
      <c r="AX435" s="944"/>
      <c r="AY435" s="944"/>
      <c r="AZ435" s="944"/>
      <c r="BA435" s="944"/>
      <c r="BB435" s="944"/>
      <c r="BC435" s="944"/>
      <c r="BD435" s="944"/>
      <c r="BE435" s="944"/>
      <c r="BF435" s="944"/>
      <c r="BG435" s="944"/>
      <c r="BH435" s="944"/>
      <c r="BI435" s="944"/>
      <c r="BJ435" s="944"/>
      <c r="BK435" s="944"/>
      <c r="BL435" s="944"/>
      <c r="BM435" s="944"/>
      <c r="BN435" s="944"/>
      <c r="BO435" s="944"/>
      <c r="BP435" s="45"/>
    </row>
    <row r="436" spans="1:68" ht="14.25" customHeight="1" x14ac:dyDescent="0.3">
      <c r="A436" s="960"/>
      <c r="B436" s="960"/>
      <c r="C436" s="960"/>
      <c r="D436" s="944"/>
      <c r="E436" s="944"/>
      <c r="F436" s="73" t="s">
        <v>612</v>
      </c>
      <c r="G436" s="45"/>
      <c r="H436" s="45"/>
      <c r="I436" s="45"/>
      <c r="J436" s="45"/>
      <c r="K436" s="45"/>
      <c r="L436" s="944"/>
      <c r="M436" s="944"/>
      <c r="N436" s="944"/>
      <c r="O436" s="944"/>
      <c r="P436" s="944"/>
      <c r="Q436" s="944"/>
      <c r="R436" s="944"/>
      <c r="S436" s="944"/>
      <c r="T436" s="944"/>
      <c r="U436" s="944"/>
      <c r="V436" s="944"/>
      <c r="W436" s="944"/>
      <c r="X436" s="944"/>
      <c r="Y436" s="944"/>
      <c r="Z436" s="944"/>
      <c r="AA436" s="944"/>
      <c r="AB436" s="944"/>
      <c r="AC436" s="944"/>
      <c r="AD436" s="944"/>
      <c r="AE436" s="944"/>
      <c r="AF436" s="944"/>
      <c r="AG436" s="944"/>
      <c r="AH436" s="944"/>
      <c r="AI436" s="944"/>
      <c r="AJ436" s="944"/>
      <c r="AK436" s="944"/>
      <c r="AL436" s="944"/>
      <c r="AM436" s="944"/>
      <c r="AN436" s="944"/>
      <c r="AO436" s="944"/>
      <c r="AP436" s="944"/>
      <c r="AQ436" s="944"/>
      <c r="AR436" s="944"/>
      <c r="AS436" s="944"/>
      <c r="AT436" s="944"/>
      <c r="AU436" s="944"/>
      <c r="AV436" s="944"/>
      <c r="AW436" s="944"/>
      <c r="AX436" s="944"/>
      <c r="AY436" s="944"/>
      <c r="AZ436" s="944"/>
      <c r="BA436" s="944"/>
      <c r="BB436" s="944"/>
      <c r="BC436" s="944"/>
      <c r="BD436" s="944"/>
      <c r="BE436" s="944"/>
      <c r="BF436" s="944"/>
      <c r="BG436" s="944"/>
      <c r="BH436" s="944"/>
      <c r="BI436" s="944"/>
      <c r="BJ436" s="944"/>
      <c r="BK436" s="944"/>
      <c r="BL436" s="944"/>
      <c r="BM436" s="944"/>
      <c r="BN436" s="944"/>
      <c r="BO436" s="944"/>
      <c r="BP436" s="45"/>
    </row>
    <row r="437" spans="1:68" ht="14.25" customHeight="1" x14ac:dyDescent="0.3">
      <c r="A437" s="960"/>
      <c r="B437" s="960"/>
      <c r="C437" s="960"/>
      <c r="D437" s="944"/>
      <c r="E437" s="944"/>
      <c r="F437" s="73" t="s">
        <v>613</v>
      </c>
      <c r="G437" s="45"/>
      <c r="H437" s="45"/>
      <c r="I437" s="45"/>
      <c r="J437" s="45"/>
      <c r="K437" s="45"/>
      <c r="L437" s="944"/>
      <c r="M437" s="944"/>
      <c r="N437" s="944"/>
      <c r="O437" s="944"/>
      <c r="P437" s="944"/>
      <c r="Q437" s="944"/>
      <c r="R437" s="944"/>
      <c r="S437" s="944"/>
      <c r="T437" s="944"/>
      <c r="U437" s="944"/>
      <c r="V437" s="944"/>
      <c r="W437" s="944"/>
      <c r="X437" s="944"/>
      <c r="Y437" s="944"/>
      <c r="Z437" s="944"/>
      <c r="AA437" s="944"/>
      <c r="AB437" s="944"/>
      <c r="AC437" s="944"/>
      <c r="AD437" s="944"/>
      <c r="AE437" s="944"/>
      <c r="AF437" s="944"/>
      <c r="AG437" s="944"/>
      <c r="AH437" s="944"/>
      <c r="AI437" s="944"/>
      <c r="AJ437" s="944"/>
      <c r="AK437" s="944"/>
      <c r="AL437" s="944"/>
      <c r="AM437" s="944"/>
      <c r="AN437" s="944"/>
      <c r="AO437" s="944"/>
      <c r="AP437" s="944"/>
      <c r="AQ437" s="944"/>
      <c r="AR437" s="944"/>
      <c r="AS437" s="944"/>
      <c r="AT437" s="944"/>
      <c r="AU437" s="944"/>
      <c r="AV437" s="944"/>
      <c r="AW437" s="944"/>
      <c r="AX437" s="944"/>
      <c r="AY437" s="944"/>
      <c r="AZ437" s="944"/>
      <c r="BA437" s="944"/>
      <c r="BB437" s="944"/>
      <c r="BC437" s="944"/>
      <c r="BD437" s="944"/>
      <c r="BE437" s="944"/>
      <c r="BF437" s="944"/>
      <c r="BG437" s="944"/>
      <c r="BH437" s="944"/>
      <c r="BI437" s="944"/>
      <c r="BJ437" s="944"/>
      <c r="BK437" s="944"/>
      <c r="BL437" s="944"/>
      <c r="BM437" s="944"/>
      <c r="BN437" s="944"/>
      <c r="BO437" s="944"/>
      <c r="BP437" s="45"/>
    </row>
    <row r="438" spans="1:68" ht="14.25" customHeight="1" x14ac:dyDescent="0.3">
      <c r="A438" s="960"/>
      <c r="B438" s="960"/>
      <c r="C438" s="960"/>
      <c r="D438" s="944"/>
      <c r="E438" s="944"/>
      <c r="F438" s="45" t="s">
        <v>614</v>
      </c>
      <c r="G438" s="45"/>
      <c r="H438" s="45"/>
      <c r="I438" s="45"/>
      <c r="J438" s="45"/>
      <c r="K438" s="45"/>
      <c r="L438" s="944"/>
      <c r="M438" s="944"/>
      <c r="N438" s="944"/>
      <c r="O438" s="944"/>
      <c r="P438" s="944"/>
      <c r="Q438" s="944"/>
      <c r="R438" s="944"/>
      <c r="S438" s="944"/>
      <c r="T438" s="944"/>
      <c r="U438" s="944"/>
      <c r="V438" s="944"/>
      <c r="W438" s="944"/>
      <c r="X438" s="944"/>
      <c r="Y438" s="944"/>
      <c r="Z438" s="944"/>
      <c r="AA438" s="944"/>
      <c r="AB438" s="944"/>
      <c r="AC438" s="944"/>
      <c r="AD438" s="944"/>
      <c r="AE438" s="944"/>
      <c r="AF438" s="944"/>
      <c r="AG438" s="944"/>
      <c r="AH438" s="944"/>
      <c r="AI438" s="944"/>
      <c r="AJ438" s="944"/>
      <c r="AK438" s="944"/>
      <c r="AL438" s="944"/>
      <c r="AM438" s="944"/>
      <c r="AN438" s="944"/>
      <c r="AO438" s="944"/>
      <c r="AP438" s="944"/>
      <c r="AQ438" s="944"/>
      <c r="AR438" s="944"/>
      <c r="AS438" s="944"/>
      <c r="AT438" s="944"/>
      <c r="AU438" s="944"/>
      <c r="AV438" s="944"/>
      <c r="AW438" s="944"/>
      <c r="AX438" s="944"/>
      <c r="AY438" s="944"/>
      <c r="AZ438" s="944"/>
      <c r="BA438" s="944"/>
      <c r="BB438" s="944"/>
      <c r="BC438" s="944"/>
      <c r="BD438" s="944"/>
      <c r="BE438" s="944"/>
      <c r="BF438" s="944"/>
      <c r="BG438" s="944"/>
      <c r="BH438" s="944"/>
      <c r="BI438" s="944"/>
      <c r="BJ438" s="944"/>
      <c r="BK438" s="944"/>
      <c r="BL438" s="944"/>
      <c r="BM438" s="944"/>
      <c r="BN438" s="944"/>
      <c r="BO438" s="944"/>
      <c r="BP438" s="45"/>
    </row>
    <row r="439" spans="1:68" ht="14.25" customHeight="1" x14ac:dyDescent="0.3">
      <c r="A439" s="960"/>
      <c r="B439" s="960"/>
      <c r="C439" s="960"/>
      <c r="D439" s="944"/>
      <c r="E439" s="944"/>
      <c r="F439" s="45" t="s">
        <v>615</v>
      </c>
      <c r="G439" s="45"/>
      <c r="H439" s="45"/>
      <c r="I439" s="45"/>
      <c r="J439" s="45"/>
      <c r="K439" s="45"/>
      <c r="L439" s="944"/>
      <c r="M439" s="944"/>
      <c r="N439" s="944"/>
      <c r="O439" s="944"/>
      <c r="P439" s="944"/>
      <c r="Q439" s="944"/>
      <c r="R439" s="944"/>
      <c r="S439" s="944"/>
      <c r="T439" s="944"/>
      <c r="U439" s="944"/>
      <c r="V439" s="944"/>
      <c r="W439" s="944"/>
      <c r="X439" s="944"/>
      <c r="Y439" s="944"/>
      <c r="Z439" s="944"/>
      <c r="AA439" s="944"/>
      <c r="AB439" s="944"/>
      <c r="AC439" s="944"/>
      <c r="AD439" s="944"/>
      <c r="AE439" s="944"/>
      <c r="AF439" s="944"/>
      <c r="AG439" s="944"/>
      <c r="AH439" s="944"/>
      <c r="AI439" s="944"/>
      <c r="AJ439" s="944"/>
      <c r="AK439" s="944"/>
      <c r="AL439" s="944"/>
      <c r="AM439" s="944"/>
      <c r="AN439" s="944"/>
      <c r="AO439" s="944"/>
      <c r="AP439" s="944"/>
      <c r="AQ439" s="944"/>
      <c r="AR439" s="944"/>
      <c r="AS439" s="944"/>
      <c r="AT439" s="944"/>
      <c r="AU439" s="944"/>
      <c r="AV439" s="944"/>
      <c r="AW439" s="944"/>
      <c r="AX439" s="944"/>
      <c r="AY439" s="944"/>
      <c r="AZ439" s="944"/>
      <c r="BA439" s="944"/>
      <c r="BB439" s="944"/>
      <c r="BC439" s="944"/>
      <c r="BD439" s="944"/>
      <c r="BE439" s="944"/>
      <c r="BF439" s="944"/>
      <c r="BG439" s="944"/>
      <c r="BH439" s="944"/>
      <c r="BI439" s="944"/>
      <c r="BJ439" s="944"/>
      <c r="BK439" s="944"/>
      <c r="BL439" s="944"/>
      <c r="BM439" s="944"/>
      <c r="BN439" s="944"/>
      <c r="BO439" s="944"/>
      <c r="BP439" s="45"/>
    </row>
    <row r="440" spans="1:68" ht="14.25" customHeight="1" x14ac:dyDescent="0.3">
      <c r="A440" s="960"/>
      <c r="B440" s="960"/>
      <c r="C440" s="960"/>
      <c r="D440" s="944"/>
      <c r="E440" s="944"/>
      <c r="F440" s="45" t="s">
        <v>616</v>
      </c>
      <c r="G440" s="45"/>
      <c r="H440" s="45"/>
      <c r="I440" s="45"/>
      <c r="J440" s="45"/>
      <c r="K440" s="45"/>
      <c r="L440" s="944"/>
      <c r="M440" s="944"/>
      <c r="N440" s="944"/>
      <c r="O440" s="944"/>
      <c r="P440" s="944"/>
      <c r="Q440" s="944"/>
      <c r="R440" s="944"/>
      <c r="S440" s="944"/>
      <c r="T440" s="944"/>
      <c r="U440" s="944"/>
      <c r="V440" s="944"/>
      <c r="W440" s="944"/>
      <c r="X440" s="944"/>
      <c r="Y440" s="944"/>
      <c r="Z440" s="944"/>
      <c r="AA440" s="944"/>
      <c r="AB440" s="944"/>
      <c r="AC440" s="944"/>
      <c r="AD440" s="944"/>
      <c r="AE440" s="944"/>
      <c r="AF440" s="944"/>
      <c r="AG440" s="944"/>
      <c r="AH440" s="944"/>
      <c r="AI440" s="944"/>
      <c r="AJ440" s="944"/>
      <c r="AK440" s="944"/>
      <c r="AL440" s="944"/>
      <c r="AM440" s="944"/>
      <c r="AN440" s="944"/>
      <c r="AO440" s="944"/>
      <c r="AP440" s="944"/>
      <c r="AQ440" s="944"/>
      <c r="AR440" s="944"/>
      <c r="AS440" s="944"/>
      <c r="AT440" s="944"/>
      <c r="AU440" s="944"/>
      <c r="AV440" s="944"/>
      <c r="AW440" s="944"/>
      <c r="AX440" s="944"/>
      <c r="AY440" s="944"/>
      <c r="AZ440" s="944"/>
      <c r="BA440" s="944"/>
      <c r="BB440" s="944"/>
      <c r="BC440" s="944"/>
      <c r="BD440" s="944"/>
      <c r="BE440" s="944"/>
      <c r="BF440" s="944"/>
      <c r="BG440" s="944"/>
      <c r="BH440" s="944"/>
      <c r="BI440" s="944"/>
      <c r="BJ440" s="944"/>
      <c r="BK440" s="944"/>
      <c r="BL440" s="944"/>
      <c r="BM440" s="944"/>
      <c r="BN440" s="944"/>
      <c r="BO440" s="944"/>
      <c r="BP440" s="45"/>
    </row>
    <row r="441" spans="1:68" ht="14.25" customHeight="1" x14ac:dyDescent="0.3">
      <c r="A441" s="960"/>
      <c r="B441" s="960"/>
      <c r="C441" s="960"/>
      <c r="D441" s="944"/>
      <c r="E441" s="26"/>
      <c r="F441" s="45" t="s">
        <v>617</v>
      </c>
      <c r="G441" s="45"/>
      <c r="H441" s="45"/>
      <c r="I441" s="45"/>
      <c r="J441" s="45"/>
      <c r="K441" s="45"/>
      <c r="L441" s="944"/>
      <c r="M441" s="944"/>
      <c r="N441" s="944"/>
      <c r="O441" s="944"/>
      <c r="P441" s="944"/>
      <c r="Q441" s="944"/>
      <c r="R441" s="944"/>
      <c r="S441" s="944"/>
      <c r="T441" s="944"/>
      <c r="U441" s="944"/>
      <c r="V441" s="944"/>
      <c r="W441" s="944"/>
      <c r="X441" s="944"/>
      <c r="Y441" s="944"/>
      <c r="Z441" s="944"/>
      <c r="AA441" s="944"/>
      <c r="AB441" s="944"/>
      <c r="AC441" s="944"/>
      <c r="AD441" s="944"/>
      <c r="AE441" s="944"/>
      <c r="AF441" s="944"/>
      <c r="AG441" s="944"/>
      <c r="AH441" s="944"/>
      <c r="AI441" s="944"/>
      <c r="AJ441" s="944"/>
      <c r="AK441" s="944"/>
      <c r="AL441" s="944"/>
      <c r="AM441" s="944"/>
      <c r="AN441" s="944"/>
      <c r="AO441" s="944"/>
      <c r="AP441" s="944"/>
      <c r="AQ441" s="944"/>
      <c r="AR441" s="944"/>
      <c r="AS441" s="944"/>
      <c r="AT441" s="944"/>
      <c r="AU441" s="944"/>
      <c r="AV441" s="944"/>
      <c r="AW441" s="944"/>
      <c r="AX441" s="944"/>
      <c r="AY441" s="944"/>
      <c r="AZ441" s="944"/>
      <c r="BA441" s="944"/>
      <c r="BB441" s="944"/>
      <c r="BC441" s="944"/>
      <c r="BD441" s="944"/>
      <c r="BE441" s="944"/>
      <c r="BF441" s="944"/>
      <c r="BG441" s="944"/>
      <c r="BH441" s="944"/>
      <c r="BI441" s="944"/>
      <c r="BJ441" s="944"/>
      <c r="BK441" s="944"/>
      <c r="BL441" s="944"/>
      <c r="BM441" s="944"/>
      <c r="BN441" s="944"/>
      <c r="BO441" s="944"/>
      <c r="BP441" s="45"/>
    </row>
    <row r="442" spans="1:68" ht="14.25" customHeight="1" x14ac:dyDescent="0.3">
      <c r="A442" s="960"/>
      <c r="B442" s="960"/>
      <c r="C442" s="960"/>
      <c r="D442" s="944"/>
      <c r="E442" s="944"/>
      <c r="F442" s="45"/>
      <c r="G442" s="45"/>
      <c r="H442" s="45"/>
      <c r="I442" s="45"/>
      <c r="J442" s="45"/>
      <c r="K442" s="45"/>
      <c r="L442" s="944"/>
      <c r="M442" s="944"/>
      <c r="N442" s="944"/>
      <c r="O442" s="944"/>
      <c r="P442" s="944"/>
      <c r="Q442" s="944"/>
      <c r="R442" s="944"/>
      <c r="S442" s="944"/>
      <c r="T442" s="944"/>
      <c r="U442" s="944"/>
      <c r="V442" s="944"/>
      <c r="W442" s="944"/>
      <c r="X442" s="944"/>
      <c r="Y442" s="944"/>
      <c r="Z442" s="944"/>
      <c r="AA442" s="944"/>
      <c r="AB442" s="944"/>
      <c r="AC442" s="944"/>
      <c r="AD442" s="944"/>
      <c r="AE442" s="944"/>
      <c r="AF442" s="944"/>
      <c r="AG442" s="944"/>
      <c r="AH442" s="944"/>
      <c r="AI442" s="944"/>
      <c r="AJ442" s="944"/>
      <c r="AK442" s="944"/>
      <c r="AL442" s="944"/>
      <c r="AM442" s="944"/>
      <c r="AN442" s="944"/>
      <c r="AO442" s="944"/>
      <c r="AP442" s="944"/>
      <c r="AQ442" s="944"/>
      <c r="AR442" s="944"/>
      <c r="AS442" s="944"/>
      <c r="AT442" s="944"/>
      <c r="AU442" s="944"/>
      <c r="AV442" s="944"/>
      <c r="AW442" s="944"/>
      <c r="AX442" s="944"/>
      <c r="AY442" s="944"/>
      <c r="AZ442" s="944"/>
      <c r="BA442" s="944"/>
      <c r="BB442" s="944"/>
      <c r="BC442" s="944"/>
      <c r="BD442" s="944"/>
      <c r="BE442" s="944"/>
      <c r="BF442" s="944"/>
      <c r="BG442" s="944"/>
      <c r="BH442" s="944"/>
      <c r="BI442" s="944"/>
      <c r="BJ442" s="944"/>
      <c r="BK442" s="944"/>
      <c r="BL442" s="944"/>
      <c r="BM442" s="944"/>
      <c r="BN442" s="944"/>
      <c r="BO442" s="944"/>
      <c r="BP442" s="45"/>
    </row>
    <row r="443" spans="1:68" ht="14.25" customHeight="1" x14ac:dyDescent="0.3">
      <c r="A443" s="960"/>
      <c r="B443" s="960"/>
      <c r="C443" s="960"/>
      <c r="D443" s="944"/>
      <c r="E443" s="944"/>
      <c r="F443" s="45"/>
      <c r="G443" s="45"/>
      <c r="H443" s="45"/>
      <c r="I443" s="45"/>
      <c r="J443" s="45"/>
      <c r="K443" s="45"/>
      <c r="L443" s="944"/>
      <c r="M443" s="944"/>
      <c r="N443" s="944"/>
      <c r="O443" s="944"/>
      <c r="P443" s="944"/>
      <c r="Q443" s="944"/>
      <c r="R443" s="944"/>
      <c r="S443" s="944"/>
      <c r="T443" s="944"/>
      <c r="U443" s="944"/>
      <c r="V443" s="944"/>
      <c r="W443" s="944"/>
      <c r="X443" s="944"/>
      <c r="Y443" s="944"/>
      <c r="Z443" s="944"/>
      <c r="AA443" s="944"/>
      <c r="AB443" s="944"/>
      <c r="AC443" s="944"/>
      <c r="AD443" s="944"/>
      <c r="AE443" s="944"/>
      <c r="AF443" s="944"/>
      <c r="AG443" s="944"/>
      <c r="AH443" s="944"/>
      <c r="AI443" s="944"/>
      <c r="AJ443" s="944"/>
      <c r="AK443" s="944"/>
      <c r="AL443" s="944"/>
      <c r="AM443" s="944"/>
      <c r="AN443" s="944"/>
      <c r="AO443" s="944"/>
      <c r="AP443" s="944"/>
      <c r="AQ443" s="944"/>
      <c r="AR443" s="944"/>
      <c r="AS443" s="944"/>
      <c r="AT443" s="944"/>
      <c r="AU443" s="944"/>
      <c r="AV443" s="944"/>
      <c r="AW443" s="944"/>
      <c r="AX443" s="944"/>
      <c r="AY443" s="944"/>
      <c r="AZ443" s="944"/>
      <c r="BA443" s="944"/>
      <c r="BB443" s="944"/>
      <c r="BC443" s="944"/>
      <c r="BD443" s="944"/>
      <c r="BE443" s="944"/>
      <c r="BF443" s="944"/>
      <c r="BG443" s="944"/>
      <c r="BH443" s="944"/>
      <c r="BI443" s="944"/>
      <c r="BJ443" s="944"/>
      <c r="BK443" s="944"/>
      <c r="BL443" s="944"/>
      <c r="BM443" s="944"/>
      <c r="BN443" s="944"/>
      <c r="BO443" s="944"/>
      <c r="BP443" s="45"/>
    </row>
    <row r="444" spans="1:68" ht="14.25" customHeight="1" x14ac:dyDescent="0.3">
      <c r="A444" s="960"/>
      <c r="B444" s="960"/>
      <c r="C444" s="960"/>
      <c r="D444" s="944"/>
      <c r="E444" s="944"/>
      <c r="F444" s="45"/>
      <c r="G444" s="45"/>
      <c r="H444" s="45"/>
      <c r="I444" s="45"/>
      <c r="J444" s="45"/>
      <c r="K444" s="45"/>
      <c r="L444" s="944"/>
      <c r="M444" s="944"/>
      <c r="N444" s="944"/>
      <c r="O444" s="944"/>
      <c r="P444" s="944"/>
      <c r="Q444" s="944"/>
      <c r="R444" s="944"/>
      <c r="S444" s="944"/>
      <c r="T444" s="944"/>
      <c r="U444" s="944"/>
      <c r="V444" s="944"/>
      <c r="W444" s="944"/>
      <c r="X444" s="944"/>
      <c r="Y444" s="944"/>
      <c r="Z444" s="944"/>
      <c r="AA444" s="944"/>
      <c r="AB444" s="944"/>
      <c r="AC444" s="944"/>
      <c r="AD444" s="944"/>
      <c r="AE444" s="944"/>
      <c r="AF444" s="944"/>
      <c r="AG444" s="944"/>
      <c r="AH444" s="944"/>
      <c r="AI444" s="944"/>
      <c r="AJ444" s="944"/>
      <c r="AK444" s="944"/>
      <c r="AL444" s="944"/>
      <c r="AM444" s="944"/>
      <c r="AN444" s="944"/>
      <c r="AO444" s="944"/>
      <c r="AP444" s="944"/>
      <c r="AQ444" s="944"/>
      <c r="AR444" s="944"/>
      <c r="AS444" s="944"/>
      <c r="AT444" s="944"/>
      <c r="AU444" s="944"/>
      <c r="AV444" s="944"/>
      <c r="AW444" s="944"/>
      <c r="AX444" s="944"/>
      <c r="AY444" s="944"/>
      <c r="AZ444" s="944"/>
      <c r="BA444" s="944"/>
      <c r="BB444" s="944"/>
      <c r="BC444" s="944"/>
      <c r="BD444" s="944"/>
      <c r="BE444" s="944"/>
      <c r="BF444" s="944"/>
      <c r="BG444" s="944"/>
      <c r="BH444" s="944"/>
      <c r="BI444" s="944"/>
      <c r="BJ444" s="944"/>
      <c r="BK444" s="944"/>
      <c r="BL444" s="944"/>
      <c r="BM444" s="944"/>
      <c r="BN444" s="944"/>
      <c r="BO444" s="944"/>
      <c r="BP444" s="45"/>
    </row>
    <row r="445" spans="1:68" ht="14.25" customHeight="1" x14ac:dyDescent="0.3">
      <c r="A445" s="960"/>
      <c r="B445" s="960"/>
      <c r="C445" s="960"/>
      <c r="D445" s="944"/>
      <c r="E445" s="944"/>
      <c r="F445" s="45"/>
      <c r="G445" s="45"/>
      <c r="H445" s="45"/>
      <c r="I445" s="45"/>
      <c r="J445" s="45"/>
      <c r="K445" s="45"/>
      <c r="L445" s="944"/>
      <c r="M445" s="944"/>
      <c r="N445" s="944"/>
      <c r="O445" s="944"/>
      <c r="P445" s="944"/>
      <c r="Q445" s="944"/>
      <c r="R445" s="944"/>
      <c r="S445" s="944"/>
      <c r="T445" s="944"/>
      <c r="U445" s="944"/>
      <c r="V445" s="944"/>
      <c r="W445" s="944"/>
      <c r="X445" s="944"/>
      <c r="Y445" s="944"/>
      <c r="Z445" s="944"/>
      <c r="AA445" s="944"/>
      <c r="AB445" s="944"/>
      <c r="AC445" s="944"/>
      <c r="AD445" s="944"/>
      <c r="AE445" s="944"/>
      <c r="AF445" s="944"/>
      <c r="AG445" s="944"/>
      <c r="AH445" s="944"/>
      <c r="AI445" s="944"/>
      <c r="AJ445" s="944"/>
      <c r="AK445" s="944"/>
      <c r="AL445" s="944"/>
      <c r="AM445" s="944"/>
      <c r="AN445" s="944"/>
      <c r="AO445" s="944"/>
      <c r="AP445" s="944"/>
      <c r="AQ445" s="944"/>
      <c r="AR445" s="944"/>
      <c r="AS445" s="944"/>
      <c r="AT445" s="944"/>
      <c r="AU445" s="944"/>
      <c r="AV445" s="944"/>
      <c r="AW445" s="944"/>
      <c r="AX445" s="944"/>
      <c r="AY445" s="944"/>
      <c r="AZ445" s="944"/>
      <c r="BA445" s="944"/>
      <c r="BB445" s="944"/>
      <c r="BC445" s="944"/>
      <c r="BD445" s="944"/>
      <c r="BE445" s="944"/>
      <c r="BF445" s="944"/>
      <c r="BG445" s="944"/>
      <c r="BH445" s="944"/>
      <c r="BI445" s="944"/>
      <c r="BJ445" s="944"/>
      <c r="BK445" s="944"/>
      <c r="BL445" s="944"/>
      <c r="BM445" s="944"/>
      <c r="BN445" s="944"/>
      <c r="BO445" s="944"/>
      <c r="BP445" s="45"/>
    </row>
    <row r="446" spans="1:68" ht="14.25" customHeight="1" x14ac:dyDescent="0.3">
      <c r="A446" s="960"/>
      <c r="B446" s="960"/>
      <c r="C446" s="960"/>
      <c r="D446" s="944"/>
      <c r="E446" s="944"/>
      <c r="F446" s="45"/>
      <c r="G446" s="45"/>
      <c r="H446" s="45"/>
      <c r="I446" s="45"/>
      <c r="J446" s="45"/>
      <c r="K446" s="45"/>
      <c r="L446" s="944"/>
      <c r="M446" s="944"/>
      <c r="N446" s="944"/>
      <c r="O446" s="944"/>
      <c r="P446" s="944"/>
      <c r="Q446" s="944"/>
      <c r="R446" s="944"/>
      <c r="S446" s="944"/>
      <c r="T446" s="944"/>
      <c r="U446" s="944"/>
      <c r="V446" s="944"/>
      <c r="W446" s="944"/>
      <c r="X446" s="944"/>
      <c r="Y446" s="944"/>
      <c r="Z446" s="944"/>
      <c r="AA446" s="944"/>
      <c r="AB446" s="944"/>
      <c r="AC446" s="944"/>
      <c r="AD446" s="944"/>
      <c r="AE446" s="944"/>
      <c r="AF446" s="944"/>
      <c r="AG446" s="944"/>
      <c r="AH446" s="944"/>
      <c r="AI446" s="944"/>
      <c r="AJ446" s="944"/>
      <c r="AK446" s="944"/>
      <c r="AL446" s="944"/>
      <c r="AM446" s="944"/>
      <c r="AN446" s="944"/>
      <c r="AO446" s="944"/>
      <c r="AP446" s="944"/>
      <c r="AQ446" s="944"/>
      <c r="AR446" s="944"/>
      <c r="AS446" s="944"/>
      <c r="AT446" s="944"/>
      <c r="AU446" s="944"/>
      <c r="AV446" s="944"/>
      <c r="AW446" s="944"/>
      <c r="AX446" s="944"/>
      <c r="AY446" s="944"/>
      <c r="AZ446" s="944"/>
      <c r="BA446" s="944"/>
      <c r="BB446" s="944"/>
      <c r="BC446" s="944"/>
      <c r="BD446" s="944"/>
      <c r="BE446" s="944"/>
      <c r="BF446" s="944"/>
      <c r="BG446" s="944"/>
      <c r="BH446" s="944"/>
      <c r="BI446" s="944"/>
      <c r="BJ446" s="944"/>
      <c r="BK446" s="944"/>
      <c r="BL446" s="944"/>
      <c r="BM446" s="944"/>
      <c r="BN446" s="944"/>
      <c r="BO446" s="944"/>
      <c r="BP446" s="45"/>
    </row>
    <row r="447" spans="1:68" ht="14.25" customHeight="1" x14ac:dyDescent="0.3">
      <c r="A447" s="960"/>
      <c r="B447" s="960"/>
      <c r="C447" s="960"/>
      <c r="D447" s="944"/>
      <c r="E447" s="944"/>
      <c r="F447" s="45"/>
      <c r="G447" s="45"/>
      <c r="H447" s="45"/>
      <c r="I447" s="45"/>
      <c r="J447" s="45"/>
      <c r="K447" s="45"/>
      <c r="L447" s="944"/>
      <c r="M447" s="944"/>
      <c r="N447" s="944"/>
      <c r="O447" s="944"/>
      <c r="P447" s="944"/>
      <c r="Q447" s="944"/>
      <c r="R447" s="944"/>
      <c r="S447" s="944"/>
      <c r="T447" s="944"/>
      <c r="U447" s="944"/>
      <c r="V447" s="944"/>
      <c r="W447" s="944"/>
      <c r="X447" s="944"/>
      <c r="Y447" s="944"/>
      <c r="Z447" s="944"/>
      <c r="AA447" s="944"/>
      <c r="AB447" s="944"/>
      <c r="AC447" s="944"/>
      <c r="AD447" s="944"/>
      <c r="AE447" s="944"/>
      <c r="AF447" s="944"/>
      <c r="AG447" s="944"/>
      <c r="AH447" s="944"/>
      <c r="AI447" s="944"/>
      <c r="AJ447" s="944"/>
      <c r="AK447" s="944"/>
      <c r="AL447" s="944"/>
      <c r="AM447" s="944"/>
      <c r="AN447" s="944"/>
      <c r="AO447" s="944"/>
      <c r="AP447" s="944"/>
      <c r="AQ447" s="944"/>
      <c r="AR447" s="944"/>
      <c r="AS447" s="944"/>
      <c r="AT447" s="944"/>
      <c r="AU447" s="944"/>
      <c r="AV447" s="944"/>
      <c r="AW447" s="944"/>
      <c r="AX447" s="944"/>
      <c r="AY447" s="944"/>
      <c r="AZ447" s="944"/>
      <c r="BA447" s="944"/>
      <c r="BB447" s="944"/>
      <c r="BC447" s="944"/>
      <c r="BD447" s="944"/>
      <c r="BE447" s="944"/>
      <c r="BF447" s="944"/>
      <c r="BG447" s="944"/>
      <c r="BH447" s="944"/>
      <c r="BI447" s="944"/>
      <c r="BJ447" s="944"/>
      <c r="BK447" s="944"/>
      <c r="BL447" s="944"/>
      <c r="BM447" s="944"/>
      <c r="BN447" s="944"/>
      <c r="BO447" s="944"/>
      <c r="BP447" s="45"/>
    </row>
    <row r="448" spans="1:68" ht="14.25" customHeight="1" x14ac:dyDescent="0.3">
      <c r="A448" s="960"/>
      <c r="B448" s="960"/>
      <c r="C448" s="960"/>
      <c r="D448" s="944"/>
      <c r="E448" s="944"/>
      <c r="F448" s="45"/>
      <c r="G448" s="45"/>
      <c r="H448" s="45"/>
      <c r="I448" s="45"/>
      <c r="J448" s="45"/>
      <c r="K448" s="45"/>
      <c r="L448" s="944"/>
      <c r="M448" s="944"/>
      <c r="N448" s="944"/>
      <c r="O448" s="944"/>
      <c r="P448" s="944"/>
      <c r="Q448" s="944"/>
      <c r="R448" s="944"/>
      <c r="S448" s="944"/>
      <c r="T448" s="944"/>
      <c r="U448" s="944"/>
      <c r="V448" s="944"/>
      <c r="W448" s="944"/>
      <c r="X448" s="944"/>
      <c r="Y448" s="944"/>
      <c r="Z448" s="944"/>
      <c r="AA448" s="944"/>
      <c r="AB448" s="944"/>
      <c r="AC448" s="944"/>
      <c r="AD448" s="944"/>
      <c r="AE448" s="944"/>
      <c r="AF448" s="944"/>
      <c r="AG448" s="944"/>
      <c r="AH448" s="944"/>
      <c r="AI448" s="944"/>
      <c r="AJ448" s="944"/>
      <c r="AK448" s="944"/>
      <c r="AL448" s="944"/>
      <c r="AM448" s="944"/>
      <c r="AN448" s="944"/>
      <c r="AO448" s="944"/>
      <c r="AP448" s="944"/>
      <c r="AQ448" s="944"/>
      <c r="AR448" s="944"/>
      <c r="AS448" s="944"/>
      <c r="AT448" s="944"/>
      <c r="AU448" s="944"/>
      <c r="AV448" s="944"/>
      <c r="AW448" s="944"/>
      <c r="AX448" s="944"/>
      <c r="AY448" s="944"/>
      <c r="AZ448" s="944"/>
      <c r="BA448" s="944"/>
      <c r="BB448" s="944"/>
      <c r="BC448" s="944"/>
      <c r="BD448" s="944"/>
      <c r="BE448" s="944"/>
      <c r="BF448" s="944"/>
      <c r="BG448" s="944"/>
      <c r="BH448" s="944"/>
      <c r="BI448" s="944"/>
      <c r="BJ448" s="944"/>
      <c r="BK448" s="944"/>
      <c r="BL448" s="944"/>
      <c r="BM448" s="944"/>
      <c r="BN448" s="944"/>
      <c r="BO448" s="944"/>
      <c r="BP448" s="45"/>
    </row>
    <row r="449" spans="1:68" ht="14.25" customHeight="1" x14ac:dyDescent="0.3">
      <c r="A449" s="960"/>
      <c r="B449" s="960"/>
      <c r="C449" s="960"/>
      <c r="D449" s="944"/>
      <c r="E449" s="944"/>
      <c r="F449" s="45"/>
      <c r="G449" s="45"/>
      <c r="H449" s="45"/>
      <c r="I449" s="45"/>
      <c r="J449" s="45"/>
      <c r="K449" s="45"/>
      <c r="L449" s="944"/>
      <c r="M449" s="944"/>
      <c r="N449" s="944"/>
      <c r="O449" s="944"/>
      <c r="P449" s="944"/>
      <c r="Q449" s="944"/>
      <c r="R449" s="944"/>
      <c r="S449" s="944"/>
      <c r="T449" s="944"/>
      <c r="U449" s="944"/>
      <c r="V449" s="944"/>
      <c r="W449" s="944"/>
      <c r="X449" s="944"/>
      <c r="Y449" s="944"/>
      <c r="Z449" s="944"/>
      <c r="AA449" s="944"/>
      <c r="AB449" s="944"/>
      <c r="AC449" s="944"/>
      <c r="AD449" s="944"/>
      <c r="AE449" s="944"/>
      <c r="AF449" s="944"/>
      <c r="AG449" s="944"/>
      <c r="AH449" s="944"/>
      <c r="AI449" s="944"/>
      <c r="AJ449" s="944"/>
      <c r="AK449" s="944"/>
      <c r="AL449" s="944"/>
      <c r="AM449" s="944"/>
      <c r="AN449" s="944"/>
      <c r="AO449" s="944"/>
      <c r="AP449" s="944"/>
      <c r="AQ449" s="944"/>
      <c r="AR449" s="944"/>
      <c r="AS449" s="944"/>
      <c r="AT449" s="944"/>
      <c r="AU449" s="944"/>
      <c r="AV449" s="944"/>
      <c r="AW449" s="944"/>
      <c r="AX449" s="944"/>
      <c r="AY449" s="944"/>
      <c r="AZ449" s="944"/>
      <c r="BA449" s="944"/>
      <c r="BB449" s="944"/>
      <c r="BC449" s="944"/>
      <c r="BD449" s="944"/>
      <c r="BE449" s="944"/>
      <c r="BF449" s="944"/>
      <c r="BG449" s="944"/>
      <c r="BH449" s="944"/>
      <c r="BI449" s="944"/>
      <c r="BJ449" s="944"/>
      <c r="BK449" s="944"/>
      <c r="BL449" s="944"/>
      <c r="BM449" s="944"/>
      <c r="BN449" s="944"/>
      <c r="BO449" s="944"/>
      <c r="BP449" s="45"/>
    </row>
    <row r="450" spans="1:68" ht="14.25" customHeight="1" x14ac:dyDescent="0.3">
      <c r="A450" s="960"/>
      <c r="B450" s="960"/>
      <c r="C450" s="960"/>
      <c r="D450" s="944"/>
      <c r="E450" s="944"/>
      <c r="F450" s="45"/>
      <c r="G450" s="45"/>
      <c r="H450" s="45"/>
      <c r="I450" s="45"/>
      <c r="J450" s="45"/>
      <c r="K450" s="45"/>
      <c r="L450" s="944"/>
      <c r="M450" s="944"/>
      <c r="N450" s="944"/>
      <c r="O450" s="944"/>
      <c r="P450" s="944"/>
      <c r="Q450" s="944"/>
      <c r="R450" s="944"/>
      <c r="S450" s="944"/>
      <c r="T450" s="944"/>
      <c r="U450" s="944"/>
      <c r="V450" s="944"/>
      <c r="W450" s="944"/>
      <c r="X450" s="944"/>
      <c r="Y450" s="944"/>
      <c r="Z450" s="944"/>
      <c r="AA450" s="944"/>
      <c r="AB450" s="944"/>
      <c r="AC450" s="944"/>
      <c r="AD450" s="944"/>
      <c r="AE450" s="944"/>
      <c r="AF450" s="944"/>
      <c r="AG450" s="944"/>
      <c r="AH450" s="944"/>
      <c r="AI450" s="944"/>
      <c r="AJ450" s="944"/>
      <c r="AK450" s="944"/>
      <c r="AL450" s="944"/>
      <c r="AM450" s="944"/>
      <c r="AN450" s="944"/>
      <c r="AO450" s="944"/>
      <c r="AP450" s="944"/>
      <c r="AQ450" s="944"/>
      <c r="AR450" s="944"/>
      <c r="AS450" s="944"/>
      <c r="AT450" s="944"/>
      <c r="AU450" s="944"/>
      <c r="AV450" s="944"/>
      <c r="AW450" s="944"/>
      <c r="AX450" s="944"/>
      <c r="AY450" s="944"/>
      <c r="AZ450" s="944"/>
      <c r="BA450" s="944"/>
      <c r="BB450" s="944"/>
      <c r="BC450" s="944"/>
      <c r="BD450" s="944"/>
      <c r="BE450" s="944"/>
      <c r="BF450" s="944"/>
      <c r="BG450" s="944"/>
      <c r="BH450" s="944"/>
      <c r="BI450" s="944"/>
      <c r="BJ450" s="944"/>
      <c r="BK450" s="944"/>
      <c r="BL450" s="944"/>
      <c r="BM450" s="944"/>
      <c r="BN450" s="944"/>
      <c r="BO450" s="944"/>
      <c r="BP450" s="45"/>
    </row>
    <row r="451" spans="1:68" ht="14.25" customHeight="1" x14ac:dyDescent="0.3">
      <c r="A451" s="960"/>
      <c r="B451" s="960"/>
      <c r="C451" s="960"/>
      <c r="D451" s="944"/>
      <c r="E451" s="944"/>
      <c r="F451" s="45"/>
      <c r="G451" s="45"/>
      <c r="H451" s="45"/>
      <c r="I451" s="45"/>
      <c r="J451" s="45"/>
      <c r="K451" s="45"/>
      <c r="L451" s="944"/>
      <c r="M451" s="944"/>
      <c r="N451" s="944"/>
      <c r="O451" s="944"/>
      <c r="P451" s="944"/>
      <c r="Q451" s="944"/>
      <c r="R451" s="944"/>
      <c r="S451" s="944"/>
      <c r="T451" s="944"/>
      <c r="U451" s="944"/>
      <c r="V451" s="944"/>
      <c r="W451" s="944"/>
      <c r="X451" s="944"/>
      <c r="Y451" s="944"/>
      <c r="Z451" s="944"/>
      <c r="AA451" s="944"/>
      <c r="AB451" s="944"/>
      <c r="AC451" s="944"/>
      <c r="AD451" s="944"/>
      <c r="AE451" s="944"/>
      <c r="AF451" s="944"/>
      <c r="AG451" s="944"/>
      <c r="AH451" s="944"/>
      <c r="AI451" s="944"/>
      <c r="AJ451" s="944"/>
      <c r="AK451" s="944"/>
      <c r="AL451" s="944"/>
      <c r="AM451" s="944"/>
      <c r="AN451" s="944"/>
      <c r="AO451" s="944"/>
      <c r="AP451" s="944"/>
      <c r="AQ451" s="944"/>
      <c r="AR451" s="944"/>
      <c r="AS451" s="944"/>
      <c r="AT451" s="944"/>
      <c r="AU451" s="944"/>
      <c r="AV451" s="944"/>
      <c r="AW451" s="944"/>
      <c r="AX451" s="944"/>
      <c r="AY451" s="944"/>
      <c r="AZ451" s="944"/>
      <c r="BA451" s="944"/>
      <c r="BB451" s="944"/>
      <c r="BC451" s="944"/>
      <c r="BD451" s="944"/>
      <c r="BE451" s="944"/>
      <c r="BF451" s="944"/>
      <c r="BG451" s="944"/>
      <c r="BH451" s="944"/>
      <c r="BI451" s="944"/>
      <c r="BJ451" s="944"/>
      <c r="BK451" s="944"/>
      <c r="BL451" s="944"/>
      <c r="BM451" s="944"/>
      <c r="BN451" s="944"/>
      <c r="BO451" s="944"/>
      <c r="BP451" s="45"/>
    </row>
    <row r="452" spans="1:68" ht="14.25" customHeight="1" x14ac:dyDescent="0.3">
      <c r="A452" s="960"/>
      <c r="B452" s="960"/>
      <c r="C452" s="960"/>
      <c r="D452" s="944"/>
      <c r="E452" s="944"/>
      <c r="F452" s="45"/>
      <c r="G452" s="45"/>
      <c r="H452" s="45"/>
      <c r="I452" s="45"/>
      <c r="J452" s="45"/>
      <c r="K452" s="45"/>
      <c r="L452" s="944"/>
      <c r="M452" s="944"/>
      <c r="N452" s="944"/>
      <c r="O452" s="944"/>
      <c r="P452" s="944"/>
      <c r="Q452" s="944"/>
      <c r="R452" s="944"/>
      <c r="S452" s="944"/>
      <c r="T452" s="944"/>
      <c r="U452" s="944"/>
      <c r="V452" s="944"/>
      <c r="W452" s="944"/>
      <c r="X452" s="944"/>
      <c r="Y452" s="944"/>
      <c r="Z452" s="944"/>
      <c r="AA452" s="944"/>
      <c r="AB452" s="944"/>
      <c r="AC452" s="944"/>
      <c r="AD452" s="944"/>
      <c r="AE452" s="944"/>
      <c r="AF452" s="944"/>
      <c r="AG452" s="944"/>
      <c r="AH452" s="944"/>
      <c r="AI452" s="944"/>
      <c r="AJ452" s="944"/>
      <c r="AK452" s="944"/>
      <c r="AL452" s="944"/>
      <c r="AM452" s="944"/>
      <c r="AN452" s="944"/>
      <c r="AO452" s="944"/>
      <c r="AP452" s="944"/>
      <c r="AQ452" s="944"/>
      <c r="AR452" s="944"/>
      <c r="AS452" s="944"/>
      <c r="AT452" s="944"/>
      <c r="AU452" s="944"/>
      <c r="AV452" s="944"/>
      <c r="AW452" s="944"/>
      <c r="AX452" s="944"/>
      <c r="AY452" s="944"/>
      <c r="AZ452" s="944"/>
      <c r="BA452" s="944"/>
      <c r="BB452" s="944"/>
      <c r="BC452" s="944"/>
      <c r="BD452" s="944"/>
      <c r="BE452" s="944"/>
      <c r="BF452" s="944"/>
      <c r="BG452" s="944"/>
      <c r="BH452" s="944"/>
      <c r="BI452" s="944"/>
      <c r="BJ452" s="944"/>
      <c r="BK452" s="944"/>
      <c r="BL452" s="944"/>
      <c r="BM452" s="944"/>
      <c r="BN452" s="944"/>
      <c r="BO452" s="944"/>
      <c r="BP452" s="45"/>
    </row>
    <row r="453" spans="1:68" ht="14.25" customHeight="1" x14ac:dyDescent="0.3">
      <c r="A453" s="960"/>
      <c r="B453" s="960"/>
      <c r="C453" s="960"/>
      <c r="D453" s="944"/>
      <c r="E453" s="944"/>
      <c r="F453" s="45"/>
      <c r="G453" s="45"/>
      <c r="H453" s="45"/>
      <c r="I453" s="45"/>
      <c r="J453" s="45"/>
      <c r="K453" s="45"/>
      <c r="L453" s="944"/>
      <c r="M453" s="944"/>
      <c r="N453" s="944"/>
      <c r="O453" s="944"/>
      <c r="P453" s="944"/>
      <c r="Q453" s="944"/>
      <c r="R453" s="944"/>
      <c r="S453" s="944"/>
      <c r="T453" s="944"/>
      <c r="U453" s="944"/>
      <c r="V453" s="944"/>
      <c r="W453" s="944"/>
      <c r="X453" s="944"/>
      <c r="Y453" s="944"/>
      <c r="Z453" s="944"/>
      <c r="AA453" s="944"/>
      <c r="AB453" s="944"/>
      <c r="AC453" s="944"/>
      <c r="AD453" s="944"/>
      <c r="AE453" s="944"/>
      <c r="AF453" s="944"/>
      <c r="AG453" s="944"/>
      <c r="AH453" s="944"/>
      <c r="AI453" s="944"/>
      <c r="AJ453" s="944"/>
      <c r="AK453" s="944"/>
      <c r="AL453" s="944"/>
      <c r="AM453" s="944"/>
      <c r="AN453" s="944"/>
      <c r="AO453" s="944"/>
      <c r="AP453" s="944"/>
      <c r="AQ453" s="944"/>
      <c r="AR453" s="944"/>
      <c r="AS453" s="944"/>
      <c r="AT453" s="944"/>
      <c r="AU453" s="944"/>
      <c r="AV453" s="944"/>
      <c r="AW453" s="944"/>
      <c r="AX453" s="944"/>
      <c r="AY453" s="944"/>
      <c r="AZ453" s="944"/>
      <c r="BA453" s="944"/>
      <c r="BB453" s="944"/>
      <c r="BC453" s="944"/>
      <c r="BD453" s="944"/>
      <c r="BE453" s="944"/>
      <c r="BF453" s="944"/>
      <c r="BG453" s="944"/>
      <c r="BH453" s="944"/>
      <c r="BI453" s="944"/>
      <c r="BJ453" s="944"/>
      <c r="BK453" s="944"/>
      <c r="BL453" s="944"/>
      <c r="BM453" s="944"/>
      <c r="BN453" s="944"/>
      <c r="BO453" s="944"/>
      <c r="BP453" s="45"/>
    </row>
    <row r="454" spans="1:68" ht="14.25" customHeight="1" x14ac:dyDescent="0.3">
      <c r="A454" s="960"/>
      <c r="B454" s="960"/>
      <c r="C454" s="960"/>
      <c r="D454" s="944"/>
      <c r="E454" s="944"/>
      <c r="F454" s="45"/>
      <c r="G454" s="45"/>
      <c r="H454" s="45"/>
      <c r="I454" s="45"/>
      <c r="J454" s="45"/>
      <c r="K454" s="45"/>
      <c r="L454" s="944"/>
      <c r="M454" s="944"/>
      <c r="N454" s="944"/>
      <c r="O454" s="944"/>
      <c r="P454" s="944"/>
      <c r="Q454" s="944"/>
      <c r="R454" s="944"/>
      <c r="S454" s="944"/>
      <c r="T454" s="944"/>
      <c r="U454" s="944"/>
      <c r="V454" s="944"/>
      <c r="W454" s="944"/>
      <c r="X454" s="944"/>
      <c r="Y454" s="944"/>
      <c r="Z454" s="944"/>
      <c r="AA454" s="944"/>
      <c r="AB454" s="944"/>
      <c r="AC454" s="944"/>
      <c r="AD454" s="944"/>
      <c r="AE454" s="944"/>
      <c r="AF454" s="944"/>
      <c r="AG454" s="944"/>
      <c r="AH454" s="944"/>
      <c r="AI454" s="944"/>
      <c r="AJ454" s="944"/>
      <c r="AK454" s="944"/>
      <c r="AL454" s="944"/>
      <c r="AM454" s="944"/>
      <c r="AN454" s="944"/>
      <c r="AO454" s="944"/>
      <c r="AP454" s="944"/>
      <c r="AQ454" s="944"/>
      <c r="AR454" s="944"/>
      <c r="AS454" s="944"/>
      <c r="AT454" s="944"/>
      <c r="AU454" s="944"/>
      <c r="AV454" s="944"/>
      <c r="AW454" s="944"/>
      <c r="AX454" s="944"/>
      <c r="AY454" s="944"/>
      <c r="AZ454" s="944"/>
      <c r="BA454" s="944"/>
      <c r="BB454" s="944"/>
      <c r="BC454" s="944"/>
      <c r="BD454" s="944"/>
      <c r="BE454" s="944"/>
      <c r="BF454" s="944"/>
      <c r="BG454" s="944"/>
      <c r="BH454" s="944"/>
      <c r="BI454" s="944"/>
      <c r="BJ454" s="944"/>
      <c r="BK454" s="944"/>
      <c r="BL454" s="944"/>
      <c r="BM454" s="944"/>
      <c r="BN454" s="944"/>
      <c r="BO454" s="944"/>
      <c r="BP454" s="45"/>
    </row>
    <row r="455" spans="1:68" ht="14.25" customHeight="1" x14ac:dyDescent="0.3">
      <c r="A455" s="960"/>
      <c r="B455" s="960"/>
      <c r="C455" s="960"/>
      <c r="D455" s="944"/>
      <c r="E455" s="944"/>
      <c r="F455" s="45"/>
      <c r="G455" s="45"/>
      <c r="H455" s="45"/>
      <c r="I455" s="45"/>
      <c r="J455" s="45"/>
      <c r="K455" s="45"/>
      <c r="L455" s="944"/>
      <c r="M455" s="944"/>
      <c r="N455" s="944"/>
      <c r="O455" s="944"/>
      <c r="P455" s="944"/>
      <c r="Q455" s="944"/>
      <c r="R455" s="944"/>
      <c r="S455" s="944"/>
      <c r="T455" s="944"/>
      <c r="U455" s="944"/>
      <c r="V455" s="944"/>
      <c r="W455" s="944"/>
      <c r="X455" s="944"/>
      <c r="Y455" s="944"/>
      <c r="Z455" s="944"/>
      <c r="AA455" s="944"/>
      <c r="AB455" s="944"/>
      <c r="AC455" s="944"/>
      <c r="AD455" s="944"/>
      <c r="AE455" s="944"/>
      <c r="AF455" s="944"/>
      <c r="AG455" s="944"/>
      <c r="AH455" s="944"/>
      <c r="AI455" s="944"/>
      <c r="AJ455" s="944"/>
      <c r="AK455" s="944"/>
      <c r="AL455" s="944"/>
      <c r="AM455" s="944"/>
      <c r="AN455" s="944"/>
      <c r="AO455" s="944"/>
      <c r="AP455" s="944"/>
      <c r="AQ455" s="944"/>
      <c r="AR455" s="944"/>
      <c r="AS455" s="944"/>
      <c r="AT455" s="944"/>
      <c r="AU455" s="944"/>
      <c r="AV455" s="944"/>
      <c r="AW455" s="944"/>
      <c r="AX455" s="944"/>
      <c r="AY455" s="944"/>
      <c r="AZ455" s="944"/>
      <c r="BA455" s="944"/>
      <c r="BB455" s="944"/>
      <c r="BC455" s="944"/>
      <c r="BD455" s="944"/>
      <c r="BE455" s="944"/>
      <c r="BF455" s="944"/>
      <c r="BG455" s="944"/>
      <c r="BH455" s="944"/>
      <c r="BI455" s="944"/>
      <c r="BJ455" s="944"/>
      <c r="BK455" s="944"/>
      <c r="BL455" s="944"/>
      <c r="BM455" s="944"/>
      <c r="BN455" s="944"/>
      <c r="BO455" s="944"/>
      <c r="BP455" s="45"/>
    </row>
    <row r="456" spans="1:68" ht="14.25" customHeight="1" x14ac:dyDescent="0.3">
      <c r="A456" s="960"/>
      <c r="B456" s="960"/>
      <c r="C456" s="960"/>
      <c r="D456" s="944"/>
      <c r="E456" s="944"/>
      <c r="F456" s="45"/>
      <c r="G456" s="45"/>
      <c r="H456" s="45"/>
      <c r="I456" s="45"/>
      <c r="J456" s="45"/>
      <c r="K456" s="45"/>
      <c r="L456" s="944"/>
      <c r="M456" s="944"/>
      <c r="N456" s="944"/>
      <c r="O456" s="944"/>
      <c r="P456" s="944"/>
      <c r="Q456" s="944"/>
      <c r="R456" s="944"/>
      <c r="S456" s="944"/>
      <c r="T456" s="944"/>
      <c r="U456" s="944"/>
      <c r="V456" s="944"/>
      <c r="W456" s="944"/>
      <c r="X456" s="944"/>
      <c r="Y456" s="944"/>
      <c r="Z456" s="944"/>
      <c r="AA456" s="944"/>
      <c r="AB456" s="944"/>
      <c r="AC456" s="944"/>
      <c r="AD456" s="944"/>
      <c r="AE456" s="944"/>
      <c r="AF456" s="944"/>
      <c r="AG456" s="944"/>
      <c r="AH456" s="944"/>
      <c r="AI456" s="944"/>
      <c r="AJ456" s="944"/>
      <c r="AK456" s="944"/>
      <c r="AL456" s="944"/>
      <c r="AM456" s="944"/>
      <c r="AN456" s="944"/>
      <c r="AO456" s="944"/>
      <c r="AP456" s="944"/>
      <c r="AQ456" s="944"/>
      <c r="AR456" s="944"/>
      <c r="AS456" s="944"/>
      <c r="AT456" s="944"/>
      <c r="AU456" s="944"/>
      <c r="AV456" s="944"/>
      <c r="AW456" s="944"/>
      <c r="AX456" s="944"/>
      <c r="AY456" s="944"/>
      <c r="AZ456" s="944"/>
      <c r="BA456" s="944"/>
      <c r="BB456" s="944"/>
      <c r="BC456" s="944"/>
      <c r="BD456" s="944"/>
      <c r="BE456" s="944"/>
      <c r="BF456" s="944"/>
      <c r="BG456" s="944"/>
      <c r="BH456" s="944"/>
      <c r="BI456" s="944"/>
      <c r="BJ456" s="944"/>
      <c r="BK456" s="944"/>
      <c r="BL456" s="944"/>
      <c r="BM456" s="944"/>
      <c r="BN456" s="944"/>
      <c r="BO456" s="944"/>
      <c r="BP456" s="45"/>
    </row>
    <row r="457" spans="1:68" ht="14.25" customHeight="1" x14ac:dyDescent="0.3">
      <c r="A457" s="960"/>
      <c r="B457" s="960"/>
      <c r="C457" s="960"/>
      <c r="D457" s="944"/>
      <c r="E457" s="944"/>
      <c r="F457" s="45"/>
      <c r="G457" s="45"/>
      <c r="H457" s="45"/>
      <c r="I457" s="45"/>
      <c r="J457" s="45"/>
      <c r="K457" s="45"/>
      <c r="L457" s="944"/>
      <c r="M457" s="944"/>
      <c r="N457" s="944"/>
      <c r="O457" s="944"/>
      <c r="P457" s="944"/>
      <c r="Q457" s="944"/>
      <c r="R457" s="944"/>
      <c r="S457" s="944"/>
      <c r="T457" s="944"/>
      <c r="U457" s="944"/>
      <c r="V457" s="944"/>
      <c r="W457" s="944"/>
      <c r="X457" s="944"/>
      <c r="Y457" s="944"/>
      <c r="Z457" s="944"/>
      <c r="AA457" s="944"/>
      <c r="AB457" s="944"/>
      <c r="AC457" s="944"/>
      <c r="AD457" s="944"/>
      <c r="AE457" s="944"/>
      <c r="AF457" s="944"/>
      <c r="AG457" s="944"/>
      <c r="AH457" s="944"/>
      <c r="AI457" s="944"/>
      <c r="AJ457" s="944"/>
      <c r="AK457" s="944"/>
      <c r="AL457" s="944"/>
      <c r="AM457" s="944"/>
      <c r="AN457" s="944"/>
      <c r="AO457" s="944"/>
      <c r="AP457" s="944"/>
      <c r="AQ457" s="944"/>
      <c r="AR457" s="944"/>
      <c r="AS457" s="944"/>
      <c r="AT457" s="944"/>
      <c r="AU457" s="944"/>
      <c r="AV457" s="944"/>
      <c r="AW457" s="944"/>
      <c r="AX457" s="944"/>
      <c r="AY457" s="944"/>
      <c r="AZ457" s="944"/>
      <c r="BA457" s="944"/>
      <c r="BB457" s="944"/>
      <c r="BC457" s="944"/>
      <c r="BD457" s="944"/>
      <c r="BE457" s="944"/>
      <c r="BF457" s="944"/>
      <c r="BG457" s="944"/>
      <c r="BH457" s="944"/>
      <c r="BI457" s="944"/>
      <c r="BJ457" s="944"/>
      <c r="BK457" s="944"/>
      <c r="BL457" s="944"/>
      <c r="BM457" s="944"/>
      <c r="BN457" s="944"/>
      <c r="BO457" s="944"/>
      <c r="BP457" s="45"/>
    </row>
    <row r="458" spans="1:68" ht="14.25" customHeight="1" x14ac:dyDescent="0.3">
      <c r="A458" s="960"/>
      <c r="B458" s="960"/>
      <c r="C458" s="960"/>
      <c r="D458" s="944"/>
      <c r="E458" s="944"/>
      <c r="F458" s="45"/>
      <c r="G458" s="45"/>
      <c r="H458" s="45"/>
      <c r="I458" s="45"/>
      <c r="J458" s="45"/>
      <c r="K458" s="45"/>
      <c r="L458" s="944"/>
      <c r="M458" s="944"/>
      <c r="N458" s="944"/>
      <c r="O458" s="944"/>
      <c r="P458" s="944"/>
      <c r="Q458" s="944"/>
      <c r="R458" s="944"/>
      <c r="S458" s="944"/>
      <c r="T458" s="944"/>
      <c r="U458" s="944"/>
      <c r="V458" s="944"/>
      <c r="W458" s="944"/>
      <c r="X458" s="944"/>
      <c r="Y458" s="944"/>
      <c r="Z458" s="944"/>
      <c r="AA458" s="944"/>
      <c r="AB458" s="944"/>
      <c r="AC458" s="944"/>
      <c r="AD458" s="944"/>
      <c r="AE458" s="944"/>
      <c r="AF458" s="944"/>
      <c r="AG458" s="944"/>
      <c r="AH458" s="944"/>
      <c r="AI458" s="944"/>
      <c r="AJ458" s="944"/>
      <c r="AK458" s="944"/>
      <c r="AL458" s="944"/>
      <c r="AM458" s="944"/>
      <c r="AN458" s="944"/>
      <c r="AO458" s="944"/>
      <c r="AP458" s="944"/>
      <c r="AQ458" s="944"/>
      <c r="AR458" s="944"/>
      <c r="AS458" s="944"/>
      <c r="AT458" s="944"/>
      <c r="AU458" s="944"/>
      <c r="AV458" s="944"/>
      <c r="AW458" s="944"/>
      <c r="AX458" s="944"/>
      <c r="AY458" s="944"/>
      <c r="AZ458" s="944"/>
      <c r="BA458" s="944"/>
      <c r="BB458" s="944"/>
      <c r="BC458" s="944"/>
      <c r="BD458" s="944"/>
      <c r="BE458" s="944"/>
      <c r="BF458" s="944"/>
      <c r="BG458" s="944"/>
      <c r="BH458" s="944"/>
      <c r="BI458" s="944"/>
      <c r="BJ458" s="944"/>
      <c r="BK458" s="944"/>
      <c r="BL458" s="944"/>
      <c r="BM458" s="944"/>
      <c r="BN458" s="944"/>
      <c r="BO458" s="944"/>
      <c r="BP458" s="45"/>
    </row>
    <row r="459" spans="1:68" ht="14.25" customHeight="1" x14ac:dyDescent="0.3">
      <c r="A459" s="960"/>
      <c r="B459" s="960"/>
      <c r="C459" s="960"/>
      <c r="D459" s="944"/>
      <c r="E459" s="944"/>
      <c r="F459" s="45"/>
      <c r="G459" s="45"/>
      <c r="H459" s="45"/>
      <c r="I459" s="45"/>
      <c r="J459" s="45"/>
      <c r="K459" s="45"/>
      <c r="L459" s="944"/>
      <c r="M459" s="944"/>
      <c r="N459" s="944"/>
      <c r="O459" s="944"/>
      <c r="P459" s="944"/>
      <c r="Q459" s="944"/>
      <c r="R459" s="944"/>
      <c r="S459" s="944"/>
      <c r="T459" s="944"/>
      <c r="U459" s="944"/>
      <c r="V459" s="944"/>
      <c r="W459" s="944"/>
      <c r="X459" s="944"/>
      <c r="Y459" s="944"/>
      <c r="Z459" s="944"/>
      <c r="AA459" s="944"/>
      <c r="AB459" s="944"/>
      <c r="AC459" s="944"/>
      <c r="AD459" s="944"/>
      <c r="AE459" s="944"/>
      <c r="AF459" s="944"/>
      <c r="AG459" s="944"/>
      <c r="AH459" s="944"/>
      <c r="AI459" s="944"/>
      <c r="AJ459" s="944"/>
      <c r="AK459" s="944"/>
      <c r="AL459" s="944"/>
      <c r="AM459" s="944"/>
      <c r="AN459" s="944"/>
      <c r="AO459" s="944"/>
      <c r="AP459" s="944"/>
      <c r="AQ459" s="944"/>
      <c r="AR459" s="944"/>
      <c r="AS459" s="944"/>
      <c r="AT459" s="944"/>
      <c r="AU459" s="944"/>
      <c r="AV459" s="944"/>
      <c r="AW459" s="944"/>
      <c r="AX459" s="944"/>
      <c r="AY459" s="944"/>
      <c r="AZ459" s="944"/>
      <c r="BA459" s="944"/>
      <c r="BB459" s="944"/>
      <c r="BC459" s="944"/>
      <c r="BD459" s="944"/>
      <c r="BE459" s="944"/>
      <c r="BF459" s="944"/>
      <c r="BG459" s="944"/>
      <c r="BH459" s="944"/>
      <c r="BI459" s="944"/>
      <c r="BJ459" s="944"/>
      <c r="BK459" s="944"/>
      <c r="BL459" s="944"/>
      <c r="BM459" s="944"/>
      <c r="BN459" s="944"/>
      <c r="BO459" s="944"/>
      <c r="BP459" s="45"/>
    </row>
    <row r="460" spans="1:68" ht="14.25" customHeight="1" x14ac:dyDescent="0.3">
      <c r="A460" s="960"/>
      <c r="B460" s="960"/>
      <c r="C460" s="960"/>
      <c r="D460" s="944"/>
      <c r="E460" s="944"/>
      <c r="F460" s="45"/>
      <c r="G460" s="45"/>
      <c r="H460" s="45"/>
      <c r="I460" s="45"/>
      <c r="J460" s="45"/>
      <c r="K460" s="45"/>
      <c r="L460" s="944"/>
      <c r="M460" s="944"/>
      <c r="N460" s="944"/>
      <c r="O460" s="944"/>
      <c r="P460" s="944"/>
      <c r="Q460" s="944"/>
      <c r="R460" s="944"/>
      <c r="S460" s="944"/>
      <c r="T460" s="944"/>
      <c r="U460" s="944"/>
      <c r="V460" s="944"/>
      <c r="W460" s="944"/>
      <c r="X460" s="944"/>
      <c r="Y460" s="944"/>
      <c r="Z460" s="944"/>
      <c r="AA460" s="944"/>
      <c r="AB460" s="944"/>
      <c r="AC460" s="944"/>
      <c r="AD460" s="944"/>
      <c r="AE460" s="944"/>
      <c r="AF460" s="944"/>
      <c r="AG460" s="944"/>
      <c r="AH460" s="944"/>
      <c r="AI460" s="944"/>
      <c r="AJ460" s="944"/>
      <c r="AK460" s="944"/>
      <c r="AL460" s="944"/>
      <c r="AM460" s="944"/>
      <c r="AN460" s="944"/>
      <c r="AO460" s="944"/>
      <c r="AP460" s="944"/>
      <c r="AQ460" s="944"/>
      <c r="AR460" s="944"/>
      <c r="AS460" s="944"/>
      <c r="AT460" s="944"/>
      <c r="AU460" s="944"/>
      <c r="AV460" s="944"/>
      <c r="AW460" s="944"/>
      <c r="AX460" s="944"/>
      <c r="AY460" s="944"/>
      <c r="AZ460" s="944"/>
      <c r="BA460" s="944"/>
      <c r="BB460" s="944"/>
      <c r="BC460" s="944"/>
      <c r="BD460" s="944"/>
      <c r="BE460" s="944"/>
      <c r="BF460" s="944"/>
      <c r="BG460" s="944"/>
      <c r="BH460" s="944"/>
      <c r="BI460" s="944"/>
      <c r="BJ460" s="944"/>
      <c r="BK460" s="944"/>
      <c r="BL460" s="944"/>
      <c r="BM460" s="944"/>
      <c r="BN460" s="944"/>
      <c r="BO460" s="944"/>
      <c r="BP460" s="45"/>
    </row>
    <row r="461" spans="1:68" ht="14.25" customHeight="1" x14ac:dyDescent="0.3">
      <c r="A461" s="960"/>
      <c r="B461" s="960"/>
      <c r="C461" s="960"/>
      <c r="D461" s="944"/>
      <c r="E461" s="944"/>
      <c r="F461" s="45"/>
      <c r="G461" s="45"/>
      <c r="H461" s="45"/>
      <c r="I461" s="45"/>
      <c r="J461" s="45"/>
      <c r="K461" s="45"/>
      <c r="L461" s="944"/>
      <c r="M461" s="944"/>
      <c r="N461" s="944"/>
      <c r="O461" s="944"/>
      <c r="P461" s="944"/>
      <c r="Q461" s="944"/>
      <c r="R461" s="944"/>
      <c r="S461" s="944"/>
      <c r="T461" s="944"/>
      <c r="U461" s="944"/>
      <c r="V461" s="944"/>
      <c r="W461" s="944"/>
      <c r="X461" s="944"/>
      <c r="Y461" s="944"/>
      <c r="Z461" s="944"/>
      <c r="AA461" s="944"/>
      <c r="AB461" s="944"/>
      <c r="AC461" s="944"/>
      <c r="AD461" s="944"/>
      <c r="AE461" s="944"/>
      <c r="AF461" s="944"/>
      <c r="AG461" s="944"/>
      <c r="AH461" s="944"/>
      <c r="AI461" s="944"/>
      <c r="AJ461" s="944"/>
      <c r="AK461" s="944"/>
      <c r="AL461" s="944"/>
      <c r="AM461" s="944"/>
      <c r="AN461" s="944"/>
      <c r="AO461" s="944"/>
      <c r="AP461" s="944"/>
      <c r="AQ461" s="944"/>
      <c r="AR461" s="944"/>
      <c r="AS461" s="944"/>
      <c r="AT461" s="944"/>
      <c r="AU461" s="944"/>
      <c r="AV461" s="944"/>
      <c r="AW461" s="944"/>
      <c r="AX461" s="944"/>
      <c r="AY461" s="944"/>
      <c r="AZ461" s="944"/>
      <c r="BA461" s="944"/>
      <c r="BB461" s="944"/>
      <c r="BC461" s="944"/>
      <c r="BD461" s="944"/>
      <c r="BE461" s="944"/>
      <c r="BF461" s="944"/>
      <c r="BG461" s="944"/>
      <c r="BH461" s="944"/>
      <c r="BI461" s="944"/>
      <c r="BJ461" s="944"/>
      <c r="BK461" s="944"/>
      <c r="BL461" s="944"/>
      <c r="BM461" s="944"/>
      <c r="BN461" s="944"/>
      <c r="BO461" s="944"/>
      <c r="BP461" s="45"/>
    </row>
    <row r="462" spans="1:68" ht="14.25" customHeight="1" x14ac:dyDescent="0.3">
      <c r="A462" s="960"/>
      <c r="B462" s="960"/>
      <c r="C462" s="960"/>
      <c r="D462" s="944"/>
      <c r="E462" s="944"/>
      <c r="F462" s="45"/>
      <c r="G462" s="45"/>
      <c r="H462" s="45"/>
      <c r="I462" s="45"/>
      <c r="J462" s="45"/>
      <c r="K462" s="45"/>
      <c r="L462" s="944"/>
      <c r="M462" s="944"/>
      <c r="N462" s="944"/>
      <c r="O462" s="944"/>
      <c r="P462" s="944"/>
      <c r="Q462" s="944"/>
      <c r="R462" s="944"/>
      <c r="S462" s="944"/>
      <c r="T462" s="944"/>
      <c r="U462" s="944"/>
      <c r="V462" s="944"/>
      <c r="W462" s="944"/>
      <c r="X462" s="944"/>
      <c r="Y462" s="944"/>
      <c r="Z462" s="944"/>
      <c r="AA462" s="944"/>
      <c r="AB462" s="944"/>
      <c r="AC462" s="944"/>
      <c r="AD462" s="944"/>
      <c r="AE462" s="944"/>
      <c r="AF462" s="944"/>
      <c r="AG462" s="944"/>
      <c r="AH462" s="944"/>
      <c r="AI462" s="944"/>
      <c r="AJ462" s="944"/>
      <c r="AK462" s="944"/>
      <c r="AL462" s="944"/>
      <c r="AM462" s="944"/>
      <c r="AN462" s="944"/>
      <c r="AO462" s="944"/>
      <c r="AP462" s="944"/>
      <c r="AQ462" s="944"/>
      <c r="AR462" s="944"/>
      <c r="AS462" s="944"/>
      <c r="AT462" s="944"/>
      <c r="AU462" s="944"/>
      <c r="AV462" s="944"/>
      <c r="AW462" s="944"/>
      <c r="AX462" s="944"/>
      <c r="AY462" s="944"/>
      <c r="AZ462" s="944"/>
      <c r="BA462" s="944"/>
      <c r="BB462" s="944"/>
      <c r="BC462" s="944"/>
      <c r="BD462" s="944"/>
      <c r="BE462" s="944"/>
      <c r="BF462" s="944"/>
      <c r="BG462" s="944"/>
      <c r="BH462" s="944"/>
      <c r="BI462" s="944"/>
      <c r="BJ462" s="944"/>
      <c r="BK462" s="944"/>
      <c r="BL462" s="944"/>
      <c r="BM462" s="944"/>
      <c r="BN462" s="944"/>
      <c r="BO462" s="944"/>
      <c r="BP462" s="45"/>
    </row>
    <row r="463" spans="1:68" ht="14.25" customHeight="1" x14ac:dyDescent="0.3">
      <c r="A463" s="960"/>
      <c r="B463" s="960"/>
      <c r="C463" s="960"/>
      <c r="D463" s="944"/>
      <c r="E463" s="944"/>
      <c r="F463" s="45"/>
      <c r="G463" s="45"/>
      <c r="H463" s="45"/>
      <c r="I463" s="45"/>
      <c r="J463" s="45"/>
      <c r="K463" s="45"/>
      <c r="L463" s="944"/>
      <c r="M463" s="944"/>
      <c r="N463" s="944"/>
      <c r="O463" s="944"/>
      <c r="P463" s="944"/>
      <c r="Q463" s="944"/>
      <c r="R463" s="944"/>
      <c r="S463" s="944"/>
      <c r="T463" s="944"/>
      <c r="U463" s="944"/>
      <c r="V463" s="944"/>
      <c r="W463" s="944"/>
      <c r="X463" s="944"/>
      <c r="Y463" s="944"/>
      <c r="Z463" s="944"/>
      <c r="AA463" s="944"/>
      <c r="AB463" s="944"/>
      <c r="AC463" s="944"/>
      <c r="AD463" s="944"/>
      <c r="AE463" s="944"/>
      <c r="AF463" s="944"/>
      <c r="AG463" s="944"/>
      <c r="AH463" s="944"/>
      <c r="AI463" s="944"/>
      <c r="AJ463" s="944"/>
      <c r="AK463" s="944"/>
      <c r="AL463" s="944"/>
      <c r="AM463" s="944"/>
      <c r="AN463" s="944"/>
      <c r="AO463" s="944"/>
      <c r="AP463" s="944"/>
      <c r="AQ463" s="944"/>
      <c r="AR463" s="944"/>
      <c r="AS463" s="944"/>
      <c r="AT463" s="944"/>
      <c r="AU463" s="944"/>
      <c r="AV463" s="944"/>
      <c r="AW463" s="944"/>
      <c r="AX463" s="944"/>
      <c r="AY463" s="944"/>
      <c r="AZ463" s="944"/>
      <c r="BA463" s="944"/>
      <c r="BB463" s="944"/>
      <c r="BC463" s="944"/>
      <c r="BD463" s="944"/>
      <c r="BE463" s="944"/>
      <c r="BF463" s="944"/>
      <c r="BG463" s="944"/>
      <c r="BH463" s="944"/>
      <c r="BI463" s="944"/>
      <c r="BJ463" s="944"/>
      <c r="BK463" s="944"/>
      <c r="BL463" s="944"/>
      <c r="BM463" s="944"/>
      <c r="BN463" s="944"/>
      <c r="BO463" s="944"/>
      <c r="BP463" s="45"/>
    </row>
    <row r="464" spans="1:68" ht="14.25" customHeight="1" x14ac:dyDescent="0.3">
      <c r="A464" s="960"/>
      <c r="B464" s="960"/>
      <c r="C464" s="960"/>
      <c r="D464" s="944"/>
      <c r="E464" s="944"/>
      <c r="F464" s="45"/>
      <c r="G464" s="45"/>
      <c r="H464" s="45"/>
      <c r="I464" s="45"/>
      <c r="J464" s="45"/>
      <c r="K464" s="45"/>
      <c r="L464" s="944"/>
      <c r="M464" s="944"/>
      <c r="N464" s="944"/>
      <c r="O464" s="944"/>
      <c r="P464" s="944"/>
      <c r="Q464" s="944"/>
      <c r="R464" s="944"/>
      <c r="S464" s="944"/>
      <c r="T464" s="944"/>
      <c r="U464" s="944"/>
      <c r="V464" s="944"/>
      <c r="W464" s="944"/>
      <c r="X464" s="944"/>
      <c r="Y464" s="944"/>
      <c r="Z464" s="944"/>
      <c r="AA464" s="944"/>
      <c r="AB464" s="944"/>
      <c r="AC464" s="944"/>
      <c r="AD464" s="944"/>
      <c r="AE464" s="944"/>
      <c r="AF464" s="944"/>
      <c r="AG464" s="944"/>
      <c r="AH464" s="944"/>
      <c r="AI464" s="944"/>
      <c r="AJ464" s="944"/>
      <c r="AK464" s="944"/>
      <c r="AL464" s="944"/>
      <c r="AM464" s="944"/>
      <c r="AN464" s="944"/>
      <c r="AO464" s="944"/>
      <c r="AP464" s="944"/>
      <c r="AQ464" s="944"/>
      <c r="AR464" s="944"/>
      <c r="AS464" s="944"/>
      <c r="AT464" s="944"/>
      <c r="AU464" s="944"/>
      <c r="AV464" s="944"/>
      <c r="AW464" s="944"/>
      <c r="AX464" s="944"/>
      <c r="AY464" s="944"/>
      <c r="AZ464" s="944"/>
      <c r="BA464" s="944"/>
      <c r="BB464" s="944"/>
      <c r="BC464" s="944"/>
      <c r="BD464" s="944"/>
      <c r="BE464" s="944"/>
      <c r="BF464" s="944"/>
      <c r="BG464" s="944"/>
      <c r="BH464" s="944"/>
      <c r="BI464" s="944"/>
      <c r="BJ464" s="944"/>
      <c r="BK464" s="944"/>
      <c r="BL464" s="944"/>
      <c r="BM464" s="944"/>
      <c r="BN464" s="944"/>
      <c r="BO464" s="944"/>
      <c r="BP464" s="45"/>
    </row>
    <row r="465" spans="1:68" ht="14.25" customHeight="1" x14ac:dyDescent="0.3">
      <c r="A465" s="960"/>
      <c r="B465" s="960"/>
      <c r="C465" s="960"/>
      <c r="D465" s="944"/>
      <c r="E465" s="944"/>
      <c r="F465" s="45"/>
      <c r="G465" s="45"/>
      <c r="H465" s="45"/>
      <c r="I465" s="45"/>
      <c r="J465" s="45"/>
      <c r="K465" s="45"/>
      <c r="L465" s="944"/>
      <c r="M465" s="944"/>
      <c r="N465" s="944"/>
      <c r="O465" s="944"/>
      <c r="P465" s="944"/>
      <c r="Q465" s="944"/>
      <c r="R465" s="944"/>
      <c r="S465" s="944"/>
      <c r="T465" s="944"/>
      <c r="U465" s="944"/>
      <c r="V465" s="944"/>
      <c r="W465" s="944"/>
      <c r="X465" s="944"/>
      <c r="Y465" s="944"/>
      <c r="Z465" s="944"/>
      <c r="AA465" s="944"/>
      <c r="AB465" s="944"/>
      <c r="AC465" s="944"/>
      <c r="AD465" s="944"/>
      <c r="AE465" s="944"/>
      <c r="AF465" s="944"/>
      <c r="AG465" s="944"/>
      <c r="AH465" s="944"/>
      <c r="AI465" s="944"/>
      <c r="AJ465" s="944"/>
      <c r="AK465" s="944"/>
      <c r="AL465" s="944"/>
      <c r="AM465" s="944"/>
      <c r="AN465" s="944"/>
      <c r="AO465" s="944"/>
      <c r="AP465" s="944"/>
      <c r="AQ465" s="944"/>
      <c r="AR465" s="944"/>
      <c r="AS465" s="944"/>
      <c r="AT465" s="944"/>
      <c r="AU465" s="944"/>
      <c r="AV465" s="944"/>
      <c r="AW465" s="944"/>
      <c r="AX465" s="944"/>
      <c r="AY465" s="944"/>
      <c r="AZ465" s="944"/>
      <c r="BA465" s="944"/>
      <c r="BB465" s="944"/>
      <c r="BC465" s="944"/>
      <c r="BD465" s="944"/>
      <c r="BE465" s="944"/>
      <c r="BF465" s="944"/>
      <c r="BG465" s="944"/>
      <c r="BH465" s="944"/>
      <c r="BI465" s="944"/>
      <c r="BJ465" s="944"/>
      <c r="BK465" s="944"/>
      <c r="BL465" s="944"/>
      <c r="BM465" s="944"/>
      <c r="BN465" s="944"/>
      <c r="BO465" s="944"/>
      <c r="BP465" s="45"/>
    </row>
    <row r="466" spans="1:68" ht="14.25" customHeight="1" x14ac:dyDescent="0.3">
      <c r="A466" s="960"/>
      <c r="B466" s="960"/>
      <c r="C466" s="960"/>
      <c r="D466" s="944"/>
      <c r="E466" s="944"/>
      <c r="F466" s="45"/>
      <c r="G466" s="45"/>
      <c r="H466" s="45"/>
      <c r="I466" s="45"/>
      <c r="J466" s="45"/>
      <c r="K466" s="45"/>
      <c r="L466" s="944"/>
      <c r="M466" s="944"/>
      <c r="N466" s="944"/>
      <c r="O466" s="944"/>
      <c r="P466" s="944"/>
      <c r="Q466" s="944"/>
      <c r="R466" s="944"/>
      <c r="S466" s="944"/>
      <c r="T466" s="944"/>
      <c r="U466" s="944"/>
      <c r="V466" s="944"/>
      <c r="W466" s="944"/>
      <c r="X466" s="944"/>
      <c r="Y466" s="944"/>
      <c r="Z466" s="944"/>
      <c r="AA466" s="944"/>
      <c r="AB466" s="944"/>
      <c r="AC466" s="944"/>
      <c r="AD466" s="944"/>
      <c r="AE466" s="944"/>
      <c r="AF466" s="944"/>
      <c r="AG466" s="944"/>
      <c r="AH466" s="944"/>
      <c r="AI466" s="944"/>
      <c r="AJ466" s="944"/>
      <c r="AK466" s="944"/>
      <c r="AL466" s="944"/>
      <c r="AM466" s="944"/>
      <c r="AN466" s="944"/>
      <c r="AO466" s="944"/>
      <c r="AP466" s="944"/>
      <c r="AQ466" s="944"/>
      <c r="AR466" s="944"/>
      <c r="AS466" s="944"/>
      <c r="AT466" s="944"/>
      <c r="AU466" s="944"/>
      <c r="AV466" s="944"/>
      <c r="AW466" s="944"/>
      <c r="AX466" s="944"/>
      <c r="AY466" s="944"/>
      <c r="AZ466" s="944"/>
      <c r="BA466" s="944"/>
      <c r="BB466" s="944"/>
      <c r="BC466" s="944"/>
      <c r="BD466" s="944"/>
      <c r="BE466" s="944"/>
      <c r="BF466" s="944"/>
      <c r="BG466" s="944"/>
      <c r="BH466" s="944"/>
      <c r="BI466" s="944"/>
      <c r="BJ466" s="944"/>
      <c r="BK466" s="944"/>
      <c r="BL466" s="944"/>
      <c r="BM466" s="944"/>
      <c r="BN466" s="944"/>
      <c r="BO466" s="944"/>
      <c r="BP466" s="45"/>
    </row>
    <row r="467" spans="1:68" ht="14.25" customHeight="1" x14ac:dyDescent="0.3">
      <c r="A467" s="960"/>
      <c r="B467" s="960"/>
      <c r="C467" s="960"/>
      <c r="D467" s="944"/>
      <c r="E467" s="944"/>
      <c r="F467" s="45"/>
      <c r="G467" s="45"/>
      <c r="H467" s="45"/>
      <c r="I467" s="45"/>
      <c r="J467" s="45"/>
      <c r="K467" s="45"/>
      <c r="L467" s="944"/>
      <c r="M467" s="944"/>
      <c r="N467" s="944"/>
      <c r="O467" s="944"/>
      <c r="P467" s="944"/>
      <c r="Q467" s="944"/>
      <c r="R467" s="944"/>
      <c r="S467" s="944"/>
      <c r="T467" s="944"/>
      <c r="U467" s="944"/>
      <c r="V467" s="944"/>
      <c r="W467" s="944"/>
      <c r="X467" s="944"/>
      <c r="Y467" s="944"/>
      <c r="Z467" s="944"/>
      <c r="AA467" s="944"/>
      <c r="AB467" s="944"/>
      <c r="AC467" s="944"/>
      <c r="AD467" s="944"/>
      <c r="AE467" s="944"/>
      <c r="AF467" s="944"/>
      <c r="AG467" s="944"/>
      <c r="AH467" s="944"/>
      <c r="AI467" s="944"/>
      <c r="AJ467" s="944"/>
      <c r="AK467" s="944"/>
      <c r="AL467" s="944"/>
      <c r="AM467" s="944"/>
      <c r="AN467" s="944"/>
      <c r="AO467" s="944"/>
      <c r="AP467" s="944"/>
      <c r="AQ467" s="944"/>
      <c r="AR467" s="944"/>
      <c r="AS467" s="944"/>
      <c r="AT467" s="944"/>
      <c r="AU467" s="944"/>
      <c r="AV467" s="944"/>
      <c r="AW467" s="944"/>
      <c r="AX467" s="944"/>
      <c r="AY467" s="944"/>
      <c r="AZ467" s="944"/>
      <c r="BA467" s="944"/>
      <c r="BB467" s="944"/>
      <c r="BC467" s="944"/>
      <c r="BD467" s="944"/>
      <c r="BE467" s="944"/>
      <c r="BF467" s="944"/>
      <c r="BG467" s="944"/>
      <c r="BH467" s="944"/>
      <c r="BI467" s="944"/>
      <c r="BJ467" s="944"/>
      <c r="BK467" s="944"/>
      <c r="BL467" s="944"/>
      <c r="BM467" s="944"/>
      <c r="BN467" s="944"/>
      <c r="BO467" s="944"/>
      <c r="BP467" s="45"/>
    </row>
    <row r="468" spans="1:68" ht="14.25" customHeight="1" x14ac:dyDescent="0.3">
      <c r="A468" s="960"/>
      <c r="B468" s="960"/>
      <c r="C468" s="960"/>
      <c r="D468" s="944"/>
      <c r="E468" s="944"/>
      <c r="F468" s="45"/>
      <c r="G468" s="45"/>
      <c r="H468" s="45"/>
      <c r="I468" s="45"/>
      <c r="J468" s="45"/>
      <c r="K468" s="45"/>
      <c r="L468" s="944"/>
      <c r="M468" s="944"/>
      <c r="N468" s="944"/>
      <c r="O468" s="944"/>
      <c r="P468" s="944"/>
      <c r="Q468" s="944"/>
      <c r="R468" s="944"/>
      <c r="S468" s="944"/>
      <c r="T468" s="944"/>
      <c r="U468" s="944"/>
      <c r="V468" s="944"/>
      <c r="W468" s="944"/>
      <c r="X468" s="944"/>
      <c r="Y468" s="944"/>
      <c r="Z468" s="944"/>
      <c r="AA468" s="944"/>
      <c r="AB468" s="944"/>
      <c r="AC468" s="944"/>
      <c r="AD468" s="944"/>
      <c r="AE468" s="944"/>
      <c r="AF468" s="944"/>
      <c r="AG468" s="944"/>
      <c r="AH468" s="944"/>
      <c r="AI468" s="944"/>
      <c r="AJ468" s="944"/>
      <c r="AK468" s="944"/>
      <c r="AL468" s="944"/>
      <c r="AM468" s="944"/>
      <c r="AN468" s="944"/>
      <c r="AO468" s="944"/>
      <c r="AP468" s="944"/>
      <c r="AQ468" s="944"/>
      <c r="AR468" s="944"/>
      <c r="AS468" s="944"/>
      <c r="AT468" s="944"/>
      <c r="AU468" s="944"/>
      <c r="AV468" s="944"/>
      <c r="AW468" s="944"/>
      <c r="AX468" s="944"/>
      <c r="AY468" s="944"/>
      <c r="AZ468" s="944"/>
      <c r="BA468" s="944"/>
      <c r="BB468" s="944"/>
      <c r="BC468" s="944"/>
      <c r="BD468" s="944"/>
      <c r="BE468" s="944"/>
      <c r="BF468" s="944"/>
      <c r="BG468" s="944"/>
      <c r="BH468" s="944"/>
      <c r="BI468" s="944"/>
      <c r="BJ468" s="944"/>
      <c r="BK468" s="944"/>
      <c r="BL468" s="944"/>
      <c r="BM468" s="944"/>
      <c r="BN468" s="944"/>
      <c r="BO468" s="944"/>
      <c r="BP468" s="45"/>
    </row>
    <row r="469" spans="1:68" ht="14.25" customHeight="1" x14ac:dyDescent="0.3">
      <c r="A469" s="960"/>
      <c r="B469" s="960"/>
      <c r="C469" s="960"/>
      <c r="D469" s="944"/>
      <c r="E469" s="944"/>
      <c r="F469" s="45"/>
      <c r="G469" s="45"/>
      <c r="H469" s="45"/>
      <c r="I469" s="45"/>
      <c r="J469" s="45"/>
      <c r="K469" s="45"/>
      <c r="L469" s="944"/>
      <c r="M469" s="944"/>
      <c r="N469" s="944"/>
      <c r="O469" s="944"/>
      <c r="P469" s="944"/>
      <c r="Q469" s="944"/>
      <c r="R469" s="944"/>
      <c r="S469" s="944"/>
      <c r="T469" s="944"/>
      <c r="U469" s="944"/>
      <c r="V469" s="944"/>
      <c r="W469" s="944"/>
      <c r="X469" s="944"/>
      <c r="Y469" s="944"/>
      <c r="Z469" s="944"/>
      <c r="AA469" s="944"/>
      <c r="AB469" s="944"/>
      <c r="AC469" s="944"/>
      <c r="AD469" s="944"/>
      <c r="AE469" s="944"/>
      <c r="AF469" s="944"/>
      <c r="AG469" s="944"/>
      <c r="AH469" s="944"/>
      <c r="AI469" s="944"/>
      <c r="AJ469" s="944"/>
      <c r="AK469" s="944"/>
      <c r="AL469" s="944"/>
      <c r="AM469" s="944"/>
      <c r="AN469" s="944"/>
      <c r="AO469" s="944"/>
      <c r="AP469" s="944"/>
      <c r="AQ469" s="944"/>
      <c r="AR469" s="944"/>
      <c r="AS469" s="944"/>
      <c r="AT469" s="944"/>
      <c r="AU469" s="944"/>
      <c r="AV469" s="944"/>
      <c r="AW469" s="944"/>
      <c r="AX469" s="944"/>
      <c r="AY469" s="944"/>
      <c r="AZ469" s="944"/>
      <c r="BA469" s="944"/>
      <c r="BB469" s="944"/>
      <c r="BC469" s="944"/>
      <c r="BD469" s="944"/>
      <c r="BE469" s="944"/>
      <c r="BF469" s="944"/>
      <c r="BG469" s="944"/>
      <c r="BH469" s="944"/>
      <c r="BI469" s="944"/>
      <c r="BJ469" s="944"/>
      <c r="BK469" s="944"/>
      <c r="BL469" s="944"/>
      <c r="BM469" s="944"/>
      <c r="BN469" s="944"/>
      <c r="BO469" s="944"/>
      <c r="BP469" s="45"/>
    </row>
    <row r="470" spans="1:68" ht="14.25" customHeight="1" x14ac:dyDescent="0.3">
      <c r="A470" s="960"/>
      <c r="B470" s="960"/>
      <c r="C470" s="960"/>
      <c r="D470" s="944"/>
      <c r="E470" s="944"/>
      <c r="F470" s="45"/>
      <c r="G470" s="45"/>
      <c r="H470" s="45"/>
      <c r="I470" s="45"/>
      <c r="J470" s="45"/>
      <c r="K470" s="45"/>
      <c r="L470" s="944"/>
      <c r="M470" s="944"/>
      <c r="N470" s="944"/>
      <c r="O470" s="944"/>
      <c r="P470" s="944"/>
      <c r="Q470" s="944"/>
      <c r="R470" s="944"/>
      <c r="S470" s="944"/>
      <c r="T470" s="944"/>
      <c r="U470" s="944"/>
      <c r="V470" s="944"/>
      <c r="W470" s="944"/>
      <c r="X470" s="944"/>
      <c r="Y470" s="944"/>
      <c r="Z470" s="944"/>
      <c r="AA470" s="944"/>
      <c r="AB470" s="944"/>
      <c r="AC470" s="944"/>
      <c r="AD470" s="944"/>
      <c r="AE470" s="944"/>
      <c r="AF470" s="944"/>
      <c r="AG470" s="944"/>
      <c r="AH470" s="944"/>
      <c r="AI470" s="944"/>
      <c r="AJ470" s="944"/>
      <c r="AK470" s="944"/>
      <c r="AL470" s="944"/>
      <c r="AM470" s="944"/>
      <c r="AN470" s="944"/>
      <c r="AO470" s="944"/>
      <c r="AP470" s="944"/>
      <c r="AQ470" s="944"/>
      <c r="AR470" s="944"/>
      <c r="AS470" s="944"/>
      <c r="AT470" s="944"/>
      <c r="AU470" s="944"/>
      <c r="AV470" s="944"/>
      <c r="AW470" s="944"/>
      <c r="AX470" s="944"/>
      <c r="AY470" s="944"/>
      <c r="AZ470" s="944"/>
      <c r="BA470" s="944"/>
      <c r="BB470" s="944"/>
      <c r="BC470" s="944"/>
      <c r="BD470" s="944"/>
      <c r="BE470" s="944"/>
      <c r="BF470" s="944"/>
      <c r="BG470" s="944"/>
      <c r="BH470" s="944"/>
      <c r="BI470" s="944"/>
      <c r="BJ470" s="944"/>
      <c r="BK470" s="944"/>
      <c r="BL470" s="944"/>
      <c r="BM470" s="944"/>
      <c r="BN470" s="944"/>
      <c r="BO470" s="944"/>
      <c r="BP470" s="45"/>
    </row>
    <row r="471" spans="1:68" ht="14.25" customHeight="1" x14ac:dyDescent="0.3">
      <c r="A471" s="960"/>
      <c r="B471" s="960"/>
      <c r="C471" s="960"/>
      <c r="D471" s="944"/>
      <c r="E471" s="944"/>
      <c r="F471" s="45"/>
      <c r="G471" s="45"/>
      <c r="H471" s="45"/>
      <c r="I471" s="45"/>
      <c r="J471" s="45"/>
      <c r="K471" s="45"/>
      <c r="L471" s="944"/>
      <c r="M471" s="944"/>
      <c r="N471" s="944"/>
      <c r="O471" s="944"/>
      <c r="P471" s="944"/>
      <c r="Q471" s="944"/>
      <c r="R471" s="944"/>
      <c r="S471" s="944"/>
      <c r="T471" s="944"/>
      <c r="U471" s="944"/>
      <c r="V471" s="944"/>
      <c r="W471" s="944"/>
      <c r="X471" s="944"/>
      <c r="Y471" s="944"/>
      <c r="Z471" s="944"/>
      <c r="AA471" s="944"/>
      <c r="AB471" s="944"/>
      <c r="AC471" s="944"/>
      <c r="AD471" s="944"/>
      <c r="AE471" s="944"/>
      <c r="AF471" s="944"/>
      <c r="AG471" s="944"/>
      <c r="AH471" s="944"/>
      <c r="AI471" s="944"/>
      <c r="AJ471" s="944"/>
      <c r="AK471" s="944"/>
      <c r="AL471" s="944"/>
      <c r="AM471" s="944"/>
      <c r="AN471" s="944"/>
      <c r="AO471" s="944"/>
      <c r="AP471" s="944"/>
      <c r="AQ471" s="944"/>
      <c r="AR471" s="944"/>
      <c r="AS471" s="944"/>
      <c r="AT471" s="944"/>
      <c r="AU471" s="944"/>
      <c r="AV471" s="944"/>
      <c r="AW471" s="944"/>
      <c r="AX471" s="944"/>
      <c r="AY471" s="944"/>
      <c r="AZ471" s="944"/>
      <c r="BA471" s="944"/>
      <c r="BB471" s="944"/>
      <c r="BC471" s="944"/>
      <c r="BD471" s="944"/>
      <c r="BE471" s="944"/>
      <c r="BF471" s="944"/>
      <c r="BG471" s="944"/>
      <c r="BH471" s="944"/>
      <c r="BI471" s="944"/>
      <c r="BJ471" s="944"/>
      <c r="BK471" s="944"/>
      <c r="BL471" s="944"/>
      <c r="BM471" s="944"/>
      <c r="BN471" s="944"/>
      <c r="BO471" s="944"/>
      <c r="BP471" s="45"/>
    </row>
    <row r="472" spans="1:68" ht="14.25" customHeight="1" x14ac:dyDescent="0.3">
      <c r="A472" s="960"/>
      <c r="B472" s="960"/>
      <c r="C472" s="960"/>
      <c r="D472" s="944"/>
      <c r="E472" s="944"/>
      <c r="F472" s="45"/>
      <c r="G472" s="45"/>
      <c r="H472" s="45"/>
      <c r="I472" s="45"/>
      <c r="J472" s="45"/>
      <c r="K472" s="45"/>
      <c r="L472" s="944"/>
      <c r="M472" s="944"/>
      <c r="N472" s="944"/>
      <c r="O472" s="944"/>
      <c r="P472" s="944"/>
      <c r="Q472" s="944"/>
      <c r="R472" s="944"/>
      <c r="S472" s="944"/>
      <c r="T472" s="944"/>
      <c r="U472" s="944"/>
      <c r="V472" s="944"/>
      <c r="W472" s="944"/>
      <c r="X472" s="944"/>
      <c r="Y472" s="944"/>
      <c r="Z472" s="944"/>
      <c r="AA472" s="944"/>
      <c r="AB472" s="944"/>
      <c r="AC472" s="944"/>
      <c r="AD472" s="944"/>
      <c r="AE472" s="944"/>
      <c r="AF472" s="944"/>
      <c r="AG472" s="944"/>
      <c r="AH472" s="944"/>
      <c r="AI472" s="944"/>
      <c r="AJ472" s="944"/>
      <c r="AK472" s="944"/>
      <c r="AL472" s="944"/>
      <c r="AM472" s="944"/>
      <c r="AN472" s="944"/>
      <c r="AO472" s="944"/>
      <c r="AP472" s="944"/>
      <c r="AQ472" s="944"/>
      <c r="AR472" s="944"/>
      <c r="AS472" s="944"/>
      <c r="AT472" s="944"/>
      <c r="AU472" s="944"/>
      <c r="AV472" s="944"/>
      <c r="AW472" s="944"/>
      <c r="AX472" s="944"/>
      <c r="AY472" s="944"/>
      <c r="AZ472" s="944"/>
      <c r="BA472" s="944"/>
      <c r="BB472" s="944"/>
      <c r="BC472" s="944"/>
      <c r="BD472" s="944"/>
      <c r="BE472" s="944"/>
      <c r="BF472" s="944"/>
      <c r="BG472" s="944"/>
      <c r="BH472" s="944"/>
      <c r="BI472" s="944"/>
      <c r="BJ472" s="944"/>
      <c r="BK472" s="944"/>
      <c r="BL472" s="944"/>
      <c r="BM472" s="944"/>
      <c r="BN472" s="944"/>
      <c r="BO472" s="944"/>
      <c r="BP472" s="45"/>
    </row>
    <row r="473" spans="1:68" ht="14.25" customHeight="1" x14ac:dyDescent="0.3">
      <c r="A473" s="960"/>
      <c r="B473" s="960"/>
      <c r="C473" s="960"/>
      <c r="D473" s="944"/>
      <c r="E473" s="944"/>
      <c r="F473" s="45"/>
      <c r="G473" s="45"/>
      <c r="H473" s="45"/>
      <c r="I473" s="45"/>
      <c r="J473" s="45"/>
      <c r="K473" s="45"/>
      <c r="L473" s="944"/>
      <c r="M473" s="944"/>
      <c r="N473" s="944"/>
      <c r="O473" s="944"/>
      <c r="P473" s="944"/>
      <c r="Q473" s="944"/>
      <c r="R473" s="944"/>
      <c r="S473" s="944"/>
      <c r="T473" s="944"/>
      <c r="U473" s="944"/>
      <c r="V473" s="944"/>
      <c r="W473" s="944"/>
      <c r="X473" s="944"/>
      <c r="Y473" s="944"/>
      <c r="Z473" s="944"/>
      <c r="AA473" s="944"/>
      <c r="AB473" s="944"/>
      <c r="AC473" s="944"/>
      <c r="AD473" s="944"/>
      <c r="AE473" s="944"/>
      <c r="AF473" s="944"/>
      <c r="AG473" s="944"/>
      <c r="AH473" s="944"/>
      <c r="AI473" s="944"/>
      <c r="AJ473" s="944"/>
      <c r="AK473" s="944"/>
      <c r="AL473" s="944"/>
      <c r="AM473" s="944"/>
      <c r="AN473" s="944"/>
      <c r="AO473" s="944"/>
      <c r="AP473" s="944"/>
      <c r="AQ473" s="944"/>
      <c r="AR473" s="944"/>
      <c r="AS473" s="944"/>
      <c r="AT473" s="944"/>
      <c r="AU473" s="944"/>
      <c r="AV473" s="944"/>
      <c r="AW473" s="944"/>
      <c r="AX473" s="944"/>
      <c r="AY473" s="944"/>
      <c r="AZ473" s="944"/>
      <c r="BA473" s="944"/>
      <c r="BB473" s="944"/>
      <c r="BC473" s="944"/>
      <c r="BD473" s="944"/>
      <c r="BE473" s="944"/>
      <c r="BF473" s="944"/>
      <c r="BG473" s="944"/>
      <c r="BH473" s="944"/>
      <c r="BI473" s="944"/>
      <c r="BJ473" s="944"/>
      <c r="BK473" s="944"/>
      <c r="BL473" s="944"/>
      <c r="BM473" s="944"/>
      <c r="BN473" s="944"/>
      <c r="BO473" s="944"/>
      <c r="BP473" s="45"/>
    </row>
    <row r="474" spans="1:68" ht="14.25" customHeight="1" x14ac:dyDescent="0.3">
      <c r="A474" s="960"/>
      <c r="B474" s="960"/>
      <c r="C474" s="960"/>
      <c r="D474" s="944"/>
      <c r="E474" s="944"/>
      <c r="F474" s="45"/>
      <c r="G474" s="45"/>
      <c r="H474" s="45"/>
      <c r="I474" s="45"/>
      <c r="J474" s="45"/>
      <c r="K474" s="45"/>
      <c r="L474" s="944"/>
      <c r="M474" s="944"/>
      <c r="N474" s="944"/>
      <c r="O474" s="944"/>
      <c r="P474" s="944"/>
      <c r="Q474" s="944"/>
      <c r="R474" s="944"/>
      <c r="S474" s="944"/>
      <c r="T474" s="944"/>
      <c r="U474" s="944"/>
      <c r="V474" s="944"/>
      <c r="W474" s="944"/>
      <c r="X474" s="944"/>
      <c r="Y474" s="944"/>
      <c r="Z474" s="944"/>
      <c r="AA474" s="944"/>
      <c r="AB474" s="944"/>
      <c r="AC474" s="944"/>
      <c r="AD474" s="944"/>
      <c r="AE474" s="944"/>
      <c r="AF474" s="944"/>
      <c r="AG474" s="944"/>
      <c r="AH474" s="944"/>
      <c r="AI474" s="944"/>
      <c r="AJ474" s="944"/>
      <c r="AK474" s="944"/>
      <c r="AL474" s="944"/>
      <c r="AM474" s="944"/>
      <c r="AN474" s="944"/>
      <c r="AO474" s="944"/>
      <c r="AP474" s="944"/>
      <c r="AQ474" s="944"/>
      <c r="AR474" s="944"/>
      <c r="AS474" s="944"/>
      <c r="AT474" s="944"/>
      <c r="AU474" s="944"/>
      <c r="AV474" s="944"/>
      <c r="AW474" s="944"/>
      <c r="AX474" s="944"/>
      <c r="AY474" s="944"/>
      <c r="AZ474" s="944"/>
      <c r="BA474" s="944"/>
      <c r="BB474" s="944"/>
      <c r="BC474" s="944"/>
      <c r="BD474" s="944"/>
      <c r="BE474" s="944"/>
      <c r="BF474" s="944"/>
      <c r="BG474" s="944"/>
      <c r="BH474" s="944"/>
      <c r="BI474" s="944"/>
      <c r="BJ474" s="944"/>
      <c r="BK474" s="944"/>
      <c r="BL474" s="944"/>
      <c r="BM474" s="944"/>
      <c r="BN474" s="944"/>
      <c r="BO474" s="944"/>
      <c r="BP474" s="45"/>
    </row>
    <row r="475" spans="1:68" ht="14.25" customHeight="1" x14ac:dyDescent="0.3">
      <c r="A475" s="960"/>
      <c r="B475" s="960"/>
      <c r="C475" s="960"/>
      <c r="D475" s="944"/>
      <c r="E475" s="944"/>
      <c r="F475" s="45"/>
      <c r="G475" s="45"/>
      <c r="H475" s="45"/>
      <c r="I475" s="45"/>
      <c r="J475" s="45"/>
      <c r="K475" s="45"/>
      <c r="L475" s="944"/>
      <c r="M475" s="944"/>
      <c r="N475" s="944"/>
      <c r="O475" s="944"/>
      <c r="P475" s="944"/>
      <c r="Q475" s="944"/>
      <c r="R475" s="944"/>
      <c r="S475" s="944"/>
      <c r="T475" s="944"/>
      <c r="U475" s="944"/>
      <c r="V475" s="944"/>
      <c r="W475" s="944"/>
      <c r="X475" s="944"/>
      <c r="Y475" s="944"/>
      <c r="Z475" s="944"/>
      <c r="AA475" s="944"/>
      <c r="AB475" s="944"/>
      <c r="AC475" s="944"/>
      <c r="AD475" s="944"/>
      <c r="AE475" s="944"/>
      <c r="AF475" s="944"/>
      <c r="AG475" s="944"/>
      <c r="AH475" s="944"/>
      <c r="AI475" s="944"/>
      <c r="AJ475" s="944"/>
      <c r="AK475" s="944"/>
      <c r="AL475" s="944"/>
      <c r="AM475" s="944"/>
      <c r="AN475" s="944"/>
      <c r="AO475" s="944"/>
      <c r="AP475" s="944"/>
      <c r="AQ475" s="944"/>
      <c r="AR475" s="944"/>
      <c r="AS475" s="944"/>
      <c r="AT475" s="944"/>
      <c r="AU475" s="944"/>
      <c r="AV475" s="944"/>
      <c r="AW475" s="944"/>
      <c r="AX475" s="944"/>
      <c r="AY475" s="944"/>
      <c r="AZ475" s="944"/>
      <c r="BA475" s="944"/>
      <c r="BB475" s="944"/>
      <c r="BC475" s="944"/>
      <c r="BD475" s="944"/>
      <c r="BE475" s="944"/>
      <c r="BF475" s="944"/>
      <c r="BG475" s="944"/>
      <c r="BH475" s="944"/>
      <c r="BI475" s="944"/>
      <c r="BJ475" s="944"/>
      <c r="BK475" s="944"/>
      <c r="BL475" s="944"/>
      <c r="BM475" s="944"/>
      <c r="BN475" s="944"/>
      <c r="BO475" s="944"/>
      <c r="BP475" s="45"/>
    </row>
    <row r="476" spans="1:68" ht="14.25" customHeight="1" x14ac:dyDescent="0.3">
      <c r="A476" s="960"/>
      <c r="B476" s="960"/>
      <c r="C476" s="960"/>
      <c r="D476" s="944"/>
      <c r="E476" s="944"/>
      <c r="F476" s="45"/>
      <c r="G476" s="45"/>
      <c r="H476" s="45"/>
      <c r="I476" s="45"/>
      <c r="J476" s="45"/>
      <c r="K476" s="45"/>
      <c r="L476" s="944"/>
      <c r="M476" s="944"/>
      <c r="N476" s="944"/>
      <c r="O476" s="944"/>
      <c r="P476" s="944"/>
      <c r="Q476" s="944"/>
      <c r="R476" s="944"/>
      <c r="S476" s="944"/>
      <c r="T476" s="944"/>
      <c r="U476" s="944"/>
      <c r="V476" s="944"/>
      <c r="W476" s="944"/>
      <c r="X476" s="944"/>
      <c r="Y476" s="944"/>
      <c r="Z476" s="944"/>
      <c r="AA476" s="944"/>
      <c r="AB476" s="944"/>
      <c r="AC476" s="944"/>
      <c r="AD476" s="944"/>
      <c r="AE476" s="944"/>
      <c r="AF476" s="944"/>
      <c r="AG476" s="944"/>
      <c r="AH476" s="944"/>
      <c r="AI476" s="944"/>
      <c r="AJ476" s="944"/>
      <c r="AK476" s="944"/>
      <c r="AL476" s="944"/>
      <c r="AM476" s="944"/>
      <c r="AN476" s="944"/>
      <c r="AO476" s="944"/>
      <c r="AP476" s="944"/>
      <c r="AQ476" s="944"/>
      <c r="AR476" s="944"/>
      <c r="AS476" s="944"/>
      <c r="AT476" s="944"/>
      <c r="AU476" s="944"/>
      <c r="AV476" s="944"/>
      <c r="AW476" s="944"/>
      <c r="AX476" s="944"/>
      <c r="AY476" s="944"/>
      <c r="AZ476" s="944"/>
      <c r="BA476" s="944"/>
      <c r="BB476" s="944"/>
      <c r="BC476" s="944"/>
      <c r="BD476" s="944"/>
      <c r="BE476" s="944"/>
      <c r="BF476" s="944"/>
      <c r="BG476" s="944"/>
      <c r="BH476" s="944"/>
      <c r="BI476" s="944"/>
      <c r="BJ476" s="944"/>
      <c r="BK476" s="944"/>
      <c r="BL476" s="944"/>
      <c r="BM476" s="944"/>
      <c r="BN476" s="944"/>
      <c r="BO476" s="944"/>
      <c r="BP476" s="45"/>
    </row>
    <row r="477" spans="1:68" ht="14.25" customHeight="1" x14ac:dyDescent="0.3">
      <c r="A477" s="960"/>
      <c r="B477" s="960"/>
      <c r="C477" s="960"/>
      <c r="D477" s="944"/>
      <c r="E477" s="944"/>
      <c r="F477" s="45"/>
      <c r="G477" s="45"/>
      <c r="H477" s="45"/>
      <c r="I477" s="45"/>
      <c r="J477" s="45"/>
      <c r="K477" s="45"/>
      <c r="L477" s="944"/>
      <c r="M477" s="944"/>
      <c r="N477" s="944"/>
      <c r="O477" s="944"/>
      <c r="P477" s="944"/>
      <c r="Q477" s="944"/>
      <c r="R477" s="944"/>
      <c r="S477" s="944"/>
      <c r="T477" s="944"/>
      <c r="U477" s="944"/>
      <c r="V477" s="944"/>
      <c r="W477" s="944"/>
      <c r="X477" s="944"/>
      <c r="Y477" s="944"/>
      <c r="Z477" s="944"/>
      <c r="AA477" s="944"/>
      <c r="AB477" s="944"/>
      <c r="AC477" s="944"/>
      <c r="AD477" s="944"/>
      <c r="AE477" s="944"/>
      <c r="AF477" s="944"/>
      <c r="AG477" s="944"/>
      <c r="AH477" s="944"/>
      <c r="AI477" s="944"/>
      <c r="AJ477" s="944"/>
      <c r="AK477" s="944"/>
      <c r="AL477" s="944"/>
      <c r="AM477" s="944"/>
      <c r="AN477" s="944"/>
      <c r="AO477" s="944"/>
      <c r="AP477" s="944"/>
      <c r="AQ477" s="944"/>
      <c r="AR477" s="944"/>
      <c r="AS477" s="944"/>
      <c r="AT477" s="944"/>
      <c r="AU477" s="944"/>
      <c r="AV477" s="944"/>
      <c r="AW477" s="944"/>
      <c r="AX477" s="944"/>
      <c r="AY477" s="944"/>
      <c r="AZ477" s="944"/>
      <c r="BA477" s="944"/>
      <c r="BB477" s="944"/>
      <c r="BC477" s="944"/>
      <c r="BD477" s="944"/>
      <c r="BE477" s="944"/>
      <c r="BF477" s="944"/>
      <c r="BG477" s="944"/>
      <c r="BH477" s="944"/>
      <c r="BI477" s="944"/>
      <c r="BJ477" s="944"/>
      <c r="BK477" s="944"/>
      <c r="BL477" s="944"/>
      <c r="BM477" s="944"/>
      <c r="BN477" s="944"/>
      <c r="BO477" s="944"/>
      <c r="BP477" s="45"/>
    </row>
    <row r="478" spans="1:68" ht="14.25" customHeight="1" x14ac:dyDescent="0.3">
      <c r="A478" s="960"/>
      <c r="B478" s="960"/>
      <c r="C478" s="960"/>
      <c r="D478" s="944"/>
      <c r="E478" s="944"/>
      <c r="F478" s="45"/>
      <c r="G478" s="45"/>
      <c r="H478" s="45"/>
      <c r="I478" s="45"/>
      <c r="J478" s="45"/>
      <c r="K478" s="45"/>
      <c r="L478" s="944"/>
      <c r="M478" s="944"/>
      <c r="N478" s="944"/>
      <c r="O478" s="944"/>
      <c r="P478" s="944"/>
      <c r="Q478" s="944"/>
      <c r="R478" s="944"/>
      <c r="S478" s="944"/>
      <c r="T478" s="944"/>
      <c r="U478" s="944"/>
      <c r="V478" s="944"/>
      <c r="W478" s="944"/>
      <c r="X478" s="944"/>
      <c r="Y478" s="944"/>
      <c r="Z478" s="944"/>
      <c r="AA478" s="944"/>
      <c r="AB478" s="944"/>
      <c r="AC478" s="944"/>
      <c r="AD478" s="944"/>
      <c r="AE478" s="944"/>
      <c r="AF478" s="944"/>
      <c r="AG478" s="944"/>
      <c r="AH478" s="944"/>
      <c r="AI478" s="944"/>
      <c r="AJ478" s="944"/>
      <c r="AK478" s="944"/>
      <c r="AL478" s="944"/>
      <c r="AM478" s="944"/>
      <c r="AN478" s="944"/>
      <c r="AO478" s="944"/>
      <c r="AP478" s="944"/>
      <c r="AQ478" s="944"/>
      <c r="AR478" s="944"/>
      <c r="AS478" s="944"/>
      <c r="AT478" s="944"/>
      <c r="AU478" s="944"/>
      <c r="AV478" s="944"/>
      <c r="AW478" s="944"/>
      <c r="AX478" s="944"/>
      <c r="AY478" s="944"/>
      <c r="AZ478" s="944"/>
      <c r="BA478" s="944"/>
      <c r="BB478" s="944"/>
      <c r="BC478" s="944"/>
      <c r="BD478" s="944"/>
      <c r="BE478" s="944"/>
      <c r="BF478" s="944"/>
      <c r="BG478" s="944"/>
      <c r="BH478" s="944"/>
      <c r="BI478" s="944"/>
      <c r="BJ478" s="944"/>
      <c r="BK478" s="944"/>
      <c r="BL478" s="944"/>
      <c r="BM478" s="944"/>
      <c r="BN478" s="944"/>
      <c r="BO478" s="944"/>
      <c r="BP478" s="45"/>
    </row>
    <row r="479" spans="1:68" ht="14.25" customHeight="1" x14ac:dyDescent="0.3">
      <c r="A479" s="960"/>
      <c r="B479" s="960"/>
      <c r="C479" s="960"/>
      <c r="D479" s="944"/>
      <c r="E479" s="944"/>
      <c r="F479" s="45"/>
      <c r="G479" s="45"/>
      <c r="H479" s="45"/>
      <c r="I479" s="45"/>
      <c r="J479" s="45"/>
      <c r="K479" s="45"/>
      <c r="L479" s="944"/>
      <c r="M479" s="944"/>
      <c r="N479" s="944"/>
      <c r="O479" s="944"/>
      <c r="P479" s="944"/>
      <c r="Q479" s="944"/>
      <c r="R479" s="944"/>
      <c r="S479" s="944"/>
      <c r="T479" s="944"/>
      <c r="U479" s="944"/>
      <c r="V479" s="944"/>
      <c r="W479" s="944"/>
      <c r="X479" s="944"/>
      <c r="Y479" s="944"/>
      <c r="Z479" s="944"/>
      <c r="AA479" s="944"/>
      <c r="AB479" s="944"/>
      <c r="AC479" s="944"/>
      <c r="AD479" s="944"/>
      <c r="AE479" s="944"/>
      <c r="AF479" s="944"/>
      <c r="AG479" s="944"/>
      <c r="AH479" s="944"/>
      <c r="AI479" s="944"/>
      <c r="AJ479" s="944"/>
      <c r="AK479" s="944"/>
      <c r="AL479" s="944"/>
      <c r="AM479" s="944"/>
      <c r="AN479" s="944"/>
      <c r="AO479" s="944"/>
      <c r="AP479" s="944"/>
      <c r="AQ479" s="944"/>
      <c r="AR479" s="944"/>
      <c r="AS479" s="944"/>
      <c r="AT479" s="944"/>
      <c r="AU479" s="944"/>
      <c r="AV479" s="944"/>
      <c r="AW479" s="944"/>
      <c r="AX479" s="944"/>
      <c r="AY479" s="944"/>
      <c r="AZ479" s="944"/>
      <c r="BA479" s="944"/>
      <c r="BB479" s="944"/>
      <c r="BC479" s="944"/>
      <c r="BD479" s="944"/>
      <c r="BE479" s="944"/>
      <c r="BF479" s="944"/>
      <c r="BG479" s="944"/>
      <c r="BH479" s="944"/>
      <c r="BI479" s="944"/>
      <c r="BJ479" s="944"/>
      <c r="BK479" s="944"/>
      <c r="BL479" s="944"/>
      <c r="BM479" s="944"/>
      <c r="BN479" s="944"/>
      <c r="BO479" s="944"/>
      <c r="BP479" s="45"/>
    </row>
    <row r="480" spans="1:68" ht="14.25" customHeight="1" x14ac:dyDescent="0.3">
      <c r="A480" s="960"/>
      <c r="B480" s="960"/>
      <c r="C480" s="960"/>
      <c r="D480" s="944"/>
      <c r="E480" s="944"/>
      <c r="F480" s="45"/>
      <c r="G480" s="45"/>
      <c r="H480" s="45"/>
      <c r="I480" s="45"/>
      <c r="J480" s="45"/>
      <c r="K480" s="45"/>
      <c r="L480" s="944"/>
      <c r="M480" s="944"/>
      <c r="N480" s="944"/>
      <c r="O480" s="944"/>
      <c r="P480" s="944"/>
      <c r="Q480" s="944"/>
      <c r="R480" s="944"/>
      <c r="S480" s="944"/>
      <c r="T480" s="944"/>
      <c r="U480" s="944"/>
      <c r="V480" s="944"/>
      <c r="W480" s="944"/>
      <c r="X480" s="944"/>
      <c r="Y480" s="944"/>
      <c r="Z480" s="944"/>
      <c r="AA480" s="944"/>
      <c r="AB480" s="944"/>
      <c r="AC480" s="944"/>
      <c r="AD480" s="944"/>
      <c r="AE480" s="944"/>
      <c r="AF480" s="944"/>
      <c r="AG480" s="944"/>
      <c r="AH480" s="944"/>
      <c r="AI480" s="944"/>
      <c r="AJ480" s="944"/>
      <c r="AK480" s="944"/>
      <c r="AL480" s="944"/>
      <c r="AM480" s="944"/>
      <c r="AN480" s="944"/>
      <c r="AO480" s="944"/>
      <c r="AP480" s="944"/>
      <c r="AQ480" s="944"/>
      <c r="AR480" s="944"/>
      <c r="AS480" s="944"/>
      <c r="AT480" s="944"/>
      <c r="AU480" s="944"/>
      <c r="AV480" s="944"/>
      <c r="AW480" s="944"/>
      <c r="AX480" s="944"/>
      <c r="AY480" s="944"/>
      <c r="AZ480" s="944"/>
      <c r="BA480" s="944"/>
      <c r="BB480" s="944"/>
      <c r="BC480" s="944"/>
      <c r="BD480" s="944"/>
      <c r="BE480" s="944"/>
      <c r="BF480" s="944"/>
      <c r="BG480" s="944"/>
      <c r="BH480" s="944"/>
      <c r="BI480" s="944"/>
      <c r="BJ480" s="944"/>
      <c r="BK480" s="944"/>
      <c r="BL480" s="944"/>
      <c r="BM480" s="944"/>
      <c r="BN480" s="944"/>
      <c r="BO480" s="944"/>
      <c r="BP480" s="45"/>
    </row>
    <row r="481" spans="1:68" ht="14.25" customHeight="1" x14ac:dyDescent="0.3">
      <c r="A481" s="960"/>
      <c r="B481" s="960"/>
      <c r="C481" s="960"/>
      <c r="D481" s="944"/>
      <c r="E481" s="944"/>
      <c r="F481" s="45"/>
      <c r="G481" s="45"/>
      <c r="H481" s="45"/>
      <c r="I481" s="45"/>
      <c r="J481" s="45"/>
      <c r="K481" s="45"/>
      <c r="L481" s="944"/>
      <c r="M481" s="944"/>
      <c r="N481" s="944"/>
      <c r="O481" s="944"/>
      <c r="P481" s="944"/>
      <c r="Q481" s="944"/>
      <c r="R481" s="944"/>
      <c r="S481" s="944"/>
      <c r="T481" s="944"/>
      <c r="U481" s="944"/>
      <c r="V481" s="944"/>
      <c r="W481" s="944"/>
      <c r="X481" s="944"/>
      <c r="Y481" s="944"/>
      <c r="Z481" s="944"/>
      <c r="AA481" s="944"/>
      <c r="AB481" s="944"/>
      <c r="AC481" s="944"/>
      <c r="AD481" s="944"/>
      <c r="AE481" s="944"/>
      <c r="AF481" s="944"/>
      <c r="AG481" s="944"/>
      <c r="AH481" s="944"/>
      <c r="AI481" s="944"/>
      <c r="AJ481" s="944"/>
      <c r="AK481" s="944"/>
      <c r="AL481" s="944"/>
      <c r="AM481" s="944"/>
      <c r="AN481" s="944"/>
      <c r="AO481" s="944"/>
      <c r="AP481" s="944"/>
      <c r="AQ481" s="944"/>
      <c r="AR481" s="944"/>
      <c r="AS481" s="944"/>
      <c r="AT481" s="944"/>
      <c r="AU481" s="944"/>
      <c r="AV481" s="944"/>
      <c r="AW481" s="944"/>
      <c r="AX481" s="944"/>
      <c r="AY481" s="944"/>
      <c r="AZ481" s="944"/>
      <c r="BA481" s="944"/>
      <c r="BB481" s="944"/>
      <c r="BC481" s="944"/>
      <c r="BD481" s="944"/>
      <c r="BE481" s="944"/>
      <c r="BF481" s="944"/>
      <c r="BG481" s="944"/>
      <c r="BH481" s="944"/>
      <c r="BI481" s="944"/>
      <c r="BJ481" s="944"/>
      <c r="BK481" s="944"/>
      <c r="BL481" s="944"/>
      <c r="BM481" s="944"/>
      <c r="BN481" s="944"/>
      <c r="BO481" s="944"/>
      <c r="BP481" s="45"/>
    </row>
    <row r="482" spans="1:68" ht="14.25" customHeight="1" x14ac:dyDescent="0.3">
      <c r="A482" s="960"/>
      <c r="B482" s="960"/>
      <c r="C482" s="960"/>
      <c r="D482" s="944"/>
      <c r="E482" s="944"/>
      <c r="F482" s="45"/>
      <c r="G482" s="45"/>
      <c r="H482" s="45"/>
      <c r="I482" s="45"/>
      <c r="J482" s="45"/>
      <c r="K482" s="45"/>
      <c r="L482" s="944"/>
      <c r="M482" s="944"/>
      <c r="N482" s="944"/>
      <c r="O482" s="944"/>
      <c r="P482" s="944"/>
      <c r="Q482" s="944"/>
      <c r="R482" s="944"/>
      <c r="S482" s="944"/>
      <c r="T482" s="944"/>
      <c r="U482" s="944"/>
      <c r="V482" s="944"/>
      <c r="W482" s="944"/>
      <c r="X482" s="944"/>
      <c r="Y482" s="944"/>
      <c r="Z482" s="944"/>
      <c r="AA482" s="944"/>
      <c r="AB482" s="944"/>
      <c r="AC482" s="944"/>
      <c r="AD482" s="944"/>
      <c r="AE482" s="944"/>
      <c r="AF482" s="944"/>
      <c r="AG482" s="944"/>
      <c r="AH482" s="944"/>
      <c r="AI482" s="944"/>
      <c r="AJ482" s="944"/>
      <c r="AK482" s="944"/>
      <c r="AL482" s="944"/>
      <c r="AM482" s="944"/>
      <c r="AN482" s="944"/>
      <c r="AO482" s="944"/>
      <c r="AP482" s="944"/>
      <c r="AQ482" s="944"/>
      <c r="AR482" s="944"/>
      <c r="AS482" s="944"/>
      <c r="AT482" s="944"/>
      <c r="AU482" s="944"/>
      <c r="AV482" s="944"/>
      <c r="AW482" s="944"/>
      <c r="AX482" s="944"/>
      <c r="AY482" s="944"/>
      <c r="AZ482" s="944"/>
      <c r="BA482" s="944"/>
      <c r="BB482" s="944"/>
      <c r="BC482" s="944"/>
      <c r="BD482" s="944"/>
      <c r="BE482" s="944"/>
      <c r="BF482" s="944"/>
      <c r="BG482" s="944"/>
      <c r="BH482" s="944"/>
      <c r="BI482" s="944"/>
      <c r="BJ482" s="944"/>
      <c r="BK482" s="944"/>
      <c r="BL482" s="944"/>
      <c r="BM482" s="944"/>
      <c r="BN482" s="944"/>
      <c r="BO482" s="944"/>
      <c r="BP482" s="45"/>
    </row>
    <row r="483" spans="1:68" ht="14.25" customHeight="1" x14ac:dyDescent="0.3">
      <c r="A483" s="960"/>
      <c r="B483" s="960"/>
      <c r="C483" s="960"/>
      <c r="D483" s="944"/>
      <c r="E483" s="944"/>
      <c r="F483" s="45"/>
      <c r="G483" s="45"/>
      <c r="H483" s="45"/>
      <c r="I483" s="45"/>
      <c r="J483" s="45"/>
      <c r="K483" s="45"/>
      <c r="L483" s="944"/>
      <c r="M483" s="944"/>
      <c r="N483" s="944"/>
      <c r="O483" s="944"/>
      <c r="P483" s="944"/>
      <c r="Q483" s="944"/>
      <c r="R483" s="944"/>
      <c r="S483" s="944"/>
      <c r="T483" s="944"/>
      <c r="U483" s="944"/>
      <c r="V483" s="944"/>
      <c r="W483" s="944"/>
      <c r="X483" s="944"/>
      <c r="Y483" s="944"/>
      <c r="Z483" s="944"/>
      <c r="AA483" s="944"/>
      <c r="AB483" s="944"/>
      <c r="AC483" s="944"/>
      <c r="AD483" s="944"/>
      <c r="AE483" s="944"/>
      <c r="AF483" s="944"/>
      <c r="AG483" s="944"/>
      <c r="AH483" s="944"/>
      <c r="AI483" s="944"/>
      <c r="AJ483" s="944"/>
      <c r="AK483" s="944"/>
      <c r="AL483" s="944"/>
      <c r="AM483" s="944"/>
      <c r="AN483" s="944"/>
      <c r="AO483" s="944"/>
      <c r="AP483" s="944"/>
      <c r="AQ483" s="944"/>
      <c r="AR483" s="944"/>
      <c r="AS483" s="944"/>
      <c r="AT483" s="944"/>
      <c r="AU483" s="944"/>
      <c r="AV483" s="944"/>
      <c r="AW483" s="944"/>
      <c r="AX483" s="944"/>
      <c r="AY483" s="944"/>
      <c r="AZ483" s="944"/>
      <c r="BA483" s="944"/>
      <c r="BB483" s="944"/>
      <c r="BC483" s="944"/>
      <c r="BD483" s="944"/>
      <c r="BE483" s="944"/>
      <c r="BF483" s="944"/>
      <c r="BG483" s="944"/>
      <c r="BH483" s="944"/>
      <c r="BI483" s="944"/>
      <c r="BJ483" s="944"/>
      <c r="BK483" s="944"/>
      <c r="BL483" s="944"/>
      <c r="BM483" s="944"/>
      <c r="BN483" s="944"/>
      <c r="BO483" s="944"/>
      <c r="BP483" s="45"/>
    </row>
    <row r="484" spans="1:68" ht="14.25" customHeight="1" x14ac:dyDescent="0.3">
      <c r="A484" s="960"/>
      <c r="B484" s="960"/>
      <c r="C484" s="960"/>
      <c r="D484" s="944"/>
      <c r="E484" s="944"/>
      <c r="F484" s="45"/>
      <c r="G484" s="45"/>
      <c r="H484" s="45"/>
      <c r="I484" s="45"/>
      <c r="J484" s="45"/>
      <c r="K484" s="45"/>
      <c r="L484" s="944"/>
      <c r="M484" s="944"/>
      <c r="N484" s="944"/>
      <c r="O484" s="944"/>
      <c r="P484" s="944"/>
      <c r="Q484" s="944"/>
      <c r="R484" s="944"/>
      <c r="S484" s="944"/>
      <c r="T484" s="944"/>
      <c r="U484" s="944"/>
      <c r="V484" s="944"/>
      <c r="W484" s="944"/>
      <c r="X484" s="944"/>
      <c r="Y484" s="944"/>
      <c r="Z484" s="944"/>
      <c r="AA484" s="944"/>
      <c r="AB484" s="944"/>
      <c r="AC484" s="944"/>
      <c r="AD484" s="944"/>
      <c r="AE484" s="944"/>
      <c r="AF484" s="944"/>
      <c r="AG484" s="944"/>
      <c r="AH484" s="944"/>
      <c r="AI484" s="944"/>
      <c r="AJ484" s="944"/>
      <c r="AK484" s="944"/>
      <c r="AL484" s="944"/>
      <c r="AM484" s="944"/>
      <c r="AN484" s="944"/>
      <c r="AO484" s="944"/>
      <c r="AP484" s="944"/>
      <c r="AQ484" s="944"/>
      <c r="AR484" s="944"/>
      <c r="AS484" s="944"/>
      <c r="AT484" s="944"/>
      <c r="AU484" s="944"/>
      <c r="AV484" s="944"/>
      <c r="AW484" s="944"/>
      <c r="AX484" s="944"/>
      <c r="AY484" s="944"/>
      <c r="AZ484" s="944"/>
      <c r="BA484" s="944"/>
      <c r="BB484" s="944"/>
      <c r="BC484" s="944"/>
      <c r="BD484" s="944"/>
      <c r="BE484" s="944"/>
      <c r="BF484" s="944"/>
      <c r="BG484" s="944"/>
      <c r="BH484" s="944"/>
      <c r="BI484" s="944"/>
      <c r="BJ484" s="944"/>
      <c r="BK484" s="944"/>
      <c r="BL484" s="944"/>
      <c r="BM484" s="944"/>
      <c r="BN484" s="944"/>
      <c r="BO484" s="944"/>
      <c r="BP484" s="45"/>
    </row>
    <row r="485" spans="1:68" ht="14.25" customHeight="1" x14ac:dyDescent="0.3">
      <c r="A485" s="960"/>
      <c r="B485" s="960"/>
      <c r="C485" s="960"/>
      <c r="D485" s="944"/>
      <c r="E485" s="944"/>
      <c r="F485" s="45"/>
      <c r="G485" s="45"/>
      <c r="H485" s="45"/>
      <c r="I485" s="45"/>
      <c r="J485" s="45"/>
      <c r="K485" s="45"/>
      <c r="L485" s="944"/>
      <c r="M485" s="944"/>
      <c r="N485" s="944"/>
      <c r="O485" s="944"/>
      <c r="P485" s="944"/>
      <c r="Q485" s="944"/>
      <c r="R485" s="944"/>
      <c r="S485" s="944"/>
      <c r="T485" s="944"/>
      <c r="U485" s="944"/>
      <c r="V485" s="944"/>
      <c r="W485" s="944"/>
      <c r="X485" s="944"/>
      <c r="Y485" s="944"/>
      <c r="Z485" s="944"/>
      <c r="AA485" s="944"/>
      <c r="AB485" s="944"/>
      <c r="AC485" s="944"/>
      <c r="AD485" s="944"/>
      <c r="AE485" s="944"/>
      <c r="AF485" s="944"/>
      <c r="AG485" s="944"/>
      <c r="AH485" s="944"/>
      <c r="AI485" s="944"/>
      <c r="AJ485" s="944"/>
      <c r="AK485" s="944"/>
      <c r="AL485" s="944"/>
      <c r="AM485" s="944"/>
      <c r="AN485" s="944"/>
      <c r="AO485" s="944"/>
      <c r="AP485" s="944"/>
      <c r="AQ485" s="944"/>
      <c r="AR485" s="944"/>
      <c r="AS485" s="944"/>
      <c r="AT485" s="944"/>
      <c r="AU485" s="944"/>
      <c r="AV485" s="944"/>
      <c r="AW485" s="944"/>
      <c r="AX485" s="944"/>
      <c r="AY485" s="944"/>
      <c r="AZ485" s="944"/>
      <c r="BA485" s="944"/>
      <c r="BB485" s="944"/>
      <c r="BC485" s="944"/>
      <c r="BD485" s="944"/>
      <c r="BE485" s="944"/>
      <c r="BF485" s="944"/>
      <c r="BG485" s="944"/>
      <c r="BH485" s="944"/>
      <c r="BI485" s="944"/>
      <c r="BJ485" s="944"/>
      <c r="BK485" s="944"/>
      <c r="BL485" s="944"/>
      <c r="BM485" s="944"/>
      <c r="BN485" s="944"/>
      <c r="BO485" s="944"/>
      <c r="BP485" s="45"/>
    </row>
    <row r="486" spans="1:68" ht="14.25" customHeight="1" x14ac:dyDescent="0.3">
      <c r="A486" s="960"/>
      <c r="B486" s="960"/>
      <c r="C486" s="960"/>
      <c r="D486" s="944"/>
      <c r="E486" s="944"/>
      <c r="F486" s="45"/>
      <c r="G486" s="45"/>
      <c r="H486" s="45"/>
      <c r="I486" s="45"/>
      <c r="J486" s="45"/>
      <c r="K486" s="45"/>
      <c r="L486" s="944"/>
      <c r="M486" s="944"/>
      <c r="N486" s="944"/>
      <c r="O486" s="944"/>
      <c r="P486" s="944"/>
      <c r="Q486" s="944"/>
      <c r="R486" s="944"/>
      <c r="S486" s="944"/>
      <c r="T486" s="944"/>
      <c r="U486" s="944"/>
      <c r="V486" s="944"/>
      <c r="W486" s="944"/>
      <c r="X486" s="944"/>
      <c r="Y486" s="944"/>
      <c r="Z486" s="944"/>
      <c r="AA486" s="944"/>
      <c r="AB486" s="944"/>
      <c r="AC486" s="944"/>
      <c r="AD486" s="944"/>
      <c r="AE486" s="944"/>
      <c r="AF486" s="944"/>
      <c r="AG486" s="944"/>
      <c r="AH486" s="944"/>
      <c r="AI486" s="944"/>
      <c r="AJ486" s="944"/>
      <c r="AK486" s="944"/>
      <c r="AL486" s="944"/>
      <c r="AM486" s="944"/>
      <c r="AN486" s="944"/>
      <c r="AO486" s="944"/>
      <c r="AP486" s="944"/>
      <c r="AQ486" s="944"/>
      <c r="AR486" s="944"/>
      <c r="AS486" s="944"/>
      <c r="AT486" s="944"/>
      <c r="AU486" s="944"/>
      <c r="AV486" s="944"/>
      <c r="AW486" s="944"/>
      <c r="AX486" s="944"/>
      <c r="AY486" s="944"/>
      <c r="AZ486" s="944"/>
      <c r="BA486" s="944"/>
      <c r="BB486" s="944"/>
      <c r="BC486" s="944"/>
      <c r="BD486" s="944"/>
      <c r="BE486" s="944"/>
      <c r="BF486" s="944"/>
      <c r="BG486" s="944"/>
      <c r="BH486" s="944"/>
      <c r="BI486" s="944"/>
      <c r="BJ486" s="944"/>
      <c r="BK486" s="944"/>
      <c r="BL486" s="944"/>
      <c r="BM486" s="944"/>
      <c r="BN486" s="944"/>
      <c r="BO486" s="944"/>
      <c r="BP486" s="45"/>
    </row>
    <row r="487" spans="1:68" ht="14.25" customHeight="1" x14ac:dyDescent="0.3">
      <c r="A487" s="960"/>
      <c r="B487" s="960"/>
      <c r="C487" s="960"/>
      <c r="D487" s="944"/>
      <c r="E487" s="944"/>
      <c r="F487" s="45"/>
      <c r="G487" s="45"/>
      <c r="H487" s="45"/>
      <c r="I487" s="45"/>
      <c r="J487" s="45"/>
      <c r="K487" s="45"/>
      <c r="L487" s="944"/>
      <c r="M487" s="944"/>
      <c r="N487" s="944"/>
      <c r="O487" s="944"/>
      <c r="P487" s="944"/>
      <c r="Q487" s="944"/>
      <c r="R487" s="944"/>
      <c r="S487" s="944"/>
      <c r="T487" s="944"/>
      <c r="U487" s="944"/>
      <c r="V487" s="944"/>
      <c r="W487" s="944"/>
      <c r="X487" s="944"/>
      <c r="Y487" s="944"/>
      <c r="Z487" s="944"/>
      <c r="AA487" s="944"/>
      <c r="AB487" s="944"/>
      <c r="AC487" s="944"/>
      <c r="AD487" s="944"/>
      <c r="AE487" s="944"/>
      <c r="AF487" s="944"/>
      <c r="AG487" s="944"/>
      <c r="AH487" s="944"/>
      <c r="AI487" s="944"/>
      <c r="AJ487" s="944"/>
      <c r="AK487" s="944"/>
      <c r="AL487" s="944"/>
      <c r="AM487" s="944"/>
      <c r="AN487" s="944"/>
      <c r="AO487" s="944"/>
      <c r="AP487" s="944"/>
      <c r="AQ487" s="944"/>
      <c r="AR487" s="944"/>
      <c r="AS487" s="944"/>
      <c r="AT487" s="944"/>
      <c r="AU487" s="944"/>
      <c r="AV487" s="944"/>
      <c r="AW487" s="944"/>
      <c r="AX487" s="944"/>
      <c r="AY487" s="944"/>
      <c r="AZ487" s="944"/>
      <c r="BA487" s="944"/>
      <c r="BB487" s="944"/>
      <c r="BC487" s="944"/>
      <c r="BD487" s="944"/>
      <c r="BE487" s="944"/>
      <c r="BF487" s="944"/>
      <c r="BG487" s="944"/>
      <c r="BH487" s="944"/>
      <c r="BI487" s="944"/>
      <c r="BJ487" s="944"/>
      <c r="BK487" s="944"/>
      <c r="BL487" s="944"/>
      <c r="BM487" s="944"/>
      <c r="BN487" s="944"/>
      <c r="BO487" s="944"/>
      <c r="BP487" s="45"/>
    </row>
    <row r="488" spans="1:68" ht="14.25" customHeight="1" x14ac:dyDescent="0.3">
      <c r="A488" s="960"/>
      <c r="B488" s="960"/>
      <c r="C488" s="960"/>
      <c r="D488" s="944"/>
      <c r="E488" s="944"/>
      <c r="F488" s="45"/>
      <c r="G488" s="45"/>
      <c r="H488" s="45"/>
      <c r="I488" s="45"/>
      <c r="J488" s="45"/>
      <c r="K488" s="45"/>
      <c r="L488" s="944"/>
      <c r="M488" s="944"/>
      <c r="N488" s="944"/>
      <c r="O488" s="944"/>
      <c r="P488" s="944"/>
      <c r="Q488" s="944"/>
      <c r="R488" s="944"/>
      <c r="S488" s="944"/>
      <c r="T488" s="944"/>
      <c r="U488" s="944"/>
      <c r="V488" s="944"/>
      <c r="W488" s="944"/>
      <c r="X488" s="944"/>
      <c r="Y488" s="944"/>
      <c r="Z488" s="944"/>
      <c r="AA488" s="944"/>
      <c r="AB488" s="944"/>
      <c r="AC488" s="944"/>
      <c r="AD488" s="944"/>
      <c r="AE488" s="944"/>
      <c r="AF488" s="944"/>
      <c r="AG488" s="944"/>
      <c r="AH488" s="944"/>
      <c r="AI488" s="944"/>
      <c r="AJ488" s="944"/>
      <c r="AK488" s="944"/>
      <c r="AL488" s="944"/>
      <c r="AM488" s="944"/>
      <c r="AN488" s="944"/>
      <c r="AO488" s="944"/>
      <c r="AP488" s="944"/>
      <c r="AQ488" s="944"/>
      <c r="AR488" s="944"/>
      <c r="AS488" s="944"/>
      <c r="AT488" s="944"/>
      <c r="AU488" s="944"/>
      <c r="AV488" s="944"/>
      <c r="AW488" s="944"/>
      <c r="AX488" s="944"/>
      <c r="AY488" s="944"/>
      <c r="AZ488" s="944"/>
      <c r="BA488" s="944"/>
      <c r="BB488" s="944"/>
      <c r="BC488" s="944"/>
      <c r="BD488" s="944"/>
      <c r="BE488" s="944"/>
      <c r="BF488" s="944"/>
      <c r="BG488" s="944"/>
      <c r="BH488" s="944"/>
      <c r="BI488" s="944"/>
      <c r="BJ488" s="944"/>
      <c r="BK488" s="944"/>
      <c r="BL488" s="944"/>
      <c r="BM488" s="944"/>
      <c r="BN488" s="944"/>
      <c r="BO488" s="944"/>
      <c r="BP488" s="45"/>
    </row>
    <row r="489" spans="1:68" ht="14.25" customHeight="1" x14ac:dyDescent="0.3">
      <c r="A489" s="960"/>
      <c r="B489" s="960"/>
      <c r="C489" s="960"/>
      <c r="D489" s="944"/>
      <c r="E489" s="944"/>
      <c r="F489" s="45"/>
      <c r="G489" s="45"/>
      <c r="H489" s="45"/>
      <c r="I489" s="45"/>
      <c r="J489" s="45"/>
      <c r="K489" s="45"/>
      <c r="L489" s="944"/>
      <c r="M489" s="944"/>
      <c r="N489" s="944"/>
      <c r="O489" s="944"/>
      <c r="P489" s="944"/>
      <c r="Q489" s="944"/>
      <c r="R489" s="944"/>
      <c r="S489" s="944"/>
      <c r="T489" s="944"/>
      <c r="U489" s="944"/>
      <c r="V489" s="944"/>
      <c r="W489" s="944"/>
      <c r="X489" s="944"/>
      <c r="Y489" s="944"/>
      <c r="Z489" s="944"/>
      <c r="AA489" s="944"/>
      <c r="AB489" s="944"/>
      <c r="AC489" s="944"/>
      <c r="AD489" s="944"/>
      <c r="AE489" s="944"/>
      <c r="AF489" s="944"/>
      <c r="AG489" s="944"/>
      <c r="AH489" s="944"/>
      <c r="AI489" s="944"/>
      <c r="AJ489" s="944"/>
      <c r="AK489" s="944"/>
      <c r="AL489" s="944"/>
      <c r="AM489" s="944"/>
      <c r="AN489" s="944"/>
      <c r="AO489" s="944"/>
      <c r="AP489" s="944"/>
      <c r="AQ489" s="944"/>
      <c r="AR489" s="944"/>
      <c r="AS489" s="944"/>
      <c r="AT489" s="944"/>
      <c r="AU489" s="944"/>
      <c r="AV489" s="944"/>
      <c r="AW489" s="944"/>
      <c r="AX489" s="944"/>
      <c r="AY489" s="944"/>
      <c r="AZ489" s="944"/>
      <c r="BA489" s="944"/>
      <c r="BB489" s="944"/>
      <c r="BC489" s="944"/>
      <c r="BD489" s="944"/>
      <c r="BE489" s="944"/>
      <c r="BF489" s="944"/>
      <c r="BG489" s="944"/>
      <c r="BH489" s="944"/>
      <c r="BI489" s="944"/>
      <c r="BJ489" s="944"/>
      <c r="BK489" s="944"/>
      <c r="BL489" s="944"/>
      <c r="BM489" s="944"/>
      <c r="BN489" s="944"/>
      <c r="BO489" s="944"/>
      <c r="BP489" s="45"/>
    </row>
    <row r="490" spans="1:68" ht="14.25" customHeight="1" x14ac:dyDescent="0.3">
      <c r="A490" s="960"/>
      <c r="B490" s="960"/>
      <c r="C490" s="960"/>
      <c r="D490" s="944"/>
      <c r="E490" s="944"/>
      <c r="F490" s="45"/>
      <c r="G490" s="45"/>
      <c r="H490" s="45"/>
      <c r="I490" s="45"/>
      <c r="J490" s="45"/>
      <c r="K490" s="45"/>
      <c r="L490" s="944"/>
      <c r="M490" s="944"/>
      <c r="N490" s="944"/>
      <c r="O490" s="944"/>
      <c r="P490" s="944"/>
      <c r="Q490" s="944"/>
      <c r="R490" s="944"/>
      <c r="S490" s="944"/>
      <c r="T490" s="944"/>
      <c r="U490" s="944"/>
      <c r="V490" s="944"/>
      <c r="W490" s="944"/>
      <c r="X490" s="944"/>
      <c r="Y490" s="944"/>
      <c r="Z490" s="944"/>
      <c r="AA490" s="944"/>
      <c r="AB490" s="944"/>
      <c r="AC490" s="944"/>
      <c r="AD490" s="944"/>
      <c r="AE490" s="944"/>
      <c r="AF490" s="944"/>
      <c r="AG490" s="944"/>
      <c r="AH490" s="944"/>
      <c r="AI490" s="944"/>
      <c r="AJ490" s="944"/>
      <c r="AK490" s="944"/>
      <c r="AL490" s="944"/>
      <c r="AM490" s="944"/>
      <c r="AN490" s="944"/>
      <c r="AO490" s="944"/>
      <c r="AP490" s="944"/>
      <c r="AQ490" s="944"/>
      <c r="AR490" s="944"/>
      <c r="AS490" s="944"/>
      <c r="AT490" s="944"/>
      <c r="AU490" s="944"/>
      <c r="AV490" s="944"/>
      <c r="AW490" s="944"/>
      <c r="AX490" s="944"/>
      <c r="AY490" s="944"/>
      <c r="AZ490" s="944"/>
      <c r="BA490" s="944"/>
      <c r="BB490" s="944"/>
      <c r="BC490" s="944"/>
      <c r="BD490" s="944"/>
      <c r="BE490" s="944"/>
      <c r="BF490" s="944"/>
      <c r="BG490" s="944"/>
      <c r="BH490" s="944"/>
      <c r="BI490" s="944"/>
      <c r="BJ490" s="944"/>
      <c r="BK490" s="944"/>
      <c r="BL490" s="944"/>
      <c r="BM490" s="944"/>
      <c r="BN490" s="944"/>
      <c r="BO490" s="944"/>
      <c r="BP490" s="45"/>
    </row>
    <row r="491" spans="1:68" ht="14.25" customHeight="1" x14ac:dyDescent="0.3">
      <c r="A491" s="960"/>
      <c r="B491" s="960"/>
      <c r="C491" s="960"/>
      <c r="D491" s="944"/>
      <c r="E491" s="944"/>
      <c r="F491" s="45"/>
      <c r="G491" s="45"/>
      <c r="H491" s="45"/>
      <c r="I491" s="45"/>
      <c r="J491" s="45"/>
      <c r="K491" s="45"/>
      <c r="L491" s="944"/>
      <c r="M491" s="944"/>
      <c r="N491" s="944"/>
      <c r="O491" s="944"/>
      <c r="P491" s="944"/>
      <c r="Q491" s="944"/>
      <c r="R491" s="944"/>
      <c r="S491" s="944"/>
      <c r="T491" s="944"/>
      <c r="U491" s="944"/>
      <c r="V491" s="944"/>
      <c r="W491" s="944"/>
      <c r="X491" s="944"/>
      <c r="Y491" s="944"/>
      <c r="Z491" s="944"/>
      <c r="AA491" s="944"/>
      <c r="AB491" s="944"/>
      <c r="AC491" s="944"/>
      <c r="AD491" s="944"/>
      <c r="AE491" s="944"/>
      <c r="AF491" s="944"/>
      <c r="AG491" s="944"/>
      <c r="AH491" s="944"/>
      <c r="AI491" s="944"/>
      <c r="AJ491" s="944"/>
      <c r="AK491" s="944"/>
      <c r="AL491" s="944"/>
      <c r="AM491" s="944"/>
      <c r="AN491" s="944"/>
      <c r="AO491" s="944"/>
      <c r="AP491" s="944"/>
      <c r="AQ491" s="944"/>
      <c r="AR491" s="944"/>
      <c r="AS491" s="944"/>
      <c r="AT491" s="944"/>
      <c r="AU491" s="944"/>
      <c r="AV491" s="944"/>
      <c r="AW491" s="944"/>
      <c r="AX491" s="944"/>
      <c r="AY491" s="944"/>
      <c r="AZ491" s="944"/>
      <c r="BA491" s="944"/>
      <c r="BB491" s="944"/>
      <c r="BC491" s="944"/>
      <c r="BD491" s="944"/>
      <c r="BE491" s="944"/>
      <c r="BF491" s="944"/>
      <c r="BG491" s="944"/>
      <c r="BH491" s="944"/>
      <c r="BI491" s="944"/>
      <c r="BJ491" s="944"/>
      <c r="BK491" s="944"/>
      <c r="BL491" s="944"/>
      <c r="BM491" s="944"/>
      <c r="BN491" s="944"/>
      <c r="BO491" s="944"/>
      <c r="BP491" s="45"/>
    </row>
    <row r="492" spans="1:68" ht="14.25" customHeight="1" x14ac:dyDescent="0.3">
      <c r="A492" s="960"/>
      <c r="B492" s="960"/>
      <c r="C492" s="960"/>
      <c r="D492" s="944"/>
      <c r="E492" s="944"/>
      <c r="F492" s="45"/>
      <c r="G492" s="45"/>
      <c r="H492" s="45"/>
      <c r="I492" s="45"/>
      <c r="J492" s="45"/>
      <c r="K492" s="45"/>
      <c r="L492" s="944"/>
      <c r="M492" s="944"/>
      <c r="N492" s="944"/>
      <c r="O492" s="944"/>
      <c r="P492" s="944"/>
      <c r="Q492" s="944"/>
      <c r="R492" s="944"/>
      <c r="S492" s="944"/>
      <c r="T492" s="944"/>
      <c r="U492" s="944"/>
      <c r="V492" s="944"/>
      <c r="W492" s="944"/>
      <c r="X492" s="944"/>
      <c r="Y492" s="944"/>
      <c r="Z492" s="944"/>
      <c r="AA492" s="944"/>
      <c r="AB492" s="944"/>
      <c r="AC492" s="944"/>
      <c r="AD492" s="944"/>
      <c r="AE492" s="944"/>
      <c r="AF492" s="944"/>
      <c r="AG492" s="944"/>
      <c r="AH492" s="944"/>
      <c r="AI492" s="944"/>
      <c r="AJ492" s="944"/>
      <c r="AK492" s="944"/>
      <c r="AL492" s="944"/>
      <c r="AM492" s="944"/>
      <c r="AN492" s="944"/>
      <c r="AO492" s="944"/>
      <c r="AP492" s="944"/>
      <c r="AQ492" s="944"/>
      <c r="AR492" s="944"/>
      <c r="AS492" s="944"/>
      <c r="AT492" s="944"/>
      <c r="AU492" s="944"/>
      <c r="AV492" s="944"/>
      <c r="AW492" s="944"/>
      <c r="AX492" s="944"/>
      <c r="AY492" s="944"/>
      <c r="AZ492" s="944"/>
      <c r="BA492" s="944"/>
      <c r="BB492" s="944"/>
      <c r="BC492" s="944"/>
      <c r="BD492" s="944"/>
      <c r="BE492" s="944"/>
      <c r="BF492" s="944"/>
      <c r="BG492" s="944"/>
      <c r="BH492" s="944"/>
      <c r="BI492" s="944"/>
      <c r="BJ492" s="944"/>
      <c r="BK492" s="944"/>
      <c r="BL492" s="944"/>
      <c r="BM492" s="944"/>
      <c r="BN492" s="944"/>
      <c r="BO492" s="944"/>
      <c r="BP492" s="45"/>
    </row>
    <row r="493" spans="1:68" ht="14.25" customHeight="1" x14ac:dyDescent="0.3">
      <c r="A493" s="960"/>
      <c r="B493" s="960"/>
      <c r="C493" s="960"/>
      <c r="D493" s="944"/>
      <c r="E493" s="944"/>
      <c r="F493" s="45"/>
      <c r="G493" s="45"/>
      <c r="H493" s="45"/>
      <c r="I493" s="45"/>
      <c r="J493" s="45"/>
      <c r="K493" s="45"/>
      <c r="L493" s="944"/>
      <c r="M493" s="944"/>
      <c r="N493" s="944"/>
      <c r="O493" s="944"/>
      <c r="P493" s="944"/>
      <c r="Q493" s="944"/>
      <c r="R493" s="944"/>
      <c r="S493" s="944"/>
      <c r="T493" s="944"/>
      <c r="U493" s="944"/>
      <c r="V493" s="944"/>
      <c r="W493" s="944"/>
      <c r="X493" s="944"/>
      <c r="Y493" s="944"/>
      <c r="Z493" s="944"/>
      <c r="AA493" s="944"/>
      <c r="AB493" s="944"/>
      <c r="AC493" s="944"/>
      <c r="AD493" s="944"/>
      <c r="AE493" s="944"/>
      <c r="AF493" s="944"/>
      <c r="AG493" s="944"/>
      <c r="AH493" s="944"/>
      <c r="AI493" s="944"/>
      <c r="AJ493" s="944"/>
      <c r="AK493" s="944"/>
      <c r="AL493" s="944"/>
      <c r="AM493" s="944"/>
      <c r="AN493" s="944"/>
      <c r="AO493" s="944"/>
      <c r="AP493" s="944"/>
      <c r="AQ493" s="944"/>
      <c r="AR493" s="944"/>
      <c r="AS493" s="944"/>
      <c r="AT493" s="944"/>
      <c r="AU493" s="944"/>
      <c r="AV493" s="944"/>
      <c r="AW493" s="944"/>
      <c r="AX493" s="944"/>
      <c r="AY493" s="944"/>
      <c r="AZ493" s="944"/>
      <c r="BA493" s="944"/>
      <c r="BB493" s="944"/>
      <c r="BC493" s="944"/>
      <c r="BD493" s="944"/>
      <c r="BE493" s="944"/>
      <c r="BF493" s="944"/>
      <c r="BG493" s="944"/>
      <c r="BH493" s="944"/>
      <c r="BI493" s="944"/>
      <c r="BJ493" s="944"/>
      <c r="BK493" s="944"/>
      <c r="BL493" s="944"/>
      <c r="BM493" s="944"/>
      <c r="BN493" s="944"/>
      <c r="BO493" s="944"/>
      <c r="BP493" s="45"/>
    </row>
    <row r="494" spans="1:68" ht="14.25" customHeight="1" x14ac:dyDescent="0.3">
      <c r="A494" s="960"/>
      <c r="B494" s="960"/>
      <c r="C494" s="960"/>
      <c r="D494" s="944"/>
      <c r="E494" s="944"/>
      <c r="F494" s="45"/>
      <c r="G494" s="45"/>
      <c r="H494" s="45"/>
      <c r="I494" s="45"/>
      <c r="J494" s="45"/>
      <c r="K494" s="45"/>
      <c r="L494" s="944"/>
      <c r="M494" s="944"/>
      <c r="N494" s="944"/>
      <c r="O494" s="944"/>
      <c r="P494" s="944"/>
      <c r="Q494" s="944"/>
      <c r="R494" s="944"/>
      <c r="S494" s="944"/>
      <c r="T494" s="944"/>
      <c r="U494" s="944"/>
      <c r="V494" s="944"/>
      <c r="W494" s="944"/>
      <c r="X494" s="944"/>
      <c r="Y494" s="944"/>
      <c r="Z494" s="944"/>
      <c r="AA494" s="944"/>
      <c r="AB494" s="944"/>
      <c r="AC494" s="944"/>
      <c r="AD494" s="944"/>
      <c r="AE494" s="944"/>
      <c r="AF494" s="944"/>
      <c r="AG494" s="944"/>
      <c r="AH494" s="944"/>
      <c r="AI494" s="944"/>
      <c r="AJ494" s="944"/>
      <c r="AK494" s="944"/>
      <c r="AL494" s="944"/>
      <c r="AM494" s="944"/>
      <c r="AN494" s="944"/>
      <c r="AO494" s="944"/>
      <c r="AP494" s="944"/>
      <c r="AQ494" s="944"/>
      <c r="AR494" s="944"/>
      <c r="AS494" s="944"/>
      <c r="AT494" s="944"/>
      <c r="AU494" s="944"/>
      <c r="AV494" s="944"/>
      <c r="AW494" s="944"/>
      <c r="AX494" s="944"/>
      <c r="AY494" s="944"/>
      <c r="AZ494" s="944"/>
      <c r="BA494" s="944"/>
      <c r="BB494" s="944"/>
      <c r="BC494" s="944"/>
      <c r="BD494" s="944"/>
      <c r="BE494" s="944"/>
      <c r="BF494" s="944"/>
      <c r="BG494" s="944"/>
      <c r="BH494" s="944"/>
      <c r="BI494" s="944"/>
      <c r="BJ494" s="944"/>
      <c r="BK494" s="944"/>
      <c r="BL494" s="944"/>
      <c r="BM494" s="944"/>
      <c r="BN494" s="944"/>
      <c r="BO494" s="944"/>
      <c r="BP494" s="45"/>
    </row>
    <row r="495" spans="1:68" ht="14.25" customHeight="1" x14ac:dyDescent="0.3">
      <c r="A495" s="960"/>
      <c r="B495" s="960"/>
      <c r="C495" s="960"/>
      <c r="D495" s="944"/>
      <c r="E495" s="944"/>
      <c r="F495" s="45"/>
      <c r="G495" s="45"/>
      <c r="H495" s="45"/>
      <c r="I495" s="45"/>
      <c r="J495" s="45"/>
      <c r="K495" s="45"/>
      <c r="L495" s="944"/>
      <c r="M495" s="944"/>
      <c r="N495" s="944"/>
      <c r="O495" s="944"/>
      <c r="P495" s="944"/>
      <c r="Q495" s="944"/>
      <c r="R495" s="944"/>
      <c r="S495" s="944"/>
      <c r="T495" s="944"/>
      <c r="U495" s="944"/>
      <c r="V495" s="944"/>
      <c r="W495" s="944"/>
      <c r="X495" s="944"/>
      <c r="Y495" s="944"/>
      <c r="Z495" s="944"/>
      <c r="AA495" s="944"/>
      <c r="AB495" s="944"/>
      <c r="AC495" s="944"/>
      <c r="AD495" s="944"/>
      <c r="AE495" s="944"/>
      <c r="AF495" s="944"/>
      <c r="AG495" s="944"/>
      <c r="AH495" s="944"/>
      <c r="AI495" s="944"/>
      <c r="AJ495" s="944"/>
      <c r="AK495" s="944"/>
      <c r="AL495" s="944"/>
      <c r="AM495" s="944"/>
      <c r="AN495" s="944"/>
      <c r="AO495" s="944"/>
      <c r="AP495" s="944"/>
      <c r="AQ495" s="944"/>
      <c r="AR495" s="944"/>
      <c r="AS495" s="944"/>
      <c r="AT495" s="944"/>
      <c r="AU495" s="944"/>
      <c r="AV495" s="944"/>
      <c r="AW495" s="944"/>
      <c r="AX495" s="944"/>
      <c r="AY495" s="944"/>
      <c r="AZ495" s="944"/>
      <c r="BA495" s="944"/>
      <c r="BB495" s="944"/>
      <c r="BC495" s="944"/>
      <c r="BD495" s="944"/>
      <c r="BE495" s="944"/>
      <c r="BF495" s="944"/>
      <c r="BG495" s="944"/>
      <c r="BH495" s="944"/>
      <c r="BI495" s="944"/>
      <c r="BJ495" s="944"/>
      <c r="BK495" s="944"/>
      <c r="BL495" s="944"/>
      <c r="BM495" s="944"/>
      <c r="BN495" s="944"/>
      <c r="BO495" s="944"/>
      <c r="BP495" s="45"/>
    </row>
    <row r="496" spans="1:68" ht="14.25" customHeight="1" x14ac:dyDescent="0.3">
      <c r="A496" s="960"/>
      <c r="B496" s="960"/>
      <c r="C496" s="960"/>
      <c r="D496" s="944"/>
      <c r="E496" s="944"/>
      <c r="F496" s="45"/>
      <c r="G496" s="45"/>
      <c r="H496" s="45"/>
      <c r="I496" s="45"/>
      <c r="J496" s="45"/>
      <c r="K496" s="45"/>
      <c r="L496" s="944"/>
      <c r="M496" s="944"/>
      <c r="N496" s="944"/>
      <c r="O496" s="944"/>
      <c r="P496" s="944"/>
      <c r="Q496" s="944"/>
      <c r="R496" s="944"/>
      <c r="S496" s="944"/>
      <c r="T496" s="944"/>
      <c r="U496" s="944"/>
      <c r="V496" s="944"/>
      <c r="W496" s="944"/>
      <c r="X496" s="944"/>
      <c r="Y496" s="944"/>
      <c r="Z496" s="944"/>
      <c r="AA496" s="944"/>
      <c r="AB496" s="944"/>
      <c r="AC496" s="944"/>
      <c r="AD496" s="944"/>
      <c r="AE496" s="944"/>
      <c r="AF496" s="944"/>
      <c r="AG496" s="944"/>
      <c r="AH496" s="944"/>
      <c r="AI496" s="944"/>
      <c r="AJ496" s="944"/>
      <c r="AK496" s="944"/>
      <c r="AL496" s="944"/>
      <c r="AM496" s="944"/>
      <c r="AN496" s="944"/>
      <c r="AO496" s="944"/>
      <c r="AP496" s="944"/>
      <c r="AQ496" s="944"/>
      <c r="AR496" s="944"/>
      <c r="AS496" s="944"/>
      <c r="AT496" s="944"/>
      <c r="AU496" s="944"/>
      <c r="AV496" s="944"/>
      <c r="AW496" s="944"/>
      <c r="AX496" s="944"/>
      <c r="AY496" s="944"/>
      <c r="AZ496" s="944"/>
      <c r="BA496" s="944"/>
      <c r="BB496" s="944"/>
      <c r="BC496" s="944"/>
      <c r="BD496" s="944"/>
      <c r="BE496" s="944"/>
      <c r="BF496" s="944"/>
      <c r="BG496" s="944"/>
      <c r="BH496" s="944"/>
      <c r="BI496" s="944"/>
      <c r="BJ496" s="944"/>
      <c r="BK496" s="944"/>
      <c r="BL496" s="944"/>
      <c r="BM496" s="944"/>
      <c r="BN496" s="944"/>
      <c r="BO496" s="944"/>
      <c r="BP496" s="45"/>
    </row>
    <row r="497" spans="1:68" ht="14.25" customHeight="1" x14ac:dyDescent="0.3">
      <c r="A497" s="960"/>
      <c r="B497" s="960"/>
      <c r="C497" s="960"/>
      <c r="D497" s="944"/>
      <c r="E497" s="944"/>
      <c r="F497" s="45"/>
      <c r="G497" s="45"/>
      <c r="H497" s="45"/>
      <c r="I497" s="45"/>
      <c r="J497" s="45"/>
      <c r="K497" s="45"/>
      <c r="L497" s="944"/>
      <c r="M497" s="944"/>
      <c r="N497" s="944"/>
      <c r="O497" s="944"/>
      <c r="P497" s="944"/>
      <c r="Q497" s="944"/>
      <c r="R497" s="944"/>
      <c r="S497" s="944"/>
      <c r="T497" s="944"/>
      <c r="U497" s="944"/>
      <c r="V497" s="944"/>
      <c r="W497" s="944"/>
      <c r="X497" s="944"/>
      <c r="Y497" s="944"/>
      <c r="Z497" s="944"/>
      <c r="AA497" s="944"/>
      <c r="AB497" s="944"/>
      <c r="AC497" s="944"/>
      <c r="AD497" s="944"/>
      <c r="AE497" s="944"/>
      <c r="AF497" s="944"/>
      <c r="AG497" s="944"/>
      <c r="AH497" s="944"/>
      <c r="AI497" s="944"/>
      <c r="AJ497" s="944"/>
      <c r="AK497" s="944"/>
      <c r="AL497" s="944"/>
      <c r="AM497" s="944"/>
      <c r="AN497" s="944"/>
      <c r="AO497" s="944"/>
      <c r="AP497" s="944"/>
      <c r="AQ497" s="944"/>
      <c r="AR497" s="944"/>
      <c r="AS497" s="944"/>
      <c r="AT497" s="944"/>
      <c r="AU497" s="944"/>
      <c r="AV497" s="944"/>
      <c r="AW497" s="944"/>
      <c r="AX497" s="944"/>
      <c r="AY497" s="944"/>
      <c r="AZ497" s="944"/>
      <c r="BA497" s="944"/>
      <c r="BB497" s="944"/>
      <c r="BC497" s="944"/>
      <c r="BD497" s="944"/>
      <c r="BE497" s="944"/>
      <c r="BF497" s="944"/>
      <c r="BG497" s="944"/>
      <c r="BH497" s="944"/>
      <c r="BI497" s="944"/>
      <c r="BJ497" s="944"/>
      <c r="BK497" s="944"/>
      <c r="BL497" s="944"/>
      <c r="BM497" s="944"/>
      <c r="BN497" s="944"/>
      <c r="BO497" s="944"/>
      <c r="BP497" s="45"/>
    </row>
    <row r="498" spans="1:68" ht="14.25" customHeight="1" x14ac:dyDescent="0.3">
      <c r="A498" s="960"/>
      <c r="B498" s="960"/>
      <c r="C498" s="960"/>
      <c r="D498" s="944"/>
      <c r="E498" s="944"/>
      <c r="F498" s="45"/>
      <c r="G498" s="45"/>
      <c r="H498" s="45"/>
      <c r="I498" s="45"/>
      <c r="J498" s="45"/>
      <c r="K498" s="45"/>
      <c r="L498" s="944"/>
      <c r="M498" s="944"/>
      <c r="N498" s="944"/>
      <c r="O498" s="944"/>
      <c r="P498" s="944"/>
      <c r="Q498" s="944"/>
      <c r="R498" s="944"/>
      <c r="S498" s="944"/>
      <c r="T498" s="944"/>
      <c r="U498" s="944"/>
      <c r="V498" s="944"/>
      <c r="W498" s="944"/>
      <c r="X498" s="944"/>
      <c r="Y498" s="944"/>
      <c r="Z498" s="944"/>
      <c r="AA498" s="944"/>
      <c r="AB498" s="944"/>
      <c r="AC498" s="944"/>
      <c r="AD498" s="944"/>
      <c r="AE498" s="944"/>
      <c r="AF498" s="944"/>
      <c r="AG498" s="944"/>
      <c r="AH498" s="944"/>
      <c r="AI498" s="944"/>
      <c r="AJ498" s="944"/>
      <c r="AK498" s="944"/>
      <c r="AL498" s="944"/>
      <c r="AM498" s="944"/>
      <c r="AN498" s="944"/>
      <c r="AO498" s="944"/>
      <c r="AP498" s="944"/>
      <c r="AQ498" s="944"/>
      <c r="AR498" s="944"/>
      <c r="AS498" s="944"/>
      <c r="AT498" s="944"/>
      <c r="AU498" s="944"/>
      <c r="AV498" s="944"/>
      <c r="AW498" s="944"/>
      <c r="AX498" s="944"/>
      <c r="AY498" s="944"/>
      <c r="AZ498" s="944"/>
      <c r="BA498" s="944"/>
      <c r="BB498" s="944"/>
      <c r="BC498" s="944"/>
      <c r="BD498" s="944"/>
      <c r="BE498" s="944"/>
      <c r="BF498" s="944"/>
      <c r="BG498" s="944"/>
      <c r="BH498" s="944"/>
      <c r="BI498" s="944"/>
      <c r="BJ498" s="944"/>
      <c r="BK498" s="944"/>
      <c r="BL498" s="944"/>
      <c r="BM498" s="944"/>
      <c r="BN498" s="944"/>
      <c r="BO498" s="944"/>
      <c r="BP498" s="45"/>
    </row>
    <row r="499" spans="1:68" ht="14.25" customHeight="1" x14ac:dyDescent="0.3">
      <c r="A499" s="960"/>
      <c r="B499" s="960"/>
      <c r="C499" s="960"/>
      <c r="D499" s="944"/>
      <c r="E499" s="944"/>
      <c r="F499" s="45"/>
      <c r="G499" s="45"/>
      <c r="H499" s="45"/>
      <c r="I499" s="45"/>
      <c r="J499" s="45"/>
      <c r="K499" s="45"/>
      <c r="L499" s="944"/>
      <c r="M499" s="944"/>
      <c r="N499" s="944"/>
      <c r="O499" s="944"/>
      <c r="P499" s="944"/>
      <c r="Q499" s="944"/>
      <c r="R499" s="944"/>
      <c r="S499" s="944"/>
      <c r="T499" s="944"/>
      <c r="U499" s="944"/>
      <c r="V499" s="944"/>
      <c r="W499" s="944"/>
      <c r="X499" s="944"/>
      <c r="Y499" s="944"/>
      <c r="Z499" s="944"/>
      <c r="AA499" s="944"/>
      <c r="AB499" s="944"/>
      <c r="AC499" s="944"/>
      <c r="AD499" s="944"/>
      <c r="AE499" s="944"/>
      <c r="AF499" s="944"/>
      <c r="AG499" s="944"/>
      <c r="AH499" s="944"/>
      <c r="AI499" s="944"/>
      <c r="AJ499" s="944"/>
      <c r="AK499" s="944"/>
      <c r="AL499" s="944"/>
      <c r="AM499" s="944"/>
      <c r="AN499" s="944"/>
      <c r="AO499" s="944"/>
      <c r="AP499" s="944"/>
      <c r="AQ499" s="944"/>
      <c r="AR499" s="944"/>
      <c r="AS499" s="944"/>
      <c r="AT499" s="944"/>
      <c r="AU499" s="944"/>
      <c r="AV499" s="944"/>
      <c r="AW499" s="944"/>
      <c r="AX499" s="944"/>
      <c r="AY499" s="944"/>
      <c r="AZ499" s="944"/>
      <c r="BA499" s="944"/>
      <c r="BB499" s="944"/>
      <c r="BC499" s="944"/>
      <c r="BD499" s="944"/>
      <c r="BE499" s="944"/>
      <c r="BF499" s="944"/>
      <c r="BG499" s="944"/>
      <c r="BH499" s="944"/>
      <c r="BI499" s="944"/>
      <c r="BJ499" s="944"/>
      <c r="BK499" s="944"/>
      <c r="BL499" s="944"/>
      <c r="BM499" s="944"/>
      <c r="BN499" s="944"/>
      <c r="BO499" s="944"/>
      <c r="BP499" s="45"/>
    </row>
    <row r="500" spans="1:68" ht="14.25" customHeight="1" x14ac:dyDescent="0.3">
      <c r="A500" s="960"/>
      <c r="B500" s="960"/>
      <c r="C500" s="960"/>
      <c r="D500" s="944"/>
      <c r="E500" s="944"/>
      <c r="F500" s="45"/>
      <c r="G500" s="45"/>
      <c r="H500" s="45"/>
      <c r="I500" s="45"/>
      <c r="J500" s="45"/>
      <c r="K500" s="45"/>
      <c r="L500" s="944"/>
      <c r="M500" s="944"/>
      <c r="N500" s="944"/>
      <c r="O500" s="944"/>
      <c r="P500" s="944"/>
      <c r="Q500" s="944"/>
      <c r="R500" s="944"/>
      <c r="S500" s="944"/>
      <c r="T500" s="944"/>
      <c r="U500" s="944"/>
      <c r="V500" s="944"/>
      <c r="W500" s="944"/>
      <c r="X500" s="944"/>
      <c r="Y500" s="944"/>
      <c r="Z500" s="944"/>
      <c r="AA500" s="944"/>
      <c r="AB500" s="944"/>
      <c r="AC500" s="944"/>
      <c r="AD500" s="944"/>
      <c r="AE500" s="944"/>
      <c r="AF500" s="944"/>
      <c r="AG500" s="944"/>
      <c r="AH500" s="944"/>
      <c r="AI500" s="944"/>
      <c r="AJ500" s="944"/>
      <c r="AK500" s="944"/>
      <c r="AL500" s="944"/>
      <c r="AM500" s="944"/>
      <c r="AN500" s="944"/>
      <c r="AO500" s="944"/>
      <c r="AP500" s="944"/>
      <c r="AQ500" s="944"/>
      <c r="AR500" s="944"/>
      <c r="AS500" s="944"/>
      <c r="AT500" s="944"/>
      <c r="AU500" s="944"/>
      <c r="AV500" s="944"/>
      <c r="AW500" s="944"/>
      <c r="AX500" s="944"/>
      <c r="AY500" s="944"/>
      <c r="AZ500" s="944"/>
      <c r="BA500" s="944"/>
      <c r="BB500" s="944"/>
      <c r="BC500" s="944"/>
      <c r="BD500" s="944"/>
      <c r="BE500" s="944"/>
      <c r="BF500" s="944"/>
      <c r="BG500" s="944"/>
      <c r="BH500" s="944"/>
      <c r="BI500" s="944"/>
      <c r="BJ500" s="944"/>
      <c r="BK500" s="944"/>
      <c r="BL500" s="944"/>
      <c r="BM500" s="944"/>
      <c r="BN500" s="944"/>
      <c r="BO500" s="944"/>
      <c r="BP500" s="45"/>
    </row>
    <row r="501" spans="1:68" ht="14.25" customHeight="1" x14ac:dyDescent="0.3">
      <c r="A501" s="960"/>
      <c r="B501" s="960"/>
      <c r="C501" s="960"/>
      <c r="D501" s="944"/>
      <c r="E501" s="944"/>
      <c r="F501" s="45"/>
      <c r="G501" s="45"/>
      <c r="H501" s="45"/>
      <c r="I501" s="45"/>
      <c r="J501" s="45"/>
      <c r="K501" s="45"/>
      <c r="L501" s="944"/>
      <c r="M501" s="944"/>
      <c r="N501" s="944"/>
      <c r="O501" s="944"/>
      <c r="P501" s="944"/>
      <c r="Q501" s="944"/>
      <c r="R501" s="944"/>
      <c r="S501" s="944"/>
      <c r="T501" s="944"/>
      <c r="U501" s="944"/>
      <c r="V501" s="944"/>
      <c r="W501" s="944"/>
      <c r="X501" s="944"/>
      <c r="Y501" s="944"/>
      <c r="Z501" s="944"/>
      <c r="AA501" s="944"/>
      <c r="AB501" s="944"/>
      <c r="AC501" s="944"/>
      <c r="AD501" s="944"/>
      <c r="AE501" s="944"/>
      <c r="AF501" s="944"/>
      <c r="AG501" s="944"/>
      <c r="AH501" s="944"/>
      <c r="AI501" s="944"/>
      <c r="AJ501" s="944"/>
      <c r="AK501" s="944"/>
      <c r="AL501" s="944"/>
      <c r="AM501" s="944"/>
      <c r="AN501" s="944"/>
      <c r="AO501" s="944"/>
      <c r="AP501" s="944"/>
      <c r="AQ501" s="944"/>
      <c r="AR501" s="944"/>
      <c r="AS501" s="944"/>
      <c r="AT501" s="944"/>
      <c r="AU501" s="944"/>
      <c r="AV501" s="944"/>
      <c r="AW501" s="944"/>
      <c r="AX501" s="944"/>
      <c r="AY501" s="944"/>
      <c r="AZ501" s="944"/>
      <c r="BA501" s="944"/>
      <c r="BB501" s="944"/>
      <c r="BC501" s="944"/>
      <c r="BD501" s="944"/>
      <c r="BE501" s="944"/>
      <c r="BF501" s="944"/>
      <c r="BG501" s="944"/>
      <c r="BH501" s="944"/>
      <c r="BI501" s="944"/>
      <c r="BJ501" s="944"/>
      <c r="BK501" s="944"/>
      <c r="BL501" s="944"/>
      <c r="BM501" s="944"/>
      <c r="BN501" s="944"/>
      <c r="BO501" s="944"/>
      <c r="BP501" s="45"/>
    </row>
    <row r="502" spans="1:68" ht="14.25" customHeight="1" x14ac:dyDescent="0.3">
      <c r="A502" s="960"/>
      <c r="B502" s="960"/>
      <c r="C502" s="960"/>
      <c r="D502" s="944"/>
      <c r="E502" s="944"/>
      <c r="F502" s="45"/>
      <c r="G502" s="45"/>
      <c r="H502" s="45"/>
      <c r="I502" s="45"/>
      <c r="J502" s="45"/>
      <c r="K502" s="45"/>
      <c r="L502" s="944"/>
      <c r="M502" s="944"/>
      <c r="N502" s="944"/>
      <c r="O502" s="944"/>
      <c r="P502" s="944"/>
      <c r="Q502" s="944"/>
      <c r="R502" s="944"/>
      <c r="S502" s="944"/>
      <c r="T502" s="944"/>
      <c r="U502" s="944"/>
      <c r="V502" s="944"/>
      <c r="W502" s="944"/>
      <c r="X502" s="944"/>
      <c r="Y502" s="944"/>
      <c r="Z502" s="944"/>
      <c r="AA502" s="944"/>
      <c r="AB502" s="944"/>
      <c r="AC502" s="944"/>
      <c r="AD502" s="944"/>
      <c r="AE502" s="944"/>
      <c r="AF502" s="944"/>
      <c r="AG502" s="944"/>
      <c r="AH502" s="944"/>
      <c r="AI502" s="944"/>
      <c r="AJ502" s="944"/>
      <c r="AK502" s="944"/>
      <c r="AL502" s="944"/>
      <c r="AM502" s="944"/>
      <c r="AN502" s="944"/>
      <c r="AO502" s="944"/>
      <c r="AP502" s="944"/>
      <c r="AQ502" s="944"/>
      <c r="AR502" s="944"/>
      <c r="AS502" s="944"/>
      <c r="AT502" s="944"/>
      <c r="AU502" s="944"/>
      <c r="AV502" s="944"/>
      <c r="AW502" s="944"/>
      <c r="AX502" s="944"/>
      <c r="AY502" s="944"/>
      <c r="AZ502" s="944"/>
      <c r="BA502" s="944"/>
      <c r="BB502" s="944"/>
      <c r="BC502" s="944"/>
      <c r="BD502" s="944"/>
      <c r="BE502" s="944"/>
      <c r="BF502" s="944"/>
      <c r="BG502" s="944"/>
      <c r="BH502" s="944"/>
      <c r="BI502" s="944"/>
      <c r="BJ502" s="944"/>
      <c r="BK502" s="944"/>
      <c r="BL502" s="944"/>
      <c r="BM502" s="944"/>
      <c r="BN502" s="944"/>
      <c r="BO502" s="944"/>
      <c r="BP502" s="45"/>
    </row>
    <row r="503" spans="1:68" ht="14.25" customHeight="1" x14ac:dyDescent="0.3">
      <c r="A503" s="960"/>
      <c r="B503" s="960"/>
      <c r="C503" s="960"/>
      <c r="D503" s="944"/>
      <c r="E503" s="944"/>
      <c r="F503" s="45"/>
      <c r="G503" s="45"/>
      <c r="H503" s="45"/>
      <c r="I503" s="45"/>
      <c r="J503" s="45"/>
      <c r="K503" s="45"/>
      <c r="L503" s="944"/>
      <c r="M503" s="944"/>
      <c r="N503" s="944"/>
      <c r="O503" s="944"/>
      <c r="P503" s="944"/>
      <c r="Q503" s="944"/>
      <c r="R503" s="944"/>
      <c r="S503" s="944"/>
      <c r="T503" s="944"/>
      <c r="U503" s="944"/>
      <c r="V503" s="944"/>
      <c r="W503" s="944"/>
      <c r="X503" s="944"/>
      <c r="Y503" s="944"/>
      <c r="Z503" s="944"/>
      <c r="AA503" s="944"/>
      <c r="AB503" s="944"/>
      <c r="AC503" s="944"/>
      <c r="AD503" s="944"/>
      <c r="AE503" s="944"/>
      <c r="AF503" s="944"/>
      <c r="AG503" s="944"/>
      <c r="AH503" s="944"/>
      <c r="AI503" s="944"/>
      <c r="AJ503" s="944"/>
      <c r="AK503" s="944"/>
      <c r="AL503" s="944"/>
      <c r="AM503" s="944"/>
      <c r="AN503" s="944"/>
      <c r="AO503" s="944"/>
      <c r="AP503" s="944"/>
      <c r="AQ503" s="944"/>
      <c r="AR503" s="944"/>
      <c r="AS503" s="944"/>
      <c r="AT503" s="944"/>
      <c r="AU503" s="944"/>
      <c r="AV503" s="944"/>
      <c r="AW503" s="944"/>
      <c r="AX503" s="944"/>
      <c r="AY503" s="944"/>
      <c r="AZ503" s="944"/>
      <c r="BA503" s="944"/>
      <c r="BB503" s="944"/>
      <c r="BC503" s="944"/>
      <c r="BD503" s="944"/>
      <c r="BE503" s="944"/>
      <c r="BF503" s="944"/>
      <c r="BG503" s="944"/>
      <c r="BH503" s="944"/>
      <c r="BI503" s="944"/>
      <c r="BJ503" s="944"/>
      <c r="BK503" s="944"/>
      <c r="BL503" s="944"/>
      <c r="BM503" s="944"/>
      <c r="BN503" s="944"/>
      <c r="BO503" s="944"/>
      <c r="BP503" s="45"/>
    </row>
    <row r="504" spans="1:68" ht="14.25" customHeight="1" x14ac:dyDescent="0.3">
      <c r="A504" s="960"/>
      <c r="B504" s="960"/>
      <c r="C504" s="960"/>
      <c r="D504" s="944"/>
      <c r="E504" s="944"/>
      <c r="F504" s="45"/>
      <c r="G504" s="45"/>
      <c r="H504" s="45"/>
      <c r="I504" s="45"/>
      <c r="J504" s="45"/>
      <c r="K504" s="45"/>
      <c r="L504" s="944"/>
      <c r="M504" s="944"/>
      <c r="N504" s="944"/>
      <c r="O504" s="944"/>
      <c r="P504" s="944"/>
      <c r="Q504" s="944"/>
      <c r="R504" s="944"/>
      <c r="S504" s="944"/>
      <c r="T504" s="944"/>
      <c r="U504" s="944"/>
      <c r="V504" s="944"/>
      <c r="W504" s="944"/>
      <c r="X504" s="944"/>
      <c r="Y504" s="944"/>
      <c r="Z504" s="944"/>
      <c r="AA504" s="944"/>
      <c r="AB504" s="944"/>
      <c r="AC504" s="944"/>
      <c r="AD504" s="944"/>
      <c r="AE504" s="944"/>
      <c r="AF504" s="944"/>
      <c r="AG504" s="944"/>
      <c r="AH504" s="944"/>
      <c r="AI504" s="944"/>
      <c r="AJ504" s="944"/>
      <c r="AK504" s="944"/>
      <c r="AL504" s="944"/>
      <c r="AM504" s="944"/>
      <c r="AN504" s="944"/>
      <c r="AO504" s="944"/>
      <c r="AP504" s="944"/>
      <c r="AQ504" s="944"/>
      <c r="AR504" s="944"/>
      <c r="AS504" s="944"/>
      <c r="AT504" s="944"/>
      <c r="AU504" s="944"/>
      <c r="AV504" s="944"/>
      <c r="AW504" s="944"/>
      <c r="AX504" s="944"/>
      <c r="AY504" s="944"/>
      <c r="AZ504" s="944"/>
      <c r="BA504" s="944"/>
      <c r="BB504" s="944"/>
      <c r="BC504" s="944"/>
      <c r="BD504" s="944"/>
      <c r="BE504" s="944"/>
      <c r="BF504" s="944"/>
      <c r="BG504" s="944"/>
      <c r="BH504" s="944"/>
      <c r="BI504" s="944"/>
      <c r="BJ504" s="944"/>
      <c r="BK504" s="944"/>
      <c r="BL504" s="944"/>
      <c r="BM504" s="944"/>
      <c r="BN504" s="944"/>
      <c r="BO504" s="944"/>
      <c r="BP504" s="45"/>
    </row>
    <row r="505" spans="1:68" ht="14.25" customHeight="1" x14ac:dyDescent="0.3">
      <c r="A505" s="960"/>
      <c r="B505" s="960"/>
      <c r="C505" s="960"/>
      <c r="D505" s="944"/>
      <c r="E505" s="944"/>
      <c r="F505" s="45"/>
      <c r="G505" s="45"/>
      <c r="H505" s="45"/>
      <c r="I505" s="45"/>
      <c r="J505" s="45"/>
      <c r="K505" s="45"/>
      <c r="L505" s="944"/>
      <c r="M505" s="944"/>
      <c r="N505" s="944"/>
      <c r="O505" s="944"/>
      <c r="P505" s="944"/>
      <c r="Q505" s="944"/>
      <c r="R505" s="944"/>
      <c r="S505" s="944"/>
      <c r="T505" s="944"/>
      <c r="U505" s="944"/>
      <c r="V505" s="944"/>
      <c r="W505" s="944"/>
      <c r="X505" s="944"/>
      <c r="Y505" s="944"/>
      <c r="Z505" s="944"/>
      <c r="AA505" s="944"/>
      <c r="AB505" s="944"/>
      <c r="AC505" s="944"/>
      <c r="AD505" s="944"/>
      <c r="AE505" s="944"/>
      <c r="AF505" s="944"/>
      <c r="AG505" s="944"/>
      <c r="AH505" s="944"/>
      <c r="AI505" s="944"/>
      <c r="AJ505" s="944"/>
      <c r="AK505" s="944"/>
      <c r="AL505" s="944"/>
      <c r="AM505" s="944"/>
      <c r="AN505" s="944"/>
      <c r="AO505" s="944"/>
      <c r="AP505" s="944"/>
      <c r="AQ505" s="944"/>
      <c r="AR505" s="944"/>
      <c r="AS505" s="944"/>
      <c r="AT505" s="944"/>
      <c r="AU505" s="944"/>
      <c r="AV505" s="944"/>
      <c r="AW505" s="944"/>
      <c r="AX505" s="944"/>
      <c r="AY505" s="944"/>
      <c r="AZ505" s="944"/>
      <c r="BA505" s="944"/>
      <c r="BB505" s="944"/>
      <c r="BC505" s="944"/>
      <c r="BD505" s="944"/>
      <c r="BE505" s="944"/>
      <c r="BF505" s="944"/>
      <c r="BG505" s="944"/>
      <c r="BH505" s="944"/>
      <c r="BI505" s="944"/>
      <c r="BJ505" s="944"/>
      <c r="BK505" s="944"/>
      <c r="BL505" s="944"/>
      <c r="BM505" s="944"/>
      <c r="BN505" s="944"/>
      <c r="BO505" s="944"/>
      <c r="BP505" s="45"/>
    </row>
    <row r="506" spans="1:68" ht="14.25" customHeight="1" x14ac:dyDescent="0.3">
      <c r="A506" s="960"/>
      <c r="B506" s="960"/>
      <c r="C506" s="960"/>
      <c r="D506" s="944"/>
      <c r="E506" s="944"/>
      <c r="F506" s="45"/>
      <c r="G506" s="45"/>
      <c r="H506" s="45"/>
      <c r="I506" s="45"/>
      <c r="J506" s="45"/>
      <c r="K506" s="45"/>
      <c r="L506" s="944"/>
      <c r="M506" s="944"/>
      <c r="N506" s="944"/>
      <c r="O506" s="944"/>
      <c r="P506" s="944"/>
      <c r="Q506" s="944"/>
      <c r="R506" s="944"/>
      <c r="S506" s="944"/>
      <c r="T506" s="944"/>
      <c r="U506" s="944"/>
      <c r="V506" s="944"/>
      <c r="W506" s="944"/>
      <c r="X506" s="944"/>
      <c r="Y506" s="944"/>
      <c r="Z506" s="944"/>
      <c r="AA506" s="944"/>
      <c r="AB506" s="944"/>
      <c r="AC506" s="944"/>
      <c r="AD506" s="944"/>
      <c r="AE506" s="944"/>
      <c r="AF506" s="944"/>
      <c r="AG506" s="944"/>
      <c r="AH506" s="944"/>
      <c r="AI506" s="944"/>
      <c r="AJ506" s="944"/>
      <c r="AK506" s="944"/>
      <c r="AL506" s="944"/>
      <c r="AM506" s="944"/>
      <c r="AN506" s="944"/>
      <c r="AO506" s="944"/>
      <c r="AP506" s="944"/>
      <c r="AQ506" s="944"/>
      <c r="AR506" s="944"/>
      <c r="AS506" s="944"/>
      <c r="AT506" s="944"/>
      <c r="AU506" s="944"/>
      <c r="AV506" s="944"/>
      <c r="AW506" s="944"/>
      <c r="AX506" s="944"/>
      <c r="AY506" s="944"/>
      <c r="AZ506" s="944"/>
      <c r="BA506" s="944"/>
      <c r="BB506" s="944"/>
      <c r="BC506" s="944"/>
      <c r="BD506" s="944"/>
      <c r="BE506" s="944"/>
      <c r="BF506" s="944"/>
      <c r="BG506" s="944"/>
      <c r="BH506" s="944"/>
      <c r="BI506" s="944"/>
      <c r="BJ506" s="944"/>
      <c r="BK506" s="944"/>
      <c r="BL506" s="944"/>
      <c r="BM506" s="944"/>
      <c r="BN506" s="944"/>
      <c r="BO506" s="944"/>
      <c r="BP506" s="45"/>
    </row>
    <row r="507" spans="1:68" ht="14.25" customHeight="1" x14ac:dyDescent="0.3">
      <c r="A507" s="960"/>
      <c r="B507" s="960"/>
      <c r="C507" s="960"/>
      <c r="D507" s="944"/>
      <c r="E507" s="944"/>
      <c r="F507" s="45"/>
      <c r="G507" s="45"/>
      <c r="H507" s="45"/>
      <c r="I507" s="45"/>
      <c r="J507" s="45"/>
      <c r="K507" s="45"/>
      <c r="L507" s="944"/>
      <c r="M507" s="944"/>
      <c r="N507" s="944"/>
      <c r="O507" s="944"/>
      <c r="P507" s="944"/>
      <c r="Q507" s="944"/>
      <c r="R507" s="944"/>
      <c r="S507" s="944"/>
      <c r="T507" s="944"/>
      <c r="U507" s="944"/>
      <c r="V507" s="944"/>
      <c r="W507" s="944"/>
      <c r="X507" s="944"/>
      <c r="Y507" s="944"/>
      <c r="Z507" s="944"/>
      <c r="AA507" s="944"/>
      <c r="AB507" s="944"/>
      <c r="AC507" s="944"/>
      <c r="AD507" s="944"/>
      <c r="AE507" s="944"/>
      <c r="AF507" s="944"/>
      <c r="AG507" s="944"/>
      <c r="AH507" s="944"/>
      <c r="AI507" s="944"/>
      <c r="AJ507" s="944"/>
      <c r="AK507" s="944"/>
      <c r="AL507" s="944"/>
      <c r="AM507" s="944"/>
      <c r="AN507" s="944"/>
      <c r="AO507" s="944"/>
      <c r="AP507" s="944"/>
      <c r="AQ507" s="944"/>
      <c r="AR507" s="944"/>
      <c r="AS507" s="944"/>
      <c r="AT507" s="944"/>
      <c r="AU507" s="944"/>
      <c r="AV507" s="944"/>
      <c r="AW507" s="944"/>
      <c r="AX507" s="944"/>
      <c r="AY507" s="944"/>
      <c r="AZ507" s="944"/>
      <c r="BA507" s="944"/>
      <c r="BB507" s="944"/>
      <c r="BC507" s="944"/>
      <c r="BD507" s="944"/>
      <c r="BE507" s="944"/>
      <c r="BF507" s="944"/>
      <c r="BG507" s="944"/>
      <c r="BH507" s="944"/>
      <c r="BI507" s="944"/>
      <c r="BJ507" s="944"/>
      <c r="BK507" s="944"/>
      <c r="BL507" s="944"/>
      <c r="BM507" s="944"/>
      <c r="BN507" s="944"/>
      <c r="BO507" s="944"/>
      <c r="BP507" s="45"/>
    </row>
    <row r="508" spans="1:68" ht="14.25" customHeight="1" x14ac:dyDescent="0.3">
      <c r="A508" s="960"/>
      <c r="B508" s="960"/>
      <c r="C508" s="960"/>
      <c r="D508" s="944"/>
      <c r="E508" s="944"/>
      <c r="F508" s="45"/>
      <c r="G508" s="45"/>
      <c r="H508" s="45"/>
      <c r="I508" s="45"/>
      <c r="J508" s="45"/>
      <c r="K508" s="45"/>
      <c r="L508" s="944"/>
      <c r="M508" s="944"/>
      <c r="N508" s="944"/>
      <c r="O508" s="944"/>
      <c r="P508" s="944"/>
      <c r="Q508" s="944"/>
      <c r="R508" s="944"/>
      <c r="S508" s="944"/>
      <c r="T508" s="944"/>
      <c r="U508" s="944"/>
      <c r="V508" s="944"/>
      <c r="W508" s="944"/>
      <c r="X508" s="944"/>
      <c r="Y508" s="944"/>
      <c r="Z508" s="944"/>
      <c r="AA508" s="944"/>
      <c r="AB508" s="944"/>
      <c r="AC508" s="944"/>
      <c r="AD508" s="944"/>
      <c r="AE508" s="944"/>
      <c r="AF508" s="944"/>
      <c r="AG508" s="944"/>
      <c r="AH508" s="944"/>
      <c r="AI508" s="944"/>
      <c r="AJ508" s="944"/>
      <c r="AK508" s="944"/>
      <c r="AL508" s="944"/>
      <c r="AM508" s="944"/>
      <c r="AN508" s="944"/>
      <c r="AO508" s="944"/>
      <c r="AP508" s="944"/>
      <c r="AQ508" s="944"/>
      <c r="AR508" s="944"/>
      <c r="AS508" s="944"/>
      <c r="AT508" s="944"/>
      <c r="AU508" s="944"/>
      <c r="AV508" s="944"/>
      <c r="AW508" s="944"/>
      <c r="AX508" s="944"/>
      <c r="AY508" s="944"/>
      <c r="AZ508" s="944"/>
      <c r="BA508" s="944"/>
      <c r="BB508" s="944"/>
      <c r="BC508" s="944"/>
      <c r="BD508" s="944"/>
      <c r="BE508" s="944"/>
      <c r="BF508" s="944"/>
      <c r="BG508" s="944"/>
      <c r="BH508" s="944"/>
      <c r="BI508" s="944"/>
      <c r="BJ508" s="944"/>
      <c r="BK508" s="944"/>
      <c r="BL508" s="944"/>
      <c r="BM508" s="944"/>
      <c r="BN508" s="944"/>
      <c r="BO508" s="944"/>
      <c r="BP508" s="45"/>
    </row>
    <row r="509" spans="1:68" ht="14.25" customHeight="1" x14ac:dyDescent="0.3">
      <c r="A509" s="960"/>
      <c r="B509" s="960"/>
      <c r="C509" s="960"/>
      <c r="D509" s="944"/>
      <c r="E509" s="944"/>
      <c r="F509" s="45"/>
      <c r="G509" s="45"/>
      <c r="H509" s="45"/>
      <c r="I509" s="45"/>
      <c r="J509" s="45"/>
      <c r="K509" s="45"/>
      <c r="L509" s="944"/>
      <c r="M509" s="944"/>
      <c r="N509" s="944"/>
      <c r="O509" s="944"/>
      <c r="P509" s="944"/>
      <c r="Q509" s="944"/>
      <c r="R509" s="944"/>
      <c r="S509" s="944"/>
      <c r="T509" s="944"/>
      <c r="U509" s="944"/>
      <c r="V509" s="944"/>
      <c r="W509" s="944"/>
      <c r="X509" s="944"/>
      <c r="Y509" s="944"/>
      <c r="Z509" s="944"/>
      <c r="AA509" s="944"/>
      <c r="AB509" s="944"/>
      <c r="AC509" s="944"/>
      <c r="AD509" s="944"/>
      <c r="AE509" s="944"/>
      <c r="AF509" s="944"/>
      <c r="AG509" s="944"/>
      <c r="AH509" s="944"/>
      <c r="AI509" s="944"/>
      <c r="AJ509" s="944"/>
      <c r="AK509" s="944"/>
      <c r="AL509" s="944"/>
      <c r="AM509" s="944"/>
      <c r="AN509" s="944"/>
      <c r="AO509" s="944"/>
      <c r="AP509" s="944"/>
      <c r="AQ509" s="944"/>
      <c r="AR509" s="944"/>
      <c r="AS509" s="944"/>
      <c r="AT509" s="944"/>
      <c r="AU509" s="944"/>
      <c r="AV509" s="944"/>
      <c r="AW509" s="944"/>
      <c r="AX509" s="944"/>
      <c r="AY509" s="944"/>
      <c r="AZ509" s="944"/>
      <c r="BA509" s="944"/>
      <c r="BB509" s="944"/>
      <c r="BC509" s="944"/>
      <c r="BD509" s="944"/>
      <c r="BE509" s="944"/>
      <c r="BF509" s="944"/>
      <c r="BG509" s="944"/>
      <c r="BH509" s="944"/>
      <c r="BI509" s="944"/>
      <c r="BJ509" s="944"/>
      <c r="BK509" s="944"/>
      <c r="BL509" s="944"/>
      <c r="BM509" s="944"/>
      <c r="BN509" s="944"/>
      <c r="BO509" s="944"/>
      <c r="BP509" s="45"/>
    </row>
    <row r="510" spans="1:68" ht="14.25" customHeight="1" x14ac:dyDescent="0.3">
      <c r="A510" s="960"/>
      <c r="B510" s="960"/>
      <c r="C510" s="960"/>
      <c r="D510" s="944"/>
      <c r="E510" s="944"/>
      <c r="F510" s="45"/>
      <c r="G510" s="45"/>
      <c r="H510" s="45"/>
      <c r="I510" s="45"/>
      <c r="J510" s="45"/>
      <c r="K510" s="45"/>
      <c r="L510" s="944"/>
      <c r="M510" s="944"/>
      <c r="N510" s="944"/>
      <c r="O510" s="944"/>
      <c r="P510" s="944"/>
      <c r="Q510" s="944"/>
      <c r="R510" s="944"/>
      <c r="S510" s="944"/>
      <c r="T510" s="944"/>
      <c r="U510" s="944"/>
      <c r="V510" s="944"/>
      <c r="W510" s="944"/>
      <c r="X510" s="944"/>
      <c r="Y510" s="944"/>
      <c r="Z510" s="944"/>
      <c r="AA510" s="944"/>
      <c r="AB510" s="944"/>
      <c r="AC510" s="944"/>
      <c r="AD510" s="944"/>
      <c r="AE510" s="944"/>
      <c r="AF510" s="944"/>
      <c r="AG510" s="944"/>
      <c r="AH510" s="944"/>
      <c r="AI510" s="944"/>
      <c r="AJ510" s="944"/>
      <c r="AK510" s="944"/>
      <c r="AL510" s="944"/>
      <c r="AM510" s="944"/>
      <c r="AN510" s="944"/>
      <c r="AO510" s="944"/>
      <c r="AP510" s="944"/>
      <c r="AQ510" s="944"/>
      <c r="AR510" s="944"/>
      <c r="AS510" s="944"/>
      <c r="AT510" s="944"/>
      <c r="AU510" s="944"/>
      <c r="AV510" s="944"/>
      <c r="AW510" s="944"/>
      <c r="AX510" s="944"/>
      <c r="AY510" s="944"/>
      <c r="AZ510" s="944"/>
      <c r="BA510" s="944"/>
      <c r="BB510" s="944"/>
      <c r="BC510" s="944"/>
      <c r="BD510" s="944"/>
      <c r="BE510" s="944"/>
      <c r="BF510" s="944"/>
      <c r="BG510" s="944"/>
      <c r="BH510" s="944"/>
      <c r="BI510" s="944"/>
      <c r="BJ510" s="944"/>
      <c r="BK510" s="944"/>
      <c r="BL510" s="944"/>
      <c r="BM510" s="944"/>
      <c r="BN510" s="944"/>
      <c r="BO510" s="944"/>
      <c r="BP510" s="45"/>
    </row>
    <row r="511" spans="1:68" ht="14.25" customHeight="1" x14ac:dyDescent="0.3">
      <c r="A511" s="960"/>
      <c r="B511" s="960"/>
      <c r="C511" s="960"/>
      <c r="D511" s="944"/>
      <c r="E511" s="944"/>
      <c r="F511" s="45"/>
      <c r="G511" s="45"/>
      <c r="H511" s="45"/>
      <c r="I511" s="45"/>
      <c r="J511" s="45"/>
      <c r="K511" s="45"/>
      <c r="L511" s="944"/>
      <c r="M511" s="944"/>
      <c r="N511" s="944"/>
      <c r="O511" s="944"/>
      <c r="P511" s="944"/>
      <c r="Q511" s="944"/>
      <c r="R511" s="944"/>
      <c r="S511" s="944"/>
      <c r="T511" s="944"/>
      <c r="U511" s="944"/>
      <c r="V511" s="944"/>
      <c r="W511" s="944"/>
      <c r="X511" s="944"/>
      <c r="Y511" s="944"/>
      <c r="Z511" s="944"/>
      <c r="AA511" s="944"/>
      <c r="AB511" s="944"/>
      <c r="AC511" s="944"/>
      <c r="AD511" s="944"/>
      <c r="AE511" s="944"/>
      <c r="AF511" s="944"/>
      <c r="AG511" s="944"/>
      <c r="AH511" s="944"/>
      <c r="AI511" s="944"/>
      <c r="AJ511" s="944"/>
      <c r="AK511" s="944"/>
      <c r="AL511" s="944"/>
      <c r="AM511" s="944"/>
      <c r="AN511" s="944"/>
      <c r="AO511" s="944"/>
      <c r="AP511" s="944"/>
      <c r="AQ511" s="944"/>
      <c r="AR511" s="944"/>
      <c r="AS511" s="944"/>
      <c r="AT511" s="944"/>
      <c r="AU511" s="944"/>
      <c r="AV511" s="944"/>
      <c r="AW511" s="944"/>
      <c r="AX511" s="944"/>
      <c r="AY511" s="944"/>
      <c r="AZ511" s="944"/>
      <c r="BA511" s="944"/>
      <c r="BB511" s="944"/>
      <c r="BC511" s="944"/>
      <c r="BD511" s="944"/>
      <c r="BE511" s="944"/>
      <c r="BF511" s="944"/>
      <c r="BG511" s="944"/>
      <c r="BH511" s="944"/>
      <c r="BI511" s="944"/>
      <c r="BJ511" s="944"/>
      <c r="BK511" s="944"/>
      <c r="BL511" s="944"/>
      <c r="BM511" s="944"/>
      <c r="BN511" s="944"/>
      <c r="BO511" s="944"/>
      <c r="BP511" s="45"/>
    </row>
    <row r="512" spans="1:68" ht="14.25" customHeight="1" x14ac:dyDescent="0.3">
      <c r="A512" s="960"/>
      <c r="B512" s="960"/>
      <c r="C512" s="960"/>
      <c r="D512" s="944"/>
      <c r="E512" s="944"/>
      <c r="F512" s="45"/>
      <c r="G512" s="45"/>
      <c r="H512" s="45"/>
      <c r="I512" s="45"/>
      <c r="J512" s="45"/>
      <c r="K512" s="45"/>
      <c r="L512" s="944"/>
      <c r="M512" s="944"/>
      <c r="N512" s="944"/>
      <c r="O512" s="944"/>
      <c r="P512" s="944"/>
      <c r="Q512" s="944"/>
      <c r="R512" s="944"/>
      <c r="S512" s="944"/>
      <c r="T512" s="944"/>
      <c r="U512" s="944"/>
      <c r="V512" s="944"/>
      <c r="W512" s="944"/>
      <c r="X512" s="944"/>
      <c r="Y512" s="944"/>
      <c r="Z512" s="944"/>
      <c r="AA512" s="944"/>
      <c r="AB512" s="944"/>
      <c r="AC512" s="944"/>
      <c r="AD512" s="944"/>
      <c r="AE512" s="944"/>
      <c r="AF512" s="944"/>
      <c r="AG512" s="944"/>
      <c r="AH512" s="944"/>
      <c r="AI512" s="944"/>
      <c r="AJ512" s="944"/>
      <c r="AK512" s="944"/>
      <c r="AL512" s="944"/>
      <c r="AM512" s="944"/>
      <c r="AN512" s="944"/>
      <c r="AO512" s="944"/>
      <c r="AP512" s="944"/>
      <c r="AQ512" s="944"/>
      <c r="AR512" s="944"/>
      <c r="AS512" s="944"/>
      <c r="AT512" s="944"/>
      <c r="AU512" s="944"/>
      <c r="AV512" s="944"/>
      <c r="AW512" s="944"/>
      <c r="AX512" s="944"/>
      <c r="AY512" s="944"/>
      <c r="AZ512" s="944"/>
      <c r="BA512" s="944"/>
      <c r="BB512" s="944"/>
      <c r="BC512" s="944"/>
      <c r="BD512" s="944"/>
      <c r="BE512" s="944"/>
      <c r="BF512" s="944"/>
      <c r="BG512" s="944"/>
      <c r="BH512" s="944"/>
      <c r="BI512" s="944"/>
      <c r="BJ512" s="944"/>
      <c r="BK512" s="944"/>
      <c r="BL512" s="944"/>
      <c r="BM512" s="944"/>
      <c r="BN512" s="944"/>
      <c r="BO512" s="944"/>
      <c r="BP512" s="45"/>
    </row>
    <row r="513" spans="1:68" ht="14.25" customHeight="1" x14ac:dyDescent="0.3">
      <c r="A513" s="960"/>
      <c r="B513" s="960"/>
      <c r="C513" s="960"/>
      <c r="D513" s="944"/>
      <c r="E513" s="944"/>
      <c r="F513" s="45"/>
      <c r="G513" s="45"/>
      <c r="H513" s="45"/>
      <c r="I513" s="45"/>
      <c r="J513" s="45"/>
      <c r="K513" s="45"/>
      <c r="L513" s="944"/>
      <c r="M513" s="944"/>
      <c r="N513" s="944"/>
      <c r="O513" s="944"/>
      <c r="P513" s="944"/>
      <c r="Q513" s="944"/>
      <c r="R513" s="944"/>
      <c r="S513" s="944"/>
      <c r="T513" s="944"/>
      <c r="U513" s="944"/>
      <c r="V513" s="944"/>
      <c r="W513" s="944"/>
      <c r="X513" s="944"/>
      <c r="Y513" s="944"/>
      <c r="Z513" s="944"/>
      <c r="AA513" s="944"/>
      <c r="AB513" s="944"/>
      <c r="AC513" s="944"/>
      <c r="AD513" s="944"/>
      <c r="AE513" s="944"/>
      <c r="AF513" s="944"/>
      <c r="AG513" s="944"/>
      <c r="AH513" s="944"/>
      <c r="AI513" s="944"/>
      <c r="AJ513" s="944"/>
      <c r="AK513" s="944"/>
      <c r="AL513" s="944"/>
      <c r="AM513" s="944"/>
      <c r="AN513" s="944"/>
      <c r="AO513" s="944"/>
      <c r="AP513" s="944"/>
      <c r="AQ513" s="944"/>
      <c r="AR513" s="944"/>
      <c r="AS513" s="944"/>
      <c r="AT513" s="944"/>
      <c r="AU513" s="944"/>
      <c r="AV513" s="944"/>
      <c r="AW513" s="944"/>
      <c r="AX513" s="944"/>
      <c r="AY513" s="944"/>
      <c r="AZ513" s="944"/>
      <c r="BA513" s="944"/>
      <c r="BB513" s="944"/>
      <c r="BC513" s="944"/>
      <c r="BD513" s="944"/>
      <c r="BE513" s="944"/>
      <c r="BF513" s="944"/>
      <c r="BG513" s="944"/>
      <c r="BH513" s="944"/>
      <c r="BI513" s="944"/>
      <c r="BJ513" s="944"/>
      <c r="BK513" s="944"/>
      <c r="BL513" s="944"/>
      <c r="BM513" s="944"/>
      <c r="BN513" s="944"/>
      <c r="BO513" s="944"/>
      <c r="BP513" s="45"/>
    </row>
    <row r="514" spans="1:68" ht="14.25" customHeight="1" x14ac:dyDescent="0.3">
      <c r="A514" s="960"/>
      <c r="B514" s="960"/>
      <c r="C514" s="960"/>
      <c r="D514" s="944"/>
      <c r="E514" s="944"/>
      <c r="F514" s="45"/>
      <c r="G514" s="45"/>
      <c r="H514" s="45"/>
      <c r="I514" s="45"/>
      <c r="J514" s="45"/>
      <c r="K514" s="45"/>
      <c r="L514" s="944"/>
      <c r="M514" s="944"/>
      <c r="N514" s="944"/>
      <c r="O514" s="944"/>
      <c r="P514" s="944"/>
      <c r="Q514" s="944"/>
      <c r="R514" s="944"/>
      <c r="S514" s="944"/>
      <c r="T514" s="944"/>
      <c r="U514" s="944"/>
      <c r="V514" s="944"/>
      <c r="W514" s="944"/>
      <c r="X514" s="944"/>
      <c r="Y514" s="944"/>
      <c r="Z514" s="944"/>
      <c r="AA514" s="944"/>
      <c r="AB514" s="944"/>
      <c r="AC514" s="944"/>
      <c r="AD514" s="944"/>
      <c r="AE514" s="944"/>
      <c r="AF514" s="944"/>
      <c r="AG514" s="944"/>
      <c r="AH514" s="944"/>
      <c r="AI514" s="944"/>
      <c r="AJ514" s="944"/>
      <c r="AK514" s="944"/>
      <c r="AL514" s="944"/>
      <c r="AM514" s="944"/>
      <c r="AN514" s="944"/>
      <c r="AO514" s="944"/>
      <c r="AP514" s="944"/>
      <c r="AQ514" s="944"/>
      <c r="AR514" s="944"/>
      <c r="AS514" s="944"/>
      <c r="AT514" s="944"/>
      <c r="AU514" s="944"/>
      <c r="AV514" s="944"/>
      <c r="AW514" s="944"/>
      <c r="AX514" s="944"/>
      <c r="AY514" s="944"/>
      <c r="AZ514" s="944"/>
      <c r="BA514" s="944"/>
      <c r="BB514" s="944"/>
      <c r="BC514" s="944"/>
      <c r="BD514" s="944"/>
      <c r="BE514" s="944"/>
      <c r="BF514" s="944"/>
      <c r="BG514" s="944"/>
      <c r="BH514" s="944"/>
      <c r="BI514" s="944"/>
      <c r="BJ514" s="944"/>
      <c r="BK514" s="944"/>
      <c r="BL514" s="944"/>
      <c r="BM514" s="944"/>
      <c r="BN514" s="944"/>
      <c r="BO514" s="944"/>
      <c r="BP514" s="45"/>
    </row>
    <row r="515" spans="1:68" ht="14.25" customHeight="1" x14ac:dyDescent="0.3">
      <c r="A515" s="960"/>
      <c r="B515" s="960"/>
      <c r="C515" s="960"/>
      <c r="D515" s="944"/>
      <c r="E515" s="944"/>
      <c r="F515" s="45"/>
      <c r="G515" s="45"/>
      <c r="H515" s="45"/>
      <c r="I515" s="45"/>
      <c r="J515" s="45"/>
      <c r="K515" s="45"/>
      <c r="L515" s="944"/>
      <c r="M515" s="944"/>
      <c r="N515" s="944"/>
      <c r="O515" s="944"/>
      <c r="P515" s="944"/>
      <c r="Q515" s="944"/>
      <c r="R515" s="944"/>
      <c r="S515" s="944"/>
      <c r="T515" s="944"/>
      <c r="U515" s="944"/>
      <c r="V515" s="944"/>
      <c r="W515" s="944"/>
      <c r="X515" s="944"/>
      <c r="Y515" s="944"/>
      <c r="Z515" s="944"/>
      <c r="AA515" s="944"/>
      <c r="AB515" s="944"/>
      <c r="AC515" s="944"/>
      <c r="AD515" s="944"/>
      <c r="AE515" s="944"/>
      <c r="AF515" s="944"/>
      <c r="AG515" s="944"/>
      <c r="AH515" s="944"/>
      <c r="AI515" s="944"/>
      <c r="AJ515" s="944"/>
      <c r="AK515" s="944"/>
      <c r="AL515" s="944"/>
      <c r="AM515" s="944"/>
      <c r="AN515" s="944"/>
      <c r="AO515" s="944"/>
      <c r="AP515" s="944"/>
      <c r="AQ515" s="944"/>
      <c r="AR515" s="944"/>
      <c r="AS515" s="944"/>
      <c r="AT515" s="944"/>
      <c r="AU515" s="944"/>
      <c r="AV515" s="944"/>
      <c r="AW515" s="944"/>
      <c r="AX515" s="944"/>
      <c r="AY515" s="944"/>
      <c r="AZ515" s="944"/>
      <c r="BA515" s="944"/>
      <c r="BB515" s="944"/>
      <c r="BC515" s="944"/>
      <c r="BD515" s="944"/>
      <c r="BE515" s="944"/>
      <c r="BF515" s="944"/>
      <c r="BG515" s="944"/>
      <c r="BH515" s="944"/>
      <c r="BI515" s="944"/>
      <c r="BJ515" s="944"/>
      <c r="BK515" s="944"/>
      <c r="BL515" s="944"/>
      <c r="BM515" s="944"/>
      <c r="BN515" s="944"/>
      <c r="BO515" s="944"/>
      <c r="BP515" s="45"/>
    </row>
    <row r="516" spans="1:68" ht="14.25" customHeight="1" x14ac:dyDescent="0.3">
      <c r="A516" s="960"/>
      <c r="B516" s="960"/>
      <c r="C516" s="960"/>
      <c r="D516" s="944"/>
      <c r="E516" s="944"/>
      <c r="F516" s="45"/>
      <c r="G516" s="45"/>
      <c r="H516" s="45"/>
      <c r="I516" s="45"/>
      <c r="J516" s="45"/>
      <c r="K516" s="45"/>
      <c r="L516" s="944"/>
      <c r="M516" s="944"/>
      <c r="N516" s="944"/>
      <c r="O516" s="944"/>
      <c r="P516" s="944"/>
      <c r="Q516" s="944"/>
      <c r="R516" s="944"/>
      <c r="S516" s="944"/>
      <c r="T516" s="944"/>
      <c r="U516" s="944"/>
      <c r="V516" s="944"/>
      <c r="W516" s="944"/>
      <c r="X516" s="944"/>
      <c r="Y516" s="944"/>
      <c r="Z516" s="944"/>
      <c r="AA516" s="944"/>
      <c r="AB516" s="944"/>
      <c r="AC516" s="944"/>
      <c r="AD516" s="944"/>
      <c r="AE516" s="944"/>
      <c r="AF516" s="944"/>
      <c r="AG516" s="944"/>
      <c r="AH516" s="944"/>
      <c r="AI516" s="944"/>
      <c r="AJ516" s="944"/>
      <c r="AK516" s="944"/>
      <c r="AL516" s="944"/>
      <c r="AM516" s="944"/>
      <c r="AN516" s="944"/>
      <c r="AO516" s="944"/>
      <c r="AP516" s="944"/>
      <c r="AQ516" s="944"/>
      <c r="AR516" s="944"/>
      <c r="AS516" s="944"/>
      <c r="AT516" s="944"/>
      <c r="AU516" s="944"/>
      <c r="AV516" s="944"/>
      <c r="AW516" s="944"/>
      <c r="AX516" s="944"/>
      <c r="AY516" s="944"/>
      <c r="AZ516" s="944"/>
      <c r="BA516" s="944"/>
      <c r="BB516" s="944"/>
      <c r="BC516" s="944"/>
      <c r="BD516" s="944"/>
      <c r="BE516" s="944"/>
      <c r="BF516" s="944"/>
      <c r="BG516" s="944"/>
      <c r="BH516" s="944"/>
      <c r="BI516" s="944"/>
      <c r="BJ516" s="944"/>
      <c r="BK516" s="944"/>
      <c r="BL516" s="944"/>
      <c r="BM516" s="944"/>
      <c r="BN516" s="944"/>
      <c r="BO516" s="944"/>
      <c r="BP516" s="45"/>
    </row>
    <row r="517" spans="1:68" ht="14.25" customHeight="1" x14ac:dyDescent="0.3">
      <c r="A517" s="960"/>
      <c r="B517" s="960"/>
      <c r="C517" s="960"/>
      <c r="D517" s="944"/>
      <c r="E517" s="944"/>
      <c r="F517" s="45"/>
      <c r="G517" s="45"/>
      <c r="H517" s="45"/>
      <c r="I517" s="45"/>
      <c r="J517" s="45"/>
      <c r="K517" s="45"/>
      <c r="L517" s="944"/>
      <c r="M517" s="944"/>
      <c r="N517" s="944"/>
      <c r="O517" s="944"/>
      <c r="P517" s="944"/>
      <c r="Q517" s="944"/>
      <c r="R517" s="944"/>
      <c r="S517" s="944"/>
      <c r="T517" s="944"/>
      <c r="U517" s="944"/>
      <c r="V517" s="944"/>
      <c r="W517" s="944"/>
      <c r="X517" s="944"/>
      <c r="Y517" s="944"/>
      <c r="Z517" s="944"/>
      <c r="AA517" s="944"/>
      <c r="AB517" s="944"/>
      <c r="AC517" s="944"/>
      <c r="AD517" s="944"/>
      <c r="AE517" s="944"/>
      <c r="AF517" s="944"/>
      <c r="AG517" s="944"/>
      <c r="AH517" s="944"/>
      <c r="AI517" s="944"/>
      <c r="AJ517" s="944"/>
      <c r="AK517" s="944"/>
      <c r="AL517" s="944"/>
      <c r="AM517" s="944"/>
      <c r="AN517" s="944"/>
      <c r="AO517" s="944"/>
      <c r="AP517" s="944"/>
      <c r="AQ517" s="944"/>
      <c r="AR517" s="944"/>
      <c r="AS517" s="944"/>
      <c r="AT517" s="944"/>
      <c r="AU517" s="944"/>
      <c r="AV517" s="944"/>
      <c r="AW517" s="944"/>
      <c r="AX517" s="944"/>
      <c r="AY517" s="944"/>
      <c r="AZ517" s="944"/>
      <c r="BA517" s="944"/>
      <c r="BB517" s="944"/>
      <c r="BC517" s="944"/>
      <c r="BD517" s="944"/>
      <c r="BE517" s="944"/>
      <c r="BF517" s="944"/>
      <c r="BG517" s="944"/>
      <c r="BH517" s="944"/>
      <c r="BI517" s="944"/>
      <c r="BJ517" s="944"/>
      <c r="BK517" s="944"/>
      <c r="BL517" s="944"/>
      <c r="BM517" s="944"/>
      <c r="BN517" s="944"/>
      <c r="BO517" s="944"/>
      <c r="BP517" s="45"/>
    </row>
    <row r="518" spans="1:68" ht="14.25" customHeight="1" x14ac:dyDescent="0.3">
      <c r="A518" s="960"/>
      <c r="B518" s="960"/>
      <c r="C518" s="960"/>
      <c r="D518" s="944"/>
      <c r="E518" s="944"/>
      <c r="F518" s="45"/>
      <c r="G518" s="45"/>
      <c r="H518" s="45"/>
      <c r="I518" s="45"/>
      <c r="J518" s="45"/>
      <c r="K518" s="45"/>
      <c r="L518" s="944"/>
      <c r="M518" s="944"/>
      <c r="N518" s="944"/>
      <c r="O518" s="944"/>
      <c r="P518" s="944"/>
      <c r="Q518" s="944"/>
      <c r="R518" s="944"/>
      <c r="S518" s="944"/>
      <c r="T518" s="944"/>
      <c r="U518" s="944"/>
      <c r="V518" s="944"/>
      <c r="W518" s="944"/>
      <c r="X518" s="944"/>
      <c r="Y518" s="944"/>
      <c r="Z518" s="944"/>
      <c r="AA518" s="944"/>
      <c r="AB518" s="944"/>
      <c r="AC518" s="944"/>
      <c r="AD518" s="944"/>
      <c r="AE518" s="944"/>
      <c r="AF518" s="944"/>
      <c r="AG518" s="944"/>
      <c r="AH518" s="944"/>
      <c r="AI518" s="944"/>
      <c r="AJ518" s="944"/>
      <c r="AK518" s="944"/>
      <c r="AL518" s="944"/>
      <c r="AM518" s="944"/>
      <c r="AN518" s="944"/>
      <c r="AO518" s="944"/>
      <c r="AP518" s="944"/>
      <c r="AQ518" s="944"/>
      <c r="AR518" s="944"/>
      <c r="AS518" s="944"/>
      <c r="AT518" s="944"/>
      <c r="AU518" s="944"/>
      <c r="AV518" s="944"/>
      <c r="AW518" s="944"/>
      <c r="AX518" s="944"/>
      <c r="AY518" s="944"/>
      <c r="AZ518" s="944"/>
      <c r="BA518" s="944"/>
      <c r="BB518" s="944"/>
      <c r="BC518" s="944"/>
      <c r="BD518" s="944"/>
      <c r="BE518" s="944"/>
      <c r="BF518" s="944"/>
      <c r="BG518" s="944"/>
      <c r="BH518" s="944"/>
      <c r="BI518" s="944"/>
      <c r="BJ518" s="944"/>
      <c r="BK518" s="944"/>
      <c r="BL518" s="944"/>
      <c r="BM518" s="944"/>
      <c r="BN518" s="944"/>
      <c r="BO518" s="944"/>
      <c r="BP518" s="45"/>
    </row>
    <row r="519" spans="1:68" ht="14.25" customHeight="1" x14ac:dyDescent="0.3">
      <c r="A519" s="960"/>
      <c r="B519" s="960"/>
      <c r="C519" s="960"/>
      <c r="D519" s="944"/>
      <c r="E519" s="944"/>
      <c r="F519" s="45"/>
      <c r="G519" s="45"/>
      <c r="H519" s="45"/>
      <c r="I519" s="45"/>
      <c r="J519" s="45"/>
      <c r="K519" s="45"/>
      <c r="L519" s="944"/>
      <c r="M519" s="944"/>
      <c r="N519" s="944"/>
      <c r="O519" s="944"/>
      <c r="P519" s="944"/>
      <c r="Q519" s="944"/>
      <c r="R519" s="944"/>
      <c r="S519" s="944"/>
      <c r="T519" s="944"/>
      <c r="U519" s="944"/>
      <c r="V519" s="944"/>
      <c r="W519" s="944"/>
      <c r="X519" s="944"/>
      <c r="Y519" s="944"/>
      <c r="Z519" s="944"/>
      <c r="AA519" s="944"/>
      <c r="AB519" s="944"/>
      <c r="AC519" s="944"/>
      <c r="AD519" s="944"/>
      <c r="AE519" s="944"/>
      <c r="AF519" s="944"/>
      <c r="AG519" s="944"/>
      <c r="AH519" s="944"/>
      <c r="AI519" s="944"/>
      <c r="AJ519" s="944"/>
      <c r="AK519" s="944"/>
      <c r="AL519" s="944"/>
      <c r="AM519" s="944"/>
      <c r="AN519" s="944"/>
      <c r="AO519" s="944"/>
      <c r="AP519" s="944"/>
      <c r="AQ519" s="944"/>
      <c r="AR519" s="944"/>
      <c r="AS519" s="944"/>
      <c r="AT519" s="944"/>
      <c r="AU519" s="944"/>
      <c r="AV519" s="944"/>
      <c r="AW519" s="944"/>
      <c r="AX519" s="944"/>
      <c r="AY519" s="944"/>
      <c r="AZ519" s="944"/>
      <c r="BA519" s="944"/>
      <c r="BB519" s="944"/>
      <c r="BC519" s="944"/>
      <c r="BD519" s="944"/>
      <c r="BE519" s="944"/>
      <c r="BF519" s="944"/>
      <c r="BG519" s="944"/>
      <c r="BH519" s="944"/>
      <c r="BI519" s="944"/>
      <c r="BJ519" s="944"/>
      <c r="BK519" s="944"/>
      <c r="BL519" s="944"/>
      <c r="BM519" s="944"/>
      <c r="BN519" s="944"/>
      <c r="BO519" s="944"/>
      <c r="BP519" s="45"/>
    </row>
    <row r="520" spans="1:68" ht="14.25" customHeight="1" x14ac:dyDescent="0.3">
      <c r="A520" s="960"/>
      <c r="B520" s="960"/>
      <c r="C520" s="960"/>
      <c r="D520" s="944"/>
      <c r="E520" s="944"/>
      <c r="F520" s="45"/>
      <c r="G520" s="45"/>
      <c r="H520" s="45"/>
      <c r="I520" s="45"/>
      <c r="J520" s="45"/>
      <c r="K520" s="45"/>
      <c r="L520" s="944"/>
      <c r="M520" s="944"/>
      <c r="N520" s="944"/>
      <c r="O520" s="944"/>
      <c r="P520" s="944"/>
      <c r="Q520" s="944"/>
      <c r="R520" s="944"/>
      <c r="S520" s="944"/>
      <c r="T520" s="944"/>
      <c r="U520" s="944"/>
      <c r="V520" s="944"/>
      <c r="W520" s="944"/>
      <c r="X520" s="944"/>
      <c r="Y520" s="944"/>
      <c r="Z520" s="944"/>
      <c r="AA520" s="944"/>
      <c r="AB520" s="944"/>
      <c r="AC520" s="944"/>
      <c r="AD520" s="944"/>
      <c r="AE520" s="944"/>
      <c r="AF520" s="944"/>
      <c r="AG520" s="944"/>
      <c r="AH520" s="944"/>
      <c r="AI520" s="944"/>
      <c r="AJ520" s="944"/>
      <c r="AK520" s="944"/>
      <c r="AL520" s="944"/>
      <c r="AM520" s="944"/>
      <c r="AN520" s="944"/>
      <c r="AO520" s="944"/>
      <c r="AP520" s="944"/>
      <c r="AQ520" s="944"/>
      <c r="AR520" s="944"/>
      <c r="AS520" s="944"/>
      <c r="AT520" s="944"/>
      <c r="AU520" s="944"/>
      <c r="AV520" s="944"/>
      <c r="AW520" s="944"/>
      <c r="AX520" s="944"/>
      <c r="AY520" s="944"/>
      <c r="AZ520" s="944"/>
      <c r="BA520" s="944"/>
      <c r="BB520" s="944"/>
      <c r="BC520" s="944"/>
      <c r="BD520" s="944"/>
      <c r="BE520" s="944"/>
      <c r="BF520" s="944"/>
      <c r="BG520" s="944"/>
      <c r="BH520" s="944"/>
      <c r="BI520" s="944"/>
      <c r="BJ520" s="944"/>
      <c r="BK520" s="944"/>
      <c r="BL520" s="944"/>
      <c r="BM520" s="944"/>
      <c r="BN520" s="944"/>
      <c r="BO520" s="944"/>
      <c r="BP520" s="45"/>
    </row>
    <row r="521" spans="1:68" ht="14.25" customHeight="1" x14ac:dyDescent="0.3">
      <c r="A521" s="960"/>
      <c r="B521" s="960"/>
      <c r="C521" s="960"/>
      <c r="D521" s="944"/>
      <c r="E521" s="944"/>
      <c r="F521" s="45"/>
      <c r="G521" s="45"/>
      <c r="H521" s="45"/>
      <c r="I521" s="45"/>
      <c r="J521" s="45"/>
      <c r="K521" s="45"/>
      <c r="L521" s="944"/>
      <c r="M521" s="944"/>
      <c r="N521" s="944"/>
      <c r="O521" s="944"/>
      <c r="P521" s="944"/>
      <c r="Q521" s="944"/>
      <c r="R521" s="944"/>
      <c r="S521" s="944"/>
      <c r="T521" s="944"/>
      <c r="U521" s="944"/>
      <c r="V521" s="944"/>
      <c r="W521" s="944"/>
      <c r="X521" s="944"/>
      <c r="Y521" s="944"/>
      <c r="Z521" s="944"/>
      <c r="AA521" s="944"/>
      <c r="AB521" s="944"/>
      <c r="AC521" s="944"/>
      <c r="AD521" s="944"/>
      <c r="AE521" s="944"/>
      <c r="AF521" s="944"/>
      <c r="AG521" s="944"/>
      <c r="AH521" s="944"/>
      <c r="AI521" s="944"/>
      <c r="AJ521" s="944"/>
      <c r="AK521" s="944"/>
      <c r="AL521" s="944"/>
      <c r="AM521" s="944"/>
      <c r="AN521" s="944"/>
      <c r="AO521" s="944"/>
      <c r="AP521" s="944"/>
      <c r="AQ521" s="944"/>
      <c r="AR521" s="944"/>
      <c r="AS521" s="944"/>
      <c r="AT521" s="944"/>
      <c r="AU521" s="944"/>
      <c r="AV521" s="944"/>
      <c r="AW521" s="944"/>
      <c r="AX521" s="944"/>
      <c r="AY521" s="944"/>
      <c r="AZ521" s="944"/>
      <c r="BA521" s="944"/>
      <c r="BB521" s="944"/>
      <c r="BC521" s="944"/>
      <c r="BD521" s="944"/>
      <c r="BE521" s="944"/>
      <c r="BF521" s="944"/>
      <c r="BG521" s="944"/>
      <c r="BH521" s="944"/>
      <c r="BI521" s="944"/>
      <c r="BJ521" s="944"/>
      <c r="BK521" s="944"/>
      <c r="BL521" s="944"/>
      <c r="BM521" s="944"/>
      <c r="BN521" s="944"/>
      <c r="BO521" s="944"/>
      <c r="BP521" s="45"/>
    </row>
    <row r="522" spans="1:68" ht="14.25" customHeight="1" x14ac:dyDescent="0.3">
      <c r="A522" s="960"/>
      <c r="B522" s="960"/>
      <c r="C522" s="960"/>
      <c r="D522" s="944"/>
      <c r="E522" s="944"/>
      <c r="F522" s="45"/>
      <c r="G522" s="45"/>
      <c r="H522" s="45"/>
      <c r="I522" s="45"/>
      <c r="J522" s="45"/>
      <c r="K522" s="45"/>
      <c r="L522" s="944"/>
      <c r="M522" s="944"/>
      <c r="N522" s="944"/>
      <c r="O522" s="944"/>
      <c r="P522" s="944"/>
      <c r="Q522" s="944"/>
      <c r="R522" s="944"/>
      <c r="S522" s="944"/>
      <c r="T522" s="944"/>
      <c r="U522" s="944"/>
      <c r="V522" s="944"/>
      <c r="W522" s="944"/>
      <c r="X522" s="944"/>
      <c r="Y522" s="944"/>
      <c r="Z522" s="944"/>
      <c r="AA522" s="944"/>
      <c r="AB522" s="944"/>
      <c r="AC522" s="944"/>
      <c r="AD522" s="944"/>
      <c r="AE522" s="944"/>
      <c r="AF522" s="944"/>
      <c r="AG522" s="944"/>
      <c r="AH522" s="944"/>
      <c r="AI522" s="944"/>
      <c r="AJ522" s="944"/>
      <c r="AK522" s="944"/>
      <c r="AL522" s="944"/>
      <c r="AM522" s="944"/>
      <c r="AN522" s="944"/>
      <c r="AO522" s="944"/>
      <c r="AP522" s="944"/>
      <c r="AQ522" s="944"/>
      <c r="AR522" s="944"/>
      <c r="AS522" s="944"/>
      <c r="AT522" s="944"/>
      <c r="AU522" s="944"/>
      <c r="AV522" s="944"/>
      <c r="AW522" s="944"/>
      <c r="AX522" s="944"/>
      <c r="AY522" s="944"/>
      <c r="AZ522" s="944"/>
      <c r="BA522" s="944"/>
      <c r="BB522" s="944"/>
      <c r="BC522" s="944"/>
      <c r="BD522" s="944"/>
      <c r="BE522" s="944"/>
      <c r="BF522" s="944"/>
      <c r="BG522" s="944"/>
      <c r="BH522" s="944"/>
      <c r="BI522" s="944"/>
      <c r="BJ522" s="944"/>
      <c r="BK522" s="944"/>
      <c r="BL522" s="944"/>
      <c r="BM522" s="944"/>
      <c r="BN522" s="944"/>
      <c r="BO522" s="944"/>
      <c r="BP522" s="45"/>
    </row>
    <row r="523" spans="1:68" ht="14.25" customHeight="1" x14ac:dyDescent="0.3">
      <c r="A523" s="960"/>
      <c r="B523" s="960"/>
      <c r="C523" s="960"/>
      <c r="D523" s="944"/>
      <c r="E523" s="944"/>
      <c r="F523" s="45"/>
      <c r="G523" s="45"/>
      <c r="H523" s="45"/>
      <c r="I523" s="45"/>
      <c r="J523" s="45"/>
      <c r="K523" s="45"/>
      <c r="L523" s="944"/>
      <c r="M523" s="944"/>
      <c r="N523" s="944"/>
      <c r="O523" s="944"/>
      <c r="P523" s="944"/>
      <c r="Q523" s="944"/>
      <c r="R523" s="944"/>
      <c r="S523" s="944"/>
      <c r="T523" s="944"/>
      <c r="U523" s="944"/>
      <c r="V523" s="944"/>
      <c r="W523" s="944"/>
      <c r="X523" s="944"/>
      <c r="Y523" s="944"/>
      <c r="Z523" s="944"/>
      <c r="AA523" s="944"/>
      <c r="AB523" s="944"/>
      <c r="AC523" s="944"/>
      <c r="AD523" s="944"/>
      <c r="AE523" s="944"/>
      <c r="AF523" s="944"/>
      <c r="AG523" s="944"/>
      <c r="AH523" s="944"/>
      <c r="AI523" s="944"/>
      <c r="AJ523" s="944"/>
      <c r="AK523" s="944"/>
      <c r="AL523" s="944"/>
      <c r="AM523" s="944"/>
      <c r="AN523" s="944"/>
      <c r="AO523" s="944"/>
      <c r="AP523" s="944"/>
      <c r="AQ523" s="944"/>
      <c r="AR523" s="944"/>
      <c r="AS523" s="944"/>
      <c r="AT523" s="944"/>
      <c r="AU523" s="944"/>
      <c r="AV523" s="944"/>
      <c r="AW523" s="944"/>
      <c r="AX523" s="944"/>
      <c r="AY523" s="944"/>
      <c r="AZ523" s="944"/>
      <c r="BA523" s="944"/>
      <c r="BB523" s="944"/>
      <c r="BC523" s="944"/>
      <c r="BD523" s="944"/>
      <c r="BE523" s="944"/>
      <c r="BF523" s="944"/>
      <c r="BG523" s="944"/>
      <c r="BH523" s="944"/>
      <c r="BI523" s="944"/>
      <c r="BJ523" s="944"/>
      <c r="BK523" s="944"/>
      <c r="BL523" s="944"/>
      <c r="BM523" s="944"/>
      <c r="BN523" s="944"/>
      <c r="BO523" s="944"/>
      <c r="BP523" s="45"/>
    </row>
    <row r="524" spans="1:68" ht="14.25" customHeight="1" x14ac:dyDescent="0.3">
      <c r="A524" s="960"/>
      <c r="B524" s="960"/>
      <c r="C524" s="960"/>
      <c r="D524" s="944"/>
      <c r="E524" s="944"/>
      <c r="F524" s="45"/>
      <c r="G524" s="45"/>
      <c r="H524" s="45"/>
      <c r="I524" s="45"/>
      <c r="J524" s="45"/>
      <c r="K524" s="45"/>
      <c r="L524" s="944"/>
      <c r="M524" s="944"/>
      <c r="N524" s="944"/>
      <c r="O524" s="944"/>
      <c r="P524" s="944"/>
      <c r="Q524" s="944"/>
      <c r="R524" s="944"/>
      <c r="S524" s="944"/>
      <c r="T524" s="944"/>
      <c r="U524" s="944"/>
      <c r="V524" s="944"/>
      <c r="W524" s="944"/>
      <c r="X524" s="944"/>
      <c r="Y524" s="944"/>
      <c r="Z524" s="944"/>
      <c r="AA524" s="944"/>
      <c r="AB524" s="944"/>
      <c r="AC524" s="944"/>
      <c r="AD524" s="944"/>
      <c r="AE524" s="944"/>
      <c r="AF524" s="944"/>
      <c r="AG524" s="944"/>
      <c r="AH524" s="944"/>
      <c r="AI524" s="944"/>
      <c r="AJ524" s="944"/>
      <c r="AK524" s="944"/>
      <c r="AL524" s="944"/>
      <c r="AM524" s="944"/>
      <c r="AN524" s="944"/>
      <c r="AO524" s="944"/>
      <c r="AP524" s="944"/>
      <c r="AQ524" s="944"/>
      <c r="AR524" s="944"/>
      <c r="AS524" s="944"/>
      <c r="AT524" s="944"/>
      <c r="AU524" s="944"/>
      <c r="AV524" s="944"/>
      <c r="AW524" s="944"/>
      <c r="AX524" s="944"/>
      <c r="AY524" s="944"/>
      <c r="AZ524" s="944"/>
      <c r="BA524" s="944"/>
      <c r="BB524" s="944"/>
      <c r="BC524" s="944"/>
      <c r="BD524" s="944"/>
      <c r="BE524" s="944"/>
      <c r="BF524" s="944"/>
      <c r="BG524" s="944"/>
      <c r="BH524" s="944"/>
      <c r="BI524" s="944"/>
      <c r="BJ524" s="944"/>
      <c r="BK524" s="944"/>
      <c r="BL524" s="944"/>
      <c r="BM524" s="944"/>
      <c r="BN524" s="944"/>
      <c r="BO524" s="944"/>
      <c r="BP524" s="45"/>
    </row>
    <row r="525" spans="1:68" ht="14.25" customHeight="1" x14ac:dyDescent="0.3">
      <c r="A525" s="960"/>
      <c r="B525" s="960"/>
      <c r="C525" s="960"/>
      <c r="D525" s="944"/>
      <c r="E525" s="944"/>
      <c r="F525" s="45"/>
      <c r="G525" s="45"/>
      <c r="H525" s="45"/>
      <c r="I525" s="45"/>
      <c r="J525" s="45"/>
      <c r="K525" s="45"/>
      <c r="L525" s="944"/>
      <c r="M525" s="944"/>
      <c r="N525" s="944"/>
      <c r="O525" s="944"/>
      <c r="P525" s="944"/>
      <c r="Q525" s="944"/>
      <c r="R525" s="944"/>
      <c r="S525" s="944"/>
      <c r="T525" s="944"/>
      <c r="U525" s="944"/>
      <c r="V525" s="944"/>
      <c r="W525" s="944"/>
      <c r="X525" s="944"/>
      <c r="Y525" s="944"/>
      <c r="Z525" s="944"/>
      <c r="AA525" s="944"/>
      <c r="AB525" s="944"/>
      <c r="AC525" s="944"/>
      <c r="AD525" s="944"/>
      <c r="AE525" s="944"/>
      <c r="AF525" s="944"/>
      <c r="AG525" s="944"/>
      <c r="AH525" s="944"/>
      <c r="AI525" s="944"/>
      <c r="AJ525" s="944"/>
      <c r="AK525" s="944"/>
      <c r="AL525" s="944"/>
      <c r="AM525" s="944"/>
      <c r="AN525" s="944"/>
      <c r="AO525" s="944"/>
      <c r="AP525" s="944"/>
      <c r="AQ525" s="944"/>
      <c r="AR525" s="944"/>
      <c r="AS525" s="944"/>
      <c r="AT525" s="944"/>
      <c r="AU525" s="944"/>
      <c r="AV525" s="944"/>
      <c r="AW525" s="944"/>
      <c r="AX525" s="944"/>
      <c r="AY525" s="944"/>
      <c r="AZ525" s="944"/>
      <c r="BA525" s="944"/>
      <c r="BB525" s="944"/>
      <c r="BC525" s="944"/>
      <c r="BD525" s="944"/>
      <c r="BE525" s="944"/>
      <c r="BF525" s="944"/>
      <c r="BG525" s="944"/>
      <c r="BH525" s="944"/>
      <c r="BI525" s="944"/>
      <c r="BJ525" s="944"/>
      <c r="BK525" s="944"/>
      <c r="BL525" s="944"/>
      <c r="BM525" s="944"/>
      <c r="BN525" s="944"/>
      <c r="BO525" s="944"/>
      <c r="BP525" s="45"/>
    </row>
    <row r="526" spans="1:68" ht="14.25" customHeight="1" x14ac:dyDescent="0.3">
      <c r="A526" s="960"/>
      <c r="B526" s="960"/>
      <c r="C526" s="960"/>
      <c r="D526" s="944"/>
      <c r="E526" s="944"/>
      <c r="F526" s="45"/>
      <c r="G526" s="45"/>
      <c r="H526" s="45"/>
      <c r="I526" s="45"/>
      <c r="J526" s="45"/>
      <c r="K526" s="45"/>
      <c r="L526" s="944"/>
      <c r="M526" s="944"/>
      <c r="N526" s="944"/>
      <c r="O526" s="944"/>
      <c r="P526" s="944"/>
      <c r="Q526" s="944"/>
      <c r="R526" s="944"/>
      <c r="S526" s="944"/>
      <c r="T526" s="944"/>
      <c r="U526" s="944"/>
      <c r="V526" s="944"/>
      <c r="W526" s="944"/>
      <c r="X526" s="944"/>
      <c r="Y526" s="944"/>
      <c r="Z526" s="944"/>
      <c r="AA526" s="944"/>
      <c r="AB526" s="944"/>
      <c r="AC526" s="944"/>
      <c r="AD526" s="944"/>
      <c r="AE526" s="944"/>
      <c r="AF526" s="944"/>
      <c r="AG526" s="944"/>
      <c r="AH526" s="944"/>
      <c r="AI526" s="944"/>
      <c r="AJ526" s="944"/>
      <c r="AK526" s="944"/>
      <c r="AL526" s="944"/>
      <c r="AM526" s="944"/>
      <c r="AN526" s="944"/>
      <c r="AO526" s="944"/>
      <c r="AP526" s="944"/>
      <c r="AQ526" s="944"/>
      <c r="AR526" s="944"/>
      <c r="AS526" s="944"/>
      <c r="AT526" s="944"/>
      <c r="AU526" s="944"/>
      <c r="AV526" s="944"/>
      <c r="AW526" s="944"/>
      <c r="AX526" s="944"/>
      <c r="AY526" s="944"/>
      <c r="AZ526" s="944"/>
      <c r="BA526" s="944"/>
      <c r="BB526" s="944"/>
      <c r="BC526" s="944"/>
      <c r="BD526" s="944"/>
      <c r="BE526" s="944"/>
      <c r="BF526" s="944"/>
      <c r="BG526" s="944"/>
      <c r="BH526" s="944"/>
      <c r="BI526" s="944"/>
      <c r="BJ526" s="944"/>
      <c r="BK526" s="944"/>
      <c r="BL526" s="944"/>
      <c r="BM526" s="944"/>
      <c r="BN526" s="944"/>
      <c r="BO526" s="944"/>
      <c r="BP526" s="45"/>
    </row>
    <row r="527" spans="1:68" ht="14.25" customHeight="1" x14ac:dyDescent="0.3">
      <c r="A527" s="960"/>
      <c r="B527" s="960"/>
      <c r="C527" s="960"/>
      <c r="D527" s="944"/>
      <c r="E527" s="944"/>
      <c r="F527" s="45"/>
      <c r="G527" s="45"/>
      <c r="H527" s="45"/>
      <c r="I527" s="45"/>
      <c r="J527" s="45"/>
      <c r="K527" s="45"/>
      <c r="L527" s="944"/>
      <c r="M527" s="944"/>
      <c r="N527" s="944"/>
      <c r="O527" s="944"/>
      <c r="P527" s="944"/>
      <c r="Q527" s="944"/>
      <c r="R527" s="944"/>
      <c r="S527" s="944"/>
      <c r="T527" s="944"/>
      <c r="U527" s="944"/>
      <c r="V527" s="944"/>
      <c r="W527" s="944"/>
      <c r="X527" s="944"/>
      <c r="Y527" s="944"/>
      <c r="Z527" s="944"/>
      <c r="AA527" s="944"/>
      <c r="AB527" s="944"/>
      <c r="AC527" s="944"/>
      <c r="AD527" s="944"/>
      <c r="AE527" s="944"/>
      <c r="AF527" s="944"/>
      <c r="AG527" s="944"/>
      <c r="AH527" s="944"/>
      <c r="AI527" s="944"/>
      <c r="AJ527" s="944"/>
      <c r="AK527" s="944"/>
      <c r="AL527" s="944"/>
      <c r="AM527" s="944"/>
      <c r="AN527" s="944"/>
      <c r="AO527" s="944"/>
      <c r="AP527" s="944"/>
      <c r="AQ527" s="944"/>
      <c r="AR527" s="944"/>
      <c r="AS527" s="944"/>
      <c r="AT527" s="944"/>
      <c r="AU527" s="944"/>
      <c r="AV527" s="944"/>
      <c r="AW527" s="944"/>
      <c r="AX527" s="944"/>
      <c r="AY527" s="944"/>
      <c r="AZ527" s="944"/>
      <c r="BA527" s="944"/>
      <c r="BB527" s="944"/>
      <c r="BC527" s="944"/>
      <c r="BD527" s="944"/>
      <c r="BE527" s="944"/>
      <c r="BF527" s="944"/>
      <c r="BG527" s="944"/>
      <c r="BH527" s="944"/>
      <c r="BI527" s="944"/>
      <c r="BJ527" s="944"/>
      <c r="BK527" s="944"/>
      <c r="BL527" s="944"/>
      <c r="BM527" s="944"/>
      <c r="BN527" s="944"/>
      <c r="BO527" s="944"/>
      <c r="BP527" s="45"/>
    </row>
    <row r="528" spans="1:68" ht="14.25" customHeight="1" x14ac:dyDescent="0.3">
      <c r="A528" s="960"/>
      <c r="B528" s="960"/>
      <c r="C528" s="960"/>
      <c r="D528" s="944"/>
      <c r="E528" s="944"/>
      <c r="F528" s="45"/>
      <c r="G528" s="45"/>
      <c r="H528" s="45"/>
      <c r="I528" s="45"/>
      <c r="J528" s="45"/>
      <c r="K528" s="45"/>
      <c r="L528" s="944"/>
      <c r="M528" s="944"/>
      <c r="N528" s="944"/>
      <c r="O528" s="944"/>
      <c r="P528" s="944"/>
      <c r="Q528" s="944"/>
      <c r="R528" s="944"/>
      <c r="S528" s="944"/>
      <c r="T528" s="944"/>
      <c r="U528" s="944"/>
      <c r="V528" s="944"/>
      <c r="W528" s="944"/>
      <c r="X528" s="944"/>
      <c r="Y528" s="944"/>
      <c r="Z528" s="944"/>
      <c r="AA528" s="944"/>
      <c r="AB528" s="944"/>
      <c r="AC528" s="944"/>
      <c r="AD528" s="944"/>
      <c r="AE528" s="944"/>
      <c r="AF528" s="944"/>
      <c r="AG528" s="944"/>
      <c r="AH528" s="944"/>
      <c r="AI528" s="944"/>
      <c r="AJ528" s="944"/>
      <c r="AK528" s="944"/>
      <c r="AL528" s="944"/>
      <c r="AM528" s="944"/>
      <c r="AN528" s="944"/>
      <c r="AO528" s="944"/>
      <c r="AP528" s="944"/>
      <c r="AQ528" s="944"/>
      <c r="AR528" s="944"/>
      <c r="AS528" s="944"/>
      <c r="AT528" s="944"/>
      <c r="AU528" s="944"/>
      <c r="AV528" s="944"/>
      <c r="AW528" s="944"/>
      <c r="AX528" s="944"/>
      <c r="AY528" s="944"/>
      <c r="AZ528" s="944"/>
      <c r="BA528" s="944"/>
      <c r="BB528" s="944"/>
      <c r="BC528" s="944"/>
      <c r="BD528" s="944"/>
      <c r="BE528" s="944"/>
      <c r="BF528" s="944"/>
      <c r="BG528" s="944"/>
      <c r="BH528" s="944"/>
      <c r="BI528" s="944"/>
      <c r="BJ528" s="944"/>
      <c r="BK528" s="944"/>
      <c r="BL528" s="944"/>
      <c r="BM528" s="944"/>
      <c r="BN528" s="944"/>
      <c r="BO528" s="944"/>
      <c r="BP528" s="45"/>
    </row>
    <row r="529" spans="1:68" ht="14.25" customHeight="1" x14ac:dyDescent="0.3">
      <c r="A529" s="960"/>
      <c r="B529" s="960"/>
      <c r="C529" s="960"/>
      <c r="D529" s="944"/>
      <c r="E529" s="944"/>
      <c r="F529" s="45"/>
      <c r="G529" s="45"/>
      <c r="H529" s="45"/>
      <c r="I529" s="45"/>
      <c r="J529" s="45"/>
      <c r="K529" s="45"/>
      <c r="L529" s="944"/>
      <c r="M529" s="944"/>
      <c r="N529" s="944"/>
      <c r="O529" s="944"/>
      <c r="P529" s="944"/>
      <c r="Q529" s="944"/>
      <c r="R529" s="944"/>
      <c r="S529" s="944"/>
      <c r="T529" s="944"/>
      <c r="U529" s="944"/>
      <c r="V529" s="944"/>
      <c r="W529" s="944"/>
      <c r="X529" s="944"/>
      <c r="Y529" s="944"/>
      <c r="Z529" s="944"/>
      <c r="AA529" s="944"/>
      <c r="AB529" s="944"/>
      <c r="AC529" s="944"/>
      <c r="AD529" s="944"/>
      <c r="AE529" s="944"/>
      <c r="AF529" s="944"/>
      <c r="AG529" s="944"/>
      <c r="AH529" s="944"/>
      <c r="AI529" s="944"/>
      <c r="AJ529" s="944"/>
      <c r="AK529" s="944"/>
      <c r="AL529" s="944"/>
      <c r="AM529" s="944"/>
      <c r="AN529" s="944"/>
      <c r="AO529" s="944"/>
      <c r="AP529" s="944"/>
      <c r="AQ529" s="944"/>
      <c r="AR529" s="944"/>
      <c r="AS529" s="944"/>
      <c r="AT529" s="944"/>
      <c r="AU529" s="944"/>
      <c r="AV529" s="944"/>
      <c r="AW529" s="944"/>
      <c r="AX529" s="944"/>
      <c r="AY529" s="944"/>
      <c r="AZ529" s="944"/>
      <c r="BA529" s="944"/>
      <c r="BB529" s="944"/>
      <c r="BC529" s="944"/>
      <c r="BD529" s="944"/>
      <c r="BE529" s="944"/>
      <c r="BF529" s="944"/>
      <c r="BG529" s="944"/>
      <c r="BH529" s="944"/>
      <c r="BI529" s="944"/>
      <c r="BJ529" s="944"/>
      <c r="BK529" s="944"/>
      <c r="BL529" s="944"/>
      <c r="BM529" s="944"/>
      <c r="BN529" s="944"/>
      <c r="BO529" s="944"/>
      <c r="BP529" s="45"/>
    </row>
    <row r="530" spans="1:68" ht="14.25" customHeight="1" x14ac:dyDescent="0.3">
      <c r="A530" s="960"/>
      <c r="B530" s="960"/>
      <c r="C530" s="960"/>
      <c r="D530" s="944"/>
      <c r="E530" s="944"/>
      <c r="F530" s="45"/>
      <c r="G530" s="45"/>
      <c r="H530" s="45"/>
      <c r="I530" s="45"/>
      <c r="J530" s="45"/>
      <c r="K530" s="45"/>
      <c r="L530" s="944"/>
      <c r="M530" s="944"/>
      <c r="N530" s="944"/>
      <c r="O530" s="944"/>
      <c r="P530" s="944"/>
      <c r="Q530" s="944"/>
      <c r="R530" s="944"/>
      <c r="S530" s="944"/>
      <c r="T530" s="944"/>
      <c r="U530" s="944"/>
      <c r="V530" s="944"/>
      <c r="W530" s="944"/>
      <c r="X530" s="944"/>
      <c r="Y530" s="944"/>
      <c r="Z530" s="944"/>
      <c r="AA530" s="944"/>
      <c r="AB530" s="944"/>
      <c r="AC530" s="944"/>
      <c r="AD530" s="944"/>
      <c r="AE530" s="944"/>
      <c r="AF530" s="944"/>
      <c r="AG530" s="944"/>
      <c r="AH530" s="944"/>
      <c r="AI530" s="944"/>
      <c r="AJ530" s="944"/>
      <c r="AK530" s="944"/>
      <c r="AL530" s="944"/>
      <c r="AM530" s="944"/>
      <c r="AN530" s="944"/>
      <c r="AO530" s="944"/>
      <c r="AP530" s="944"/>
      <c r="AQ530" s="944"/>
      <c r="AR530" s="944"/>
      <c r="AS530" s="944"/>
      <c r="AT530" s="944"/>
      <c r="AU530" s="944"/>
      <c r="AV530" s="944"/>
      <c r="AW530" s="944"/>
      <c r="AX530" s="944"/>
      <c r="AY530" s="944"/>
      <c r="AZ530" s="944"/>
      <c r="BA530" s="944"/>
      <c r="BB530" s="944"/>
      <c r="BC530" s="944"/>
      <c r="BD530" s="944"/>
      <c r="BE530" s="944"/>
      <c r="BF530" s="944"/>
      <c r="BG530" s="944"/>
      <c r="BH530" s="944"/>
      <c r="BI530" s="944"/>
      <c r="BJ530" s="944"/>
      <c r="BK530" s="944"/>
      <c r="BL530" s="944"/>
      <c r="BM530" s="944"/>
      <c r="BN530" s="944"/>
      <c r="BO530" s="944"/>
      <c r="BP530" s="45"/>
    </row>
    <row r="531" spans="1:68" ht="14.25" customHeight="1" x14ac:dyDescent="0.3">
      <c r="A531" s="960"/>
      <c r="B531" s="960"/>
      <c r="C531" s="960"/>
      <c r="D531" s="944"/>
      <c r="E531" s="944"/>
      <c r="F531" s="45"/>
      <c r="G531" s="45"/>
      <c r="H531" s="45"/>
      <c r="I531" s="45"/>
      <c r="J531" s="45"/>
      <c r="K531" s="45"/>
      <c r="L531" s="944"/>
      <c r="M531" s="944"/>
      <c r="N531" s="944"/>
      <c r="O531" s="944"/>
      <c r="P531" s="944"/>
      <c r="Q531" s="944"/>
      <c r="R531" s="944"/>
      <c r="S531" s="944"/>
      <c r="T531" s="944"/>
      <c r="U531" s="944"/>
      <c r="V531" s="944"/>
      <c r="W531" s="944"/>
      <c r="X531" s="944"/>
      <c r="Y531" s="944"/>
      <c r="Z531" s="944"/>
      <c r="AA531" s="944"/>
      <c r="AB531" s="944"/>
      <c r="AC531" s="944"/>
      <c r="AD531" s="944"/>
      <c r="AE531" s="944"/>
      <c r="AF531" s="944"/>
      <c r="AG531" s="944"/>
      <c r="AH531" s="944"/>
      <c r="AI531" s="944"/>
      <c r="AJ531" s="944"/>
      <c r="AK531" s="944"/>
      <c r="AL531" s="944"/>
      <c r="AM531" s="944"/>
      <c r="AN531" s="944"/>
      <c r="AO531" s="944"/>
      <c r="AP531" s="944"/>
      <c r="AQ531" s="944"/>
      <c r="AR531" s="944"/>
      <c r="AS531" s="944"/>
      <c r="AT531" s="944"/>
      <c r="AU531" s="944"/>
      <c r="AV531" s="944"/>
      <c r="AW531" s="944"/>
      <c r="AX531" s="944"/>
      <c r="AY531" s="944"/>
      <c r="AZ531" s="944"/>
      <c r="BA531" s="944"/>
      <c r="BB531" s="944"/>
      <c r="BC531" s="944"/>
      <c r="BD531" s="944"/>
      <c r="BE531" s="944"/>
      <c r="BF531" s="944"/>
      <c r="BG531" s="944"/>
      <c r="BH531" s="944"/>
      <c r="BI531" s="944"/>
      <c r="BJ531" s="944"/>
      <c r="BK531" s="944"/>
      <c r="BL531" s="944"/>
      <c r="BM531" s="944"/>
      <c r="BN531" s="944"/>
      <c r="BO531" s="944"/>
      <c r="BP531" s="45"/>
    </row>
    <row r="532" spans="1:68" ht="14.25" customHeight="1" x14ac:dyDescent="0.3">
      <c r="A532" s="960"/>
      <c r="B532" s="960"/>
      <c r="C532" s="960"/>
      <c r="D532" s="944"/>
      <c r="E532" s="944"/>
      <c r="F532" s="45"/>
      <c r="G532" s="45"/>
      <c r="H532" s="45"/>
      <c r="I532" s="45"/>
      <c r="J532" s="45"/>
      <c r="K532" s="45"/>
      <c r="L532" s="944"/>
      <c r="M532" s="944"/>
      <c r="N532" s="944"/>
      <c r="O532" s="944"/>
      <c r="P532" s="944"/>
      <c r="Q532" s="944"/>
      <c r="R532" s="944"/>
      <c r="S532" s="944"/>
      <c r="T532" s="944"/>
      <c r="U532" s="944"/>
      <c r="V532" s="944"/>
      <c r="W532" s="944"/>
      <c r="X532" s="944"/>
      <c r="Y532" s="944"/>
      <c r="Z532" s="944"/>
      <c r="AA532" s="944"/>
      <c r="AB532" s="944"/>
      <c r="AC532" s="944"/>
      <c r="AD532" s="944"/>
      <c r="AE532" s="944"/>
      <c r="AF532" s="944"/>
      <c r="AG532" s="944"/>
      <c r="AH532" s="944"/>
      <c r="AI532" s="944"/>
      <c r="AJ532" s="944"/>
      <c r="AK532" s="944"/>
      <c r="AL532" s="944"/>
      <c r="AM532" s="944"/>
      <c r="AN532" s="944"/>
      <c r="AO532" s="944"/>
      <c r="AP532" s="944"/>
      <c r="AQ532" s="944"/>
      <c r="AR532" s="944"/>
      <c r="AS532" s="944"/>
      <c r="AT532" s="944"/>
      <c r="AU532" s="944"/>
      <c r="AV532" s="944"/>
      <c r="AW532" s="944"/>
      <c r="AX532" s="944"/>
      <c r="AY532" s="944"/>
      <c r="AZ532" s="944"/>
      <c r="BA532" s="944"/>
      <c r="BB532" s="944"/>
      <c r="BC532" s="944"/>
      <c r="BD532" s="944"/>
      <c r="BE532" s="944"/>
      <c r="BF532" s="944"/>
      <c r="BG532" s="944"/>
      <c r="BH532" s="944"/>
      <c r="BI532" s="944"/>
      <c r="BJ532" s="944"/>
      <c r="BK532" s="944"/>
      <c r="BL532" s="944"/>
      <c r="BM532" s="944"/>
      <c r="BN532" s="944"/>
      <c r="BO532" s="944"/>
      <c r="BP532" s="45"/>
    </row>
    <row r="533" spans="1:68" ht="14.25" customHeight="1" x14ac:dyDescent="0.3">
      <c r="A533" s="960"/>
      <c r="B533" s="960"/>
      <c r="C533" s="960"/>
      <c r="D533" s="944"/>
      <c r="E533" s="944"/>
      <c r="F533" s="45"/>
      <c r="G533" s="45"/>
      <c r="H533" s="45"/>
      <c r="I533" s="45"/>
      <c r="J533" s="45"/>
      <c r="K533" s="45"/>
      <c r="L533" s="944"/>
      <c r="M533" s="944"/>
      <c r="N533" s="944"/>
      <c r="O533" s="944"/>
      <c r="P533" s="944"/>
      <c r="Q533" s="944"/>
      <c r="R533" s="944"/>
      <c r="S533" s="944"/>
      <c r="T533" s="944"/>
      <c r="U533" s="944"/>
      <c r="V533" s="944"/>
      <c r="W533" s="944"/>
      <c r="X533" s="944"/>
      <c r="Y533" s="944"/>
      <c r="Z533" s="944"/>
      <c r="AA533" s="944"/>
      <c r="AB533" s="944"/>
      <c r="AC533" s="944"/>
      <c r="AD533" s="944"/>
      <c r="AE533" s="944"/>
      <c r="AF533" s="944"/>
      <c r="AG533" s="944"/>
      <c r="AH533" s="944"/>
      <c r="AI533" s="944"/>
      <c r="AJ533" s="944"/>
      <c r="AK533" s="944"/>
      <c r="AL533" s="944"/>
      <c r="AM533" s="944"/>
      <c r="AN533" s="944"/>
      <c r="AO533" s="944"/>
      <c r="AP533" s="944"/>
      <c r="AQ533" s="944"/>
      <c r="AR533" s="944"/>
      <c r="AS533" s="944"/>
      <c r="AT533" s="944"/>
      <c r="AU533" s="944"/>
      <c r="AV533" s="944"/>
      <c r="AW533" s="944"/>
      <c r="AX533" s="944"/>
      <c r="AY533" s="944"/>
      <c r="AZ533" s="944"/>
      <c r="BA533" s="944"/>
      <c r="BB533" s="944"/>
      <c r="BC533" s="944"/>
      <c r="BD533" s="944"/>
      <c r="BE533" s="944"/>
      <c r="BF533" s="944"/>
      <c r="BG533" s="944"/>
      <c r="BH533" s="944"/>
      <c r="BI533" s="944"/>
      <c r="BJ533" s="944"/>
      <c r="BK533" s="944"/>
      <c r="BL533" s="944"/>
      <c r="BM533" s="944"/>
      <c r="BN533" s="944"/>
      <c r="BO533" s="944"/>
      <c r="BP533" s="45"/>
    </row>
    <row r="534" spans="1:68" ht="14.25" customHeight="1" x14ac:dyDescent="0.3">
      <c r="A534" s="960"/>
      <c r="B534" s="960"/>
      <c r="C534" s="960"/>
      <c r="D534" s="944"/>
      <c r="E534" s="944"/>
      <c r="F534" s="45"/>
      <c r="G534" s="45"/>
      <c r="H534" s="45"/>
      <c r="I534" s="45"/>
      <c r="J534" s="45"/>
      <c r="K534" s="45"/>
      <c r="L534" s="944"/>
      <c r="M534" s="944"/>
      <c r="N534" s="944"/>
      <c r="O534" s="944"/>
      <c r="P534" s="944"/>
      <c r="Q534" s="944"/>
      <c r="R534" s="944"/>
      <c r="S534" s="944"/>
      <c r="T534" s="944"/>
      <c r="U534" s="944"/>
      <c r="V534" s="944"/>
      <c r="W534" s="944"/>
      <c r="X534" s="944"/>
      <c r="Y534" s="944"/>
      <c r="Z534" s="944"/>
      <c r="AA534" s="944"/>
      <c r="AB534" s="944"/>
      <c r="AC534" s="944"/>
      <c r="AD534" s="944"/>
      <c r="AE534" s="944"/>
      <c r="AF534" s="944"/>
      <c r="AG534" s="944"/>
      <c r="AH534" s="944"/>
      <c r="AI534" s="944"/>
      <c r="AJ534" s="944"/>
      <c r="AK534" s="944"/>
      <c r="AL534" s="944"/>
      <c r="AM534" s="944"/>
      <c r="AN534" s="944"/>
      <c r="AO534" s="944"/>
      <c r="AP534" s="944"/>
      <c r="AQ534" s="944"/>
      <c r="AR534" s="944"/>
      <c r="AS534" s="944"/>
      <c r="AT534" s="944"/>
      <c r="AU534" s="944"/>
      <c r="AV534" s="944"/>
      <c r="AW534" s="944"/>
      <c r="AX534" s="944"/>
      <c r="AY534" s="944"/>
      <c r="AZ534" s="944"/>
      <c r="BA534" s="944"/>
      <c r="BB534" s="944"/>
      <c r="BC534" s="944"/>
      <c r="BD534" s="944"/>
      <c r="BE534" s="944"/>
      <c r="BF534" s="944"/>
      <c r="BG534" s="944"/>
      <c r="BH534" s="944"/>
      <c r="BI534" s="944"/>
      <c r="BJ534" s="944"/>
      <c r="BK534" s="944"/>
      <c r="BL534" s="944"/>
      <c r="BM534" s="944"/>
      <c r="BN534" s="944"/>
      <c r="BO534" s="944"/>
      <c r="BP534" s="45"/>
    </row>
    <row r="535" spans="1:68" ht="14.25" customHeight="1" x14ac:dyDescent="0.3">
      <c r="A535" s="960"/>
      <c r="B535" s="960"/>
      <c r="C535" s="960"/>
      <c r="D535" s="944"/>
      <c r="E535" s="944"/>
      <c r="F535" s="45"/>
      <c r="G535" s="45"/>
      <c r="H535" s="45"/>
      <c r="I535" s="45"/>
      <c r="J535" s="45"/>
      <c r="K535" s="45"/>
      <c r="L535" s="944"/>
      <c r="M535" s="944"/>
      <c r="N535" s="944"/>
      <c r="O535" s="944"/>
      <c r="P535" s="944"/>
      <c r="Q535" s="944"/>
      <c r="R535" s="944"/>
      <c r="S535" s="944"/>
      <c r="T535" s="944"/>
      <c r="U535" s="944"/>
      <c r="V535" s="944"/>
      <c r="W535" s="944"/>
      <c r="X535" s="944"/>
      <c r="Y535" s="944"/>
      <c r="Z535" s="944"/>
      <c r="AA535" s="944"/>
      <c r="AB535" s="944"/>
      <c r="AC535" s="944"/>
      <c r="AD535" s="944"/>
      <c r="AE535" s="944"/>
      <c r="AF535" s="944"/>
      <c r="AG535" s="944"/>
      <c r="AH535" s="944"/>
      <c r="AI535" s="944"/>
      <c r="AJ535" s="944"/>
      <c r="AK535" s="944"/>
      <c r="AL535" s="944"/>
      <c r="AM535" s="944"/>
      <c r="AN535" s="944"/>
      <c r="AO535" s="944"/>
      <c r="AP535" s="944"/>
      <c r="AQ535" s="944"/>
      <c r="AR535" s="944"/>
      <c r="AS535" s="944"/>
      <c r="AT535" s="944"/>
      <c r="AU535" s="944"/>
      <c r="AV535" s="944"/>
      <c r="AW535" s="944"/>
      <c r="AX535" s="944"/>
      <c r="AY535" s="944"/>
      <c r="AZ535" s="944"/>
      <c r="BA535" s="944"/>
      <c r="BB535" s="944"/>
      <c r="BC535" s="944"/>
      <c r="BD535" s="944"/>
      <c r="BE535" s="944"/>
      <c r="BF535" s="944"/>
      <c r="BG535" s="944"/>
      <c r="BH535" s="944"/>
      <c r="BI535" s="944"/>
      <c r="BJ535" s="944"/>
      <c r="BK535" s="944"/>
      <c r="BL535" s="944"/>
      <c r="BM535" s="944"/>
      <c r="BN535" s="944"/>
      <c r="BO535" s="944"/>
      <c r="BP535" s="45"/>
    </row>
    <row r="536" spans="1:68" ht="14.25" customHeight="1" x14ac:dyDescent="0.3">
      <c r="A536" s="960"/>
      <c r="B536" s="960"/>
      <c r="C536" s="960"/>
      <c r="D536" s="944"/>
      <c r="E536" s="944"/>
      <c r="F536" s="45"/>
      <c r="G536" s="45"/>
      <c r="H536" s="45"/>
      <c r="I536" s="45"/>
      <c r="J536" s="45"/>
      <c r="K536" s="45"/>
      <c r="L536" s="944"/>
      <c r="M536" s="944"/>
      <c r="N536" s="944"/>
      <c r="O536" s="944"/>
      <c r="P536" s="944"/>
      <c r="Q536" s="944"/>
      <c r="R536" s="944"/>
      <c r="S536" s="944"/>
      <c r="T536" s="944"/>
      <c r="U536" s="944"/>
      <c r="V536" s="944"/>
      <c r="W536" s="944"/>
      <c r="X536" s="944"/>
      <c r="Y536" s="944"/>
      <c r="Z536" s="944"/>
      <c r="AA536" s="944"/>
      <c r="AB536" s="944"/>
      <c r="AC536" s="944"/>
      <c r="AD536" s="944"/>
      <c r="AE536" s="944"/>
      <c r="AF536" s="944"/>
      <c r="AG536" s="944"/>
      <c r="AH536" s="944"/>
      <c r="AI536" s="944"/>
      <c r="AJ536" s="944"/>
      <c r="AK536" s="944"/>
      <c r="AL536" s="944"/>
      <c r="AM536" s="944"/>
      <c r="AN536" s="944"/>
      <c r="AO536" s="944"/>
      <c r="AP536" s="944"/>
      <c r="AQ536" s="944"/>
      <c r="AR536" s="944"/>
      <c r="AS536" s="944"/>
      <c r="AT536" s="944"/>
      <c r="AU536" s="944"/>
      <c r="AV536" s="944"/>
      <c r="AW536" s="944"/>
      <c r="AX536" s="944"/>
      <c r="AY536" s="944"/>
      <c r="AZ536" s="944"/>
      <c r="BA536" s="944"/>
      <c r="BB536" s="944"/>
      <c r="BC536" s="944"/>
      <c r="BD536" s="944"/>
      <c r="BE536" s="944"/>
      <c r="BF536" s="944"/>
      <c r="BG536" s="944"/>
      <c r="BH536" s="944"/>
      <c r="BI536" s="944"/>
      <c r="BJ536" s="944"/>
      <c r="BK536" s="944"/>
      <c r="BL536" s="944"/>
      <c r="BM536" s="944"/>
      <c r="BN536" s="944"/>
      <c r="BO536" s="944"/>
      <c r="BP536" s="45"/>
    </row>
    <row r="537" spans="1:68" ht="14.25" customHeight="1" x14ac:dyDescent="0.3">
      <c r="A537" s="960"/>
      <c r="B537" s="960"/>
      <c r="C537" s="960"/>
      <c r="D537" s="944"/>
      <c r="E537" s="944"/>
      <c r="F537" s="45"/>
      <c r="G537" s="45"/>
      <c r="H537" s="45"/>
      <c r="I537" s="45"/>
      <c r="J537" s="45"/>
      <c r="K537" s="45"/>
      <c r="L537" s="944"/>
      <c r="M537" s="944"/>
      <c r="N537" s="944"/>
      <c r="O537" s="944"/>
      <c r="P537" s="944"/>
      <c r="Q537" s="944"/>
      <c r="R537" s="944"/>
      <c r="S537" s="944"/>
      <c r="T537" s="944"/>
      <c r="U537" s="944"/>
      <c r="V537" s="944"/>
      <c r="W537" s="944"/>
      <c r="X537" s="944"/>
      <c r="Y537" s="944"/>
      <c r="Z537" s="944"/>
      <c r="AA537" s="944"/>
      <c r="AB537" s="944"/>
      <c r="AC537" s="944"/>
      <c r="AD537" s="944"/>
      <c r="AE537" s="944"/>
      <c r="AF537" s="944"/>
      <c r="AG537" s="944"/>
      <c r="AH537" s="944"/>
      <c r="AI537" s="944"/>
      <c r="AJ537" s="944"/>
      <c r="AK537" s="944"/>
      <c r="AL537" s="944"/>
      <c r="AM537" s="944"/>
      <c r="AN537" s="944"/>
      <c r="AO537" s="944"/>
      <c r="AP537" s="944"/>
      <c r="AQ537" s="944"/>
      <c r="AR537" s="944"/>
      <c r="AS537" s="944"/>
      <c r="AT537" s="944"/>
      <c r="AU537" s="944"/>
      <c r="AV537" s="944"/>
      <c r="AW537" s="944"/>
      <c r="AX537" s="944"/>
      <c r="AY537" s="944"/>
      <c r="AZ537" s="944"/>
      <c r="BA537" s="944"/>
      <c r="BB537" s="944"/>
      <c r="BC537" s="944"/>
      <c r="BD537" s="944"/>
      <c r="BE537" s="944"/>
      <c r="BF537" s="944"/>
      <c r="BG537" s="944"/>
      <c r="BH537" s="944"/>
      <c r="BI537" s="944"/>
      <c r="BJ537" s="944"/>
      <c r="BK537" s="944"/>
      <c r="BL537" s="944"/>
      <c r="BM537" s="944"/>
      <c r="BN537" s="944"/>
      <c r="BO537" s="944"/>
      <c r="BP537" s="45"/>
    </row>
    <row r="538" spans="1:68" ht="14.25" customHeight="1" x14ac:dyDescent="0.3">
      <c r="A538" s="960"/>
      <c r="B538" s="960"/>
      <c r="C538" s="960"/>
      <c r="D538" s="944"/>
      <c r="E538" s="944"/>
      <c r="F538" s="45"/>
      <c r="G538" s="45"/>
      <c r="H538" s="45"/>
      <c r="I538" s="45"/>
      <c r="J538" s="45"/>
      <c r="K538" s="45"/>
      <c r="L538" s="944"/>
      <c r="M538" s="944"/>
      <c r="N538" s="944"/>
      <c r="O538" s="944"/>
      <c r="P538" s="944"/>
      <c r="Q538" s="944"/>
      <c r="R538" s="944"/>
      <c r="S538" s="944"/>
      <c r="T538" s="944"/>
      <c r="U538" s="944"/>
      <c r="V538" s="944"/>
      <c r="W538" s="944"/>
      <c r="X538" s="944"/>
      <c r="Y538" s="944"/>
      <c r="Z538" s="944"/>
      <c r="AA538" s="944"/>
      <c r="AB538" s="944"/>
      <c r="AC538" s="944"/>
      <c r="AD538" s="944"/>
      <c r="AE538" s="944"/>
      <c r="AF538" s="944"/>
      <c r="AG538" s="944"/>
      <c r="AH538" s="944"/>
      <c r="AI538" s="944"/>
      <c r="AJ538" s="944"/>
      <c r="AK538" s="944"/>
      <c r="AL538" s="944"/>
      <c r="AM538" s="944"/>
      <c r="AN538" s="944"/>
      <c r="AO538" s="944"/>
      <c r="AP538" s="944"/>
      <c r="AQ538" s="944"/>
      <c r="AR538" s="944"/>
      <c r="AS538" s="944"/>
      <c r="AT538" s="944"/>
      <c r="AU538" s="944"/>
      <c r="AV538" s="944"/>
      <c r="AW538" s="944"/>
      <c r="AX538" s="944"/>
      <c r="AY538" s="944"/>
      <c r="AZ538" s="944"/>
      <c r="BA538" s="944"/>
      <c r="BB538" s="944"/>
      <c r="BC538" s="944"/>
      <c r="BD538" s="944"/>
      <c r="BE538" s="944"/>
      <c r="BF538" s="944"/>
      <c r="BG538" s="944"/>
      <c r="BH538" s="944"/>
      <c r="BI538" s="944"/>
      <c r="BJ538" s="944"/>
      <c r="BK538" s="944"/>
      <c r="BL538" s="944"/>
      <c r="BM538" s="944"/>
      <c r="BN538" s="944"/>
      <c r="BO538" s="944"/>
      <c r="BP538" s="45"/>
    </row>
    <row r="539" spans="1:68" ht="14.25" customHeight="1" x14ac:dyDescent="0.3">
      <c r="A539" s="960"/>
      <c r="B539" s="960"/>
      <c r="C539" s="960"/>
      <c r="D539" s="944"/>
      <c r="E539" s="944"/>
      <c r="F539" s="45"/>
      <c r="G539" s="45"/>
      <c r="H539" s="45"/>
      <c r="I539" s="45"/>
      <c r="J539" s="45"/>
      <c r="K539" s="45"/>
      <c r="L539" s="944"/>
      <c r="M539" s="944"/>
      <c r="N539" s="944"/>
      <c r="O539" s="944"/>
      <c r="P539" s="944"/>
      <c r="Q539" s="944"/>
      <c r="R539" s="944"/>
      <c r="S539" s="944"/>
      <c r="T539" s="944"/>
      <c r="U539" s="944"/>
      <c r="V539" s="944"/>
      <c r="W539" s="944"/>
      <c r="X539" s="944"/>
      <c r="Y539" s="944"/>
      <c r="Z539" s="944"/>
      <c r="AA539" s="944"/>
      <c r="AB539" s="944"/>
      <c r="AC539" s="944"/>
      <c r="AD539" s="944"/>
      <c r="AE539" s="944"/>
      <c r="AF539" s="944"/>
      <c r="AG539" s="944"/>
      <c r="AH539" s="944"/>
      <c r="AI539" s="944"/>
      <c r="AJ539" s="944"/>
      <c r="AK539" s="944"/>
      <c r="AL539" s="944"/>
      <c r="AM539" s="944"/>
      <c r="AN539" s="944"/>
      <c r="AO539" s="944"/>
      <c r="AP539" s="944"/>
      <c r="AQ539" s="944"/>
      <c r="AR539" s="944"/>
      <c r="AS539" s="944"/>
      <c r="AT539" s="944"/>
      <c r="AU539" s="944"/>
      <c r="AV539" s="944"/>
      <c r="AW539" s="944"/>
      <c r="AX539" s="944"/>
      <c r="AY539" s="944"/>
      <c r="AZ539" s="944"/>
      <c r="BA539" s="944"/>
      <c r="BB539" s="944"/>
      <c r="BC539" s="944"/>
      <c r="BD539" s="944"/>
      <c r="BE539" s="944"/>
      <c r="BF539" s="944"/>
      <c r="BG539" s="944"/>
      <c r="BH539" s="944"/>
      <c r="BI539" s="944"/>
      <c r="BJ539" s="944"/>
      <c r="BK539" s="944"/>
      <c r="BL539" s="944"/>
      <c r="BM539" s="944"/>
      <c r="BN539" s="944"/>
      <c r="BO539" s="944"/>
      <c r="BP539" s="45"/>
    </row>
    <row r="540" spans="1:68" ht="14.25" customHeight="1" x14ac:dyDescent="0.3">
      <c r="A540" s="960"/>
      <c r="B540" s="960"/>
      <c r="C540" s="960"/>
      <c r="D540" s="944"/>
      <c r="E540" s="944"/>
      <c r="F540" s="45"/>
      <c r="G540" s="45"/>
      <c r="H540" s="45"/>
      <c r="I540" s="45"/>
      <c r="J540" s="45"/>
      <c r="K540" s="45"/>
      <c r="L540" s="944"/>
      <c r="M540" s="944"/>
      <c r="N540" s="944"/>
      <c r="O540" s="944"/>
      <c r="P540" s="944"/>
      <c r="Q540" s="944"/>
      <c r="R540" s="944"/>
      <c r="S540" s="944"/>
      <c r="T540" s="944"/>
      <c r="U540" s="944"/>
      <c r="V540" s="944"/>
      <c r="W540" s="944"/>
      <c r="X540" s="944"/>
      <c r="Y540" s="944"/>
      <c r="Z540" s="944"/>
      <c r="AA540" s="944"/>
      <c r="AB540" s="944"/>
      <c r="AC540" s="944"/>
      <c r="AD540" s="944"/>
      <c r="AE540" s="944"/>
      <c r="AF540" s="944"/>
      <c r="AG540" s="944"/>
      <c r="AH540" s="944"/>
      <c r="AI540" s="944"/>
      <c r="AJ540" s="944"/>
      <c r="AK540" s="944"/>
      <c r="AL540" s="944"/>
      <c r="AM540" s="944"/>
      <c r="AN540" s="944"/>
      <c r="AO540" s="944"/>
      <c r="AP540" s="944"/>
      <c r="AQ540" s="944"/>
      <c r="AR540" s="944"/>
      <c r="AS540" s="944"/>
      <c r="AT540" s="944"/>
      <c r="AU540" s="944"/>
      <c r="AV540" s="944"/>
      <c r="AW540" s="944"/>
      <c r="AX540" s="944"/>
      <c r="AY540" s="944"/>
      <c r="AZ540" s="944"/>
      <c r="BA540" s="944"/>
      <c r="BB540" s="944"/>
      <c r="BC540" s="944"/>
      <c r="BD540" s="944"/>
      <c r="BE540" s="944"/>
      <c r="BF540" s="944"/>
      <c r="BG540" s="944"/>
      <c r="BH540" s="944"/>
      <c r="BI540" s="944"/>
      <c r="BJ540" s="944"/>
      <c r="BK540" s="944"/>
      <c r="BL540" s="944"/>
      <c r="BM540" s="944"/>
      <c r="BN540" s="944"/>
      <c r="BO540" s="944"/>
      <c r="BP540" s="45"/>
    </row>
    <row r="541" spans="1:68" ht="14.25" customHeight="1" x14ac:dyDescent="0.3">
      <c r="A541" s="960"/>
      <c r="B541" s="960"/>
      <c r="C541" s="960"/>
      <c r="D541" s="944"/>
      <c r="E541" s="944"/>
      <c r="F541" s="45"/>
      <c r="G541" s="45"/>
      <c r="H541" s="45"/>
      <c r="I541" s="45"/>
      <c r="J541" s="45"/>
      <c r="K541" s="45"/>
      <c r="L541" s="944"/>
      <c r="M541" s="944"/>
      <c r="N541" s="944"/>
      <c r="O541" s="944"/>
      <c r="P541" s="944"/>
      <c r="Q541" s="944"/>
      <c r="R541" s="944"/>
      <c r="S541" s="944"/>
      <c r="T541" s="944"/>
      <c r="U541" s="944"/>
      <c r="V541" s="944"/>
      <c r="W541" s="944"/>
      <c r="X541" s="944"/>
      <c r="Y541" s="944"/>
      <c r="Z541" s="944"/>
      <c r="AA541" s="944"/>
      <c r="AB541" s="944"/>
      <c r="AC541" s="944"/>
      <c r="AD541" s="944"/>
      <c r="AE541" s="944"/>
      <c r="AF541" s="944"/>
      <c r="AG541" s="944"/>
      <c r="AH541" s="944"/>
      <c r="AI541" s="944"/>
      <c r="AJ541" s="944"/>
      <c r="AK541" s="944"/>
      <c r="AL541" s="944"/>
      <c r="AM541" s="944"/>
      <c r="AN541" s="944"/>
      <c r="AO541" s="944"/>
      <c r="AP541" s="944"/>
      <c r="AQ541" s="944"/>
      <c r="AR541" s="944"/>
      <c r="AS541" s="944"/>
      <c r="AT541" s="944"/>
      <c r="AU541" s="944"/>
      <c r="AV541" s="944"/>
      <c r="AW541" s="944"/>
      <c r="AX541" s="944"/>
      <c r="AY541" s="944"/>
      <c r="AZ541" s="944"/>
      <c r="BA541" s="944"/>
      <c r="BB541" s="944"/>
      <c r="BC541" s="944"/>
      <c r="BD541" s="944"/>
      <c r="BE541" s="944"/>
      <c r="BF541" s="944"/>
      <c r="BG541" s="944"/>
      <c r="BH541" s="944"/>
      <c r="BI541" s="944"/>
      <c r="BJ541" s="944"/>
      <c r="BK541" s="944"/>
      <c r="BL541" s="944"/>
      <c r="BM541" s="944"/>
      <c r="BN541" s="944"/>
      <c r="BO541" s="944"/>
      <c r="BP541" s="45"/>
    </row>
    <row r="542" spans="1:68" ht="14.25" customHeight="1" x14ac:dyDescent="0.3">
      <c r="A542" s="960"/>
      <c r="B542" s="960"/>
      <c r="C542" s="960"/>
      <c r="D542" s="944"/>
      <c r="E542" s="944"/>
      <c r="F542" s="45"/>
      <c r="G542" s="45"/>
      <c r="H542" s="45"/>
      <c r="I542" s="45"/>
      <c r="J542" s="45"/>
      <c r="K542" s="45"/>
      <c r="L542" s="944"/>
      <c r="M542" s="944"/>
      <c r="N542" s="944"/>
      <c r="O542" s="944"/>
      <c r="P542" s="944"/>
      <c r="Q542" s="944"/>
      <c r="R542" s="944"/>
      <c r="S542" s="944"/>
      <c r="T542" s="944"/>
      <c r="U542" s="944"/>
      <c r="V542" s="944"/>
      <c r="W542" s="944"/>
      <c r="X542" s="944"/>
      <c r="Y542" s="944"/>
      <c r="Z542" s="944"/>
      <c r="AA542" s="944"/>
      <c r="AB542" s="944"/>
      <c r="AC542" s="944"/>
      <c r="AD542" s="944"/>
      <c r="AE542" s="944"/>
      <c r="AF542" s="944"/>
      <c r="AG542" s="944"/>
      <c r="AH542" s="944"/>
      <c r="AI542" s="944"/>
      <c r="AJ542" s="944"/>
      <c r="AK542" s="944"/>
      <c r="AL542" s="944"/>
      <c r="AM542" s="944"/>
      <c r="AN542" s="944"/>
      <c r="AO542" s="944"/>
      <c r="AP542" s="944"/>
      <c r="AQ542" s="944"/>
      <c r="AR542" s="944"/>
      <c r="AS542" s="944"/>
      <c r="AT542" s="944"/>
      <c r="AU542" s="944"/>
      <c r="AV542" s="944"/>
      <c r="AW542" s="944"/>
      <c r="AX542" s="944"/>
      <c r="AY542" s="944"/>
      <c r="AZ542" s="944"/>
      <c r="BA542" s="944"/>
      <c r="BB542" s="944"/>
      <c r="BC542" s="944"/>
      <c r="BD542" s="944"/>
      <c r="BE542" s="944"/>
      <c r="BF542" s="944"/>
      <c r="BG542" s="944"/>
      <c r="BH542" s="944"/>
      <c r="BI542" s="944"/>
      <c r="BJ542" s="944"/>
      <c r="BK542" s="944"/>
      <c r="BL542" s="944"/>
      <c r="BM542" s="944"/>
      <c r="BN542" s="944"/>
      <c r="BO542" s="944"/>
      <c r="BP542" s="45"/>
    </row>
    <row r="543" spans="1:68" ht="14.25" customHeight="1" x14ac:dyDescent="0.3">
      <c r="A543" s="960"/>
      <c r="B543" s="960"/>
      <c r="C543" s="960"/>
      <c r="D543" s="944"/>
      <c r="E543" s="944"/>
      <c r="F543" s="45"/>
      <c r="G543" s="45"/>
      <c r="H543" s="45"/>
      <c r="I543" s="45"/>
      <c r="J543" s="45"/>
      <c r="K543" s="45"/>
      <c r="L543" s="944"/>
      <c r="M543" s="944"/>
      <c r="N543" s="944"/>
      <c r="O543" s="944"/>
      <c r="P543" s="944"/>
      <c r="Q543" s="944"/>
      <c r="R543" s="944"/>
      <c r="S543" s="944"/>
      <c r="T543" s="944"/>
      <c r="U543" s="944"/>
      <c r="V543" s="944"/>
      <c r="W543" s="944"/>
      <c r="X543" s="944"/>
      <c r="Y543" s="944"/>
      <c r="Z543" s="944"/>
      <c r="AA543" s="944"/>
      <c r="AB543" s="944"/>
      <c r="AC543" s="944"/>
      <c r="AD543" s="944"/>
      <c r="AE543" s="944"/>
      <c r="AF543" s="944"/>
      <c r="AG543" s="944"/>
      <c r="AH543" s="944"/>
      <c r="AI543" s="944"/>
      <c r="AJ543" s="944"/>
      <c r="AK543" s="944"/>
      <c r="AL543" s="944"/>
      <c r="AM543" s="944"/>
      <c r="AN543" s="944"/>
      <c r="AO543" s="944"/>
      <c r="AP543" s="944"/>
      <c r="AQ543" s="944"/>
      <c r="AR543" s="944"/>
      <c r="AS543" s="944"/>
      <c r="AT543" s="944"/>
      <c r="AU543" s="944"/>
      <c r="AV543" s="944"/>
      <c r="AW543" s="944"/>
      <c r="AX543" s="944"/>
      <c r="AY543" s="944"/>
      <c r="AZ543" s="944"/>
      <c r="BA543" s="944"/>
      <c r="BB543" s="944"/>
      <c r="BC543" s="944"/>
      <c r="BD543" s="944"/>
      <c r="BE543" s="944"/>
      <c r="BF543" s="944"/>
      <c r="BG543" s="944"/>
      <c r="BH543" s="944"/>
      <c r="BI543" s="944"/>
      <c r="BJ543" s="944"/>
      <c r="BK543" s="944"/>
      <c r="BL543" s="944"/>
      <c r="BM543" s="944"/>
      <c r="BN543" s="944"/>
      <c r="BO543" s="944"/>
      <c r="BP543" s="45"/>
    </row>
    <row r="544" spans="1:68" ht="14.25" customHeight="1" x14ac:dyDescent="0.3">
      <c r="A544" s="960"/>
      <c r="B544" s="960"/>
      <c r="C544" s="960"/>
      <c r="D544" s="944"/>
      <c r="E544" s="944"/>
      <c r="F544" s="45"/>
      <c r="G544" s="45"/>
      <c r="H544" s="45"/>
      <c r="I544" s="45"/>
      <c r="J544" s="45"/>
      <c r="K544" s="45"/>
      <c r="L544" s="944"/>
      <c r="M544" s="944"/>
      <c r="N544" s="944"/>
      <c r="O544" s="944"/>
      <c r="P544" s="944"/>
      <c r="Q544" s="944"/>
      <c r="R544" s="944"/>
      <c r="S544" s="944"/>
      <c r="T544" s="944"/>
      <c r="U544" s="944"/>
      <c r="V544" s="944"/>
      <c r="W544" s="944"/>
      <c r="X544" s="944"/>
      <c r="Y544" s="944"/>
      <c r="Z544" s="944"/>
      <c r="AA544" s="944"/>
      <c r="AB544" s="944"/>
      <c r="AC544" s="944"/>
      <c r="AD544" s="944"/>
      <c r="AE544" s="944"/>
      <c r="AF544" s="944"/>
      <c r="AG544" s="944"/>
      <c r="AH544" s="944"/>
      <c r="AI544" s="944"/>
      <c r="AJ544" s="944"/>
      <c r="AK544" s="944"/>
      <c r="AL544" s="944"/>
      <c r="AM544" s="944"/>
      <c r="AN544" s="944"/>
      <c r="AO544" s="944"/>
      <c r="AP544" s="944"/>
      <c r="AQ544" s="944"/>
      <c r="AR544" s="944"/>
      <c r="AS544" s="944"/>
      <c r="AT544" s="944"/>
      <c r="AU544" s="944"/>
      <c r="AV544" s="944"/>
      <c r="AW544" s="944"/>
      <c r="AX544" s="944"/>
      <c r="AY544" s="944"/>
      <c r="AZ544" s="944"/>
      <c r="BA544" s="944"/>
      <c r="BB544" s="944"/>
      <c r="BC544" s="944"/>
      <c r="BD544" s="944"/>
      <c r="BE544" s="944"/>
      <c r="BF544" s="944"/>
      <c r="BG544" s="944"/>
      <c r="BH544" s="944"/>
      <c r="BI544" s="944"/>
      <c r="BJ544" s="944"/>
      <c r="BK544" s="944"/>
      <c r="BL544" s="944"/>
      <c r="BM544" s="944"/>
      <c r="BN544" s="944"/>
      <c r="BO544" s="944"/>
      <c r="BP544" s="45"/>
    </row>
    <row r="545" spans="1:68" ht="14.25" customHeight="1" x14ac:dyDescent="0.3">
      <c r="A545" s="960"/>
      <c r="B545" s="960"/>
      <c r="C545" s="960"/>
      <c r="D545" s="944"/>
      <c r="E545" s="944"/>
      <c r="F545" s="45"/>
      <c r="G545" s="45"/>
      <c r="H545" s="45"/>
      <c r="I545" s="45"/>
      <c r="J545" s="45"/>
      <c r="K545" s="45"/>
      <c r="L545" s="944"/>
      <c r="M545" s="944"/>
      <c r="N545" s="944"/>
      <c r="O545" s="944"/>
      <c r="P545" s="944"/>
      <c r="Q545" s="944"/>
      <c r="R545" s="944"/>
      <c r="S545" s="944"/>
      <c r="T545" s="944"/>
      <c r="U545" s="944"/>
      <c r="V545" s="944"/>
      <c r="W545" s="944"/>
      <c r="X545" s="944"/>
      <c r="Y545" s="944"/>
      <c r="Z545" s="944"/>
      <c r="AA545" s="944"/>
      <c r="AB545" s="944"/>
      <c r="AC545" s="944"/>
      <c r="AD545" s="944"/>
      <c r="AE545" s="944"/>
      <c r="AF545" s="944"/>
      <c r="AG545" s="944"/>
      <c r="AH545" s="944"/>
      <c r="AI545" s="944"/>
      <c r="AJ545" s="944"/>
      <c r="AK545" s="944"/>
      <c r="AL545" s="944"/>
      <c r="AM545" s="944"/>
      <c r="AN545" s="944"/>
      <c r="AO545" s="944"/>
      <c r="AP545" s="944"/>
      <c r="AQ545" s="944"/>
      <c r="AR545" s="944"/>
      <c r="AS545" s="944"/>
      <c r="AT545" s="944"/>
      <c r="AU545" s="944"/>
      <c r="AV545" s="944"/>
      <c r="AW545" s="944"/>
      <c r="AX545" s="944"/>
      <c r="AY545" s="944"/>
      <c r="AZ545" s="944"/>
      <c r="BA545" s="944"/>
      <c r="BB545" s="944"/>
      <c r="BC545" s="944"/>
      <c r="BD545" s="944"/>
      <c r="BE545" s="944"/>
      <c r="BF545" s="944"/>
      <c r="BG545" s="944"/>
      <c r="BH545" s="944"/>
      <c r="BI545" s="944"/>
      <c r="BJ545" s="944"/>
      <c r="BK545" s="944"/>
      <c r="BL545" s="944"/>
      <c r="BM545" s="944"/>
      <c r="BN545" s="944"/>
      <c r="BO545" s="944"/>
      <c r="BP545" s="45"/>
    </row>
    <row r="546" spans="1:68" ht="14.25" customHeight="1" x14ac:dyDescent="0.3">
      <c r="A546" s="960"/>
      <c r="B546" s="960"/>
      <c r="C546" s="960"/>
      <c r="D546" s="944"/>
      <c r="E546" s="944"/>
      <c r="F546" s="45"/>
      <c r="G546" s="45"/>
      <c r="H546" s="45"/>
      <c r="I546" s="45"/>
      <c r="J546" s="45"/>
      <c r="K546" s="45"/>
      <c r="L546" s="944"/>
      <c r="M546" s="944"/>
      <c r="N546" s="944"/>
      <c r="O546" s="944"/>
      <c r="P546" s="944"/>
      <c r="Q546" s="944"/>
      <c r="R546" s="944"/>
      <c r="S546" s="944"/>
      <c r="T546" s="944"/>
      <c r="U546" s="944"/>
      <c r="V546" s="944"/>
      <c r="W546" s="944"/>
      <c r="X546" s="944"/>
      <c r="Y546" s="944"/>
      <c r="Z546" s="944"/>
      <c r="AA546" s="944"/>
      <c r="AB546" s="944"/>
      <c r="AC546" s="944"/>
      <c r="AD546" s="944"/>
      <c r="AE546" s="944"/>
      <c r="AF546" s="944"/>
      <c r="AG546" s="944"/>
      <c r="AH546" s="944"/>
      <c r="AI546" s="944"/>
      <c r="AJ546" s="944"/>
      <c r="AK546" s="944"/>
      <c r="AL546" s="944"/>
      <c r="AM546" s="944"/>
      <c r="AN546" s="944"/>
      <c r="AO546" s="944"/>
      <c r="AP546" s="944"/>
      <c r="AQ546" s="944"/>
      <c r="AR546" s="944"/>
      <c r="AS546" s="944"/>
      <c r="AT546" s="944"/>
      <c r="AU546" s="944"/>
      <c r="AV546" s="944"/>
      <c r="AW546" s="944"/>
      <c r="AX546" s="944"/>
      <c r="AY546" s="944"/>
      <c r="AZ546" s="944"/>
      <c r="BA546" s="944"/>
      <c r="BB546" s="944"/>
      <c r="BC546" s="944"/>
      <c r="BD546" s="944"/>
      <c r="BE546" s="944"/>
      <c r="BF546" s="944"/>
      <c r="BG546" s="944"/>
      <c r="BH546" s="944"/>
      <c r="BI546" s="944"/>
      <c r="BJ546" s="944"/>
      <c r="BK546" s="944"/>
      <c r="BL546" s="944"/>
      <c r="BM546" s="944"/>
      <c r="BN546" s="944"/>
      <c r="BO546" s="944"/>
      <c r="BP546" s="45"/>
    </row>
    <row r="547" spans="1:68" ht="14.25" customHeight="1" x14ac:dyDescent="0.3">
      <c r="A547" s="960"/>
      <c r="B547" s="960"/>
      <c r="C547" s="960"/>
      <c r="D547" s="944"/>
      <c r="E547" s="944"/>
      <c r="F547" s="45"/>
      <c r="G547" s="45"/>
      <c r="H547" s="45"/>
      <c r="I547" s="45"/>
      <c r="J547" s="45"/>
      <c r="K547" s="45"/>
      <c r="L547" s="944"/>
      <c r="M547" s="944"/>
      <c r="N547" s="944"/>
      <c r="O547" s="944"/>
      <c r="P547" s="944"/>
      <c r="Q547" s="944"/>
      <c r="R547" s="944"/>
      <c r="S547" s="944"/>
      <c r="T547" s="944"/>
      <c r="U547" s="944"/>
      <c r="V547" s="944"/>
      <c r="W547" s="944"/>
      <c r="X547" s="944"/>
      <c r="Y547" s="944"/>
      <c r="Z547" s="944"/>
      <c r="AA547" s="944"/>
      <c r="AB547" s="944"/>
      <c r="AC547" s="944"/>
      <c r="AD547" s="944"/>
      <c r="AE547" s="944"/>
      <c r="AF547" s="944"/>
      <c r="AG547" s="944"/>
      <c r="AH547" s="944"/>
      <c r="AI547" s="944"/>
      <c r="AJ547" s="944"/>
      <c r="AK547" s="944"/>
      <c r="AL547" s="944"/>
      <c r="AM547" s="944"/>
      <c r="AN547" s="944"/>
      <c r="AO547" s="944"/>
      <c r="AP547" s="944"/>
      <c r="AQ547" s="944"/>
      <c r="AR547" s="944"/>
      <c r="AS547" s="944"/>
      <c r="AT547" s="944"/>
      <c r="AU547" s="944"/>
      <c r="AV547" s="944"/>
      <c r="AW547" s="944"/>
      <c r="AX547" s="944"/>
      <c r="AY547" s="944"/>
      <c r="AZ547" s="944"/>
      <c r="BA547" s="944"/>
      <c r="BB547" s="944"/>
      <c r="BC547" s="944"/>
      <c r="BD547" s="944"/>
      <c r="BE547" s="944"/>
      <c r="BF547" s="944"/>
      <c r="BG547" s="944"/>
      <c r="BH547" s="944"/>
      <c r="BI547" s="944"/>
      <c r="BJ547" s="944"/>
      <c r="BK547" s="944"/>
      <c r="BL547" s="944"/>
      <c r="BM547" s="944"/>
      <c r="BN547" s="944"/>
      <c r="BO547" s="944"/>
      <c r="BP547" s="45"/>
    </row>
    <row r="548" spans="1:68" ht="14.25" customHeight="1" x14ac:dyDescent="0.3">
      <c r="A548" s="960"/>
      <c r="B548" s="960"/>
      <c r="C548" s="960"/>
      <c r="D548" s="944"/>
      <c r="E548" s="944"/>
      <c r="F548" s="45"/>
      <c r="G548" s="45"/>
      <c r="H548" s="45"/>
      <c r="I548" s="45"/>
      <c r="J548" s="45"/>
      <c r="K548" s="45"/>
      <c r="L548" s="944"/>
      <c r="M548" s="944"/>
      <c r="N548" s="944"/>
      <c r="O548" s="944"/>
      <c r="P548" s="944"/>
      <c r="Q548" s="944"/>
      <c r="R548" s="944"/>
      <c r="S548" s="944"/>
      <c r="T548" s="944"/>
      <c r="U548" s="944"/>
      <c r="V548" s="944"/>
      <c r="W548" s="944"/>
      <c r="X548" s="944"/>
      <c r="Y548" s="944"/>
      <c r="Z548" s="944"/>
      <c r="AA548" s="944"/>
      <c r="AB548" s="944"/>
      <c r="AC548" s="944"/>
      <c r="AD548" s="944"/>
      <c r="AE548" s="944"/>
      <c r="AF548" s="944"/>
      <c r="AG548" s="944"/>
      <c r="AH548" s="944"/>
      <c r="AI548" s="944"/>
      <c r="AJ548" s="944"/>
      <c r="AK548" s="944"/>
      <c r="AL548" s="944"/>
      <c r="AM548" s="944"/>
      <c r="AN548" s="944"/>
      <c r="AO548" s="944"/>
      <c r="AP548" s="944"/>
      <c r="AQ548" s="944"/>
      <c r="AR548" s="944"/>
      <c r="AS548" s="944"/>
      <c r="AT548" s="944"/>
      <c r="AU548" s="944"/>
      <c r="AV548" s="944"/>
      <c r="AW548" s="944"/>
      <c r="AX548" s="944"/>
      <c r="AY548" s="944"/>
      <c r="AZ548" s="944"/>
      <c r="BA548" s="944"/>
      <c r="BB548" s="944"/>
      <c r="BC548" s="944"/>
      <c r="BD548" s="944"/>
      <c r="BE548" s="944"/>
      <c r="BF548" s="944"/>
      <c r="BG548" s="944"/>
      <c r="BH548" s="944"/>
      <c r="BI548" s="944"/>
      <c r="BJ548" s="944"/>
      <c r="BK548" s="944"/>
      <c r="BL548" s="944"/>
      <c r="BM548" s="944"/>
      <c r="BN548" s="944"/>
      <c r="BO548" s="944"/>
      <c r="BP548" s="45"/>
    </row>
    <row r="549" spans="1:68" ht="14.25" customHeight="1" x14ac:dyDescent="0.3">
      <c r="A549" s="960"/>
      <c r="B549" s="960"/>
      <c r="C549" s="960"/>
      <c r="D549" s="944"/>
      <c r="E549" s="944"/>
      <c r="F549" s="45"/>
      <c r="G549" s="45"/>
      <c r="H549" s="45"/>
      <c r="I549" s="45"/>
      <c r="J549" s="45"/>
      <c r="K549" s="45"/>
      <c r="L549" s="944"/>
      <c r="M549" s="944"/>
      <c r="N549" s="944"/>
      <c r="O549" s="944"/>
      <c r="P549" s="944"/>
      <c r="Q549" s="944"/>
      <c r="R549" s="944"/>
      <c r="S549" s="944"/>
      <c r="T549" s="944"/>
      <c r="U549" s="944"/>
      <c r="V549" s="944"/>
      <c r="W549" s="944"/>
      <c r="X549" s="944"/>
      <c r="Y549" s="944"/>
      <c r="Z549" s="944"/>
      <c r="AA549" s="944"/>
      <c r="AB549" s="944"/>
      <c r="AC549" s="944"/>
      <c r="AD549" s="944"/>
      <c r="AE549" s="944"/>
      <c r="AF549" s="944"/>
      <c r="AG549" s="944"/>
      <c r="AH549" s="944"/>
      <c r="AI549" s="944"/>
      <c r="AJ549" s="944"/>
      <c r="AK549" s="944"/>
      <c r="AL549" s="944"/>
      <c r="AM549" s="944"/>
      <c r="AN549" s="944"/>
      <c r="AO549" s="944"/>
      <c r="AP549" s="944"/>
      <c r="AQ549" s="944"/>
      <c r="AR549" s="944"/>
      <c r="AS549" s="944"/>
      <c r="AT549" s="944"/>
      <c r="AU549" s="944"/>
      <c r="AV549" s="944"/>
      <c r="AW549" s="944"/>
      <c r="AX549" s="944"/>
      <c r="AY549" s="944"/>
      <c r="AZ549" s="944"/>
      <c r="BA549" s="944"/>
      <c r="BB549" s="944"/>
      <c r="BC549" s="944"/>
      <c r="BD549" s="944"/>
      <c r="BE549" s="944"/>
      <c r="BF549" s="944"/>
      <c r="BG549" s="944"/>
      <c r="BH549" s="944"/>
      <c r="BI549" s="944"/>
      <c r="BJ549" s="944"/>
      <c r="BK549" s="944"/>
      <c r="BL549" s="944"/>
      <c r="BM549" s="944"/>
      <c r="BN549" s="944"/>
      <c r="BO549" s="944"/>
      <c r="BP549" s="45"/>
    </row>
    <row r="550" spans="1:68" ht="14.25" customHeight="1" x14ac:dyDescent="0.3">
      <c r="A550" s="960"/>
      <c r="B550" s="960"/>
      <c r="C550" s="960"/>
      <c r="D550" s="944"/>
      <c r="E550" s="944"/>
      <c r="F550" s="45"/>
      <c r="G550" s="45"/>
      <c r="H550" s="45"/>
      <c r="I550" s="45"/>
      <c r="J550" s="45"/>
      <c r="K550" s="45"/>
      <c r="L550" s="944"/>
      <c r="M550" s="944"/>
      <c r="N550" s="944"/>
      <c r="O550" s="944"/>
      <c r="P550" s="944"/>
      <c r="Q550" s="944"/>
      <c r="R550" s="944"/>
      <c r="S550" s="944"/>
      <c r="T550" s="944"/>
      <c r="U550" s="944"/>
      <c r="V550" s="944"/>
      <c r="W550" s="944"/>
      <c r="X550" s="944"/>
      <c r="Y550" s="944"/>
      <c r="Z550" s="944"/>
      <c r="AA550" s="944"/>
      <c r="AB550" s="944"/>
      <c r="AC550" s="944"/>
      <c r="AD550" s="944"/>
      <c r="AE550" s="944"/>
      <c r="AF550" s="944"/>
      <c r="AG550" s="944"/>
      <c r="AH550" s="944"/>
      <c r="AI550" s="944"/>
      <c r="AJ550" s="944"/>
      <c r="AK550" s="944"/>
      <c r="AL550" s="944"/>
      <c r="AM550" s="944"/>
      <c r="AN550" s="944"/>
      <c r="AO550" s="944"/>
      <c r="AP550" s="944"/>
      <c r="AQ550" s="944"/>
      <c r="AR550" s="944"/>
      <c r="AS550" s="944"/>
      <c r="AT550" s="944"/>
      <c r="AU550" s="944"/>
      <c r="AV550" s="944"/>
      <c r="AW550" s="944"/>
      <c r="AX550" s="944"/>
      <c r="AY550" s="944"/>
      <c r="AZ550" s="944"/>
      <c r="BA550" s="944"/>
      <c r="BB550" s="944"/>
      <c r="BC550" s="944"/>
      <c r="BD550" s="944"/>
      <c r="BE550" s="944"/>
      <c r="BF550" s="944"/>
      <c r="BG550" s="944"/>
      <c r="BH550" s="944"/>
      <c r="BI550" s="944"/>
      <c r="BJ550" s="944"/>
      <c r="BK550" s="944"/>
      <c r="BL550" s="944"/>
      <c r="BM550" s="944"/>
      <c r="BN550" s="944"/>
      <c r="BO550" s="944"/>
      <c r="BP550" s="45"/>
    </row>
    <row r="551" spans="1:68" ht="14.25" customHeight="1" x14ac:dyDescent="0.3">
      <c r="A551" s="960"/>
      <c r="B551" s="960"/>
      <c r="C551" s="960"/>
      <c r="D551" s="944"/>
      <c r="E551" s="944"/>
      <c r="F551" s="45"/>
      <c r="G551" s="45"/>
      <c r="H551" s="45"/>
      <c r="I551" s="45"/>
      <c r="J551" s="45"/>
      <c r="K551" s="45"/>
      <c r="L551" s="944"/>
      <c r="M551" s="944"/>
      <c r="N551" s="944"/>
      <c r="O551" s="944"/>
      <c r="P551" s="944"/>
      <c r="Q551" s="944"/>
      <c r="R551" s="944"/>
      <c r="S551" s="944"/>
      <c r="T551" s="944"/>
      <c r="U551" s="944"/>
      <c r="V551" s="944"/>
      <c r="W551" s="944"/>
      <c r="X551" s="944"/>
      <c r="Y551" s="944"/>
      <c r="Z551" s="944"/>
      <c r="AA551" s="944"/>
      <c r="AB551" s="944"/>
      <c r="AC551" s="944"/>
      <c r="AD551" s="944"/>
      <c r="AE551" s="944"/>
      <c r="AF551" s="944"/>
      <c r="AG551" s="944"/>
      <c r="AH551" s="944"/>
      <c r="AI551" s="944"/>
      <c r="AJ551" s="944"/>
      <c r="AK551" s="944"/>
      <c r="AL551" s="944"/>
      <c r="AM551" s="944"/>
      <c r="AN551" s="944"/>
      <c r="AO551" s="944"/>
      <c r="AP551" s="944"/>
      <c r="AQ551" s="944"/>
      <c r="AR551" s="944"/>
      <c r="AS551" s="944"/>
      <c r="AT551" s="944"/>
      <c r="AU551" s="944"/>
      <c r="AV551" s="944"/>
      <c r="AW551" s="944"/>
      <c r="AX551" s="944"/>
      <c r="AY551" s="944"/>
      <c r="AZ551" s="944"/>
      <c r="BA551" s="944"/>
      <c r="BB551" s="944"/>
      <c r="BC551" s="944"/>
      <c r="BD551" s="944"/>
      <c r="BE551" s="944"/>
      <c r="BF551" s="944"/>
      <c r="BG551" s="944"/>
      <c r="BH551" s="944"/>
      <c r="BI551" s="944"/>
      <c r="BJ551" s="944"/>
      <c r="BK551" s="944"/>
      <c r="BL551" s="944"/>
      <c r="BM551" s="944"/>
      <c r="BN551" s="944"/>
      <c r="BO551" s="944"/>
      <c r="BP551" s="45"/>
    </row>
    <row r="552" spans="1:68" ht="14.25" customHeight="1" x14ac:dyDescent="0.3">
      <c r="A552" s="960"/>
      <c r="B552" s="960"/>
      <c r="C552" s="960"/>
      <c r="D552" s="944"/>
      <c r="E552" s="944"/>
      <c r="F552" s="45"/>
      <c r="G552" s="45"/>
      <c r="H552" s="45"/>
      <c r="I552" s="45"/>
      <c r="J552" s="45"/>
      <c r="K552" s="45"/>
      <c r="L552" s="944"/>
      <c r="M552" s="944"/>
      <c r="N552" s="944"/>
      <c r="O552" s="944"/>
      <c r="P552" s="944"/>
      <c r="Q552" s="944"/>
      <c r="R552" s="944"/>
      <c r="S552" s="944"/>
      <c r="T552" s="944"/>
      <c r="U552" s="944"/>
      <c r="V552" s="944"/>
      <c r="W552" s="944"/>
      <c r="X552" s="944"/>
      <c r="Y552" s="944"/>
      <c r="Z552" s="944"/>
      <c r="AA552" s="944"/>
      <c r="AB552" s="944"/>
      <c r="AC552" s="944"/>
      <c r="AD552" s="944"/>
      <c r="AE552" s="944"/>
      <c r="AF552" s="944"/>
      <c r="AG552" s="944"/>
      <c r="AH552" s="944"/>
      <c r="AI552" s="944"/>
      <c r="AJ552" s="944"/>
      <c r="AK552" s="944"/>
      <c r="AL552" s="944"/>
      <c r="AM552" s="944"/>
      <c r="AN552" s="944"/>
      <c r="AO552" s="944"/>
      <c r="AP552" s="944"/>
      <c r="AQ552" s="944"/>
      <c r="AR552" s="944"/>
      <c r="AS552" s="944"/>
      <c r="AT552" s="944"/>
      <c r="AU552" s="944"/>
      <c r="AV552" s="944"/>
      <c r="AW552" s="944"/>
      <c r="AX552" s="944"/>
      <c r="AY552" s="944"/>
      <c r="AZ552" s="944"/>
      <c r="BA552" s="944"/>
      <c r="BB552" s="944"/>
      <c r="BC552" s="944"/>
      <c r="BD552" s="944"/>
      <c r="BE552" s="944"/>
      <c r="BF552" s="944"/>
      <c r="BG552" s="944"/>
      <c r="BH552" s="944"/>
      <c r="BI552" s="944"/>
      <c r="BJ552" s="944"/>
      <c r="BK552" s="944"/>
      <c r="BL552" s="944"/>
      <c r="BM552" s="944"/>
      <c r="BN552" s="944"/>
      <c r="BO552" s="944"/>
      <c r="BP552" s="45"/>
    </row>
    <row r="553" spans="1:68" ht="14.25" customHeight="1" x14ac:dyDescent="0.3">
      <c r="A553" s="960"/>
      <c r="B553" s="960"/>
      <c r="C553" s="960"/>
      <c r="D553" s="944"/>
      <c r="E553" s="944"/>
      <c r="F553" s="45"/>
      <c r="G553" s="45"/>
      <c r="H553" s="45"/>
      <c r="I553" s="45"/>
      <c r="J553" s="45"/>
      <c r="K553" s="45"/>
      <c r="L553" s="944"/>
      <c r="M553" s="944"/>
      <c r="N553" s="944"/>
      <c r="O553" s="944"/>
      <c r="P553" s="944"/>
      <c r="Q553" s="944"/>
      <c r="R553" s="944"/>
      <c r="S553" s="944"/>
      <c r="T553" s="944"/>
      <c r="U553" s="944"/>
      <c r="V553" s="944"/>
      <c r="W553" s="944"/>
      <c r="X553" s="944"/>
      <c r="Y553" s="944"/>
      <c r="Z553" s="944"/>
      <c r="AA553" s="944"/>
      <c r="AB553" s="944"/>
      <c r="AC553" s="944"/>
      <c r="AD553" s="944"/>
      <c r="AE553" s="944"/>
      <c r="AF553" s="944"/>
      <c r="AG553" s="944"/>
      <c r="AH553" s="944"/>
      <c r="AI553" s="944"/>
      <c r="AJ553" s="944"/>
      <c r="AK553" s="944"/>
      <c r="AL553" s="944"/>
      <c r="AM553" s="944"/>
      <c r="AN553" s="944"/>
      <c r="AO553" s="944"/>
      <c r="AP553" s="944"/>
      <c r="AQ553" s="944"/>
      <c r="AR553" s="944"/>
      <c r="AS553" s="944"/>
      <c r="AT553" s="944"/>
      <c r="AU553" s="944"/>
      <c r="AV553" s="944"/>
      <c r="AW553" s="944"/>
      <c r="AX553" s="944"/>
      <c r="AY553" s="944"/>
      <c r="AZ553" s="944"/>
      <c r="BA553" s="944"/>
      <c r="BB553" s="944"/>
      <c r="BC553" s="944"/>
      <c r="BD553" s="944"/>
      <c r="BE553" s="944"/>
      <c r="BF553" s="944"/>
      <c r="BG553" s="944"/>
      <c r="BH553" s="944"/>
      <c r="BI553" s="944"/>
      <c r="BJ553" s="944"/>
      <c r="BK553" s="944"/>
      <c r="BL553" s="944"/>
      <c r="BM553" s="944"/>
      <c r="BN553" s="944"/>
      <c r="BO553" s="944"/>
      <c r="BP553" s="45"/>
    </row>
    <row r="554" spans="1:68" ht="14.25" customHeight="1" x14ac:dyDescent="0.3">
      <c r="A554" s="960"/>
      <c r="B554" s="960"/>
      <c r="C554" s="960"/>
      <c r="D554" s="944"/>
      <c r="E554" s="944"/>
      <c r="F554" s="45"/>
      <c r="G554" s="45"/>
      <c r="H554" s="45"/>
      <c r="I554" s="45"/>
      <c r="J554" s="45"/>
      <c r="K554" s="45"/>
      <c r="L554" s="944"/>
      <c r="M554" s="944"/>
      <c r="N554" s="944"/>
      <c r="O554" s="944"/>
      <c r="P554" s="944"/>
      <c r="Q554" s="944"/>
      <c r="R554" s="944"/>
      <c r="S554" s="944"/>
      <c r="T554" s="944"/>
      <c r="U554" s="944"/>
      <c r="V554" s="944"/>
      <c r="W554" s="944"/>
      <c r="X554" s="944"/>
      <c r="Y554" s="944"/>
      <c r="Z554" s="944"/>
      <c r="AA554" s="944"/>
      <c r="AB554" s="944"/>
      <c r="AC554" s="944"/>
      <c r="AD554" s="944"/>
      <c r="AE554" s="944"/>
      <c r="AF554" s="944"/>
      <c r="AG554" s="944"/>
      <c r="AH554" s="944"/>
      <c r="AI554" s="944"/>
      <c r="AJ554" s="944"/>
      <c r="AK554" s="944"/>
      <c r="AL554" s="944"/>
      <c r="AM554" s="944"/>
      <c r="AN554" s="944"/>
      <c r="AO554" s="944"/>
      <c r="AP554" s="944"/>
      <c r="AQ554" s="944"/>
      <c r="AR554" s="944"/>
      <c r="AS554" s="944"/>
      <c r="AT554" s="944"/>
      <c r="AU554" s="944"/>
      <c r="AV554" s="944"/>
      <c r="AW554" s="944"/>
      <c r="AX554" s="944"/>
      <c r="AY554" s="944"/>
      <c r="AZ554" s="944"/>
      <c r="BA554" s="944"/>
      <c r="BB554" s="944"/>
      <c r="BC554" s="944"/>
      <c r="BD554" s="944"/>
      <c r="BE554" s="944"/>
      <c r="BF554" s="944"/>
      <c r="BG554" s="944"/>
      <c r="BH554" s="944"/>
      <c r="BI554" s="944"/>
      <c r="BJ554" s="944"/>
      <c r="BK554" s="944"/>
      <c r="BL554" s="944"/>
      <c r="BM554" s="944"/>
      <c r="BN554" s="944"/>
      <c r="BO554" s="944"/>
      <c r="BP554" s="45"/>
    </row>
    <row r="555" spans="1:68" ht="14.25" customHeight="1" x14ac:dyDescent="0.3">
      <c r="A555" s="960"/>
      <c r="B555" s="960"/>
      <c r="C555" s="960"/>
      <c r="D555" s="944"/>
      <c r="E555" s="944"/>
      <c r="F555" s="45"/>
      <c r="G555" s="45"/>
      <c r="H555" s="45"/>
      <c r="I555" s="45"/>
      <c r="J555" s="45"/>
      <c r="K555" s="45"/>
      <c r="L555" s="944"/>
      <c r="M555" s="944"/>
      <c r="N555" s="944"/>
      <c r="O555" s="944"/>
      <c r="P555" s="944"/>
      <c r="Q555" s="944"/>
      <c r="R555" s="944"/>
      <c r="S555" s="944"/>
      <c r="T555" s="944"/>
      <c r="U555" s="944"/>
      <c r="V555" s="944"/>
      <c r="W555" s="944"/>
      <c r="X555" s="944"/>
      <c r="Y555" s="944"/>
      <c r="Z555" s="944"/>
      <c r="AA555" s="944"/>
      <c r="AB555" s="944"/>
      <c r="AC555" s="944"/>
      <c r="AD555" s="944"/>
      <c r="AE555" s="944"/>
      <c r="AF555" s="944"/>
      <c r="AG555" s="944"/>
      <c r="AH555" s="944"/>
      <c r="AI555" s="944"/>
      <c r="AJ555" s="944"/>
      <c r="AK555" s="944"/>
      <c r="AL555" s="944"/>
      <c r="AM555" s="944"/>
      <c r="AN555" s="944"/>
      <c r="AO555" s="944"/>
      <c r="AP555" s="944"/>
      <c r="AQ555" s="944"/>
      <c r="AR555" s="944"/>
      <c r="AS555" s="944"/>
      <c r="AT555" s="944"/>
      <c r="AU555" s="944"/>
      <c r="AV555" s="944"/>
      <c r="AW555" s="944"/>
      <c r="AX555" s="944"/>
      <c r="AY555" s="944"/>
      <c r="AZ555" s="944"/>
      <c r="BA555" s="944"/>
      <c r="BB555" s="944"/>
      <c r="BC555" s="944"/>
      <c r="BD555" s="944"/>
      <c r="BE555" s="944"/>
      <c r="BF555" s="944"/>
      <c r="BG555" s="944"/>
      <c r="BH555" s="944"/>
      <c r="BI555" s="944"/>
      <c r="BJ555" s="944"/>
      <c r="BK555" s="944"/>
      <c r="BL555" s="944"/>
      <c r="BM555" s="944"/>
      <c r="BN555" s="944"/>
      <c r="BO555" s="944"/>
      <c r="BP555" s="45"/>
    </row>
    <row r="556" spans="1:68" ht="14.25" customHeight="1" x14ac:dyDescent="0.3">
      <c r="A556" s="960"/>
      <c r="B556" s="960"/>
      <c r="C556" s="960"/>
      <c r="D556" s="944"/>
      <c r="E556" s="944"/>
      <c r="F556" s="45"/>
      <c r="G556" s="45"/>
      <c r="H556" s="45"/>
      <c r="I556" s="45"/>
      <c r="J556" s="45"/>
      <c r="K556" s="45"/>
      <c r="L556" s="944"/>
      <c r="M556" s="944"/>
      <c r="N556" s="944"/>
      <c r="O556" s="944"/>
      <c r="P556" s="944"/>
      <c r="Q556" s="944"/>
      <c r="R556" s="944"/>
      <c r="S556" s="944"/>
      <c r="T556" s="944"/>
      <c r="U556" s="944"/>
      <c r="V556" s="944"/>
      <c r="W556" s="944"/>
      <c r="X556" s="944"/>
      <c r="Y556" s="944"/>
      <c r="Z556" s="944"/>
      <c r="AA556" s="944"/>
      <c r="AB556" s="944"/>
      <c r="AC556" s="944"/>
      <c r="AD556" s="944"/>
      <c r="AE556" s="944"/>
      <c r="AF556" s="944"/>
      <c r="AG556" s="944"/>
      <c r="AH556" s="944"/>
      <c r="AI556" s="944"/>
      <c r="AJ556" s="944"/>
      <c r="AK556" s="944"/>
      <c r="AL556" s="944"/>
      <c r="AM556" s="944"/>
      <c r="AN556" s="944"/>
      <c r="AO556" s="944"/>
      <c r="AP556" s="944"/>
      <c r="AQ556" s="944"/>
      <c r="AR556" s="944"/>
      <c r="AS556" s="944"/>
      <c r="AT556" s="944"/>
      <c r="AU556" s="944"/>
      <c r="AV556" s="944"/>
      <c r="AW556" s="944"/>
      <c r="AX556" s="944"/>
      <c r="AY556" s="944"/>
      <c r="AZ556" s="944"/>
      <c r="BA556" s="944"/>
      <c r="BB556" s="944"/>
      <c r="BC556" s="944"/>
      <c r="BD556" s="944"/>
      <c r="BE556" s="944"/>
      <c r="BF556" s="944"/>
      <c r="BG556" s="944"/>
      <c r="BH556" s="944"/>
      <c r="BI556" s="944"/>
      <c r="BJ556" s="944"/>
      <c r="BK556" s="944"/>
      <c r="BL556" s="944"/>
      <c r="BM556" s="944"/>
      <c r="BN556" s="944"/>
      <c r="BO556" s="944"/>
      <c r="BP556" s="45"/>
    </row>
    <row r="557" spans="1:68" ht="14.25" customHeight="1" x14ac:dyDescent="0.3">
      <c r="A557" s="960"/>
      <c r="B557" s="960"/>
      <c r="C557" s="960"/>
      <c r="D557" s="944"/>
      <c r="E557" s="944"/>
      <c r="F557" s="45"/>
      <c r="G557" s="45"/>
      <c r="H557" s="45"/>
      <c r="I557" s="45"/>
      <c r="J557" s="45"/>
      <c r="K557" s="45"/>
      <c r="L557" s="944"/>
      <c r="M557" s="944"/>
      <c r="N557" s="944"/>
      <c r="O557" s="944"/>
      <c r="P557" s="944"/>
      <c r="Q557" s="944"/>
      <c r="R557" s="944"/>
      <c r="S557" s="944"/>
      <c r="T557" s="944"/>
      <c r="U557" s="944"/>
      <c r="V557" s="944"/>
      <c r="W557" s="944"/>
      <c r="X557" s="944"/>
      <c r="Y557" s="944"/>
      <c r="Z557" s="944"/>
      <c r="AA557" s="944"/>
      <c r="AB557" s="944"/>
      <c r="AC557" s="944"/>
      <c r="AD557" s="944"/>
      <c r="AE557" s="944"/>
      <c r="AF557" s="944"/>
      <c r="AG557" s="944"/>
      <c r="AH557" s="944"/>
      <c r="AI557" s="944"/>
      <c r="AJ557" s="944"/>
      <c r="AK557" s="944"/>
      <c r="AL557" s="944"/>
      <c r="AM557" s="944"/>
      <c r="AN557" s="944"/>
      <c r="AO557" s="944"/>
      <c r="AP557" s="944"/>
      <c r="AQ557" s="944"/>
      <c r="AR557" s="944"/>
      <c r="AS557" s="944"/>
      <c r="AT557" s="944"/>
      <c r="AU557" s="944"/>
      <c r="AV557" s="944"/>
      <c r="AW557" s="944"/>
      <c r="AX557" s="944"/>
      <c r="AY557" s="944"/>
      <c r="AZ557" s="944"/>
      <c r="BA557" s="944"/>
      <c r="BB557" s="944"/>
      <c r="BC557" s="944"/>
      <c r="BD557" s="944"/>
      <c r="BE557" s="944"/>
      <c r="BF557" s="944"/>
      <c r="BG557" s="944"/>
      <c r="BH557" s="944"/>
      <c r="BI557" s="944"/>
      <c r="BJ557" s="944"/>
      <c r="BK557" s="944"/>
      <c r="BL557" s="944"/>
      <c r="BM557" s="944"/>
      <c r="BN557" s="944"/>
      <c r="BO557" s="944"/>
      <c r="BP557" s="45"/>
    </row>
    <row r="558" spans="1:68" ht="14.25" customHeight="1" x14ac:dyDescent="0.3">
      <c r="A558" s="960"/>
      <c r="B558" s="960"/>
      <c r="C558" s="960"/>
      <c r="D558" s="944"/>
      <c r="E558" s="944"/>
      <c r="F558" s="45"/>
      <c r="G558" s="45"/>
      <c r="H558" s="45"/>
      <c r="I558" s="45"/>
      <c r="J558" s="45"/>
      <c r="K558" s="45"/>
      <c r="L558" s="944"/>
      <c r="M558" s="944"/>
      <c r="N558" s="944"/>
      <c r="O558" s="944"/>
      <c r="P558" s="944"/>
      <c r="Q558" s="944"/>
      <c r="R558" s="944"/>
      <c r="S558" s="944"/>
      <c r="T558" s="944"/>
      <c r="U558" s="944"/>
      <c r="V558" s="944"/>
      <c r="W558" s="944"/>
      <c r="X558" s="944"/>
      <c r="Y558" s="944"/>
      <c r="Z558" s="944"/>
      <c r="AA558" s="944"/>
      <c r="AB558" s="944"/>
      <c r="AC558" s="944"/>
      <c r="AD558" s="944"/>
      <c r="AE558" s="944"/>
      <c r="AF558" s="944"/>
      <c r="AG558" s="944"/>
      <c r="AH558" s="944"/>
      <c r="AI558" s="944"/>
      <c r="AJ558" s="944"/>
      <c r="AK558" s="944"/>
      <c r="AL558" s="944"/>
      <c r="AM558" s="944"/>
      <c r="AN558" s="944"/>
      <c r="AO558" s="944"/>
      <c r="AP558" s="944"/>
      <c r="AQ558" s="944"/>
      <c r="AR558" s="944"/>
      <c r="AS558" s="944"/>
      <c r="AT558" s="944"/>
      <c r="AU558" s="944"/>
      <c r="AV558" s="944"/>
      <c r="AW558" s="944"/>
      <c r="AX558" s="944"/>
      <c r="AY558" s="944"/>
      <c r="AZ558" s="944"/>
      <c r="BA558" s="944"/>
      <c r="BB558" s="944"/>
      <c r="BC558" s="944"/>
      <c r="BD558" s="944"/>
      <c r="BE558" s="944"/>
      <c r="BF558" s="944"/>
      <c r="BG558" s="944"/>
      <c r="BH558" s="944"/>
      <c r="BI558" s="944"/>
      <c r="BJ558" s="944"/>
      <c r="BK558" s="944"/>
      <c r="BL558" s="944"/>
      <c r="BM558" s="944"/>
      <c r="BN558" s="944"/>
      <c r="BO558" s="944"/>
      <c r="BP558" s="45"/>
    </row>
    <row r="559" spans="1:68" ht="14.25" customHeight="1" x14ac:dyDescent="0.3">
      <c r="A559" s="960"/>
      <c r="B559" s="960"/>
      <c r="C559" s="960"/>
      <c r="D559" s="944"/>
      <c r="E559" s="944"/>
      <c r="F559" s="45"/>
      <c r="G559" s="45"/>
      <c r="H559" s="45"/>
      <c r="I559" s="45"/>
      <c r="J559" s="45"/>
      <c r="K559" s="45"/>
      <c r="L559" s="944"/>
      <c r="M559" s="944"/>
      <c r="N559" s="944"/>
      <c r="O559" s="944"/>
      <c r="P559" s="944"/>
      <c r="Q559" s="944"/>
      <c r="R559" s="944"/>
      <c r="S559" s="944"/>
      <c r="T559" s="944"/>
      <c r="U559" s="944"/>
      <c r="V559" s="944"/>
      <c r="W559" s="944"/>
      <c r="X559" s="944"/>
      <c r="Y559" s="944"/>
      <c r="Z559" s="944"/>
      <c r="AA559" s="944"/>
      <c r="AB559" s="944"/>
      <c r="AC559" s="944"/>
      <c r="AD559" s="944"/>
      <c r="AE559" s="944"/>
      <c r="AF559" s="944"/>
      <c r="AG559" s="944"/>
      <c r="AH559" s="944"/>
      <c r="AI559" s="944"/>
      <c r="AJ559" s="944"/>
      <c r="AK559" s="944"/>
      <c r="AL559" s="944"/>
      <c r="AM559" s="944"/>
      <c r="AN559" s="944"/>
      <c r="AO559" s="944"/>
      <c r="AP559" s="944"/>
      <c r="AQ559" s="944"/>
      <c r="AR559" s="944"/>
      <c r="AS559" s="944"/>
      <c r="AT559" s="944"/>
      <c r="AU559" s="944"/>
      <c r="AV559" s="944"/>
      <c r="AW559" s="944"/>
      <c r="AX559" s="944"/>
      <c r="AY559" s="944"/>
      <c r="AZ559" s="944"/>
      <c r="BA559" s="944"/>
      <c r="BB559" s="944"/>
      <c r="BC559" s="944"/>
      <c r="BD559" s="944"/>
      <c r="BE559" s="944"/>
      <c r="BF559" s="944"/>
      <c r="BG559" s="944"/>
      <c r="BH559" s="944"/>
      <c r="BI559" s="944"/>
      <c r="BJ559" s="944"/>
      <c r="BK559" s="944"/>
      <c r="BL559" s="944"/>
      <c r="BM559" s="944"/>
      <c r="BN559" s="944"/>
      <c r="BO559" s="944"/>
      <c r="BP559" s="45"/>
    </row>
    <row r="560" spans="1:68" ht="14.25" customHeight="1" x14ac:dyDescent="0.3">
      <c r="A560" s="960"/>
      <c r="B560" s="960"/>
      <c r="C560" s="960"/>
      <c r="D560" s="944"/>
      <c r="E560" s="944"/>
      <c r="F560" s="45"/>
      <c r="G560" s="45"/>
      <c r="H560" s="45"/>
      <c r="I560" s="45"/>
      <c r="J560" s="45"/>
      <c r="K560" s="45"/>
      <c r="L560" s="944"/>
      <c r="M560" s="944"/>
      <c r="N560" s="944"/>
      <c r="O560" s="944"/>
      <c r="P560" s="944"/>
      <c r="Q560" s="944"/>
      <c r="R560" s="944"/>
      <c r="S560" s="944"/>
      <c r="T560" s="944"/>
      <c r="U560" s="944"/>
      <c r="V560" s="944"/>
      <c r="W560" s="944"/>
      <c r="X560" s="944"/>
      <c r="Y560" s="944"/>
      <c r="Z560" s="944"/>
      <c r="AA560" s="944"/>
      <c r="AB560" s="944"/>
      <c r="AC560" s="944"/>
      <c r="AD560" s="944"/>
      <c r="AE560" s="944"/>
      <c r="AF560" s="944"/>
      <c r="AG560" s="944"/>
      <c r="AH560" s="944"/>
      <c r="AI560" s="944"/>
      <c r="AJ560" s="944"/>
      <c r="AK560" s="944"/>
      <c r="AL560" s="944"/>
      <c r="AM560" s="944"/>
      <c r="AN560" s="944"/>
      <c r="AO560" s="944"/>
      <c r="AP560" s="944"/>
      <c r="AQ560" s="944"/>
      <c r="AR560" s="944"/>
      <c r="AS560" s="944"/>
      <c r="AT560" s="944"/>
      <c r="AU560" s="944"/>
      <c r="AV560" s="944"/>
      <c r="AW560" s="944"/>
      <c r="AX560" s="944"/>
      <c r="AY560" s="944"/>
      <c r="AZ560" s="944"/>
      <c r="BA560" s="944"/>
      <c r="BB560" s="944"/>
      <c r="BC560" s="944"/>
      <c r="BD560" s="944"/>
      <c r="BE560" s="944"/>
      <c r="BF560" s="944"/>
      <c r="BG560" s="944"/>
      <c r="BH560" s="944"/>
      <c r="BI560" s="944"/>
      <c r="BJ560" s="944"/>
      <c r="BK560" s="944"/>
      <c r="BL560" s="944"/>
      <c r="BM560" s="944"/>
      <c r="BN560" s="944"/>
      <c r="BO560" s="944"/>
      <c r="BP560" s="45"/>
    </row>
    <row r="561" spans="1:68" ht="14.25" customHeight="1" x14ac:dyDescent="0.3">
      <c r="A561" s="960"/>
      <c r="B561" s="960"/>
      <c r="C561" s="960"/>
      <c r="D561" s="944"/>
      <c r="E561" s="944"/>
      <c r="F561" s="45"/>
      <c r="G561" s="45"/>
      <c r="H561" s="45"/>
      <c r="I561" s="45"/>
      <c r="J561" s="45"/>
      <c r="K561" s="45"/>
      <c r="L561" s="944"/>
      <c r="M561" s="944"/>
      <c r="N561" s="944"/>
      <c r="O561" s="944"/>
      <c r="P561" s="944"/>
      <c r="Q561" s="944"/>
      <c r="R561" s="944"/>
      <c r="S561" s="944"/>
      <c r="T561" s="944"/>
      <c r="U561" s="944"/>
      <c r="V561" s="944"/>
      <c r="W561" s="944"/>
      <c r="X561" s="944"/>
      <c r="Y561" s="944"/>
      <c r="Z561" s="944"/>
      <c r="AA561" s="944"/>
      <c r="AB561" s="944"/>
      <c r="AC561" s="944"/>
      <c r="AD561" s="944"/>
      <c r="AE561" s="944"/>
      <c r="AF561" s="944"/>
      <c r="AG561" s="944"/>
      <c r="AH561" s="944"/>
      <c r="AI561" s="944"/>
      <c r="AJ561" s="944"/>
      <c r="AK561" s="944"/>
      <c r="AL561" s="944"/>
      <c r="AM561" s="944"/>
      <c r="AN561" s="944"/>
      <c r="AO561" s="944"/>
      <c r="AP561" s="944"/>
      <c r="AQ561" s="944"/>
      <c r="AR561" s="944"/>
      <c r="AS561" s="944"/>
      <c r="AT561" s="944"/>
      <c r="AU561" s="944"/>
      <c r="AV561" s="944"/>
      <c r="AW561" s="944"/>
      <c r="AX561" s="944"/>
      <c r="AY561" s="944"/>
      <c r="AZ561" s="944"/>
      <c r="BA561" s="944"/>
      <c r="BB561" s="944"/>
      <c r="BC561" s="944"/>
      <c r="BD561" s="944"/>
      <c r="BE561" s="944"/>
      <c r="BF561" s="944"/>
      <c r="BG561" s="944"/>
      <c r="BH561" s="944"/>
      <c r="BI561" s="944"/>
      <c r="BJ561" s="944"/>
      <c r="BK561" s="944"/>
      <c r="BL561" s="944"/>
      <c r="BM561" s="944"/>
      <c r="BN561" s="944"/>
      <c r="BO561" s="944"/>
      <c r="BP561" s="45"/>
    </row>
    <row r="562" spans="1:68" ht="14.25" customHeight="1" x14ac:dyDescent="0.3">
      <c r="A562" s="960"/>
      <c r="B562" s="960"/>
      <c r="C562" s="960"/>
      <c r="D562" s="944"/>
      <c r="E562" s="944"/>
      <c r="F562" s="45"/>
      <c r="G562" s="45"/>
      <c r="H562" s="45"/>
      <c r="I562" s="45"/>
      <c r="J562" s="45"/>
      <c r="K562" s="45"/>
      <c r="L562" s="944"/>
      <c r="M562" s="944"/>
      <c r="N562" s="944"/>
      <c r="O562" s="944"/>
      <c r="P562" s="944"/>
      <c r="Q562" s="944"/>
      <c r="R562" s="944"/>
      <c r="S562" s="944"/>
      <c r="T562" s="944"/>
      <c r="U562" s="944"/>
      <c r="V562" s="944"/>
      <c r="W562" s="944"/>
      <c r="X562" s="944"/>
      <c r="Y562" s="944"/>
      <c r="Z562" s="944"/>
      <c r="AA562" s="944"/>
      <c r="AB562" s="944"/>
      <c r="AC562" s="944"/>
      <c r="AD562" s="944"/>
      <c r="AE562" s="944"/>
      <c r="AF562" s="944"/>
      <c r="AG562" s="944"/>
      <c r="AH562" s="944"/>
      <c r="AI562" s="944"/>
      <c r="AJ562" s="944"/>
      <c r="AK562" s="944"/>
      <c r="AL562" s="944"/>
      <c r="AM562" s="944"/>
      <c r="AN562" s="944"/>
      <c r="AO562" s="944"/>
      <c r="AP562" s="944"/>
      <c r="AQ562" s="944"/>
      <c r="AR562" s="944"/>
      <c r="AS562" s="944"/>
      <c r="AT562" s="944"/>
      <c r="AU562" s="944"/>
      <c r="AV562" s="944"/>
      <c r="AW562" s="944"/>
      <c r="AX562" s="944"/>
      <c r="AY562" s="944"/>
      <c r="AZ562" s="944"/>
      <c r="BA562" s="944"/>
      <c r="BB562" s="944"/>
      <c r="BC562" s="944"/>
      <c r="BD562" s="944"/>
      <c r="BE562" s="944"/>
      <c r="BF562" s="944"/>
      <c r="BG562" s="944"/>
      <c r="BH562" s="944"/>
      <c r="BI562" s="944"/>
      <c r="BJ562" s="944"/>
      <c r="BK562" s="944"/>
      <c r="BL562" s="944"/>
      <c r="BM562" s="944"/>
      <c r="BN562" s="944"/>
      <c r="BO562" s="944"/>
      <c r="BP562" s="45"/>
    </row>
    <row r="563" spans="1:68" ht="14.25" customHeight="1" x14ac:dyDescent="0.3">
      <c r="A563" s="960"/>
      <c r="B563" s="960"/>
      <c r="C563" s="960"/>
      <c r="D563" s="944"/>
      <c r="E563" s="944"/>
      <c r="F563" s="45"/>
      <c r="G563" s="45"/>
      <c r="H563" s="45"/>
      <c r="I563" s="45"/>
      <c r="J563" s="45"/>
      <c r="K563" s="45"/>
      <c r="L563" s="944"/>
      <c r="M563" s="944"/>
      <c r="N563" s="944"/>
      <c r="O563" s="944"/>
      <c r="P563" s="944"/>
      <c r="Q563" s="944"/>
      <c r="R563" s="944"/>
      <c r="S563" s="944"/>
      <c r="T563" s="944"/>
      <c r="U563" s="944"/>
      <c r="V563" s="944"/>
      <c r="W563" s="944"/>
      <c r="X563" s="944"/>
      <c r="Y563" s="944"/>
      <c r="Z563" s="944"/>
      <c r="AA563" s="944"/>
      <c r="AB563" s="944"/>
      <c r="AC563" s="944"/>
      <c r="AD563" s="944"/>
      <c r="AE563" s="944"/>
      <c r="AF563" s="944"/>
      <c r="AG563" s="944"/>
      <c r="AH563" s="944"/>
      <c r="AI563" s="944"/>
      <c r="AJ563" s="944"/>
      <c r="AK563" s="944"/>
      <c r="AL563" s="944"/>
      <c r="AM563" s="944"/>
      <c r="AN563" s="944"/>
      <c r="AO563" s="944"/>
      <c r="AP563" s="944"/>
      <c r="AQ563" s="944"/>
      <c r="AR563" s="944"/>
      <c r="AS563" s="944"/>
      <c r="AT563" s="944"/>
      <c r="AU563" s="944"/>
      <c r="AV563" s="944"/>
      <c r="AW563" s="944"/>
      <c r="AX563" s="944"/>
      <c r="AY563" s="944"/>
      <c r="AZ563" s="944"/>
      <c r="BA563" s="944"/>
      <c r="BB563" s="944"/>
      <c r="BC563" s="944"/>
      <c r="BD563" s="944"/>
      <c r="BE563" s="944"/>
      <c r="BF563" s="944"/>
      <c r="BG563" s="944"/>
      <c r="BH563" s="944"/>
      <c r="BI563" s="944"/>
      <c r="BJ563" s="944"/>
      <c r="BK563" s="944"/>
      <c r="BL563" s="944"/>
      <c r="BM563" s="944"/>
      <c r="BN563" s="944"/>
      <c r="BO563" s="944"/>
      <c r="BP563" s="45"/>
    </row>
    <row r="564" spans="1:68" ht="14.25" customHeight="1" x14ac:dyDescent="0.3">
      <c r="A564" s="960"/>
      <c r="B564" s="960"/>
      <c r="C564" s="960"/>
      <c r="D564" s="944"/>
      <c r="E564" s="944"/>
      <c r="F564" s="45"/>
      <c r="G564" s="45"/>
      <c r="H564" s="45"/>
      <c r="I564" s="45"/>
      <c r="J564" s="45"/>
      <c r="K564" s="45"/>
      <c r="L564" s="944"/>
      <c r="M564" s="944"/>
      <c r="N564" s="944"/>
      <c r="O564" s="944"/>
      <c r="P564" s="944"/>
      <c r="Q564" s="944"/>
      <c r="R564" s="944"/>
      <c r="S564" s="944"/>
      <c r="T564" s="944"/>
      <c r="U564" s="944"/>
      <c r="V564" s="944"/>
      <c r="W564" s="944"/>
      <c r="X564" s="944"/>
      <c r="Y564" s="944"/>
      <c r="Z564" s="944"/>
      <c r="AA564" s="944"/>
      <c r="AB564" s="944"/>
      <c r="AC564" s="944"/>
      <c r="AD564" s="944"/>
      <c r="AE564" s="944"/>
      <c r="AF564" s="944"/>
      <c r="AG564" s="944"/>
      <c r="AH564" s="944"/>
      <c r="AI564" s="944"/>
      <c r="AJ564" s="944"/>
      <c r="AK564" s="944"/>
      <c r="AL564" s="944"/>
      <c r="AM564" s="944"/>
      <c r="AN564" s="944"/>
      <c r="AO564" s="944"/>
      <c r="AP564" s="944"/>
      <c r="AQ564" s="944"/>
      <c r="AR564" s="944"/>
      <c r="AS564" s="944"/>
      <c r="AT564" s="944"/>
      <c r="AU564" s="944"/>
      <c r="AV564" s="944"/>
      <c r="AW564" s="944"/>
      <c r="AX564" s="944"/>
      <c r="AY564" s="944"/>
      <c r="AZ564" s="944"/>
      <c r="BA564" s="944"/>
      <c r="BB564" s="944"/>
      <c r="BC564" s="944"/>
      <c r="BD564" s="944"/>
      <c r="BE564" s="944"/>
      <c r="BF564" s="944"/>
      <c r="BG564" s="944"/>
      <c r="BH564" s="944"/>
      <c r="BI564" s="944"/>
      <c r="BJ564" s="944"/>
      <c r="BK564" s="944"/>
      <c r="BL564" s="944"/>
      <c r="BM564" s="944"/>
      <c r="BN564" s="944"/>
      <c r="BO564" s="944"/>
      <c r="BP564" s="45"/>
    </row>
    <row r="565" spans="1:68" ht="14.25" customHeight="1" x14ac:dyDescent="0.3">
      <c r="A565" s="960"/>
      <c r="B565" s="960"/>
      <c r="C565" s="960"/>
      <c r="D565" s="944"/>
      <c r="E565" s="944"/>
      <c r="F565" s="45"/>
      <c r="G565" s="45"/>
      <c r="H565" s="45"/>
      <c r="I565" s="45"/>
      <c r="J565" s="45"/>
      <c r="K565" s="45"/>
      <c r="L565" s="944"/>
      <c r="M565" s="944"/>
      <c r="N565" s="944"/>
      <c r="O565" s="944"/>
      <c r="P565" s="944"/>
      <c r="Q565" s="944"/>
      <c r="R565" s="944"/>
      <c r="S565" s="944"/>
      <c r="T565" s="944"/>
      <c r="U565" s="944"/>
      <c r="V565" s="944"/>
      <c r="W565" s="944"/>
      <c r="X565" s="944"/>
      <c r="Y565" s="944"/>
      <c r="Z565" s="944"/>
      <c r="AA565" s="944"/>
      <c r="AB565" s="944"/>
      <c r="AC565" s="944"/>
      <c r="AD565" s="944"/>
      <c r="AE565" s="944"/>
      <c r="AF565" s="944"/>
      <c r="AG565" s="944"/>
      <c r="AH565" s="944"/>
      <c r="AI565" s="944"/>
      <c r="AJ565" s="944"/>
      <c r="AK565" s="944"/>
      <c r="AL565" s="944"/>
      <c r="AM565" s="944"/>
      <c r="AN565" s="944"/>
      <c r="AO565" s="944"/>
      <c r="AP565" s="944"/>
      <c r="AQ565" s="944"/>
      <c r="AR565" s="944"/>
      <c r="AS565" s="944"/>
      <c r="AT565" s="944"/>
      <c r="AU565" s="944"/>
      <c r="AV565" s="944"/>
      <c r="AW565" s="944"/>
      <c r="AX565" s="944"/>
      <c r="AY565" s="944"/>
      <c r="AZ565" s="944"/>
      <c r="BA565" s="944"/>
      <c r="BB565" s="944"/>
      <c r="BC565" s="944"/>
      <c r="BD565" s="944"/>
      <c r="BE565" s="944"/>
      <c r="BF565" s="944"/>
      <c r="BG565" s="944"/>
      <c r="BH565" s="944"/>
      <c r="BI565" s="944"/>
      <c r="BJ565" s="944"/>
      <c r="BK565" s="944"/>
      <c r="BL565" s="944"/>
      <c r="BM565" s="944"/>
      <c r="BN565" s="944"/>
      <c r="BO565" s="944"/>
      <c r="BP565" s="45"/>
    </row>
    <row r="566" spans="1:68" ht="14.25" customHeight="1" x14ac:dyDescent="0.3">
      <c r="A566" s="960"/>
      <c r="B566" s="960"/>
      <c r="C566" s="960"/>
      <c r="D566" s="944"/>
      <c r="E566" s="944"/>
      <c r="F566" s="45"/>
      <c r="G566" s="45"/>
      <c r="H566" s="45"/>
      <c r="I566" s="45"/>
      <c r="J566" s="45"/>
      <c r="K566" s="45"/>
      <c r="L566" s="944"/>
      <c r="M566" s="944"/>
      <c r="N566" s="944"/>
      <c r="O566" s="944"/>
      <c r="P566" s="944"/>
      <c r="Q566" s="944"/>
      <c r="R566" s="944"/>
      <c r="S566" s="944"/>
      <c r="T566" s="944"/>
      <c r="U566" s="944"/>
      <c r="V566" s="944"/>
      <c r="W566" s="944"/>
      <c r="X566" s="944"/>
      <c r="Y566" s="944"/>
      <c r="Z566" s="944"/>
      <c r="AA566" s="944"/>
      <c r="AB566" s="944"/>
      <c r="AC566" s="944"/>
      <c r="AD566" s="944"/>
      <c r="AE566" s="944"/>
      <c r="AF566" s="944"/>
      <c r="AG566" s="944"/>
      <c r="AH566" s="944"/>
      <c r="AI566" s="944"/>
      <c r="AJ566" s="944"/>
      <c r="AK566" s="944"/>
      <c r="AL566" s="944"/>
      <c r="AM566" s="944"/>
      <c r="AN566" s="944"/>
      <c r="AO566" s="944"/>
      <c r="AP566" s="944"/>
      <c r="AQ566" s="944"/>
      <c r="AR566" s="944"/>
      <c r="AS566" s="944"/>
      <c r="AT566" s="944"/>
      <c r="AU566" s="944"/>
      <c r="AV566" s="944"/>
      <c r="AW566" s="944"/>
      <c r="AX566" s="944"/>
      <c r="AY566" s="944"/>
      <c r="AZ566" s="944"/>
      <c r="BA566" s="944"/>
      <c r="BB566" s="944"/>
      <c r="BC566" s="944"/>
      <c r="BD566" s="944"/>
      <c r="BE566" s="944"/>
      <c r="BF566" s="944"/>
      <c r="BG566" s="944"/>
      <c r="BH566" s="944"/>
      <c r="BI566" s="944"/>
      <c r="BJ566" s="944"/>
      <c r="BK566" s="944"/>
      <c r="BL566" s="944"/>
      <c r="BM566" s="944"/>
      <c r="BN566" s="944"/>
      <c r="BO566" s="944"/>
      <c r="BP566" s="45"/>
    </row>
    <row r="567" spans="1:68" ht="14.25" customHeight="1" x14ac:dyDescent="0.3">
      <c r="A567" s="960"/>
      <c r="B567" s="960"/>
      <c r="C567" s="960"/>
      <c r="D567" s="944"/>
      <c r="E567" s="944"/>
      <c r="F567" s="45"/>
      <c r="G567" s="45"/>
      <c r="H567" s="45"/>
      <c r="I567" s="45"/>
      <c r="J567" s="45"/>
      <c r="K567" s="45"/>
      <c r="L567" s="944"/>
      <c r="M567" s="944"/>
      <c r="N567" s="944"/>
      <c r="O567" s="944"/>
      <c r="P567" s="944"/>
      <c r="Q567" s="944"/>
      <c r="R567" s="944"/>
      <c r="S567" s="944"/>
      <c r="T567" s="944"/>
      <c r="U567" s="944"/>
      <c r="V567" s="944"/>
      <c r="W567" s="944"/>
      <c r="X567" s="944"/>
      <c r="Y567" s="944"/>
      <c r="Z567" s="944"/>
      <c r="AA567" s="944"/>
      <c r="AB567" s="944"/>
      <c r="AC567" s="944"/>
      <c r="AD567" s="944"/>
      <c r="AE567" s="944"/>
      <c r="AF567" s="944"/>
      <c r="AG567" s="944"/>
      <c r="AH567" s="944"/>
      <c r="AI567" s="944"/>
      <c r="AJ567" s="944"/>
      <c r="AK567" s="944"/>
      <c r="AL567" s="944"/>
      <c r="AM567" s="944"/>
      <c r="AN567" s="944"/>
      <c r="AO567" s="944"/>
      <c r="AP567" s="944"/>
      <c r="AQ567" s="944"/>
      <c r="AR567" s="944"/>
      <c r="AS567" s="944"/>
      <c r="AT567" s="944"/>
      <c r="AU567" s="944"/>
      <c r="AV567" s="944"/>
      <c r="AW567" s="944"/>
      <c r="AX567" s="944"/>
      <c r="AY567" s="944"/>
      <c r="AZ567" s="944"/>
      <c r="BA567" s="944"/>
      <c r="BB567" s="944"/>
      <c r="BC567" s="944"/>
      <c r="BD567" s="944"/>
      <c r="BE567" s="944"/>
      <c r="BF567" s="944"/>
      <c r="BG567" s="944"/>
      <c r="BH567" s="944"/>
      <c r="BI567" s="944"/>
      <c r="BJ567" s="944"/>
      <c r="BK567" s="944"/>
      <c r="BL567" s="944"/>
      <c r="BM567" s="944"/>
      <c r="BN567" s="944"/>
      <c r="BO567" s="944"/>
      <c r="BP567" s="45"/>
    </row>
    <row r="568" spans="1:68" ht="14.25" customHeight="1" x14ac:dyDescent="0.3">
      <c r="A568" s="960"/>
      <c r="B568" s="960"/>
      <c r="C568" s="960"/>
      <c r="D568" s="944"/>
      <c r="E568" s="944"/>
      <c r="F568" s="45"/>
      <c r="G568" s="45"/>
      <c r="H568" s="45"/>
      <c r="I568" s="45"/>
      <c r="J568" s="45"/>
      <c r="K568" s="45"/>
      <c r="L568" s="944"/>
      <c r="M568" s="944"/>
      <c r="N568" s="944"/>
      <c r="O568" s="944"/>
      <c r="P568" s="944"/>
      <c r="Q568" s="944"/>
      <c r="R568" s="944"/>
      <c r="S568" s="944"/>
      <c r="T568" s="944"/>
      <c r="U568" s="944"/>
      <c r="V568" s="944"/>
      <c r="W568" s="944"/>
      <c r="X568" s="944"/>
      <c r="Y568" s="944"/>
      <c r="Z568" s="944"/>
      <c r="AA568" s="944"/>
      <c r="AB568" s="944"/>
      <c r="AC568" s="944"/>
      <c r="AD568" s="944"/>
      <c r="AE568" s="944"/>
      <c r="AF568" s="944"/>
      <c r="AG568" s="944"/>
      <c r="AH568" s="944"/>
      <c r="AI568" s="944"/>
      <c r="AJ568" s="944"/>
      <c r="AK568" s="944"/>
      <c r="AL568" s="944"/>
      <c r="AM568" s="944"/>
      <c r="AN568" s="944"/>
      <c r="AO568" s="944"/>
      <c r="AP568" s="944"/>
      <c r="AQ568" s="944"/>
      <c r="AR568" s="944"/>
      <c r="AS568" s="944"/>
      <c r="AT568" s="944"/>
      <c r="AU568" s="944"/>
      <c r="AV568" s="944"/>
      <c r="AW568" s="944"/>
      <c r="AX568" s="944"/>
      <c r="AY568" s="944"/>
      <c r="AZ568" s="944"/>
      <c r="BA568" s="944"/>
      <c r="BB568" s="944"/>
      <c r="BC568" s="944"/>
      <c r="BD568" s="944"/>
      <c r="BE568" s="944"/>
      <c r="BF568" s="944"/>
      <c r="BG568" s="944"/>
      <c r="BH568" s="944"/>
      <c r="BI568" s="944"/>
      <c r="BJ568" s="944"/>
      <c r="BK568" s="944"/>
      <c r="BL568" s="944"/>
      <c r="BM568" s="944"/>
      <c r="BN568" s="944"/>
      <c r="BO568" s="944"/>
      <c r="BP568" s="45"/>
    </row>
    <row r="569" spans="1:68" ht="14.25" customHeight="1" x14ac:dyDescent="0.3">
      <c r="A569" s="960"/>
      <c r="B569" s="960"/>
      <c r="C569" s="960"/>
      <c r="D569" s="944"/>
      <c r="E569" s="944"/>
      <c r="F569" s="45"/>
      <c r="G569" s="45"/>
      <c r="H569" s="45"/>
      <c r="I569" s="45"/>
      <c r="J569" s="45"/>
      <c r="K569" s="45"/>
      <c r="L569" s="944"/>
      <c r="M569" s="944"/>
      <c r="N569" s="944"/>
      <c r="O569" s="944"/>
      <c r="P569" s="944"/>
      <c r="Q569" s="944"/>
      <c r="R569" s="944"/>
      <c r="S569" s="944"/>
      <c r="T569" s="944"/>
      <c r="U569" s="944"/>
      <c r="V569" s="944"/>
      <c r="W569" s="944"/>
      <c r="X569" s="944"/>
      <c r="Y569" s="944"/>
      <c r="Z569" s="944"/>
      <c r="AA569" s="944"/>
      <c r="AB569" s="944"/>
      <c r="AC569" s="944"/>
      <c r="AD569" s="944"/>
      <c r="AE569" s="944"/>
      <c r="AF569" s="944"/>
      <c r="AG569" s="944"/>
      <c r="AH569" s="944"/>
      <c r="AI569" s="944"/>
      <c r="AJ569" s="944"/>
      <c r="AK569" s="944"/>
      <c r="AL569" s="944"/>
      <c r="AM569" s="944"/>
      <c r="AN569" s="944"/>
      <c r="AO569" s="944"/>
      <c r="AP569" s="944"/>
      <c r="AQ569" s="944"/>
      <c r="AR569" s="944"/>
      <c r="AS569" s="944"/>
      <c r="AT569" s="944"/>
      <c r="AU569" s="944"/>
      <c r="AV569" s="944"/>
      <c r="AW569" s="944"/>
      <c r="AX569" s="944"/>
      <c r="AY569" s="944"/>
      <c r="AZ569" s="944"/>
      <c r="BA569" s="944"/>
      <c r="BB569" s="944"/>
      <c r="BC569" s="944"/>
      <c r="BD569" s="944"/>
      <c r="BE569" s="944"/>
      <c r="BF569" s="944"/>
      <c r="BG569" s="944"/>
      <c r="BH569" s="944"/>
      <c r="BI569" s="944"/>
      <c r="BJ569" s="944"/>
      <c r="BK569" s="944"/>
      <c r="BL569" s="944"/>
      <c r="BM569" s="944"/>
      <c r="BN569" s="944"/>
      <c r="BO569" s="944"/>
      <c r="BP569" s="45"/>
    </row>
    <row r="570" spans="1:68" ht="14.25" customHeight="1" x14ac:dyDescent="0.3">
      <c r="A570" s="960"/>
      <c r="B570" s="960"/>
      <c r="C570" s="960"/>
      <c r="D570" s="944"/>
      <c r="E570" s="944"/>
      <c r="F570" s="45"/>
      <c r="G570" s="45"/>
      <c r="H570" s="45"/>
      <c r="I570" s="45"/>
      <c r="J570" s="45"/>
      <c r="K570" s="45"/>
      <c r="L570" s="944"/>
      <c r="M570" s="944"/>
      <c r="N570" s="944"/>
      <c r="O570" s="944"/>
      <c r="P570" s="944"/>
      <c r="Q570" s="944"/>
      <c r="R570" s="944"/>
      <c r="S570" s="944"/>
      <c r="T570" s="944"/>
      <c r="U570" s="944"/>
      <c r="V570" s="944"/>
      <c r="W570" s="944"/>
      <c r="X570" s="944"/>
      <c r="Y570" s="944"/>
      <c r="Z570" s="944"/>
      <c r="AA570" s="944"/>
      <c r="AB570" s="944"/>
      <c r="AC570" s="944"/>
      <c r="AD570" s="944"/>
      <c r="AE570" s="944"/>
      <c r="AF570" s="944"/>
      <c r="AG570" s="944"/>
      <c r="AH570" s="944"/>
      <c r="AI570" s="944"/>
      <c r="AJ570" s="944"/>
      <c r="AK570" s="944"/>
      <c r="AL570" s="944"/>
      <c r="AM570" s="944"/>
      <c r="AN570" s="944"/>
      <c r="AO570" s="944"/>
      <c r="AP570" s="944"/>
      <c r="AQ570" s="944"/>
      <c r="AR570" s="944"/>
      <c r="AS570" s="944"/>
      <c r="AT570" s="944"/>
      <c r="AU570" s="944"/>
      <c r="AV570" s="944"/>
      <c r="AW570" s="944"/>
      <c r="AX570" s="944"/>
      <c r="AY570" s="944"/>
      <c r="AZ570" s="944"/>
      <c r="BA570" s="944"/>
      <c r="BB570" s="944"/>
      <c r="BC570" s="944"/>
      <c r="BD570" s="944"/>
      <c r="BE570" s="944"/>
      <c r="BF570" s="944"/>
      <c r="BG570" s="944"/>
      <c r="BH570" s="944"/>
      <c r="BI570" s="944"/>
      <c r="BJ570" s="944"/>
      <c r="BK570" s="944"/>
      <c r="BL570" s="944"/>
      <c r="BM570" s="944"/>
      <c r="BN570" s="944"/>
      <c r="BO570" s="944"/>
      <c r="BP570" s="45"/>
    </row>
    <row r="571" spans="1:68" ht="14.25" customHeight="1" x14ac:dyDescent="0.3">
      <c r="A571" s="960"/>
      <c r="B571" s="960"/>
      <c r="C571" s="960"/>
      <c r="D571" s="944"/>
      <c r="E571" s="944"/>
      <c r="F571" s="45"/>
      <c r="G571" s="45"/>
      <c r="H571" s="45"/>
      <c r="I571" s="45"/>
      <c r="J571" s="45"/>
      <c r="K571" s="45"/>
      <c r="L571" s="944"/>
      <c r="M571" s="944"/>
      <c r="N571" s="944"/>
      <c r="O571" s="944"/>
      <c r="P571" s="944"/>
      <c r="Q571" s="944"/>
      <c r="R571" s="944"/>
      <c r="S571" s="944"/>
      <c r="T571" s="944"/>
      <c r="U571" s="944"/>
      <c r="V571" s="944"/>
      <c r="W571" s="944"/>
      <c r="X571" s="944"/>
      <c r="Y571" s="944"/>
      <c r="Z571" s="944"/>
      <c r="AA571" s="944"/>
      <c r="AB571" s="944"/>
      <c r="AC571" s="944"/>
      <c r="AD571" s="944"/>
      <c r="AE571" s="944"/>
      <c r="AF571" s="944"/>
      <c r="AG571" s="944"/>
      <c r="AH571" s="944"/>
      <c r="AI571" s="944"/>
      <c r="AJ571" s="944"/>
      <c r="AK571" s="944"/>
      <c r="AL571" s="944"/>
      <c r="AM571" s="944"/>
      <c r="AN571" s="944"/>
      <c r="AO571" s="944"/>
      <c r="AP571" s="944"/>
      <c r="AQ571" s="944"/>
      <c r="AR571" s="944"/>
      <c r="AS571" s="944"/>
      <c r="AT571" s="944"/>
      <c r="AU571" s="944"/>
      <c r="AV571" s="944"/>
      <c r="AW571" s="944"/>
      <c r="AX571" s="944"/>
      <c r="AY571" s="944"/>
      <c r="AZ571" s="944"/>
      <c r="BA571" s="944"/>
      <c r="BB571" s="944"/>
      <c r="BC571" s="944"/>
      <c r="BD571" s="944"/>
      <c r="BE571" s="944"/>
      <c r="BF571" s="944"/>
      <c r="BG571" s="944"/>
      <c r="BH571" s="944"/>
      <c r="BI571" s="944"/>
      <c r="BJ571" s="944"/>
      <c r="BK571" s="944"/>
      <c r="BL571" s="944"/>
      <c r="BM571" s="944"/>
      <c r="BN571" s="944"/>
      <c r="BO571" s="944"/>
      <c r="BP571" s="45"/>
    </row>
    <row r="572" spans="1:68" ht="14.25" customHeight="1" x14ac:dyDescent="0.3">
      <c r="A572" s="960"/>
      <c r="B572" s="960"/>
      <c r="C572" s="960"/>
      <c r="D572" s="944"/>
      <c r="E572" s="944"/>
      <c r="F572" s="45"/>
      <c r="G572" s="45"/>
      <c r="H572" s="45"/>
      <c r="I572" s="45"/>
      <c r="J572" s="45"/>
      <c r="K572" s="45"/>
      <c r="L572" s="944"/>
      <c r="M572" s="944"/>
      <c r="N572" s="944"/>
      <c r="O572" s="944"/>
      <c r="P572" s="944"/>
      <c r="Q572" s="944"/>
      <c r="R572" s="944"/>
      <c r="S572" s="944"/>
      <c r="T572" s="944"/>
      <c r="U572" s="944"/>
      <c r="V572" s="944"/>
      <c r="W572" s="944"/>
      <c r="X572" s="944"/>
      <c r="Y572" s="944"/>
      <c r="Z572" s="944"/>
      <c r="AA572" s="944"/>
      <c r="AB572" s="944"/>
      <c r="AC572" s="944"/>
      <c r="AD572" s="944"/>
      <c r="AE572" s="944"/>
      <c r="AF572" s="944"/>
      <c r="AG572" s="944"/>
      <c r="AH572" s="944"/>
      <c r="AI572" s="944"/>
      <c r="AJ572" s="944"/>
      <c r="AK572" s="944"/>
      <c r="AL572" s="944"/>
      <c r="AM572" s="944"/>
      <c r="AN572" s="944"/>
      <c r="AO572" s="944"/>
      <c r="AP572" s="944"/>
      <c r="AQ572" s="944"/>
      <c r="AR572" s="944"/>
      <c r="AS572" s="944"/>
      <c r="AT572" s="944"/>
      <c r="AU572" s="944"/>
      <c r="AV572" s="944"/>
      <c r="AW572" s="944"/>
      <c r="AX572" s="944"/>
      <c r="AY572" s="944"/>
      <c r="AZ572" s="944"/>
      <c r="BA572" s="944"/>
      <c r="BB572" s="944"/>
      <c r="BC572" s="944"/>
      <c r="BD572" s="944"/>
      <c r="BE572" s="944"/>
      <c r="BF572" s="944"/>
      <c r="BG572" s="944"/>
      <c r="BH572" s="944"/>
      <c r="BI572" s="944"/>
      <c r="BJ572" s="944"/>
      <c r="BK572" s="944"/>
      <c r="BL572" s="944"/>
      <c r="BM572" s="944"/>
      <c r="BN572" s="944"/>
      <c r="BO572" s="944"/>
      <c r="BP572" s="45"/>
    </row>
    <row r="573" spans="1:68" ht="14.25" customHeight="1" x14ac:dyDescent="0.3">
      <c r="A573" s="960"/>
      <c r="B573" s="960"/>
      <c r="C573" s="960"/>
      <c r="D573" s="944"/>
      <c r="E573" s="944"/>
      <c r="F573" s="45"/>
      <c r="G573" s="45"/>
      <c r="H573" s="45"/>
      <c r="I573" s="45"/>
      <c r="J573" s="45"/>
      <c r="K573" s="45"/>
      <c r="L573" s="944"/>
      <c r="M573" s="944"/>
      <c r="N573" s="944"/>
      <c r="O573" s="944"/>
      <c r="P573" s="944"/>
      <c r="Q573" s="944"/>
      <c r="R573" s="944"/>
      <c r="S573" s="944"/>
      <c r="T573" s="944"/>
      <c r="U573" s="944"/>
      <c r="V573" s="944"/>
      <c r="W573" s="944"/>
      <c r="X573" s="944"/>
      <c r="Y573" s="944"/>
      <c r="Z573" s="944"/>
      <c r="AA573" s="944"/>
      <c r="AB573" s="944"/>
      <c r="AC573" s="944"/>
      <c r="AD573" s="944"/>
      <c r="AE573" s="944"/>
      <c r="AF573" s="944"/>
      <c r="AG573" s="944"/>
      <c r="AH573" s="944"/>
      <c r="AI573" s="944"/>
      <c r="AJ573" s="944"/>
      <c r="AK573" s="944"/>
      <c r="AL573" s="944"/>
      <c r="AM573" s="944"/>
      <c r="AN573" s="944"/>
      <c r="AO573" s="944"/>
      <c r="AP573" s="944"/>
      <c r="AQ573" s="944"/>
      <c r="AR573" s="944"/>
      <c r="AS573" s="944"/>
      <c r="AT573" s="944"/>
      <c r="AU573" s="944"/>
      <c r="AV573" s="944"/>
      <c r="AW573" s="944"/>
      <c r="AX573" s="944"/>
      <c r="AY573" s="944"/>
      <c r="AZ573" s="944"/>
      <c r="BA573" s="944"/>
      <c r="BB573" s="944"/>
      <c r="BC573" s="944"/>
      <c r="BD573" s="944"/>
      <c r="BE573" s="944"/>
      <c r="BF573" s="944"/>
      <c r="BG573" s="944"/>
      <c r="BH573" s="944"/>
      <c r="BI573" s="944"/>
      <c r="BJ573" s="944"/>
      <c r="BK573" s="944"/>
      <c r="BL573" s="944"/>
      <c r="BM573" s="944"/>
      <c r="BN573" s="944"/>
      <c r="BO573" s="944"/>
      <c r="BP573" s="45"/>
    </row>
    <row r="574" spans="1:68" ht="14.25" customHeight="1" x14ac:dyDescent="0.3">
      <c r="A574" s="960"/>
      <c r="B574" s="960"/>
      <c r="C574" s="960"/>
      <c r="D574" s="944"/>
      <c r="E574" s="944"/>
      <c r="F574" s="45"/>
      <c r="G574" s="45"/>
      <c r="H574" s="45"/>
      <c r="I574" s="45"/>
      <c r="J574" s="45"/>
      <c r="K574" s="45"/>
      <c r="L574" s="944"/>
      <c r="M574" s="944"/>
      <c r="N574" s="944"/>
      <c r="O574" s="944"/>
      <c r="P574" s="944"/>
      <c r="Q574" s="944"/>
      <c r="R574" s="944"/>
      <c r="S574" s="944"/>
      <c r="T574" s="944"/>
      <c r="U574" s="944"/>
      <c r="V574" s="944"/>
      <c r="W574" s="944"/>
      <c r="X574" s="944"/>
      <c r="Y574" s="944"/>
      <c r="Z574" s="944"/>
      <c r="AA574" s="944"/>
      <c r="AB574" s="944"/>
      <c r="AC574" s="944"/>
      <c r="AD574" s="944"/>
      <c r="AE574" s="944"/>
      <c r="AF574" s="944"/>
      <c r="AG574" s="944"/>
      <c r="AH574" s="944"/>
      <c r="AI574" s="944"/>
      <c r="AJ574" s="944"/>
      <c r="AK574" s="944"/>
      <c r="AL574" s="944"/>
      <c r="AM574" s="944"/>
      <c r="AN574" s="944"/>
      <c r="AO574" s="944"/>
      <c r="AP574" s="944"/>
      <c r="AQ574" s="944"/>
      <c r="AR574" s="944"/>
      <c r="AS574" s="944"/>
      <c r="AT574" s="944"/>
      <c r="AU574" s="944"/>
      <c r="AV574" s="944"/>
      <c r="AW574" s="944"/>
      <c r="AX574" s="944"/>
      <c r="AY574" s="944"/>
      <c r="AZ574" s="944"/>
      <c r="BA574" s="944"/>
      <c r="BB574" s="944"/>
      <c r="BC574" s="944"/>
      <c r="BD574" s="944"/>
      <c r="BE574" s="944"/>
      <c r="BF574" s="944"/>
      <c r="BG574" s="944"/>
      <c r="BH574" s="944"/>
      <c r="BI574" s="944"/>
      <c r="BJ574" s="944"/>
      <c r="BK574" s="944"/>
      <c r="BL574" s="944"/>
      <c r="BM574" s="944"/>
      <c r="BN574" s="944"/>
      <c r="BO574" s="944"/>
      <c r="BP574" s="45"/>
    </row>
    <row r="575" spans="1:68" ht="14.25" customHeight="1" x14ac:dyDescent="0.3">
      <c r="A575" s="960"/>
      <c r="B575" s="960"/>
      <c r="C575" s="960"/>
      <c r="D575" s="944"/>
      <c r="E575" s="944"/>
      <c r="F575" s="45"/>
      <c r="G575" s="45"/>
      <c r="H575" s="45"/>
      <c r="I575" s="45"/>
      <c r="J575" s="45"/>
      <c r="K575" s="45"/>
      <c r="L575" s="944"/>
      <c r="M575" s="944"/>
      <c r="N575" s="944"/>
      <c r="O575" s="944"/>
      <c r="P575" s="944"/>
      <c r="Q575" s="944"/>
      <c r="R575" s="944"/>
      <c r="S575" s="944"/>
      <c r="T575" s="944"/>
      <c r="U575" s="944"/>
      <c r="V575" s="944"/>
      <c r="W575" s="944"/>
      <c r="X575" s="944"/>
      <c r="Y575" s="944"/>
      <c r="Z575" s="944"/>
      <c r="AA575" s="944"/>
      <c r="AB575" s="944"/>
      <c r="AC575" s="944"/>
      <c r="AD575" s="944"/>
      <c r="AE575" s="944"/>
      <c r="AF575" s="944"/>
      <c r="AG575" s="944"/>
      <c r="AH575" s="944"/>
      <c r="AI575" s="944"/>
      <c r="AJ575" s="944"/>
      <c r="AK575" s="944"/>
      <c r="AL575" s="944"/>
      <c r="AM575" s="944"/>
      <c r="AN575" s="944"/>
      <c r="AO575" s="944"/>
      <c r="AP575" s="944"/>
      <c r="AQ575" s="944"/>
      <c r="AR575" s="944"/>
      <c r="AS575" s="944"/>
      <c r="AT575" s="944"/>
      <c r="AU575" s="944"/>
      <c r="AV575" s="944"/>
      <c r="AW575" s="944"/>
      <c r="AX575" s="944"/>
      <c r="AY575" s="944"/>
      <c r="AZ575" s="944"/>
      <c r="BA575" s="944"/>
      <c r="BB575" s="944"/>
      <c r="BC575" s="944"/>
      <c r="BD575" s="944"/>
      <c r="BE575" s="944"/>
      <c r="BF575" s="944"/>
      <c r="BG575" s="944"/>
      <c r="BH575" s="944"/>
      <c r="BI575" s="944"/>
      <c r="BJ575" s="944"/>
      <c r="BK575" s="944"/>
      <c r="BL575" s="944"/>
      <c r="BM575" s="944"/>
      <c r="BN575" s="944"/>
      <c r="BO575" s="944"/>
      <c r="BP575" s="45"/>
    </row>
    <row r="576" spans="1:68" ht="14.25" customHeight="1" x14ac:dyDescent="0.3">
      <c r="A576" s="960"/>
      <c r="B576" s="960"/>
      <c r="C576" s="960"/>
      <c r="D576" s="944"/>
      <c r="E576" s="944"/>
      <c r="F576" s="45"/>
      <c r="G576" s="45"/>
      <c r="H576" s="45"/>
      <c r="I576" s="45"/>
      <c r="J576" s="45"/>
      <c r="K576" s="45"/>
      <c r="L576" s="944"/>
      <c r="M576" s="944"/>
      <c r="N576" s="944"/>
      <c r="O576" s="944"/>
      <c r="P576" s="944"/>
      <c r="Q576" s="944"/>
      <c r="R576" s="944"/>
      <c r="S576" s="944"/>
      <c r="T576" s="944"/>
      <c r="U576" s="944"/>
      <c r="V576" s="944"/>
      <c r="W576" s="944"/>
      <c r="X576" s="944"/>
      <c r="Y576" s="944"/>
      <c r="Z576" s="944"/>
      <c r="AA576" s="944"/>
      <c r="AB576" s="944"/>
      <c r="AC576" s="944"/>
      <c r="AD576" s="944"/>
      <c r="AE576" s="944"/>
      <c r="AF576" s="944"/>
      <c r="AG576" s="944"/>
      <c r="AH576" s="944"/>
      <c r="AI576" s="944"/>
      <c r="AJ576" s="944"/>
      <c r="AK576" s="944"/>
      <c r="AL576" s="944"/>
      <c r="AM576" s="944"/>
      <c r="AN576" s="944"/>
      <c r="AO576" s="944"/>
      <c r="AP576" s="944"/>
      <c r="AQ576" s="944"/>
      <c r="AR576" s="944"/>
      <c r="AS576" s="944"/>
      <c r="AT576" s="944"/>
      <c r="AU576" s="944"/>
      <c r="AV576" s="944"/>
      <c r="AW576" s="944"/>
      <c r="AX576" s="944"/>
      <c r="AY576" s="944"/>
      <c r="AZ576" s="944"/>
      <c r="BA576" s="944"/>
      <c r="BB576" s="944"/>
      <c r="BC576" s="944"/>
      <c r="BD576" s="944"/>
      <c r="BE576" s="944"/>
      <c r="BF576" s="944"/>
      <c r="BG576" s="944"/>
      <c r="BH576" s="944"/>
      <c r="BI576" s="944"/>
      <c r="BJ576" s="944"/>
      <c r="BK576" s="944"/>
      <c r="BL576" s="944"/>
      <c r="BM576" s="944"/>
      <c r="BN576" s="944"/>
      <c r="BO576" s="944"/>
      <c r="BP576" s="45"/>
    </row>
    <row r="577" spans="1:68" ht="14.25" customHeight="1" x14ac:dyDescent="0.3">
      <c r="A577" s="960"/>
      <c r="B577" s="960"/>
      <c r="C577" s="960"/>
      <c r="D577" s="944"/>
      <c r="E577" s="944"/>
      <c r="F577" s="45"/>
      <c r="G577" s="45"/>
      <c r="H577" s="45"/>
      <c r="I577" s="45"/>
      <c r="J577" s="45"/>
      <c r="K577" s="45"/>
      <c r="L577" s="944"/>
      <c r="M577" s="944"/>
      <c r="N577" s="944"/>
      <c r="O577" s="944"/>
      <c r="P577" s="944"/>
      <c r="Q577" s="944"/>
      <c r="R577" s="944"/>
      <c r="S577" s="944"/>
      <c r="T577" s="944"/>
      <c r="U577" s="944"/>
      <c r="V577" s="944"/>
      <c r="W577" s="944"/>
      <c r="X577" s="944"/>
      <c r="Y577" s="944"/>
      <c r="Z577" s="944"/>
      <c r="AA577" s="944"/>
      <c r="AB577" s="944"/>
      <c r="AC577" s="944"/>
      <c r="AD577" s="944"/>
      <c r="AE577" s="944"/>
      <c r="AF577" s="944"/>
      <c r="AG577" s="944"/>
      <c r="AH577" s="944"/>
      <c r="AI577" s="944"/>
      <c r="AJ577" s="944"/>
      <c r="AK577" s="944"/>
      <c r="AL577" s="944"/>
      <c r="AM577" s="944"/>
      <c r="AN577" s="944"/>
      <c r="AO577" s="944"/>
      <c r="AP577" s="944"/>
      <c r="AQ577" s="944"/>
      <c r="AR577" s="944"/>
      <c r="AS577" s="944"/>
      <c r="AT577" s="944"/>
      <c r="AU577" s="944"/>
      <c r="AV577" s="944"/>
      <c r="AW577" s="944"/>
      <c r="AX577" s="944"/>
      <c r="AY577" s="944"/>
      <c r="AZ577" s="944"/>
      <c r="BA577" s="944"/>
      <c r="BB577" s="944"/>
      <c r="BC577" s="944"/>
      <c r="BD577" s="944"/>
      <c r="BE577" s="944"/>
      <c r="BF577" s="944"/>
      <c r="BG577" s="944"/>
      <c r="BH577" s="944"/>
      <c r="BI577" s="944"/>
      <c r="BJ577" s="944"/>
      <c r="BK577" s="944"/>
      <c r="BL577" s="944"/>
      <c r="BM577" s="944"/>
      <c r="BN577" s="944"/>
      <c r="BO577" s="944"/>
      <c r="BP577" s="45"/>
    </row>
    <row r="578" spans="1:68" ht="14.25" customHeight="1" x14ac:dyDescent="0.3">
      <c r="A578" s="960"/>
      <c r="B578" s="960"/>
      <c r="C578" s="960"/>
      <c r="D578" s="944"/>
      <c r="E578" s="944"/>
      <c r="F578" s="45"/>
      <c r="G578" s="45"/>
      <c r="H578" s="45"/>
      <c r="I578" s="45"/>
      <c r="J578" s="45"/>
      <c r="K578" s="45"/>
      <c r="L578" s="944"/>
      <c r="M578" s="944"/>
      <c r="N578" s="944"/>
      <c r="O578" s="944"/>
      <c r="P578" s="944"/>
      <c r="Q578" s="944"/>
      <c r="R578" s="944"/>
      <c r="S578" s="944"/>
      <c r="T578" s="944"/>
      <c r="U578" s="944"/>
      <c r="V578" s="944"/>
      <c r="W578" s="944"/>
      <c r="X578" s="944"/>
      <c r="Y578" s="944"/>
      <c r="Z578" s="944"/>
      <c r="AA578" s="944"/>
      <c r="AB578" s="944"/>
      <c r="AC578" s="944"/>
      <c r="AD578" s="944"/>
      <c r="AE578" s="944"/>
      <c r="AF578" s="944"/>
      <c r="AG578" s="944"/>
      <c r="AH578" s="944"/>
      <c r="AI578" s="944"/>
      <c r="AJ578" s="944"/>
      <c r="AK578" s="944"/>
      <c r="AL578" s="944"/>
      <c r="AM578" s="944"/>
      <c r="AN578" s="944"/>
      <c r="AO578" s="944"/>
      <c r="AP578" s="944"/>
      <c r="AQ578" s="944"/>
      <c r="AR578" s="944"/>
      <c r="AS578" s="944"/>
      <c r="AT578" s="944"/>
      <c r="AU578" s="944"/>
      <c r="AV578" s="944"/>
      <c r="AW578" s="944"/>
      <c r="AX578" s="944"/>
      <c r="AY578" s="944"/>
      <c r="AZ578" s="944"/>
      <c r="BA578" s="944"/>
      <c r="BB578" s="944"/>
      <c r="BC578" s="944"/>
      <c r="BD578" s="944"/>
      <c r="BE578" s="944"/>
      <c r="BF578" s="944"/>
      <c r="BG578" s="944"/>
      <c r="BH578" s="944"/>
      <c r="BI578" s="944"/>
      <c r="BJ578" s="944"/>
      <c r="BK578" s="944"/>
      <c r="BL578" s="944"/>
      <c r="BM578" s="944"/>
      <c r="BN578" s="944"/>
      <c r="BO578" s="944"/>
      <c r="BP578" s="45"/>
    </row>
    <row r="579" spans="1:68" ht="14.25" customHeight="1" x14ac:dyDescent="0.3">
      <c r="A579" s="960"/>
      <c r="B579" s="960"/>
      <c r="C579" s="960"/>
      <c r="D579" s="944"/>
      <c r="E579" s="944"/>
      <c r="F579" s="45"/>
      <c r="G579" s="45"/>
      <c r="H579" s="45"/>
      <c r="I579" s="45"/>
      <c r="J579" s="45"/>
      <c r="K579" s="45"/>
      <c r="L579" s="944"/>
      <c r="M579" s="944"/>
      <c r="N579" s="944"/>
      <c r="O579" s="944"/>
      <c r="P579" s="944"/>
      <c r="Q579" s="944"/>
      <c r="R579" s="944"/>
      <c r="S579" s="944"/>
      <c r="T579" s="944"/>
      <c r="U579" s="944"/>
      <c r="V579" s="944"/>
      <c r="W579" s="944"/>
      <c r="X579" s="944"/>
      <c r="Y579" s="944"/>
      <c r="Z579" s="944"/>
      <c r="AA579" s="944"/>
      <c r="AB579" s="944"/>
      <c r="AC579" s="944"/>
      <c r="AD579" s="944"/>
      <c r="AE579" s="944"/>
      <c r="AF579" s="944"/>
      <c r="AG579" s="944"/>
      <c r="AH579" s="944"/>
      <c r="AI579" s="944"/>
      <c r="AJ579" s="944"/>
      <c r="AK579" s="944"/>
      <c r="AL579" s="944"/>
      <c r="AM579" s="944"/>
      <c r="AN579" s="944"/>
      <c r="AO579" s="944"/>
      <c r="AP579" s="944"/>
      <c r="AQ579" s="944"/>
      <c r="AR579" s="944"/>
      <c r="AS579" s="944"/>
      <c r="AT579" s="944"/>
      <c r="AU579" s="944"/>
      <c r="AV579" s="944"/>
      <c r="AW579" s="944"/>
      <c r="AX579" s="944"/>
      <c r="AY579" s="944"/>
      <c r="AZ579" s="944"/>
      <c r="BA579" s="944"/>
      <c r="BB579" s="944"/>
      <c r="BC579" s="944"/>
      <c r="BD579" s="944"/>
      <c r="BE579" s="944"/>
      <c r="BF579" s="944"/>
      <c r="BG579" s="944"/>
      <c r="BH579" s="944"/>
      <c r="BI579" s="944"/>
      <c r="BJ579" s="944"/>
      <c r="BK579" s="944"/>
      <c r="BL579" s="944"/>
      <c r="BM579" s="944"/>
      <c r="BN579" s="944"/>
      <c r="BO579" s="944"/>
      <c r="BP579" s="45"/>
    </row>
    <row r="580" spans="1:68" ht="14.25" customHeight="1" x14ac:dyDescent="0.3">
      <c r="A580" s="960"/>
      <c r="B580" s="960"/>
      <c r="C580" s="960"/>
      <c r="D580" s="944"/>
      <c r="E580" s="944"/>
      <c r="F580" s="45"/>
      <c r="G580" s="45"/>
      <c r="H580" s="45"/>
      <c r="I580" s="45"/>
      <c r="J580" s="45"/>
      <c r="K580" s="45"/>
      <c r="L580" s="944"/>
      <c r="M580" s="944"/>
      <c r="N580" s="944"/>
      <c r="O580" s="944"/>
      <c r="P580" s="944"/>
      <c r="Q580" s="944"/>
      <c r="R580" s="944"/>
      <c r="S580" s="944"/>
      <c r="T580" s="944"/>
      <c r="U580" s="944"/>
      <c r="V580" s="944"/>
      <c r="W580" s="944"/>
      <c r="X580" s="944"/>
      <c r="Y580" s="944"/>
      <c r="Z580" s="944"/>
      <c r="AA580" s="944"/>
      <c r="AB580" s="944"/>
      <c r="AC580" s="944"/>
      <c r="AD580" s="944"/>
      <c r="AE580" s="944"/>
      <c r="AF580" s="944"/>
      <c r="AG580" s="944"/>
      <c r="AH580" s="944"/>
      <c r="AI580" s="944"/>
      <c r="AJ580" s="944"/>
      <c r="AK580" s="944"/>
      <c r="AL580" s="944"/>
      <c r="AM580" s="944"/>
      <c r="AN580" s="944"/>
      <c r="AO580" s="944"/>
      <c r="AP580" s="944"/>
      <c r="AQ580" s="944"/>
      <c r="AR580" s="944"/>
      <c r="AS580" s="944"/>
      <c r="AT580" s="944"/>
      <c r="AU580" s="944"/>
      <c r="AV580" s="944"/>
      <c r="AW580" s="944"/>
      <c r="AX580" s="944"/>
      <c r="AY580" s="944"/>
      <c r="AZ580" s="944"/>
      <c r="BA580" s="944"/>
      <c r="BB580" s="944"/>
      <c r="BC580" s="944"/>
      <c r="BD580" s="944"/>
      <c r="BE580" s="944"/>
      <c r="BF580" s="944"/>
      <c r="BG580" s="944"/>
      <c r="BH580" s="944"/>
      <c r="BI580" s="944"/>
      <c r="BJ580" s="944"/>
      <c r="BK580" s="944"/>
      <c r="BL580" s="944"/>
      <c r="BM580" s="944"/>
      <c r="BN580" s="944"/>
      <c r="BO580" s="944"/>
      <c r="BP580" s="45"/>
    </row>
    <row r="581" spans="1:68" ht="14.25" customHeight="1" x14ac:dyDescent="0.3">
      <c r="A581" s="960"/>
      <c r="B581" s="960"/>
      <c r="C581" s="960"/>
      <c r="D581" s="944"/>
      <c r="E581" s="944"/>
      <c r="F581" s="45"/>
      <c r="G581" s="45"/>
      <c r="H581" s="45"/>
      <c r="I581" s="45"/>
      <c r="J581" s="45"/>
      <c r="K581" s="45"/>
      <c r="L581" s="944"/>
      <c r="M581" s="944"/>
      <c r="N581" s="944"/>
      <c r="O581" s="944"/>
      <c r="P581" s="944"/>
      <c r="Q581" s="944"/>
      <c r="R581" s="944"/>
      <c r="S581" s="944"/>
      <c r="T581" s="944"/>
      <c r="U581" s="944"/>
      <c r="V581" s="944"/>
      <c r="W581" s="944"/>
      <c r="X581" s="944"/>
      <c r="Y581" s="944"/>
      <c r="Z581" s="944"/>
      <c r="AA581" s="944"/>
      <c r="AB581" s="944"/>
      <c r="AC581" s="944"/>
      <c r="AD581" s="944"/>
      <c r="AE581" s="944"/>
      <c r="AF581" s="944"/>
      <c r="AG581" s="944"/>
      <c r="AH581" s="944"/>
      <c r="AI581" s="944"/>
      <c r="AJ581" s="944"/>
      <c r="AK581" s="944"/>
      <c r="AL581" s="944"/>
      <c r="AM581" s="944"/>
      <c r="AN581" s="944"/>
      <c r="AO581" s="944"/>
      <c r="AP581" s="944"/>
      <c r="AQ581" s="944"/>
      <c r="AR581" s="944"/>
      <c r="AS581" s="944"/>
      <c r="AT581" s="944"/>
      <c r="AU581" s="944"/>
      <c r="AV581" s="944"/>
      <c r="AW581" s="944"/>
      <c r="AX581" s="944"/>
      <c r="AY581" s="944"/>
      <c r="AZ581" s="944"/>
      <c r="BA581" s="944"/>
      <c r="BB581" s="944"/>
      <c r="BC581" s="944"/>
      <c r="BD581" s="944"/>
      <c r="BE581" s="944"/>
      <c r="BF581" s="944"/>
      <c r="BG581" s="944"/>
      <c r="BH581" s="944"/>
      <c r="BI581" s="944"/>
      <c r="BJ581" s="944"/>
      <c r="BK581" s="944"/>
      <c r="BL581" s="944"/>
      <c r="BM581" s="944"/>
      <c r="BN581" s="944"/>
      <c r="BO581" s="944"/>
      <c r="BP581" s="45"/>
    </row>
    <row r="582" spans="1:68" ht="14.25" customHeight="1" x14ac:dyDescent="0.3">
      <c r="A582" s="960"/>
      <c r="B582" s="960"/>
      <c r="C582" s="960"/>
      <c r="D582" s="944"/>
      <c r="E582" s="944"/>
      <c r="F582" s="45"/>
      <c r="G582" s="45"/>
      <c r="H582" s="45"/>
      <c r="I582" s="45"/>
      <c r="J582" s="45"/>
      <c r="K582" s="45"/>
      <c r="L582" s="944"/>
      <c r="M582" s="944"/>
      <c r="N582" s="944"/>
      <c r="O582" s="944"/>
      <c r="P582" s="944"/>
      <c r="Q582" s="944"/>
      <c r="R582" s="944"/>
      <c r="S582" s="944"/>
      <c r="T582" s="944"/>
      <c r="U582" s="944"/>
      <c r="V582" s="944"/>
      <c r="W582" s="944"/>
      <c r="X582" s="944"/>
      <c r="Y582" s="944"/>
      <c r="Z582" s="944"/>
      <c r="AA582" s="944"/>
      <c r="AB582" s="944"/>
      <c r="AC582" s="944"/>
      <c r="AD582" s="944"/>
      <c r="AE582" s="944"/>
      <c r="AF582" s="944"/>
      <c r="AG582" s="944"/>
      <c r="AH582" s="944"/>
      <c r="AI582" s="944"/>
      <c r="AJ582" s="944"/>
      <c r="AK582" s="944"/>
      <c r="AL582" s="944"/>
      <c r="AM582" s="944"/>
      <c r="AN582" s="944"/>
      <c r="AO582" s="944"/>
      <c r="AP582" s="944"/>
      <c r="AQ582" s="944"/>
      <c r="AR582" s="944"/>
      <c r="AS582" s="944"/>
      <c r="AT582" s="944"/>
      <c r="AU582" s="944"/>
      <c r="AV582" s="944"/>
      <c r="AW582" s="944"/>
      <c r="AX582" s="944"/>
      <c r="AY582" s="944"/>
      <c r="AZ582" s="944"/>
      <c r="BA582" s="944"/>
      <c r="BB582" s="944"/>
      <c r="BC582" s="944"/>
      <c r="BD582" s="944"/>
      <c r="BE582" s="944"/>
      <c r="BF582" s="944"/>
      <c r="BG582" s="944"/>
      <c r="BH582" s="944"/>
      <c r="BI582" s="944"/>
      <c r="BJ582" s="944"/>
      <c r="BK582" s="944"/>
      <c r="BL582" s="944"/>
      <c r="BM582" s="944"/>
      <c r="BN582" s="944"/>
      <c r="BO582" s="944"/>
      <c r="BP582" s="45"/>
    </row>
    <row r="583" spans="1:68" ht="14.25" customHeight="1" x14ac:dyDescent="0.3">
      <c r="A583" s="960"/>
      <c r="B583" s="960"/>
      <c r="C583" s="960"/>
      <c r="D583" s="944"/>
      <c r="E583" s="944"/>
      <c r="F583" s="45"/>
      <c r="G583" s="45"/>
      <c r="H583" s="45"/>
      <c r="I583" s="45"/>
      <c r="J583" s="45"/>
      <c r="K583" s="45"/>
      <c r="L583" s="944"/>
      <c r="M583" s="944"/>
      <c r="N583" s="944"/>
      <c r="O583" s="944"/>
      <c r="P583" s="944"/>
      <c r="Q583" s="944"/>
      <c r="R583" s="944"/>
      <c r="S583" s="944"/>
      <c r="T583" s="944"/>
      <c r="U583" s="944"/>
      <c r="V583" s="944"/>
      <c r="W583" s="944"/>
      <c r="X583" s="944"/>
      <c r="Y583" s="944"/>
      <c r="Z583" s="944"/>
      <c r="AA583" s="944"/>
      <c r="AB583" s="944"/>
      <c r="AC583" s="944"/>
      <c r="AD583" s="944"/>
      <c r="AE583" s="944"/>
      <c r="AF583" s="944"/>
      <c r="AG583" s="944"/>
      <c r="AH583" s="944"/>
      <c r="AI583" s="944"/>
      <c r="AJ583" s="944"/>
      <c r="AK583" s="944"/>
      <c r="AL583" s="944"/>
      <c r="AM583" s="944"/>
      <c r="AN583" s="944"/>
      <c r="AO583" s="944"/>
      <c r="AP583" s="944"/>
      <c r="AQ583" s="944"/>
      <c r="AR583" s="944"/>
      <c r="AS583" s="944"/>
      <c r="AT583" s="944"/>
      <c r="AU583" s="944"/>
      <c r="AV583" s="944"/>
      <c r="AW583" s="944"/>
      <c r="AX583" s="944"/>
      <c r="AY583" s="944"/>
      <c r="AZ583" s="944"/>
      <c r="BA583" s="944"/>
      <c r="BB583" s="944"/>
      <c r="BC583" s="944"/>
      <c r="BD583" s="944"/>
      <c r="BE583" s="944"/>
      <c r="BF583" s="944"/>
      <c r="BG583" s="944"/>
      <c r="BH583" s="944"/>
      <c r="BI583" s="944"/>
      <c r="BJ583" s="944"/>
      <c r="BK583" s="944"/>
      <c r="BL583" s="944"/>
      <c r="BM583" s="944"/>
      <c r="BN583" s="944"/>
      <c r="BO583" s="944"/>
      <c r="BP583" s="45"/>
    </row>
    <row r="584" spans="1:68" ht="14.25" customHeight="1" x14ac:dyDescent="0.3">
      <c r="A584" s="960"/>
      <c r="B584" s="960"/>
      <c r="C584" s="960"/>
      <c r="D584" s="944"/>
      <c r="E584" s="944"/>
      <c r="F584" s="45"/>
      <c r="G584" s="45"/>
      <c r="H584" s="45"/>
      <c r="I584" s="45"/>
      <c r="J584" s="45"/>
      <c r="K584" s="45"/>
      <c r="L584" s="944"/>
      <c r="M584" s="944"/>
      <c r="N584" s="944"/>
      <c r="O584" s="944"/>
      <c r="P584" s="944"/>
      <c r="Q584" s="944"/>
      <c r="R584" s="944"/>
      <c r="S584" s="944"/>
      <c r="T584" s="944"/>
      <c r="U584" s="944"/>
      <c r="V584" s="944"/>
      <c r="W584" s="944"/>
      <c r="X584" s="944"/>
      <c r="Y584" s="944"/>
      <c r="Z584" s="944"/>
      <c r="AA584" s="944"/>
      <c r="AB584" s="944"/>
      <c r="AC584" s="944"/>
      <c r="AD584" s="944"/>
      <c r="AE584" s="944"/>
      <c r="AF584" s="944"/>
      <c r="AG584" s="944"/>
      <c r="AH584" s="944"/>
      <c r="AI584" s="944"/>
      <c r="AJ584" s="944"/>
      <c r="AK584" s="944"/>
      <c r="AL584" s="944"/>
      <c r="AM584" s="944"/>
      <c r="AN584" s="944"/>
      <c r="AO584" s="944"/>
      <c r="AP584" s="944"/>
      <c r="AQ584" s="944"/>
      <c r="AR584" s="944"/>
      <c r="AS584" s="944"/>
      <c r="AT584" s="944"/>
      <c r="AU584" s="944"/>
      <c r="AV584" s="944"/>
      <c r="AW584" s="944"/>
      <c r="AX584" s="944"/>
      <c r="AY584" s="944"/>
      <c r="AZ584" s="944"/>
      <c r="BA584" s="944"/>
      <c r="BB584" s="944"/>
      <c r="BC584" s="944"/>
      <c r="BD584" s="944"/>
      <c r="BE584" s="944"/>
      <c r="BF584" s="944"/>
      <c r="BG584" s="944"/>
      <c r="BH584" s="944"/>
      <c r="BI584" s="944"/>
      <c r="BJ584" s="944"/>
      <c r="BK584" s="944"/>
      <c r="BL584" s="944"/>
      <c r="BM584" s="944"/>
      <c r="BN584" s="944"/>
      <c r="BO584" s="944"/>
      <c r="BP584" s="45"/>
    </row>
    <row r="585" spans="1:68" ht="14.25" customHeight="1" x14ac:dyDescent="0.3">
      <c r="A585" s="960"/>
      <c r="B585" s="960"/>
      <c r="C585" s="960"/>
      <c r="D585" s="944"/>
      <c r="E585" s="944"/>
      <c r="F585" s="45"/>
      <c r="G585" s="45"/>
      <c r="H585" s="45"/>
      <c r="I585" s="45"/>
      <c r="J585" s="45"/>
      <c r="K585" s="45"/>
      <c r="L585" s="944"/>
      <c r="M585" s="944"/>
      <c r="N585" s="944"/>
      <c r="O585" s="944"/>
      <c r="P585" s="944"/>
      <c r="Q585" s="944"/>
      <c r="R585" s="944"/>
      <c r="S585" s="944"/>
      <c r="T585" s="944"/>
      <c r="U585" s="944"/>
      <c r="V585" s="944"/>
      <c r="W585" s="944"/>
      <c r="X585" s="944"/>
      <c r="Y585" s="944"/>
      <c r="Z585" s="944"/>
      <c r="AA585" s="944"/>
      <c r="AB585" s="944"/>
      <c r="AC585" s="944"/>
      <c r="AD585" s="944"/>
      <c r="AE585" s="944"/>
      <c r="AF585" s="944"/>
      <c r="AG585" s="944"/>
      <c r="AH585" s="944"/>
      <c r="AI585" s="944"/>
      <c r="AJ585" s="944"/>
      <c r="AK585" s="944"/>
      <c r="AL585" s="944"/>
      <c r="AM585" s="944"/>
      <c r="AN585" s="944"/>
      <c r="AO585" s="944"/>
      <c r="AP585" s="944"/>
      <c r="AQ585" s="944"/>
      <c r="AR585" s="944"/>
      <c r="AS585" s="944"/>
      <c r="AT585" s="944"/>
      <c r="AU585" s="944"/>
      <c r="AV585" s="944"/>
      <c r="AW585" s="944"/>
      <c r="AX585" s="944"/>
      <c r="AY585" s="944"/>
      <c r="AZ585" s="944"/>
      <c r="BA585" s="944"/>
      <c r="BB585" s="944"/>
      <c r="BC585" s="944"/>
      <c r="BD585" s="944"/>
      <c r="BE585" s="944"/>
      <c r="BF585" s="944"/>
      <c r="BG585" s="944"/>
      <c r="BH585" s="944"/>
      <c r="BI585" s="944"/>
      <c r="BJ585" s="944"/>
      <c r="BK585" s="944"/>
      <c r="BL585" s="944"/>
      <c r="BM585" s="944"/>
      <c r="BN585" s="944"/>
      <c r="BO585" s="944"/>
      <c r="BP585" s="45"/>
    </row>
    <row r="586" spans="1:68" ht="14.25" customHeight="1" x14ac:dyDescent="0.3">
      <c r="A586" s="960"/>
      <c r="B586" s="960"/>
      <c r="C586" s="960"/>
      <c r="D586" s="944"/>
      <c r="E586" s="944"/>
      <c r="F586" s="45"/>
      <c r="G586" s="45"/>
      <c r="H586" s="45"/>
      <c r="I586" s="45"/>
      <c r="J586" s="45"/>
      <c r="K586" s="45"/>
      <c r="L586" s="944"/>
      <c r="M586" s="944"/>
      <c r="N586" s="944"/>
      <c r="O586" s="944"/>
      <c r="P586" s="944"/>
      <c r="Q586" s="944"/>
      <c r="R586" s="944"/>
      <c r="S586" s="944"/>
      <c r="T586" s="944"/>
      <c r="U586" s="944"/>
      <c r="V586" s="944"/>
      <c r="W586" s="944"/>
      <c r="X586" s="944"/>
      <c r="Y586" s="944"/>
      <c r="Z586" s="944"/>
      <c r="AA586" s="944"/>
      <c r="AB586" s="944"/>
      <c r="AC586" s="944"/>
      <c r="AD586" s="944"/>
      <c r="AE586" s="944"/>
      <c r="AF586" s="944"/>
      <c r="AG586" s="944"/>
      <c r="AH586" s="944"/>
      <c r="AI586" s="944"/>
      <c r="AJ586" s="944"/>
      <c r="AK586" s="944"/>
      <c r="AL586" s="944"/>
      <c r="AM586" s="944"/>
      <c r="AN586" s="944"/>
      <c r="AO586" s="944"/>
      <c r="AP586" s="944"/>
      <c r="AQ586" s="944"/>
      <c r="AR586" s="944"/>
      <c r="AS586" s="944"/>
      <c r="AT586" s="944"/>
      <c r="AU586" s="944"/>
      <c r="AV586" s="944"/>
      <c r="AW586" s="944"/>
      <c r="AX586" s="944"/>
      <c r="AY586" s="944"/>
      <c r="AZ586" s="944"/>
      <c r="BA586" s="944"/>
      <c r="BB586" s="944"/>
      <c r="BC586" s="944"/>
      <c r="BD586" s="944"/>
      <c r="BE586" s="944"/>
      <c r="BF586" s="944"/>
      <c r="BG586" s="944"/>
      <c r="BH586" s="944"/>
      <c r="BI586" s="944"/>
      <c r="BJ586" s="944"/>
      <c r="BK586" s="944"/>
      <c r="BL586" s="944"/>
      <c r="BM586" s="944"/>
      <c r="BN586" s="944"/>
      <c r="BO586" s="944"/>
      <c r="BP586" s="45"/>
    </row>
    <row r="587" spans="1:68" ht="14.25" customHeight="1" x14ac:dyDescent="0.3">
      <c r="A587" s="960"/>
      <c r="B587" s="960"/>
      <c r="C587" s="960"/>
      <c r="D587" s="944"/>
      <c r="E587" s="944"/>
      <c r="F587" s="45"/>
      <c r="G587" s="45"/>
      <c r="H587" s="45"/>
      <c r="I587" s="45"/>
      <c r="J587" s="45"/>
      <c r="K587" s="45"/>
      <c r="L587" s="944"/>
      <c r="M587" s="944"/>
      <c r="N587" s="944"/>
      <c r="O587" s="944"/>
      <c r="P587" s="944"/>
      <c r="Q587" s="944"/>
      <c r="R587" s="944"/>
      <c r="S587" s="944"/>
      <c r="T587" s="944"/>
      <c r="U587" s="944"/>
      <c r="V587" s="944"/>
      <c r="W587" s="944"/>
      <c r="X587" s="944"/>
      <c r="Y587" s="944"/>
      <c r="Z587" s="944"/>
      <c r="AA587" s="944"/>
      <c r="AB587" s="944"/>
      <c r="AC587" s="944"/>
      <c r="AD587" s="944"/>
      <c r="AE587" s="944"/>
      <c r="AF587" s="944"/>
      <c r="AG587" s="944"/>
      <c r="AH587" s="944"/>
      <c r="AI587" s="944"/>
      <c r="AJ587" s="944"/>
      <c r="AK587" s="944"/>
      <c r="AL587" s="944"/>
      <c r="AM587" s="944"/>
      <c r="AN587" s="944"/>
      <c r="AO587" s="944"/>
      <c r="AP587" s="944"/>
      <c r="AQ587" s="944"/>
      <c r="AR587" s="944"/>
      <c r="AS587" s="944"/>
      <c r="AT587" s="944"/>
      <c r="AU587" s="944"/>
      <c r="AV587" s="944"/>
      <c r="AW587" s="944"/>
      <c r="AX587" s="944"/>
      <c r="AY587" s="944"/>
      <c r="AZ587" s="944"/>
      <c r="BA587" s="944"/>
      <c r="BB587" s="944"/>
      <c r="BC587" s="944"/>
      <c r="BD587" s="944"/>
      <c r="BE587" s="944"/>
      <c r="BF587" s="944"/>
      <c r="BG587" s="944"/>
      <c r="BH587" s="944"/>
      <c r="BI587" s="944"/>
      <c r="BJ587" s="944"/>
      <c r="BK587" s="944"/>
      <c r="BL587" s="944"/>
      <c r="BM587" s="944"/>
      <c r="BN587" s="944"/>
      <c r="BO587" s="944"/>
      <c r="BP587" s="45"/>
    </row>
    <row r="588" spans="1:68" ht="14.25" customHeight="1" x14ac:dyDescent="0.3">
      <c r="A588" s="960"/>
      <c r="B588" s="960"/>
      <c r="C588" s="960"/>
      <c r="D588" s="944"/>
      <c r="E588" s="944"/>
      <c r="F588" s="45"/>
      <c r="G588" s="45"/>
      <c r="H588" s="45"/>
      <c r="I588" s="45"/>
      <c r="J588" s="45"/>
      <c r="K588" s="45"/>
      <c r="L588" s="944"/>
      <c r="M588" s="944"/>
      <c r="N588" s="944"/>
      <c r="O588" s="944"/>
      <c r="P588" s="944"/>
      <c r="Q588" s="944"/>
      <c r="R588" s="944"/>
      <c r="S588" s="944"/>
      <c r="T588" s="944"/>
      <c r="U588" s="944"/>
      <c r="V588" s="944"/>
      <c r="W588" s="944"/>
      <c r="X588" s="944"/>
      <c r="Y588" s="944"/>
      <c r="Z588" s="944"/>
      <c r="AA588" s="944"/>
      <c r="AB588" s="944"/>
      <c r="AC588" s="944"/>
      <c r="AD588" s="944"/>
      <c r="AE588" s="944"/>
      <c r="AF588" s="944"/>
      <c r="AG588" s="944"/>
      <c r="AH588" s="944"/>
      <c r="AI588" s="944"/>
      <c r="AJ588" s="944"/>
      <c r="AK588" s="944"/>
      <c r="AL588" s="944"/>
      <c r="AM588" s="944"/>
      <c r="AN588" s="944"/>
      <c r="AO588" s="944"/>
      <c r="AP588" s="944"/>
      <c r="AQ588" s="944"/>
      <c r="AR588" s="944"/>
      <c r="AS588" s="944"/>
      <c r="AT588" s="944"/>
      <c r="AU588" s="944"/>
      <c r="AV588" s="944"/>
      <c r="AW588" s="944"/>
      <c r="AX588" s="944"/>
      <c r="AY588" s="944"/>
      <c r="AZ588" s="944"/>
      <c r="BA588" s="944"/>
      <c r="BB588" s="944"/>
      <c r="BC588" s="944"/>
      <c r="BD588" s="944"/>
      <c r="BE588" s="944"/>
      <c r="BF588" s="944"/>
      <c r="BG588" s="944"/>
      <c r="BH588" s="944"/>
      <c r="BI588" s="944"/>
      <c r="BJ588" s="944"/>
      <c r="BK588" s="944"/>
      <c r="BL588" s="944"/>
      <c r="BM588" s="944"/>
      <c r="BN588" s="944"/>
      <c r="BO588" s="944"/>
      <c r="BP588" s="45"/>
    </row>
    <row r="589" spans="1:68" ht="14.25" customHeight="1" x14ac:dyDescent="0.3">
      <c r="A589" s="960"/>
      <c r="B589" s="960"/>
      <c r="C589" s="960"/>
      <c r="D589" s="944"/>
      <c r="E589" s="944"/>
      <c r="F589" s="45"/>
      <c r="G589" s="45"/>
      <c r="H589" s="45"/>
      <c r="I589" s="45"/>
      <c r="J589" s="45"/>
      <c r="K589" s="45"/>
      <c r="L589" s="944"/>
      <c r="M589" s="944"/>
      <c r="N589" s="944"/>
      <c r="O589" s="944"/>
      <c r="P589" s="944"/>
      <c r="Q589" s="944"/>
      <c r="R589" s="944"/>
      <c r="S589" s="944"/>
      <c r="T589" s="944"/>
      <c r="U589" s="944"/>
      <c r="V589" s="944"/>
      <c r="W589" s="944"/>
      <c r="X589" s="944"/>
      <c r="Y589" s="944"/>
      <c r="Z589" s="944"/>
      <c r="AA589" s="944"/>
      <c r="AB589" s="944"/>
      <c r="AC589" s="944"/>
      <c r="AD589" s="944"/>
      <c r="AE589" s="944"/>
      <c r="AF589" s="944"/>
      <c r="AG589" s="944"/>
      <c r="AH589" s="944"/>
      <c r="AI589" s="944"/>
      <c r="AJ589" s="944"/>
      <c r="AK589" s="944"/>
      <c r="AL589" s="944"/>
      <c r="AM589" s="944"/>
      <c r="AN589" s="944"/>
      <c r="AO589" s="944"/>
      <c r="AP589" s="944"/>
      <c r="AQ589" s="944"/>
      <c r="AR589" s="944"/>
      <c r="AS589" s="944"/>
      <c r="AT589" s="944"/>
      <c r="AU589" s="944"/>
      <c r="AV589" s="944"/>
      <c r="AW589" s="944"/>
      <c r="AX589" s="944"/>
      <c r="AY589" s="944"/>
      <c r="AZ589" s="944"/>
      <c r="BA589" s="944"/>
      <c r="BB589" s="944"/>
      <c r="BC589" s="944"/>
      <c r="BD589" s="944"/>
      <c r="BE589" s="944"/>
      <c r="BF589" s="944"/>
      <c r="BG589" s="944"/>
      <c r="BH589" s="944"/>
      <c r="BI589" s="944"/>
      <c r="BJ589" s="944"/>
      <c r="BK589" s="944"/>
      <c r="BL589" s="944"/>
      <c r="BM589" s="944"/>
      <c r="BN589" s="944"/>
      <c r="BO589" s="944"/>
      <c r="BP589" s="45"/>
    </row>
    <row r="590" spans="1:68" ht="14.25" customHeight="1" x14ac:dyDescent="0.3">
      <c r="A590" s="960"/>
      <c r="B590" s="960"/>
      <c r="C590" s="960"/>
      <c r="D590" s="944"/>
      <c r="E590" s="944"/>
      <c r="F590" s="45"/>
      <c r="G590" s="45"/>
      <c r="H590" s="45"/>
      <c r="I590" s="45"/>
      <c r="J590" s="45"/>
      <c r="K590" s="45"/>
      <c r="L590" s="944"/>
      <c r="M590" s="944"/>
      <c r="N590" s="944"/>
      <c r="O590" s="944"/>
      <c r="P590" s="944"/>
      <c r="Q590" s="944"/>
      <c r="R590" s="944"/>
      <c r="S590" s="944"/>
      <c r="T590" s="944"/>
      <c r="U590" s="944"/>
      <c r="V590" s="944"/>
      <c r="W590" s="944"/>
      <c r="X590" s="944"/>
      <c r="Y590" s="944"/>
      <c r="Z590" s="944"/>
      <c r="AA590" s="944"/>
      <c r="AB590" s="944"/>
      <c r="AC590" s="944"/>
      <c r="AD590" s="944"/>
      <c r="AE590" s="944"/>
      <c r="AF590" s="944"/>
      <c r="AG590" s="944"/>
      <c r="AH590" s="944"/>
      <c r="AI590" s="944"/>
      <c r="AJ590" s="944"/>
      <c r="AK590" s="944"/>
      <c r="AL590" s="944"/>
      <c r="AM590" s="944"/>
      <c r="AN590" s="944"/>
      <c r="AO590" s="944"/>
      <c r="AP590" s="944"/>
      <c r="AQ590" s="944"/>
      <c r="AR590" s="944"/>
      <c r="AS590" s="944"/>
      <c r="AT590" s="944"/>
      <c r="AU590" s="944"/>
      <c r="AV590" s="944"/>
      <c r="AW590" s="944"/>
      <c r="AX590" s="944"/>
      <c r="AY590" s="944"/>
      <c r="AZ590" s="944"/>
      <c r="BA590" s="944"/>
      <c r="BB590" s="944"/>
      <c r="BC590" s="944"/>
      <c r="BD590" s="944"/>
      <c r="BE590" s="944"/>
      <c r="BF590" s="944"/>
      <c r="BG590" s="944"/>
      <c r="BH590" s="944"/>
      <c r="BI590" s="944"/>
      <c r="BJ590" s="944"/>
      <c r="BK590" s="944"/>
      <c r="BL590" s="944"/>
      <c r="BM590" s="944"/>
      <c r="BN590" s="944"/>
      <c r="BO590" s="944"/>
      <c r="BP590" s="45"/>
    </row>
    <row r="591" spans="1:68" ht="14.25" customHeight="1" x14ac:dyDescent="0.3">
      <c r="A591" s="960"/>
      <c r="B591" s="960"/>
      <c r="C591" s="960"/>
      <c r="D591" s="944"/>
      <c r="E591" s="944"/>
      <c r="F591" s="45"/>
      <c r="G591" s="45"/>
      <c r="H591" s="45"/>
      <c r="I591" s="45"/>
      <c r="J591" s="45"/>
      <c r="K591" s="45"/>
      <c r="L591" s="944"/>
      <c r="M591" s="944"/>
      <c r="N591" s="944"/>
      <c r="O591" s="944"/>
      <c r="P591" s="944"/>
      <c r="Q591" s="944"/>
      <c r="R591" s="944"/>
      <c r="S591" s="944"/>
      <c r="T591" s="944"/>
      <c r="U591" s="944"/>
      <c r="V591" s="944"/>
      <c r="W591" s="944"/>
      <c r="X591" s="944"/>
      <c r="Y591" s="944"/>
      <c r="Z591" s="944"/>
      <c r="AA591" s="944"/>
      <c r="AB591" s="944"/>
      <c r="AC591" s="944"/>
      <c r="AD591" s="944"/>
      <c r="AE591" s="944"/>
      <c r="AF591" s="944"/>
      <c r="AG591" s="944"/>
      <c r="AH591" s="944"/>
      <c r="AI591" s="944"/>
      <c r="AJ591" s="944"/>
      <c r="AK591" s="944"/>
      <c r="AL591" s="944"/>
      <c r="AM591" s="944"/>
      <c r="AN591" s="944"/>
      <c r="AO591" s="944"/>
      <c r="AP591" s="944"/>
      <c r="AQ591" s="944"/>
      <c r="AR591" s="944"/>
      <c r="AS591" s="944"/>
      <c r="AT591" s="944"/>
      <c r="AU591" s="944"/>
      <c r="AV591" s="944"/>
      <c r="AW591" s="944"/>
      <c r="AX591" s="944"/>
      <c r="AY591" s="944"/>
      <c r="AZ591" s="944"/>
      <c r="BA591" s="944"/>
      <c r="BB591" s="944"/>
      <c r="BC591" s="944"/>
      <c r="BD591" s="944"/>
      <c r="BE591" s="944"/>
      <c r="BF591" s="944"/>
      <c r="BG591" s="944"/>
      <c r="BH591" s="944"/>
      <c r="BI591" s="944"/>
      <c r="BJ591" s="944"/>
      <c r="BK591" s="944"/>
      <c r="BL591" s="944"/>
      <c r="BM591" s="944"/>
      <c r="BN591" s="944"/>
      <c r="BO591" s="944"/>
      <c r="BP591" s="45"/>
    </row>
    <row r="592" spans="1:68" ht="14.25" customHeight="1" x14ac:dyDescent="0.3">
      <c r="A592" s="960"/>
      <c r="B592" s="960"/>
      <c r="C592" s="960"/>
      <c r="D592" s="944"/>
      <c r="E592" s="944"/>
      <c r="F592" s="45"/>
      <c r="G592" s="45"/>
      <c r="H592" s="45"/>
      <c r="I592" s="45"/>
      <c r="J592" s="45"/>
      <c r="K592" s="45"/>
      <c r="L592" s="944"/>
      <c r="M592" s="944"/>
      <c r="N592" s="944"/>
      <c r="O592" s="944"/>
      <c r="P592" s="944"/>
      <c r="Q592" s="944"/>
      <c r="R592" s="944"/>
      <c r="S592" s="944"/>
      <c r="T592" s="944"/>
      <c r="U592" s="944"/>
      <c r="V592" s="944"/>
      <c r="W592" s="944"/>
      <c r="X592" s="944"/>
      <c r="Y592" s="944"/>
      <c r="Z592" s="944"/>
      <c r="AA592" s="944"/>
      <c r="AB592" s="944"/>
      <c r="AC592" s="944"/>
      <c r="AD592" s="944"/>
      <c r="AE592" s="944"/>
      <c r="AF592" s="944"/>
      <c r="AG592" s="944"/>
      <c r="AH592" s="944"/>
      <c r="AI592" s="944"/>
      <c r="AJ592" s="944"/>
      <c r="AK592" s="944"/>
      <c r="AL592" s="944"/>
      <c r="AM592" s="944"/>
      <c r="AN592" s="944"/>
      <c r="AO592" s="944"/>
      <c r="AP592" s="944"/>
      <c r="AQ592" s="944"/>
      <c r="AR592" s="944"/>
      <c r="AS592" s="944"/>
      <c r="AT592" s="944"/>
      <c r="AU592" s="944"/>
      <c r="AV592" s="944"/>
      <c r="AW592" s="944"/>
      <c r="AX592" s="944"/>
      <c r="AY592" s="944"/>
      <c r="AZ592" s="944"/>
      <c r="BA592" s="944"/>
      <c r="BB592" s="944"/>
      <c r="BC592" s="944"/>
      <c r="BD592" s="944"/>
      <c r="BE592" s="944"/>
      <c r="BF592" s="944"/>
      <c r="BG592" s="944"/>
      <c r="BH592" s="944"/>
      <c r="BI592" s="944"/>
      <c r="BJ592" s="944"/>
      <c r="BK592" s="944"/>
      <c r="BL592" s="944"/>
      <c r="BM592" s="944"/>
      <c r="BN592" s="944"/>
      <c r="BO592" s="944"/>
      <c r="BP592" s="45"/>
    </row>
    <row r="593" spans="1:68" ht="14.25" customHeight="1" x14ac:dyDescent="0.3">
      <c r="A593" s="960"/>
      <c r="B593" s="960"/>
      <c r="C593" s="960"/>
      <c r="D593" s="944"/>
      <c r="E593" s="944"/>
      <c r="F593" s="45"/>
      <c r="G593" s="45"/>
      <c r="H593" s="45"/>
      <c r="I593" s="45"/>
      <c r="J593" s="45"/>
      <c r="K593" s="45"/>
      <c r="L593" s="944"/>
      <c r="M593" s="944"/>
      <c r="N593" s="944"/>
      <c r="O593" s="944"/>
      <c r="P593" s="944"/>
      <c r="Q593" s="944"/>
      <c r="R593" s="944"/>
      <c r="S593" s="944"/>
      <c r="T593" s="944"/>
      <c r="U593" s="944"/>
      <c r="V593" s="944"/>
      <c r="W593" s="944"/>
      <c r="X593" s="944"/>
      <c r="Y593" s="944"/>
      <c r="Z593" s="944"/>
      <c r="AA593" s="944"/>
      <c r="AB593" s="944"/>
      <c r="AC593" s="944"/>
      <c r="AD593" s="944"/>
      <c r="AE593" s="944"/>
      <c r="AF593" s="944"/>
      <c r="AG593" s="944"/>
      <c r="AH593" s="944"/>
      <c r="AI593" s="944"/>
      <c r="AJ593" s="944"/>
      <c r="AK593" s="944"/>
      <c r="AL593" s="944"/>
      <c r="AM593" s="944"/>
      <c r="AN593" s="944"/>
      <c r="AO593" s="944"/>
      <c r="AP593" s="944"/>
      <c r="AQ593" s="944"/>
      <c r="AR593" s="944"/>
      <c r="AS593" s="944"/>
      <c r="AT593" s="944"/>
      <c r="AU593" s="944"/>
      <c r="AV593" s="944"/>
      <c r="AW593" s="944"/>
      <c r="AX593" s="944"/>
      <c r="AY593" s="944"/>
      <c r="AZ593" s="944"/>
      <c r="BA593" s="944"/>
      <c r="BB593" s="944"/>
      <c r="BC593" s="944"/>
      <c r="BD593" s="944"/>
      <c r="BE593" s="944"/>
      <c r="BF593" s="944"/>
      <c r="BG593" s="944"/>
      <c r="BH593" s="944"/>
      <c r="BI593" s="944"/>
      <c r="BJ593" s="944"/>
      <c r="BK593" s="944"/>
      <c r="BL593" s="944"/>
      <c r="BM593" s="944"/>
      <c r="BN593" s="944"/>
      <c r="BO593" s="944"/>
      <c r="BP593" s="45"/>
    </row>
    <row r="594" spans="1:68" ht="14.25" customHeight="1" x14ac:dyDescent="0.3">
      <c r="A594" s="960"/>
      <c r="B594" s="960"/>
      <c r="C594" s="960"/>
      <c r="D594" s="944"/>
      <c r="E594" s="944"/>
      <c r="F594" s="45"/>
      <c r="G594" s="45"/>
      <c r="H594" s="45"/>
      <c r="I594" s="45"/>
      <c r="J594" s="45"/>
      <c r="K594" s="45"/>
      <c r="L594" s="944"/>
      <c r="M594" s="944"/>
      <c r="N594" s="944"/>
      <c r="O594" s="944"/>
      <c r="P594" s="944"/>
      <c r="Q594" s="944"/>
      <c r="R594" s="944"/>
      <c r="S594" s="944"/>
      <c r="T594" s="944"/>
      <c r="U594" s="944"/>
      <c r="V594" s="944"/>
      <c r="W594" s="944"/>
      <c r="X594" s="944"/>
      <c r="Y594" s="944"/>
      <c r="Z594" s="944"/>
      <c r="AA594" s="944"/>
      <c r="AB594" s="944"/>
      <c r="AC594" s="944"/>
      <c r="AD594" s="944"/>
      <c r="AE594" s="944"/>
      <c r="AF594" s="944"/>
      <c r="AG594" s="944"/>
      <c r="AH594" s="944"/>
      <c r="AI594" s="944"/>
      <c r="AJ594" s="944"/>
      <c r="AK594" s="944"/>
      <c r="AL594" s="944"/>
      <c r="AM594" s="944"/>
      <c r="AN594" s="944"/>
      <c r="AO594" s="944"/>
      <c r="AP594" s="944"/>
      <c r="AQ594" s="944"/>
      <c r="AR594" s="944"/>
      <c r="AS594" s="944"/>
      <c r="AT594" s="944"/>
      <c r="AU594" s="944"/>
      <c r="AV594" s="944"/>
      <c r="AW594" s="944"/>
      <c r="AX594" s="944"/>
      <c r="AY594" s="944"/>
      <c r="AZ594" s="944"/>
      <c r="BA594" s="944"/>
      <c r="BB594" s="944"/>
      <c r="BC594" s="944"/>
      <c r="BD594" s="944"/>
      <c r="BE594" s="944"/>
      <c r="BF594" s="944"/>
      <c r="BG594" s="944"/>
      <c r="BH594" s="944"/>
      <c r="BI594" s="944"/>
      <c r="BJ594" s="944"/>
      <c r="BK594" s="944"/>
      <c r="BL594" s="944"/>
      <c r="BM594" s="944"/>
      <c r="BN594" s="944"/>
      <c r="BO594" s="944"/>
      <c r="BP594" s="45"/>
    </row>
    <row r="595" spans="1:68" ht="14.25" customHeight="1" x14ac:dyDescent="0.3">
      <c r="A595" s="960"/>
      <c r="B595" s="960"/>
      <c r="C595" s="960"/>
      <c r="D595" s="944"/>
      <c r="E595" s="944"/>
      <c r="F595" s="45"/>
      <c r="G595" s="45"/>
      <c r="H595" s="45"/>
      <c r="I595" s="45"/>
      <c r="J595" s="45"/>
      <c r="K595" s="45"/>
      <c r="L595" s="944"/>
      <c r="M595" s="944"/>
      <c r="N595" s="944"/>
      <c r="O595" s="944"/>
      <c r="P595" s="944"/>
      <c r="Q595" s="944"/>
      <c r="R595" s="944"/>
      <c r="S595" s="944"/>
      <c r="T595" s="944"/>
      <c r="U595" s="944"/>
      <c r="V595" s="944"/>
      <c r="W595" s="944"/>
      <c r="X595" s="944"/>
      <c r="Y595" s="944"/>
      <c r="Z595" s="944"/>
      <c r="AA595" s="944"/>
      <c r="AB595" s="944"/>
      <c r="AC595" s="944"/>
      <c r="AD595" s="944"/>
      <c r="AE595" s="944"/>
      <c r="AF595" s="944"/>
      <c r="AG595" s="944"/>
      <c r="AH595" s="944"/>
      <c r="AI595" s="944"/>
      <c r="AJ595" s="944"/>
      <c r="AK595" s="944"/>
      <c r="AL595" s="944"/>
      <c r="AM595" s="944"/>
      <c r="AN595" s="944"/>
      <c r="AO595" s="944"/>
      <c r="AP595" s="944"/>
      <c r="AQ595" s="944"/>
      <c r="AR595" s="944"/>
      <c r="AS595" s="944"/>
      <c r="AT595" s="944"/>
      <c r="AU595" s="944"/>
      <c r="AV595" s="944"/>
      <c r="AW595" s="944"/>
      <c r="AX595" s="944"/>
      <c r="AY595" s="944"/>
      <c r="AZ595" s="944"/>
      <c r="BA595" s="944"/>
      <c r="BB595" s="944"/>
      <c r="BC595" s="944"/>
      <c r="BD595" s="944"/>
      <c r="BE595" s="944"/>
      <c r="BF595" s="944"/>
      <c r="BG595" s="944"/>
      <c r="BH595" s="944"/>
      <c r="BI595" s="944"/>
      <c r="BJ595" s="944"/>
      <c r="BK595" s="944"/>
      <c r="BL595" s="944"/>
      <c r="BM595" s="944"/>
      <c r="BN595" s="944"/>
      <c r="BO595" s="944"/>
      <c r="BP595" s="45"/>
    </row>
    <row r="596" spans="1:68" ht="14.25" customHeight="1" x14ac:dyDescent="0.3">
      <c r="A596" s="960"/>
      <c r="B596" s="960"/>
      <c r="C596" s="960"/>
      <c r="D596" s="944"/>
      <c r="E596" s="944"/>
      <c r="F596" s="45"/>
      <c r="G596" s="45"/>
      <c r="H596" s="45"/>
      <c r="I596" s="45"/>
      <c r="J596" s="45"/>
      <c r="K596" s="45"/>
      <c r="L596" s="944"/>
      <c r="M596" s="944"/>
      <c r="N596" s="944"/>
      <c r="O596" s="944"/>
      <c r="P596" s="944"/>
      <c r="Q596" s="944"/>
      <c r="R596" s="944"/>
      <c r="S596" s="944"/>
      <c r="T596" s="944"/>
      <c r="U596" s="944"/>
      <c r="V596" s="944"/>
      <c r="W596" s="944"/>
      <c r="X596" s="944"/>
      <c r="Y596" s="944"/>
      <c r="Z596" s="944"/>
      <c r="AA596" s="944"/>
      <c r="AB596" s="944"/>
      <c r="AC596" s="944"/>
      <c r="AD596" s="944"/>
      <c r="AE596" s="944"/>
      <c r="AF596" s="944"/>
      <c r="AG596" s="944"/>
      <c r="AH596" s="944"/>
      <c r="AI596" s="944"/>
      <c r="AJ596" s="944"/>
      <c r="AK596" s="944"/>
      <c r="AL596" s="944"/>
      <c r="AM596" s="944"/>
      <c r="AN596" s="944"/>
      <c r="AO596" s="944"/>
      <c r="AP596" s="944"/>
      <c r="AQ596" s="944"/>
      <c r="AR596" s="944"/>
      <c r="AS596" s="944"/>
      <c r="AT596" s="944"/>
      <c r="AU596" s="944"/>
      <c r="AV596" s="944"/>
      <c r="AW596" s="944"/>
      <c r="AX596" s="944"/>
      <c r="AY596" s="944"/>
      <c r="AZ596" s="944"/>
      <c r="BA596" s="944"/>
      <c r="BB596" s="944"/>
      <c r="BC596" s="944"/>
      <c r="BD596" s="944"/>
      <c r="BE596" s="944"/>
      <c r="BF596" s="944"/>
      <c r="BG596" s="944"/>
      <c r="BH596" s="944"/>
      <c r="BI596" s="944"/>
      <c r="BJ596" s="944"/>
      <c r="BK596" s="944"/>
      <c r="BL596" s="944"/>
      <c r="BM596" s="944"/>
      <c r="BN596" s="944"/>
      <c r="BO596" s="944"/>
      <c r="BP596" s="45"/>
    </row>
    <row r="597" spans="1:68" ht="14.25" customHeight="1" x14ac:dyDescent="0.3">
      <c r="A597" s="960"/>
      <c r="B597" s="960"/>
      <c r="C597" s="960"/>
      <c r="D597" s="944"/>
      <c r="E597" s="944"/>
      <c r="F597" s="45"/>
      <c r="G597" s="45"/>
      <c r="H597" s="45"/>
      <c r="I597" s="45"/>
      <c r="J597" s="45"/>
      <c r="K597" s="45"/>
      <c r="L597" s="944"/>
      <c r="M597" s="944"/>
      <c r="N597" s="944"/>
      <c r="O597" s="944"/>
      <c r="P597" s="944"/>
      <c r="Q597" s="944"/>
      <c r="R597" s="944"/>
      <c r="S597" s="944"/>
      <c r="T597" s="944"/>
      <c r="U597" s="944"/>
      <c r="V597" s="944"/>
      <c r="W597" s="944"/>
      <c r="X597" s="944"/>
      <c r="Y597" s="944"/>
      <c r="Z597" s="944"/>
      <c r="AA597" s="944"/>
      <c r="AB597" s="944"/>
      <c r="AC597" s="944"/>
      <c r="AD597" s="944"/>
      <c r="AE597" s="944"/>
      <c r="AF597" s="944"/>
      <c r="AG597" s="944"/>
      <c r="AH597" s="944"/>
      <c r="AI597" s="944"/>
      <c r="AJ597" s="944"/>
      <c r="AK597" s="944"/>
      <c r="AL597" s="944"/>
      <c r="AM597" s="944"/>
      <c r="AN597" s="944"/>
      <c r="AO597" s="944"/>
      <c r="AP597" s="944"/>
      <c r="AQ597" s="944"/>
      <c r="AR597" s="944"/>
      <c r="AS597" s="944"/>
      <c r="AT597" s="944"/>
      <c r="AU597" s="944"/>
      <c r="AV597" s="944"/>
      <c r="AW597" s="944"/>
      <c r="AX597" s="944"/>
      <c r="AY597" s="944"/>
      <c r="AZ597" s="944"/>
      <c r="BA597" s="944"/>
      <c r="BB597" s="944"/>
      <c r="BC597" s="944"/>
      <c r="BD597" s="944"/>
      <c r="BE597" s="944"/>
      <c r="BF597" s="944"/>
      <c r="BG597" s="944"/>
      <c r="BH597" s="944"/>
      <c r="BI597" s="944"/>
      <c r="BJ597" s="944"/>
      <c r="BK597" s="944"/>
      <c r="BL597" s="944"/>
      <c r="BM597" s="944"/>
      <c r="BN597" s="944"/>
      <c r="BO597" s="944"/>
      <c r="BP597" s="45"/>
    </row>
    <row r="598" spans="1:68" ht="14.25" customHeight="1" x14ac:dyDescent="0.3">
      <c r="A598" s="960"/>
      <c r="B598" s="960"/>
      <c r="C598" s="960"/>
      <c r="D598" s="944"/>
      <c r="E598" s="944"/>
      <c r="F598" s="45"/>
      <c r="G598" s="45"/>
      <c r="H598" s="45"/>
      <c r="I598" s="45"/>
      <c r="J598" s="45"/>
      <c r="K598" s="45"/>
      <c r="L598" s="944"/>
      <c r="M598" s="944"/>
      <c r="N598" s="944"/>
      <c r="O598" s="944"/>
      <c r="P598" s="944"/>
      <c r="Q598" s="944"/>
      <c r="R598" s="944"/>
      <c r="S598" s="944"/>
      <c r="T598" s="944"/>
      <c r="U598" s="944"/>
      <c r="V598" s="944"/>
      <c r="W598" s="944"/>
      <c r="X598" s="944"/>
      <c r="Y598" s="944"/>
      <c r="Z598" s="944"/>
      <c r="AA598" s="944"/>
      <c r="AB598" s="944"/>
      <c r="AC598" s="944"/>
      <c r="AD598" s="944"/>
      <c r="AE598" s="944"/>
      <c r="AF598" s="944"/>
      <c r="AG598" s="944"/>
      <c r="AH598" s="944"/>
      <c r="AI598" s="944"/>
      <c r="AJ598" s="944"/>
      <c r="AK598" s="944"/>
      <c r="AL598" s="944"/>
      <c r="AM598" s="944"/>
      <c r="AN598" s="944"/>
      <c r="AO598" s="944"/>
      <c r="AP598" s="944"/>
      <c r="AQ598" s="944"/>
      <c r="AR598" s="944"/>
      <c r="AS598" s="944"/>
      <c r="AT598" s="944"/>
      <c r="AU598" s="944"/>
      <c r="AV598" s="944"/>
      <c r="AW598" s="944"/>
      <c r="AX598" s="944"/>
      <c r="AY598" s="944"/>
      <c r="AZ598" s="944"/>
      <c r="BA598" s="944"/>
      <c r="BB598" s="944"/>
      <c r="BC598" s="944"/>
      <c r="BD598" s="944"/>
      <c r="BE598" s="944"/>
      <c r="BF598" s="944"/>
      <c r="BG598" s="944"/>
      <c r="BH598" s="944"/>
      <c r="BI598" s="944"/>
      <c r="BJ598" s="944"/>
      <c r="BK598" s="944"/>
      <c r="BL598" s="944"/>
      <c r="BM598" s="944"/>
      <c r="BN598" s="944"/>
      <c r="BO598" s="944"/>
      <c r="BP598" s="45"/>
    </row>
    <row r="599" spans="1:68" ht="14.25" customHeight="1" x14ac:dyDescent="0.3">
      <c r="A599" s="960"/>
      <c r="B599" s="960"/>
      <c r="C599" s="960"/>
      <c r="D599" s="944"/>
      <c r="E599" s="944"/>
      <c r="F599" s="45"/>
      <c r="G599" s="45"/>
      <c r="H599" s="45"/>
      <c r="I599" s="45"/>
      <c r="J599" s="45"/>
      <c r="K599" s="45"/>
      <c r="L599" s="944"/>
      <c r="M599" s="944"/>
      <c r="N599" s="944"/>
      <c r="O599" s="944"/>
      <c r="P599" s="944"/>
      <c r="Q599" s="944"/>
      <c r="R599" s="944"/>
      <c r="S599" s="944"/>
      <c r="T599" s="944"/>
      <c r="U599" s="944"/>
      <c r="V599" s="944"/>
      <c r="W599" s="944"/>
      <c r="X599" s="944"/>
      <c r="Y599" s="944"/>
      <c r="Z599" s="944"/>
      <c r="AA599" s="944"/>
      <c r="AB599" s="944"/>
      <c r="AC599" s="944"/>
      <c r="AD599" s="944"/>
      <c r="AE599" s="944"/>
      <c r="AF599" s="944"/>
      <c r="AG599" s="944"/>
      <c r="AH599" s="944"/>
      <c r="AI599" s="944"/>
      <c r="AJ599" s="944"/>
      <c r="AK599" s="944"/>
      <c r="AL599" s="944"/>
      <c r="AM599" s="944"/>
      <c r="AN599" s="944"/>
      <c r="AO599" s="944"/>
      <c r="AP599" s="944"/>
      <c r="AQ599" s="944"/>
      <c r="AR599" s="944"/>
      <c r="AS599" s="944"/>
      <c r="AT599" s="944"/>
      <c r="AU599" s="944"/>
      <c r="AV599" s="944"/>
      <c r="AW599" s="944"/>
      <c r="AX599" s="944"/>
      <c r="AY599" s="944"/>
      <c r="AZ599" s="944"/>
      <c r="BA599" s="944"/>
      <c r="BB599" s="944"/>
      <c r="BC599" s="944"/>
      <c r="BD599" s="944"/>
      <c r="BE599" s="944"/>
      <c r="BF599" s="944"/>
      <c r="BG599" s="944"/>
      <c r="BH599" s="944"/>
      <c r="BI599" s="944"/>
      <c r="BJ599" s="944"/>
      <c r="BK599" s="944"/>
      <c r="BL599" s="944"/>
      <c r="BM599" s="944"/>
      <c r="BN599" s="944"/>
      <c r="BO599" s="944"/>
      <c r="BP599" s="45"/>
    </row>
    <row r="600" spans="1:68" ht="14.25" customHeight="1" x14ac:dyDescent="0.3">
      <c r="A600" s="960"/>
      <c r="B600" s="960"/>
      <c r="C600" s="960"/>
      <c r="D600" s="944"/>
      <c r="E600" s="944"/>
      <c r="F600" s="45"/>
      <c r="G600" s="45"/>
      <c r="H600" s="45"/>
      <c r="I600" s="45"/>
      <c r="J600" s="45"/>
      <c r="K600" s="45"/>
      <c r="L600" s="944"/>
      <c r="M600" s="944"/>
      <c r="N600" s="944"/>
      <c r="O600" s="944"/>
      <c r="P600" s="944"/>
      <c r="Q600" s="944"/>
      <c r="R600" s="944"/>
      <c r="S600" s="944"/>
      <c r="T600" s="944"/>
      <c r="U600" s="944"/>
      <c r="V600" s="944"/>
      <c r="W600" s="944"/>
      <c r="X600" s="944"/>
      <c r="Y600" s="944"/>
      <c r="Z600" s="944"/>
      <c r="AA600" s="944"/>
      <c r="AB600" s="944"/>
      <c r="AC600" s="944"/>
      <c r="AD600" s="944"/>
      <c r="AE600" s="944"/>
      <c r="AF600" s="944"/>
      <c r="AG600" s="944"/>
      <c r="AH600" s="944"/>
      <c r="AI600" s="944"/>
      <c r="AJ600" s="944"/>
      <c r="AK600" s="944"/>
      <c r="AL600" s="944"/>
      <c r="AM600" s="944"/>
      <c r="AN600" s="944"/>
      <c r="AO600" s="944"/>
      <c r="AP600" s="944"/>
      <c r="AQ600" s="944"/>
      <c r="AR600" s="944"/>
      <c r="AS600" s="944"/>
      <c r="AT600" s="944"/>
      <c r="AU600" s="944"/>
      <c r="AV600" s="944"/>
      <c r="AW600" s="944"/>
      <c r="AX600" s="944"/>
      <c r="AY600" s="944"/>
      <c r="AZ600" s="944"/>
      <c r="BA600" s="944"/>
      <c r="BB600" s="944"/>
      <c r="BC600" s="944"/>
      <c r="BD600" s="944"/>
      <c r="BE600" s="944"/>
      <c r="BF600" s="944"/>
      <c r="BG600" s="944"/>
      <c r="BH600" s="944"/>
      <c r="BI600" s="944"/>
      <c r="BJ600" s="944"/>
      <c r="BK600" s="944"/>
      <c r="BL600" s="944"/>
      <c r="BM600" s="944"/>
      <c r="BN600" s="944"/>
      <c r="BO600" s="944"/>
      <c r="BP600" s="45"/>
    </row>
    <row r="601" spans="1:68" ht="14.25" customHeight="1" x14ac:dyDescent="0.3">
      <c r="A601" s="960"/>
      <c r="B601" s="960"/>
      <c r="C601" s="960"/>
      <c r="D601" s="944"/>
      <c r="E601" s="944"/>
      <c r="F601" s="45"/>
      <c r="G601" s="45"/>
      <c r="H601" s="45"/>
      <c r="I601" s="45"/>
      <c r="J601" s="45"/>
      <c r="K601" s="45"/>
      <c r="L601" s="944"/>
      <c r="M601" s="944"/>
      <c r="N601" s="944"/>
      <c r="O601" s="944"/>
      <c r="P601" s="944"/>
      <c r="Q601" s="944"/>
      <c r="R601" s="944"/>
      <c r="S601" s="944"/>
      <c r="T601" s="944"/>
      <c r="U601" s="944"/>
      <c r="V601" s="944"/>
      <c r="W601" s="944"/>
      <c r="X601" s="944"/>
      <c r="Y601" s="944"/>
      <c r="Z601" s="944"/>
      <c r="AA601" s="944"/>
      <c r="AB601" s="944"/>
      <c r="AC601" s="944"/>
      <c r="AD601" s="944"/>
      <c r="AE601" s="944"/>
      <c r="AF601" s="944"/>
      <c r="AG601" s="944"/>
      <c r="AH601" s="944"/>
      <c r="AI601" s="944"/>
      <c r="AJ601" s="944"/>
      <c r="AK601" s="944"/>
      <c r="AL601" s="944"/>
      <c r="AM601" s="944"/>
      <c r="AN601" s="944"/>
      <c r="AO601" s="944"/>
      <c r="AP601" s="944"/>
      <c r="AQ601" s="944"/>
      <c r="AR601" s="944"/>
      <c r="AS601" s="944"/>
      <c r="AT601" s="944"/>
      <c r="AU601" s="944"/>
      <c r="AV601" s="944"/>
      <c r="AW601" s="944"/>
      <c r="AX601" s="944"/>
      <c r="AY601" s="944"/>
      <c r="AZ601" s="944"/>
      <c r="BA601" s="944"/>
      <c r="BB601" s="944"/>
      <c r="BC601" s="944"/>
      <c r="BD601" s="944"/>
      <c r="BE601" s="944"/>
      <c r="BF601" s="944"/>
      <c r="BG601" s="944"/>
      <c r="BH601" s="944"/>
      <c r="BI601" s="944"/>
      <c r="BJ601" s="944"/>
      <c r="BK601" s="944"/>
      <c r="BL601" s="944"/>
      <c r="BM601" s="944"/>
      <c r="BN601" s="944"/>
      <c r="BO601" s="944"/>
      <c r="BP601" s="45"/>
    </row>
    <row r="602" spans="1:68" ht="14.25" customHeight="1" x14ac:dyDescent="0.3">
      <c r="A602" s="960"/>
      <c r="B602" s="960"/>
      <c r="C602" s="960"/>
      <c r="D602" s="944"/>
      <c r="E602" s="944"/>
      <c r="F602" s="45"/>
      <c r="G602" s="45"/>
      <c r="H602" s="45"/>
      <c r="I602" s="45"/>
      <c r="J602" s="45"/>
      <c r="K602" s="45"/>
      <c r="L602" s="944"/>
      <c r="M602" s="944"/>
      <c r="N602" s="944"/>
      <c r="O602" s="944"/>
      <c r="P602" s="944"/>
      <c r="Q602" s="944"/>
      <c r="R602" s="944"/>
      <c r="S602" s="944"/>
      <c r="T602" s="944"/>
      <c r="U602" s="944"/>
      <c r="V602" s="944"/>
      <c r="W602" s="944"/>
      <c r="X602" s="944"/>
      <c r="Y602" s="944"/>
      <c r="Z602" s="944"/>
      <c r="AA602" s="944"/>
      <c r="AB602" s="944"/>
      <c r="AC602" s="944"/>
      <c r="AD602" s="944"/>
      <c r="AE602" s="944"/>
      <c r="AF602" s="944"/>
      <c r="AG602" s="944"/>
      <c r="AH602" s="944"/>
      <c r="AI602" s="944"/>
      <c r="AJ602" s="944"/>
      <c r="AK602" s="944"/>
      <c r="AL602" s="944"/>
      <c r="AM602" s="944"/>
      <c r="AN602" s="944"/>
      <c r="AO602" s="944"/>
      <c r="AP602" s="944"/>
      <c r="AQ602" s="944"/>
      <c r="AR602" s="944"/>
      <c r="AS602" s="944"/>
      <c r="AT602" s="944"/>
      <c r="AU602" s="944"/>
      <c r="AV602" s="944"/>
      <c r="AW602" s="944"/>
      <c r="AX602" s="944"/>
      <c r="AY602" s="944"/>
      <c r="AZ602" s="944"/>
      <c r="BA602" s="944"/>
      <c r="BB602" s="944"/>
      <c r="BC602" s="944"/>
      <c r="BD602" s="944"/>
      <c r="BE602" s="944"/>
      <c r="BF602" s="944"/>
      <c r="BG602" s="944"/>
      <c r="BH602" s="944"/>
      <c r="BI602" s="944"/>
      <c r="BJ602" s="944"/>
      <c r="BK602" s="944"/>
      <c r="BL602" s="944"/>
      <c r="BM602" s="944"/>
      <c r="BN602" s="944"/>
      <c r="BO602" s="944"/>
      <c r="BP602" s="45"/>
    </row>
    <row r="603" spans="1:68" ht="14.25" customHeight="1" x14ac:dyDescent="0.3">
      <c r="A603" s="960"/>
      <c r="B603" s="960"/>
      <c r="C603" s="960"/>
      <c r="D603" s="944"/>
      <c r="E603" s="944"/>
      <c r="F603" s="45"/>
      <c r="G603" s="45"/>
      <c r="H603" s="45"/>
      <c r="I603" s="45"/>
      <c r="J603" s="45"/>
      <c r="K603" s="45"/>
      <c r="L603" s="944"/>
      <c r="M603" s="944"/>
      <c r="N603" s="944"/>
      <c r="O603" s="944"/>
      <c r="P603" s="944"/>
      <c r="Q603" s="944"/>
      <c r="R603" s="944"/>
      <c r="S603" s="944"/>
      <c r="T603" s="944"/>
      <c r="U603" s="944"/>
      <c r="V603" s="944"/>
      <c r="W603" s="944"/>
      <c r="X603" s="944"/>
      <c r="Y603" s="944"/>
      <c r="Z603" s="944"/>
      <c r="AA603" s="944"/>
      <c r="AB603" s="944"/>
      <c r="AC603" s="944"/>
      <c r="AD603" s="944"/>
      <c r="AE603" s="944"/>
      <c r="AF603" s="944"/>
      <c r="AG603" s="944"/>
      <c r="AH603" s="944"/>
      <c r="AI603" s="944"/>
      <c r="AJ603" s="944"/>
      <c r="AK603" s="944"/>
      <c r="AL603" s="944"/>
      <c r="AM603" s="944"/>
      <c r="AN603" s="944"/>
      <c r="AO603" s="944"/>
      <c r="AP603" s="944"/>
      <c r="AQ603" s="944"/>
      <c r="AR603" s="944"/>
      <c r="AS603" s="944"/>
      <c r="AT603" s="944"/>
      <c r="AU603" s="944"/>
      <c r="AV603" s="944"/>
      <c r="AW603" s="944"/>
      <c r="AX603" s="944"/>
      <c r="AY603" s="944"/>
      <c r="AZ603" s="944"/>
      <c r="BA603" s="944"/>
      <c r="BB603" s="944"/>
      <c r="BC603" s="944"/>
      <c r="BD603" s="944"/>
      <c r="BE603" s="944"/>
      <c r="BF603" s="944"/>
      <c r="BG603" s="944"/>
      <c r="BH603" s="944"/>
      <c r="BI603" s="944"/>
      <c r="BJ603" s="944"/>
      <c r="BK603" s="944"/>
      <c r="BL603" s="944"/>
      <c r="BM603" s="944"/>
      <c r="BN603" s="944"/>
      <c r="BO603" s="944"/>
      <c r="BP603" s="45"/>
    </row>
    <row r="604" spans="1:68" ht="14.25" customHeight="1" x14ac:dyDescent="0.3">
      <c r="A604" s="960"/>
      <c r="B604" s="960"/>
      <c r="C604" s="960"/>
      <c r="D604" s="944"/>
      <c r="E604" s="944"/>
      <c r="F604" s="45"/>
      <c r="G604" s="45"/>
      <c r="H604" s="45"/>
      <c r="I604" s="45"/>
      <c r="J604" s="45"/>
      <c r="K604" s="45"/>
      <c r="L604" s="944"/>
      <c r="M604" s="944"/>
      <c r="N604" s="944"/>
      <c r="O604" s="944"/>
      <c r="P604" s="944"/>
      <c r="Q604" s="944"/>
      <c r="R604" s="944"/>
      <c r="S604" s="944"/>
      <c r="T604" s="944"/>
      <c r="U604" s="944"/>
      <c r="V604" s="944"/>
      <c r="W604" s="944"/>
      <c r="X604" s="944"/>
      <c r="Y604" s="944"/>
      <c r="Z604" s="944"/>
      <c r="AA604" s="944"/>
      <c r="AB604" s="944"/>
      <c r="AC604" s="944"/>
      <c r="AD604" s="944"/>
      <c r="AE604" s="944"/>
      <c r="AF604" s="944"/>
      <c r="AG604" s="944"/>
      <c r="AH604" s="944"/>
      <c r="AI604" s="944"/>
      <c r="AJ604" s="944"/>
      <c r="AK604" s="944"/>
      <c r="AL604" s="944"/>
      <c r="AM604" s="944"/>
      <c r="AN604" s="944"/>
      <c r="AO604" s="944"/>
      <c r="AP604" s="944"/>
      <c r="AQ604" s="944"/>
      <c r="AR604" s="944"/>
      <c r="AS604" s="944"/>
      <c r="AT604" s="944"/>
      <c r="AU604" s="944"/>
      <c r="AV604" s="944"/>
      <c r="AW604" s="944"/>
      <c r="AX604" s="944"/>
      <c r="AY604" s="944"/>
      <c r="AZ604" s="944"/>
      <c r="BA604" s="944"/>
      <c r="BB604" s="944"/>
      <c r="BC604" s="944"/>
      <c r="BD604" s="944"/>
      <c r="BE604" s="944"/>
      <c r="BF604" s="944"/>
      <c r="BG604" s="944"/>
      <c r="BH604" s="944"/>
      <c r="BI604" s="944"/>
      <c r="BJ604" s="944"/>
      <c r="BK604" s="944"/>
      <c r="BL604" s="944"/>
      <c r="BM604" s="944"/>
      <c r="BN604" s="944"/>
      <c r="BO604" s="944"/>
      <c r="BP604" s="45"/>
    </row>
    <row r="605" spans="1:68" ht="14.25" customHeight="1" x14ac:dyDescent="0.3">
      <c r="A605" s="960"/>
      <c r="B605" s="960"/>
      <c r="C605" s="960"/>
      <c r="D605" s="944"/>
      <c r="E605" s="944"/>
      <c r="F605" s="45"/>
      <c r="G605" s="45"/>
      <c r="H605" s="45"/>
      <c r="I605" s="45"/>
      <c r="J605" s="45"/>
      <c r="K605" s="45"/>
      <c r="L605" s="944"/>
      <c r="M605" s="944"/>
      <c r="N605" s="944"/>
      <c r="O605" s="944"/>
      <c r="P605" s="944"/>
      <c r="Q605" s="944"/>
      <c r="R605" s="944"/>
      <c r="S605" s="944"/>
      <c r="T605" s="944"/>
      <c r="U605" s="944"/>
      <c r="V605" s="944"/>
      <c r="W605" s="944"/>
      <c r="X605" s="944"/>
      <c r="Y605" s="944"/>
      <c r="Z605" s="944"/>
      <c r="AA605" s="944"/>
      <c r="AB605" s="944"/>
      <c r="AC605" s="944"/>
      <c r="AD605" s="944"/>
      <c r="AE605" s="944"/>
      <c r="AF605" s="944"/>
      <c r="AG605" s="944"/>
      <c r="AH605" s="944"/>
      <c r="AI605" s="944"/>
      <c r="AJ605" s="944"/>
      <c r="AK605" s="944"/>
      <c r="AL605" s="944"/>
      <c r="AM605" s="944"/>
      <c r="AN605" s="944"/>
      <c r="AO605" s="944"/>
      <c r="AP605" s="944"/>
      <c r="AQ605" s="944"/>
      <c r="AR605" s="944"/>
      <c r="AS605" s="944"/>
      <c r="AT605" s="944"/>
      <c r="AU605" s="944"/>
      <c r="AV605" s="944"/>
      <c r="AW605" s="944"/>
      <c r="AX605" s="944"/>
      <c r="AY605" s="944"/>
      <c r="AZ605" s="944"/>
      <c r="BA605" s="944"/>
      <c r="BB605" s="944"/>
      <c r="BC605" s="944"/>
      <c r="BD605" s="944"/>
      <c r="BE605" s="944"/>
      <c r="BF605" s="944"/>
      <c r="BG605" s="944"/>
      <c r="BH605" s="944"/>
      <c r="BI605" s="944"/>
      <c r="BJ605" s="944"/>
      <c r="BK605" s="944"/>
      <c r="BL605" s="944"/>
      <c r="BM605" s="944"/>
      <c r="BN605" s="944"/>
      <c r="BO605" s="944"/>
      <c r="BP605" s="45"/>
    </row>
    <row r="606" spans="1:68" ht="14.25" customHeight="1" x14ac:dyDescent="0.3">
      <c r="A606" s="960"/>
      <c r="B606" s="960"/>
      <c r="C606" s="960"/>
      <c r="D606" s="944"/>
      <c r="E606" s="944"/>
      <c r="F606" s="45"/>
      <c r="G606" s="45"/>
      <c r="H606" s="45"/>
      <c r="I606" s="45"/>
      <c r="J606" s="45"/>
      <c r="K606" s="45"/>
      <c r="L606" s="944"/>
      <c r="M606" s="944"/>
      <c r="N606" s="944"/>
      <c r="O606" s="944"/>
      <c r="P606" s="944"/>
      <c r="Q606" s="944"/>
      <c r="R606" s="944"/>
      <c r="S606" s="944"/>
      <c r="T606" s="944"/>
      <c r="U606" s="944"/>
      <c r="V606" s="944"/>
      <c r="W606" s="944"/>
      <c r="X606" s="944"/>
      <c r="Y606" s="944"/>
      <c r="Z606" s="944"/>
      <c r="AA606" s="944"/>
      <c r="AB606" s="944"/>
      <c r="AC606" s="944"/>
      <c r="AD606" s="944"/>
      <c r="AE606" s="944"/>
      <c r="AF606" s="944"/>
      <c r="AG606" s="944"/>
      <c r="AH606" s="944"/>
      <c r="AI606" s="944"/>
      <c r="AJ606" s="944"/>
      <c r="AK606" s="944"/>
      <c r="AL606" s="944"/>
      <c r="AM606" s="944"/>
      <c r="AN606" s="944"/>
      <c r="AO606" s="944"/>
      <c r="AP606" s="944"/>
      <c r="AQ606" s="944"/>
      <c r="AR606" s="944"/>
      <c r="AS606" s="944"/>
      <c r="AT606" s="944"/>
      <c r="AU606" s="944"/>
      <c r="AV606" s="944"/>
      <c r="AW606" s="944"/>
      <c r="AX606" s="944"/>
      <c r="AY606" s="944"/>
      <c r="AZ606" s="944"/>
      <c r="BA606" s="944"/>
      <c r="BB606" s="944"/>
      <c r="BC606" s="944"/>
      <c r="BD606" s="944"/>
      <c r="BE606" s="944"/>
      <c r="BF606" s="944"/>
      <c r="BG606" s="944"/>
      <c r="BH606" s="944"/>
      <c r="BI606" s="944"/>
      <c r="BJ606" s="944"/>
      <c r="BK606" s="944"/>
      <c r="BL606" s="944"/>
      <c r="BM606" s="944"/>
      <c r="BN606" s="944"/>
      <c r="BO606" s="944"/>
      <c r="BP606" s="45"/>
    </row>
    <row r="607" spans="1:68" ht="14.25" customHeight="1" x14ac:dyDescent="0.3">
      <c r="A607" s="960"/>
      <c r="B607" s="960"/>
      <c r="C607" s="960"/>
      <c r="D607" s="944"/>
      <c r="E607" s="944"/>
      <c r="F607" s="45"/>
      <c r="G607" s="45"/>
      <c r="H607" s="45"/>
      <c r="I607" s="45"/>
      <c r="J607" s="45"/>
      <c r="K607" s="45"/>
      <c r="L607" s="944"/>
      <c r="M607" s="944"/>
      <c r="N607" s="944"/>
      <c r="O607" s="944"/>
      <c r="P607" s="944"/>
      <c r="Q607" s="944"/>
      <c r="R607" s="944"/>
      <c r="S607" s="944"/>
      <c r="T607" s="944"/>
      <c r="U607" s="944"/>
      <c r="V607" s="944"/>
      <c r="W607" s="944"/>
      <c r="X607" s="944"/>
      <c r="Y607" s="944"/>
      <c r="Z607" s="944"/>
      <c r="AA607" s="944"/>
      <c r="AB607" s="944"/>
      <c r="AC607" s="944"/>
      <c r="AD607" s="944"/>
      <c r="AE607" s="944"/>
      <c r="AF607" s="944"/>
      <c r="AG607" s="944"/>
      <c r="AH607" s="944"/>
      <c r="AI607" s="944"/>
      <c r="AJ607" s="944"/>
      <c r="AK607" s="944"/>
      <c r="AL607" s="944"/>
      <c r="AM607" s="944"/>
      <c r="AN607" s="944"/>
      <c r="AO607" s="944"/>
      <c r="AP607" s="944"/>
      <c r="AQ607" s="944"/>
      <c r="AR607" s="944"/>
      <c r="AS607" s="944"/>
      <c r="AT607" s="944"/>
      <c r="AU607" s="944"/>
      <c r="AV607" s="944"/>
      <c r="AW607" s="944"/>
      <c r="AX607" s="944"/>
      <c r="AY607" s="944"/>
      <c r="AZ607" s="944"/>
      <c r="BA607" s="944"/>
      <c r="BB607" s="944"/>
      <c r="BC607" s="944"/>
      <c r="BD607" s="944"/>
      <c r="BE607" s="944"/>
      <c r="BF607" s="944"/>
      <c r="BG607" s="944"/>
      <c r="BH607" s="944"/>
      <c r="BI607" s="944"/>
      <c r="BJ607" s="944"/>
      <c r="BK607" s="944"/>
      <c r="BL607" s="944"/>
      <c r="BM607" s="944"/>
      <c r="BN607" s="944"/>
      <c r="BO607" s="944"/>
      <c r="BP607" s="45"/>
    </row>
    <row r="608" spans="1:68" ht="14.25" customHeight="1" x14ac:dyDescent="0.3">
      <c r="A608" s="960"/>
      <c r="B608" s="960"/>
      <c r="C608" s="960"/>
      <c r="D608" s="944"/>
      <c r="E608" s="944"/>
      <c r="F608" s="45"/>
      <c r="G608" s="45"/>
      <c r="H608" s="45"/>
      <c r="I608" s="45"/>
      <c r="J608" s="45"/>
      <c r="K608" s="45"/>
      <c r="L608" s="944"/>
      <c r="M608" s="944"/>
      <c r="N608" s="944"/>
      <c r="O608" s="944"/>
      <c r="P608" s="944"/>
      <c r="Q608" s="944"/>
      <c r="R608" s="944"/>
      <c r="S608" s="944"/>
      <c r="T608" s="944"/>
      <c r="U608" s="944"/>
      <c r="V608" s="944"/>
      <c r="W608" s="944"/>
      <c r="X608" s="944"/>
      <c r="Y608" s="944"/>
      <c r="Z608" s="944"/>
      <c r="AA608" s="944"/>
      <c r="AB608" s="944"/>
      <c r="AC608" s="944"/>
      <c r="AD608" s="944"/>
      <c r="AE608" s="944"/>
      <c r="AF608" s="944"/>
      <c r="AG608" s="944"/>
      <c r="AH608" s="944"/>
      <c r="AI608" s="944"/>
      <c r="AJ608" s="944"/>
      <c r="AK608" s="944"/>
      <c r="AL608" s="944"/>
      <c r="AM608" s="944"/>
      <c r="AN608" s="944"/>
      <c r="AO608" s="944"/>
      <c r="AP608" s="944"/>
      <c r="AQ608" s="944"/>
      <c r="AR608" s="944"/>
      <c r="AS608" s="944"/>
      <c r="AT608" s="944"/>
      <c r="AU608" s="944"/>
      <c r="AV608" s="944"/>
      <c r="AW608" s="944"/>
      <c r="AX608" s="944"/>
      <c r="AY608" s="944"/>
      <c r="AZ608" s="944"/>
      <c r="BA608" s="944"/>
      <c r="BB608" s="944"/>
      <c r="BC608" s="944"/>
      <c r="BD608" s="944"/>
      <c r="BE608" s="944"/>
      <c r="BF608" s="944"/>
      <c r="BG608" s="944"/>
      <c r="BH608" s="944"/>
      <c r="BI608" s="944"/>
      <c r="BJ608" s="944"/>
      <c r="BK608" s="944"/>
      <c r="BL608" s="944"/>
      <c r="BM608" s="944"/>
      <c r="BN608" s="944"/>
      <c r="BO608" s="944"/>
      <c r="BP608" s="45"/>
    </row>
    <row r="609" spans="1:68" ht="14.25" customHeight="1" x14ac:dyDescent="0.3">
      <c r="A609" s="960"/>
      <c r="B609" s="960"/>
      <c r="C609" s="960"/>
      <c r="D609" s="944"/>
      <c r="E609" s="944"/>
      <c r="F609" s="45"/>
      <c r="G609" s="45"/>
      <c r="H609" s="45"/>
      <c r="I609" s="45"/>
      <c r="J609" s="45"/>
      <c r="K609" s="45"/>
      <c r="L609" s="944"/>
      <c r="M609" s="944"/>
      <c r="N609" s="944"/>
      <c r="O609" s="944"/>
      <c r="P609" s="944"/>
      <c r="Q609" s="944"/>
      <c r="R609" s="944"/>
      <c r="S609" s="944"/>
      <c r="T609" s="944"/>
      <c r="U609" s="944"/>
      <c r="V609" s="944"/>
      <c r="W609" s="944"/>
      <c r="X609" s="944"/>
      <c r="Y609" s="944"/>
      <c r="Z609" s="944"/>
      <c r="AA609" s="944"/>
      <c r="AB609" s="944"/>
      <c r="AC609" s="944"/>
      <c r="AD609" s="944"/>
      <c r="AE609" s="944"/>
      <c r="AF609" s="944"/>
      <c r="AG609" s="944"/>
      <c r="AH609" s="944"/>
      <c r="AI609" s="944"/>
      <c r="AJ609" s="944"/>
      <c r="AK609" s="944"/>
      <c r="AL609" s="944"/>
      <c r="AM609" s="944"/>
      <c r="AN609" s="944"/>
      <c r="AO609" s="944"/>
      <c r="AP609" s="944"/>
      <c r="AQ609" s="944"/>
      <c r="AR609" s="944"/>
      <c r="AS609" s="944"/>
      <c r="AT609" s="944"/>
      <c r="AU609" s="944"/>
      <c r="AV609" s="944"/>
      <c r="AW609" s="944"/>
      <c r="AX609" s="944"/>
      <c r="AY609" s="944"/>
      <c r="AZ609" s="944"/>
      <c r="BA609" s="944"/>
      <c r="BB609" s="944"/>
      <c r="BC609" s="944"/>
      <c r="BD609" s="944"/>
      <c r="BE609" s="944"/>
      <c r="BF609" s="944"/>
      <c r="BG609" s="944"/>
      <c r="BH609" s="944"/>
      <c r="BI609" s="944"/>
      <c r="BJ609" s="944"/>
      <c r="BK609" s="944"/>
      <c r="BL609" s="944"/>
      <c r="BM609" s="944"/>
      <c r="BN609" s="944"/>
      <c r="BO609" s="944"/>
      <c r="BP609" s="45"/>
    </row>
    <row r="610" spans="1:68" ht="14.25" customHeight="1" x14ac:dyDescent="0.3">
      <c r="A610" s="960"/>
      <c r="B610" s="960"/>
      <c r="C610" s="960"/>
      <c r="D610" s="944"/>
      <c r="E610" s="944"/>
      <c r="F610" s="45"/>
      <c r="G610" s="45"/>
      <c r="H610" s="45"/>
      <c r="I610" s="45"/>
      <c r="J610" s="45"/>
      <c r="K610" s="45"/>
      <c r="L610" s="944"/>
      <c r="M610" s="944"/>
      <c r="N610" s="944"/>
      <c r="O610" s="944"/>
      <c r="P610" s="944"/>
      <c r="Q610" s="944"/>
      <c r="R610" s="944"/>
      <c r="S610" s="944"/>
      <c r="T610" s="944"/>
      <c r="U610" s="944"/>
      <c r="V610" s="944"/>
      <c r="W610" s="944"/>
      <c r="X610" s="944"/>
      <c r="Y610" s="944"/>
      <c r="Z610" s="944"/>
      <c r="AA610" s="944"/>
      <c r="AB610" s="944"/>
      <c r="AC610" s="944"/>
      <c r="AD610" s="944"/>
      <c r="AE610" s="944"/>
      <c r="AF610" s="944"/>
      <c r="AG610" s="944"/>
      <c r="AH610" s="944"/>
      <c r="AI610" s="944"/>
      <c r="AJ610" s="944"/>
      <c r="AK610" s="944"/>
      <c r="AL610" s="944"/>
      <c r="AM610" s="944"/>
      <c r="AN610" s="944"/>
      <c r="AO610" s="944"/>
      <c r="AP610" s="944"/>
      <c r="AQ610" s="944"/>
      <c r="AR610" s="944"/>
      <c r="AS610" s="944"/>
      <c r="AT610" s="944"/>
      <c r="AU610" s="944"/>
      <c r="AV610" s="944"/>
      <c r="AW610" s="944"/>
      <c r="AX610" s="944"/>
      <c r="AY610" s="944"/>
      <c r="AZ610" s="944"/>
      <c r="BA610" s="944"/>
      <c r="BB610" s="944"/>
      <c r="BC610" s="944"/>
      <c r="BD610" s="944"/>
      <c r="BE610" s="944"/>
      <c r="BF610" s="944"/>
      <c r="BG610" s="944"/>
      <c r="BH610" s="944"/>
      <c r="BI610" s="944"/>
      <c r="BJ610" s="944"/>
      <c r="BK610" s="944"/>
      <c r="BL610" s="944"/>
      <c r="BM610" s="944"/>
      <c r="BN610" s="944"/>
      <c r="BO610" s="944"/>
      <c r="BP610" s="45"/>
    </row>
    <row r="611" spans="1:68" ht="14.25" customHeight="1" x14ac:dyDescent="0.3">
      <c r="A611" s="960"/>
      <c r="B611" s="960"/>
      <c r="C611" s="960"/>
      <c r="D611" s="944"/>
      <c r="E611" s="944"/>
      <c r="F611" s="45"/>
      <c r="G611" s="45"/>
      <c r="H611" s="45"/>
      <c r="I611" s="45"/>
      <c r="J611" s="45"/>
      <c r="K611" s="45"/>
      <c r="L611" s="944"/>
      <c r="M611" s="944"/>
      <c r="N611" s="944"/>
      <c r="O611" s="944"/>
      <c r="P611" s="944"/>
      <c r="Q611" s="944"/>
      <c r="R611" s="944"/>
      <c r="S611" s="944"/>
      <c r="T611" s="944"/>
      <c r="U611" s="944"/>
      <c r="V611" s="944"/>
      <c r="W611" s="944"/>
      <c r="X611" s="944"/>
      <c r="Y611" s="944"/>
      <c r="Z611" s="944"/>
      <c r="AA611" s="944"/>
      <c r="AB611" s="944"/>
      <c r="AC611" s="944"/>
      <c r="AD611" s="944"/>
      <c r="AE611" s="944"/>
      <c r="AF611" s="944"/>
      <c r="AG611" s="944"/>
      <c r="AH611" s="944"/>
      <c r="AI611" s="944"/>
      <c r="AJ611" s="944"/>
      <c r="AK611" s="944"/>
      <c r="AL611" s="944"/>
      <c r="AM611" s="944"/>
      <c r="AN611" s="944"/>
      <c r="AO611" s="944"/>
      <c r="AP611" s="944"/>
      <c r="AQ611" s="944"/>
      <c r="AR611" s="944"/>
      <c r="AS611" s="944"/>
      <c r="AT611" s="944"/>
      <c r="AU611" s="944"/>
      <c r="AV611" s="944"/>
      <c r="AW611" s="944"/>
      <c r="AX611" s="944"/>
      <c r="AY611" s="944"/>
      <c r="AZ611" s="944"/>
      <c r="BA611" s="944"/>
      <c r="BB611" s="944"/>
      <c r="BC611" s="944"/>
      <c r="BD611" s="944"/>
      <c r="BE611" s="944"/>
      <c r="BF611" s="944"/>
      <c r="BG611" s="944"/>
      <c r="BH611" s="944"/>
      <c r="BI611" s="944"/>
      <c r="BJ611" s="944"/>
      <c r="BK611" s="944"/>
      <c r="BL611" s="944"/>
      <c r="BM611" s="944"/>
      <c r="BN611" s="944"/>
      <c r="BO611" s="944"/>
      <c r="BP611" s="45"/>
    </row>
    <row r="612" spans="1:68" ht="14.25" customHeight="1" x14ac:dyDescent="0.3">
      <c r="A612" s="960"/>
      <c r="B612" s="960"/>
      <c r="C612" s="960"/>
      <c r="D612" s="944"/>
      <c r="E612" s="944"/>
      <c r="F612" s="45"/>
      <c r="G612" s="45"/>
      <c r="H612" s="45"/>
      <c r="I612" s="45"/>
      <c r="J612" s="45"/>
      <c r="K612" s="45"/>
      <c r="L612" s="944"/>
      <c r="M612" s="944"/>
      <c r="N612" s="944"/>
      <c r="O612" s="944"/>
      <c r="P612" s="944"/>
      <c r="Q612" s="944"/>
      <c r="R612" s="944"/>
      <c r="S612" s="944"/>
      <c r="T612" s="944"/>
      <c r="U612" s="944"/>
      <c r="V612" s="944"/>
      <c r="W612" s="944"/>
      <c r="X612" s="944"/>
      <c r="Y612" s="944"/>
      <c r="Z612" s="944"/>
      <c r="AA612" s="944"/>
      <c r="AB612" s="944"/>
      <c r="AC612" s="944"/>
      <c r="AD612" s="944"/>
      <c r="AE612" s="944"/>
      <c r="AF612" s="944"/>
      <c r="AG612" s="944"/>
      <c r="AH612" s="944"/>
      <c r="AI612" s="944"/>
      <c r="AJ612" s="944"/>
      <c r="AK612" s="944"/>
      <c r="AL612" s="944"/>
      <c r="AM612" s="944"/>
      <c r="AN612" s="944"/>
      <c r="AO612" s="944"/>
      <c r="AP612" s="944"/>
      <c r="AQ612" s="944"/>
      <c r="AR612" s="944"/>
      <c r="AS612" s="944"/>
      <c r="AT612" s="944"/>
      <c r="AU612" s="944"/>
      <c r="AV612" s="944"/>
      <c r="AW612" s="944"/>
      <c r="AX612" s="944"/>
      <c r="AY612" s="944"/>
      <c r="AZ612" s="944"/>
      <c r="BA612" s="944"/>
      <c r="BB612" s="944"/>
      <c r="BC612" s="944"/>
      <c r="BD612" s="944"/>
      <c r="BE612" s="944"/>
      <c r="BF612" s="944"/>
      <c r="BG612" s="944"/>
      <c r="BH612" s="944"/>
      <c r="BI612" s="944"/>
      <c r="BJ612" s="944"/>
      <c r="BK612" s="944"/>
      <c r="BL612" s="944"/>
      <c r="BM612" s="944"/>
      <c r="BN612" s="944"/>
      <c r="BO612" s="944"/>
      <c r="BP612" s="45"/>
    </row>
    <row r="613" spans="1:68" ht="14.25" customHeight="1" x14ac:dyDescent="0.3">
      <c r="A613" s="960"/>
      <c r="B613" s="960"/>
      <c r="C613" s="960"/>
      <c r="D613" s="944"/>
      <c r="E613" s="944"/>
      <c r="F613" s="45"/>
      <c r="G613" s="45"/>
      <c r="H613" s="45"/>
      <c r="I613" s="45"/>
      <c r="J613" s="45"/>
      <c r="K613" s="45"/>
      <c r="L613" s="944"/>
      <c r="M613" s="944"/>
      <c r="N613" s="944"/>
      <c r="O613" s="944"/>
      <c r="P613" s="944"/>
      <c r="Q613" s="944"/>
      <c r="R613" s="944"/>
      <c r="S613" s="944"/>
      <c r="T613" s="944"/>
      <c r="U613" s="944"/>
      <c r="V613" s="944"/>
      <c r="W613" s="944"/>
      <c r="X613" s="944"/>
      <c r="Y613" s="944"/>
      <c r="Z613" s="944"/>
      <c r="AA613" s="944"/>
      <c r="AB613" s="944"/>
      <c r="AC613" s="944"/>
      <c r="AD613" s="944"/>
      <c r="AE613" s="944"/>
      <c r="AF613" s="944"/>
      <c r="AG613" s="944"/>
      <c r="AH613" s="944"/>
      <c r="AI613" s="944"/>
      <c r="AJ613" s="944"/>
      <c r="AK613" s="944"/>
      <c r="AL613" s="944"/>
      <c r="AM613" s="944"/>
      <c r="AN613" s="944"/>
      <c r="AO613" s="944"/>
      <c r="AP613" s="944"/>
      <c r="AQ613" s="944"/>
      <c r="AR613" s="944"/>
      <c r="AS613" s="944"/>
      <c r="AT613" s="944"/>
      <c r="AU613" s="944"/>
      <c r="AV613" s="944"/>
      <c r="AW613" s="944"/>
      <c r="AX613" s="944"/>
      <c r="AY613" s="944"/>
      <c r="AZ613" s="944"/>
      <c r="BA613" s="944"/>
      <c r="BB613" s="944"/>
      <c r="BC613" s="944"/>
      <c r="BD613" s="944"/>
      <c r="BE613" s="944"/>
      <c r="BF613" s="944"/>
      <c r="BG613" s="944"/>
      <c r="BH613" s="944"/>
      <c r="BI613" s="944"/>
      <c r="BJ613" s="944"/>
      <c r="BK613" s="944"/>
      <c r="BL613" s="944"/>
      <c r="BM613" s="944"/>
      <c r="BN613" s="944"/>
      <c r="BO613" s="944"/>
      <c r="BP613" s="45"/>
    </row>
    <row r="614" spans="1:68" ht="14.25" customHeight="1" x14ac:dyDescent="0.3">
      <c r="A614" s="960"/>
      <c r="B614" s="960"/>
      <c r="C614" s="960"/>
      <c r="D614" s="944"/>
      <c r="E614" s="944"/>
      <c r="F614" s="45"/>
      <c r="G614" s="45"/>
      <c r="H614" s="45"/>
      <c r="I614" s="45"/>
      <c r="J614" s="45"/>
      <c r="K614" s="45"/>
      <c r="L614" s="944"/>
      <c r="M614" s="944"/>
      <c r="N614" s="944"/>
      <c r="O614" s="944"/>
      <c r="P614" s="944"/>
      <c r="Q614" s="944"/>
      <c r="R614" s="944"/>
      <c r="S614" s="944"/>
      <c r="T614" s="944"/>
      <c r="U614" s="944"/>
      <c r="V614" s="944"/>
      <c r="W614" s="944"/>
      <c r="X614" s="944"/>
      <c r="Y614" s="944"/>
      <c r="Z614" s="944"/>
      <c r="AA614" s="944"/>
      <c r="AB614" s="944"/>
      <c r="AC614" s="944"/>
      <c r="AD614" s="944"/>
      <c r="AE614" s="944"/>
      <c r="AF614" s="944"/>
      <c r="AG614" s="944"/>
      <c r="AH614" s="944"/>
      <c r="AI614" s="944"/>
      <c r="AJ614" s="944"/>
      <c r="AK614" s="944"/>
      <c r="AL614" s="944"/>
      <c r="AM614" s="944"/>
      <c r="AN614" s="944"/>
      <c r="AO614" s="944"/>
      <c r="AP614" s="944"/>
      <c r="AQ614" s="944"/>
      <c r="AR614" s="944"/>
      <c r="AS614" s="944"/>
      <c r="AT614" s="944"/>
      <c r="AU614" s="944"/>
      <c r="AV614" s="944"/>
      <c r="AW614" s="944"/>
      <c r="AX614" s="944"/>
      <c r="AY614" s="944"/>
      <c r="AZ614" s="944"/>
      <c r="BA614" s="944"/>
      <c r="BB614" s="944"/>
      <c r="BC614" s="944"/>
      <c r="BD614" s="944"/>
      <c r="BE614" s="944"/>
      <c r="BF614" s="944"/>
      <c r="BG614" s="944"/>
      <c r="BH614" s="944"/>
      <c r="BI614" s="944"/>
      <c r="BJ614" s="944"/>
      <c r="BK614" s="944"/>
      <c r="BL614" s="944"/>
      <c r="BM614" s="944"/>
      <c r="BN614" s="944"/>
      <c r="BO614" s="944"/>
      <c r="BP614" s="45"/>
    </row>
    <row r="615" spans="1:68" ht="14.25" customHeight="1" x14ac:dyDescent="0.3">
      <c r="A615" s="960"/>
      <c r="B615" s="960"/>
      <c r="C615" s="960"/>
      <c r="D615" s="944"/>
      <c r="E615" s="944"/>
      <c r="F615" s="45"/>
      <c r="G615" s="45"/>
      <c r="H615" s="45"/>
      <c r="I615" s="45"/>
      <c r="J615" s="45"/>
      <c r="K615" s="45"/>
      <c r="L615" s="944"/>
      <c r="M615" s="944"/>
      <c r="N615" s="944"/>
      <c r="O615" s="944"/>
      <c r="P615" s="944"/>
      <c r="Q615" s="944"/>
      <c r="R615" s="944"/>
      <c r="S615" s="944"/>
      <c r="T615" s="944"/>
      <c r="U615" s="944"/>
      <c r="V615" s="944"/>
      <c r="W615" s="944"/>
      <c r="X615" s="944"/>
      <c r="Y615" s="944"/>
      <c r="Z615" s="944"/>
      <c r="AA615" s="944"/>
      <c r="AB615" s="944"/>
      <c r="AC615" s="944"/>
      <c r="AD615" s="944"/>
      <c r="AE615" s="944"/>
      <c r="AF615" s="944"/>
      <c r="AG615" s="944"/>
      <c r="AH615" s="944"/>
      <c r="AI615" s="944"/>
      <c r="AJ615" s="944"/>
      <c r="AK615" s="944"/>
      <c r="AL615" s="944"/>
      <c r="AM615" s="944"/>
      <c r="AN615" s="944"/>
      <c r="AO615" s="944"/>
      <c r="AP615" s="944"/>
      <c r="AQ615" s="944"/>
      <c r="AR615" s="944"/>
      <c r="AS615" s="944"/>
      <c r="AT615" s="944"/>
      <c r="AU615" s="944"/>
      <c r="AV615" s="944"/>
      <c r="AW615" s="944"/>
      <c r="AX615" s="944"/>
      <c r="AY615" s="944"/>
      <c r="AZ615" s="944"/>
      <c r="BA615" s="944"/>
      <c r="BB615" s="944"/>
      <c r="BC615" s="944"/>
      <c r="BD615" s="944"/>
      <c r="BE615" s="944"/>
      <c r="BF615" s="944"/>
      <c r="BG615" s="944"/>
      <c r="BH615" s="944"/>
      <c r="BI615" s="944"/>
      <c r="BJ615" s="944"/>
      <c r="BK615" s="944"/>
      <c r="BL615" s="944"/>
      <c r="BM615" s="944"/>
      <c r="BN615" s="944"/>
      <c r="BO615" s="944"/>
      <c r="BP615" s="45"/>
    </row>
    <row r="616" spans="1:68" ht="14.25" customHeight="1" x14ac:dyDescent="0.3">
      <c r="A616" s="960"/>
      <c r="B616" s="960"/>
      <c r="C616" s="960"/>
      <c r="D616" s="944"/>
      <c r="E616" s="944"/>
      <c r="F616" s="45"/>
      <c r="G616" s="45"/>
      <c r="H616" s="45"/>
      <c r="I616" s="45"/>
      <c r="J616" s="45"/>
      <c r="K616" s="45"/>
      <c r="L616" s="944"/>
      <c r="M616" s="944"/>
      <c r="N616" s="944"/>
      <c r="O616" s="944"/>
      <c r="P616" s="944"/>
      <c r="Q616" s="944"/>
      <c r="R616" s="944"/>
      <c r="S616" s="944"/>
      <c r="T616" s="944"/>
      <c r="U616" s="944"/>
      <c r="V616" s="944"/>
      <c r="W616" s="944"/>
      <c r="X616" s="944"/>
      <c r="Y616" s="944"/>
      <c r="Z616" s="944"/>
      <c r="AA616" s="944"/>
      <c r="AB616" s="944"/>
      <c r="AC616" s="944"/>
      <c r="AD616" s="944"/>
      <c r="AE616" s="944"/>
      <c r="AF616" s="944"/>
      <c r="AG616" s="944"/>
      <c r="AH616" s="944"/>
      <c r="AI616" s="944"/>
      <c r="AJ616" s="944"/>
      <c r="AK616" s="944"/>
      <c r="AL616" s="944"/>
      <c r="AM616" s="944"/>
      <c r="AN616" s="944"/>
      <c r="AO616" s="944"/>
      <c r="AP616" s="944"/>
      <c r="AQ616" s="944"/>
      <c r="AR616" s="944"/>
      <c r="AS616" s="944"/>
      <c r="AT616" s="944"/>
      <c r="AU616" s="944"/>
      <c r="AV616" s="944"/>
      <c r="AW616" s="944"/>
      <c r="AX616" s="944"/>
      <c r="AY616" s="944"/>
      <c r="AZ616" s="944"/>
      <c r="BA616" s="944"/>
      <c r="BB616" s="944"/>
      <c r="BC616" s="944"/>
      <c r="BD616" s="944"/>
      <c r="BE616" s="944"/>
      <c r="BF616" s="944"/>
      <c r="BG616" s="944"/>
      <c r="BH616" s="944"/>
      <c r="BI616" s="944"/>
      <c r="BJ616" s="944"/>
      <c r="BK616" s="944"/>
      <c r="BL616" s="944"/>
      <c r="BM616" s="944"/>
      <c r="BN616" s="944"/>
      <c r="BO616" s="944"/>
      <c r="BP616" s="45"/>
    </row>
    <row r="617" spans="1:68" ht="14.25" customHeight="1" x14ac:dyDescent="0.3">
      <c r="A617" s="960"/>
      <c r="B617" s="960"/>
      <c r="C617" s="960"/>
      <c r="D617" s="944"/>
      <c r="E617" s="944"/>
      <c r="F617" s="45"/>
      <c r="G617" s="45"/>
      <c r="H617" s="45"/>
      <c r="I617" s="45"/>
      <c r="J617" s="45"/>
      <c r="K617" s="45"/>
      <c r="L617" s="944"/>
      <c r="M617" s="944"/>
      <c r="N617" s="944"/>
      <c r="O617" s="944"/>
      <c r="P617" s="944"/>
      <c r="Q617" s="944"/>
      <c r="R617" s="944"/>
      <c r="S617" s="944"/>
      <c r="T617" s="944"/>
      <c r="U617" s="944"/>
      <c r="V617" s="944"/>
      <c r="W617" s="944"/>
      <c r="X617" s="944"/>
      <c r="Y617" s="944"/>
      <c r="Z617" s="944"/>
      <c r="AA617" s="944"/>
      <c r="AB617" s="944"/>
      <c r="AC617" s="944"/>
      <c r="AD617" s="944"/>
      <c r="AE617" s="944"/>
      <c r="AF617" s="944"/>
      <c r="AG617" s="944"/>
      <c r="AH617" s="944"/>
      <c r="AI617" s="944"/>
      <c r="AJ617" s="944"/>
      <c r="AK617" s="944"/>
      <c r="AL617" s="944"/>
      <c r="AM617" s="944"/>
      <c r="AN617" s="944"/>
      <c r="AO617" s="944"/>
      <c r="AP617" s="944"/>
      <c r="AQ617" s="944"/>
      <c r="AR617" s="944"/>
      <c r="AS617" s="944"/>
      <c r="AT617" s="944"/>
      <c r="AU617" s="944"/>
      <c r="AV617" s="944"/>
      <c r="AW617" s="944"/>
      <c r="AX617" s="944"/>
      <c r="AY617" s="944"/>
      <c r="AZ617" s="944"/>
      <c r="BA617" s="944"/>
      <c r="BB617" s="944"/>
      <c r="BC617" s="944"/>
      <c r="BD617" s="944"/>
      <c r="BE617" s="944"/>
      <c r="BF617" s="944"/>
      <c r="BG617" s="944"/>
      <c r="BH617" s="944"/>
      <c r="BI617" s="944"/>
      <c r="BJ617" s="944"/>
      <c r="BK617" s="944"/>
      <c r="BL617" s="944"/>
      <c r="BM617" s="944"/>
      <c r="BN617" s="944"/>
      <c r="BO617" s="944"/>
      <c r="BP617" s="45"/>
    </row>
    <row r="618" spans="1:68" ht="14.25" customHeight="1" x14ac:dyDescent="0.3">
      <c r="A618" s="960"/>
      <c r="B618" s="960"/>
      <c r="C618" s="960"/>
      <c r="D618" s="944"/>
      <c r="E618" s="944"/>
      <c r="F618" s="45"/>
      <c r="G618" s="45"/>
      <c r="H618" s="45"/>
      <c r="I618" s="45"/>
      <c r="J618" s="45"/>
      <c r="K618" s="45"/>
      <c r="L618" s="944"/>
      <c r="M618" s="944"/>
      <c r="N618" s="944"/>
      <c r="O618" s="944"/>
      <c r="P618" s="944"/>
      <c r="Q618" s="944"/>
      <c r="R618" s="944"/>
      <c r="S618" s="944"/>
      <c r="T618" s="944"/>
      <c r="U618" s="944"/>
      <c r="V618" s="944"/>
      <c r="W618" s="944"/>
      <c r="X618" s="944"/>
      <c r="Y618" s="944"/>
      <c r="Z618" s="944"/>
      <c r="AA618" s="944"/>
      <c r="AB618" s="944"/>
      <c r="AC618" s="944"/>
      <c r="AD618" s="944"/>
      <c r="AE618" s="944"/>
      <c r="AF618" s="944"/>
      <c r="AG618" s="944"/>
      <c r="AH618" s="944"/>
      <c r="AI618" s="944"/>
      <c r="AJ618" s="944"/>
      <c r="AK618" s="944"/>
      <c r="AL618" s="944"/>
      <c r="AM618" s="944"/>
      <c r="AN618" s="944"/>
      <c r="AO618" s="944"/>
      <c r="AP618" s="944"/>
      <c r="AQ618" s="944"/>
      <c r="AR618" s="944"/>
      <c r="AS618" s="944"/>
      <c r="AT618" s="944"/>
      <c r="AU618" s="944"/>
      <c r="AV618" s="944"/>
      <c r="AW618" s="944"/>
      <c r="AX618" s="944"/>
      <c r="AY618" s="944"/>
      <c r="AZ618" s="944"/>
      <c r="BA618" s="944"/>
      <c r="BB618" s="944"/>
      <c r="BC618" s="944"/>
      <c r="BD618" s="944"/>
      <c r="BE618" s="944"/>
      <c r="BF618" s="944"/>
      <c r="BG618" s="944"/>
      <c r="BH618" s="944"/>
      <c r="BI618" s="944"/>
      <c r="BJ618" s="944"/>
      <c r="BK618" s="944"/>
      <c r="BL618" s="944"/>
      <c r="BM618" s="944"/>
      <c r="BN618" s="944"/>
      <c r="BO618" s="944"/>
      <c r="BP618" s="45"/>
    </row>
    <row r="619" spans="1:68" ht="14.25" customHeight="1" x14ac:dyDescent="0.3">
      <c r="A619" s="960"/>
      <c r="B619" s="960"/>
      <c r="C619" s="960"/>
      <c r="D619" s="944"/>
      <c r="E619" s="944"/>
      <c r="F619" s="45"/>
      <c r="G619" s="45"/>
      <c r="H619" s="45"/>
      <c r="I619" s="45"/>
      <c r="J619" s="45"/>
      <c r="K619" s="45"/>
      <c r="L619" s="944"/>
      <c r="M619" s="944"/>
      <c r="N619" s="944"/>
      <c r="O619" s="944"/>
      <c r="P619" s="944"/>
      <c r="Q619" s="944"/>
      <c r="R619" s="944"/>
      <c r="S619" s="944"/>
      <c r="T619" s="944"/>
      <c r="U619" s="944"/>
      <c r="V619" s="944"/>
      <c r="W619" s="944"/>
      <c r="X619" s="944"/>
      <c r="Y619" s="944"/>
      <c r="Z619" s="944"/>
      <c r="AA619" s="944"/>
      <c r="AB619" s="944"/>
      <c r="AC619" s="944"/>
      <c r="AD619" s="944"/>
      <c r="AE619" s="944"/>
      <c r="AF619" s="944"/>
      <c r="AG619" s="944"/>
      <c r="AH619" s="944"/>
      <c r="AI619" s="944"/>
      <c r="AJ619" s="944"/>
      <c r="AK619" s="944"/>
      <c r="AL619" s="944"/>
      <c r="AM619" s="944"/>
      <c r="AN619" s="944"/>
      <c r="AO619" s="944"/>
      <c r="AP619" s="944"/>
      <c r="AQ619" s="944"/>
      <c r="AR619" s="944"/>
      <c r="AS619" s="944"/>
      <c r="AT619" s="944"/>
      <c r="AU619" s="944"/>
      <c r="AV619" s="944"/>
      <c r="AW619" s="944"/>
      <c r="AX619" s="944"/>
      <c r="AY619" s="944"/>
      <c r="AZ619" s="944"/>
      <c r="BA619" s="944"/>
      <c r="BB619" s="944"/>
      <c r="BC619" s="944"/>
      <c r="BD619" s="944"/>
      <c r="BE619" s="944"/>
      <c r="BF619" s="944"/>
      <c r="BG619" s="944"/>
      <c r="BH619" s="944"/>
      <c r="BI619" s="944"/>
      <c r="BJ619" s="944"/>
      <c r="BK619" s="944"/>
      <c r="BL619" s="944"/>
      <c r="BM619" s="944"/>
      <c r="BN619" s="944"/>
      <c r="BO619" s="944"/>
      <c r="BP619" s="45"/>
    </row>
    <row r="620" spans="1:68" ht="14.25" customHeight="1" x14ac:dyDescent="0.3">
      <c r="A620" s="960"/>
      <c r="B620" s="960"/>
      <c r="C620" s="960"/>
      <c r="D620" s="944"/>
      <c r="E620" s="944"/>
      <c r="F620" s="45"/>
      <c r="G620" s="45"/>
      <c r="H620" s="45"/>
      <c r="I620" s="45"/>
      <c r="J620" s="45"/>
      <c r="K620" s="45"/>
      <c r="L620" s="944"/>
      <c r="M620" s="944"/>
      <c r="N620" s="944"/>
      <c r="O620" s="944"/>
      <c r="P620" s="944"/>
      <c r="Q620" s="944"/>
      <c r="R620" s="944"/>
      <c r="S620" s="944"/>
      <c r="T620" s="944"/>
      <c r="U620" s="944"/>
      <c r="V620" s="944"/>
      <c r="W620" s="944"/>
      <c r="X620" s="944"/>
      <c r="Y620" s="944"/>
      <c r="Z620" s="944"/>
      <c r="AA620" s="944"/>
      <c r="AB620" s="944"/>
      <c r="AC620" s="944"/>
      <c r="AD620" s="944"/>
      <c r="AE620" s="944"/>
      <c r="AF620" s="944"/>
      <c r="AG620" s="944"/>
      <c r="AH620" s="944"/>
      <c r="AI620" s="944"/>
      <c r="AJ620" s="944"/>
      <c r="AK620" s="944"/>
      <c r="AL620" s="944"/>
      <c r="AM620" s="944"/>
      <c r="AN620" s="944"/>
      <c r="AO620" s="944"/>
      <c r="AP620" s="944"/>
      <c r="AQ620" s="944"/>
      <c r="AR620" s="944"/>
      <c r="AS620" s="944"/>
      <c r="AT620" s="944"/>
      <c r="AU620" s="944"/>
      <c r="AV620" s="944"/>
      <c r="AW620" s="944"/>
      <c r="AX620" s="944"/>
      <c r="AY620" s="944"/>
      <c r="AZ620" s="944"/>
      <c r="BA620" s="944"/>
      <c r="BB620" s="944"/>
      <c r="BC620" s="944"/>
      <c r="BD620" s="944"/>
      <c r="BE620" s="944"/>
      <c r="BF620" s="944"/>
      <c r="BG620" s="944"/>
      <c r="BH620" s="944"/>
      <c r="BI620" s="944"/>
      <c r="BJ620" s="944"/>
      <c r="BK620" s="944"/>
      <c r="BL620" s="944"/>
      <c r="BM620" s="944"/>
      <c r="BN620" s="944"/>
      <c r="BO620" s="944"/>
      <c r="BP620" s="45"/>
    </row>
    <row r="621" spans="1:68" ht="14.25" customHeight="1" x14ac:dyDescent="0.3">
      <c r="A621" s="960"/>
      <c r="B621" s="960"/>
      <c r="C621" s="960"/>
      <c r="D621" s="944"/>
      <c r="E621" s="944"/>
      <c r="F621" s="45"/>
      <c r="G621" s="45"/>
      <c r="H621" s="45"/>
      <c r="I621" s="45"/>
      <c r="J621" s="45"/>
      <c r="K621" s="45"/>
      <c r="L621" s="944"/>
      <c r="M621" s="944"/>
      <c r="N621" s="944"/>
      <c r="O621" s="944"/>
      <c r="P621" s="944"/>
      <c r="Q621" s="944"/>
      <c r="R621" s="944"/>
      <c r="S621" s="944"/>
      <c r="T621" s="944"/>
      <c r="U621" s="944"/>
      <c r="V621" s="944"/>
      <c r="W621" s="944"/>
      <c r="X621" s="944"/>
      <c r="Y621" s="944"/>
      <c r="Z621" s="944"/>
      <c r="AA621" s="944"/>
      <c r="AB621" s="944"/>
      <c r="AC621" s="944"/>
      <c r="AD621" s="944"/>
      <c r="AE621" s="944"/>
      <c r="AF621" s="944"/>
      <c r="AG621" s="944"/>
      <c r="AH621" s="944"/>
      <c r="AI621" s="944"/>
      <c r="AJ621" s="944"/>
      <c r="AK621" s="944"/>
      <c r="AL621" s="944"/>
      <c r="AM621" s="944"/>
      <c r="AN621" s="944"/>
      <c r="AO621" s="944"/>
      <c r="AP621" s="944"/>
      <c r="AQ621" s="944"/>
      <c r="AR621" s="944"/>
      <c r="AS621" s="944"/>
      <c r="AT621" s="944"/>
      <c r="AU621" s="944"/>
      <c r="AV621" s="944"/>
      <c r="AW621" s="944"/>
      <c r="AX621" s="944"/>
      <c r="AY621" s="944"/>
      <c r="AZ621" s="944"/>
      <c r="BA621" s="944"/>
      <c r="BB621" s="944"/>
      <c r="BC621" s="944"/>
      <c r="BD621" s="944"/>
      <c r="BE621" s="944"/>
      <c r="BF621" s="944"/>
      <c r="BG621" s="944"/>
      <c r="BH621" s="944"/>
      <c r="BI621" s="944"/>
      <c r="BJ621" s="944"/>
      <c r="BK621" s="944"/>
      <c r="BL621" s="944"/>
      <c r="BM621" s="944"/>
      <c r="BN621" s="944"/>
      <c r="BO621" s="944"/>
      <c r="BP621" s="45"/>
    </row>
    <row r="622" spans="1:68" ht="14.25" customHeight="1" x14ac:dyDescent="0.3">
      <c r="A622" s="960"/>
      <c r="B622" s="960"/>
      <c r="C622" s="960"/>
      <c r="D622" s="944"/>
      <c r="E622" s="944"/>
      <c r="F622" s="45"/>
      <c r="G622" s="45"/>
      <c r="H622" s="45"/>
      <c r="I622" s="45"/>
      <c r="J622" s="45"/>
      <c r="K622" s="45"/>
      <c r="L622" s="944"/>
      <c r="M622" s="944"/>
      <c r="N622" s="944"/>
      <c r="O622" s="944"/>
      <c r="P622" s="944"/>
      <c r="Q622" s="944"/>
      <c r="R622" s="944"/>
      <c r="S622" s="944"/>
      <c r="T622" s="944"/>
      <c r="U622" s="944"/>
      <c r="V622" s="944"/>
      <c r="W622" s="944"/>
      <c r="X622" s="944"/>
      <c r="Y622" s="944"/>
      <c r="Z622" s="944"/>
      <c r="AA622" s="944"/>
      <c r="AB622" s="944"/>
      <c r="AC622" s="944"/>
      <c r="AD622" s="944"/>
      <c r="AE622" s="944"/>
      <c r="AF622" s="944"/>
      <c r="AG622" s="944"/>
      <c r="AH622" s="944"/>
      <c r="AI622" s="944"/>
      <c r="AJ622" s="944"/>
      <c r="AK622" s="944"/>
      <c r="AL622" s="944"/>
      <c r="AM622" s="944"/>
      <c r="AN622" s="944"/>
      <c r="AO622" s="944"/>
      <c r="AP622" s="944"/>
      <c r="AQ622" s="944"/>
      <c r="AR622" s="944"/>
      <c r="AS622" s="944"/>
      <c r="AT622" s="944"/>
      <c r="AU622" s="944"/>
      <c r="AV622" s="944"/>
      <c r="AW622" s="944"/>
      <c r="AX622" s="944"/>
      <c r="AY622" s="944"/>
      <c r="AZ622" s="944"/>
      <c r="BA622" s="944"/>
      <c r="BB622" s="944"/>
      <c r="BC622" s="944"/>
      <c r="BD622" s="944"/>
      <c r="BE622" s="944"/>
      <c r="BF622" s="944"/>
      <c r="BG622" s="944"/>
      <c r="BH622" s="944"/>
      <c r="BI622" s="944"/>
      <c r="BJ622" s="944"/>
      <c r="BK622" s="944"/>
      <c r="BL622" s="944"/>
      <c r="BM622" s="944"/>
      <c r="BN622" s="944"/>
      <c r="BO622" s="944"/>
      <c r="BP622" s="45"/>
    </row>
    <row r="623" spans="1:68" ht="14.25" customHeight="1" x14ac:dyDescent="0.3">
      <c r="A623" s="960"/>
      <c r="B623" s="960"/>
      <c r="C623" s="960"/>
      <c r="D623" s="944"/>
      <c r="E623" s="944"/>
      <c r="F623" s="45"/>
      <c r="G623" s="45"/>
      <c r="H623" s="45"/>
      <c r="I623" s="45"/>
      <c r="J623" s="45"/>
      <c r="K623" s="45"/>
      <c r="L623" s="944"/>
      <c r="M623" s="944"/>
      <c r="N623" s="944"/>
      <c r="O623" s="944"/>
      <c r="P623" s="944"/>
      <c r="Q623" s="944"/>
      <c r="R623" s="944"/>
      <c r="S623" s="944"/>
      <c r="T623" s="944"/>
      <c r="U623" s="944"/>
      <c r="V623" s="944"/>
      <c r="W623" s="944"/>
      <c r="X623" s="944"/>
      <c r="Y623" s="944"/>
      <c r="Z623" s="944"/>
      <c r="AA623" s="944"/>
      <c r="AB623" s="944"/>
      <c r="AC623" s="944"/>
      <c r="AD623" s="944"/>
      <c r="AE623" s="944"/>
      <c r="AF623" s="944"/>
      <c r="AG623" s="944"/>
      <c r="AH623" s="944"/>
      <c r="AI623" s="944"/>
      <c r="AJ623" s="944"/>
      <c r="AK623" s="944"/>
      <c r="AL623" s="944"/>
      <c r="AM623" s="944"/>
      <c r="AN623" s="944"/>
      <c r="AO623" s="944"/>
      <c r="AP623" s="944"/>
      <c r="AQ623" s="944"/>
      <c r="AR623" s="944"/>
      <c r="AS623" s="944"/>
      <c r="AT623" s="944"/>
      <c r="AU623" s="944"/>
      <c r="AV623" s="944"/>
      <c r="AW623" s="944"/>
      <c r="AX623" s="944"/>
      <c r="AY623" s="944"/>
      <c r="AZ623" s="944"/>
      <c r="BA623" s="944"/>
      <c r="BB623" s="944"/>
      <c r="BC623" s="944"/>
      <c r="BD623" s="944"/>
      <c r="BE623" s="944"/>
      <c r="BF623" s="944"/>
      <c r="BG623" s="944"/>
      <c r="BH623" s="944"/>
      <c r="BI623" s="944"/>
      <c r="BJ623" s="944"/>
      <c r="BK623" s="944"/>
      <c r="BL623" s="944"/>
      <c r="BM623" s="944"/>
      <c r="BN623" s="944"/>
      <c r="BO623" s="944"/>
      <c r="BP623" s="45"/>
    </row>
    <row r="624" spans="1:68" ht="14.25" customHeight="1" x14ac:dyDescent="0.3">
      <c r="A624" s="960"/>
      <c r="B624" s="960"/>
      <c r="C624" s="960"/>
      <c r="D624" s="944"/>
      <c r="E624" s="944"/>
      <c r="F624" s="45"/>
      <c r="G624" s="45"/>
      <c r="H624" s="45"/>
      <c r="I624" s="45"/>
      <c r="J624" s="45"/>
      <c r="K624" s="45"/>
      <c r="L624" s="944"/>
      <c r="M624" s="944"/>
      <c r="N624" s="944"/>
      <c r="O624" s="944"/>
      <c r="P624" s="944"/>
      <c r="Q624" s="944"/>
      <c r="R624" s="944"/>
      <c r="S624" s="944"/>
      <c r="T624" s="944"/>
      <c r="U624" s="944"/>
      <c r="V624" s="944"/>
      <c r="W624" s="944"/>
      <c r="X624" s="944"/>
      <c r="Y624" s="944"/>
      <c r="Z624" s="944"/>
      <c r="AA624" s="944"/>
      <c r="AB624" s="944"/>
      <c r="AC624" s="944"/>
      <c r="AD624" s="944"/>
      <c r="AE624" s="944"/>
      <c r="AF624" s="944"/>
      <c r="AG624" s="944"/>
      <c r="AH624" s="944"/>
      <c r="AI624" s="944"/>
      <c r="AJ624" s="944"/>
      <c r="AK624" s="944"/>
      <c r="AL624" s="944"/>
      <c r="AM624" s="944"/>
      <c r="AN624" s="944"/>
      <c r="AO624" s="944"/>
      <c r="AP624" s="944"/>
      <c r="AQ624" s="944"/>
      <c r="AR624" s="944"/>
      <c r="AS624" s="944"/>
      <c r="AT624" s="944"/>
      <c r="AU624" s="944"/>
      <c r="AV624" s="944"/>
      <c r="AW624" s="944"/>
      <c r="AX624" s="944"/>
      <c r="AY624" s="944"/>
      <c r="AZ624" s="944"/>
      <c r="BA624" s="944"/>
      <c r="BB624" s="944"/>
      <c r="BC624" s="944"/>
      <c r="BD624" s="944"/>
      <c r="BE624" s="944"/>
      <c r="BF624" s="944"/>
      <c r="BG624" s="944"/>
      <c r="BH624" s="944"/>
      <c r="BI624" s="944"/>
      <c r="BJ624" s="944"/>
      <c r="BK624" s="944"/>
      <c r="BL624" s="944"/>
      <c r="BM624" s="944"/>
      <c r="BN624" s="944"/>
      <c r="BO624" s="944"/>
      <c r="BP624" s="45"/>
    </row>
    <row r="625" spans="1:68" ht="14.25" customHeight="1" x14ac:dyDescent="0.3">
      <c r="A625" s="960"/>
      <c r="B625" s="960"/>
      <c r="C625" s="960"/>
      <c r="D625" s="944"/>
      <c r="E625" s="944"/>
      <c r="F625" s="45"/>
      <c r="G625" s="45"/>
      <c r="H625" s="45"/>
      <c r="I625" s="45"/>
      <c r="J625" s="45"/>
      <c r="K625" s="45"/>
      <c r="L625" s="944"/>
      <c r="M625" s="944"/>
      <c r="N625" s="944"/>
      <c r="O625" s="944"/>
      <c r="P625" s="944"/>
      <c r="Q625" s="944"/>
      <c r="R625" s="944"/>
      <c r="S625" s="944"/>
      <c r="T625" s="944"/>
      <c r="U625" s="944"/>
      <c r="V625" s="944"/>
      <c r="W625" s="944"/>
      <c r="X625" s="944"/>
      <c r="Y625" s="944"/>
      <c r="Z625" s="944"/>
      <c r="AA625" s="944"/>
      <c r="AB625" s="944"/>
      <c r="AC625" s="944"/>
      <c r="AD625" s="944"/>
      <c r="AE625" s="944"/>
      <c r="AF625" s="944"/>
      <c r="AG625" s="944"/>
      <c r="AH625" s="944"/>
      <c r="AI625" s="944"/>
      <c r="AJ625" s="944"/>
      <c r="AK625" s="944"/>
      <c r="AL625" s="944"/>
      <c r="AM625" s="944"/>
      <c r="AN625" s="944"/>
      <c r="AO625" s="944"/>
      <c r="AP625" s="944"/>
      <c r="AQ625" s="944"/>
      <c r="AR625" s="944"/>
      <c r="AS625" s="944"/>
      <c r="AT625" s="944"/>
      <c r="AU625" s="944"/>
      <c r="AV625" s="944"/>
      <c r="AW625" s="944"/>
      <c r="AX625" s="944"/>
      <c r="AY625" s="944"/>
      <c r="AZ625" s="944"/>
      <c r="BA625" s="944"/>
      <c r="BB625" s="944"/>
      <c r="BC625" s="944"/>
      <c r="BD625" s="944"/>
      <c r="BE625" s="944"/>
      <c r="BF625" s="944"/>
      <c r="BG625" s="944"/>
      <c r="BH625" s="944"/>
      <c r="BI625" s="944"/>
      <c r="BJ625" s="944"/>
      <c r="BK625" s="944"/>
      <c r="BL625" s="944"/>
      <c r="BM625" s="944"/>
      <c r="BN625" s="944"/>
      <c r="BO625" s="944"/>
      <c r="BP625" s="45"/>
    </row>
    <row r="626" spans="1:68" ht="14.25" customHeight="1" x14ac:dyDescent="0.3">
      <c r="A626" s="960"/>
      <c r="B626" s="960"/>
      <c r="C626" s="960"/>
      <c r="D626" s="944"/>
      <c r="E626" s="944"/>
      <c r="F626" s="45"/>
      <c r="G626" s="45"/>
      <c r="H626" s="45"/>
      <c r="I626" s="45"/>
      <c r="J626" s="45"/>
      <c r="K626" s="45"/>
      <c r="L626" s="944"/>
      <c r="M626" s="944"/>
      <c r="N626" s="944"/>
      <c r="O626" s="944"/>
      <c r="P626" s="944"/>
      <c r="Q626" s="944"/>
      <c r="R626" s="944"/>
      <c r="S626" s="944"/>
      <c r="T626" s="944"/>
      <c r="U626" s="944"/>
      <c r="V626" s="944"/>
      <c r="W626" s="944"/>
      <c r="X626" s="944"/>
      <c r="Y626" s="944"/>
      <c r="Z626" s="944"/>
      <c r="AA626" s="944"/>
      <c r="AB626" s="944"/>
      <c r="AC626" s="944"/>
      <c r="AD626" s="944"/>
      <c r="AE626" s="944"/>
      <c r="AF626" s="944"/>
      <c r="AG626" s="944"/>
      <c r="AH626" s="944"/>
      <c r="AI626" s="944"/>
      <c r="AJ626" s="944"/>
      <c r="AK626" s="944"/>
      <c r="AL626" s="944"/>
      <c r="AM626" s="944"/>
      <c r="AN626" s="944"/>
      <c r="AO626" s="944"/>
      <c r="AP626" s="944"/>
      <c r="AQ626" s="944"/>
      <c r="AR626" s="944"/>
      <c r="AS626" s="944"/>
      <c r="AT626" s="944"/>
      <c r="AU626" s="944"/>
      <c r="AV626" s="944"/>
      <c r="AW626" s="944"/>
      <c r="AX626" s="944"/>
      <c r="AY626" s="944"/>
      <c r="AZ626" s="944"/>
      <c r="BA626" s="944"/>
      <c r="BB626" s="944"/>
      <c r="BC626" s="944"/>
      <c r="BD626" s="944"/>
      <c r="BE626" s="944"/>
      <c r="BF626" s="944"/>
      <c r="BG626" s="944"/>
      <c r="BH626" s="944"/>
      <c r="BI626" s="944"/>
      <c r="BJ626" s="944"/>
      <c r="BK626" s="944"/>
      <c r="BL626" s="944"/>
      <c r="BM626" s="944"/>
      <c r="BN626" s="944"/>
      <c r="BO626" s="944"/>
      <c r="BP626" s="45"/>
    </row>
    <row r="627" spans="1:68" ht="14.25" customHeight="1" x14ac:dyDescent="0.3">
      <c r="A627" s="960"/>
      <c r="B627" s="960"/>
      <c r="C627" s="960"/>
      <c r="D627" s="944"/>
      <c r="E627" s="944"/>
      <c r="F627" s="45"/>
      <c r="G627" s="45"/>
      <c r="H627" s="45"/>
      <c r="I627" s="45"/>
      <c r="J627" s="45"/>
      <c r="K627" s="45"/>
      <c r="L627" s="944"/>
      <c r="M627" s="944"/>
      <c r="N627" s="944"/>
      <c r="O627" s="944"/>
      <c r="P627" s="944"/>
      <c r="Q627" s="944"/>
      <c r="R627" s="944"/>
      <c r="S627" s="944"/>
      <c r="T627" s="944"/>
      <c r="U627" s="944"/>
      <c r="V627" s="944"/>
      <c r="W627" s="944"/>
      <c r="X627" s="944"/>
      <c r="Y627" s="944"/>
      <c r="Z627" s="944"/>
      <c r="AA627" s="944"/>
      <c r="AB627" s="944"/>
      <c r="AC627" s="944"/>
      <c r="AD627" s="944"/>
      <c r="AE627" s="944"/>
      <c r="AF627" s="944"/>
      <c r="AG627" s="944"/>
      <c r="AH627" s="944"/>
      <c r="AI627" s="944"/>
      <c r="AJ627" s="944"/>
      <c r="AK627" s="944"/>
      <c r="AL627" s="944"/>
      <c r="AM627" s="944"/>
      <c r="AN627" s="944"/>
      <c r="AO627" s="944"/>
      <c r="AP627" s="944"/>
      <c r="AQ627" s="944"/>
      <c r="AR627" s="944"/>
      <c r="AS627" s="944"/>
      <c r="AT627" s="944"/>
      <c r="AU627" s="944"/>
      <c r="AV627" s="944"/>
      <c r="AW627" s="944"/>
      <c r="AX627" s="944"/>
      <c r="AY627" s="944"/>
      <c r="AZ627" s="944"/>
      <c r="BA627" s="944"/>
      <c r="BB627" s="944"/>
      <c r="BC627" s="944"/>
      <c r="BD627" s="944"/>
      <c r="BE627" s="944"/>
      <c r="BF627" s="944"/>
      <c r="BG627" s="944"/>
      <c r="BH627" s="944"/>
      <c r="BI627" s="944"/>
      <c r="BJ627" s="944"/>
      <c r="BK627" s="944"/>
      <c r="BL627" s="944"/>
      <c r="BM627" s="944"/>
      <c r="BN627" s="944"/>
      <c r="BO627" s="944"/>
      <c r="BP627" s="45"/>
    </row>
    <row r="628" spans="1:68" ht="14.25" customHeight="1" x14ac:dyDescent="0.3">
      <c r="A628" s="960"/>
      <c r="B628" s="960"/>
      <c r="C628" s="960"/>
      <c r="D628" s="944"/>
      <c r="E628" s="944"/>
      <c r="F628" s="45"/>
      <c r="G628" s="45"/>
      <c r="H628" s="45"/>
      <c r="I628" s="45"/>
      <c r="J628" s="45"/>
      <c r="K628" s="45"/>
      <c r="L628" s="944"/>
      <c r="M628" s="944"/>
      <c r="N628" s="944"/>
      <c r="O628" s="944"/>
      <c r="P628" s="944"/>
      <c r="Q628" s="944"/>
      <c r="R628" s="944"/>
      <c r="S628" s="944"/>
      <c r="T628" s="944"/>
      <c r="U628" s="944"/>
      <c r="V628" s="944"/>
      <c r="W628" s="944"/>
      <c r="X628" s="944"/>
      <c r="Y628" s="944"/>
      <c r="Z628" s="944"/>
      <c r="AA628" s="944"/>
      <c r="AB628" s="944"/>
      <c r="AC628" s="944"/>
      <c r="AD628" s="944"/>
      <c r="AE628" s="944"/>
      <c r="AF628" s="944"/>
      <c r="AG628" s="944"/>
      <c r="AH628" s="944"/>
      <c r="AI628" s="944"/>
      <c r="AJ628" s="944"/>
      <c r="AK628" s="944"/>
      <c r="AL628" s="944"/>
      <c r="AM628" s="944"/>
      <c r="AN628" s="944"/>
      <c r="AO628" s="944"/>
      <c r="AP628" s="944"/>
      <c r="AQ628" s="944"/>
      <c r="AR628" s="944"/>
      <c r="AS628" s="944"/>
      <c r="AT628" s="944"/>
      <c r="AU628" s="944"/>
      <c r="AV628" s="944"/>
      <c r="AW628" s="944"/>
      <c r="AX628" s="944"/>
      <c r="AY628" s="944"/>
      <c r="AZ628" s="944"/>
      <c r="BA628" s="944"/>
      <c r="BB628" s="944"/>
      <c r="BC628" s="944"/>
      <c r="BD628" s="944"/>
      <c r="BE628" s="944"/>
      <c r="BF628" s="944"/>
      <c r="BG628" s="944"/>
      <c r="BH628" s="944"/>
      <c r="BI628" s="944"/>
      <c r="BJ628" s="944"/>
      <c r="BK628" s="944"/>
      <c r="BL628" s="944"/>
      <c r="BM628" s="944"/>
      <c r="BN628" s="944"/>
      <c r="BO628" s="944"/>
      <c r="BP628" s="45"/>
    </row>
    <row r="629" spans="1:68" ht="14.25" customHeight="1" x14ac:dyDescent="0.3">
      <c r="A629" s="960"/>
      <c r="B629" s="960"/>
      <c r="C629" s="960"/>
      <c r="D629" s="944"/>
      <c r="E629" s="944"/>
      <c r="F629" s="45"/>
      <c r="G629" s="45"/>
      <c r="H629" s="45"/>
      <c r="I629" s="45"/>
      <c r="J629" s="45"/>
      <c r="K629" s="45"/>
      <c r="L629" s="944"/>
      <c r="M629" s="944"/>
      <c r="N629" s="944"/>
      <c r="O629" s="944"/>
      <c r="P629" s="944"/>
      <c r="Q629" s="944"/>
      <c r="R629" s="944"/>
      <c r="S629" s="944"/>
      <c r="T629" s="944"/>
      <c r="U629" s="944"/>
      <c r="V629" s="944"/>
      <c r="W629" s="944"/>
      <c r="X629" s="944"/>
      <c r="Y629" s="944"/>
      <c r="Z629" s="944"/>
      <c r="AA629" s="944"/>
      <c r="AB629" s="944"/>
      <c r="AC629" s="944"/>
      <c r="AD629" s="944"/>
      <c r="AE629" s="944"/>
      <c r="AF629" s="944"/>
      <c r="AG629" s="944"/>
      <c r="AH629" s="944"/>
      <c r="AI629" s="944"/>
      <c r="AJ629" s="944"/>
      <c r="AK629" s="944"/>
      <c r="AL629" s="944"/>
      <c r="AM629" s="944"/>
      <c r="AN629" s="944"/>
      <c r="AO629" s="944"/>
      <c r="AP629" s="944"/>
      <c r="AQ629" s="944"/>
      <c r="AR629" s="944"/>
      <c r="AS629" s="944"/>
      <c r="AT629" s="944"/>
      <c r="AU629" s="944"/>
      <c r="AV629" s="944"/>
      <c r="AW629" s="944"/>
      <c r="AX629" s="944"/>
      <c r="AY629" s="944"/>
      <c r="AZ629" s="944"/>
      <c r="BA629" s="944"/>
      <c r="BB629" s="944"/>
      <c r="BC629" s="944"/>
      <c r="BD629" s="944"/>
      <c r="BE629" s="944"/>
      <c r="BF629" s="944"/>
      <c r="BG629" s="944"/>
      <c r="BH629" s="944"/>
      <c r="BI629" s="944"/>
      <c r="BJ629" s="944"/>
      <c r="BK629" s="944"/>
      <c r="BL629" s="944"/>
      <c r="BM629" s="944"/>
      <c r="BN629" s="944"/>
      <c r="BO629" s="944"/>
      <c r="BP629" s="45"/>
    </row>
    <row r="630" spans="1:68" ht="14.25" customHeight="1" x14ac:dyDescent="0.3">
      <c r="A630" s="960"/>
      <c r="B630" s="960"/>
      <c r="C630" s="960"/>
      <c r="D630" s="944"/>
      <c r="E630" s="944"/>
      <c r="F630" s="45"/>
      <c r="G630" s="45"/>
      <c r="H630" s="45"/>
      <c r="I630" s="45"/>
      <c r="J630" s="45"/>
      <c r="K630" s="45"/>
      <c r="L630" s="944"/>
      <c r="M630" s="944"/>
      <c r="N630" s="944"/>
      <c r="O630" s="944"/>
      <c r="P630" s="944"/>
      <c r="Q630" s="944"/>
      <c r="R630" s="944"/>
      <c r="S630" s="944"/>
      <c r="T630" s="944"/>
      <c r="U630" s="944"/>
      <c r="V630" s="944"/>
      <c r="W630" s="944"/>
      <c r="X630" s="944"/>
      <c r="Y630" s="944"/>
      <c r="Z630" s="944"/>
      <c r="AA630" s="944"/>
      <c r="AB630" s="944"/>
      <c r="AC630" s="944"/>
      <c r="AD630" s="944"/>
      <c r="AE630" s="944"/>
      <c r="AF630" s="944"/>
      <c r="AG630" s="944"/>
      <c r="AH630" s="944"/>
      <c r="AI630" s="944"/>
      <c r="AJ630" s="944"/>
      <c r="AK630" s="944"/>
      <c r="AL630" s="944"/>
      <c r="AM630" s="944"/>
      <c r="AN630" s="944"/>
      <c r="AO630" s="944"/>
      <c r="AP630" s="944"/>
      <c r="AQ630" s="944"/>
      <c r="AR630" s="944"/>
      <c r="AS630" s="944"/>
      <c r="AT630" s="944"/>
      <c r="AU630" s="944"/>
      <c r="AV630" s="944"/>
      <c r="AW630" s="944"/>
      <c r="AX630" s="944"/>
      <c r="AY630" s="944"/>
      <c r="AZ630" s="944"/>
      <c r="BA630" s="944"/>
      <c r="BB630" s="944"/>
      <c r="BC630" s="944"/>
      <c r="BD630" s="944"/>
      <c r="BE630" s="944"/>
      <c r="BF630" s="944"/>
      <c r="BG630" s="944"/>
      <c r="BH630" s="944"/>
      <c r="BI630" s="944"/>
      <c r="BJ630" s="944"/>
      <c r="BK630" s="944"/>
      <c r="BL630" s="944"/>
      <c r="BM630" s="944"/>
      <c r="BN630" s="944"/>
      <c r="BO630" s="944"/>
      <c r="BP630" s="45"/>
    </row>
    <row r="631" spans="1:68" ht="14.25" customHeight="1" x14ac:dyDescent="0.3">
      <c r="A631" s="960"/>
      <c r="B631" s="960"/>
      <c r="C631" s="960"/>
      <c r="D631" s="944"/>
      <c r="E631" s="944"/>
      <c r="F631" s="45"/>
      <c r="G631" s="45"/>
      <c r="H631" s="45"/>
      <c r="I631" s="45"/>
      <c r="J631" s="45"/>
      <c r="K631" s="45"/>
      <c r="L631" s="944"/>
      <c r="M631" s="944"/>
      <c r="N631" s="944"/>
      <c r="O631" s="944"/>
      <c r="P631" s="944"/>
      <c r="Q631" s="944"/>
      <c r="R631" s="944"/>
      <c r="S631" s="944"/>
      <c r="T631" s="944"/>
      <c r="U631" s="944"/>
      <c r="V631" s="944"/>
      <c r="W631" s="944"/>
      <c r="X631" s="944"/>
      <c r="Y631" s="944"/>
      <c r="Z631" s="944"/>
      <c r="AA631" s="944"/>
      <c r="AB631" s="944"/>
      <c r="AC631" s="944"/>
      <c r="AD631" s="944"/>
      <c r="AE631" s="944"/>
      <c r="AF631" s="944"/>
      <c r="AG631" s="944"/>
      <c r="AH631" s="944"/>
      <c r="AI631" s="944"/>
      <c r="AJ631" s="944"/>
      <c r="AK631" s="944"/>
      <c r="AL631" s="944"/>
      <c r="AM631" s="944"/>
      <c r="AN631" s="944"/>
      <c r="AO631" s="944"/>
      <c r="AP631" s="944"/>
      <c r="AQ631" s="944"/>
      <c r="AR631" s="944"/>
      <c r="AS631" s="944"/>
      <c r="AT631" s="944"/>
      <c r="AU631" s="944"/>
      <c r="AV631" s="944"/>
      <c r="AW631" s="944"/>
      <c r="AX631" s="944"/>
      <c r="AY631" s="944"/>
      <c r="AZ631" s="944"/>
      <c r="BA631" s="944"/>
      <c r="BB631" s="944"/>
      <c r="BC631" s="944"/>
      <c r="BD631" s="944"/>
      <c r="BE631" s="944"/>
      <c r="BF631" s="944"/>
      <c r="BG631" s="944"/>
      <c r="BH631" s="944"/>
      <c r="BI631" s="944"/>
      <c r="BJ631" s="944"/>
      <c r="BK631" s="944"/>
      <c r="BL631" s="944"/>
      <c r="BM631" s="944"/>
      <c r="BN631" s="944"/>
      <c r="BO631" s="944"/>
      <c r="BP631" s="45"/>
    </row>
    <row r="632" spans="1:68" ht="14.25" customHeight="1" x14ac:dyDescent="0.3">
      <c r="A632" s="960"/>
      <c r="B632" s="960"/>
      <c r="C632" s="960"/>
      <c r="D632" s="944"/>
      <c r="E632" s="944"/>
      <c r="F632" s="45"/>
      <c r="G632" s="45"/>
      <c r="H632" s="45"/>
      <c r="I632" s="45"/>
      <c r="J632" s="45"/>
      <c r="K632" s="45"/>
      <c r="L632" s="944"/>
      <c r="M632" s="944"/>
      <c r="N632" s="944"/>
      <c r="O632" s="944"/>
      <c r="P632" s="944"/>
      <c r="Q632" s="944"/>
      <c r="R632" s="944"/>
      <c r="S632" s="944"/>
      <c r="T632" s="944"/>
      <c r="U632" s="944"/>
      <c r="V632" s="944"/>
      <c r="W632" s="944"/>
      <c r="X632" s="944"/>
      <c r="Y632" s="944"/>
      <c r="Z632" s="944"/>
      <c r="AA632" s="944"/>
      <c r="AB632" s="944"/>
      <c r="AC632" s="944"/>
      <c r="AD632" s="944"/>
      <c r="AE632" s="944"/>
      <c r="AF632" s="944"/>
      <c r="AG632" s="944"/>
      <c r="AH632" s="944"/>
      <c r="AI632" s="944"/>
      <c r="AJ632" s="944"/>
      <c r="AK632" s="944"/>
      <c r="AL632" s="944"/>
      <c r="AM632" s="944"/>
      <c r="AN632" s="944"/>
      <c r="AO632" s="944"/>
      <c r="AP632" s="944"/>
      <c r="AQ632" s="944"/>
      <c r="AR632" s="944"/>
      <c r="AS632" s="944"/>
      <c r="AT632" s="944"/>
      <c r="AU632" s="944"/>
      <c r="AV632" s="944"/>
      <c r="AW632" s="944"/>
      <c r="AX632" s="944"/>
      <c r="AY632" s="944"/>
      <c r="AZ632" s="944"/>
      <c r="BA632" s="944"/>
      <c r="BB632" s="944"/>
      <c r="BC632" s="944"/>
      <c r="BD632" s="944"/>
      <c r="BE632" s="944"/>
      <c r="BF632" s="944"/>
      <c r="BG632" s="944"/>
      <c r="BH632" s="944"/>
      <c r="BI632" s="944"/>
      <c r="BJ632" s="944"/>
      <c r="BK632" s="944"/>
      <c r="BL632" s="944"/>
      <c r="BM632" s="944"/>
      <c r="BN632" s="944"/>
      <c r="BO632" s="944"/>
      <c r="BP632" s="45"/>
    </row>
    <row r="633" spans="1:68" ht="14.25" customHeight="1" x14ac:dyDescent="0.3">
      <c r="A633" s="960"/>
      <c r="B633" s="960"/>
      <c r="C633" s="960"/>
      <c r="D633" s="944"/>
      <c r="E633" s="944"/>
      <c r="F633" s="45"/>
      <c r="G633" s="45"/>
      <c r="H633" s="45"/>
      <c r="I633" s="45"/>
      <c r="J633" s="45"/>
      <c r="K633" s="45"/>
      <c r="L633" s="944"/>
      <c r="M633" s="944"/>
      <c r="N633" s="944"/>
      <c r="O633" s="944"/>
      <c r="P633" s="944"/>
      <c r="Q633" s="944"/>
      <c r="R633" s="944"/>
      <c r="S633" s="944"/>
      <c r="T633" s="944"/>
      <c r="U633" s="944"/>
      <c r="V633" s="944"/>
      <c r="W633" s="944"/>
      <c r="X633" s="944"/>
      <c r="Y633" s="944"/>
      <c r="Z633" s="944"/>
      <c r="AA633" s="944"/>
      <c r="AB633" s="944"/>
      <c r="AC633" s="944"/>
      <c r="AD633" s="944"/>
      <c r="AE633" s="944"/>
      <c r="AF633" s="944"/>
      <c r="AG633" s="944"/>
      <c r="AH633" s="944"/>
      <c r="AI633" s="944"/>
      <c r="AJ633" s="944"/>
      <c r="AK633" s="944"/>
      <c r="AL633" s="944"/>
      <c r="AM633" s="944"/>
      <c r="AN633" s="944"/>
      <c r="AO633" s="944"/>
      <c r="AP633" s="944"/>
      <c r="AQ633" s="944"/>
      <c r="AR633" s="944"/>
      <c r="AS633" s="944"/>
      <c r="AT633" s="944"/>
      <c r="AU633" s="944"/>
      <c r="AV633" s="944"/>
      <c r="AW633" s="944"/>
      <c r="AX633" s="944"/>
      <c r="AY633" s="944"/>
      <c r="AZ633" s="944"/>
      <c r="BA633" s="944"/>
      <c r="BB633" s="944"/>
      <c r="BC633" s="944"/>
      <c r="BD633" s="944"/>
      <c r="BE633" s="944"/>
      <c r="BF633" s="944"/>
      <c r="BG633" s="944"/>
      <c r="BH633" s="944"/>
      <c r="BI633" s="944"/>
      <c r="BJ633" s="944"/>
      <c r="BK633" s="944"/>
      <c r="BL633" s="944"/>
      <c r="BM633" s="944"/>
      <c r="BN633" s="944"/>
      <c r="BO633" s="944"/>
      <c r="BP633" s="45"/>
    </row>
    <row r="634" spans="1:68" ht="14.25" customHeight="1" x14ac:dyDescent="0.3">
      <c r="A634" s="960"/>
      <c r="B634" s="960"/>
      <c r="C634" s="960"/>
      <c r="D634" s="944"/>
      <c r="E634" s="944"/>
      <c r="F634" s="45"/>
      <c r="G634" s="45"/>
      <c r="H634" s="45"/>
      <c r="I634" s="45"/>
      <c r="J634" s="45"/>
      <c r="K634" s="45"/>
      <c r="L634" s="944"/>
      <c r="M634" s="944"/>
      <c r="N634" s="944"/>
      <c r="O634" s="944"/>
      <c r="P634" s="944"/>
      <c r="Q634" s="944"/>
      <c r="R634" s="944"/>
      <c r="S634" s="944"/>
      <c r="T634" s="944"/>
      <c r="U634" s="944"/>
      <c r="V634" s="944"/>
      <c r="W634" s="944"/>
      <c r="X634" s="944"/>
      <c r="Y634" s="944"/>
      <c r="Z634" s="944"/>
      <c r="AA634" s="944"/>
      <c r="AB634" s="944"/>
      <c r="AC634" s="944"/>
      <c r="AD634" s="944"/>
      <c r="AE634" s="944"/>
      <c r="AF634" s="944"/>
      <c r="AG634" s="944"/>
      <c r="AH634" s="944"/>
      <c r="AI634" s="944"/>
      <c r="AJ634" s="944"/>
      <c r="AK634" s="944"/>
      <c r="AL634" s="944"/>
      <c r="AM634" s="944"/>
      <c r="AN634" s="944"/>
      <c r="AO634" s="944"/>
      <c r="AP634" s="944"/>
      <c r="AQ634" s="944"/>
      <c r="AR634" s="944"/>
      <c r="AS634" s="944"/>
      <c r="AT634" s="944"/>
      <c r="AU634" s="944"/>
      <c r="AV634" s="944"/>
      <c r="AW634" s="944"/>
      <c r="AX634" s="944"/>
      <c r="AY634" s="944"/>
      <c r="AZ634" s="944"/>
      <c r="BA634" s="944"/>
      <c r="BB634" s="944"/>
      <c r="BC634" s="944"/>
      <c r="BD634" s="944"/>
      <c r="BE634" s="944"/>
      <c r="BF634" s="944"/>
      <c r="BG634" s="944"/>
      <c r="BH634" s="944"/>
      <c r="BI634" s="944"/>
      <c r="BJ634" s="944"/>
      <c r="BK634" s="944"/>
      <c r="BL634" s="944"/>
      <c r="BM634" s="944"/>
      <c r="BN634" s="944"/>
      <c r="BO634" s="944"/>
      <c r="BP634" s="45"/>
    </row>
    <row r="635" spans="1:68" ht="14.25" customHeight="1" x14ac:dyDescent="0.3">
      <c r="A635" s="960"/>
      <c r="B635" s="960"/>
      <c r="C635" s="960"/>
      <c r="D635" s="944"/>
      <c r="E635" s="944"/>
      <c r="F635" s="45"/>
      <c r="G635" s="45"/>
      <c r="H635" s="45"/>
      <c r="I635" s="45"/>
      <c r="J635" s="45"/>
      <c r="K635" s="45"/>
      <c r="L635" s="944"/>
      <c r="M635" s="944"/>
      <c r="N635" s="944"/>
      <c r="O635" s="944"/>
      <c r="P635" s="944"/>
      <c r="Q635" s="944"/>
      <c r="R635" s="944"/>
      <c r="S635" s="944"/>
      <c r="T635" s="944"/>
      <c r="U635" s="944"/>
      <c r="V635" s="944"/>
      <c r="W635" s="944"/>
      <c r="X635" s="944"/>
      <c r="Y635" s="944"/>
      <c r="Z635" s="944"/>
      <c r="AA635" s="944"/>
      <c r="AB635" s="944"/>
      <c r="AC635" s="944"/>
      <c r="AD635" s="944"/>
      <c r="AE635" s="944"/>
      <c r="AF635" s="944"/>
      <c r="AG635" s="944"/>
      <c r="AH635" s="944"/>
      <c r="AI635" s="944"/>
      <c r="AJ635" s="944"/>
      <c r="AK635" s="944"/>
      <c r="AL635" s="944"/>
      <c r="AM635" s="944"/>
      <c r="AN635" s="944"/>
      <c r="AO635" s="944"/>
      <c r="AP635" s="944"/>
      <c r="AQ635" s="944"/>
      <c r="AR635" s="944"/>
      <c r="AS635" s="944"/>
      <c r="AT635" s="944"/>
      <c r="AU635" s="944"/>
      <c r="AV635" s="944"/>
      <c r="AW635" s="944"/>
      <c r="AX635" s="944"/>
      <c r="AY635" s="944"/>
      <c r="AZ635" s="944"/>
      <c r="BA635" s="944"/>
      <c r="BB635" s="944"/>
      <c r="BC635" s="944"/>
      <c r="BD635" s="944"/>
      <c r="BE635" s="944"/>
      <c r="BF635" s="944"/>
      <c r="BG635" s="944"/>
      <c r="BH635" s="944"/>
      <c r="BI635" s="944"/>
      <c r="BJ635" s="944"/>
      <c r="BK635" s="944"/>
      <c r="BL635" s="944"/>
      <c r="BM635" s="944"/>
      <c r="BN635" s="944"/>
      <c r="BO635" s="944"/>
      <c r="BP635" s="45"/>
    </row>
    <row r="636" spans="1:68" ht="14.25" customHeight="1" x14ac:dyDescent="0.3">
      <c r="A636" s="960"/>
      <c r="B636" s="960"/>
      <c r="C636" s="960"/>
      <c r="D636" s="944"/>
      <c r="E636" s="944"/>
      <c r="F636" s="45"/>
      <c r="G636" s="45"/>
      <c r="H636" s="45"/>
      <c r="I636" s="45"/>
      <c r="J636" s="45"/>
      <c r="K636" s="45"/>
      <c r="L636" s="944"/>
      <c r="M636" s="944"/>
      <c r="N636" s="944"/>
      <c r="O636" s="944"/>
      <c r="P636" s="944"/>
      <c r="Q636" s="944"/>
      <c r="R636" s="944"/>
      <c r="S636" s="944"/>
      <c r="T636" s="944"/>
      <c r="U636" s="944"/>
      <c r="V636" s="944"/>
      <c r="W636" s="944"/>
      <c r="X636" s="944"/>
      <c r="Y636" s="944"/>
      <c r="Z636" s="944"/>
      <c r="AA636" s="944"/>
      <c r="AB636" s="944"/>
      <c r="AC636" s="944"/>
      <c r="AD636" s="944"/>
      <c r="AE636" s="944"/>
      <c r="AF636" s="944"/>
      <c r="AG636" s="944"/>
      <c r="AH636" s="944"/>
      <c r="AI636" s="944"/>
      <c r="AJ636" s="944"/>
      <c r="AK636" s="944"/>
      <c r="AL636" s="944"/>
      <c r="AM636" s="944"/>
      <c r="AN636" s="944"/>
      <c r="AO636" s="944"/>
      <c r="AP636" s="944"/>
      <c r="AQ636" s="944"/>
      <c r="AR636" s="944"/>
      <c r="AS636" s="944"/>
      <c r="AT636" s="944"/>
      <c r="AU636" s="944"/>
      <c r="AV636" s="944"/>
      <c r="AW636" s="944"/>
      <c r="AX636" s="944"/>
      <c r="AY636" s="944"/>
      <c r="AZ636" s="944"/>
      <c r="BA636" s="944"/>
      <c r="BB636" s="944"/>
      <c r="BC636" s="944"/>
      <c r="BD636" s="944"/>
      <c r="BE636" s="944"/>
      <c r="BF636" s="944"/>
      <c r="BG636" s="944"/>
      <c r="BH636" s="944"/>
      <c r="BI636" s="944"/>
      <c r="BJ636" s="944"/>
      <c r="BK636" s="944"/>
      <c r="BL636" s="944"/>
      <c r="BM636" s="944"/>
      <c r="BN636" s="944"/>
      <c r="BO636" s="944"/>
      <c r="BP636" s="45"/>
    </row>
    <row r="637" spans="1:68" ht="14.25" customHeight="1" x14ac:dyDescent="0.3">
      <c r="A637" s="960"/>
      <c r="B637" s="960"/>
      <c r="C637" s="960"/>
      <c r="D637" s="944"/>
      <c r="E637" s="944"/>
      <c r="F637" s="45"/>
      <c r="G637" s="45"/>
      <c r="H637" s="45"/>
      <c r="I637" s="45"/>
      <c r="J637" s="45"/>
      <c r="K637" s="45"/>
      <c r="L637" s="944"/>
      <c r="M637" s="944"/>
      <c r="N637" s="944"/>
      <c r="O637" s="944"/>
      <c r="P637" s="944"/>
      <c r="Q637" s="944"/>
      <c r="R637" s="944"/>
      <c r="S637" s="944"/>
      <c r="T637" s="944"/>
      <c r="U637" s="944"/>
      <c r="V637" s="944"/>
      <c r="W637" s="944"/>
      <c r="X637" s="944"/>
      <c r="Y637" s="944"/>
      <c r="Z637" s="944"/>
      <c r="AA637" s="944"/>
      <c r="AB637" s="944"/>
      <c r="AC637" s="944"/>
      <c r="AD637" s="944"/>
      <c r="AE637" s="944"/>
      <c r="AF637" s="944"/>
      <c r="AG637" s="944"/>
      <c r="AH637" s="944"/>
      <c r="AI637" s="944"/>
      <c r="AJ637" s="944"/>
      <c r="AK637" s="944"/>
      <c r="AL637" s="944"/>
      <c r="AM637" s="944"/>
      <c r="AN637" s="944"/>
      <c r="AO637" s="944"/>
      <c r="AP637" s="944"/>
      <c r="AQ637" s="944"/>
      <c r="AR637" s="944"/>
      <c r="AS637" s="944"/>
      <c r="AT637" s="944"/>
      <c r="AU637" s="944"/>
      <c r="AV637" s="944"/>
      <c r="AW637" s="944"/>
      <c r="AX637" s="944"/>
      <c r="AY637" s="944"/>
      <c r="AZ637" s="944"/>
      <c r="BA637" s="944"/>
      <c r="BB637" s="944"/>
      <c r="BC637" s="944"/>
      <c r="BD637" s="944"/>
      <c r="BE637" s="944"/>
      <c r="BF637" s="944"/>
      <c r="BG637" s="944"/>
      <c r="BH637" s="944"/>
      <c r="BI637" s="944"/>
      <c r="BJ637" s="944"/>
      <c r="BK637" s="944"/>
      <c r="BL637" s="944"/>
      <c r="BM637" s="944"/>
      <c r="BN637" s="944"/>
      <c r="BO637" s="944"/>
      <c r="BP637" s="45"/>
    </row>
    <row r="638" spans="1:68" ht="14.25" customHeight="1" x14ac:dyDescent="0.3">
      <c r="A638" s="960"/>
      <c r="B638" s="960"/>
      <c r="C638" s="960"/>
      <c r="D638" s="944"/>
      <c r="E638" s="944"/>
      <c r="F638" s="45"/>
      <c r="G638" s="45"/>
      <c r="H638" s="45"/>
      <c r="I638" s="45"/>
      <c r="J638" s="45"/>
      <c r="K638" s="45"/>
      <c r="L638" s="944"/>
      <c r="M638" s="944"/>
      <c r="N638" s="944"/>
      <c r="O638" s="944"/>
      <c r="P638" s="944"/>
      <c r="Q638" s="944"/>
      <c r="R638" s="944"/>
      <c r="S638" s="944"/>
      <c r="T638" s="944"/>
      <c r="U638" s="944"/>
      <c r="V638" s="944"/>
      <c r="W638" s="944"/>
      <c r="X638" s="944"/>
      <c r="Y638" s="944"/>
      <c r="Z638" s="944"/>
      <c r="AA638" s="944"/>
      <c r="AB638" s="944"/>
      <c r="AC638" s="944"/>
      <c r="AD638" s="944"/>
      <c r="AE638" s="944"/>
      <c r="AF638" s="944"/>
      <c r="AG638" s="944"/>
      <c r="AH638" s="944"/>
      <c r="AI638" s="944"/>
      <c r="AJ638" s="944"/>
      <c r="AK638" s="944"/>
      <c r="AL638" s="944"/>
      <c r="AM638" s="944"/>
      <c r="AN638" s="944"/>
      <c r="AO638" s="944"/>
      <c r="AP638" s="944"/>
      <c r="AQ638" s="944"/>
      <c r="AR638" s="944"/>
      <c r="AS638" s="944"/>
      <c r="AT638" s="944"/>
      <c r="AU638" s="944"/>
      <c r="AV638" s="944"/>
      <c r="AW638" s="944"/>
      <c r="AX638" s="944"/>
      <c r="AY638" s="944"/>
      <c r="AZ638" s="944"/>
      <c r="BA638" s="944"/>
      <c r="BB638" s="944"/>
      <c r="BC638" s="944"/>
      <c r="BD638" s="944"/>
      <c r="BE638" s="944"/>
      <c r="BF638" s="944"/>
      <c r="BG638" s="944"/>
      <c r="BH638" s="944"/>
      <c r="BI638" s="944"/>
      <c r="BJ638" s="944"/>
      <c r="BK638" s="944"/>
      <c r="BL638" s="944"/>
      <c r="BM638" s="944"/>
      <c r="BN638" s="944"/>
      <c r="BO638" s="944"/>
      <c r="BP638" s="45"/>
    </row>
    <row r="639" spans="1:68" ht="14.25" customHeight="1" x14ac:dyDescent="0.3">
      <c r="A639" s="960"/>
      <c r="B639" s="960"/>
      <c r="C639" s="960"/>
      <c r="D639" s="944"/>
      <c r="E639" s="944"/>
      <c r="F639" s="45"/>
      <c r="G639" s="45"/>
      <c r="H639" s="45"/>
      <c r="I639" s="45"/>
      <c r="J639" s="45"/>
      <c r="K639" s="45"/>
      <c r="L639" s="944"/>
      <c r="M639" s="944"/>
      <c r="N639" s="944"/>
      <c r="O639" s="944"/>
      <c r="P639" s="944"/>
      <c r="Q639" s="944"/>
      <c r="R639" s="944"/>
      <c r="S639" s="944"/>
      <c r="T639" s="944"/>
      <c r="U639" s="944"/>
      <c r="V639" s="944"/>
      <c r="W639" s="944"/>
      <c r="X639" s="944"/>
      <c r="Y639" s="944"/>
      <c r="Z639" s="944"/>
      <c r="AA639" s="944"/>
      <c r="AB639" s="944"/>
      <c r="AC639" s="944"/>
      <c r="AD639" s="944"/>
      <c r="AE639" s="944"/>
      <c r="AF639" s="944"/>
      <c r="AG639" s="944"/>
      <c r="AH639" s="944"/>
      <c r="AI639" s="944"/>
      <c r="AJ639" s="944"/>
      <c r="AK639" s="944"/>
      <c r="AL639" s="944"/>
      <c r="AM639" s="944"/>
      <c r="AN639" s="944"/>
      <c r="AO639" s="944"/>
      <c r="AP639" s="944"/>
      <c r="AQ639" s="944"/>
      <c r="AR639" s="944"/>
      <c r="AS639" s="944"/>
      <c r="AT639" s="944"/>
      <c r="AU639" s="944"/>
      <c r="AV639" s="944"/>
      <c r="AW639" s="944"/>
      <c r="AX639" s="944"/>
      <c r="AY639" s="944"/>
      <c r="AZ639" s="944"/>
      <c r="BA639" s="944"/>
      <c r="BB639" s="944"/>
      <c r="BC639" s="944"/>
      <c r="BD639" s="944"/>
      <c r="BE639" s="944"/>
      <c r="BF639" s="944"/>
      <c r="BG639" s="944"/>
      <c r="BH639" s="944"/>
      <c r="BI639" s="944"/>
      <c r="BJ639" s="944"/>
      <c r="BK639" s="944"/>
      <c r="BL639" s="944"/>
      <c r="BM639" s="944"/>
      <c r="BN639" s="944"/>
      <c r="BO639" s="944"/>
      <c r="BP639" s="45"/>
    </row>
    <row r="640" spans="1:68" ht="14.25" customHeight="1" x14ac:dyDescent="0.3">
      <c r="A640" s="960"/>
      <c r="B640" s="960"/>
      <c r="C640" s="960"/>
      <c r="D640" s="944"/>
      <c r="E640" s="944"/>
      <c r="F640" s="45"/>
      <c r="G640" s="45"/>
      <c r="H640" s="45"/>
      <c r="I640" s="45"/>
      <c r="J640" s="45"/>
      <c r="K640" s="45"/>
      <c r="L640" s="944"/>
      <c r="M640" s="944"/>
      <c r="N640" s="944"/>
      <c r="O640" s="944"/>
      <c r="P640" s="944"/>
      <c r="Q640" s="944"/>
      <c r="R640" s="944"/>
      <c r="S640" s="944"/>
      <c r="T640" s="944"/>
      <c r="U640" s="944"/>
      <c r="V640" s="944"/>
      <c r="W640" s="944"/>
      <c r="X640" s="944"/>
      <c r="Y640" s="944"/>
      <c r="Z640" s="944"/>
      <c r="AA640" s="944"/>
      <c r="AB640" s="944"/>
      <c r="AC640" s="944"/>
      <c r="AD640" s="944"/>
      <c r="AE640" s="944"/>
      <c r="AF640" s="944"/>
      <c r="AG640" s="944"/>
      <c r="AH640" s="944"/>
      <c r="AI640" s="944"/>
      <c r="AJ640" s="944"/>
      <c r="AK640" s="944"/>
      <c r="AL640" s="944"/>
      <c r="AM640" s="944"/>
      <c r="AN640" s="944"/>
      <c r="AO640" s="944"/>
      <c r="AP640" s="944"/>
      <c r="AQ640" s="944"/>
      <c r="AR640" s="944"/>
      <c r="AS640" s="944"/>
      <c r="AT640" s="944"/>
      <c r="AU640" s="944"/>
      <c r="AV640" s="944"/>
      <c r="AW640" s="944"/>
      <c r="AX640" s="944"/>
      <c r="AY640" s="944"/>
      <c r="AZ640" s="944"/>
      <c r="BA640" s="944"/>
      <c r="BB640" s="944"/>
      <c r="BC640" s="944"/>
      <c r="BD640" s="944"/>
      <c r="BE640" s="944"/>
      <c r="BF640" s="944"/>
      <c r="BG640" s="944"/>
      <c r="BH640" s="944"/>
      <c r="BI640" s="944"/>
      <c r="BJ640" s="944"/>
      <c r="BK640" s="944"/>
      <c r="BL640" s="944"/>
      <c r="BM640" s="944"/>
      <c r="BN640" s="944"/>
      <c r="BO640" s="944"/>
      <c r="BP640" s="45"/>
    </row>
    <row r="641" spans="1:68" ht="14.25" customHeight="1" x14ac:dyDescent="0.3">
      <c r="A641" s="960"/>
      <c r="B641" s="960"/>
      <c r="C641" s="960"/>
      <c r="D641" s="944"/>
      <c r="E641" s="944"/>
      <c r="F641" s="45"/>
      <c r="G641" s="45"/>
      <c r="H641" s="45"/>
      <c r="I641" s="45"/>
      <c r="J641" s="45"/>
      <c r="K641" s="45"/>
      <c r="L641" s="944"/>
      <c r="M641" s="944"/>
      <c r="N641" s="944"/>
      <c r="O641" s="944"/>
      <c r="P641" s="944"/>
      <c r="Q641" s="944"/>
      <c r="R641" s="944"/>
      <c r="S641" s="944"/>
      <c r="T641" s="944"/>
      <c r="U641" s="944"/>
      <c r="V641" s="944"/>
      <c r="W641" s="944"/>
      <c r="X641" s="944"/>
      <c r="Y641" s="944"/>
      <c r="Z641" s="944"/>
      <c r="AA641" s="944"/>
      <c r="AB641" s="944"/>
      <c r="AC641" s="944"/>
      <c r="AD641" s="944"/>
      <c r="AE641" s="944"/>
      <c r="AF641" s="944"/>
      <c r="AG641" s="944"/>
      <c r="AH641" s="944"/>
      <c r="AI641" s="944"/>
      <c r="AJ641" s="944"/>
      <c r="AK641" s="944"/>
      <c r="AL641" s="944"/>
      <c r="AM641" s="944"/>
      <c r="AN641" s="944"/>
      <c r="AO641" s="944"/>
      <c r="AP641" s="944"/>
      <c r="AQ641" s="944"/>
      <c r="AR641" s="944"/>
      <c r="AS641" s="944"/>
      <c r="AT641" s="944"/>
      <c r="AU641" s="944"/>
      <c r="AV641" s="944"/>
      <c r="AW641" s="944"/>
      <c r="AX641" s="944"/>
      <c r="AY641" s="944"/>
      <c r="AZ641" s="944"/>
      <c r="BA641" s="944"/>
      <c r="BB641" s="944"/>
      <c r="BC641" s="944"/>
      <c r="BD641" s="944"/>
      <c r="BE641" s="944"/>
      <c r="BF641" s="944"/>
      <c r="BG641" s="944"/>
      <c r="BH641" s="944"/>
      <c r="BI641" s="944"/>
      <c r="BJ641" s="944"/>
      <c r="BK641" s="944"/>
      <c r="BL641" s="944"/>
      <c r="BM641" s="944"/>
      <c r="BN641" s="944"/>
      <c r="BO641" s="944"/>
      <c r="BP641" s="45"/>
    </row>
  </sheetData>
  <mergeCells count="33">
    <mergeCell ref="E429:E431"/>
    <mergeCell ref="E420:E425"/>
    <mergeCell ref="A395:A396"/>
    <mergeCell ref="A400:A401"/>
    <mergeCell ref="A369:A370"/>
    <mergeCell ref="A372:A373"/>
    <mergeCell ref="A377:A378"/>
    <mergeCell ref="A380:A381"/>
    <mergeCell ref="A409:A415"/>
    <mergeCell ref="A420:A425"/>
    <mergeCell ref="A429:A431"/>
    <mergeCell ref="A385:A386"/>
    <mergeCell ref="A319:A321"/>
    <mergeCell ref="A323:A327"/>
    <mergeCell ref="A334:A335"/>
    <mergeCell ref="A339:A340"/>
    <mergeCell ref="A97:A109"/>
    <mergeCell ref="A115:A128"/>
    <mergeCell ref="A255:A268"/>
    <mergeCell ref="A271:A284"/>
    <mergeCell ref="A317:A318"/>
    <mergeCell ref="A140:A152"/>
    <mergeCell ref="A155:A167"/>
    <mergeCell ref="A174:A186"/>
    <mergeCell ref="A189:A202"/>
    <mergeCell ref="A207:A220"/>
    <mergeCell ref="A225:A238"/>
    <mergeCell ref="A240:A253"/>
    <mergeCell ref="A8:A20"/>
    <mergeCell ref="A24:A36"/>
    <mergeCell ref="A42:A55"/>
    <mergeCell ref="A58:A70"/>
    <mergeCell ref="A82:A94"/>
  </mergeCells>
  <conditionalFormatting sqref="G207:R221">
    <cfRule type="cellIs" dxfId="8" priority="2" operator="lessThan">
      <formula>0</formula>
    </cfRule>
  </conditionalFormatting>
  <conditionalFormatting sqref="G207:BO220">
    <cfRule type="cellIs" dxfId="7" priority="1" operator="lessThan">
      <formula>0</formula>
    </cfRule>
  </conditionalFormatting>
  <pageMargins left="0.7" right="0.7" top="0.75" bottom="0.75" header="0" footer="0"/>
  <pageSetup orientation="portrait" r:id="rId1"/>
  <ignoredErrors>
    <ignoredError sqref="X61:Y61 Z61:BO61 X27:BO27 X158:BO158" formula="1"/>
    <ignoredError sqref="R223 M225 N227 Q228:Q231 L236 Q236 Q240:Q246 Q248:Q252" formulaRange="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sheetPr>
  <dimension ref="A1:BQ1054"/>
  <sheetViews>
    <sheetView workbookViewId="0">
      <pane ySplit="1" topLeftCell="A91" activePane="bottomLeft" state="frozen"/>
      <selection pane="bottomLeft" activeCell="Q98" sqref="Q98"/>
    </sheetView>
  </sheetViews>
  <sheetFormatPr defaultColWidth="12.58203125" defaultRowHeight="15" customHeight="1" x14ac:dyDescent="0.3"/>
  <cols>
    <col min="1" max="1" width="25.4140625" customWidth="1"/>
    <col min="2" max="2" width="5.5" customWidth="1"/>
    <col min="3" max="3" width="3.08203125" customWidth="1"/>
    <col min="4" max="4" width="55.1640625" customWidth="1"/>
    <col min="5" max="5" width="12" customWidth="1"/>
    <col min="6" max="6" width="9.6640625" customWidth="1"/>
    <col min="7" max="7" width="10.6640625" bestFit="1" customWidth="1"/>
    <col min="8" max="8" width="9.6640625" customWidth="1"/>
    <col min="9" max="9" width="10.6640625" bestFit="1" customWidth="1"/>
    <col min="10" max="10" width="11.58203125" customWidth="1"/>
    <col min="11" max="11" width="13.9140625" bestFit="1" customWidth="1"/>
    <col min="12" max="15" width="11.9140625" customWidth="1"/>
    <col min="16" max="16" width="11.6640625" customWidth="1"/>
    <col min="17" max="17" width="8.08203125" customWidth="1"/>
    <col min="18" max="41" width="8" customWidth="1"/>
    <col min="42" max="42" width="7.6640625" customWidth="1"/>
    <col min="43" max="43" width="9.1640625" customWidth="1"/>
    <col min="44" max="44" width="9.4140625" customWidth="1"/>
    <col min="45" max="45" width="8.1640625" customWidth="1"/>
    <col min="46" max="65" width="8" customWidth="1"/>
    <col min="66" max="66" width="3.1640625" customWidth="1"/>
    <col min="67" max="69" width="12.6640625" customWidth="1"/>
  </cols>
  <sheetData>
    <row r="1" spans="1:69" ht="15" customHeight="1" thickBot="1" x14ac:dyDescent="0.4">
      <c r="A1" s="43" t="s">
        <v>202</v>
      </c>
      <c r="B1" s="74"/>
      <c r="C1" s="75"/>
      <c r="D1" s="5" t="s">
        <v>203</v>
      </c>
      <c r="E1" s="76">
        <v>2010</v>
      </c>
      <c r="F1" s="76">
        <v>2011</v>
      </c>
      <c r="G1" s="77">
        <v>2012</v>
      </c>
      <c r="H1" s="77">
        <v>2013</v>
      </c>
      <c r="I1" s="76">
        <v>2014</v>
      </c>
      <c r="J1" s="76">
        <v>2015</v>
      </c>
      <c r="K1" s="76">
        <v>2016</v>
      </c>
      <c r="L1" s="76">
        <v>2017</v>
      </c>
      <c r="M1" s="76">
        <v>2018</v>
      </c>
      <c r="N1" s="76">
        <v>2019</v>
      </c>
      <c r="O1" s="76">
        <v>2020</v>
      </c>
      <c r="P1" s="76">
        <v>2021</v>
      </c>
      <c r="Q1" s="78">
        <v>2022</v>
      </c>
      <c r="R1" s="78">
        <v>2023</v>
      </c>
      <c r="S1" s="78">
        <v>2024</v>
      </c>
      <c r="T1" s="78">
        <v>2025</v>
      </c>
      <c r="U1" s="78">
        <v>2026</v>
      </c>
      <c r="V1" s="78">
        <v>2027</v>
      </c>
      <c r="W1" s="78">
        <v>2028</v>
      </c>
      <c r="X1" s="78">
        <v>2029</v>
      </c>
      <c r="Y1" s="78">
        <v>2030</v>
      </c>
      <c r="Z1" s="78">
        <v>2031</v>
      </c>
      <c r="AA1" s="78">
        <v>2032</v>
      </c>
      <c r="AB1" s="78">
        <v>2033</v>
      </c>
      <c r="AC1" s="78">
        <v>2034</v>
      </c>
      <c r="AD1" s="78">
        <v>2035</v>
      </c>
      <c r="AE1" s="78">
        <v>2036</v>
      </c>
      <c r="AF1" s="78">
        <v>2037</v>
      </c>
      <c r="AG1" s="78">
        <v>2038</v>
      </c>
      <c r="AH1" s="78">
        <v>2039</v>
      </c>
      <c r="AI1" s="78">
        <v>2040</v>
      </c>
      <c r="AJ1" s="78">
        <v>2041</v>
      </c>
      <c r="AK1" s="78">
        <v>2042</v>
      </c>
      <c r="AL1" s="78">
        <v>2043</v>
      </c>
      <c r="AM1" s="78">
        <v>2044</v>
      </c>
      <c r="AN1" s="78">
        <v>2045</v>
      </c>
      <c r="AO1" s="78">
        <v>2046</v>
      </c>
      <c r="AP1" s="78">
        <v>2047</v>
      </c>
      <c r="AQ1" s="78">
        <v>2048</v>
      </c>
      <c r="AR1" s="78">
        <v>2049</v>
      </c>
      <c r="AS1" s="78">
        <v>2050</v>
      </c>
      <c r="AT1" s="78">
        <v>2051</v>
      </c>
      <c r="AU1" s="78">
        <v>2052</v>
      </c>
      <c r="AV1" s="78">
        <v>2053</v>
      </c>
      <c r="AW1" s="78">
        <v>2054</v>
      </c>
      <c r="AX1" s="78">
        <v>2055</v>
      </c>
      <c r="AY1" s="78">
        <v>2056</v>
      </c>
      <c r="AZ1" s="78">
        <v>2057</v>
      </c>
      <c r="BA1" s="78">
        <v>2058</v>
      </c>
      <c r="BB1" s="78">
        <v>2059</v>
      </c>
      <c r="BC1" s="78">
        <v>2060</v>
      </c>
      <c r="BD1" s="78">
        <v>2061</v>
      </c>
      <c r="BE1" s="78">
        <v>2062</v>
      </c>
      <c r="BF1" s="78">
        <v>2063</v>
      </c>
      <c r="BG1" s="78">
        <v>2064</v>
      </c>
      <c r="BH1" s="78">
        <v>2065</v>
      </c>
      <c r="BI1" s="78">
        <v>2066</v>
      </c>
      <c r="BJ1" s="78">
        <v>2067</v>
      </c>
      <c r="BK1" s="78">
        <v>2068</v>
      </c>
      <c r="BL1" s="78">
        <v>2069</v>
      </c>
      <c r="BM1" s="78">
        <v>2070</v>
      </c>
      <c r="BN1" s="79"/>
      <c r="BO1" s="80"/>
      <c r="BP1" s="80"/>
      <c r="BQ1" s="80"/>
    </row>
    <row r="2" spans="1:69" ht="14.25" customHeight="1" x14ac:dyDescent="0.3">
      <c r="A2" s="960"/>
      <c r="B2" s="944"/>
      <c r="C2" s="944"/>
      <c r="D2" s="45"/>
      <c r="E2" s="944"/>
      <c r="F2" s="944"/>
      <c r="G2" s="944"/>
      <c r="H2" s="944"/>
      <c r="I2" s="944"/>
      <c r="J2" s="944"/>
      <c r="K2" s="944"/>
      <c r="L2" s="944"/>
      <c r="M2" s="944"/>
      <c r="N2" s="944"/>
      <c r="O2" s="944"/>
      <c r="P2" s="944"/>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row>
    <row r="3" spans="1:69" ht="26" x14ac:dyDescent="0.3">
      <c r="A3" s="960"/>
      <c r="B3" s="944"/>
      <c r="C3" s="44"/>
      <c r="D3" s="44" t="s">
        <v>618</v>
      </c>
      <c r="E3" s="941"/>
      <c r="F3" s="944"/>
      <c r="G3" s="944"/>
      <c r="H3" s="944"/>
      <c r="I3" s="944"/>
      <c r="J3" s="944"/>
      <c r="K3" s="944"/>
      <c r="L3" s="944"/>
      <c r="M3" s="944"/>
      <c r="N3" s="944"/>
      <c r="O3" s="944"/>
      <c r="P3" s="944"/>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row>
    <row r="4" spans="1:69" ht="15" customHeight="1" thickBot="1" x14ac:dyDescent="0.35">
      <c r="A4" s="960"/>
      <c r="B4" s="26"/>
      <c r="D4" s="81"/>
      <c r="E4" s="82"/>
      <c r="F4" s="944"/>
      <c r="G4" s="944"/>
      <c r="H4" s="944"/>
      <c r="I4" s="944"/>
      <c r="J4" s="944"/>
      <c r="K4" s="944"/>
      <c r="L4" s="944"/>
      <c r="M4" s="944"/>
      <c r="N4" s="944"/>
      <c r="O4" s="944"/>
      <c r="P4" s="944"/>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row>
    <row r="5" spans="1:69" ht="15" customHeight="1" x14ac:dyDescent="0.3">
      <c r="A5" s="960"/>
      <c r="B5" s="26"/>
      <c r="C5" s="83"/>
      <c r="D5" s="175"/>
      <c r="E5" s="176"/>
      <c r="F5" s="176"/>
      <c r="G5" s="176"/>
      <c r="H5" s="176"/>
      <c r="I5" s="176"/>
      <c r="J5" s="176"/>
      <c r="K5" s="176"/>
      <c r="L5" s="176"/>
      <c r="M5" s="176"/>
      <c r="N5" s="176"/>
      <c r="O5" s="176"/>
      <c r="P5" s="176"/>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47"/>
    </row>
    <row r="6" spans="1:69" ht="14.25" customHeight="1" x14ac:dyDescent="0.3">
      <c r="A6" s="960"/>
      <c r="B6" s="944"/>
      <c r="C6" s="183"/>
      <c r="D6" s="178" t="s">
        <v>619</v>
      </c>
      <c r="E6" s="180"/>
      <c r="F6" s="180"/>
      <c r="G6" s="180"/>
      <c r="H6" s="180"/>
      <c r="I6" s="180"/>
      <c r="J6" s="180"/>
      <c r="K6" s="181"/>
      <c r="L6" s="181"/>
      <c r="M6" s="181"/>
      <c r="N6" s="181"/>
      <c r="O6" s="181"/>
      <c r="P6" s="181"/>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2"/>
    </row>
    <row r="7" spans="1:69" ht="14.25" customHeight="1" x14ac:dyDescent="0.3">
      <c r="A7" s="960"/>
      <c r="B7" s="944"/>
      <c r="C7" s="183"/>
      <c r="D7" s="184" t="s">
        <v>620</v>
      </c>
      <c r="E7" s="180"/>
      <c r="F7" s="180"/>
      <c r="G7" s="180"/>
      <c r="H7" s="180"/>
      <c r="I7" s="180"/>
      <c r="J7" s="180"/>
      <c r="K7" s="181"/>
      <c r="L7" s="181"/>
      <c r="M7" s="181"/>
      <c r="N7" s="181"/>
      <c r="O7" s="181"/>
      <c r="P7" s="181"/>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c r="BN7" s="182"/>
    </row>
    <row r="8" spans="1:69" ht="14.25" customHeight="1" x14ac:dyDescent="0.3">
      <c r="A8" s="1198" t="s">
        <v>621</v>
      </c>
      <c r="B8" s="944"/>
      <c r="C8" s="183"/>
      <c r="D8" s="185" t="s">
        <v>622</v>
      </c>
      <c r="E8" s="1203" t="s">
        <v>623</v>
      </c>
      <c r="F8" s="977"/>
      <c r="G8" s="977"/>
      <c r="H8" s="977"/>
      <c r="I8" s="977"/>
      <c r="J8" s="977"/>
      <c r="K8" s="977"/>
      <c r="L8" s="290">
        <f t="shared" ref="L8:P8" si="0">296*(44/28)*0.01*L98/1000000000</f>
        <v>9.4598791070634999E-7</v>
      </c>
      <c r="M8" s="290">
        <f t="shared" si="0"/>
        <v>7.8546557717309807E-7</v>
      </c>
      <c r="N8" s="290">
        <f t="shared" si="0"/>
        <v>6.8997596249770291E-7</v>
      </c>
      <c r="O8" s="290">
        <f t="shared" si="0"/>
        <v>7.671669420134155E-7</v>
      </c>
      <c r="P8" s="290">
        <f t="shared" si="0"/>
        <v>7.3213485714285716E-7</v>
      </c>
      <c r="Q8" s="290">
        <f t="shared" ref="Q8:BM8" si="1">296*(44/28)*0.01*Q98/1000000000</f>
        <v>7.5734835170740474E-7</v>
      </c>
      <c r="R8" s="290">
        <f t="shared" si="1"/>
        <v>7.7962637341052296E-7</v>
      </c>
      <c r="S8" s="290">
        <f t="shared" si="1"/>
        <v>8.0390998170614028E-7</v>
      </c>
      <c r="T8" s="290">
        <f t="shared" si="1"/>
        <v>8.2290135677772219E-7</v>
      </c>
      <c r="U8" s="290">
        <f t="shared" si="1"/>
        <v>8.3894737677237942E-7</v>
      </c>
      <c r="V8" s="290">
        <f t="shared" si="1"/>
        <v>8.602643209622577E-7</v>
      </c>
      <c r="W8" s="290">
        <f t="shared" si="1"/>
        <v>8.7878848979364046E-7</v>
      </c>
      <c r="X8" s="290">
        <f t="shared" si="1"/>
        <v>8.897726146067763E-7</v>
      </c>
      <c r="Y8" s="290">
        <f t="shared" si="1"/>
        <v>9.0269535054057751E-7</v>
      </c>
      <c r="Z8" s="290">
        <f t="shared" si="1"/>
        <v>9.2156905128442346E-7</v>
      </c>
      <c r="AA8" s="290">
        <f t="shared" si="1"/>
        <v>9.339998374497329E-7</v>
      </c>
      <c r="AB8" s="290">
        <f t="shared" si="1"/>
        <v>9.5006218431483818E-7</v>
      </c>
      <c r="AC8" s="290">
        <f t="shared" si="1"/>
        <v>9.6143484207154907E-7</v>
      </c>
      <c r="AD8" s="290">
        <f t="shared" si="1"/>
        <v>9.7337686964330535E-7</v>
      </c>
      <c r="AE8" s="290">
        <f t="shared" si="1"/>
        <v>9.8783248252788827E-7</v>
      </c>
      <c r="AF8" s="290">
        <f t="shared" si="1"/>
        <v>1.0008992552182473E-6</v>
      </c>
      <c r="AG8" s="290">
        <f t="shared" si="1"/>
        <v>1.0159102896781734E-6</v>
      </c>
      <c r="AH8" s="290">
        <f t="shared" si="1"/>
        <v>1.0346055399109393E-6</v>
      </c>
      <c r="AI8" s="290">
        <f t="shared" si="1"/>
        <v>1.0524032266401646E-6</v>
      </c>
      <c r="AJ8" s="290">
        <f t="shared" si="1"/>
        <v>1.0725017287968763E-6</v>
      </c>
      <c r="AK8" s="290">
        <f t="shared" si="1"/>
        <v>1.0937612379062754E-6</v>
      </c>
      <c r="AL8" s="290">
        <f t="shared" si="1"/>
        <v>1.1120081918056876E-6</v>
      </c>
      <c r="AM8" s="290">
        <f t="shared" si="1"/>
        <v>1.1366419033683144E-6</v>
      </c>
      <c r="AN8" s="290">
        <f t="shared" si="1"/>
        <v>1.1595288189991325E-6</v>
      </c>
      <c r="AO8" s="290">
        <f t="shared" si="1"/>
        <v>1.1886538148740233E-6</v>
      </c>
      <c r="AP8" s="290">
        <f t="shared" si="1"/>
        <v>1.2142798107008408E-6</v>
      </c>
      <c r="AQ8" s="290">
        <f t="shared" si="1"/>
        <v>1.2402099824022119E-6</v>
      </c>
      <c r="AR8" s="290">
        <f t="shared" si="1"/>
        <v>1.2676519008306784E-6</v>
      </c>
      <c r="AS8" s="290">
        <f t="shared" si="1"/>
        <v>1.2953674093436156E-6</v>
      </c>
      <c r="AT8" s="290">
        <f t="shared" si="1"/>
        <v>1.3197376949806814E-6</v>
      </c>
      <c r="AU8" s="290">
        <f t="shared" si="1"/>
        <v>1.3450937345415869E-6</v>
      </c>
      <c r="AV8" s="290">
        <f t="shared" si="1"/>
        <v>1.3713036397779181E-6</v>
      </c>
      <c r="AW8" s="290">
        <f t="shared" si="1"/>
        <v>1.3985605970610039E-6</v>
      </c>
      <c r="AX8" s="290">
        <f t="shared" si="1"/>
        <v>1.4267858167554573E-6</v>
      </c>
      <c r="AY8" s="290">
        <f t="shared" si="1"/>
        <v>1.4557393220681254E-6</v>
      </c>
      <c r="AZ8" s="290">
        <f t="shared" si="1"/>
        <v>1.4855615543376859E-6</v>
      </c>
      <c r="BA8" s="290">
        <f t="shared" si="1"/>
        <v>1.5161236196549511E-6</v>
      </c>
      <c r="BB8" s="290">
        <f t="shared" si="1"/>
        <v>1.5473855347205297E-6</v>
      </c>
      <c r="BC8" s="290">
        <f t="shared" si="1"/>
        <v>1.5796728006848472E-6</v>
      </c>
      <c r="BD8" s="290">
        <f t="shared" si="1"/>
        <v>1.6125067209130058E-6</v>
      </c>
      <c r="BE8" s="290">
        <f t="shared" si="1"/>
        <v>1.6460885819341748E-6</v>
      </c>
      <c r="BF8" s="290">
        <f t="shared" si="1"/>
        <v>1.6799282426188579E-6</v>
      </c>
      <c r="BG8" s="290">
        <f t="shared" si="1"/>
        <v>1.7143584424770173E-6</v>
      </c>
      <c r="BH8" s="290">
        <f t="shared" si="1"/>
        <v>1.7494022167256137E-6</v>
      </c>
      <c r="BI8" s="290">
        <f t="shared" si="1"/>
        <v>1.784978044114294E-6</v>
      </c>
      <c r="BJ8" s="290">
        <f t="shared" si="1"/>
        <v>1.8211069128477706E-6</v>
      </c>
      <c r="BK8" s="290">
        <f t="shared" si="1"/>
        <v>1.8581294792426567E-6</v>
      </c>
      <c r="BL8" s="290">
        <f t="shared" si="1"/>
        <v>1.8960343970104696E-6</v>
      </c>
      <c r="BM8" s="290">
        <f t="shared" si="1"/>
        <v>1.9348208604124525E-6</v>
      </c>
      <c r="BN8" s="182"/>
    </row>
    <row r="9" spans="1:69" ht="14.25" customHeight="1" x14ac:dyDescent="0.3">
      <c r="A9" s="982"/>
      <c r="B9" s="944"/>
      <c r="C9" s="183"/>
      <c r="D9" s="185" t="s">
        <v>624</v>
      </c>
      <c r="E9" s="977"/>
      <c r="F9" s="982"/>
      <c r="G9" s="982"/>
      <c r="H9" s="982"/>
      <c r="I9" s="982"/>
      <c r="J9" s="982"/>
      <c r="K9" s="977"/>
      <c r="L9" s="290">
        <f t="shared" ref="L9:P9" si="2">296*(44/28)*0.01*L99/1000000000</f>
        <v>3.572576228571428E-6</v>
      </c>
      <c r="M9" s="290">
        <f t="shared" si="2"/>
        <v>3.5769485714285713E-6</v>
      </c>
      <c r="N9" s="290">
        <f t="shared" si="2"/>
        <v>2.6373599999999997E-6</v>
      </c>
      <c r="O9" s="290">
        <f t="shared" si="2"/>
        <v>3.8685931428571427E-6</v>
      </c>
      <c r="P9" s="290">
        <f t="shared" si="2"/>
        <v>4.7225954285714282E-6</v>
      </c>
      <c r="Q9" s="290">
        <f t="shared" ref="Q9:BM9" si="3">296*(44/28)*0.01*Q99/1000000000</f>
        <v>4.8852336816297842E-6</v>
      </c>
      <c r="R9" s="290">
        <f t="shared" si="3"/>
        <v>5.0289368292484364E-6</v>
      </c>
      <c r="S9" s="290">
        <f t="shared" si="3"/>
        <v>5.1855769023268364E-6</v>
      </c>
      <c r="T9" s="290">
        <f t="shared" si="3"/>
        <v>5.3080797175122051E-6</v>
      </c>
      <c r="U9" s="290">
        <f t="shared" si="3"/>
        <v>5.4115836825730422E-6</v>
      </c>
      <c r="V9" s="290">
        <f t="shared" si="3"/>
        <v>5.5490874528143592E-6</v>
      </c>
      <c r="W9" s="290">
        <f t="shared" si="3"/>
        <v>5.6685765799713046E-6</v>
      </c>
      <c r="X9" s="290">
        <f t="shared" si="3"/>
        <v>5.7394290699508266E-6</v>
      </c>
      <c r="Y9" s="290">
        <f t="shared" si="3"/>
        <v>5.8227864638109816E-6</v>
      </c>
      <c r="Z9" s="290">
        <f t="shared" si="3"/>
        <v>5.9445302272495258E-6</v>
      </c>
      <c r="AA9" s="290">
        <f t="shared" si="3"/>
        <v>6.0247143263196564E-6</v>
      </c>
      <c r="AB9" s="290">
        <f t="shared" si="3"/>
        <v>6.1283236069558789E-6</v>
      </c>
      <c r="AC9" s="290">
        <f t="shared" si="3"/>
        <v>6.2016823072124779E-6</v>
      </c>
      <c r="AD9" s="290">
        <f t="shared" si="3"/>
        <v>6.2787136959901408E-6</v>
      </c>
      <c r="AE9" s="290">
        <f t="shared" si="3"/>
        <v>6.3719588278943143E-6</v>
      </c>
      <c r="AF9" s="290">
        <f t="shared" si="3"/>
        <v>6.4562453228912743E-6</v>
      </c>
      <c r="AG9" s="290">
        <f t="shared" si="3"/>
        <v>6.5530731709672785E-6</v>
      </c>
      <c r="AH9" s="290">
        <f t="shared" si="3"/>
        <v>6.6736658492476286E-6</v>
      </c>
      <c r="AI9" s="290">
        <f t="shared" si="3"/>
        <v>6.7884688437595879E-6</v>
      </c>
      <c r="AJ9" s="290">
        <f t="shared" si="3"/>
        <v>6.9181131210131395E-6</v>
      </c>
      <c r="AK9" s="290">
        <f t="shared" si="3"/>
        <v>7.0552464094424484E-6</v>
      </c>
      <c r="AL9" s="290">
        <f t="shared" si="3"/>
        <v>7.1729473770032702E-6</v>
      </c>
      <c r="AM9" s="290">
        <f t="shared" si="3"/>
        <v>7.3318457718541903E-6</v>
      </c>
      <c r="AN9" s="290">
        <f t="shared" si="3"/>
        <v>7.4794765560979621E-6</v>
      </c>
      <c r="AO9" s="290">
        <f t="shared" si="3"/>
        <v>7.6673457321575343E-6</v>
      </c>
      <c r="AP9" s="290">
        <f t="shared" si="3"/>
        <v>7.8326448018079004E-6</v>
      </c>
      <c r="AQ9" s="290">
        <f t="shared" si="3"/>
        <v>7.999905941124306E-6</v>
      </c>
      <c r="AR9" s="290">
        <f t="shared" si="3"/>
        <v>8.1769185191447744E-6</v>
      </c>
      <c r="AS9" s="290">
        <f t="shared" si="3"/>
        <v>8.3556958748829297E-6</v>
      </c>
      <c r="AT9" s="290">
        <f t="shared" si="3"/>
        <v>8.5128950553614101E-6</v>
      </c>
      <c r="AU9" s="290">
        <f t="shared" si="3"/>
        <v>8.6764527870398544E-6</v>
      </c>
      <c r="AV9" s="290">
        <f t="shared" si="3"/>
        <v>8.8455183320617566E-6</v>
      </c>
      <c r="AW9" s="290">
        <f t="shared" si="3"/>
        <v>9.0213378284373408E-6</v>
      </c>
      <c r="AX9" s="290">
        <f t="shared" si="3"/>
        <v>9.2034030479785013E-6</v>
      </c>
      <c r="AY9" s="290">
        <f t="shared" si="3"/>
        <v>9.390166033645286E-6</v>
      </c>
      <c r="AZ9" s="290">
        <f t="shared" si="3"/>
        <v>9.5825326945301956E-6</v>
      </c>
      <c r="BA9" s="290">
        <f t="shared" si="3"/>
        <v>9.7796716075963906E-6</v>
      </c>
      <c r="BB9" s="290">
        <f t="shared" si="3"/>
        <v>9.9813248627811577E-6</v>
      </c>
      <c r="BC9" s="290">
        <f t="shared" si="3"/>
        <v>1.0189592087263824E-5</v>
      </c>
      <c r="BD9" s="290">
        <f t="shared" si="3"/>
        <v>1.0401385474860073E-5</v>
      </c>
      <c r="BE9" s="290">
        <f t="shared" si="3"/>
        <v>1.0618003413200562E-5</v>
      </c>
      <c r="BF9" s="290">
        <f t="shared" si="3"/>
        <v>1.0836284274021138E-5</v>
      </c>
      <c r="BG9" s="290">
        <f t="shared" si="3"/>
        <v>1.1058374375139242E-5</v>
      </c>
      <c r="BH9" s="290">
        <f t="shared" si="3"/>
        <v>1.1284422303948644E-5</v>
      </c>
      <c r="BI9" s="290">
        <f t="shared" si="3"/>
        <v>1.1513902212129883E-5</v>
      </c>
      <c r="BJ9" s="290">
        <f t="shared" si="3"/>
        <v>1.1746949482937373E-5</v>
      </c>
      <c r="BK9" s="290">
        <f t="shared" si="3"/>
        <v>1.1985761501112265E-5</v>
      </c>
      <c r="BL9" s="290">
        <f t="shared" si="3"/>
        <v>1.2230265078047843E-5</v>
      </c>
      <c r="BM9" s="290">
        <f t="shared" si="3"/>
        <v>1.2480455016370801E-5</v>
      </c>
      <c r="BN9" s="182"/>
    </row>
    <row r="10" spans="1:69" ht="14.25" customHeight="1" x14ac:dyDescent="0.3">
      <c r="A10" s="982"/>
      <c r="B10" s="944"/>
      <c r="C10" s="183"/>
      <c r="D10" s="185" t="s">
        <v>625</v>
      </c>
      <c r="E10" s="977"/>
      <c r="F10" s="982"/>
      <c r="G10" s="982"/>
      <c r="H10" s="982"/>
      <c r="I10" s="982"/>
      <c r="J10" s="982"/>
      <c r="K10" s="977"/>
      <c r="L10" s="290">
        <f t="shared" ref="L10:P10" si="4">296*(44/28)*0.01*L100/1000000000</f>
        <v>5.6865499539502129E-7</v>
      </c>
      <c r="M10" s="290">
        <f t="shared" si="4"/>
        <v>1.4130915486836408E-7</v>
      </c>
      <c r="N10" s="290">
        <f t="shared" si="4"/>
        <v>5.3596585544606793E-7</v>
      </c>
      <c r="O10" s="290">
        <f t="shared" si="4"/>
        <v>5.7305551147267492E-7</v>
      </c>
      <c r="P10" s="290">
        <f t="shared" si="4"/>
        <v>6.1090506365344282E-7</v>
      </c>
      <c r="Q10" s="290">
        <f t="shared" ref="Q10:BM10" si="5">296*(44/28)*0.01*Q100/1000000000</f>
        <v>6.3194360778449369E-7</v>
      </c>
      <c r="R10" s="290">
        <f t="shared" si="5"/>
        <v>6.5053274629338537E-7</v>
      </c>
      <c r="S10" s="290">
        <f t="shared" si="5"/>
        <v>6.7079537841209451E-7</v>
      </c>
      <c r="T10" s="290">
        <f t="shared" si="5"/>
        <v>6.8664208627442397E-7</v>
      </c>
      <c r="U10" s="290">
        <f t="shared" si="5"/>
        <v>7.0003114263553619E-7</v>
      </c>
      <c r="V10" s="290">
        <f t="shared" si="5"/>
        <v>7.178183426577219E-7</v>
      </c>
      <c r="W10" s="290">
        <f t="shared" si="5"/>
        <v>7.3327520614217013E-7</v>
      </c>
      <c r="X10" s="290">
        <f t="shared" si="5"/>
        <v>7.4244053600275451E-7</v>
      </c>
      <c r="Y10" s="290">
        <f t="shared" si="5"/>
        <v>7.5322347406559155E-7</v>
      </c>
      <c r="Z10" s="290">
        <f t="shared" si="5"/>
        <v>7.6897199258209969E-7</v>
      </c>
      <c r="AA10" s="290">
        <f t="shared" si="5"/>
        <v>7.7934443987031666E-7</v>
      </c>
      <c r="AB10" s="290">
        <f t="shared" si="5"/>
        <v>7.9274711963391139E-7</v>
      </c>
      <c r="AC10" s="290">
        <f t="shared" si="5"/>
        <v>8.0223664761224757E-7</v>
      </c>
      <c r="AD10" s="290">
        <f t="shared" si="5"/>
        <v>8.1220126689338012E-7</v>
      </c>
      <c r="AE10" s="290">
        <f t="shared" si="5"/>
        <v>8.2426326206168605E-7</v>
      </c>
      <c r="AF10" s="290">
        <f t="shared" si="5"/>
        <v>8.351663867036416E-7</v>
      </c>
      <c r="AG10" s="290">
        <f t="shared" si="5"/>
        <v>8.4769183453989433E-7</v>
      </c>
      <c r="AH10" s="290">
        <f t="shared" si="5"/>
        <v>8.6329145108872963E-7</v>
      </c>
      <c r="AI10" s="290">
        <f t="shared" si="5"/>
        <v>8.7814212625891884E-7</v>
      </c>
      <c r="AJ10" s="290">
        <f t="shared" si="5"/>
        <v>8.9491263871245847E-7</v>
      </c>
      <c r="AK10" s="290">
        <f t="shared" si="5"/>
        <v>9.1265191398259391E-7</v>
      </c>
      <c r="AL10" s="290">
        <f t="shared" si="5"/>
        <v>9.27877464883016E-7</v>
      </c>
      <c r="AM10" s="290">
        <f t="shared" si="5"/>
        <v>9.4843222878117943E-7</v>
      </c>
      <c r="AN10" s="290">
        <f t="shared" si="5"/>
        <v>9.6752943814618551E-7</v>
      </c>
      <c r="AO10" s="290">
        <f t="shared" si="5"/>
        <v>9.9183180168654734E-7</v>
      </c>
      <c r="AP10" s="290">
        <f t="shared" si="5"/>
        <v>1.0132145434847703E-6</v>
      </c>
      <c r="AQ10" s="290">
        <f t="shared" si="5"/>
        <v>1.0348510945097953E-6</v>
      </c>
      <c r="AR10" s="290">
        <f t="shared" si="5"/>
        <v>1.0577490712428493E-6</v>
      </c>
      <c r="AS10" s="290">
        <f t="shared" si="5"/>
        <v>1.0808753359290557E-6</v>
      </c>
      <c r="AT10" s="290">
        <f t="shared" si="5"/>
        <v>1.1012102930112303E-6</v>
      </c>
      <c r="AU10" s="290">
        <f t="shared" si="5"/>
        <v>1.1223677789727706E-6</v>
      </c>
      <c r="AV10" s="290">
        <f t="shared" si="5"/>
        <v>1.1442377441445384E-6</v>
      </c>
      <c r="AW10" s="290">
        <f t="shared" si="5"/>
        <v>1.1669813863322697E-6</v>
      </c>
      <c r="AX10" s="290">
        <f t="shared" si="5"/>
        <v>1.1905329622009052E-6</v>
      </c>
      <c r="AY10" s="290">
        <f t="shared" si="5"/>
        <v>1.2146922312665145E-6</v>
      </c>
      <c r="AZ10" s="290">
        <f t="shared" si="5"/>
        <v>1.2395763800338894E-6</v>
      </c>
      <c r="BA10" s="290">
        <f t="shared" si="5"/>
        <v>1.2650778573585533E-6</v>
      </c>
      <c r="BB10" s="290">
        <f t="shared" si="5"/>
        <v>1.2911633005344127E-6</v>
      </c>
      <c r="BC10" s="290">
        <f t="shared" si="5"/>
        <v>1.3181043129403803E-6</v>
      </c>
      <c r="BD10" s="290">
        <f t="shared" si="5"/>
        <v>1.3455014624290045E-6</v>
      </c>
      <c r="BE10" s="290">
        <f t="shared" si="5"/>
        <v>1.3735227057075979E-6</v>
      </c>
      <c r="BF10" s="290">
        <f t="shared" si="5"/>
        <v>1.4017590611589181E-6</v>
      </c>
      <c r="BG10" s="290">
        <f t="shared" si="5"/>
        <v>1.4304881719651331E-6</v>
      </c>
      <c r="BH10" s="290">
        <f t="shared" si="5"/>
        <v>1.4597292590806159E-6</v>
      </c>
      <c r="BI10" s="290">
        <f t="shared" si="5"/>
        <v>1.4894142998669816E-6</v>
      </c>
      <c r="BJ10" s="290">
        <f t="shared" si="5"/>
        <v>1.5195608072187613E-6</v>
      </c>
      <c r="BK10" s="290">
        <f t="shared" si="5"/>
        <v>1.5504530302285294E-6</v>
      </c>
      <c r="BL10" s="290">
        <f t="shared" si="5"/>
        <v>1.5820815013712518E-6</v>
      </c>
      <c r="BM10" s="290">
        <f t="shared" si="5"/>
        <v>1.6144455483255918E-6</v>
      </c>
      <c r="BN10" s="182"/>
    </row>
    <row r="11" spans="1:69" ht="14.25" customHeight="1" x14ac:dyDescent="0.3">
      <c r="A11" s="982"/>
      <c r="B11" s="944"/>
      <c r="C11" s="183"/>
      <c r="D11" s="185" t="s">
        <v>626</v>
      </c>
      <c r="E11" s="977"/>
      <c r="F11" s="982"/>
      <c r="G11" s="982"/>
      <c r="H11" s="982"/>
      <c r="I11" s="982"/>
      <c r="J11" s="982"/>
      <c r="K11" s="977"/>
      <c r="L11" s="290">
        <f t="shared" ref="L11:P11" si="6">296*(44/28)*0.01*L101/1000000000</f>
        <v>7.0170425369394674E-7</v>
      </c>
      <c r="M11" s="290">
        <f t="shared" si="6"/>
        <v>9.3028571428571424E-7</v>
      </c>
      <c r="N11" s="290">
        <f t="shared" si="6"/>
        <v>9.3028571428571424E-7</v>
      </c>
      <c r="O11" s="290">
        <f t="shared" si="6"/>
        <v>9.3028571428571424E-7</v>
      </c>
      <c r="P11" s="290">
        <f t="shared" si="6"/>
        <v>7.9074285714285712E-7</v>
      </c>
      <c r="Q11" s="290">
        <f t="shared" ref="Q11:BM11" si="7">296*(44/28)*0.01*Q101/1000000000</f>
        <v>8.1797471277165697E-7</v>
      </c>
      <c r="R11" s="290">
        <f t="shared" si="7"/>
        <v>8.4203610851200066E-7</v>
      </c>
      <c r="S11" s="290">
        <f t="shared" si="7"/>
        <v>8.6826363970802948E-7</v>
      </c>
      <c r="T11" s="290">
        <f t="shared" si="7"/>
        <v>8.8877529003947122E-7</v>
      </c>
      <c r="U11" s="290">
        <f t="shared" si="7"/>
        <v>9.0610580718744944E-7</v>
      </c>
      <c r="V11" s="290">
        <f t="shared" si="7"/>
        <v>9.2912919036584394E-7</v>
      </c>
      <c r="W11" s="290">
        <f t="shared" si="7"/>
        <v>9.4913623421168305E-7</v>
      </c>
      <c r="X11" s="290">
        <f t="shared" si="7"/>
        <v>9.6099964728813232E-7</v>
      </c>
      <c r="Y11" s="290">
        <f t="shared" si="7"/>
        <v>9.7495685890659607E-7</v>
      </c>
      <c r="Z11" s="290">
        <f t="shared" si="7"/>
        <v>9.9534141498317688E-7</v>
      </c>
      <c r="AA11" s="290">
        <f t="shared" si="7"/>
        <v>1.0087672958478692E-6</v>
      </c>
      <c r="AB11" s="290">
        <f t="shared" si="7"/>
        <v>1.0261154468457594E-6</v>
      </c>
      <c r="AC11" s="290">
        <f t="shared" si="7"/>
        <v>1.0383984952488145E-6</v>
      </c>
      <c r="AD11" s="290">
        <f t="shared" si="7"/>
        <v>1.0512964919908637E-6</v>
      </c>
      <c r="AE11" s="290">
        <f t="shared" si="7"/>
        <v>1.0669092886260549E-6</v>
      </c>
      <c r="AF11" s="290">
        <f t="shared" si="7"/>
        <v>1.0810220672624019E-6</v>
      </c>
      <c r="AG11" s="290">
        <f t="shared" si="7"/>
        <v>1.097234747428777E-6</v>
      </c>
      <c r="AH11" s="290">
        <f t="shared" si="7"/>
        <v>1.1174265678834797E-6</v>
      </c>
      <c r="AI11" s="290">
        <f t="shared" si="7"/>
        <v>1.1366489741348667E-6</v>
      </c>
      <c r="AJ11" s="290">
        <f t="shared" si="7"/>
        <v>1.1583563779890023E-6</v>
      </c>
      <c r="AK11" s="290">
        <f t="shared" si="7"/>
        <v>1.1813177283612885E-6</v>
      </c>
      <c r="AL11" s="290">
        <f t="shared" si="7"/>
        <v>1.2010253659908954E-6</v>
      </c>
      <c r="AM11" s="290">
        <f t="shared" si="7"/>
        <v>1.2276310265096155E-6</v>
      </c>
      <c r="AN11" s="290">
        <f t="shared" si="7"/>
        <v>1.2523500586394698E-6</v>
      </c>
      <c r="AO11" s="290">
        <f t="shared" si="7"/>
        <v>1.2838065344890979E-6</v>
      </c>
      <c r="AP11" s="290">
        <f t="shared" si="7"/>
        <v>1.3114839124469053E-6</v>
      </c>
      <c r="AQ11" s="290">
        <f t="shared" si="7"/>
        <v>1.3394898158092503E-6</v>
      </c>
      <c r="AR11" s="290">
        <f t="shared" si="7"/>
        <v>1.3691284824727784E-6</v>
      </c>
      <c r="AS11" s="290">
        <f t="shared" si="7"/>
        <v>1.399062640333003E-6</v>
      </c>
      <c r="AT11" s="290">
        <f t="shared" si="7"/>
        <v>1.4253837874632517E-6</v>
      </c>
      <c r="AU11" s="290">
        <f t="shared" si="7"/>
        <v>1.4527695989330986E-6</v>
      </c>
      <c r="AV11" s="290">
        <f t="shared" si="7"/>
        <v>1.4810776287309149E-6</v>
      </c>
      <c r="AW11" s="290">
        <f t="shared" si="7"/>
        <v>1.5105165279566114E-6</v>
      </c>
      <c r="AX11" s="290">
        <f t="shared" si="7"/>
        <v>1.5410011997994138E-6</v>
      </c>
      <c r="AY11" s="290">
        <f t="shared" si="7"/>
        <v>1.5722724571256754E-6</v>
      </c>
      <c r="AZ11" s="290">
        <f t="shared" si="7"/>
        <v>1.6044819837192286E-6</v>
      </c>
      <c r="BA11" s="290">
        <f t="shared" si="7"/>
        <v>1.637490567606999E-6</v>
      </c>
      <c r="BB11" s="290">
        <f t="shared" si="7"/>
        <v>1.6712550247934567E-6</v>
      </c>
      <c r="BC11" s="290">
        <f t="shared" si="7"/>
        <v>1.706126913064956E-6</v>
      </c>
      <c r="BD11" s="290">
        <f t="shared" si="7"/>
        <v>1.7415892157256103E-6</v>
      </c>
      <c r="BE11" s="290">
        <f t="shared" si="7"/>
        <v>1.7778593324574952E-6</v>
      </c>
      <c r="BF11" s="290">
        <f t="shared" si="7"/>
        <v>1.814407885928881E-6</v>
      </c>
      <c r="BG11" s="290">
        <f t="shared" si="7"/>
        <v>1.8515942517223186E-6</v>
      </c>
      <c r="BH11" s="290">
        <f t="shared" si="7"/>
        <v>1.8894433090429119E-6</v>
      </c>
      <c r="BI11" s="290">
        <f t="shared" si="7"/>
        <v>1.9278670107968871E-6</v>
      </c>
      <c r="BJ11" s="290">
        <f t="shared" si="7"/>
        <v>1.9668880253120777E-6</v>
      </c>
      <c r="BK11" s="290">
        <f t="shared" si="7"/>
        <v>2.006874278724598E-6</v>
      </c>
      <c r="BL11" s="290">
        <f t="shared" si="7"/>
        <v>2.0478135164661997E-6</v>
      </c>
      <c r="BM11" s="290">
        <f t="shared" si="7"/>
        <v>2.0897048682980747E-6</v>
      </c>
      <c r="BN11" s="182"/>
    </row>
    <row r="12" spans="1:69" ht="14.25" customHeight="1" x14ac:dyDescent="0.3">
      <c r="A12" s="982"/>
      <c r="B12" s="944"/>
      <c r="C12" s="183"/>
      <c r="D12" s="185" t="s">
        <v>627</v>
      </c>
      <c r="E12" s="977"/>
      <c r="F12" s="982"/>
      <c r="G12" s="982"/>
      <c r="H12" s="982"/>
      <c r="I12" s="982"/>
      <c r="J12" s="982"/>
      <c r="K12" s="977"/>
      <c r="L12" s="290">
        <f t="shared" ref="L12:P12" si="8">296*(44/28)*0.01*L102/1000000000</f>
        <v>2.3336745260780786E-6</v>
      </c>
      <c r="M12" s="290">
        <f t="shared" si="8"/>
        <v>2.1675657142857145E-6</v>
      </c>
      <c r="N12" s="290">
        <f t="shared" si="8"/>
        <v>2.0373257142857142E-6</v>
      </c>
      <c r="O12" s="290">
        <f t="shared" si="8"/>
        <v>1.7103302857142855E-6</v>
      </c>
      <c r="P12" s="290">
        <f t="shared" si="8"/>
        <v>1.960112E-6</v>
      </c>
      <c r="Q12" s="290">
        <f t="shared" ref="Q12:BM12" si="9">296*(44/28)*0.01*Q102/1000000000</f>
        <v>2.0276149644822133E-6</v>
      </c>
      <c r="R12" s="290">
        <f t="shared" si="9"/>
        <v>2.087258918393865E-6</v>
      </c>
      <c r="S12" s="290">
        <f t="shared" si="9"/>
        <v>2.1522723398409625E-6</v>
      </c>
      <c r="T12" s="290">
        <f t="shared" si="9"/>
        <v>2.2031171013096069E-6</v>
      </c>
      <c r="U12" s="290">
        <f t="shared" si="9"/>
        <v>2.2460763949928892E-6</v>
      </c>
      <c r="V12" s="290">
        <f t="shared" si="9"/>
        <v>2.3031472989421563E-6</v>
      </c>
      <c r="W12" s="290">
        <f t="shared" si="9"/>
        <v>2.3527412299811952E-6</v>
      </c>
      <c r="X12" s="290">
        <f t="shared" si="9"/>
        <v>2.3821485374542284E-6</v>
      </c>
      <c r="Y12" s="290">
        <f t="shared" si="9"/>
        <v>2.416746002019056E-6</v>
      </c>
      <c r="Z12" s="290">
        <f t="shared" si="9"/>
        <v>2.4672757192582978E-6</v>
      </c>
      <c r="AA12" s="290">
        <f t="shared" si="9"/>
        <v>2.5005561086487763E-6</v>
      </c>
      <c r="AB12" s="290">
        <f t="shared" si="9"/>
        <v>2.5435591135341346E-6</v>
      </c>
      <c r="AC12" s="290">
        <f t="shared" si="9"/>
        <v>2.5740066229285306E-6</v>
      </c>
      <c r="AD12" s="290">
        <f t="shared" si="9"/>
        <v>2.6059784807349988E-6</v>
      </c>
      <c r="AE12" s="290">
        <f t="shared" si="9"/>
        <v>2.6446798483942312E-6</v>
      </c>
      <c r="AF12" s="290">
        <f t="shared" si="9"/>
        <v>2.6796629361433884E-6</v>
      </c>
      <c r="AG12" s="290">
        <f t="shared" si="9"/>
        <v>2.7198513092146262E-6</v>
      </c>
      <c r="AH12" s="290">
        <f t="shared" si="9"/>
        <v>2.7699032688594013E-6</v>
      </c>
      <c r="AI12" s="290">
        <f t="shared" si="9"/>
        <v>2.8175522217672506E-6</v>
      </c>
      <c r="AJ12" s="290">
        <f t="shared" si="9"/>
        <v>2.8713610452033258E-6</v>
      </c>
      <c r="AK12" s="290">
        <f t="shared" si="9"/>
        <v>2.9282781807732166E-6</v>
      </c>
      <c r="AL12" s="290">
        <f t="shared" si="9"/>
        <v>2.9771299366386069E-6</v>
      </c>
      <c r="AM12" s="290">
        <f t="shared" si="9"/>
        <v>3.0430806739479516E-6</v>
      </c>
      <c r="AN12" s="290">
        <f t="shared" si="9"/>
        <v>3.1043547924157202E-6</v>
      </c>
      <c r="AO12" s="290">
        <f t="shared" si="9"/>
        <v>3.1823298449041508E-6</v>
      </c>
      <c r="AP12" s="290">
        <f t="shared" si="9"/>
        <v>3.2509371806183877E-6</v>
      </c>
      <c r="AQ12" s="290">
        <f t="shared" si="9"/>
        <v>3.3203588728354001E-6</v>
      </c>
      <c r="AR12" s="290">
        <f t="shared" si="9"/>
        <v>3.3938278971413455E-6</v>
      </c>
      <c r="AS12" s="290">
        <f t="shared" si="9"/>
        <v>3.4680293919783968E-6</v>
      </c>
      <c r="AT12" s="290">
        <f t="shared" si="9"/>
        <v>3.5332748708059665E-6</v>
      </c>
      <c r="AU12" s="290">
        <f t="shared" si="9"/>
        <v>3.6011594646494581E-6</v>
      </c>
      <c r="AV12" s="290">
        <f t="shared" si="9"/>
        <v>3.671330074983575E-6</v>
      </c>
      <c r="AW12" s="290">
        <f t="shared" si="9"/>
        <v>3.7443039110642129E-6</v>
      </c>
      <c r="AX12" s="290">
        <f t="shared" si="9"/>
        <v>3.8198700329145476E-6</v>
      </c>
      <c r="AY12" s="290">
        <f t="shared" si="9"/>
        <v>3.8973859613691754E-6</v>
      </c>
      <c r="AZ12" s="290">
        <f t="shared" si="9"/>
        <v>3.9772276937604884E-6</v>
      </c>
      <c r="BA12" s="290">
        <f t="shared" si="9"/>
        <v>4.0590501481740558E-6</v>
      </c>
      <c r="BB12" s="290">
        <f t="shared" si="9"/>
        <v>4.1427462791056623E-6</v>
      </c>
      <c r="BC12" s="290">
        <f t="shared" si="9"/>
        <v>4.229187536268073E-6</v>
      </c>
      <c r="BD12" s="290">
        <f t="shared" si="9"/>
        <v>4.3170923265104246E-6</v>
      </c>
      <c r="BE12" s="290">
        <f t="shared" si="9"/>
        <v>4.4069995452799324E-6</v>
      </c>
      <c r="BF12" s="290">
        <f t="shared" si="9"/>
        <v>4.497596959590767E-6</v>
      </c>
      <c r="BG12" s="290">
        <f t="shared" si="9"/>
        <v>4.5897753980928539E-6</v>
      </c>
      <c r="BH12" s="290">
        <f t="shared" si="9"/>
        <v>4.6835965319451953E-6</v>
      </c>
      <c r="BI12" s="290">
        <f t="shared" si="9"/>
        <v>4.7788421079400484E-6</v>
      </c>
      <c r="BJ12" s="290">
        <f t="shared" si="9"/>
        <v>4.8755683168618215E-6</v>
      </c>
      <c r="BK12" s="290">
        <f t="shared" si="9"/>
        <v>4.9746871826737981E-6</v>
      </c>
      <c r="BL12" s="290">
        <f t="shared" si="9"/>
        <v>5.0761683284638633E-6</v>
      </c>
      <c r="BM12" s="290">
        <f t="shared" si="9"/>
        <v>5.1800095970635812E-6</v>
      </c>
      <c r="BN12" s="182"/>
    </row>
    <row r="13" spans="1:69" ht="14.25" customHeight="1" x14ac:dyDescent="0.3">
      <c r="A13" s="982"/>
      <c r="B13" s="944"/>
      <c r="C13" s="183"/>
      <c r="D13" s="185" t="s">
        <v>628</v>
      </c>
      <c r="E13" s="977"/>
      <c r="F13" s="982"/>
      <c r="G13" s="982"/>
      <c r="H13" s="982"/>
      <c r="I13" s="982"/>
      <c r="J13" s="982"/>
      <c r="K13" s="977"/>
      <c r="L13" s="290">
        <f t="shared" ref="L13:P13" si="10">296*(44/28)*0.01*L103/1000000000</f>
        <v>1.5137651029961358E-6</v>
      </c>
      <c r="M13" s="290">
        <f t="shared" si="10"/>
        <v>2.4047885714285711E-6</v>
      </c>
      <c r="N13" s="290">
        <f t="shared" si="10"/>
        <v>3.4513599999999999E-6</v>
      </c>
      <c r="O13" s="290">
        <f t="shared" si="10"/>
        <v>3.0252891428571426E-6</v>
      </c>
      <c r="P13" s="290">
        <f t="shared" si="10"/>
        <v>2.8866765714285716E-6</v>
      </c>
      <c r="Q13" s="290">
        <f t="shared" ref="Q13:BM13" si="11">296*(44/28)*0.01*Q103/1000000000</f>
        <v>2.9860888632122961E-6</v>
      </c>
      <c r="R13" s="290">
        <f t="shared" si="11"/>
        <v>3.0739271114267506E-6</v>
      </c>
      <c r="S13" s="290">
        <f t="shared" si="11"/>
        <v>3.169673028251783E-6</v>
      </c>
      <c r="T13" s="290">
        <f t="shared" si="11"/>
        <v>3.2445526176382103E-6</v>
      </c>
      <c r="U13" s="290">
        <f t="shared" si="11"/>
        <v>3.3078191996501827E-6</v>
      </c>
      <c r="V13" s="290">
        <f t="shared" si="11"/>
        <v>3.3918680914178982E-6</v>
      </c>
      <c r="W13" s="290">
        <f t="shared" si="11"/>
        <v>3.4649055703045318E-6</v>
      </c>
      <c r="X13" s="290">
        <f t="shared" si="11"/>
        <v>3.5082140065118513E-6</v>
      </c>
      <c r="Y13" s="290">
        <f t="shared" si="11"/>
        <v>3.5591660390437254E-6</v>
      </c>
      <c r="Z13" s="290">
        <f t="shared" si="11"/>
        <v>3.6335816596385848E-6</v>
      </c>
      <c r="AA13" s="290">
        <f t="shared" si="11"/>
        <v>3.6825940223716914E-6</v>
      </c>
      <c r="AB13" s="290">
        <f t="shared" si="11"/>
        <v>3.745924978308695E-6</v>
      </c>
      <c r="AC13" s="290">
        <f t="shared" si="11"/>
        <v>3.7907653303024357E-6</v>
      </c>
      <c r="AD13" s="290">
        <f t="shared" si="11"/>
        <v>3.8378506054678226E-6</v>
      </c>
      <c r="AE13" s="290">
        <f t="shared" si="11"/>
        <v>3.8948464971842915E-6</v>
      </c>
      <c r="AF13" s="290">
        <f t="shared" si="11"/>
        <v>3.9463664408414504E-6</v>
      </c>
      <c r="AG13" s="290">
        <f t="shared" si="11"/>
        <v>4.0055522603194062E-6</v>
      </c>
      <c r="AH13" s="290">
        <f t="shared" si="11"/>
        <v>4.0792642825205152E-6</v>
      </c>
      <c r="AI13" s="290">
        <f t="shared" si="11"/>
        <v>4.1494373726358719E-6</v>
      </c>
      <c r="AJ13" s="290">
        <f t="shared" si="11"/>
        <v>4.2286821657645568E-6</v>
      </c>
      <c r="AK13" s="290">
        <f t="shared" si="11"/>
        <v>4.3125046013000918E-6</v>
      </c>
      <c r="AL13" s="290">
        <f t="shared" si="11"/>
        <v>4.3844490713761747E-6</v>
      </c>
      <c r="AM13" s="290">
        <f t="shared" si="11"/>
        <v>4.4815753826580432E-6</v>
      </c>
      <c r="AN13" s="290">
        <f t="shared" si="11"/>
        <v>4.5718143905391474E-6</v>
      </c>
      <c r="AO13" s="290">
        <f t="shared" si="11"/>
        <v>4.6866490311996133E-6</v>
      </c>
      <c r="AP13" s="290">
        <f t="shared" si="11"/>
        <v>4.7876877415561748E-6</v>
      </c>
      <c r="AQ13" s="290">
        <f t="shared" si="11"/>
        <v>4.889925762889535E-6</v>
      </c>
      <c r="AR13" s="290">
        <f t="shared" si="11"/>
        <v>4.9981243307212143E-6</v>
      </c>
      <c r="AS13" s="290">
        <f t="shared" si="11"/>
        <v>5.1074016152391886E-6</v>
      </c>
      <c r="AT13" s="290">
        <f t="shared" si="11"/>
        <v>5.2034892852923206E-6</v>
      </c>
      <c r="AU13" s="290">
        <f t="shared" si="11"/>
        <v>5.3034636064581267E-6</v>
      </c>
      <c r="AV13" s="290">
        <f t="shared" si="11"/>
        <v>5.406804567002391E-6</v>
      </c>
      <c r="AW13" s="290">
        <f t="shared" si="11"/>
        <v>5.5142738661757277E-6</v>
      </c>
      <c r="AX13" s="290">
        <f t="shared" si="11"/>
        <v>5.6255608505618641E-6</v>
      </c>
      <c r="AY13" s="290">
        <f t="shared" si="11"/>
        <v>5.7397193346599703E-6</v>
      </c>
      <c r="AZ13" s="290">
        <f t="shared" si="11"/>
        <v>5.857303053506788E-6</v>
      </c>
      <c r="BA13" s="290">
        <f t="shared" si="11"/>
        <v>5.9778038015112025E-6</v>
      </c>
      <c r="BB13" s="290">
        <f t="shared" si="11"/>
        <v>6.1010639316871754E-6</v>
      </c>
      <c r="BC13" s="290">
        <f t="shared" si="11"/>
        <v>6.2283668367536026E-6</v>
      </c>
      <c r="BD13" s="290">
        <f t="shared" si="11"/>
        <v>6.3578251016430266E-6</v>
      </c>
      <c r="BE13" s="290">
        <f t="shared" si="11"/>
        <v>6.4902323630771909E-6</v>
      </c>
      <c r="BF13" s="290">
        <f t="shared" si="11"/>
        <v>6.6236560823968497E-6</v>
      </c>
      <c r="BG13" s="290">
        <f t="shared" si="11"/>
        <v>6.7594081918757167E-6</v>
      </c>
      <c r="BH13" s="290">
        <f t="shared" si="11"/>
        <v>6.8975795152472465E-6</v>
      </c>
      <c r="BI13" s="290">
        <f t="shared" si="11"/>
        <v>7.0378486288267579E-6</v>
      </c>
      <c r="BJ13" s="290">
        <f t="shared" si="11"/>
        <v>7.180298285345155E-6</v>
      </c>
      <c r="BK13" s="290">
        <f t="shared" si="11"/>
        <v>7.3262716316263908E-6</v>
      </c>
      <c r="BL13" s="290">
        <f t="shared" si="11"/>
        <v>7.4757239312877912E-6</v>
      </c>
      <c r="BM13" s="290">
        <f t="shared" si="11"/>
        <v>7.6286520074458015E-6</v>
      </c>
      <c r="BN13" s="182"/>
    </row>
    <row r="14" spans="1:69" ht="13.5" customHeight="1" x14ac:dyDescent="0.3">
      <c r="A14" s="982"/>
      <c r="B14" s="944"/>
      <c r="C14" s="183"/>
      <c r="D14" s="185" t="s">
        <v>629</v>
      </c>
      <c r="E14" s="977"/>
      <c r="F14" s="982"/>
      <c r="G14" s="982"/>
      <c r="H14" s="982"/>
      <c r="I14" s="982"/>
      <c r="J14" s="982"/>
      <c r="K14" s="977"/>
      <c r="L14" s="290">
        <f t="shared" ref="L14:P14" si="12">296*(44/28)*0.01*L104/1000000000</f>
        <v>1.287298749759217E-6</v>
      </c>
      <c r="M14" s="290">
        <f t="shared" si="12"/>
        <v>9.3504954908615511E-7</v>
      </c>
      <c r="N14" s="290">
        <f t="shared" si="12"/>
        <v>1.1527344732858217E-6</v>
      </c>
      <c r="O14" s="290">
        <f t="shared" si="12"/>
        <v>9.2905823910131705E-7</v>
      </c>
      <c r="P14" s="290">
        <f t="shared" si="12"/>
        <v>1.2507691428571427E-6</v>
      </c>
      <c r="Q14" s="290">
        <f t="shared" ref="Q14:BM14" si="13">296*(44/28)*0.01*Q104/1000000000</f>
        <v>1.293843530966462E-6</v>
      </c>
      <c r="R14" s="290">
        <f t="shared" si="13"/>
        <v>1.3319029975228053E-6</v>
      </c>
      <c r="S14" s="290">
        <f t="shared" si="13"/>
        <v>1.3733887806911122E-6</v>
      </c>
      <c r="T14" s="290">
        <f t="shared" si="13"/>
        <v>1.405833385244787E-6</v>
      </c>
      <c r="U14" s="290">
        <f t="shared" si="13"/>
        <v>1.4332461856041478E-6</v>
      </c>
      <c r="V14" s="290">
        <f t="shared" si="13"/>
        <v>1.4696637605257374E-6</v>
      </c>
      <c r="W14" s="290">
        <f t="shared" si="13"/>
        <v>1.5013101963501264E-6</v>
      </c>
      <c r="X14" s="290">
        <f t="shared" si="13"/>
        <v>1.5200753244457569E-6</v>
      </c>
      <c r="Y14" s="290">
        <f t="shared" si="13"/>
        <v>1.5421523491763739E-6</v>
      </c>
      <c r="Z14" s="290">
        <f t="shared" si="13"/>
        <v>1.5743959205233894E-6</v>
      </c>
      <c r="AA14" s="290">
        <f t="shared" si="13"/>
        <v>1.5956325050205411E-6</v>
      </c>
      <c r="AB14" s="290">
        <f t="shared" si="13"/>
        <v>1.6230731979813212E-6</v>
      </c>
      <c r="AC14" s="290">
        <f t="shared" si="13"/>
        <v>1.6425020904259181E-6</v>
      </c>
      <c r="AD14" s="290">
        <f t="shared" si="13"/>
        <v>1.6629036864490772E-6</v>
      </c>
      <c r="AE14" s="290">
        <f t="shared" si="13"/>
        <v>1.6875994571267413E-6</v>
      </c>
      <c r="AF14" s="290">
        <f t="shared" si="13"/>
        <v>1.7099225522756455E-6</v>
      </c>
      <c r="AG14" s="290">
        <f t="shared" si="13"/>
        <v>1.7355671975505766E-6</v>
      </c>
      <c r="AH14" s="290">
        <f t="shared" si="13"/>
        <v>1.7675059064933387E-6</v>
      </c>
      <c r="AI14" s="290">
        <f t="shared" si="13"/>
        <v>1.7979112302639146E-6</v>
      </c>
      <c r="AJ14" s="290">
        <f t="shared" si="13"/>
        <v>1.8322472355367209E-6</v>
      </c>
      <c r="AK14" s="290">
        <f t="shared" si="13"/>
        <v>1.8685666891550019E-6</v>
      </c>
      <c r="AL14" s="290">
        <f t="shared" si="13"/>
        <v>1.8997395347938328E-6</v>
      </c>
      <c r="AM14" s="290">
        <f t="shared" si="13"/>
        <v>1.9418234295790317E-6</v>
      </c>
      <c r="AN14" s="290">
        <f t="shared" si="13"/>
        <v>1.9809231221656074E-6</v>
      </c>
      <c r="AO14" s="290">
        <f t="shared" si="13"/>
        <v>2.0306798654359899E-6</v>
      </c>
      <c r="AP14" s="290">
        <f t="shared" si="13"/>
        <v>2.0744589650410162E-6</v>
      </c>
      <c r="AQ14" s="290">
        <f t="shared" si="13"/>
        <v>2.1187577145359254E-6</v>
      </c>
      <c r="AR14" s="290">
        <f t="shared" si="13"/>
        <v>2.1656391113937057E-6</v>
      </c>
      <c r="AS14" s="290">
        <f t="shared" si="13"/>
        <v>2.21298790579732E-6</v>
      </c>
      <c r="AT14" s="290">
        <f t="shared" si="13"/>
        <v>2.2546217673462843E-6</v>
      </c>
      <c r="AU14" s="290">
        <f t="shared" si="13"/>
        <v>2.2979396773712366E-6</v>
      </c>
      <c r="AV14" s="290">
        <f t="shared" si="13"/>
        <v>2.3427163197984887E-6</v>
      </c>
      <c r="AW14" s="290">
        <f t="shared" si="13"/>
        <v>2.3892817315737226E-6</v>
      </c>
      <c r="AX14" s="290">
        <f t="shared" si="13"/>
        <v>2.437501309565073E-6</v>
      </c>
      <c r="AY14" s="290">
        <f t="shared" si="13"/>
        <v>2.4869650807123183E-6</v>
      </c>
      <c r="AZ14" s="290">
        <f t="shared" si="13"/>
        <v>2.5379129730711802E-6</v>
      </c>
      <c r="BA14" s="290">
        <f t="shared" si="13"/>
        <v>2.5901247860560125E-6</v>
      </c>
      <c r="BB14" s="290">
        <f t="shared" si="13"/>
        <v>2.6435322127468261E-6</v>
      </c>
      <c r="BC14" s="290">
        <f t="shared" si="13"/>
        <v>2.6986913348421568E-6</v>
      </c>
      <c r="BD14" s="290">
        <f t="shared" si="13"/>
        <v>2.7547843535800975E-6</v>
      </c>
      <c r="BE14" s="290">
        <f t="shared" si="13"/>
        <v>2.8121551441048265E-6</v>
      </c>
      <c r="BF14" s="290">
        <f t="shared" si="13"/>
        <v>2.8699663560369179E-6</v>
      </c>
      <c r="BG14" s="290">
        <f t="shared" si="13"/>
        <v>2.928786436989009E-6</v>
      </c>
      <c r="BH14" s="290">
        <f t="shared" si="13"/>
        <v>2.9886547400096414E-6</v>
      </c>
      <c r="BI14" s="290">
        <f t="shared" si="13"/>
        <v>3.0494319953134294E-6</v>
      </c>
      <c r="BJ14" s="290">
        <f t="shared" si="13"/>
        <v>3.1111540588612813E-6</v>
      </c>
      <c r="BK14" s="290">
        <f t="shared" si="13"/>
        <v>3.1744029032296731E-6</v>
      </c>
      <c r="BL14" s="290">
        <f t="shared" si="13"/>
        <v>3.2391591445750654E-6</v>
      </c>
      <c r="BM14" s="290">
        <f t="shared" si="13"/>
        <v>3.3054214063844256E-6</v>
      </c>
      <c r="BN14" s="182"/>
    </row>
    <row r="15" spans="1:69" ht="14.25" customHeight="1" x14ac:dyDescent="0.3">
      <c r="A15" s="982"/>
      <c r="B15" s="944"/>
      <c r="C15" s="183"/>
      <c r="D15" s="185" t="s">
        <v>630</v>
      </c>
      <c r="E15" s="977"/>
      <c r="F15" s="982"/>
      <c r="G15" s="982"/>
      <c r="H15" s="982"/>
      <c r="I15" s="982"/>
      <c r="J15" s="982"/>
      <c r="K15" s="977"/>
      <c r="L15" s="290">
        <f t="shared" ref="L15:P15" si="14">296*(44/28)*0.01*L105/1000000000</f>
        <v>0</v>
      </c>
      <c r="M15" s="290">
        <f t="shared" si="14"/>
        <v>5.0129677728122439E-7</v>
      </c>
      <c r="N15" s="290">
        <f t="shared" si="14"/>
        <v>5.6616266752493583E-7</v>
      </c>
      <c r="O15" s="290">
        <f t="shared" si="14"/>
        <v>7.2889783827549272E-7</v>
      </c>
      <c r="P15" s="290">
        <f t="shared" si="14"/>
        <v>4.9537714285714286E-7</v>
      </c>
      <c r="Q15" s="290">
        <f t="shared" ref="Q15:BM15" si="15">296*(44/28)*0.01*Q105/1000000000</f>
        <v>5.1243709947165575E-7</v>
      </c>
      <c r="R15" s="290">
        <f t="shared" si="15"/>
        <v>5.2751085621487111E-7</v>
      </c>
      <c r="S15" s="290">
        <f t="shared" si="15"/>
        <v>5.4394163311120678E-7</v>
      </c>
      <c r="T15" s="290">
        <f t="shared" si="15"/>
        <v>5.5679157876002176E-7</v>
      </c>
      <c r="U15" s="290">
        <f t="shared" si="15"/>
        <v>5.676486380321375E-7</v>
      </c>
      <c r="V15" s="290">
        <f t="shared" si="15"/>
        <v>5.8207211043507281E-7</v>
      </c>
      <c r="W15" s="290">
        <f t="shared" si="15"/>
        <v>5.9460593496202489E-7</v>
      </c>
      <c r="X15" s="290">
        <f t="shared" si="15"/>
        <v>6.0203801433050628E-7</v>
      </c>
      <c r="Y15" s="290">
        <f t="shared" si="15"/>
        <v>6.1078179690324975E-7</v>
      </c>
      <c r="Z15" s="290">
        <f t="shared" si="15"/>
        <v>6.2355212173946062E-7</v>
      </c>
      <c r="AA15" s="290">
        <f t="shared" si="15"/>
        <v>6.3196304122234151E-7</v>
      </c>
      <c r="AB15" s="290">
        <f t="shared" si="15"/>
        <v>6.4283114758278442E-7</v>
      </c>
      <c r="AC15" s="290">
        <f t="shared" si="15"/>
        <v>6.5052611614116877E-7</v>
      </c>
      <c r="AD15" s="290">
        <f t="shared" si="15"/>
        <v>6.5860633174721734E-7</v>
      </c>
      <c r="AE15" s="290">
        <f t="shared" si="15"/>
        <v>6.6838728963926358E-7</v>
      </c>
      <c r="AF15" s="290">
        <f t="shared" si="15"/>
        <v>6.7722853037321044E-7</v>
      </c>
      <c r="AG15" s="290">
        <f t="shared" si="15"/>
        <v>6.8738529765391018E-7</v>
      </c>
      <c r="AH15" s="290">
        <f t="shared" si="15"/>
        <v>7.0003487929170922E-7</v>
      </c>
      <c r="AI15" s="290">
        <f t="shared" si="15"/>
        <v>7.1207715144331327E-7</v>
      </c>
      <c r="AJ15" s="290">
        <f t="shared" si="15"/>
        <v>7.2567620150487468E-7</v>
      </c>
      <c r="AK15" s="290">
        <f t="shared" si="15"/>
        <v>7.4006081217927776E-7</v>
      </c>
      <c r="AL15" s="290">
        <f t="shared" si="15"/>
        <v>7.5240706751782544E-7</v>
      </c>
      <c r="AM15" s="290">
        <f t="shared" si="15"/>
        <v>7.6907473131337657E-7</v>
      </c>
      <c r="AN15" s="290">
        <f t="shared" si="15"/>
        <v>7.8456047791237356E-7</v>
      </c>
      <c r="AO15" s="290">
        <f t="shared" si="15"/>
        <v>8.0426703484169942E-7</v>
      </c>
      <c r="AP15" s="290">
        <f t="shared" si="15"/>
        <v>8.2160609809173779E-7</v>
      </c>
      <c r="AQ15" s="290">
        <f t="shared" si="15"/>
        <v>8.3915097284520672E-7</v>
      </c>
      <c r="AR15" s="290">
        <f t="shared" si="15"/>
        <v>8.5771872578441711E-7</v>
      </c>
      <c r="AS15" s="290">
        <f t="shared" si="15"/>
        <v>8.7647159526744015E-7</v>
      </c>
      <c r="AT15" s="290">
        <f t="shared" si="15"/>
        <v>8.9296101979315478E-7</v>
      </c>
      <c r="AU15" s="290">
        <f t="shared" si="15"/>
        <v>9.1011742521397077E-7</v>
      </c>
      <c r="AV15" s="290">
        <f t="shared" si="15"/>
        <v>9.2785157329319106E-7</v>
      </c>
      <c r="AW15" s="290">
        <f t="shared" si="15"/>
        <v>9.4629417780811263E-7</v>
      </c>
      <c r="AX15" s="290">
        <f t="shared" si="15"/>
        <v>9.6539192810963301E-7</v>
      </c>
      <c r="AY15" s="290">
        <f t="shared" si="15"/>
        <v>9.8498245108167332E-7</v>
      </c>
      <c r="AZ15" s="290">
        <f t="shared" si="15"/>
        <v>1.005160772153517E-6</v>
      </c>
      <c r="BA15" s="290">
        <f t="shared" si="15"/>
        <v>1.0258396791185025E-6</v>
      </c>
      <c r="BB15" s="290">
        <f t="shared" si="15"/>
        <v>1.0469921184735478E-6</v>
      </c>
      <c r="BC15" s="290">
        <f t="shared" si="15"/>
        <v>1.0688383308318695E-6</v>
      </c>
      <c r="BD15" s="290">
        <f t="shared" si="15"/>
        <v>1.0910544204398677E-6</v>
      </c>
      <c r="BE15" s="290">
        <f t="shared" si="15"/>
        <v>1.1137765818042545E-6</v>
      </c>
      <c r="BF15" s="290">
        <f t="shared" si="15"/>
        <v>1.1366731755966227E-6</v>
      </c>
      <c r="BG15" s="290">
        <f t="shared" si="15"/>
        <v>1.1599693400495706E-6</v>
      </c>
      <c r="BH15" s="290">
        <f t="shared" si="15"/>
        <v>1.1836806612533539E-6</v>
      </c>
      <c r="BI15" s="290">
        <f t="shared" si="15"/>
        <v>1.2077519802933444E-6</v>
      </c>
      <c r="BJ15" s="290">
        <f t="shared" si="15"/>
        <v>1.2321974982102137E-6</v>
      </c>
      <c r="BK15" s="290">
        <f t="shared" si="15"/>
        <v>1.2572477099068807E-6</v>
      </c>
      <c r="BL15" s="290">
        <f t="shared" si="15"/>
        <v>1.2828949382567667E-6</v>
      </c>
      <c r="BM15" s="290">
        <f t="shared" si="15"/>
        <v>1.309138638080853E-6</v>
      </c>
      <c r="BN15" s="182"/>
    </row>
    <row r="16" spans="1:69" ht="14.25" customHeight="1" x14ac:dyDescent="0.3">
      <c r="A16" s="982"/>
      <c r="B16" s="944"/>
      <c r="C16" s="183"/>
      <c r="D16" s="185" t="s">
        <v>631</v>
      </c>
      <c r="E16" s="977"/>
      <c r="F16" s="982"/>
      <c r="G16" s="982"/>
      <c r="H16" s="982"/>
      <c r="I16" s="982"/>
      <c r="J16" s="982"/>
      <c r="K16" s="977"/>
      <c r="L16" s="290">
        <f t="shared" ref="L16:P16" si="16">296*(44/28)*0.01*L106/1000000000</f>
        <v>0</v>
      </c>
      <c r="M16" s="290">
        <f t="shared" si="16"/>
        <v>6.2003177761244216E-7</v>
      </c>
      <c r="N16" s="290">
        <f t="shared" si="16"/>
        <v>9.1601466709393473E-7</v>
      </c>
      <c r="O16" s="290">
        <f t="shared" si="16"/>
        <v>9.8380582961717285E-7</v>
      </c>
      <c r="P16" s="290">
        <f t="shared" si="16"/>
        <v>1.0214495772625654E-6</v>
      </c>
      <c r="Q16" s="290">
        <f t="shared" ref="Q16:BM16" si="17">296*(44/28)*0.01*Q106/1000000000</f>
        <v>1.0566265847674056E-6</v>
      </c>
      <c r="R16" s="290">
        <f t="shared" si="17"/>
        <v>1.0877081206741927E-6</v>
      </c>
      <c r="S16" s="290">
        <f t="shared" si="17"/>
        <v>1.1215877825779669E-6</v>
      </c>
      <c r="T16" s="290">
        <f t="shared" si="17"/>
        <v>1.1480839012222907E-6</v>
      </c>
      <c r="U16" s="290">
        <f t="shared" si="17"/>
        <v>1.1704707609386166E-6</v>
      </c>
      <c r="V16" s="290">
        <f t="shared" si="17"/>
        <v>1.2002114342843091E-6</v>
      </c>
      <c r="W16" s="290">
        <f t="shared" si="17"/>
        <v>1.2260557227201816E-6</v>
      </c>
      <c r="X16" s="290">
        <f t="shared" si="17"/>
        <v>1.2413803989564172E-6</v>
      </c>
      <c r="Y16" s="290">
        <f t="shared" si="17"/>
        <v>1.2594097592960811E-6</v>
      </c>
      <c r="Z16" s="290">
        <f t="shared" si="17"/>
        <v>1.2857417027325894E-6</v>
      </c>
      <c r="AA16" s="290">
        <f t="shared" si="17"/>
        <v>1.3030847115372078E-6</v>
      </c>
      <c r="AB16" s="290">
        <f t="shared" si="17"/>
        <v>1.3254943499462218E-6</v>
      </c>
      <c r="AC16" s="290">
        <f t="shared" si="17"/>
        <v>1.3413610940912522E-6</v>
      </c>
      <c r="AD16" s="290">
        <f t="shared" si="17"/>
        <v>1.3580222035792383E-6</v>
      </c>
      <c r="AE16" s="290">
        <f t="shared" si="17"/>
        <v>1.378190181549378E-6</v>
      </c>
      <c r="AF16" s="290">
        <f t="shared" si="17"/>
        <v>1.3964204970582445E-6</v>
      </c>
      <c r="AG16" s="290">
        <f t="shared" si="17"/>
        <v>1.4173633802631258E-6</v>
      </c>
      <c r="AH16" s="290">
        <f t="shared" si="17"/>
        <v>1.4434463556340835E-6</v>
      </c>
      <c r="AI16" s="290">
        <f t="shared" si="17"/>
        <v>1.4682770810236157E-6</v>
      </c>
      <c r="AJ16" s="290">
        <f t="shared" si="17"/>
        <v>1.4963178256095246E-6</v>
      </c>
      <c r="AK16" s="290">
        <f t="shared" si="17"/>
        <v>1.525978367490224E-6</v>
      </c>
      <c r="AL16" s="290">
        <f t="shared" si="17"/>
        <v>1.5514358951096846E-6</v>
      </c>
      <c r="AM16" s="290">
        <f t="shared" si="17"/>
        <v>1.5858040091484666E-6</v>
      </c>
      <c r="AN16" s="290">
        <f t="shared" si="17"/>
        <v>1.6177350530918937E-6</v>
      </c>
      <c r="AO16" s="290">
        <f t="shared" si="17"/>
        <v>1.6583692537913101E-6</v>
      </c>
      <c r="AP16" s="290">
        <f t="shared" si="17"/>
        <v>1.6941217689855527E-6</v>
      </c>
      <c r="AQ16" s="290">
        <f t="shared" si="17"/>
        <v>1.7302986599835775E-6</v>
      </c>
      <c r="AR16" s="290">
        <f t="shared" si="17"/>
        <v>1.7685846884448086E-6</v>
      </c>
      <c r="AS16" s="290">
        <f t="shared" si="17"/>
        <v>1.8072524204588753E-6</v>
      </c>
      <c r="AT16" s="290">
        <f t="shared" si="17"/>
        <v>1.8412530116326019E-6</v>
      </c>
      <c r="AU16" s="290">
        <f t="shared" si="17"/>
        <v>1.8766288930537019E-6</v>
      </c>
      <c r="AV16" s="290">
        <f t="shared" si="17"/>
        <v>1.9131960587371114E-6</v>
      </c>
      <c r="AW16" s="290">
        <f t="shared" si="17"/>
        <v>1.9512240357179143E-6</v>
      </c>
      <c r="AX16" s="290">
        <f t="shared" si="17"/>
        <v>1.9906028993845806E-6</v>
      </c>
      <c r="AY16" s="290">
        <f t="shared" si="17"/>
        <v>2.0309978423016658E-6</v>
      </c>
      <c r="AZ16" s="290">
        <f t="shared" si="17"/>
        <v>2.0726048034339981E-6</v>
      </c>
      <c r="BA16" s="290">
        <f t="shared" si="17"/>
        <v>2.1152439543964555E-6</v>
      </c>
      <c r="BB16" s="290">
        <f t="shared" si="17"/>
        <v>2.1588595118536838E-6</v>
      </c>
      <c r="BC16" s="290">
        <f t="shared" si="17"/>
        <v>2.2039056039068871E-6</v>
      </c>
      <c r="BD16" s="290">
        <f t="shared" si="17"/>
        <v>2.2497143693409055E-6</v>
      </c>
      <c r="BE16" s="290">
        <f t="shared" si="17"/>
        <v>2.2965666362547179E-6</v>
      </c>
      <c r="BF16" s="290">
        <f t="shared" si="17"/>
        <v>2.3437785764647082E-6</v>
      </c>
      <c r="BG16" s="290">
        <f t="shared" si="17"/>
        <v>2.3918144167843837E-6</v>
      </c>
      <c r="BH16" s="290">
        <f t="shared" si="17"/>
        <v>2.4407062951626446E-6</v>
      </c>
      <c r="BI16" s="290">
        <f t="shared" si="17"/>
        <v>2.4903404759319434E-6</v>
      </c>
      <c r="BJ16" s="290">
        <f t="shared" si="17"/>
        <v>2.5407462411195219E-6</v>
      </c>
      <c r="BK16" s="290">
        <f t="shared" si="17"/>
        <v>2.592398862797461E-6</v>
      </c>
      <c r="BL16" s="290">
        <f t="shared" si="17"/>
        <v>2.6452825110111259E-6</v>
      </c>
      <c r="BM16" s="290">
        <f t="shared" si="17"/>
        <v>2.6993960616212901E-6</v>
      </c>
      <c r="BN16" s="182"/>
    </row>
    <row r="17" spans="1:66" ht="14.25" customHeight="1" x14ac:dyDescent="0.3">
      <c r="A17" s="982"/>
      <c r="B17" s="944"/>
      <c r="C17" s="183"/>
      <c r="D17" s="185" t="s">
        <v>632</v>
      </c>
      <c r="E17" s="977"/>
      <c r="F17" s="982"/>
      <c r="G17" s="982"/>
      <c r="H17" s="982"/>
      <c r="I17" s="982"/>
      <c r="J17" s="982"/>
      <c r="K17" s="977"/>
      <c r="L17" s="290">
        <f t="shared" ref="L17:P17" si="18">296*(44/28)*0.01*L107/1000000000</f>
        <v>4.9171667653346519E-7</v>
      </c>
      <c r="M17" s="290">
        <f t="shared" si="18"/>
        <v>4.8752296382643341E-6</v>
      </c>
      <c r="N17" s="290">
        <f t="shared" si="18"/>
        <v>3.1809958103444832E-6</v>
      </c>
      <c r="O17" s="290">
        <f t="shared" si="18"/>
        <v>2.3419372280558927E-6</v>
      </c>
      <c r="P17" s="290">
        <f t="shared" si="18"/>
        <v>2.3105589545558132E-6</v>
      </c>
      <c r="Q17" s="290">
        <f t="shared" ref="Q17:BM17" si="19">296*(44/28)*0.01*Q107/1000000000</f>
        <v>2.3901307234360817E-6</v>
      </c>
      <c r="R17" s="290">
        <f t="shared" si="19"/>
        <v>2.4604383751394955E-6</v>
      </c>
      <c r="S17" s="290">
        <f t="shared" si="19"/>
        <v>2.5370754974523539E-6</v>
      </c>
      <c r="T17" s="290">
        <f t="shared" si="19"/>
        <v>2.5970107556945514E-6</v>
      </c>
      <c r="U17" s="290">
        <f t="shared" si="19"/>
        <v>2.6476507092795E-6</v>
      </c>
      <c r="V17" s="290">
        <f t="shared" si="19"/>
        <v>2.7149252773473319E-6</v>
      </c>
      <c r="W17" s="290">
        <f t="shared" si="19"/>
        <v>2.7733860701254359E-6</v>
      </c>
      <c r="X17" s="290">
        <f t="shared" si="19"/>
        <v>2.8080510880484895E-6</v>
      </c>
      <c r="Y17" s="290">
        <f t="shared" si="19"/>
        <v>2.848834207357585E-6</v>
      </c>
      <c r="Z17" s="290">
        <f t="shared" si="19"/>
        <v>2.908398094848863E-6</v>
      </c>
      <c r="AA17" s="290">
        <f t="shared" si="19"/>
        <v>2.9476286601008869E-6</v>
      </c>
      <c r="AB17" s="290">
        <f t="shared" si="19"/>
        <v>2.9983201399809506E-6</v>
      </c>
      <c r="AC17" s="290">
        <f t="shared" si="19"/>
        <v>3.0342113367468215E-6</v>
      </c>
      <c r="AD17" s="290">
        <f t="shared" si="19"/>
        <v>3.0718994190342213E-6</v>
      </c>
      <c r="AE17" s="290">
        <f t="shared" si="19"/>
        <v>3.1175201751943778E-6</v>
      </c>
      <c r="AF17" s="290">
        <f t="shared" si="19"/>
        <v>3.1587578629677432E-6</v>
      </c>
      <c r="AG17" s="290">
        <f t="shared" si="19"/>
        <v>3.2061314851223847E-6</v>
      </c>
      <c r="AH17" s="290">
        <f t="shared" si="19"/>
        <v>3.2651321970971603E-6</v>
      </c>
      <c r="AI17" s="290">
        <f t="shared" si="19"/>
        <v>3.3213002705625745E-6</v>
      </c>
      <c r="AJ17" s="290">
        <f t="shared" si="19"/>
        <v>3.3847295331885549E-6</v>
      </c>
      <c r="AK17" s="290">
        <f t="shared" si="19"/>
        <v>3.4518228407437758E-6</v>
      </c>
      <c r="AL17" s="290">
        <f t="shared" si="19"/>
        <v>3.5094087654055041E-6</v>
      </c>
      <c r="AM17" s="290">
        <f t="shared" si="19"/>
        <v>3.5871507855807112E-6</v>
      </c>
      <c r="AN17" s="290">
        <f t="shared" si="19"/>
        <v>3.6593800577387394E-6</v>
      </c>
      <c r="AO17" s="290">
        <f t="shared" si="19"/>
        <v>3.7512962113866446E-6</v>
      </c>
      <c r="AP17" s="290">
        <f t="shared" si="19"/>
        <v>3.8321698012033213E-6</v>
      </c>
      <c r="AQ17" s="290">
        <f t="shared" si="19"/>
        <v>3.9140033457112052E-6</v>
      </c>
      <c r="AR17" s="290">
        <f t="shared" si="19"/>
        <v>4.0006078417770319E-6</v>
      </c>
      <c r="AS17" s="290">
        <f t="shared" si="19"/>
        <v>4.0880757662309286E-6</v>
      </c>
      <c r="AT17" s="290">
        <f t="shared" si="19"/>
        <v>4.1649864352892897E-6</v>
      </c>
      <c r="AU17" s="290">
        <f t="shared" si="19"/>
        <v>4.2450080647581492E-6</v>
      </c>
      <c r="AV17" s="290">
        <f t="shared" si="19"/>
        <v>4.3277244258916657E-6</v>
      </c>
      <c r="AW17" s="290">
        <f t="shared" si="19"/>
        <v>4.4137451994007329E-6</v>
      </c>
      <c r="AX17" s="290">
        <f t="shared" si="19"/>
        <v>4.5028217315082592E-6</v>
      </c>
      <c r="AY17" s="290">
        <f t="shared" si="19"/>
        <v>4.5941966746806642E-6</v>
      </c>
      <c r="AZ17" s="290">
        <f t="shared" si="19"/>
        <v>4.6883132505314302E-6</v>
      </c>
      <c r="BA17" s="290">
        <f t="shared" si="19"/>
        <v>4.7847646802094307E-6</v>
      </c>
      <c r="BB17" s="290">
        <f t="shared" si="19"/>
        <v>4.8834247796250247E-6</v>
      </c>
      <c r="BC17" s="290">
        <f t="shared" si="19"/>
        <v>4.9853208043316083E-6</v>
      </c>
      <c r="BD17" s="290">
        <f t="shared" si="19"/>
        <v>5.0889420260999629E-6</v>
      </c>
      <c r="BE17" s="290">
        <f t="shared" si="19"/>
        <v>5.1949236890901877E-6</v>
      </c>
      <c r="BF17" s="290">
        <f t="shared" si="19"/>
        <v>5.3017189471649823E-6</v>
      </c>
      <c r="BG17" s="290">
        <f t="shared" si="19"/>
        <v>5.4103778995605438E-6</v>
      </c>
      <c r="BH17" s="290">
        <f t="shared" si="19"/>
        <v>5.520973243576144E-6</v>
      </c>
      <c r="BI17" s="290">
        <f t="shared" si="19"/>
        <v>5.6332477046767013E-6</v>
      </c>
      <c r="BJ17" s="290">
        <f t="shared" si="19"/>
        <v>5.7472675199548277E-6</v>
      </c>
      <c r="BK17" s="290">
        <f t="shared" si="19"/>
        <v>5.86410777345426E-6</v>
      </c>
      <c r="BL17" s="290">
        <f t="shared" si="19"/>
        <v>5.9837326571975444E-6</v>
      </c>
      <c r="BM17" s="290">
        <f t="shared" si="19"/>
        <v>6.1061396283377205E-6</v>
      </c>
      <c r="BN17" s="182"/>
    </row>
    <row r="18" spans="1:66" ht="14.25" customHeight="1" x14ac:dyDescent="0.3">
      <c r="A18" s="982"/>
      <c r="B18" s="944"/>
      <c r="C18" s="183"/>
      <c r="D18" s="185" t="s">
        <v>633</v>
      </c>
      <c r="E18" s="977"/>
      <c r="F18" s="982"/>
      <c r="G18" s="982"/>
      <c r="H18" s="982"/>
      <c r="I18" s="982"/>
      <c r="J18" s="982"/>
      <c r="K18" s="977"/>
      <c r="L18" s="290">
        <f t="shared" ref="L18:P18" si="20">296*(44/28)*0.01*L108/1000000000</f>
        <v>1.8082976280438242E-6</v>
      </c>
      <c r="M18" s="290">
        <f t="shared" si="20"/>
        <v>1.5353324839448561E-6</v>
      </c>
      <c r="N18" s="290">
        <f t="shared" si="20"/>
        <v>1.9280898012851761E-6</v>
      </c>
      <c r="O18" s="290">
        <f t="shared" si="20"/>
        <v>1.7256523373660879E-6</v>
      </c>
      <c r="P18" s="290">
        <f t="shared" si="20"/>
        <v>2.1847760000000004E-6</v>
      </c>
      <c r="Q18" s="290">
        <f t="shared" ref="Q18:BM18" si="21">296*(44/28)*0.01*Q108/1000000000</f>
        <v>2.2600160152285135E-6</v>
      </c>
      <c r="R18" s="290">
        <f t="shared" si="21"/>
        <v>2.3264962362828633E-6</v>
      </c>
      <c r="S18" s="290">
        <f t="shared" si="21"/>
        <v>2.3989613621815383E-6</v>
      </c>
      <c r="T18" s="290">
        <f t="shared" si="21"/>
        <v>2.4556338454796452E-6</v>
      </c>
      <c r="U18" s="290">
        <f t="shared" si="21"/>
        <v>2.5035170449173234E-6</v>
      </c>
      <c r="V18" s="290">
        <f t="shared" si="21"/>
        <v>2.5671292983225702E-6</v>
      </c>
      <c r="W18" s="290">
        <f t="shared" si="21"/>
        <v>2.6224075835836914E-6</v>
      </c>
      <c r="X18" s="290">
        <f t="shared" si="21"/>
        <v>2.6551854960660922E-6</v>
      </c>
      <c r="Y18" s="290">
        <f t="shared" si="21"/>
        <v>2.6937484507554597E-6</v>
      </c>
      <c r="Z18" s="290">
        <f t="shared" si="21"/>
        <v>2.7500697801035182E-6</v>
      </c>
      <c r="AA18" s="290">
        <f t="shared" si="21"/>
        <v>2.7871646991749654E-6</v>
      </c>
      <c r="AB18" s="290">
        <f t="shared" si="21"/>
        <v>2.8350966199026651E-6</v>
      </c>
      <c r="AC18" s="290">
        <f t="shared" si="21"/>
        <v>2.8690339601080474E-6</v>
      </c>
      <c r="AD18" s="290">
        <f t="shared" si="21"/>
        <v>2.9046703664006387E-6</v>
      </c>
      <c r="AE18" s="290">
        <f t="shared" si="21"/>
        <v>2.9478076051038699E-6</v>
      </c>
      <c r="AF18" s="290">
        <f t="shared" si="21"/>
        <v>2.9868003823126477E-6</v>
      </c>
      <c r="AG18" s="290">
        <f t="shared" si="21"/>
        <v>3.0315950639252733E-6</v>
      </c>
      <c r="AH18" s="290">
        <f t="shared" si="21"/>
        <v>3.0873838760874729E-6</v>
      </c>
      <c r="AI18" s="290">
        <f t="shared" si="21"/>
        <v>3.1404942538302753E-6</v>
      </c>
      <c r="AJ18" s="290">
        <f t="shared" si="21"/>
        <v>3.2004705337731431E-6</v>
      </c>
      <c r="AK18" s="290">
        <f t="shared" si="21"/>
        <v>3.2639113941841012E-6</v>
      </c>
      <c r="AL18" s="290">
        <f t="shared" si="21"/>
        <v>3.3183624376819025E-6</v>
      </c>
      <c r="AM18" s="290">
        <f t="shared" si="21"/>
        <v>3.3918723126562723E-6</v>
      </c>
      <c r="AN18" s="290">
        <f t="shared" si="21"/>
        <v>3.4601695443703465E-6</v>
      </c>
      <c r="AO18" s="290">
        <f t="shared" si="21"/>
        <v>3.5470819367619366E-6</v>
      </c>
      <c r="AP18" s="290">
        <f t="shared" si="21"/>
        <v>3.6235529039783034E-6</v>
      </c>
      <c r="AQ18" s="290">
        <f t="shared" si="21"/>
        <v>3.7009315675623823E-6</v>
      </c>
      <c r="AR18" s="290">
        <f t="shared" si="21"/>
        <v>3.7828214601027298E-6</v>
      </c>
      <c r="AS18" s="290">
        <f t="shared" si="21"/>
        <v>3.8655277774377152E-6</v>
      </c>
      <c r="AT18" s="290">
        <f t="shared" si="21"/>
        <v>3.9382515586558211E-6</v>
      </c>
      <c r="AU18" s="290">
        <f t="shared" si="21"/>
        <v>4.0139169448169212E-6</v>
      </c>
      <c r="AV18" s="290">
        <f t="shared" si="21"/>
        <v>4.0921303659700646E-6</v>
      </c>
      <c r="AW18" s="290">
        <f t="shared" si="21"/>
        <v>4.17346831283071E-6</v>
      </c>
      <c r="AX18" s="290">
        <f t="shared" si="21"/>
        <v>4.2576956679163816E-6</v>
      </c>
      <c r="AY18" s="290">
        <f t="shared" si="21"/>
        <v>4.3440963124231182E-6</v>
      </c>
      <c r="AZ18" s="290">
        <f t="shared" si="21"/>
        <v>4.43308933972307E-6</v>
      </c>
      <c r="BA18" s="290">
        <f t="shared" si="21"/>
        <v>4.5242901153235749E-6</v>
      </c>
      <c r="BB18" s="290">
        <f t="shared" si="21"/>
        <v>4.6175793243852166E-6</v>
      </c>
      <c r="BC18" s="290">
        <f t="shared" si="21"/>
        <v>4.7139283003918235E-6</v>
      </c>
      <c r="BD18" s="290">
        <f t="shared" si="21"/>
        <v>4.8119085566254082E-6</v>
      </c>
      <c r="BE18" s="290">
        <f t="shared" si="21"/>
        <v>4.9121207556193284E-6</v>
      </c>
      <c r="BF18" s="290">
        <f t="shared" si="21"/>
        <v>5.013102258945857E-6</v>
      </c>
      <c r="BG18" s="290">
        <f t="shared" si="21"/>
        <v>5.1158460001998441E-6</v>
      </c>
      <c r="BH18" s="290">
        <f t="shared" si="21"/>
        <v>5.2204207191615066E-6</v>
      </c>
      <c r="BI18" s="290">
        <f t="shared" si="21"/>
        <v>5.3265831468899898E-6</v>
      </c>
      <c r="BJ18" s="290">
        <f t="shared" si="21"/>
        <v>5.4343959146416666E-6</v>
      </c>
      <c r="BK18" s="290">
        <f t="shared" si="21"/>
        <v>5.5448755806879059E-6</v>
      </c>
      <c r="BL18" s="290">
        <f t="shared" si="21"/>
        <v>5.6579882863774963E-6</v>
      </c>
      <c r="BM18" s="290">
        <f t="shared" si="21"/>
        <v>5.7737316272918002E-6</v>
      </c>
      <c r="BN18" s="182"/>
    </row>
    <row r="19" spans="1:66" ht="14.25" customHeight="1" x14ac:dyDescent="0.3">
      <c r="A19" s="982"/>
      <c r="B19" s="944"/>
      <c r="C19" s="183"/>
      <c r="D19" s="185" t="s">
        <v>634</v>
      </c>
      <c r="E19" s="977"/>
      <c r="F19" s="982"/>
      <c r="G19" s="982"/>
      <c r="H19" s="982"/>
      <c r="I19" s="982"/>
      <c r="J19" s="982"/>
      <c r="K19" s="977"/>
      <c r="L19" s="290">
        <f t="shared" ref="L19:P19" si="22">296*(44/28)*0.01*L109/1000000000</f>
        <v>4.7280582603763066E-6</v>
      </c>
      <c r="M19" s="290">
        <f t="shared" si="22"/>
        <v>2.1489599999999998E-6</v>
      </c>
      <c r="N19" s="290">
        <f t="shared" si="22"/>
        <v>2.2605942857142854E-6</v>
      </c>
      <c r="O19" s="290">
        <f t="shared" si="22"/>
        <v>2.3047828571428571E-6</v>
      </c>
      <c r="P19" s="290">
        <f t="shared" si="22"/>
        <v>2.5057245714285714E-6</v>
      </c>
      <c r="Q19" s="290">
        <f t="shared" ref="Q19:BM19" si="23">296*(44/28)*0.01*Q109/1000000000</f>
        <v>2.5920175162946564E-6</v>
      </c>
      <c r="R19" s="290">
        <f t="shared" si="23"/>
        <v>2.6682638332671461E-6</v>
      </c>
      <c r="S19" s="290">
        <f t="shared" si="23"/>
        <v>2.7513742512395031E-6</v>
      </c>
      <c r="T19" s="290">
        <f t="shared" si="23"/>
        <v>2.8163720514368426E-6</v>
      </c>
      <c r="U19" s="290">
        <f t="shared" si="23"/>
        <v>2.8712894019522297E-6</v>
      </c>
      <c r="V19" s="290">
        <f t="shared" si="23"/>
        <v>2.9442464402945888E-6</v>
      </c>
      <c r="W19" s="290">
        <f t="shared" si="23"/>
        <v>3.0076452315872565E-6</v>
      </c>
      <c r="X19" s="290">
        <f t="shared" si="23"/>
        <v>3.04523829408304E-6</v>
      </c>
      <c r="Y19" s="290">
        <f t="shared" si="23"/>
        <v>3.0894662346646074E-6</v>
      </c>
      <c r="Z19" s="290">
        <f t="shared" si="23"/>
        <v>3.1540612955966901E-6</v>
      </c>
      <c r="AA19" s="290">
        <f t="shared" si="23"/>
        <v>3.1966055427838066E-6</v>
      </c>
      <c r="AB19" s="290">
        <f t="shared" si="23"/>
        <v>3.251578771857709E-6</v>
      </c>
      <c r="AC19" s="290">
        <f t="shared" si="23"/>
        <v>3.2905015846502129E-6</v>
      </c>
      <c r="AD19" s="290">
        <f t="shared" si="23"/>
        <v>3.3313730602086955E-6</v>
      </c>
      <c r="AE19" s="290">
        <f t="shared" si="23"/>
        <v>3.3808472575462097E-6</v>
      </c>
      <c r="AF19" s="290">
        <f t="shared" si="23"/>
        <v>3.4255681625544464E-6</v>
      </c>
      <c r="AG19" s="290">
        <f t="shared" si="23"/>
        <v>3.4769432849404831E-6</v>
      </c>
      <c r="AH19" s="290">
        <f t="shared" si="23"/>
        <v>3.5409276006990025E-6</v>
      </c>
      <c r="AI19" s="290">
        <f t="shared" si="23"/>
        <v>3.6018400139203091E-6</v>
      </c>
      <c r="AJ19" s="290">
        <f t="shared" si="23"/>
        <v>3.6706269460157376E-6</v>
      </c>
      <c r="AK19" s="290">
        <f t="shared" si="23"/>
        <v>3.7433874133425062E-6</v>
      </c>
      <c r="AL19" s="290">
        <f t="shared" si="23"/>
        <v>3.8058374391723242E-6</v>
      </c>
      <c r="AM19" s="290">
        <f t="shared" si="23"/>
        <v>3.8901460822395861E-6</v>
      </c>
      <c r="AN19" s="290">
        <f t="shared" si="23"/>
        <v>3.9684763328769539E-6</v>
      </c>
      <c r="AO19" s="290">
        <f t="shared" si="23"/>
        <v>4.0681563537016286E-6</v>
      </c>
      <c r="AP19" s="290">
        <f t="shared" si="23"/>
        <v>4.1558610802067512E-6</v>
      </c>
      <c r="AQ19" s="290">
        <f t="shared" si="23"/>
        <v>4.2446068457437823E-6</v>
      </c>
      <c r="AR19" s="290">
        <f t="shared" si="23"/>
        <v>4.3385265500475618E-6</v>
      </c>
      <c r="AS19" s="290">
        <f t="shared" si="23"/>
        <v>4.4333826138081678E-6</v>
      </c>
      <c r="AT19" s="290">
        <f t="shared" si="23"/>
        <v>4.5167896841556092E-6</v>
      </c>
      <c r="AU19" s="290">
        <f t="shared" si="23"/>
        <v>4.6035704879132951E-6</v>
      </c>
      <c r="AV19" s="290">
        <f t="shared" si="23"/>
        <v>4.693273638807905E-6</v>
      </c>
      <c r="AW19" s="290">
        <f t="shared" si="23"/>
        <v>4.7865603153542734E-6</v>
      </c>
      <c r="AX19" s="290">
        <f t="shared" si="23"/>
        <v>4.8831608607761422E-6</v>
      </c>
      <c r="AY19" s="290">
        <f t="shared" si="23"/>
        <v>4.9822539567858907E-6</v>
      </c>
      <c r="AZ19" s="290">
        <f t="shared" si="23"/>
        <v>5.084320262526756E-6</v>
      </c>
      <c r="BA19" s="290">
        <f t="shared" si="23"/>
        <v>5.1889186398228848E-6</v>
      </c>
      <c r="BB19" s="290">
        <f t="shared" si="23"/>
        <v>5.2959122462131484E-6</v>
      </c>
      <c r="BC19" s="290">
        <f t="shared" si="23"/>
        <v>5.4064151062828929E-6</v>
      </c>
      <c r="BD19" s="290">
        <f t="shared" si="23"/>
        <v>5.5187888853610959E-6</v>
      </c>
      <c r="BE19" s="290">
        <f t="shared" si="23"/>
        <v>5.6337224846756043E-6</v>
      </c>
      <c r="BF19" s="290">
        <f t="shared" si="23"/>
        <v>5.7495384008816954E-6</v>
      </c>
      <c r="BG19" s="290">
        <f t="shared" si="23"/>
        <v>5.8673754317812535E-6</v>
      </c>
      <c r="BH19" s="290">
        <f t="shared" si="23"/>
        <v>5.9873124151848049E-6</v>
      </c>
      <c r="BI19" s="290">
        <f t="shared" si="23"/>
        <v>6.1090703453899011E-6</v>
      </c>
      <c r="BJ19" s="290">
        <f t="shared" si="23"/>
        <v>6.2327210543271555E-6</v>
      </c>
      <c r="BK19" s="290">
        <f t="shared" si="23"/>
        <v>6.3594304349937709E-6</v>
      </c>
      <c r="BL19" s="290">
        <f t="shared" si="23"/>
        <v>6.4891596548255412E-6</v>
      </c>
      <c r="BM19" s="290">
        <f t="shared" si="23"/>
        <v>6.6219059561892535E-6</v>
      </c>
      <c r="BN19" s="182"/>
    </row>
    <row r="20" spans="1:66" ht="14.25" customHeight="1" x14ac:dyDescent="0.3">
      <c r="A20" s="982"/>
      <c r="B20" s="944"/>
      <c r="C20" s="183"/>
      <c r="D20" s="185" t="s">
        <v>635</v>
      </c>
      <c r="E20" s="977"/>
      <c r="F20" s="982"/>
      <c r="G20" s="982"/>
      <c r="H20" s="982"/>
      <c r="I20" s="982"/>
      <c r="J20" s="982"/>
      <c r="K20" s="977"/>
      <c r="L20" s="290">
        <f t="shared" ref="L20:P20" si="24">296*(44/28)*0.01*L110/1000000000</f>
        <v>8.6363074285714271E-7</v>
      </c>
      <c r="M20" s="290">
        <f t="shared" si="24"/>
        <v>5.7866840041952707E-6</v>
      </c>
      <c r="N20" s="290">
        <f t="shared" si="24"/>
        <v>2.8762607843474622E-6</v>
      </c>
      <c r="O20" s="290">
        <f t="shared" si="24"/>
        <v>2.8264876581915039E-6</v>
      </c>
      <c r="P20" s="290">
        <f t="shared" si="24"/>
        <v>2.7182284760110805E-6</v>
      </c>
      <c r="Q20" s="290">
        <f t="shared" ref="Q20:BM20" si="25">296*(44/28)*0.01*Q110/1000000000</f>
        <v>2.8118396983650667E-6</v>
      </c>
      <c r="R20" s="290">
        <f t="shared" si="25"/>
        <v>2.8945522647615502E-6</v>
      </c>
      <c r="S20" s="290">
        <f t="shared" si="25"/>
        <v>2.9847110584939541E-6</v>
      </c>
      <c r="T20" s="290">
        <f t="shared" si="25"/>
        <v>3.05522115101931E-6</v>
      </c>
      <c r="U20" s="290">
        <f t="shared" si="25"/>
        <v>3.1147958974619731E-6</v>
      </c>
      <c r="V20" s="290">
        <f t="shared" si="25"/>
        <v>3.193940230166733E-6</v>
      </c>
      <c r="W20" s="290">
        <f t="shared" si="25"/>
        <v>3.2627157060516035E-6</v>
      </c>
      <c r="X20" s="290">
        <f t="shared" si="25"/>
        <v>3.3034969372139101E-6</v>
      </c>
      <c r="Y20" s="290">
        <f t="shared" si="25"/>
        <v>3.3514757330061393E-6</v>
      </c>
      <c r="Z20" s="290">
        <f t="shared" si="25"/>
        <v>3.4215489310093639E-6</v>
      </c>
      <c r="AA20" s="290">
        <f t="shared" si="25"/>
        <v>3.4677012438026817E-6</v>
      </c>
      <c r="AB20" s="290">
        <f t="shared" si="25"/>
        <v>3.5273366077173073E-6</v>
      </c>
      <c r="AC20" s="290">
        <f t="shared" si="25"/>
        <v>3.5695603617984325E-6</v>
      </c>
      <c r="AD20" s="290">
        <f t="shared" si="25"/>
        <v>3.6138980396048633E-6</v>
      </c>
      <c r="AE20" s="290">
        <f t="shared" si="25"/>
        <v>3.6675680133777396E-6</v>
      </c>
      <c r="AF20" s="290">
        <f t="shared" si="25"/>
        <v>3.7160815806119343E-6</v>
      </c>
      <c r="AG20" s="290">
        <f t="shared" si="25"/>
        <v>3.7718136918825133E-6</v>
      </c>
      <c r="AH20" s="290">
        <f t="shared" si="25"/>
        <v>3.8412243490217915E-6</v>
      </c>
      <c r="AI20" s="290">
        <f t="shared" si="25"/>
        <v>3.9073025836564586E-6</v>
      </c>
      <c r="AJ20" s="290">
        <f t="shared" si="25"/>
        <v>3.9819231543812909E-6</v>
      </c>
      <c r="AK20" s="290">
        <f t="shared" si="25"/>
        <v>4.0608542454001006E-6</v>
      </c>
      <c r="AL20" s="290">
        <f t="shared" si="25"/>
        <v>4.128600493520842E-6</v>
      </c>
      <c r="AM20" s="290">
        <f t="shared" si="25"/>
        <v>4.2200591306641215E-6</v>
      </c>
      <c r="AN20" s="290">
        <f t="shared" si="25"/>
        <v>4.3050323636536478E-6</v>
      </c>
      <c r="AO20" s="290">
        <f t="shared" si="25"/>
        <v>4.4131659846367907E-6</v>
      </c>
      <c r="AP20" s="290">
        <f t="shared" si="25"/>
        <v>4.5083087181141074E-6</v>
      </c>
      <c r="AQ20" s="290">
        <f t="shared" si="25"/>
        <v>4.6045807784030914E-6</v>
      </c>
      <c r="AR20" s="290">
        <f t="shared" si="25"/>
        <v>4.7064655655852372E-6</v>
      </c>
      <c r="AS20" s="290">
        <f t="shared" si="25"/>
        <v>4.8093661224047765E-6</v>
      </c>
      <c r="AT20" s="290">
        <f t="shared" si="25"/>
        <v>4.8998467268192583E-6</v>
      </c>
      <c r="AU20" s="290">
        <f t="shared" si="25"/>
        <v>4.9939871820931527E-6</v>
      </c>
      <c r="AV20" s="290">
        <f t="shared" si="25"/>
        <v>5.0912978210715754E-6</v>
      </c>
      <c r="AW20" s="290">
        <f t="shared" si="25"/>
        <v>5.1924958950786503E-6</v>
      </c>
      <c r="AX20" s="290">
        <f t="shared" si="25"/>
        <v>5.2972888784567962E-6</v>
      </c>
      <c r="AY20" s="290">
        <f t="shared" si="25"/>
        <v>5.4047857990765389E-6</v>
      </c>
      <c r="AZ20" s="290">
        <f t="shared" si="25"/>
        <v>5.5155080795177202E-6</v>
      </c>
      <c r="BA20" s="290">
        <f t="shared" si="25"/>
        <v>5.6289771698370891E-6</v>
      </c>
      <c r="BB20" s="290">
        <f t="shared" si="25"/>
        <v>5.7450446223246223E-6</v>
      </c>
      <c r="BC20" s="290">
        <f t="shared" si="25"/>
        <v>5.864918939058085E-6</v>
      </c>
      <c r="BD20" s="290">
        <f t="shared" si="25"/>
        <v>5.9868228425159189E-6</v>
      </c>
      <c r="BE20" s="290">
        <f t="shared" si="25"/>
        <v>6.1115036578255716E-6</v>
      </c>
      <c r="BF20" s="290">
        <f t="shared" si="25"/>
        <v>6.2371416169996828E-6</v>
      </c>
      <c r="BG20" s="290">
        <f t="shared" si="25"/>
        <v>6.3649720962838302E-6</v>
      </c>
      <c r="BH20" s="290">
        <f t="shared" si="25"/>
        <v>6.4950806195157067E-6</v>
      </c>
      <c r="BI20" s="290">
        <f t="shared" si="25"/>
        <v>6.6271645192537266E-6</v>
      </c>
      <c r="BJ20" s="290">
        <f t="shared" si="25"/>
        <v>6.7613017193054375E-6</v>
      </c>
      <c r="BK20" s="290">
        <f t="shared" si="25"/>
        <v>6.8987569889839221E-6</v>
      </c>
      <c r="BL20" s="290">
        <f t="shared" si="25"/>
        <v>7.0394882024374327E-6</v>
      </c>
      <c r="BM20" s="290">
        <f t="shared" si="25"/>
        <v>7.1834923681651411E-6</v>
      </c>
      <c r="BN20" s="182"/>
    </row>
    <row r="21" spans="1:66" ht="14.25" customHeight="1" x14ac:dyDescent="0.3">
      <c r="A21" s="982"/>
      <c r="B21" s="944"/>
      <c r="C21" s="183"/>
      <c r="D21" s="185" t="s">
        <v>636</v>
      </c>
      <c r="E21" s="977"/>
      <c r="F21" s="982"/>
      <c r="G21" s="982"/>
      <c r="H21" s="982"/>
      <c r="I21" s="982"/>
      <c r="J21" s="982"/>
      <c r="K21" s="977"/>
      <c r="L21" s="290">
        <f t="shared" ref="L21:P21" si="26">296*(44/28)*0.01*L111/1000000000</f>
        <v>2.2499295438344833E-6</v>
      </c>
      <c r="M21" s="290">
        <f t="shared" si="26"/>
        <v>4.1920508005608979E-6</v>
      </c>
      <c r="N21" s="290">
        <f t="shared" si="26"/>
        <v>4.4450255028917709E-6</v>
      </c>
      <c r="O21" s="290">
        <f t="shared" si="26"/>
        <v>2.8757407348593924E-6</v>
      </c>
      <c r="P21" s="290">
        <f t="shared" si="26"/>
        <v>3.7967487539265644E-6</v>
      </c>
      <c r="Q21" s="290">
        <f t="shared" ref="Q21:BM21" si="27">296*(44/28)*0.01*Q111/1000000000</f>
        <v>3.927502402842642E-6</v>
      </c>
      <c r="R21" s="290">
        <f t="shared" si="27"/>
        <v>4.0430331009319949E-6</v>
      </c>
      <c r="S21" s="290">
        <f t="shared" si="27"/>
        <v>4.1689644899892376E-6</v>
      </c>
      <c r="T21" s="290">
        <f t="shared" si="27"/>
        <v>4.2674510993002206E-6</v>
      </c>
      <c r="U21" s="290">
        <f t="shared" si="27"/>
        <v>4.3506635100000005E-6</v>
      </c>
      <c r="V21" s="290">
        <f t="shared" si="27"/>
        <v>4.4612101948092579E-6</v>
      </c>
      <c r="W21" s="290">
        <f t="shared" si="27"/>
        <v>4.5572739380416813E-6</v>
      </c>
      <c r="X21" s="290">
        <f t="shared" si="27"/>
        <v>4.6142360697997508E-6</v>
      </c>
      <c r="Y21" s="290">
        <f t="shared" si="27"/>
        <v>4.6812515671159899E-6</v>
      </c>
      <c r="Z21" s="290">
        <f t="shared" si="27"/>
        <v>4.7791279338564385E-6</v>
      </c>
      <c r="AA21" s="290">
        <f t="shared" si="27"/>
        <v>4.8435922486244161E-6</v>
      </c>
      <c r="AB21" s="290">
        <f t="shared" si="27"/>
        <v>4.9268893281859826E-6</v>
      </c>
      <c r="AC21" s="290">
        <f t="shared" si="27"/>
        <v>4.9858663373330832E-6</v>
      </c>
      <c r="AD21" s="290">
        <f t="shared" si="27"/>
        <v>5.0477960185387612E-6</v>
      </c>
      <c r="AE21" s="290">
        <f t="shared" si="27"/>
        <v>5.1227608008754056E-6</v>
      </c>
      <c r="AF21" s="290">
        <f t="shared" si="27"/>
        <v>5.1905232526231204E-6</v>
      </c>
      <c r="AG21" s="290">
        <f t="shared" si="27"/>
        <v>5.2683683734022176E-6</v>
      </c>
      <c r="AH21" s="290">
        <f t="shared" si="27"/>
        <v>5.3653193208036326E-6</v>
      </c>
      <c r="AI21" s="290">
        <f t="shared" si="27"/>
        <v>5.4576156296771985E-6</v>
      </c>
      <c r="AJ21" s="290">
        <f t="shared" si="27"/>
        <v>5.5618436448779481E-6</v>
      </c>
      <c r="AK21" s="290">
        <f t="shared" si="27"/>
        <v>5.6720924794098799E-6</v>
      </c>
      <c r="AL21" s="290">
        <f t="shared" si="27"/>
        <v>5.7667186248592438E-6</v>
      </c>
      <c r="AM21" s="290">
        <f t="shared" si="27"/>
        <v>5.8944656003891081E-6</v>
      </c>
      <c r="AN21" s="290">
        <f t="shared" si="27"/>
        <v>6.0131539370456106E-6</v>
      </c>
      <c r="AO21" s="290">
        <f t="shared" si="27"/>
        <v>6.1641920835254065E-6</v>
      </c>
      <c r="AP21" s="290">
        <f t="shared" si="27"/>
        <v>6.2970849061718938E-6</v>
      </c>
      <c r="AQ21" s="290">
        <f t="shared" si="27"/>
        <v>6.4315551422708596E-6</v>
      </c>
      <c r="AR21" s="290">
        <f t="shared" si="27"/>
        <v>6.5738650850117832E-6</v>
      </c>
      <c r="AS21" s="290">
        <f t="shared" si="27"/>
        <v>6.7175938275846878E-6</v>
      </c>
      <c r="AT21" s="290">
        <f t="shared" si="27"/>
        <v>6.8439747131860814E-6</v>
      </c>
      <c r="AU21" s="290">
        <f t="shared" si="27"/>
        <v>6.9754675804743208E-6</v>
      </c>
      <c r="AV21" s="290">
        <f t="shared" si="27"/>
        <v>7.1113884754784457E-6</v>
      </c>
      <c r="AW21" s="290">
        <f t="shared" si="27"/>
        <v>7.2527392356433767E-6</v>
      </c>
      <c r="AX21" s="290">
        <f t="shared" si="27"/>
        <v>7.3991112689630653E-6</v>
      </c>
      <c r="AY21" s="290">
        <f t="shared" si="27"/>
        <v>7.5492600894231042E-6</v>
      </c>
      <c r="AZ21" s="290">
        <f t="shared" si="27"/>
        <v>7.7039140061217722E-6</v>
      </c>
      <c r="BA21" s="290">
        <f t="shared" si="27"/>
        <v>7.86240459331165E-6</v>
      </c>
      <c r="BB21" s="290">
        <f t="shared" si="27"/>
        <v>8.0245245032061107E-6</v>
      </c>
      <c r="BC21" s="290">
        <f t="shared" si="27"/>
        <v>8.1919617391493767E-6</v>
      </c>
      <c r="BD21" s="290">
        <f t="shared" si="27"/>
        <v>8.3622338474864652E-6</v>
      </c>
      <c r="BE21" s="290">
        <f t="shared" si="27"/>
        <v>8.5363846719455413E-6</v>
      </c>
      <c r="BF21" s="290">
        <f t="shared" si="27"/>
        <v>8.7118724093266868E-6</v>
      </c>
      <c r="BG21" s="290">
        <f t="shared" si="27"/>
        <v>8.8904226000921609E-6</v>
      </c>
      <c r="BH21" s="290">
        <f t="shared" si="27"/>
        <v>9.0721547016485274E-6</v>
      </c>
      <c r="BI21" s="290">
        <f t="shared" si="27"/>
        <v>9.2566459562173883E-6</v>
      </c>
      <c r="BJ21" s="290">
        <f t="shared" si="27"/>
        <v>9.4440052056866945E-6</v>
      </c>
      <c r="BK21" s="290">
        <f t="shared" si="27"/>
        <v>9.6359990459683911E-6</v>
      </c>
      <c r="BL21" s="290">
        <f t="shared" si="27"/>
        <v>9.8325686368006848E-6</v>
      </c>
      <c r="BM21" s="290">
        <f t="shared" si="27"/>
        <v>1.0033709799735322E-5</v>
      </c>
      <c r="BN21" s="182"/>
    </row>
    <row r="22" spans="1:66" ht="14.25" customHeight="1" x14ac:dyDescent="0.3">
      <c r="A22" s="982"/>
      <c r="B22" s="944"/>
      <c r="C22" s="183"/>
      <c r="D22" s="185" t="s">
        <v>637</v>
      </c>
      <c r="E22" s="977"/>
      <c r="F22" s="977"/>
      <c r="G22" s="977"/>
      <c r="H22" s="977"/>
      <c r="I22" s="977"/>
      <c r="J22" s="977"/>
      <c r="K22" s="977"/>
      <c r="L22" s="290">
        <f t="shared" ref="L22:P22" si="28">296*(44/28)*0.01*L112/1000000000</f>
        <v>0</v>
      </c>
      <c r="M22" s="290">
        <f t="shared" si="28"/>
        <v>0</v>
      </c>
      <c r="N22" s="290">
        <f t="shared" si="28"/>
        <v>6.0003428571428567E-7</v>
      </c>
      <c r="O22" s="290">
        <f t="shared" si="28"/>
        <v>0</v>
      </c>
      <c r="P22" s="290">
        <f t="shared" si="28"/>
        <v>0</v>
      </c>
      <c r="Q22" s="290">
        <f t="shared" ref="Q22:BM22" si="29">296*(44/28)*0.01*Q112/1000000000</f>
        <v>0</v>
      </c>
      <c r="R22" s="290">
        <f t="shared" si="29"/>
        <v>0</v>
      </c>
      <c r="S22" s="290">
        <f t="shared" si="29"/>
        <v>0</v>
      </c>
      <c r="T22" s="290">
        <f t="shared" si="29"/>
        <v>0</v>
      </c>
      <c r="U22" s="290">
        <f t="shared" si="29"/>
        <v>0</v>
      </c>
      <c r="V22" s="290">
        <f t="shared" si="29"/>
        <v>0</v>
      </c>
      <c r="W22" s="290">
        <f t="shared" si="29"/>
        <v>0</v>
      </c>
      <c r="X22" s="290">
        <f t="shared" si="29"/>
        <v>0</v>
      </c>
      <c r="Y22" s="290">
        <f t="shared" si="29"/>
        <v>0</v>
      </c>
      <c r="Z22" s="290">
        <f t="shared" si="29"/>
        <v>0</v>
      </c>
      <c r="AA22" s="290">
        <f t="shared" si="29"/>
        <v>0</v>
      </c>
      <c r="AB22" s="290">
        <f t="shared" si="29"/>
        <v>0</v>
      </c>
      <c r="AC22" s="290">
        <f t="shared" si="29"/>
        <v>0</v>
      </c>
      <c r="AD22" s="290">
        <f t="shared" si="29"/>
        <v>0</v>
      </c>
      <c r="AE22" s="290">
        <f t="shared" si="29"/>
        <v>0</v>
      </c>
      <c r="AF22" s="290">
        <f t="shared" si="29"/>
        <v>0</v>
      </c>
      <c r="AG22" s="290">
        <f t="shared" si="29"/>
        <v>0</v>
      </c>
      <c r="AH22" s="290">
        <f t="shared" si="29"/>
        <v>0</v>
      </c>
      <c r="AI22" s="290">
        <f t="shared" si="29"/>
        <v>0</v>
      </c>
      <c r="AJ22" s="290">
        <f t="shared" si="29"/>
        <v>0</v>
      </c>
      <c r="AK22" s="290">
        <f t="shared" si="29"/>
        <v>0</v>
      </c>
      <c r="AL22" s="290">
        <f t="shared" si="29"/>
        <v>0</v>
      </c>
      <c r="AM22" s="290">
        <f t="shared" si="29"/>
        <v>0</v>
      </c>
      <c r="AN22" s="290">
        <f t="shared" si="29"/>
        <v>0</v>
      </c>
      <c r="AO22" s="290">
        <f t="shared" si="29"/>
        <v>0</v>
      </c>
      <c r="AP22" s="290">
        <f t="shared" si="29"/>
        <v>0</v>
      </c>
      <c r="AQ22" s="290">
        <f t="shared" si="29"/>
        <v>0</v>
      </c>
      <c r="AR22" s="290">
        <f t="shared" si="29"/>
        <v>0</v>
      </c>
      <c r="AS22" s="290">
        <f t="shared" si="29"/>
        <v>0</v>
      </c>
      <c r="AT22" s="290">
        <f t="shared" si="29"/>
        <v>0</v>
      </c>
      <c r="AU22" s="290">
        <f t="shared" si="29"/>
        <v>0</v>
      </c>
      <c r="AV22" s="290">
        <f t="shared" si="29"/>
        <v>0</v>
      </c>
      <c r="AW22" s="290">
        <f t="shared" si="29"/>
        <v>0</v>
      </c>
      <c r="AX22" s="290">
        <f t="shared" si="29"/>
        <v>0</v>
      </c>
      <c r="AY22" s="290">
        <f t="shared" si="29"/>
        <v>0</v>
      </c>
      <c r="AZ22" s="290">
        <f t="shared" si="29"/>
        <v>0</v>
      </c>
      <c r="BA22" s="290">
        <f t="shared" si="29"/>
        <v>0</v>
      </c>
      <c r="BB22" s="290">
        <f t="shared" si="29"/>
        <v>0</v>
      </c>
      <c r="BC22" s="290">
        <f t="shared" si="29"/>
        <v>0</v>
      </c>
      <c r="BD22" s="290">
        <f t="shared" si="29"/>
        <v>0</v>
      </c>
      <c r="BE22" s="290">
        <f t="shared" si="29"/>
        <v>0</v>
      </c>
      <c r="BF22" s="290">
        <f t="shared" si="29"/>
        <v>0</v>
      </c>
      <c r="BG22" s="290">
        <f t="shared" si="29"/>
        <v>0</v>
      </c>
      <c r="BH22" s="290">
        <f t="shared" si="29"/>
        <v>0</v>
      </c>
      <c r="BI22" s="290">
        <f t="shared" si="29"/>
        <v>0</v>
      </c>
      <c r="BJ22" s="290">
        <f t="shared" si="29"/>
        <v>0</v>
      </c>
      <c r="BK22" s="290">
        <f t="shared" si="29"/>
        <v>0</v>
      </c>
      <c r="BL22" s="290">
        <f t="shared" si="29"/>
        <v>0</v>
      </c>
      <c r="BM22" s="290">
        <f t="shared" si="29"/>
        <v>0</v>
      </c>
      <c r="BN22" s="182"/>
    </row>
    <row r="23" spans="1:66" ht="14.25" customHeight="1" x14ac:dyDescent="0.3">
      <c r="A23" s="960"/>
      <c r="B23" s="944"/>
      <c r="C23" s="183"/>
      <c r="D23" s="184" t="s">
        <v>638</v>
      </c>
      <c r="E23" s="180"/>
      <c r="F23" s="180"/>
      <c r="G23" s="180"/>
      <c r="H23" s="180"/>
      <c r="I23" s="180"/>
      <c r="J23" s="180"/>
      <c r="K23" s="181"/>
      <c r="L23" s="181"/>
      <c r="M23" s="181"/>
      <c r="N23" s="181"/>
      <c r="O23" s="181"/>
      <c r="P23" s="181"/>
      <c r="Q23" s="185"/>
      <c r="R23" s="185"/>
      <c r="S23" s="185"/>
      <c r="T23" s="185"/>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2"/>
    </row>
    <row r="24" spans="1:66" ht="14.25" customHeight="1" x14ac:dyDescent="0.3">
      <c r="A24" s="1198" t="s">
        <v>639</v>
      </c>
      <c r="B24" s="944"/>
      <c r="C24" s="183"/>
      <c r="D24" s="185" t="s">
        <v>640</v>
      </c>
      <c r="E24" s="1203" t="s">
        <v>623</v>
      </c>
      <c r="F24" s="977"/>
      <c r="G24" s="977"/>
      <c r="H24" s="977"/>
      <c r="I24" s="977"/>
      <c r="J24" s="977"/>
      <c r="K24" s="977"/>
      <c r="L24" s="290">
        <f>L8*'Calibración-BAU_Agricultura '!G296*1000000</f>
        <v>0.3719028492513623</v>
      </c>
      <c r="M24" s="290">
        <f>M8*'Calibración-BAU_Agricultura '!H296*1000000</f>
        <v>0.25916986544730392</v>
      </c>
      <c r="N24" s="290">
        <f>N8*'Calibración-BAU_Agricultura '!I296*1000000</f>
        <v>0.25609837800027241</v>
      </c>
      <c r="O24" s="290">
        <f>O8*'Calibración-BAU_Agricultura '!J296*1000000</f>
        <v>0.30438882758266289</v>
      </c>
      <c r="P24" s="290">
        <f>P8*'Calibración-BAU_Agricultura '!K296*1000000</f>
        <v>0.25927530976914287</v>
      </c>
      <c r="Q24" s="290">
        <f>Q8*'Calibración-BAU_Agricultura '!L296*1000000</f>
        <v>0.28409424164742653</v>
      </c>
      <c r="R24" s="290">
        <f>R8*'Calibración-BAU_Agricultura '!M296*1000000</f>
        <v>0.28549450018469308</v>
      </c>
      <c r="S24" s="290">
        <f>S8*'Calibración-BAU_Agricultura '!N296*1000000</f>
        <v>0.2878801644489688</v>
      </c>
      <c r="T24" s="290">
        <f>T8*'Calibración-BAU_Agricultura '!O296*1000000</f>
        <v>0.24546982892408098</v>
      </c>
      <c r="U24" s="290">
        <f>U8*'Calibración-BAU_Agricultura '!P296*1000000</f>
        <v>0.21583850846436034</v>
      </c>
      <c r="V24" s="290">
        <f>V8*'Calibración-BAU_Agricultura '!Q296*1000000</f>
        <v>0.26915605968538731</v>
      </c>
      <c r="W24" s="290">
        <f>W8*'Calibración-BAU_Agricultura '!R296*1000000</f>
        <v>0.29903502609546978</v>
      </c>
      <c r="X24" s="290">
        <f>X8*'Calibración-BAU_Agricultura '!S296*1000000</f>
        <v>0.30277271507100845</v>
      </c>
      <c r="Y24" s="290">
        <f>Y8*'Calibración-BAU_Agricultura '!T296*1000000</f>
        <v>0.3056485021993704</v>
      </c>
      <c r="Z24" s="290">
        <f>Z8*'Calibración-BAU_Agricultura '!U296*1000000</f>
        <v>0.33105307977506637</v>
      </c>
      <c r="AA24" s="290">
        <f>AA8*'Calibración-BAU_Agricultura '!V296*1000000</f>
        <v>0.33609779274772955</v>
      </c>
      <c r="AB24" s="290">
        <f>AB8*'Calibración-BAU_Agricultura '!W296*1000000</f>
        <v>0.3623968477347676</v>
      </c>
      <c r="AC24" s="290">
        <f>AC8*'Calibración-BAU_Agricultura '!X296*1000000</f>
        <v>0.37585331020705409</v>
      </c>
      <c r="AD24" s="290">
        <f>AD8*'Calibración-BAU_Agricultura '!Y296*1000000</f>
        <v>0.39016981073620494</v>
      </c>
      <c r="AE24" s="290">
        <f>AE8*'Calibración-BAU_Agricultura '!Z296*1000000</f>
        <v>0.4046829354361271</v>
      </c>
      <c r="AF24" s="290">
        <f>AF8*'Calibración-BAU_Agricultura '!AA296*1000000</f>
        <v>0.42036538123871786</v>
      </c>
      <c r="AG24" s="290">
        <f>AG8*'Calibración-BAU_Agricultura '!AB296*1000000</f>
        <v>0.42137488553956415</v>
      </c>
      <c r="AH24" s="290">
        <f>AH8*'Calibración-BAU_Agricultura '!AC296*1000000</f>
        <v>0.4371125236876528</v>
      </c>
      <c r="AI24" s="290">
        <f>AI8*'Calibración-BAU_Agricultura '!AD296*1000000</f>
        <v>0.45445057501059566</v>
      </c>
      <c r="AJ24" s="290">
        <f>AJ8*'Calibración-BAU_Agricultura '!AE296*1000000</f>
        <v>0.47043470387645375</v>
      </c>
      <c r="AK24" s="290">
        <f>AK8*'Calibración-BAU_Agricultura '!AF296*1000000</f>
        <v>0.48688588969070784</v>
      </c>
      <c r="AL24" s="290">
        <f>AL8*'Calibración-BAU_Agricultura '!AG296*1000000</f>
        <v>0.50200918173078402</v>
      </c>
      <c r="AM24" s="290">
        <f>AM8*'Calibración-BAU_Agricultura '!AH296*1000000</f>
        <v>0.51931071761389225</v>
      </c>
      <c r="AN24" s="290">
        <f>AN8*'Calibración-BAU_Agricultura '!AI296*1000000</f>
        <v>0.53526843664011692</v>
      </c>
      <c r="AO24" s="290">
        <f>AO8*'Calibración-BAU_Agricultura '!AJ296*1000000</f>
        <v>0.55680892823572092</v>
      </c>
      <c r="AP24" s="290">
        <f>AP8*'Calibración-BAU_Agricultura '!AK296*1000000</f>
        <v>0.57647657041500344</v>
      </c>
      <c r="AQ24" s="290">
        <f>AQ8*'Calibración-BAU_Agricultura '!AL296*1000000</f>
        <v>0.59618426514264589</v>
      </c>
      <c r="AR24" s="290">
        <f>AR8*'Calibración-BAU_Agricultura '!AM296*1000000</f>
        <v>0.6166832262442099</v>
      </c>
      <c r="AS24" s="290">
        <f>AS8*'Calibración-BAU_Agricultura '!AN296*1000000</f>
        <v>0.63663067179357313</v>
      </c>
      <c r="AT24" s="290">
        <f>AT8*'Calibración-BAU_Agricultura '!AO296*1000000</f>
        <v>0.65595465631091388</v>
      </c>
      <c r="AU24" s="290">
        <f>AU8*'Calibración-BAU_Agricultura '!AP296*1000000</f>
        <v>0.67544360663160541</v>
      </c>
      <c r="AV24" s="290">
        <f>AV8*'Calibración-BAU_Agricultura '!AQ296*1000000</f>
        <v>0.6966859100692826</v>
      </c>
      <c r="AW24" s="290">
        <f>AW8*'Calibración-BAU_Agricultura '!AR296*1000000</f>
        <v>0.71772952315311656</v>
      </c>
      <c r="AX24" s="290">
        <f>AX8*'Calibración-BAU_Agricultura '!AS296*1000000</f>
        <v>0.73930718020377162</v>
      </c>
      <c r="AY24" s="290">
        <f>AY8*'Calibración-BAU_Agricultura '!AT296*1000000</f>
        <v>0.7615399283578389</v>
      </c>
      <c r="AZ24" s="290">
        <f>AZ8*'Calibración-BAU_Agricultura '!AU296*1000000</f>
        <v>0.78441791942894767</v>
      </c>
      <c r="BA24" s="290">
        <f>BA8*'Calibración-BAU_Agricultura '!AV296*1000000</f>
        <v>0.8084209173698208</v>
      </c>
      <c r="BB24" s="290">
        <f>BB8*'Calibración-BAU_Agricultura '!AW296*1000000</f>
        <v>0.83257041236049567</v>
      </c>
      <c r="BC24" s="290">
        <f>BC8*'Calibración-BAU_Agricultura '!AX296*1000000</f>
        <v>0.85744753825647169</v>
      </c>
      <c r="BD24" s="290">
        <f>BD8*'Calibración-BAU_Agricultura '!AY296*1000000</f>
        <v>0.88288983912057395</v>
      </c>
      <c r="BE24" s="290">
        <f>BE8*'Calibración-BAU_Agricultura '!AZ296*1000000</f>
        <v>0.9089211025170153</v>
      </c>
      <c r="BF24" s="290">
        <f>BF8*'Calibración-BAU_Agricultura '!BA296*1000000</f>
        <v>0.93536656569963306</v>
      </c>
      <c r="BG24" s="290">
        <f>BG8*'Calibración-BAU_Agricultura '!BB296*1000000</f>
        <v>0.96212769489816252</v>
      </c>
      <c r="BH24" s="290">
        <f>BH8*'Calibración-BAU_Agricultura '!BC296*1000000</f>
        <v>0.98940864645469129</v>
      </c>
      <c r="BI24" s="290">
        <f>BI8*'Calibración-BAU_Agricultura '!BD296*1000000</f>
        <v>1.0171546913970122</v>
      </c>
      <c r="BJ24" s="290">
        <f>BJ8*'Calibración-BAU_Agricultura '!BE296*1000000</f>
        <v>1.0453453280042941</v>
      </c>
      <c r="BK24" s="290">
        <f>BK8*'Calibración-BAU_Agricultura '!BF296*1000000</f>
        <v>1.0741460738444673</v>
      </c>
      <c r="BL24" s="290">
        <f>BL8*'Calibración-BAU_Agricultura '!BG296*1000000</f>
        <v>1.1035635035764886</v>
      </c>
      <c r="BM24" s="290">
        <f>BM8*'Calibración-BAU_Agricultura '!BH296*1000000</f>
        <v>1.1336001155956681</v>
      </c>
      <c r="BN24" s="182"/>
    </row>
    <row r="25" spans="1:66" ht="14.25" customHeight="1" x14ac:dyDescent="0.3">
      <c r="A25" s="982"/>
      <c r="B25" s="944"/>
      <c r="C25" s="183"/>
      <c r="D25" s="185" t="s">
        <v>641</v>
      </c>
      <c r="E25" s="977"/>
      <c r="F25" s="982"/>
      <c r="G25" s="982"/>
      <c r="H25" s="982"/>
      <c r="I25" s="982"/>
      <c r="J25" s="982"/>
      <c r="K25" s="977"/>
      <c r="L25" s="290">
        <f>L9*'Calibración-BAU_Agricultura '!N8</f>
        <v>0.59652019803702849</v>
      </c>
      <c r="M25" s="290">
        <f>M9*'Calibración-BAU_Agricultura '!O8</f>
        <v>0.62133742854857144</v>
      </c>
      <c r="N25" s="290">
        <f>N9*'Calibración-BAU_Agricultura '!P8</f>
        <v>0.50210323415999991</v>
      </c>
      <c r="O25" s="290">
        <f>O9*'Calibración-BAU_Agricultura '!Q8</f>
        <v>0.63862735602285714</v>
      </c>
      <c r="P25" s="290">
        <f>P9*'Calibración-BAU_Agricultura '!R8</f>
        <v>0.79289071428914282</v>
      </c>
      <c r="Q25" s="290">
        <f>Q9*'Calibración-BAU_Agricultura '!S8</f>
        <v>0.84345025083442715</v>
      </c>
      <c r="R25" s="290">
        <f>R9*'Calibración-BAU_Agricultura '!T8</f>
        <v>0.86396007843888012</v>
      </c>
      <c r="S25" s="290">
        <f>S9*'Calibración-BAU_Agricultura '!U8</f>
        <v>0.94515548439318753</v>
      </c>
      <c r="T25" s="290">
        <f>T9*'Calibración-BAU_Agricultura '!V8</f>
        <v>0.96915384881873423</v>
      </c>
      <c r="U25" s="290">
        <f>U9*'Calibración-BAU_Agricultura '!W8</f>
        <v>1.047353254358061</v>
      </c>
      <c r="V25" s="290">
        <f>V9*'Calibración-BAU_Agricultura '!X8</f>
        <v>1.1006684569875715</v>
      </c>
      <c r="W25" s="290">
        <f>W9*'Calibración-BAU_Agricultura '!Y8</f>
        <v>1.1299911216213874</v>
      </c>
      <c r="X25" s="290">
        <f>X9*'Calibración-BAU_Agricultura '!Z8</f>
        <v>1.149835645638261</v>
      </c>
      <c r="Y25" s="290">
        <f>Y9*'Calibración-BAU_Agricultura '!AA8</f>
        <v>1.1723681202758769</v>
      </c>
      <c r="Z25" s="290">
        <f>Z9*'Calibración-BAU_Agricultura '!AB8</f>
        <v>1.2028645839266756</v>
      </c>
      <c r="AA25" s="290">
        <f>AA9*'Calibración-BAU_Agricultura '!AC8</f>
        <v>1.2251851349795293</v>
      </c>
      <c r="AB25" s="290">
        <f>AB9*'Calibración-BAU_Agricultura '!AD8</f>
        <v>1.2524863805656967</v>
      </c>
      <c r="AC25" s="290">
        <f>AC9*'Calibración-BAU_Agricultura '!AE8</f>
        <v>1.2738165834862663</v>
      </c>
      <c r="AD25" s="290">
        <f>AD9*'Calibración-BAU_Agricultura '!AF8</f>
        <v>1.2960869130157089</v>
      </c>
      <c r="AE25" s="290">
        <f>AE9*'Calibración-BAU_Agricultura '!AG8</f>
        <v>1.321911765883665</v>
      </c>
      <c r="AF25" s="290">
        <f>AF9*'Calibración-BAU_Agricultura '!AH8</f>
        <v>1.3460946344304323</v>
      </c>
      <c r="AG25" s="290">
        <f>AG9*'Calibración-BAU_Agricultura '!AI8</f>
        <v>1.373114166868642</v>
      </c>
      <c r="AH25" s="290">
        <f>AH9*'Calibración-BAU_Agricultura '!AJ8</f>
        <v>1.4053747620221859</v>
      </c>
      <c r="AI25" s="290">
        <f>AI9*'Calibración-BAU_Agricultura '!AK8</f>
        <v>1.4366983178823003</v>
      </c>
      <c r="AJ25" s="290">
        <f>AJ9*'Calibración-BAU_Agricultura '!AL8</f>
        <v>1.47145665999203</v>
      </c>
      <c r="AK25" s="290">
        <f>AK9*'Calibración-BAU_Agricultura '!AM8</f>
        <v>1.5081275170181516</v>
      </c>
      <c r="AL25" s="290">
        <f>AL9*'Calibración-BAU_Agricultura '!AN8</f>
        <v>1.5409536794375231</v>
      </c>
      <c r="AM25" s="290">
        <f>AM9*'Calibración-BAU_Agricultura '!AO8</f>
        <v>1.5829650345973838</v>
      </c>
      <c r="AN25" s="290">
        <f>AN9*'Calibración-BAU_Agricultura '!AP8</f>
        <v>1.6229131087834803</v>
      </c>
      <c r="AO25" s="290">
        <f>AO9*'Calibración-BAU_Agricultura '!AQ8</f>
        <v>1.671995758525272</v>
      </c>
      <c r="AP25" s="290">
        <f>AP9*'Calibración-BAU_Agricultura '!AR8</f>
        <v>1.7165822555633645</v>
      </c>
      <c r="AQ25" s="290">
        <f>AQ9*'Calibración-BAU_Agricultura '!AS8</f>
        <v>1.7620049698216802</v>
      </c>
      <c r="AR25" s="290">
        <f>AR9*'Calibración-BAU_Agricultura '!AT8</f>
        <v>1.8099975212793356</v>
      </c>
      <c r="AS25" s="290">
        <f>AS9*'Calibración-BAU_Agricultura '!AU8</f>
        <v>1.8588185427830692</v>
      </c>
      <c r="AT25" s="290">
        <f>AT9*'Calibración-BAU_Agricultura '!AV8</f>
        <v>1.9032582151996125</v>
      </c>
      <c r="AU25" s="290">
        <f>AU9*'Calibración-BAU_Agricultura '!AW8</f>
        <v>1.9495245257959102</v>
      </c>
      <c r="AV25" s="290">
        <f>AV9*'Calibración-BAU_Agricultura '!AX8</f>
        <v>1.9974496642542241</v>
      </c>
      <c r="AW25" s="290">
        <f>AW9*'Calibración-BAU_Agricultura '!AY8</f>
        <v>2.0473380844147395</v>
      </c>
      <c r="AX25" s="290">
        <f>AX9*'Calibración-BAU_Agricultura '!AZ8</f>
        <v>2.0990999687966436</v>
      </c>
      <c r="AY25" s="290">
        <f>AY9*'Calibración-BAU_Agricultura '!BA8</f>
        <v>2.1524051061430263</v>
      </c>
      <c r="AZ25" s="290">
        <f>AZ9*'Calibración-BAU_Agricultura '!BB8</f>
        <v>2.2074817089203083</v>
      </c>
      <c r="BA25" s="290">
        <f>BA9*'Calibración-BAU_Agricultura '!BC8</f>
        <v>2.264160125053984</v>
      </c>
      <c r="BB25" s="290">
        <f>BB9*'Calibración-BAU_Agricultura '!BD8</f>
        <v>2.3224005109358434</v>
      </c>
      <c r="BC25" s="290">
        <f>BC9*'Calibración-BAU_Agricultura '!BE8</f>
        <v>2.3827132936750317</v>
      </c>
      <c r="BD25" s="290">
        <f>BD9*'Calibración-BAU_Agricultura '!BF8</f>
        <v>2.4443998177255515</v>
      </c>
      <c r="BE25" s="290">
        <f>BE9*'Calibración-BAU_Agricultura '!BG8</f>
        <v>2.5077831120595815</v>
      </c>
      <c r="BF25" s="290">
        <f>BF9*'Calibración-BAU_Agricultura '!BH8</f>
        <v>2.5721338457485095</v>
      </c>
      <c r="BG25" s="290">
        <f>BG9*'Calibración-BAU_Agricultura '!BI8</f>
        <v>2.6379740860833172</v>
      </c>
      <c r="BH25" s="290">
        <f>BH9*'Calibración-BAU_Agricultura '!BJ8</f>
        <v>2.7053572855668135</v>
      </c>
      <c r="BI25" s="290">
        <f>BI9*'Calibración-BAU_Agricultura '!BK8</f>
        <v>2.7741752734749778</v>
      </c>
      <c r="BJ25" s="290">
        <f>BJ9*'Calibración-BAU_Agricultura '!BL8</f>
        <v>2.8444776301637318</v>
      </c>
      <c r="BK25" s="290">
        <f>BK9*'Calibración-BAU_Agricultura '!BM8</f>
        <v>2.9168165465010314</v>
      </c>
      <c r="BL25" s="290">
        <f>BL9*'Calibración-BAU_Agricultura '!BN8</f>
        <v>2.9911997449770196</v>
      </c>
      <c r="BM25" s="290">
        <f>BM9*'Calibración-BAU_Agricultura '!BO8</f>
        <v>3.067651542468846</v>
      </c>
      <c r="BN25" s="182"/>
    </row>
    <row r="26" spans="1:66" ht="14.25" customHeight="1" x14ac:dyDescent="0.3">
      <c r="A26" s="982"/>
      <c r="B26" s="944"/>
      <c r="C26" s="183"/>
      <c r="D26" s="185" t="s">
        <v>642</v>
      </c>
      <c r="E26" s="977"/>
      <c r="F26" s="982"/>
      <c r="G26" s="982"/>
      <c r="H26" s="982"/>
      <c r="I26" s="982"/>
      <c r="J26" s="982"/>
      <c r="K26" s="977"/>
      <c r="L26" s="290">
        <f>L10*'Calibración-BAU_Agricultura '!N9</f>
        <v>0.32613273833897105</v>
      </c>
      <c r="M26" s="290">
        <f>M10*'Calibración-BAU_Agricultura '!O9</f>
        <v>8.1087856265577962E-2</v>
      </c>
      <c r="N26" s="290">
        <f>N10*'Calibración-BAU_Agricultura '!P9</f>
        <v>0.32262679054918236</v>
      </c>
      <c r="O26" s="290">
        <f>O10*'Calibración-BAU_Agricultura '!Q9</f>
        <v>0.33843455091002089</v>
      </c>
      <c r="P26" s="290">
        <f>P10*'Calibración-BAU_Agricultura '!R9</f>
        <v>0.3830142605182898</v>
      </c>
      <c r="Q26" s="290">
        <f>Q10*'Calibración-BAU_Agricultura '!S9</f>
        <v>0.37383054284457345</v>
      </c>
      <c r="R26" s="290">
        <f>R10*'Calibración-BAU_Agricultura '!T9</f>
        <v>0.38292082407863104</v>
      </c>
      <c r="S26" s="290">
        <f>S10*'Calibración-BAU_Agricultura '!U9</f>
        <v>0.4189079171577495</v>
      </c>
      <c r="T26" s="290">
        <f>T10*'Calibración-BAU_Agricultura '!V9</f>
        <v>0.42954437329930456</v>
      </c>
      <c r="U26" s="290">
        <f>U10*'Calibración-BAU_Agricultura '!W9</f>
        <v>0.47348766325476555</v>
      </c>
      <c r="V26" s="290">
        <f>V10*'Calibración-BAU_Agricultura '!X9</f>
        <v>0.50754221865423077</v>
      </c>
      <c r="W26" s="290">
        <f>W10*'Calibración-BAU_Agricultura '!Y9</f>
        <v>0.54224919100392621</v>
      </c>
      <c r="X26" s="290">
        <f>X10*'Calibración-BAU_Agricultura '!Z9</f>
        <v>0.57233816549277083</v>
      </c>
      <c r="Y26" s="290">
        <f>Y10*'Calibración-BAU_Agricultura '!AA9</f>
        <v>0.60718360683162664</v>
      </c>
      <c r="Z26" s="290">
        <f>Z10*'Calibración-BAU_Agricultura '!AB9</f>
        <v>0.62442976556522478</v>
      </c>
      <c r="AA26" s="290">
        <f>AA10*'Calibración-BAU_Agricultura '!AC9</f>
        <v>0.65751830737522221</v>
      </c>
      <c r="AB26" s="290">
        <f>AB10*'Calibración-BAU_Agricultura '!AD9</f>
        <v>0.69726728467996635</v>
      </c>
      <c r="AC26" s="290">
        <f>AC10*'Calibración-BAU_Agricultura '!AE9</f>
        <v>0.73107873246792232</v>
      </c>
      <c r="AD26" s="290">
        <f>AD10*'Calibración-BAU_Agricultura '!AF9</f>
        <v>0.76617644527472517</v>
      </c>
      <c r="AE26" s="290">
        <f>AE10*'Calibración-BAU_Agricultura '!AG9</f>
        <v>0.78855155178708669</v>
      </c>
      <c r="AF26" s="290">
        <f>AF10*'Calibración-BAU_Agricultura '!AH9</f>
        <v>0.80860626739321861</v>
      </c>
      <c r="AG26" s="290">
        <f>AG10*'Calibración-BAU_Agricultura '!AI9</f>
        <v>0.82925588257439697</v>
      </c>
      <c r="AH26" s="290">
        <f>AH10*'Calibración-BAU_Agricultura '!AJ9</f>
        <v>0.85697611050261058</v>
      </c>
      <c r="AI26" s="290">
        <f>AI10*'Calibración-BAU_Agricultura '!AK9</f>
        <v>0.88346260558866974</v>
      </c>
      <c r="AJ26" s="290">
        <f>AJ10*'Calibración-BAU_Agricultura '!AL9</f>
        <v>0.91164635939587157</v>
      </c>
      <c r="AK26" s="290">
        <f>AK10*'Calibración-BAU_Agricultura '!AM9</f>
        <v>0.94086598122132892</v>
      </c>
      <c r="AL26" s="290">
        <f>AL10*'Calibración-BAU_Agricultura '!AN9</f>
        <v>0.966375014275209</v>
      </c>
      <c r="AM26" s="290">
        <f>AM10*'Calibración-BAU_Agricultura '!AO9</f>
        <v>0.99897121547315559</v>
      </c>
      <c r="AN26" s="290">
        <f>AN10*'Calibración-BAU_Agricultura '!AP9</f>
        <v>1.0295826290820662</v>
      </c>
      <c r="AO26" s="290">
        <f>AO10*'Calibración-BAU_Agricultura '!AQ9</f>
        <v>1.0678294670942279</v>
      </c>
      <c r="AP26" s="290">
        <f>AP10*'Calibración-BAU_Agricultura '!AR9</f>
        <v>1.1018980408456316</v>
      </c>
      <c r="AQ26" s="290">
        <f>AQ10*'Calibración-BAU_Agricultura '!AS9</f>
        <v>1.1363300124374296</v>
      </c>
      <c r="AR26" s="290">
        <f>AR10*'Calibración-BAU_Agricultura '!AT9</f>
        <v>1.172606214755078</v>
      </c>
      <c r="AS26" s="290">
        <f>AS10*'Calibración-BAU_Agricultura '!AU9</f>
        <v>1.2094639693683891</v>
      </c>
      <c r="AT26" s="290">
        <f>AT10*'Calibración-BAU_Agricultura '!AV9</f>
        <v>1.2443245333685695</v>
      </c>
      <c r="AU26" s="290">
        <f>AU10*'Calibración-BAU_Agricultura '!AW9</f>
        <v>1.2797292725212135</v>
      </c>
      <c r="AV26" s="290">
        <f>AV10*'Calibración-BAU_Agricultura '!AX9</f>
        <v>1.3161856763625999</v>
      </c>
      <c r="AW26" s="290">
        <f>AW10*'Calibración-BAU_Agricultura '!AY9</f>
        <v>1.3540334322452809</v>
      </c>
      <c r="AX26" s="290">
        <f>AX10*'Calibración-BAU_Agricultura '!AZ9</f>
        <v>1.3930762291770791</v>
      </c>
      <c r="AY26" s="290">
        <f>AY10*'Calibración-BAU_Agricultura '!BA9</f>
        <v>1.4332364282191452</v>
      </c>
      <c r="AZ26" s="290">
        <f>AZ10*'Calibración-BAU_Agricultura '!BB9</f>
        <v>1.4742286639731543</v>
      </c>
      <c r="BA26" s="290">
        <f>BA10*'Calibración-BAU_Agricultura '!BC9</f>
        <v>1.5162253609840173</v>
      </c>
      <c r="BB26" s="290">
        <f>BB10*'Calibración-BAU_Agricultura '!BD9</f>
        <v>1.5591782745189684</v>
      </c>
      <c r="BC26" s="290">
        <f>BC10*'Calibración-BAU_Agricultura '!BE9</f>
        <v>1.6033731035122232</v>
      </c>
      <c r="BD26" s="290">
        <f>BD10*'Calibración-BAU_Agricultura '!BF9</f>
        <v>1.6482839106767599</v>
      </c>
      <c r="BE26" s="290">
        <f>BE10*'Calibración-BAU_Agricultura '!BG9</f>
        <v>1.6941327338848575</v>
      </c>
      <c r="BF26" s="290">
        <f>BF10*'Calibración-BAU_Agricultura '!BH9</f>
        <v>1.7404155939262562</v>
      </c>
      <c r="BG26" s="290">
        <f>BG10*'Calibración-BAU_Agricultura '!BI9</f>
        <v>1.7874629658705707</v>
      </c>
      <c r="BH26" s="290">
        <f>BH10*'Calibración-BAU_Agricultura '!BJ9</f>
        <v>1.8352627284836192</v>
      </c>
      <c r="BI26" s="290">
        <f>BI10*'Calibración-BAU_Agricultura '!BK9</f>
        <v>1.8837123300266256</v>
      </c>
      <c r="BJ26" s="290">
        <f>BJ10*'Calibración-BAU_Agricultura '!BL9</f>
        <v>1.9328057138347441</v>
      </c>
      <c r="BK26" s="290">
        <f>BK10*'Calibración-BAU_Agricultura '!BM9</f>
        <v>1.9829064494641839</v>
      </c>
      <c r="BL26" s="290">
        <f>BL10*'Calibración-BAU_Agricultura '!BN9</f>
        <v>2.0339855102069464</v>
      </c>
      <c r="BM26" s="290">
        <f>BM10*'Calibración-BAU_Agricultura '!BO9</f>
        <v>2.0860229453049053</v>
      </c>
      <c r="BN26" s="182"/>
    </row>
    <row r="27" spans="1:66" ht="14.25" customHeight="1" x14ac:dyDescent="0.3">
      <c r="A27" s="982"/>
      <c r="B27" s="944"/>
      <c r="C27" s="183"/>
      <c r="D27" s="185" t="s">
        <v>643</v>
      </c>
      <c r="E27" s="977"/>
      <c r="F27" s="982"/>
      <c r="G27" s="982"/>
      <c r="H27" s="982"/>
      <c r="I27" s="982"/>
      <c r="J27" s="982"/>
      <c r="K27" s="977"/>
      <c r="L27" s="290">
        <f>L11*'Calibración-BAU_Agricultura '!N10</f>
        <v>3.6989638029222706E-2</v>
      </c>
      <c r="M27" s="290">
        <f>M11*'Calibración-BAU_Agricultura '!O10</f>
        <v>4.265546057142857E-2</v>
      </c>
      <c r="N27" s="290">
        <f>N11*'Calibración-BAU_Agricultura '!P10</f>
        <v>4.4743951999999997E-2</v>
      </c>
      <c r="O27" s="290">
        <f>O11*'Calibración-BAU_Agricultura '!Q10</f>
        <v>3.2363709714285711E-2</v>
      </c>
      <c r="P27" s="290">
        <f>P11*'Calibración-BAU_Agricultura '!R10</f>
        <v>2.7621438742857142E-2</v>
      </c>
      <c r="Q27" s="290">
        <f>Q11*'Calibración-BAU_Agricultura '!S10</f>
        <v>2.9772356645298124E-2</v>
      </c>
      <c r="R27" s="290">
        <f>R11*'Calibración-BAU_Agricultura '!T10</f>
        <v>3.049631861172028E-2</v>
      </c>
      <c r="S27" s="290">
        <f>S11*'Calibración-BAU_Agricultura '!U10</f>
        <v>3.3362378087830331E-2</v>
      </c>
      <c r="T27" s="290">
        <f>T11*'Calibración-BAU_Agricultura '!V10</f>
        <v>3.4209479459694735E-2</v>
      </c>
      <c r="U27" s="290">
        <f>U11*'Calibración-BAU_Agricultura '!W10</f>
        <v>3.6969785226233849E-2</v>
      </c>
      <c r="V27" s="290">
        <f>V11*'Calibración-BAU_Agricultura '!X10</f>
        <v>3.8851721031851069E-2</v>
      </c>
      <c r="W27" s="290">
        <f>W11*'Calibración-BAU_Agricultura '!Y10</f>
        <v>4.0694604203185679E-2</v>
      </c>
      <c r="X27" s="290">
        <f>X11*'Calibración-BAU_Agricultura '!Z10</f>
        <v>4.211050518208214E-2</v>
      </c>
      <c r="Y27" s="290">
        <f>Y11*'Calibración-BAU_Agricultura '!AA10</f>
        <v>4.3798335928955053E-2</v>
      </c>
      <c r="Z27" s="290">
        <f>Z11*'Calibración-BAU_Agricultura '!AB10</f>
        <v>4.4159179750365908E-2</v>
      </c>
      <c r="AA27" s="290">
        <f>AA11*'Calibración-BAU_Agricultura '!AC10</f>
        <v>4.5587426753689549E-2</v>
      </c>
      <c r="AB27" s="290">
        <f>AB11*'Calibración-BAU_Agricultura '!AD10</f>
        <v>4.7395416728100423E-2</v>
      </c>
      <c r="AC27" s="290">
        <f>AC11*'Calibración-BAU_Agricultura '!AE10</f>
        <v>4.8719299554858535E-2</v>
      </c>
      <c r="AD27" s="290">
        <f>AD11*'Calibración-BAU_Agricultura '!AF10</f>
        <v>5.0057079758377074E-2</v>
      </c>
      <c r="AE27" s="290">
        <f>AE11*'Calibración-BAU_Agricultura '!AG10</f>
        <v>5.1518926436383304E-2</v>
      </c>
      <c r="AF27" s="290">
        <f>AF11*'Calibración-BAU_Agricultura '!AH10</f>
        <v>5.2829173579608583E-2</v>
      </c>
      <c r="AG27" s="290">
        <f>AG11*'Calibración-BAU_Agricultura '!AI10</f>
        <v>5.4178287664854836E-2</v>
      </c>
      <c r="AH27" s="290">
        <f>AH11*'Calibración-BAU_Agricultura '!AJ10</f>
        <v>5.5989350467530064E-2</v>
      </c>
      <c r="AI27" s="290">
        <f>AI11*'Calibración-BAU_Agricultura '!AK10</f>
        <v>5.7719809039076621E-2</v>
      </c>
      <c r="AJ27" s="290">
        <f>AJ11*'Calibración-BAU_Agricultura '!AL10</f>
        <v>5.9561155664802877E-2</v>
      </c>
      <c r="AK27" s="290">
        <f>AK11*'Calibración-BAU_Agricultura '!AM10</f>
        <v>6.1470179296692365E-2</v>
      </c>
      <c r="AL27" s="290">
        <f>AL11*'Calibración-BAU_Agricultura '!AN10</f>
        <v>6.313677673650181E-2</v>
      </c>
      <c r="AM27" s="290">
        <f>AM11*'Calibración-BAU_Agricultura '!AO10</f>
        <v>6.5266404517737853E-2</v>
      </c>
      <c r="AN27" s="290">
        <f>AN11*'Calibración-BAU_Agricultura '!AP10</f>
        <v>6.7266358943364246E-2</v>
      </c>
      <c r="AO27" s="290">
        <f>AO11*'Calibración-BAU_Agricultura '!AQ10</f>
        <v>6.976516327582323E-2</v>
      </c>
      <c r="AP27" s="290">
        <f>AP11*'Calibración-BAU_Agricultura '!AR10</f>
        <v>7.1990986484100891E-2</v>
      </c>
      <c r="AQ27" s="290">
        <f>AQ11*'Calibración-BAU_Agricultura '!AS10</f>
        <v>7.4240551788331555E-2</v>
      </c>
      <c r="AR27" s="290">
        <f>AR11*'Calibración-BAU_Agricultura '!AT10</f>
        <v>7.6610607359662061E-2</v>
      </c>
      <c r="AS27" s="290">
        <f>AS11*'Calibración-BAU_Agricultura '!AU10</f>
        <v>7.9018657846951099E-2</v>
      </c>
      <c r="AT27" s="290">
        <f>AT11*'Calibración-BAU_Agricultura '!AV10</f>
        <v>8.1296224644183221E-2</v>
      </c>
      <c r="AU27" s="290">
        <f>AU11*'Calibración-BAU_Agricultura '!AW10</f>
        <v>8.3609344373350755E-2</v>
      </c>
      <c r="AV27" s="290">
        <f>AV11*'Calibración-BAU_Agricultura '!AX10</f>
        <v>8.5991173162328377E-2</v>
      </c>
      <c r="AW27" s="290">
        <f>AW11*'Calibración-BAU_Agricultura '!AY10</f>
        <v>8.8463904015096392E-2</v>
      </c>
      <c r="AX27" s="290">
        <f>AX11*'Calibración-BAU_Agricultura '!AZ10</f>
        <v>9.101471122413865E-2</v>
      </c>
      <c r="AY27" s="290">
        <f>AY11*'Calibración-BAU_Agricultura '!BA10</f>
        <v>9.3638522356625467E-2</v>
      </c>
      <c r="AZ27" s="290">
        <f>AZ11*'Calibración-BAU_Agricultura '!BB10</f>
        <v>9.6316693458422878E-2</v>
      </c>
      <c r="BA27" s="290">
        <f>BA11*'Calibración-BAU_Agricultura '!BC10</f>
        <v>9.9060489649008404E-2</v>
      </c>
      <c r="BB27" s="290">
        <f>BB11*'Calibración-BAU_Agricultura '!BD10</f>
        <v>0.10186675892540566</v>
      </c>
      <c r="BC27" s="290">
        <f>BC11*'Calibración-BAU_Agricultura '!BE10</f>
        <v>0.10475416703285532</v>
      </c>
      <c r="BD27" s="290">
        <f>BD11*'Calibración-BAU_Agricultura '!BF10</f>
        <v>0.10768835258516921</v>
      </c>
      <c r="BE27" s="290">
        <f>BE11*'Calibración-BAU_Agricultura '!BG10</f>
        <v>0.11068382212003924</v>
      </c>
      <c r="BF27" s="290">
        <f>BF11*'Calibración-BAU_Agricultura '!BH10</f>
        <v>0.11370764885189261</v>
      </c>
      <c r="BG27" s="290">
        <f>BG11*'Calibración-BAU_Agricultura '!BI10</f>
        <v>0.11678142391292848</v>
      </c>
      <c r="BH27" s="290">
        <f>BH11*'Calibración-BAU_Agricultura '!BJ10</f>
        <v>0.11990435537905429</v>
      </c>
      <c r="BI27" s="290">
        <f>BI11*'Calibración-BAU_Agricultura '!BK10</f>
        <v>0.12306974317406834</v>
      </c>
      <c r="BJ27" s="290">
        <f>BJ11*'Calibración-BAU_Agricultura '!BL10</f>
        <v>0.12627719159413878</v>
      </c>
      <c r="BK27" s="290">
        <f>BK11*'Calibración-BAU_Agricultura '!BM10</f>
        <v>0.12955045395403419</v>
      </c>
      <c r="BL27" s="290">
        <f>BL11*'Calibración-BAU_Agricultura '!BN10</f>
        <v>0.13288763383388108</v>
      </c>
      <c r="BM27" s="290">
        <f>BM11*'Calibración-BAU_Agricultura '!BO10</f>
        <v>0.13628742777845465</v>
      </c>
      <c r="BN27" s="182"/>
    </row>
    <row r="28" spans="1:66" ht="14.25" customHeight="1" x14ac:dyDescent="0.3">
      <c r="A28" s="982"/>
      <c r="B28" s="944"/>
      <c r="C28" s="183"/>
      <c r="D28" s="185" t="s">
        <v>644</v>
      </c>
      <c r="E28" s="977"/>
      <c r="F28" s="982"/>
      <c r="G28" s="982"/>
      <c r="H28" s="982"/>
      <c r="I28" s="982"/>
      <c r="J28" s="982"/>
      <c r="K28" s="977"/>
      <c r="L28" s="290">
        <f>L12*'Calibración-BAU_Agricultura '!N11</f>
        <v>0.3149293772942367</v>
      </c>
      <c r="M28" s="290">
        <f>M12*'Calibración-BAU_Agricultura '!O11</f>
        <v>0.28778986745142859</v>
      </c>
      <c r="N28" s="290">
        <f>N12*'Calibración-BAU_Agricultura '!P11</f>
        <v>0.29361123264</v>
      </c>
      <c r="O28" s="290">
        <f>O12*'Calibración-BAU_Agricultura '!Q11</f>
        <v>0.27020824051885711</v>
      </c>
      <c r="P28" s="290">
        <f>P12*'Calibración-BAU_Agricultura '!R11</f>
        <v>0.29747443756800002</v>
      </c>
      <c r="Q28" s="290">
        <f>Q12*'Calibración-BAU_Agricultura '!S11</f>
        <v>0.28595656605589104</v>
      </c>
      <c r="R28" s="290">
        <f>R12*'Calibración-BAU_Agricultura '!T11</f>
        <v>0.29291005248424351</v>
      </c>
      <c r="S28" s="290">
        <f>S12*'Calibración-BAU_Agricultura '!U11</f>
        <v>0.32043788763899966</v>
      </c>
      <c r="T28" s="290">
        <f>T12*'Calibración-BAU_Agricultura '!V11</f>
        <v>0.32857409943726307</v>
      </c>
      <c r="U28" s="290">
        <f>U12*'Calibración-BAU_Agricultura '!W11</f>
        <v>0.35508619479026748</v>
      </c>
      <c r="V28" s="290">
        <f>V12*'Calibración-BAU_Agricultura '!X11</f>
        <v>0.36410863506067076</v>
      </c>
      <c r="W28" s="290">
        <f>W12*'Calibración-BAU_Agricultura '!Y11</f>
        <v>0.3719490274429606</v>
      </c>
      <c r="X28" s="290">
        <f>X12*'Calibración-BAU_Agricultura '!Z11</f>
        <v>0.37659808075784568</v>
      </c>
      <c r="Y28" s="290">
        <f>Y12*'Calibración-BAU_Agricultura '!AA11</f>
        <v>0.38206765519845798</v>
      </c>
      <c r="Z28" s="290">
        <f>Z12*'Calibración-BAU_Agricultura '!AB11</f>
        <v>0.39005598767829214</v>
      </c>
      <c r="AA28" s="290">
        <f>AA12*'Calibración-BAU_Agricultura '!AC11</f>
        <v>0.39531734337222474</v>
      </c>
      <c r="AB28" s="290">
        <f>AB12*'Calibración-BAU_Agricultura '!AD11</f>
        <v>0.40211576456721598</v>
      </c>
      <c r="AC28" s="290">
        <f>AC12*'Calibración-BAU_Agricultura '!AE11</f>
        <v>0.40692926524591</v>
      </c>
      <c r="AD28" s="290">
        <f>AD12*'Calibración-BAU_Agricultura '!AF11</f>
        <v>0.41198375286448913</v>
      </c>
      <c r="AE28" s="290">
        <f>AE12*'Calibración-BAU_Agricultura '!AG11</f>
        <v>0.41810212061276841</v>
      </c>
      <c r="AF28" s="290">
        <f>AF12*'Calibración-BAU_Agricultura '!AH11</f>
        <v>0.42363265890547935</v>
      </c>
      <c r="AG28" s="290">
        <f>AG12*'Calibración-BAU_Agricultura '!AI11</f>
        <v>0.42998610997263353</v>
      </c>
      <c r="AH28" s="290">
        <f>AH12*'Calibración-BAU_Agricultura '!AJ11</f>
        <v>0.43789891290831262</v>
      </c>
      <c r="AI28" s="290">
        <f>AI12*'Calibración-BAU_Agricultura '!AK11</f>
        <v>0.44543182025354228</v>
      </c>
      <c r="AJ28" s="290">
        <f>AJ12*'Calibración-BAU_Agricultura '!AL11</f>
        <v>0.45393855243889958</v>
      </c>
      <c r="AK28" s="290">
        <f>AK12*'Calibración-BAU_Agricultura '!AM11</f>
        <v>0.46293668319390369</v>
      </c>
      <c r="AL28" s="290">
        <f>AL12*'Calibración-BAU_Agricultura '!AN11</f>
        <v>0.47065974378869685</v>
      </c>
      <c r="AM28" s="290">
        <f>AM12*'Calibración-BAU_Agricultura '!AO11</f>
        <v>0.48108601264001161</v>
      </c>
      <c r="AN28" s="290">
        <f>AN12*'Calibración-BAU_Agricultura '!AP11</f>
        <v>0.49077294653698483</v>
      </c>
      <c r="AO28" s="290">
        <f>AO12*'Calibración-BAU_Agricultura '!AQ11</f>
        <v>0.50310016066844176</v>
      </c>
      <c r="AP28" s="290">
        <f>AP12*'Calibración-BAU_Agricultura '!AR11</f>
        <v>0.51394641586607226</v>
      </c>
      <c r="AQ28" s="290">
        <f>AQ12*'Calibración-BAU_Agricultura '!AS11</f>
        <v>0.52492141412534477</v>
      </c>
      <c r="AR28" s="290">
        <f>AR12*'Calibración-BAU_Agricultura '!AT11</f>
        <v>0.53653626228184947</v>
      </c>
      <c r="AS28" s="290">
        <f>AS12*'Calibración-BAU_Agricultura '!AU11</f>
        <v>0.54826690800172562</v>
      </c>
      <c r="AT28" s="290">
        <f>AT12*'Calibración-BAU_Agricultura '!AV11</f>
        <v>0.5585816812907366</v>
      </c>
      <c r="AU28" s="290">
        <f>AU12*'Calibración-BAU_Agricultura '!AW11</f>
        <v>0.56931367694614021</v>
      </c>
      <c r="AV28" s="290">
        <f>AV12*'Calibración-BAU_Agricultura '!AX11</f>
        <v>0.58040707299678118</v>
      </c>
      <c r="AW28" s="290">
        <f>AW12*'Calibración-BAU_Agricultura '!AY11</f>
        <v>0.59194363596983379</v>
      </c>
      <c r="AX28" s="290">
        <f>AX12*'Calibración-BAU_Agricultura '!AZ11</f>
        <v>0.60389001799081488</v>
      </c>
      <c r="AY28" s="290">
        <f>AY12*'Calibración-BAU_Agricultura '!BA11</f>
        <v>0.6161446483907197</v>
      </c>
      <c r="AZ28" s="290">
        <f>AZ12*'Calibración-BAU_Agricultura '!BB11</f>
        <v>0.62876696925366782</v>
      </c>
      <c r="BA28" s="290">
        <f>BA12*'Calibración-BAU_Agricultura '!BC11</f>
        <v>0.64170242596871241</v>
      </c>
      <c r="BB28" s="290">
        <f>BB12*'Calibración-BAU_Agricultura '!BD11</f>
        <v>0.65493409552252835</v>
      </c>
      <c r="BC28" s="290">
        <f>BC12*'Calibración-BAU_Agricultura '!BE11</f>
        <v>0.66859974694342961</v>
      </c>
      <c r="BD28" s="290">
        <f>BD12*'Calibración-BAU_Agricultura '!BF11</f>
        <v>0.6824967709006633</v>
      </c>
      <c r="BE28" s="290">
        <f>BE12*'Calibración-BAU_Agricultura '!BG11</f>
        <v>0.69671036232979267</v>
      </c>
      <c r="BF28" s="290">
        <f>BF12*'Calibración-BAU_Agricultura '!BH11</f>
        <v>0.71103306799429589</v>
      </c>
      <c r="BG28" s="290">
        <f>BG12*'Calibración-BAU_Agricultura '!BI11</f>
        <v>0.72560572057298001</v>
      </c>
      <c r="BH28" s="290">
        <f>BH12*'Calibración-BAU_Agricultura '!BJ11</f>
        <v>0.74043806976858328</v>
      </c>
      <c r="BI28" s="290">
        <f>BI12*'Calibración-BAU_Agricultura '!BK11</f>
        <v>0.75549561154499589</v>
      </c>
      <c r="BJ28" s="290">
        <f>BJ12*'Calibración-BAU_Agricultura '!BL11</f>
        <v>0.77078722920283138</v>
      </c>
      <c r="BK28" s="290">
        <f>BK12*'Calibración-BAU_Agricultura '!BM11</f>
        <v>0.78645710622551979</v>
      </c>
      <c r="BL28" s="290">
        <f>BL12*'Calibración-BAU_Agricultura '!BN11</f>
        <v>0.80250044027323131</v>
      </c>
      <c r="BM28" s="290">
        <f>BM12*'Calibración-BAU_Agricultura '!BO11</f>
        <v>0.81891689031538795</v>
      </c>
      <c r="BN28" s="182"/>
    </row>
    <row r="29" spans="1:66" ht="14.25" customHeight="1" x14ac:dyDescent="0.3">
      <c r="A29" s="982"/>
      <c r="B29" s="944"/>
      <c r="C29" s="183"/>
      <c r="D29" s="185" t="s">
        <v>645</v>
      </c>
      <c r="E29" s="977"/>
      <c r="F29" s="982"/>
      <c r="G29" s="982"/>
      <c r="H29" s="982"/>
      <c r="I29" s="982"/>
      <c r="J29" s="982"/>
      <c r="K29" s="977"/>
      <c r="L29" s="290">
        <f>L13*'Calibración-BAU_Agricultura '!N12</f>
        <v>0.73036441442378164</v>
      </c>
      <c r="M29" s="290">
        <f>M13*'Calibración-BAU_Agricultura '!O12</f>
        <v>1.1099229507771426</v>
      </c>
      <c r="N29" s="290">
        <f>N13*'Calibración-BAU_Agricultura '!P12</f>
        <v>1.39869470224</v>
      </c>
      <c r="O29" s="290">
        <f>O13*'Calibración-BAU_Agricultura '!Q12</f>
        <v>1.3452886013348571</v>
      </c>
      <c r="P29" s="290">
        <f>P13*'Calibración-BAU_Agricultura '!R12</f>
        <v>1.3097371206354287</v>
      </c>
      <c r="Q29" s="290">
        <f>Q13*'Calibración-BAU_Agricultura '!S12</f>
        <v>1.2936214729653781</v>
      </c>
      <c r="R29" s="290">
        <f>R13*'Calibración-BAU_Agricultura '!T12</f>
        <v>1.3250779262294448</v>
      </c>
      <c r="S29" s="290">
        <f>S13*'Calibración-BAU_Agricultura '!U12</f>
        <v>1.4496094211750221</v>
      </c>
      <c r="T29" s="290">
        <f>T13*'Calibración-BAU_Agricultura '!V12</f>
        <v>1.4864163336232938</v>
      </c>
      <c r="U29" s="290">
        <f>U13*'Calibración-BAU_Agricultura '!W12</f>
        <v>1.6063527852145079</v>
      </c>
      <c r="V29" s="290">
        <f>V13*'Calibración-BAU_Agricultura '!X12</f>
        <v>1.6881236909541213</v>
      </c>
      <c r="W29" s="290">
        <f>W13*'Calibración-BAU_Agricultura '!Y12</f>
        <v>1.7681977432371641</v>
      </c>
      <c r="X29" s="290">
        <f>X13*'Calibración-BAU_Agricultura '!Z12</f>
        <v>1.8297192388888162</v>
      </c>
      <c r="Y29" s="290">
        <f>Y13*'Calibración-BAU_Agricultura '!AA12</f>
        <v>1.9030561978302516</v>
      </c>
      <c r="Z29" s="290">
        <f>Z13*'Calibración-BAU_Agricultura '!AB12</f>
        <v>1.9187350143016941</v>
      </c>
      <c r="AA29" s="290">
        <f>AA13*'Calibración-BAU_Agricultura '!AC12</f>
        <v>1.980792949930035</v>
      </c>
      <c r="AB29" s="290">
        <f>AB13*'Calibración-BAU_Agricultura '!AD12</f>
        <v>2.059350878066819</v>
      </c>
      <c r="AC29" s="290">
        <f>AC13*'Calibración-BAU_Agricultura '!AE12</f>
        <v>2.116874146136861</v>
      </c>
      <c r="AD29" s="290">
        <f>AD13*'Calibración-BAU_Agricultura '!AF12</f>
        <v>2.1750012610978087</v>
      </c>
      <c r="AE29" s="290">
        <f>AE13*'Calibración-BAU_Agricultura '!AG12</f>
        <v>2.2385191167846075</v>
      </c>
      <c r="AF29" s="290">
        <f>AF13*'Calibración-BAU_Agricultura '!AH12</f>
        <v>2.2954499086450317</v>
      </c>
      <c r="AG29" s="290">
        <f>AG13*'Calibración-BAU_Agricultura '!AI12</f>
        <v>2.3540694855548168</v>
      </c>
      <c r="AH29" s="290">
        <f>AH13*'Calibración-BAU_Agricultura '!AJ12</f>
        <v>2.432760929377741</v>
      </c>
      <c r="AI29" s="290">
        <f>AI13*'Calibración-BAU_Agricultura '!AK12</f>
        <v>2.5079500853085035</v>
      </c>
      <c r="AJ29" s="290">
        <f>AJ13*'Calibración-BAU_Agricultura '!AL12</f>
        <v>2.5879573740357804</v>
      </c>
      <c r="AK29" s="290">
        <f>AK13*'Calibración-BAU_Agricultura '!AM12</f>
        <v>2.6709052572696264</v>
      </c>
      <c r="AL29" s="290">
        <f>AL13*'Calibración-BAU_Agricultura '!AN12</f>
        <v>2.7433196200495753</v>
      </c>
      <c r="AM29" s="290">
        <f>AM13*'Calibración-BAU_Agricultura '!AO12</f>
        <v>2.8358528467622692</v>
      </c>
      <c r="AN29" s="290">
        <f>AN13*'Calibración-BAU_Agricultura '!AP12</f>
        <v>2.9227517113958501</v>
      </c>
      <c r="AO29" s="290">
        <f>AO13*'Calibración-BAU_Agricultura '!AQ12</f>
        <v>3.0313258152103151</v>
      </c>
      <c r="AP29" s="290">
        <f>AP13*'Calibración-BAU_Agricultura '!AR12</f>
        <v>3.1280387738637718</v>
      </c>
      <c r="AQ29" s="290">
        <f>AQ13*'Calibración-BAU_Agricultura '!AS12</f>
        <v>3.225783336615752</v>
      </c>
      <c r="AR29" s="290">
        <f>AR13*'Calibración-BAU_Agricultura '!AT12</f>
        <v>3.3287632523718851</v>
      </c>
      <c r="AS29" s="290">
        <f>AS13*'Calibración-BAU_Agricultura '!AU12</f>
        <v>3.4333940632765985</v>
      </c>
      <c r="AT29" s="290">
        <f>AT13*'Calibración-BAU_Agricultura '!AV12</f>
        <v>3.5323553027281549</v>
      </c>
      <c r="AU29" s="290">
        <f>AU13*'Calibración-BAU_Agricultura '!AW12</f>
        <v>3.632861332090918</v>
      </c>
      <c r="AV29" s="290">
        <f>AV13*'Calibración-BAU_Agricultura '!AX12</f>
        <v>3.7363527991271761</v>
      </c>
      <c r="AW29" s="290">
        <f>AW13*'Calibración-BAU_Agricultura '!AY12</f>
        <v>3.8437939992348564</v>
      </c>
      <c r="AX29" s="290">
        <f>AX13*'Calibración-BAU_Agricultura '!AZ12</f>
        <v>3.9546276500044231</v>
      </c>
      <c r="AY29" s="290">
        <f>AY13*'Calibración-BAU_Agricultura '!BA12</f>
        <v>4.0686333520866791</v>
      </c>
      <c r="AZ29" s="290">
        <f>AZ13*'Calibración-BAU_Agricultura '!BB12</f>
        <v>4.1850010177987462</v>
      </c>
      <c r="BA29" s="290">
        <f>BA13*'Calibración-BAU_Agricultura '!BC12</f>
        <v>4.3042201213406424</v>
      </c>
      <c r="BB29" s="290">
        <f>BB13*'Calibración-BAU_Agricultura '!BD12</f>
        <v>4.4261537068515429</v>
      </c>
      <c r="BC29" s="290">
        <f>BC13*'Calibración-BAU_Agricultura '!BE12</f>
        <v>4.5516128088471222</v>
      </c>
      <c r="BD29" s="290">
        <f>BD13*'Calibración-BAU_Agricultura '!BF12</f>
        <v>4.6791044105822328</v>
      </c>
      <c r="BE29" s="290">
        <f>BE13*'Calibración-BAU_Agricultura '!BG12</f>
        <v>4.8092588272475822</v>
      </c>
      <c r="BF29" s="290">
        <f>BF13*'Calibración-BAU_Agricultura '!BH12</f>
        <v>4.940645376100778</v>
      </c>
      <c r="BG29" s="290">
        <f>BG13*'Calibración-BAU_Agricultura '!BI12</f>
        <v>5.074202200956611</v>
      </c>
      <c r="BH29" s="290">
        <f>BH13*'Calibración-BAU_Agricultura '!BJ12</f>
        <v>5.2098948923787249</v>
      </c>
      <c r="BI29" s="290">
        <f>BI13*'Calibración-BAU_Agricultura '!BK12</f>
        <v>5.3474323292258488</v>
      </c>
      <c r="BJ29" s="290">
        <f>BJ13*'Calibración-BAU_Agricultura '!BL12</f>
        <v>5.4867973179993283</v>
      </c>
      <c r="BK29" s="290">
        <f>BK13*'Calibración-BAU_Agricultura '!BM12</f>
        <v>5.6290219502599657</v>
      </c>
      <c r="BL29" s="290">
        <f>BL13*'Calibración-BAU_Agricultura '!BN12</f>
        <v>5.7740238257631518</v>
      </c>
      <c r="BM29" s="290">
        <f>BM13*'Calibración-BAU_Agricultura '!BO12</f>
        <v>5.9217463088287507</v>
      </c>
      <c r="BN29" s="182"/>
    </row>
    <row r="30" spans="1:66" ht="13.5" customHeight="1" x14ac:dyDescent="0.3">
      <c r="A30" s="982"/>
      <c r="B30" s="944"/>
      <c r="C30" s="183"/>
      <c r="D30" s="185" t="s">
        <v>646</v>
      </c>
      <c r="E30" s="977"/>
      <c r="F30" s="982"/>
      <c r="G30" s="982"/>
      <c r="H30" s="982"/>
      <c r="I30" s="982"/>
      <c r="J30" s="982"/>
      <c r="K30" s="977"/>
      <c r="L30" s="290">
        <f>L14*'Calibración-BAU_Agricultura '!N13</f>
        <v>0.40405990617192256</v>
      </c>
      <c r="M30" s="290">
        <f>M14*'Calibración-BAU_Agricultura '!O13</f>
        <v>0.25036886726330887</v>
      </c>
      <c r="N30" s="290">
        <f>N14*'Calibración-BAU_Agricultura '!P13</f>
        <v>0.28423435001597819</v>
      </c>
      <c r="O30" s="290">
        <f>O14*'Calibración-BAU_Agricultura '!Q13</f>
        <v>0.23863232494612968</v>
      </c>
      <c r="P30" s="290">
        <f>P14*'Calibración-BAU_Agricultura '!R13</f>
        <v>0.28214224939999999</v>
      </c>
      <c r="Q30" s="290">
        <f>Q14*'Calibración-BAU_Agricultura '!S13</f>
        <v>0.25369981232616196</v>
      </c>
      <c r="R30" s="290">
        <f>R14*'Calibración-BAU_Agricultura '!T13</f>
        <v>0.25986892474143947</v>
      </c>
      <c r="S30" s="290">
        <f>S14*'Calibración-BAU_Agricultura '!U13</f>
        <v>0.28429153796845025</v>
      </c>
      <c r="T30" s="290">
        <f>T14*'Calibración-BAU_Agricultura '!V13</f>
        <v>0.29150996080355263</v>
      </c>
      <c r="U30" s="290">
        <f>U14*'Calibración-BAU_Agricultura '!W13</f>
        <v>0.31503141270865032</v>
      </c>
      <c r="V30" s="290">
        <f>V14*'Calibración-BAU_Agricultura '!X13</f>
        <v>0.33106799208942206</v>
      </c>
      <c r="W30" s="290">
        <f>W14*'Calibración-BAU_Agricultura '!Y13</f>
        <v>0.34677179143177184</v>
      </c>
      <c r="X30" s="290">
        <f>X14*'Calibración-BAU_Agricultura '!Z13</f>
        <v>0.35883713838760939</v>
      </c>
      <c r="Y30" s="290">
        <f>Y14*'Calibración-BAU_Agricultura '!AA13</f>
        <v>0.37321968622624713</v>
      </c>
      <c r="Z30" s="290">
        <f>Z14*'Calibración-BAU_Agricultura '!AB13</f>
        <v>0.3762945523129882</v>
      </c>
      <c r="AA30" s="290">
        <f>AA14*'Calibración-BAU_Agricultura '!AC13</f>
        <v>0.38846510370787879</v>
      </c>
      <c r="AB30" s="290">
        <f>AB14*'Calibración-BAU_Agricultura '!AD13</f>
        <v>0.40387156691333881</v>
      </c>
      <c r="AC30" s="290">
        <f>AC14*'Calibración-BAU_Agricultura '!AE13</f>
        <v>0.41515279764330193</v>
      </c>
      <c r="AD30" s="290">
        <f>AD14*'Calibración-BAU_Agricultura '!AF13</f>
        <v>0.42655245238376427</v>
      </c>
      <c r="AE30" s="290">
        <f>AE14*'Calibración-BAU_Agricultura '!AG13</f>
        <v>0.43900931739711452</v>
      </c>
      <c r="AF30" s="290">
        <f>AF14*'Calibración-BAU_Agricultura '!AH13</f>
        <v>0.45017435408861339</v>
      </c>
      <c r="AG30" s="290">
        <f>AG14*'Calibración-BAU_Agricultura '!AI13</f>
        <v>0.4616705884751382</v>
      </c>
      <c r="AH30" s="290">
        <f>AH14*'Calibración-BAU_Agricultura '!AJ13</f>
        <v>0.47710323623707335</v>
      </c>
      <c r="AI30" s="290">
        <f>AI14*'Calibración-BAU_Agricultura '!AK13</f>
        <v>0.49184902945962256</v>
      </c>
      <c r="AJ30" s="290">
        <f>AJ14*'Calibración-BAU_Agricultura '!AL13</f>
        <v>0.50753973540338393</v>
      </c>
      <c r="AK30" s="290">
        <f>AK14*'Calibración-BAU_Agricultura '!AM13</f>
        <v>0.52380713885104013</v>
      </c>
      <c r="AL30" s="290">
        <f>AL14*'Calibración-BAU_Agricultura '!AN13</f>
        <v>0.53800875086114242</v>
      </c>
      <c r="AM30" s="290">
        <f>AM14*'Calibración-BAU_Agricultura '!AO13</f>
        <v>0.55615599311210095</v>
      </c>
      <c r="AN30" s="290">
        <f>AN14*'Calibración-BAU_Agricultura '!AP13</f>
        <v>0.57319824705548938</v>
      </c>
      <c r="AO30" s="290">
        <f>AO14*'Calibración-BAU_Agricultura '!AQ13</f>
        <v>0.59449136125996282</v>
      </c>
      <c r="AP30" s="290">
        <f>AP14*'Calibración-BAU_Agricultura '!AR13</f>
        <v>0.61345831563777287</v>
      </c>
      <c r="AQ30" s="290">
        <f>AQ14*'Calibración-BAU_Agricultura '!AS13</f>
        <v>0.63262758403994002</v>
      </c>
      <c r="AR30" s="290">
        <f>AR14*'Calibración-BAU_Agricultura '!AT13</f>
        <v>0.65282358870334911</v>
      </c>
      <c r="AS30" s="290">
        <f>AS14*'Calibración-BAU_Agricultura '!AU13</f>
        <v>0.67334336024765629</v>
      </c>
      <c r="AT30" s="290">
        <f>AT14*'Calibración-BAU_Agricultura '!AV13</f>
        <v>0.69275123836433006</v>
      </c>
      <c r="AU30" s="290">
        <f>AU14*'Calibración-BAU_Agricultura '!AW13</f>
        <v>0.7124620744318011</v>
      </c>
      <c r="AV30" s="290">
        <f>AV14*'Calibración-BAU_Agricultura '!AX13</f>
        <v>0.73275840246373414</v>
      </c>
      <c r="AW30" s="290">
        <f>AW14*'Calibración-BAU_Agricultura '!AY13</f>
        <v>0.75382933617429859</v>
      </c>
      <c r="AX30" s="290">
        <f>AX14*'Calibración-BAU_Agricultura '!AZ13</f>
        <v>0.77556558359079053</v>
      </c>
      <c r="AY30" s="290">
        <f>AY14*'Calibración-BAU_Agricultura '!BA13</f>
        <v>0.79792392088406361</v>
      </c>
      <c r="AZ30" s="290">
        <f>AZ14*'Calibración-BAU_Agricultura '!BB13</f>
        <v>0.82074547693346223</v>
      </c>
      <c r="BA30" s="290">
        <f>BA14*'Calibración-BAU_Agricultura '!BC13</f>
        <v>0.84412624543983183</v>
      </c>
      <c r="BB30" s="290">
        <f>BB14*'Calibración-BAU_Agricultura '!BD13</f>
        <v>0.86803936717354868</v>
      </c>
      <c r="BC30" s="290">
        <f>BC14*'Calibración-BAU_Agricultura '!BE13</f>
        <v>0.89264389894428797</v>
      </c>
      <c r="BD30" s="290">
        <f>BD14*'Calibración-BAU_Agricultura '!BF13</f>
        <v>0.9176470363452276</v>
      </c>
      <c r="BE30" s="290">
        <f>BE14*'Calibración-BAU_Agricultura '!BG13</f>
        <v>0.94317239424279531</v>
      </c>
      <c r="BF30" s="290">
        <f>BF14*'Calibración-BAU_Agricultura '!BH13</f>
        <v>0.9689393929227329</v>
      </c>
      <c r="BG30" s="290">
        <f>BG14*'Calibración-BAU_Agricultura '!BI13</f>
        <v>0.9951320173564725</v>
      </c>
      <c r="BH30" s="290">
        <f>BH14*'Calibración-BAU_Agricultura '!BJ13</f>
        <v>1.0217435193044953</v>
      </c>
      <c r="BI30" s="290">
        <f>BI14*'Calibración-BAU_Agricultura '!BK13</f>
        <v>1.0487168052657669</v>
      </c>
      <c r="BJ30" s="290">
        <f>BJ14*'Calibración-BAU_Agricultura '!BL13</f>
        <v>1.076048503320856</v>
      </c>
      <c r="BK30" s="290">
        <f>BK14*'Calibración-BAU_Agricultura '!BM13</f>
        <v>1.1039410230932503</v>
      </c>
      <c r="BL30" s="290">
        <f>BL14*'Calibración-BAU_Agricultura '!BN13</f>
        <v>1.1323782045801751</v>
      </c>
      <c r="BM30" s="290">
        <f>BM14*'Calibración-BAU_Agricultura '!BO13</f>
        <v>1.1613489406210573</v>
      </c>
      <c r="BN30" s="182"/>
    </row>
    <row r="31" spans="1:66" ht="14.25" customHeight="1" x14ac:dyDescent="0.3">
      <c r="A31" s="982"/>
      <c r="B31" s="944"/>
      <c r="C31" s="183"/>
      <c r="D31" s="185" t="s">
        <v>647</v>
      </c>
      <c r="E31" s="977"/>
      <c r="F31" s="982"/>
      <c r="G31" s="982"/>
      <c r="H31" s="982"/>
      <c r="I31" s="982"/>
      <c r="J31" s="982"/>
      <c r="K31" s="977"/>
      <c r="L31" s="290">
        <f>L15*'Calibración-BAU_Agricultura '!N14</f>
        <v>0</v>
      </c>
      <c r="M31" s="290">
        <f>M15*'Calibración-BAU_Agricultura '!O14</f>
        <v>1.170948090954177E-2</v>
      </c>
      <c r="N31" s="290">
        <f>N15*'Calibración-BAU_Agricultura '!P14</f>
        <v>1.5829912827984377E-2</v>
      </c>
      <c r="O31" s="290">
        <f>O15*'Calibración-BAU_Agricultura '!Q14</f>
        <v>1.5249907826419606E-2</v>
      </c>
      <c r="P31" s="290">
        <f>P15*'Calibración-BAU_Agricultura '!R14</f>
        <v>9.3169318982768319E-3</v>
      </c>
      <c r="Q31" s="290">
        <f>Q15*'Calibración-BAU_Agricultura '!S14</f>
        <v>1.1357373310286484E-2</v>
      </c>
      <c r="R31" s="290">
        <f>R15*'Calibración-BAU_Agricultura '!T14</f>
        <v>1.1633545815307317E-2</v>
      </c>
      <c r="S31" s="290">
        <f>S15*'Calibración-BAU_Agricultura '!U14</f>
        <v>1.2726872345936748E-2</v>
      </c>
      <c r="T31" s="290">
        <f>T15*'Calibración-BAU_Agricultura '!V14</f>
        <v>1.3050019304927623E-2</v>
      </c>
      <c r="U31" s="290">
        <f>U15*'Calibración-BAU_Agricultura '!W14</f>
        <v>1.4103003568639652E-2</v>
      </c>
      <c r="V31" s="290">
        <f>V15*'Calibración-BAU_Agricultura '!X14</f>
        <v>1.4820912726622447E-2</v>
      </c>
      <c r="W31" s="290">
        <f>W15*'Calibración-BAU_Agricultura '!Y14</f>
        <v>1.5523924328742205E-2</v>
      </c>
      <c r="X31" s="290">
        <f>X15*'Calibración-BAU_Agricultura '!Z14</f>
        <v>1.6064053421622284E-2</v>
      </c>
      <c r="Y31" s="290">
        <f>Y15*'Calibración-BAU_Agricultura '!AA14</f>
        <v>1.6707916589902675E-2</v>
      </c>
      <c r="Z31" s="290">
        <f>Z15*'Calibración-BAU_Agricultura '!AB14</f>
        <v>1.6845569045007214E-2</v>
      </c>
      <c r="AA31" s="290">
        <f>AA15*'Calibración-BAU_Agricultura '!AC14</f>
        <v>1.7390407822444286E-2</v>
      </c>
      <c r="AB31" s="290">
        <f>AB15*'Calibración-BAU_Agricultura '!AD14</f>
        <v>1.8080108584976381E-2</v>
      </c>
      <c r="AC31" s="290">
        <f>AC15*'Calibración-BAU_Agricultura '!AE14</f>
        <v>1.8585135165898506E-2</v>
      </c>
      <c r="AD31" s="290">
        <f>AD15*'Calibración-BAU_Agricultura '!AF14</f>
        <v>1.9095463231610113E-2</v>
      </c>
      <c r="AE31" s="290">
        <f>AE15*'Calibración-BAU_Agricultura '!AG14</f>
        <v>1.9653119403821154E-2</v>
      </c>
      <c r="AF31" s="290">
        <f>AF15*'Calibración-BAU_Agricultura '!AH14</f>
        <v>2.0152944329057499E-2</v>
      </c>
      <c r="AG31" s="290">
        <f>AG15*'Calibración-BAU_Agricultura '!AI14</f>
        <v>2.0667595973428664E-2</v>
      </c>
      <c r="AH31" s="290">
        <f>AH15*'Calibración-BAU_Agricultura '!AJ14</f>
        <v>2.1358468939361799E-2</v>
      </c>
      <c r="AI31" s="290">
        <f>AI15*'Calibración-BAU_Agricultura '!AK14</f>
        <v>2.2018593504883652E-2</v>
      </c>
      <c r="AJ31" s="290">
        <f>AJ15*'Calibración-BAU_Agricultura '!AL14</f>
        <v>2.2721018955148175E-2</v>
      </c>
      <c r="AK31" s="290">
        <f>AK15*'Calibración-BAU_Agricultura '!AM14</f>
        <v>2.3449261408503043E-2</v>
      </c>
      <c r="AL31" s="290">
        <f>AL15*'Calibración-BAU_Agricultura '!AN14</f>
        <v>2.4085024626960685E-2</v>
      </c>
      <c r="AM31" s="290">
        <f>AM15*'Calibración-BAU_Agricultura '!AO14</f>
        <v>2.4897421778170902E-2</v>
      </c>
      <c r="AN31" s="290">
        <f>AN15*'Calibración-BAU_Agricultura '!AP14</f>
        <v>2.5660351944768445E-2</v>
      </c>
      <c r="AO31" s="290">
        <f>AO15*'Calibración-BAU_Agricultura '!AQ14</f>
        <v>2.6613580268989124E-2</v>
      </c>
      <c r="AP31" s="290">
        <f>AP15*'Calibración-BAU_Agricultura '!AR14</f>
        <v>2.7462673452988095E-2</v>
      </c>
      <c r="AQ31" s="290">
        <f>AQ15*'Calibración-BAU_Agricultura '!AS14</f>
        <v>2.8320823623980709E-2</v>
      </c>
      <c r="AR31" s="290">
        <f>AR15*'Calibración-BAU_Agricultura '!AT14</f>
        <v>2.9224937672136717E-2</v>
      </c>
      <c r="AS31" s="290">
        <f>AS15*'Calibración-BAU_Agricultura '!AU14</f>
        <v>3.0143545784352715E-2</v>
      </c>
      <c r="AT31" s="290">
        <f>AT15*'Calibración-BAU_Agricultura '!AV14</f>
        <v>3.1012377790614602E-2</v>
      </c>
      <c r="AU31" s="290">
        <f>AU15*'Calibración-BAU_Agricultura '!AW14</f>
        <v>3.1894772308070238E-2</v>
      </c>
      <c r="AV31" s="290">
        <f>AV15*'Calibración-BAU_Agricultura '!AX14</f>
        <v>3.2803377530017906E-2</v>
      </c>
      <c r="AW31" s="290">
        <f>AW15*'Calibración-BAU_Agricultura '!AY14</f>
        <v>3.3746659505487074E-2</v>
      </c>
      <c r="AX31" s="290">
        <f>AX15*'Calibración-BAU_Agricultura '!AZ14</f>
        <v>3.4719725563401513E-2</v>
      </c>
      <c r="AY31" s="290">
        <f>AY15*'Calibración-BAU_Agricultura '!BA14</f>
        <v>3.5720640703656097E-2</v>
      </c>
      <c r="AZ31" s="290">
        <f>AZ15*'Calibración-BAU_Agricultura '!BB14</f>
        <v>3.6742292746667557E-2</v>
      </c>
      <c r="BA31" s="290">
        <f>BA15*'Calibración-BAU_Agricultura '!BC14</f>
        <v>3.7788979040100194E-2</v>
      </c>
      <c r="BB31" s="290">
        <f>BB15*'Calibración-BAU_Agricultura '!BD14</f>
        <v>3.8859497177476603E-2</v>
      </c>
      <c r="BC31" s="290">
        <f>BC15*'Calibración-BAU_Agricultura '!BE14</f>
        <v>3.9960967651115877E-2</v>
      </c>
      <c r="BD31" s="290">
        <f>BD15*'Calibración-BAU_Agricultura '!BF14</f>
        <v>4.1080282493279732E-2</v>
      </c>
      <c r="BE31" s="290">
        <f>BE15*'Calibración-BAU_Agricultura '!BG14</f>
        <v>4.22229755676784E-2</v>
      </c>
      <c r="BF31" s="290">
        <f>BF15*'Calibración-BAU_Agricultura '!BH14</f>
        <v>4.3376486169087437E-2</v>
      </c>
      <c r="BG31" s="290">
        <f>BG15*'Calibración-BAU_Agricultura '!BI14</f>
        <v>4.4549050748235272E-2</v>
      </c>
      <c r="BH31" s="290">
        <f>BH15*'Calibración-BAU_Agricultura '!BJ14</f>
        <v>4.5740367206847973E-2</v>
      </c>
      <c r="BI31" s="290">
        <f>BI15*'Calibración-BAU_Agricultura '!BK14</f>
        <v>4.6947879641557333E-2</v>
      </c>
      <c r="BJ31" s="290">
        <f>BJ15*'Calibración-BAU_Agricultura '!BL14</f>
        <v>4.8171437101728408E-2</v>
      </c>
      <c r="BK31" s="290">
        <f>BK15*'Calibración-BAU_Agricultura '!BM14</f>
        <v>4.9420100854038806E-2</v>
      </c>
      <c r="BL31" s="290">
        <f>BL15*'Calibración-BAU_Agricultura '!BN14</f>
        <v>5.0693147464038496E-2</v>
      </c>
      <c r="BM31" s="290">
        <f>BM15*'Calibración-BAU_Agricultura '!BO14</f>
        <v>5.1990079697740971E-2</v>
      </c>
      <c r="BN31" s="182"/>
    </row>
    <row r="32" spans="1:66" ht="14.25" customHeight="1" x14ac:dyDescent="0.3">
      <c r="A32" s="982"/>
      <c r="B32" s="944"/>
      <c r="C32" s="183"/>
      <c r="D32" s="185" t="s">
        <v>648</v>
      </c>
      <c r="E32" s="977"/>
      <c r="F32" s="982"/>
      <c r="G32" s="982"/>
      <c r="H32" s="982"/>
      <c r="I32" s="982"/>
      <c r="J32" s="982"/>
      <c r="K32" s="977"/>
      <c r="L32" s="290">
        <f>L16*'Calibración-BAU_Agricultura '!N15</f>
        <v>0</v>
      </c>
      <c r="M32" s="290">
        <f>M16*'Calibración-BAU_Agricultura '!O15</f>
        <v>3.9534559589991846E-3</v>
      </c>
      <c r="N32" s="290">
        <f>N16*'Calibración-BAU_Agricultura '!P15</f>
        <v>4.8022339601727542E-3</v>
      </c>
      <c r="O32" s="290">
        <f>O16*'Calibración-BAU_Agricultura '!Q15</f>
        <v>7.3184357794477397E-3</v>
      </c>
      <c r="P32" s="290">
        <f>P16*'Calibración-BAU_Agricultura '!R15</f>
        <v>4.4256353352875267E-3</v>
      </c>
      <c r="Q32" s="290">
        <f>Q16*'Calibración-BAU_Agricultura '!S15</f>
        <v>4.1816698168937478E-3</v>
      </c>
      <c r="R32" s="290">
        <f>R16*'Calibración-BAU_Agricultura '!T15</f>
        <v>4.2833537359611585E-3</v>
      </c>
      <c r="S32" s="290">
        <f>S16*'Calibración-BAU_Agricultura '!U15</f>
        <v>4.6859054905117837E-3</v>
      </c>
      <c r="T32" s="290">
        <f>T16*'Calibración-BAU_Agricultura '!V15</f>
        <v>4.8048849277386339E-3</v>
      </c>
      <c r="U32" s="290">
        <f>U16*'Calibración-BAU_Agricultura '!W15</f>
        <v>5.1925830682268588E-3</v>
      </c>
      <c r="V32" s="290">
        <f>V16*'Calibración-BAU_Agricultura '!X15</f>
        <v>5.4569099486763452E-3</v>
      </c>
      <c r="W32" s="290">
        <f>W16*'Calibración-BAU_Agricultura '!Y15</f>
        <v>5.7157516999506251E-3</v>
      </c>
      <c r="X32" s="290">
        <f>X16*'Calibración-BAU_Agricultura '!Z15</f>
        <v>5.9146217611184783E-3</v>
      </c>
      <c r="Y32" s="290">
        <f>Y16*'Calibración-BAU_Agricultura '!AA15</f>
        <v>6.1516856581525876E-3</v>
      </c>
      <c r="Z32" s="290">
        <f>Z16*'Calibración-BAU_Agricultura '!AB15</f>
        <v>6.2023678978752744E-3</v>
      </c>
      <c r="AA32" s="290">
        <f>AA16*'Calibración-BAU_Agricultura '!AC15</f>
        <v>6.4029720171938113E-3</v>
      </c>
      <c r="AB32" s="290">
        <f>AB16*'Calibración-BAU_Agricultura '!AD15</f>
        <v>6.6569128521540306E-3</v>
      </c>
      <c r="AC32" s="290">
        <f>AC16*'Calibración-BAU_Agricultura '!AE15</f>
        <v>6.8428585239634077E-3</v>
      </c>
      <c r="AD32" s="290">
        <f>AD16*'Calibración-BAU_Agricultura '!AF15</f>
        <v>7.0307561487748761E-3</v>
      </c>
      <c r="AE32" s="290">
        <f>AE16*'Calibración-BAU_Agricultura '!AG15</f>
        <v>7.236079503025049E-3</v>
      </c>
      <c r="AF32" s="290">
        <f>AF16*'Calibración-BAU_Agricultura '!AH15</f>
        <v>7.4201099778971715E-3</v>
      </c>
      <c r="AG32" s="290">
        <f>AG16*'Calibración-BAU_Agricultura '!AI15</f>
        <v>7.6095995005786565E-3</v>
      </c>
      <c r="AH32" s="290">
        <f>AH16*'Calibración-BAU_Agricultura '!AJ15</f>
        <v>7.863971928958189E-3</v>
      </c>
      <c r="AI32" s="290">
        <f>AI16*'Calibración-BAU_Agricultura '!AK15</f>
        <v>8.1070231077490385E-3</v>
      </c>
      <c r="AJ32" s="290">
        <f>AJ16*'Calibración-BAU_Agricultura '!AL15</f>
        <v>8.365649043847203E-3</v>
      </c>
      <c r="AK32" s="290">
        <f>AK16*'Calibración-BAU_Agricultura '!AM15</f>
        <v>8.6337805389893555E-3</v>
      </c>
      <c r="AL32" s="290">
        <f>AL16*'Calibración-BAU_Agricultura '!AN15</f>
        <v>8.8678621165410639E-3</v>
      </c>
      <c r="AM32" s="290">
        <f>AM16*'Calibración-BAU_Agricultura '!AO15</f>
        <v>9.1669785190519673E-3</v>
      </c>
      <c r="AN32" s="290">
        <f>AN16*'Calibración-BAU_Agricultura '!AP15</f>
        <v>9.4478816788670251E-3</v>
      </c>
      <c r="AO32" s="290">
        <f>AO16*'Calibración-BAU_Agricultura '!AQ15</f>
        <v>9.7988506928371449E-3</v>
      </c>
      <c r="AP32" s="290">
        <f>AP16*'Calibración-BAU_Agricultura '!AR15</f>
        <v>1.0111478202936059E-2</v>
      </c>
      <c r="AQ32" s="290">
        <f>AQ16*'Calibración-BAU_Agricultura '!AS15</f>
        <v>1.042744040391011E-2</v>
      </c>
      <c r="AR32" s="290">
        <f>AR16*'Calibración-BAU_Agricultura '!AT15</f>
        <v>1.0760326038899261E-2</v>
      </c>
      <c r="AS32" s="290">
        <f>AS16*'Calibración-BAU_Agricultura '!AU15</f>
        <v>1.1098548241468607E-2</v>
      </c>
      <c r="AT32" s="290">
        <f>AT16*'Calibración-BAU_Agricultura '!AV15</f>
        <v>1.1418443385995203E-2</v>
      </c>
      <c r="AU32" s="290">
        <f>AU16*'Calibración-BAU_Agricultura '!AW15</f>
        <v>1.1743332109772098E-2</v>
      </c>
      <c r="AV32" s="290">
        <f>AV16*'Calibración-BAU_Agricultura '!AX15</f>
        <v>1.2077871349461382E-2</v>
      </c>
      <c r="AW32" s="290">
        <f>AW16*'Calibración-BAU_Agricultura '!AY15</f>
        <v>1.2425178218565241E-2</v>
      </c>
      <c r="AX32" s="290">
        <f>AX16*'Calibración-BAU_Agricultura '!AZ15</f>
        <v>1.278345128515003E-2</v>
      </c>
      <c r="AY32" s="290">
        <f>AY16*'Calibración-BAU_Agricultura '!BA15</f>
        <v>1.3151978101776171E-2</v>
      </c>
      <c r="AZ32" s="290">
        <f>AZ16*'Calibración-BAU_Agricultura '!BB15</f>
        <v>1.3528140035958562E-2</v>
      </c>
      <c r="BA32" s="290">
        <f>BA16*'Calibración-BAU_Agricultura '!BC15</f>
        <v>1.3913519327580462E-2</v>
      </c>
      <c r="BB32" s="290">
        <f>BB16*'Calibración-BAU_Agricultura '!BD15</f>
        <v>1.430767326275576E-2</v>
      </c>
      <c r="BC32" s="290">
        <f>BC16*'Calibración-BAU_Agricultura '!BE15</f>
        <v>1.4713223534634667E-2</v>
      </c>
      <c r="BD32" s="290">
        <f>BD16*'Calibración-BAU_Agricultura '!BF15</f>
        <v>1.5125343922263251E-2</v>
      </c>
      <c r="BE32" s="290">
        <f>BE16*'Calibración-BAU_Agricultura '!BG15</f>
        <v>1.5546071938208507E-2</v>
      </c>
      <c r="BF32" s="290">
        <f>BF16*'Calibración-BAU_Agricultura '!BH15</f>
        <v>1.5970782858030996E-2</v>
      </c>
      <c r="BG32" s="290">
        <f>BG16*'Calibración-BAU_Agricultura '!BI15</f>
        <v>1.6402509259463998E-2</v>
      </c>
      <c r="BH32" s="290">
        <f>BH16*'Calibración-BAU_Agricultura '!BJ15</f>
        <v>1.6841139912982941E-2</v>
      </c>
      <c r="BI32" s="290">
        <f>BI16*'Calibración-BAU_Agricultura '!BK15</f>
        <v>1.728573376085573E-2</v>
      </c>
      <c r="BJ32" s="290">
        <f>BJ16*'Calibración-BAU_Agricultura '!BL15</f>
        <v>1.7736235224587529E-2</v>
      </c>
      <c r="BK32" s="290">
        <f>BK16*'Calibración-BAU_Agricultura '!BM15</f>
        <v>1.8195980570789767E-2</v>
      </c>
      <c r="BL32" s="290">
        <f>BL16*'Calibración-BAU_Agricultura '!BN15</f>
        <v>1.8664703438225416E-2</v>
      </c>
      <c r="BM32" s="290">
        <f>BM16*'Calibración-BAU_Agricultura '!BO15</f>
        <v>1.9142220750377009E-2</v>
      </c>
      <c r="BN32" s="182"/>
    </row>
    <row r="33" spans="1:69" ht="14.25" customHeight="1" x14ac:dyDescent="0.3">
      <c r="A33" s="982"/>
      <c r="B33" s="944"/>
      <c r="C33" s="183"/>
      <c r="D33" s="185" t="s">
        <v>649</v>
      </c>
      <c r="E33" s="977"/>
      <c r="F33" s="982"/>
      <c r="G33" s="982"/>
      <c r="H33" s="982"/>
      <c r="I33" s="982"/>
      <c r="J33" s="982"/>
      <c r="K33" s="977"/>
      <c r="L33" s="290">
        <f>L17*'Calibración-BAU_Agricultura '!N16</f>
        <v>3.6284756994757465E-2</v>
      </c>
      <c r="M33" s="290">
        <f>M17*'Calibración-BAU_Agricultura '!O16</f>
        <v>0.22249573023110769</v>
      </c>
      <c r="N33" s="290">
        <f>N17*'Calibración-BAU_Agricultura '!P16</f>
        <v>0.15067422854858714</v>
      </c>
      <c r="O33" s="290">
        <f>O17*'Calibración-BAU_Agricultura '!Q16</f>
        <v>9.8241924779716647E-2</v>
      </c>
      <c r="P33" s="290">
        <f>P17*'Calibración-BAU_Agricultura '!R16</f>
        <v>0.13727030749016086</v>
      </c>
      <c r="Q33" s="290">
        <f>Q17*'Calibración-BAU_Agricultura '!S16</f>
        <v>0.12157786535803464</v>
      </c>
      <c r="R33" s="290">
        <f>R17*'Calibración-BAU_Agricultura '!T16</f>
        <v>0.12453422355052296</v>
      </c>
      <c r="S33" s="290">
        <f>S17*'Calibración-BAU_Agricultura '!U16</f>
        <v>0.13623801298331736</v>
      </c>
      <c r="T33" s="290">
        <f>T17*'Calibración-BAU_Agricultura '!V16</f>
        <v>0.13969722105878563</v>
      </c>
      <c r="U33" s="290">
        <f>U17*'Calibración-BAU_Agricultura '!W16</f>
        <v>0.15096915652662496</v>
      </c>
      <c r="V33" s="290">
        <f>V17*'Calibración-BAU_Agricultura '!X16</f>
        <v>0.1586541960656071</v>
      </c>
      <c r="W33" s="290">
        <f>W17*'Calibración-BAU_Agricultura '!Y16</f>
        <v>0.16617976096275114</v>
      </c>
      <c r="X33" s="290">
        <f>X17*'Calibración-BAU_Agricultura '!Z16</f>
        <v>0.17196170898330757</v>
      </c>
      <c r="Y33" s="290">
        <f>Y17*'Calibración-BAU_Agricultura '!AA16</f>
        <v>0.17885410456136722</v>
      </c>
      <c r="Z33" s="290">
        <f>Z17*'Calibración-BAU_Agricultura '!AB16</f>
        <v>0.18032763996393653</v>
      </c>
      <c r="AA33" s="290">
        <f>AA17*'Calibración-BAU_Agricultura '!AC16</f>
        <v>0.18616000398996407</v>
      </c>
      <c r="AB33" s="290">
        <f>AB17*'Calibración-BAU_Agricultura '!AD16</f>
        <v>0.19354307964958994</v>
      </c>
      <c r="AC33" s="290">
        <f>AC17*'Calibración-BAU_Agricultura '!AE16</f>
        <v>0.19894926398289597</v>
      </c>
      <c r="AD33" s="290">
        <f>AD17*'Calibración-BAU_Agricultura '!AF16</f>
        <v>0.20441219939643196</v>
      </c>
      <c r="AE33" s="290">
        <f>AE17*'Calibración-BAU_Agricultura '!AG16</f>
        <v>0.21038177045559092</v>
      </c>
      <c r="AF33" s="290">
        <f>AF17*'Calibración-BAU_Agricultura '!AH16</f>
        <v>0.21573227235447071</v>
      </c>
      <c r="AG33" s="290">
        <f>AG17*'Calibración-BAU_Agricultura '!AI16</f>
        <v>0.22124149060557616</v>
      </c>
      <c r="AH33" s="290">
        <f>AH17*'Calibración-BAU_Agricultura '!AJ16</f>
        <v>0.22863711441197598</v>
      </c>
      <c r="AI33" s="290">
        <f>AI17*'Calibración-BAU_Agricultura '!AK16</f>
        <v>0.23570358421568127</v>
      </c>
      <c r="AJ33" s="290">
        <f>AJ17*'Calibración-BAU_Agricultura '!AL16</f>
        <v>0.24322287450254448</v>
      </c>
      <c r="AK33" s="290">
        <f>AK17*'Calibración-BAU_Agricultura '!AM16</f>
        <v>0.2510185294064643</v>
      </c>
      <c r="AL33" s="290">
        <f>AL17*'Calibración-BAU_Agricultura '!AN16</f>
        <v>0.25782421702995967</v>
      </c>
      <c r="AM33" s="290">
        <f>AM17*'Calibración-BAU_Agricultura '!AO16</f>
        <v>0.26652072710924274</v>
      </c>
      <c r="AN33" s="290">
        <f>AN17*'Calibración-BAU_Agricultura '!AP16</f>
        <v>0.27468770538301046</v>
      </c>
      <c r="AO33" s="290">
        <f>AO17*'Calibración-BAU_Agricultura '!AQ16</f>
        <v>0.28489177825191941</v>
      </c>
      <c r="AP33" s="290">
        <f>AP17*'Calibración-BAU_Agricultura '!AR16</f>
        <v>0.29398111026385176</v>
      </c>
      <c r="AQ33" s="290">
        <f>AQ17*'Calibración-BAU_Agricultura '!AS16</f>
        <v>0.30316739507597645</v>
      </c>
      <c r="AR33" s="290">
        <f>AR17*'Calibración-BAU_Agricultura '!AT16</f>
        <v>0.31284571179692655</v>
      </c>
      <c r="AS33" s="290">
        <f>AS17*'Calibración-BAU_Agricultura '!AU16</f>
        <v>0.32267918388000449</v>
      </c>
      <c r="AT33" s="290">
        <f>AT17*'Calibración-BAU_Agricultura '!AV16</f>
        <v>0.33197981509024993</v>
      </c>
      <c r="AU33" s="290">
        <f>AU17*'Calibración-BAU_Agricultura '!AW16</f>
        <v>0.34142562962015743</v>
      </c>
      <c r="AV33" s="290">
        <f>AV17*'Calibración-BAU_Agricultura '!AX16</f>
        <v>0.35115202324301309</v>
      </c>
      <c r="AW33" s="290">
        <f>AW17*'Calibración-BAU_Agricultura '!AY16</f>
        <v>0.36124962291461865</v>
      </c>
      <c r="AX33" s="290">
        <f>AX17*'Calibración-BAU_Agricultura '!AZ16</f>
        <v>0.3716660538041841</v>
      </c>
      <c r="AY33" s="290">
        <f>AY17*'Calibración-BAU_Agricultura '!BA16</f>
        <v>0.38238060221534509</v>
      </c>
      <c r="AZ33" s="290">
        <f>AZ17*'Calibración-BAU_Agricultura '!BB16</f>
        <v>0.39331713402904428</v>
      </c>
      <c r="BA33" s="290">
        <f>BA17*'Calibración-BAU_Agricultura '!BC16</f>
        <v>0.40452165128655143</v>
      </c>
      <c r="BB33" s="290">
        <f>BB17*'Calibración-BAU_Agricultura '!BD16</f>
        <v>0.41598128252464805</v>
      </c>
      <c r="BC33" s="290">
        <f>BC17*'Calibración-BAU_Agricultura '!BE16</f>
        <v>0.42777225084816684</v>
      </c>
      <c r="BD33" s="290">
        <f>BD17*'Calibración-BAU_Agricultura '!BF16</f>
        <v>0.43975423871243763</v>
      </c>
      <c r="BE33" s="290">
        <f>BE17*'Calibración-BAU_Agricultura '!BG16</f>
        <v>0.45198648475642156</v>
      </c>
      <c r="BF33" s="290">
        <f>BF17*'Calibración-BAU_Agricultura '!BH16</f>
        <v>0.46433452974497141</v>
      </c>
      <c r="BG33" s="290">
        <f>BG17*'Calibración-BAU_Agricultura '!BI16</f>
        <v>0.47688654284100307</v>
      </c>
      <c r="BH33" s="290">
        <f>BH17*'Calibración-BAU_Agricultura '!BJ16</f>
        <v>0.48963929015739577</v>
      </c>
      <c r="BI33" s="290">
        <f>BI17*'Calibración-BAU_Agricultura '!BK16</f>
        <v>0.50256541138229927</v>
      </c>
      <c r="BJ33" s="290">
        <f>BJ17*'Calibración-BAU_Agricultura '!BL16</f>
        <v>0.51566329062659311</v>
      </c>
      <c r="BK33" s="290">
        <f>BK17*'Calibración-BAU_Agricultura '!BM16</f>
        <v>0.5290299265034254</v>
      </c>
      <c r="BL33" s="290">
        <f>BL17*'Calibración-BAU_Agricultura '!BN16</f>
        <v>0.54265757482637544</v>
      </c>
      <c r="BM33" s="290">
        <f>BM17*'Calibración-BAU_Agricultura '!BO16</f>
        <v>0.55654091282890139</v>
      </c>
      <c r="BN33" s="182"/>
    </row>
    <row r="34" spans="1:69" ht="14.25" customHeight="1" x14ac:dyDescent="0.3">
      <c r="A34" s="982"/>
      <c r="B34" s="944"/>
      <c r="C34" s="183"/>
      <c r="D34" s="185" t="s">
        <v>650</v>
      </c>
      <c r="E34" s="977"/>
      <c r="F34" s="982"/>
      <c r="G34" s="982"/>
      <c r="H34" s="982"/>
      <c r="I34" s="982"/>
      <c r="J34" s="982"/>
      <c r="K34" s="977"/>
      <c r="L34" s="290">
        <f>L18*'Calibración-BAU_Agricultura '!N17</f>
        <v>3.2666896650611683E-2</v>
      </c>
      <c r="M34" s="290">
        <f>M18*'Calibración-BAU_Agricultura '!O17</f>
        <v>2.4066336685835618E-2</v>
      </c>
      <c r="N34" s="290">
        <f>N18*'Calibración-BAU_Agricultura '!P17</f>
        <v>3.0483099758318633E-2</v>
      </c>
      <c r="O34" s="290">
        <f>O18*'Calibración-BAU_Agricultura '!Q17</f>
        <v>4.1206852163964816E-2</v>
      </c>
      <c r="P34" s="290">
        <f>P18*'Calibración-BAU_Agricultura '!R17</f>
        <v>4.2972359144000008E-2</v>
      </c>
      <c r="Q34" s="290">
        <f>Q18*'Calibración-BAU_Agricultura '!S17</f>
        <v>3.1276323657512227E-2</v>
      </c>
      <c r="R34" s="290">
        <f>R18*'Calibración-BAU_Agricultura '!T17</f>
        <v>3.2036856961855951E-2</v>
      </c>
      <c r="S34" s="290">
        <f>S18*'Calibración-BAU_Agricultura '!U17</f>
        <v>3.5047697012727592E-2</v>
      </c>
      <c r="T34" s="290">
        <f>T18*'Calibración-BAU_Agricultura '!V17</f>
        <v>3.5937590177477705E-2</v>
      </c>
      <c r="U34" s="290">
        <f>U18*'Calibración-BAU_Agricultura '!W17</f>
        <v>3.8837334311827544E-2</v>
      </c>
      <c r="V34" s="290">
        <f>V18*'Calibración-BAU_Agricultura '!X17</f>
        <v>4.0814337142352247E-2</v>
      </c>
      <c r="W34" s="290">
        <f>W18*'Calibración-BAU_Agricultura '!Y17</f>
        <v>4.2750314573240196E-2</v>
      </c>
      <c r="X34" s="290">
        <f>X18*'Calibración-BAU_Agricultura '!Z17</f>
        <v>4.4237740570803853E-2</v>
      </c>
      <c r="Y34" s="290">
        <f>Y18*'Calibración-BAU_Agricultura '!AA17</f>
        <v>4.601083301851356E-2</v>
      </c>
      <c r="Z34" s="290">
        <f>Z18*'Calibración-BAU_Agricultura '!AB17</f>
        <v>4.6389905064529821E-2</v>
      </c>
      <c r="AA34" s="290">
        <f>AA18*'Calibración-BAU_Agricultura '!AC17</f>
        <v>4.7890300752752135E-2</v>
      </c>
      <c r="AB34" s="290">
        <f>AB18*'Calibración-BAU_Agricultura '!AD17</f>
        <v>4.9789622337633857E-2</v>
      </c>
      <c r="AC34" s="290">
        <f>AC18*'Calibración-BAU_Agricultura '!AE17</f>
        <v>5.1180381835365732E-2</v>
      </c>
      <c r="AD34" s="290">
        <f>AD18*'Calibración-BAU_Agricultura '!AF17</f>
        <v>5.2585740743507997E-2</v>
      </c>
      <c r="AE34" s="290">
        <f>AE18*'Calibración-BAU_Agricultura '!AG17</f>
        <v>5.4121433412506109E-2</v>
      </c>
      <c r="AF34" s="290">
        <f>AF18*'Calibración-BAU_Agricultura '!AH17</f>
        <v>5.5497868412632878E-2</v>
      </c>
      <c r="AG34" s="290">
        <f>AG18*'Calibración-BAU_Agricultura '!AI17</f>
        <v>5.6915133739787759E-2</v>
      </c>
      <c r="AH34" s="290">
        <f>AH18*'Calibración-BAU_Agricultura '!AJ17</f>
        <v>5.8817683378547946E-2</v>
      </c>
      <c r="AI34" s="290">
        <f>AI18*'Calibración-BAU_Agricultura '!AK17</f>
        <v>6.0635557018999364E-2</v>
      </c>
      <c r="AJ34" s="290">
        <f>AJ18*'Calibración-BAU_Agricultura '!AL17</f>
        <v>6.2569920284830313E-2</v>
      </c>
      <c r="AK34" s="290">
        <f>AK18*'Calibración-BAU_Agricultura '!AM17</f>
        <v>6.4575379298107458E-2</v>
      </c>
      <c r="AL34" s="290">
        <f>AL18*'Calibración-BAU_Agricultura '!AN17</f>
        <v>6.6326165826539482E-2</v>
      </c>
      <c r="AM34" s="290">
        <f>AM18*'Calibración-BAU_Agricultura '!AO17</f>
        <v>6.8563372929407063E-2</v>
      </c>
      <c r="AN34" s="290">
        <f>AN18*'Calibración-BAU_Agricultura '!AP17</f>
        <v>7.0664356155605401E-2</v>
      </c>
      <c r="AO34" s="290">
        <f>AO18*'Calibración-BAU_Agricultura '!AQ17</f>
        <v>7.3289388966742405E-2</v>
      </c>
      <c r="AP34" s="290">
        <f>AP18*'Calibración-BAU_Agricultura '!AR17</f>
        <v>7.5627650861690182E-2</v>
      </c>
      <c r="AQ34" s="290">
        <f>AQ18*'Calibración-BAU_Agricultura '!AS17</f>
        <v>7.7990854197659193E-2</v>
      </c>
      <c r="AR34" s="290">
        <f>AR18*'Calibración-BAU_Agricultura '!AT17</f>
        <v>8.0480634433008111E-2</v>
      </c>
      <c r="AS34" s="290">
        <f>AS18*'Calibración-BAU_Agricultura '!AU17</f>
        <v>8.301032891844537E-2</v>
      </c>
      <c r="AT34" s="290">
        <f>AT18*'Calibración-BAU_Agricultura '!AV17</f>
        <v>8.5402948258274686E-2</v>
      </c>
      <c r="AU34" s="290">
        <f>AU18*'Calibración-BAU_Agricultura '!AW17</f>
        <v>8.7832916505999767E-2</v>
      </c>
      <c r="AV34" s="290">
        <f>AV18*'Calibración-BAU_Agricultura '!AX17</f>
        <v>9.0335064689576944E-2</v>
      </c>
      <c r="AW34" s="290">
        <f>AW18*'Calibración-BAU_Agricultura '!AY17</f>
        <v>9.2932706904819681E-2</v>
      </c>
      <c r="AX34" s="290">
        <f>AX18*'Calibración-BAU_Agricultura '!AZ17</f>
        <v>9.5612369546524592E-2</v>
      </c>
      <c r="AY34" s="290">
        <f>AY18*'Calibración-BAU_Agricultura '!BA17</f>
        <v>9.8368723945120765E-2</v>
      </c>
      <c r="AZ34" s="290">
        <f>AZ18*'Calibración-BAU_Agricultura '!BB17</f>
        <v>0.10118218433685097</v>
      </c>
      <c r="BA34" s="290">
        <f>BA18*'Calibración-BAU_Agricultura '!BC17</f>
        <v>0.10406458490491466</v>
      </c>
      <c r="BB34" s="290">
        <f>BB18*'Calibración-BAU_Agricultura '!BD17</f>
        <v>0.10701261442116708</v>
      </c>
      <c r="BC34" s="290">
        <f>BC18*'Calibración-BAU_Agricultura '!BE17</f>
        <v>0.11004588154126194</v>
      </c>
      <c r="BD34" s="290">
        <f>BD18*'Calibración-BAU_Agricultura '!BF17</f>
        <v>0.11312828909464112</v>
      </c>
      <c r="BE34" s="290">
        <f>BE18*'Calibración-BAU_Agricultura '!BG17</f>
        <v>0.11627507642474684</v>
      </c>
      <c r="BF34" s="290">
        <f>BF18*'Calibración-BAU_Agricultura '!BH17</f>
        <v>0.11945165343127748</v>
      </c>
      <c r="BG34" s="290">
        <f>BG18*'Calibración-BAU_Agricultura '!BI17</f>
        <v>0.12268070193438045</v>
      </c>
      <c r="BH34" s="290">
        <f>BH18*'Calibración-BAU_Agricultura '!BJ17</f>
        <v>0.12596139000548098</v>
      </c>
      <c r="BI34" s="290">
        <f>BI18*'Calibración-BAU_Agricultura '!BK17</f>
        <v>0.12928667911033367</v>
      </c>
      <c r="BJ34" s="290">
        <f>BJ18*'Calibración-BAU_Agricultura '!BL17</f>
        <v>0.1326561535559094</v>
      </c>
      <c r="BK34" s="290">
        <f>BK18*'Calibración-BAU_Agricultura '!BM17</f>
        <v>0.13609476656876976</v>
      </c>
      <c r="BL34" s="290">
        <f>BL18*'Calibración-BAU_Agricultura '!BN17</f>
        <v>0.13960052593034564</v>
      </c>
      <c r="BM34" s="290">
        <f>BM18*'Calibración-BAU_Agricultura '!BO17</f>
        <v>0.1431720623406528</v>
      </c>
      <c r="BN34" s="182"/>
    </row>
    <row r="35" spans="1:69" ht="14.25" customHeight="1" x14ac:dyDescent="0.3">
      <c r="A35" s="982"/>
      <c r="B35" s="944"/>
      <c r="C35" s="183"/>
      <c r="D35" s="185" t="s">
        <v>651</v>
      </c>
      <c r="E35" s="977"/>
      <c r="F35" s="982"/>
      <c r="G35" s="982"/>
      <c r="H35" s="982"/>
      <c r="I35" s="982"/>
      <c r="J35" s="982"/>
      <c r="K35" s="977"/>
      <c r="L35" s="290">
        <f>L19*'Calibración-BAU_Agricultura '!N18</f>
        <v>0.23422327816078184</v>
      </c>
      <c r="M35" s="290">
        <f>M19*'Calibración-BAU_Agricultura '!O18</f>
        <v>8.4673321919999989E-2</v>
      </c>
      <c r="N35" s="290">
        <f>N19*'Calibración-BAU_Agricultura '!P18</f>
        <v>8.13700913142857E-2</v>
      </c>
      <c r="O35" s="290">
        <f>O19*'Calibración-BAU_Agricultura '!Q18</f>
        <v>8.3400872468571433E-2</v>
      </c>
      <c r="P35" s="290">
        <f>P19*'Calibración-BAU_Agricultura '!R18</f>
        <v>9.917908426171429E-2</v>
      </c>
      <c r="Q35" s="290">
        <f>Q19*'Calibración-BAU_Agricultura '!S18</f>
        <v>9.697455297211742E-2</v>
      </c>
      <c r="R35" s="290">
        <f>R19*'Calibración-BAU_Agricultura '!T18</f>
        <v>9.9332642689334755E-2</v>
      </c>
      <c r="S35" s="290">
        <f>S19*'Calibración-BAU_Agricultura '!U18</f>
        <v>0.10866797478274384</v>
      </c>
      <c r="T35" s="290">
        <f>T19*'Calibración-BAU_Agricultura '!V18</f>
        <v>0.11142715430747223</v>
      </c>
      <c r="U35" s="290">
        <f>U19*'Calibración-BAU_Agricultura '!W18</f>
        <v>0.12041802530117848</v>
      </c>
      <c r="V35" s="290">
        <f>V19*'Calibración-BAU_Agricultura '!X18</f>
        <v>0.12654786868731741</v>
      </c>
      <c r="W35" s="290">
        <f>W19*'Calibración-BAU_Agricultura '!Y18</f>
        <v>0.13255050978990665</v>
      </c>
      <c r="X35" s="290">
        <f>X19*'Calibración-BAU_Agricultura '!Z18</f>
        <v>0.13716238402334768</v>
      </c>
      <c r="Y35" s="290">
        <f>Y19*'Calibración-BAU_Agricultura '!AA18</f>
        <v>0.14265998819760259</v>
      </c>
      <c r="Z35" s="290">
        <f>Z19*'Calibración-BAU_Agricultura '!AB18</f>
        <v>0.14383532909153862</v>
      </c>
      <c r="AA35" s="290">
        <f>AA19*'Calibración-BAU_Agricultura '!AC18</f>
        <v>0.14848741680938979</v>
      </c>
      <c r="AB35" s="290">
        <f>AB19*'Calibración-BAU_Agricultura '!AD18</f>
        <v>0.15437640375239198</v>
      </c>
      <c r="AC35" s="290">
        <f>AC19*'Calibración-BAU_Agricultura '!AE18</f>
        <v>0.15868855635898133</v>
      </c>
      <c r="AD35" s="290">
        <f>AD19*'Calibración-BAU_Agricultura '!AF18</f>
        <v>0.16304597551651542</v>
      </c>
      <c r="AE35" s="290">
        <f>AE19*'Calibración-BAU_Agricultura '!AG18</f>
        <v>0.16780750413188003</v>
      </c>
      <c r="AF35" s="290">
        <f>AF19*'Calibración-BAU_Agricultura '!AH18</f>
        <v>0.17207524257499493</v>
      </c>
      <c r="AG35" s="290">
        <f>AG19*'Calibración-BAU_Agricultura '!AI18</f>
        <v>0.17646957846461975</v>
      </c>
      <c r="AH35" s="290">
        <f>AH19*'Calibración-BAU_Agricultura '!AJ18</f>
        <v>0.1823685742272409</v>
      </c>
      <c r="AI35" s="290">
        <f>AI19*'Calibración-BAU_Agricultura '!AK18</f>
        <v>0.18800502579913878</v>
      </c>
      <c r="AJ35" s="290">
        <f>AJ19*'Calibración-BAU_Agricultura '!AL18</f>
        <v>0.19400266206367417</v>
      </c>
      <c r="AK35" s="290">
        <f>AK19*'Calibración-BAU_Agricultura '!AM18</f>
        <v>0.20022073594748707</v>
      </c>
      <c r="AL35" s="290">
        <f>AL19*'Calibración-BAU_Agricultura '!AN18</f>
        <v>0.2056491789705058</v>
      </c>
      <c r="AM35" s="290">
        <f>AM19*'Calibración-BAU_Agricultura '!AO18</f>
        <v>0.21258580493340157</v>
      </c>
      <c r="AN35" s="290">
        <f>AN19*'Calibración-BAU_Agricultura '!AP18</f>
        <v>0.21910005869907917</v>
      </c>
      <c r="AO35" s="290">
        <f>AO19*'Calibración-BAU_Agricultura '!AQ18</f>
        <v>0.22723916693266499</v>
      </c>
      <c r="AP35" s="290">
        <f>AP19*'Calibración-BAU_Agricultura '!AR18</f>
        <v>0.23448912074684447</v>
      </c>
      <c r="AQ35" s="290">
        <f>AQ19*'Calibración-BAU_Agricultura '!AS18</f>
        <v>0.24181640734220394</v>
      </c>
      <c r="AR35" s="290">
        <f>AR19*'Calibración-BAU_Agricultura '!AT18</f>
        <v>0.24953615496873752</v>
      </c>
      <c r="AS35" s="290">
        <f>AS19*'Calibración-BAU_Agricultura '!AU18</f>
        <v>0.25737965967752657</v>
      </c>
      <c r="AT35" s="290">
        <f>AT19*'Calibración-BAU_Agricultura '!AV18</f>
        <v>0.26479815276684016</v>
      </c>
      <c r="AU35" s="290">
        <f>AU19*'Calibración-BAU_Agricultura '!AW18</f>
        <v>0.27233244890535002</v>
      </c>
      <c r="AV35" s="290">
        <f>AV19*'Calibración-BAU_Agricultura '!AX18</f>
        <v>0.28009054426941665</v>
      </c>
      <c r="AW35" s="290">
        <f>AW19*'Calibración-BAU_Agricultura '!AY18</f>
        <v>0.28814472593613433</v>
      </c>
      <c r="AX35" s="290">
        <f>AX19*'Calibración-BAU_Agricultura '!AZ18</f>
        <v>0.29645321799680535</v>
      </c>
      <c r="AY35" s="290">
        <f>AY19*'Calibración-BAU_Agricultura '!BA18</f>
        <v>0.30499949851761049</v>
      </c>
      <c r="AZ35" s="290">
        <f>AZ19*'Calibración-BAU_Agricultura '!BB18</f>
        <v>0.31372284039053755</v>
      </c>
      <c r="BA35" s="290">
        <f>BA19*'Calibración-BAU_Agricultura '!BC18</f>
        <v>0.32265993637519996</v>
      </c>
      <c r="BB35" s="290">
        <f>BB19*'Calibración-BAU_Agricultura '!BD18</f>
        <v>0.33180051976401914</v>
      </c>
      <c r="BC35" s="290">
        <f>BC19*'Calibración-BAU_Agricultura '!BE18</f>
        <v>0.34120538864302397</v>
      </c>
      <c r="BD35" s="290">
        <f>BD19*'Calibración-BAU_Agricultura '!BF18</f>
        <v>0.35076262106714318</v>
      </c>
      <c r="BE35" s="290">
        <f>BE19*'Calibración-BAU_Agricultura '!BG18</f>
        <v>0.36051946774698085</v>
      </c>
      <c r="BF35" s="290">
        <f>BF19*'Calibración-BAU_Agricultura '!BH18</f>
        <v>0.37036867952017544</v>
      </c>
      <c r="BG35" s="290">
        <f>BG19*'Calibración-BAU_Agricultura '!BI18</f>
        <v>0.38038058304639066</v>
      </c>
      <c r="BH35" s="290">
        <f>BH19*'Calibración-BAU_Agricultura '!BJ18</f>
        <v>0.39055259886959687</v>
      </c>
      <c r="BI35" s="290">
        <f>BI19*'Calibración-BAU_Agricultura '!BK18</f>
        <v>0.4008629034941843</v>
      </c>
      <c r="BJ35" s="290">
        <f>BJ19*'Calibración-BAU_Agricultura '!BL18</f>
        <v>0.41131020803319457</v>
      </c>
      <c r="BK35" s="290">
        <f>BK19*'Calibración-BAU_Agricultura '!BM18</f>
        <v>0.42197188180974621</v>
      </c>
      <c r="BL35" s="290">
        <f>BL19*'Calibración-BAU_Agricultura '!BN18</f>
        <v>0.432841747802931</v>
      </c>
      <c r="BM35" s="290">
        <f>BM19*'Calibración-BAU_Agricultura '!BO18</f>
        <v>0.44391556039695018</v>
      </c>
      <c r="BN35" s="182"/>
    </row>
    <row r="36" spans="1:69" ht="14.25" customHeight="1" x14ac:dyDescent="0.3">
      <c r="A36" s="982"/>
      <c r="B36" s="944"/>
      <c r="C36" s="183"/>
      <c r="D36" s="185" t="s">
        <v>652</v>
      </c>
      <c r="E36" s="977"/>
      <c r="F36" s="982"/>
      <c r="G36" s="982"/>
      <c r="H36" s="982"/>
      <c r="I36" s="982"/>
      <c r="J36" s="982"/>
      <c r="K36" s="977"/>
      <c r="L36" s="290">
        <f>L20*'Calibración-BAU_Agricultura '!N19</f>
        <v>0.14859371472377139</v>
      </c>
      <c r="M36" s="290">
        <f>M20*'Calibración-BAU_Agricultura '!O19</f>
        <v>0.9461459814219435</v>
      </c>
      <c r="N36" s="290">
        <f>N20*'Calibración-BAU_Agricultura '!P19</f>
        <v>0.56291587436542612</v>
      </c>
      <c r="O36" s="290">
        <f>O20*'Calibración-BAU_Agricultura '!Q19</f>
        <v>0.52808682161820963</v>
      </c>
      <c r="P36" s="290">
        <f>P20*'Calibración-BAU_Agricultura '!R19</f>
        <v>0.46439030752716104</v>
      </c>
      <c r="Q36" s="290">
        <f>Q20*'Calibración-BAU_Agricultura '!S19</f>
        <v>0.49739279959252702</v>
      </c>
      <c r="R36" s="290">
        <f>R20*'Calibración-BAU_Agricultura '!T19</f>
        <v>0.50948769263600724</v>
      </c>
      <c r="S36" s="290">
        <f>S20*'Calibración-BAU_Agricultura '!U19</f>
        <v>0.55736960415563852</v>
      </c>
      <c r="T36" s="290">
        <f>T20*'Calibración-BAU_Agricultura '!V19</f>
        <v>0.57152172949492852</v>
      </c>
      <c r="U36" s="290">
        <f>U20*'Calibración-BAU_Agricultura '!W19</f>
        <v>0.61763686338598778</v>
      </c>
      <c r="V36" s="290">
        <f>V20*'Calibración-BAU_Agricultura '!X19</f>
        <v>0.64907748228496887</v>
      </c>
      <c r="W36" s="290">
        <f>W20*'Calibración-BAU_Agricultura '!Y19</f>
        <v>0.67986566713821084</v>
      </c>
      <c r="X36" s="290">
        <f>X20*'Calibración-BAU_Agricultura '!Z19</f>
        <v>0.70352046075194785</v>
      </c>
      <c r="Y36" s="290">
        <f>Y20*'Calibración-BAU_Agricultura '!AA19</f>
        <v>0.73171825746744734</v>
      </c>
      <c r="Z36" s="290">
        <f>Z20*'Calibración-BAU_Agricultura '!AB19</f>
        <v>0.73774670596030645</v>
      </c>
      <c r="AA36" s="290">
        <f>AA20*'Calibración-BAU_Agricultura '!AC19</f>
        <v>0.76160775881401033</v>
      </c>
      <c r="AB36" s="290">
        <f>AB20*'Calibración-BAU_Agricultura '!AD19</f>
        <v>0.79181299939074079</v>
      </c>
      <c r="AC36" s="290">
        <f>AC20*'Calibración-BAU_Agricultura '!AE19</f>
        <v>0.8139304888921195</v>
      </c>
      <c r="AD36" s="290">
        <f>AD20*'Calibración-BAU_Agricultura '!AF19</f>
        <v>0.83628015534933065</v>
      </c>
      <c r="AE36" s="290">
        <f>AE20*'Calibración-BAU_Agricultura '!AG19</f>
        <v>0.86070254221010944</v>
      </c>
      <c r="AF36" s="290">
        <f>AF20*'Calibración-BAU_Agricultura '!AH19</f>
        <v>0.88259222674167825</v>
      </c>
      <c r="AG36" s="290">
        <f>AG20*'Calibración-BAU_Agricultura '!AI19</f>
        <v>0.905131243045459</v>
      </c>
      <c r="AH36" s="290">
        <f>AH20*'Calibración-BAU_Agricultura '!AJ19</f>
        <v>0.935387819922882</v>
      </c>
      <c r="AI36" s="290">
        <f>AI20*'Calibración-BAU_Agricultura '!AK19</f>
        <v>0.96429777971326192</v>
      </c>
      <c r="AJ36" s="290">
        <f>AJ20*'Calibración-BAU_Agricultura '!AL19</f>
        <v>0.9950602942196467</v>
      </c>
      <c r="AK36" s="290">
        <f>AK20*'Calibración-BAU_Agricultura '!AM19</f>
        <v>1.026953456728291</v>
      </c>
      <c r="AL36" s="290">
        <f>AL20*'Calibración-BAU_Agricultura '!AN19</f>
        <v>1.0547965185408488</v>
      </c>
      <c r="AM36" s="290">
        <f>AM20*'Calibración-BAU_Agricultura '!AO19</f>
        <v>1.0903752111119085</v>
      </c>
      <c r="AN36" s="290">
        <f>AN20*'Calibración-BAU_Agricultura '!AP19</f>
        <v>1.1237875117460572</v>
      </c>
      <c r="AO36" s="290">
        <f>AO20*'Calibración-BAU_Agricultura '!AQ19</f>
        <v>1.1655338638189956</v>
      </c>
      <c r="AP36" s="290">
        <f>AP20*'Calibración-BAU_Agricultura '!AR19</f>
        <v>1.2027196482751317</v>
      </c>
      <c r="AQ36" s="290">
        <f>AQ20*'Calibración-BAU_Agricultura '!AS19</f>
        <v>1.2403020807935938</v>
      </c>
      <c r="AR36" s="290">
        <f>AR20*'Calibración-BAU_Agricultura '!AT19</f>
        <v>1.2798974876959934</v>
      </c>
      <c r="AS36" s="290">
        <f>AS20*'Calibración-BAU_Agricultura '!AU19</f>
        <v>1.3201276578401497</v>
      </c>
      <c r="AT36" s="290">
        <f>AT20*'Calibración-BAU_Agricultura '!AV19</f>
        <v>1.3581778981698209</v>
      </c>
      <c r="AU36" s="290">
        <f>AU20*'Calibración-BAU_Agricultura '!AW19</f>
        <v>1.3968221046594356</v>
      </c>
      <c r="AV36" s="290">
        <f>AV20*'Calibración-BAU_Agricultura '!AX19</f>
        <v>1.4366142011875673</v>
      </c>
      <c r="AW36" s="290">
        <f>AW20*'Calibración-BAU_Agricultura '!AY19</f>
        <v>1.4779249558634602</v>
      </c>
      <c r="AX36" s="290">
        <f>AX20*'Calibración-BAU_Agricultura '!AZ19</f>
        <v>1.5205400956067459</v>
      </c>
      <c r="AY36" s="290">
        <f>AY20*'Calibración-BAU_Agricultura '!BA19</f>
        <v>1.5643748776610498</v>
      </c>
      <c r="AZ36" s="290">
        <f>AZ20*'Calibración-BAU_Agricultura '!BB19</f>
        <v>1.6091178262284487</v>
      </c>
      <c r="BA36" s="290">
        <f>BA20*'Calibración-BAU_Agricultura '!BC19</f>
        <v>1.6549571423768452</v>
      </c>
      <c r="BB36" s="290">
        <f>BB20*'Calibración-BAU_Agricultura '!BD19</f>
        <v>1.7018401670707657</v>
      </c>
      <c r="BC36" s="290">
        <f>BC20*'Calibración-BAU_Agricultura '!BE19</f>
        <v>1.7500787401619342</v>
      </c>
      <c r="BD36" s="290">
        <f>BD20*'Calibración-BAU_Agricultura '!BF19</f>
        <v>1.7990988020863852</v>
      </c>
      <c r="BE36" s="290">
        <f>BE20*'Calibración-BAU_Agricultura '!BG19</f>
        <v>1.8491427067659441</v>
      </c>
      <c r="BF36" s="290">
        <f>BF20*'Calibración-BAU_Agricultura '!BH19</f>
        <v>1.8996603618363161</v>
      </c>
      <c r="BG36" s="290">
        <f>BG20*'Calibración-BAU_Agricultura '!BI19</f>
        <v>1.9510124802171693</v>
      </c>
      <c r="BH36" s="290">
        <f>BH20*'Calibración-BAU_Agricultura '!BJ19</f>
        <v>2.0031858316040916</v>
      </c>
      <c r="BI36" s="290">
        <f>BI20*'Calibración-BAU_Agricultura '!BK19</f>
        <v>2.0560684809662377</v>
      </c>
      <c r="BJ36" s="290">
        <f>BJ20*'Calibración-BAU_Agricultura '!BL19</f>
        <v>2.1096538174652686</v>
      </c>
      <c r="BK36" s="290">
        <f>BK20*'Calibración-BAU_Agricultura '!BM19</f>
        <v>2.1643386765910018</v>
      </c>
      <c r="BL36" s="290">
        <f>BL20*'Calibración-BAU_Agricultura '!BN19</f>
        <v>2.2200913757460099</v>
      </c>
      <c r="BM36" s="290">
        <f>BM20*'Calibración-BAU_Agricultura '!BO19</f>
        <v>2.2768901387151561</v>
      </c>
      <c r="BN36" s="182"/>
    </row>
    <row r="37" spans="1:69" ht="14.25" customHeight="1" x14ac:dyDescent="0.3">
      <c r="A37" s="982"/>
      <c r="B37" s="944"/>
      <c r="C37" s="183"/>
      <c r="D37" s="185" t="s">
        <v>653</v>
      </c>
      <c r="E37" s="977"/>
      <c r="F37" s="982"/>
      <c r="G37" s="982"/>
      <c r="H37" s="982"/>
      <c r="I37" s="982"/>
      <c r="J37" s="982"/>
      <c r="K37" s="977"/>
      <c r="L37" s="290">
        <f>L21*'Calibración-BAU_Agricultura '!N20</f>
        <v>4.9889937704985829E-2</v>
      </c>
      <c r="M37" s="290">
        <f>M21*'Calibración-BAU_Agricultura '!O20</f>
        <v>9.6065036145653537E-2</v>
      </c>
      <c r="N37" s="290">
        <f>N21*'Calibración-BAU_Agricultura '!P20</f>
        <v>8.4304353687845321E-2</v>
      </c>
      <c r="O37" s="290">
        <f>O21*'Calibración-BAU_Agricultura '!Q20</f>
        <v>4.9600776194854798E-2</v>
      </c>
      <c r="P37" s="290">
        <f>P21*'Calibración-BAU_Agricultura '!R20</f>
        <v>5.2057222165087125E-2</v>
      </c>
      <c r="Q37" s="290">
        <f>Q21*'Calibración-BAU_Agricultura '!S20</f>
        <v>6.254120357191216E-2</v>
      </c>
      <c r="R37" s="290">
        <f>R21*'Calibración-BAU_Agricultura '!T20</f>
        <v>6.4061991907876176E-2</v>
      </c>
      <c r="S37" s="290">
        <f>S21*'Calibración-BAU_Agricultura '!U20</f>
        <v>7.0082570368631469E-2</v>
      </c>
      <c r="T37" s="290">
        <f>T21*'Calibración-BAU_Agricultura '!V20</f>
        <v>7.1862031093726089E-2</v>
      </c>
      <c r="U37" s="290">
        <f>U21*'Calibración-BAU_Agricultura '!W20</f>
        <v>7.7660458370496885E-2</v>
      </c>
      <c r="V37" s="290">
        <f>V21*'Calibración-BAU_Agricultura '!X20</f>
        <v>8.1613740662880185E-2</v>
      </c>
      <c r="W37" s="290">
        <f>W21*'Calibración-BAU_Agricultura '!Y20</f>
        <v>8.5484987166837792E-2</v>
      </c>
      <c r="X37" s="290">
        <f>X21*'Calibración-BAU_Agricultura '!Z20</f>
        <v>8.8459294925334206E-2</v>
      </c>
      <c r="Y37" s="290">
        <f>Y21*'Calibración-BAU_Agricultura '!AA20</f>
        <v>9.2004831061177267E-2</v>
      </c>
      <c r="Z37" s="290">
        <f>Z21*'Calibración-BAU_Agricultura '!AB20</f>
        <v>9.2762836453944397E-2</v>
      </c>
      <c r="AA37" s="290">
        <f>AA21*'Calibración-BAU_Agricultura '!AC20</f>
        <v>9.576307884825766E-2</v>
      </c>
      <c r="AB37" s="290">
        <f>AB21*'Calibración-BAU_Agricultura '!AD20</f>
        <v>9.9561027072267785E-2</v>
      </c>
      <c r="AC37" s="290">
        <f>AC21*'Calibración-BAU_Agricultura '!AE20</f>
        <v>0.10234203720055783</v>
      </c>
      <c r="AD37" s="290">
        <f>AD21*'Calibración-BAU_Agricultura '!AF20</f>
        <v>0.10515224080786752</v>
      </c>
      <c r="AE37" s="290">
        <f>AE21*'Calibración-BAU_Agricultura '!AG20</f>
        <v>0.10822306424886471</v>
      </c>
      <c r="AF37" s="290">
        <f>AF21*'Calibración-BAU_Agricultura '!AH20</f>
        <v>0.11097543062315746</v>
      </c>
      <c r="AG37" s="290">
        <f>AG21*'Calibración-BAU_Agricultura '!AI20</f>
        <v>0.11380944271203404</v>
      </c>
      <c r="AH37" s="290">
        <f>AH21*'Calibración-BAU_Agricultura '!AJ20</f>
        <v>0.11761384586268341</v>
      </c>
      <c r="AI37" s="290">
        <f>AI21*'Calibración-BAU_Agricultura '!AK20</f>
        <v>0.12124892799894905</v>
      </c>
      <c r="AJ37" s="290">
        <f>AJ21*'Calibración-BAU_Agricultura '!AL20</f>
        <v>0.12511694676340204</v>
      </c>
      <c r="AK37" s="290">
        <f>AK21*'Calibración-BAU_Agricultura '!AM20</f>
        <v>0.12912713100941292</v>
      </c>
      <c r="AL37" s="290">
        <f>AL21*'Calibración-BAU_Agricultura '!AN20</f>
        <v>0.1326280634682484</v>
      </c>
      <c r="AM37" s="290">
        <f>AM21*'Calibración-BAU_Agricultura '!AO20</f>
        <v>0.13710165909876817</v>
      </c>
      <c r="AN37" s="290">
        <f>AN21*'Calibración-BAU_Agricultura '!AP20</f>
        <v>0.14130285681911733</v>
      </c>
      <c r="AO37" s="290">
        <f>AO21*'Calibración-BAU_Agricultura '!AQ20</f>
        <v>0.14655196196401932</v>
      </c>
      <c r="AP37" s="290">
        <f>AP21*'Calibración-BAU_Agricultura '!AR20</f>
        <v>0.15122763020360314</v>
      </c>
      <c r="AQ37" s="290">
        <f>AQ21*'Calibración-BAU_Agricultura '!AS20</f>
        <v>0.1559531721993665</v>
      </c>
      <c r="AR37" s="290">
        <f>AR21*'Calibración-BAU_Agricultura '!AT20</f>
        <v>0.16093182168046941</v>
      </c>
      <c r="AS37" s="290">
        <f>AS21*'Calibración-BAU_Agricultura '!AU20</f>
        <v>0.16599028505746144</v>
      </c>
      <c r="AT37" s="290">
        <f>AT21*'Calibración-BAU_Agricultura '!AV20</f>
        <v>0.17077464829787753</v>
      </c>
      <c r="AU37" s="290">
        <f>AU21*'Calibración-BAU_Agricultura '!AW20</f>
        <v>0.17563369568843473</v>
      </c>
      <c r="AV37" s="290">
        <f>AV21*'Calibración-BAU_Agricultura '!AX20</f>
        <v>0.18063707654066619</v>
      </c>
      <c r="AW37" s="290">
        <f>AW21*'Calibración-BAU_Agricultura '!AY20</f>
        <v>0.18583141051576774</v>
      </c>
      <c r="AX37" s="290">
        <f>AX21*'Calibración-BAU_Agricultura '!AZ20</f>
        <v>0.19118975533321123</v>
      </c>
      <c r="AY37" s="290">
        <f>AY21*'Calibración-BAU_Agricultura '!BA20</f>
        <v>0.19670145560356997</v>
      </c>
      <c r="AZ37" s="290">
        <f>AZ21*'Calibración-BAU_Agricultura '!BB20</f>
        <v>0.20232734696559548</v>
      </c>
      <c r="BA37" s="290">
        <f>BA21*'Calibración-BAU_Agricultura '!BC20</f>
        <v>0.20809109345565868</v>
      </c>
      <c r="BB37" s="290">
        <f>BB21*'Calibración-BAU_Agricultura '!BD20</f>
        <v>0.21398607382902052</v>
      </c>
      <c r="BC37" s="290">
        <f>BC21*'Calibración-BAU_Agricultura '!BE20</f>
        <v>0.22005149822234671</v>
      </c>
      <c r="BD37" s="290">
        <f>BD21*'Calibración-BAU_Agricultura '!BF20</f>
        <v>0.22621518550217137</v>
      </c>
      <c r="BE37" s="290">
        <f>BE21*'Calibración-BAU_Agricultura '!BG20</f>
        <v>0.23250760877943158</v>
      </c>
      <c r="BF37" s="290">
        <f>BF21*'Calibración-BAU_Agricultura '!BH20</f>
        <v>0.23885960050975025</v>
      </c>
      <c r="BG37" s="290">
        <f>BG21*'Calibración-BAU_Agricultura '!BI20</f>
        <v>0.24531651603433546</v>
      </c>
      <c r="BH37" s="290">
        <f>BH21*'Calibración-BAU_Agricultura '!BJ20</f>
        <v>0.25187669180043321</v>
      </c>
      <c r="BI37" s="290">
        <f>BI21*'Calibración-BAU_Agricultura '!BK20</f>
        <v>0.25852605331489314</v>
      </c>
      <c r="BJ37" s="290">
        <f>BJ21*'Calibración-BAU_Agricultura '!BL20</f>
        <v>0.26526376934375551</v>
      </c>
      <c r="BK37" s="290">
        <f>BK21*'Calibración-BAU_Agricultura '!BM20</f>
        <v>0.27213973720996831</v>
      </c>
      <c r="BL37" s="290">
        <f>BL21*'Calibración-BAU_Agricultura '!BN20</f>
        <v>0.2791499732053293</v>
      </c>
      <c r="BM37" s="290">
        <f>BM21*'Calibración-BAU_Agricultura '!BO20</f>
        <v>0.28629173923088547</v>
      </c>
      <c r="BN37" s="182"/>
    </row>
    <row r="38" spans="1:69" ht="14.25" customHeight="1" x14ac:dyDescent="0.3">
      <c r="A38" s="982"/>
      <c r="B38" s="944"/>
      <c r="C38" s="183"/>
      <c r="D38" s="185" t="s">
        <v>654</v>
      </c>
      <c r="E38" s="977"/>
      <c r="F38" s="977"/>
      <c r="G38" s="977"/>
      <c r="H38" s="977"/>
      <c r="I38" s="977"/>
      <c r="J38" s="977"/>
      <c r="K38" s="977"/>
      <c r="L38" s="290">
        <f>L22*'Calibración-BAU_Agricultura '!N21</f>
        <v>0</v>
      </c>
      <c r="M38" s="290">
        <f>M22*'Calibración-BAU_Agricultura '!O21</f>
        <v>0</v>
      </c>
      <c r="N38" s="290">
        <f>N22*'Calibración-BAU_Agricultura '!P21</f>
        <v>5.5899194057142856E-3</v>
      </c>
      <c r="O38" s="290">
        <f>O22*'Calibración-BAU_Agricultura '!Q21</f>
        <v>0</v>
      </c>
      <c r="P38" s="290">
        <f>P22*'Calibración-BAU_Agricultura '!R21</f>
        <v>0</v>
      </c>
      <c r="Q38" s="290">
        <f>Q22*'Calibración-BAU_Agricultura '!S21</f>
        <v>0</v>
      </c>
      <c r="R38" s="290">
        <f>R22*'Calibración-BAU_Agricultura '!T21</f>
        <v>0</v>
      </c>
      <c r="S38" s="290">
        <f>S22*'Calibración-BAU_Agricultura '!U21</f>
        <v>0</v>
      </c>
      <c r="T38" s="290">
        <f>T22*'Calibración-BAU_Agricultura '!V21</f>
        <v>0</v>
      </c>
      <c r="U38" s="290">
        <f>U22*'Calibración-BAU_Agricultura '!W21</f>
        <v>0</v>
      </c>
      <c r="V38" s="290">
        <f>V22*'Calibración-BAU_Agricultura '!X21</f>
        <v>0</v>
      </c>
      <c r="W38" s="290">
        <f>W22*'Calibración-BAU_Agricultura '!Y21</f>
        <v>0</v>
      </c>
      <c r="X38" s="290">
        <f>X22*'Calibración-BAU_Agricultura '!Z21</f>
        <v>0</v>
      </c>
      <c r="Y38" s="290">
        <f>Y22*'Calibración-BAU_Agricultura '!AA21</f>
        <v>0</v>
      </c>
      <c r="Z38" s="290">
        <f>Z22*'Calibración-BAU_Agricultura '!AB21</f>
        <v>0</v>
      </c>
      <c r="AA38" s="290">
        <f>AA22*'Calibración-BAU_Agricultura '!AC21</f>
        <v>0</v>
      </c>
      <c r="AB38" s="290">
        <f>AB22*'Calibración-BAU_Agricultura '!AD21</f>
        <v>0</v>
      </c>
      <c r="AC38" s="290">
        <f>AC22*'Calibración-BAU_Agricultura '!AE21</f>
        <v>0</v>
      </c>
      <c r="AD38" s="290">
        <f>AD22*'Calibración-BAU_Agricultura '!AF21</f>
        <v>0</v>
      </c>
      <c r="AE38" s="290">
        <f>AE22*'Calibración-BAU_Agricultura '!AG21</f>
        <v>0</v>
      </c>
      <c r="AF38" s="290">
        <f>AF22*'Calibración-BAU_Agricultura '!AH21</f>
        <v>0</v>
      </c>
      <c r="AG38" s="290">
        <f>AG22*'Calibración-BAU_Agricultura '!AI21</f>
        <v>0</v>
      </c>
      <c r="AH38" s="290">
        <f>AH22*'Calibración-BAU_Agricultura '!AJ21</f>
        <v>0</v>
      </c>
      <c r="AI38" s="290">
        <f>AI22*'Calibración-BAU_Agricultura '!AK21</f>
        <v>0</v>
      </c>
      <c r="AJ38" s="290">
        <f>AJ22*'Calibración-BAU_Agricultura '!AL21</f>
        <v>0</v>
      </c>
      <c r="AK38" s="290">
        <f>AK22*'Calibración-BAU_Agricultura '!AM21</f>
        <v>0</v>
      </c>
      <c r="AL38" s="290">
        <f>AL22*'Calibración-BAU_Agricultura '!AN21</f>
        <v>0</v>
      </c>
      <c r="AM38" s="290">
        <f>AM22*'Calibración-BAU_Agricultura '!AO21</f>
        <v>0</v>
      </c>
      <c r="AN38" s="290">
        <f>AN22*'Calibración-BAU_Agricultura '!AP21</f>
        <v>0</v>
      </c>
      <c r="AO38" s="290">
        <f>AO22*'Calibración-BAU_Agricultura '!AQ21</f>
        <v>0</v>
      </c>
      <c r="AP38" s="290">
        <f>AP22*'Calibración-BAU_Agricultura '!AR21</f>
        <v>0</v>
      </c>
      <c r="AQ38" s="290">
        <f>AQ22*'Calibración-BAU_Agricultura '!AS21</f>
        <v>0</v>
      </c>
      <c r="AR38" s="290">
        <f>AR22*'Calibración-BAU_Agricultura '!AT21</f>
        <v>0</v>
      </c>
      <c r="AS38" s="290">
        <f>AS22*'Calibración-BAU_Agricultura '!AU21</f>
        <v>0</v>
      </c>
      <c r="AT38" s="290">
        <f>AT22*'Calibración-BAU_Agricultura '!AV21</f>
        <v>0</v>
      </c>
      <c r="AU38" s="290">
        <f>AU22*'Calibración-BAU_Agricultura '!AW21</f>
        <v>0</v>
      </c>
      <c r="AV38" s="290">
        <f>AV22*'Calibración-BAU_Agricultura '!AX21</f>
        <v>0</v>
      </c>
      <c r="AW38" s="290">
        <f>AW22*'Calibración-BAU_Agricultura '!AY21</f>
        <v>0</v>
      </c>
      <c r="AX38" s="290">
        <f>AX22*'Calibración-BAU_Agricultura '!AZ21</f>
        <v>0</v>
      </c>
      <c r="AY38" s="290">
        <f>AY22*'Calibración-BAU_Agricultura '!BA21</f>
        <v>0</v>
      </c>
      <c r="AZ38" s="290">
        <f>AZ22*'Calibración-BAU_Agricultura '!BB21</f>
        <v>0</v>
      </c>
      <c r="BA38" s="290">
        <f>BA22*'Calibración-BAU_Agricultura '!BC21</f>
        <v>0</v>
      </c>
      <c r="BB38" s="290">
        <f>BB22*'Calibración-BAU_Agricultura '!BD21</f>
        <v>0</v>
      </c>
      <c r="BC38" s="290">
        <f>BC22*'Calibración-BAU_Agricultura '!BE21</f>
        <v>0</v>
      </c>
      <c r="BD38" s="290">
        <f>BD22*'Calibración-BAU_Agricultura '!BF21</f>
        <v>0</v>
      </c>
      <c r="BE38" s="290">
        <f>BE22*'Calibración-BAU_Agricultura '!BG21</f>
        <v>0</v>
      </c>
      <c r="BF38" s="290">
        <f>BF22*'Calibración-BAU_Agricultura '!BH21</f>
        <v>0</v>
      </c>
      <c r="BG38" s="290">
        <f>BG22*'Calibración-BAU_Agricultura '!BI21</f>
        <v>0</v>
      </c>
      <c r="BH38" s="290">
        <f>BH22*'Calibración-BAU_Agricultura '!BJ21</f>
        <v>0</v>
      </c>
      <c r="BI38" s="290">
        <f>BI22*'Calibración-BAU_Agricultura '!BK21</f>
        <v>0</v>
      </c>
      <c r="BJ38" s="290">
        <f>BJ22*'Calibración-BAU_Agricultura '!BL21</f>
        <v>0</v>
      </c>
      <c r="BK38" s="290">
        <f>BK22*'Calibración-BAU_Agricultura '!BM21</f>
        <v>0</v>
      </c>
      <c r="BL38" s="290">
        <f>BL22*'Calibración-BAU_Agricultura '!BN21</f>
        <v>0</v>
      </c>
      <c r="BM38" s="290">
        <f>BM22*'Calibración-BAU_Agricultura '!BO21</f>
        <v>0</v>
      </c>
      <c r="BN38" s="182"/>
    </row>
    <row r="39" spans="1:69" ht="15" customHeight="1" x14ac:dyDescent="0.3">
      <c r="A39" s="48"/>
      <c r="B39" s="84"/>
      <c r="C39" s="194"/>
      <c r="D39" s="179" t="s">
        <v>655</v>
      </c>
      <c r="E39" s="292">
        <f t="shared" ref="E39:K39" si="30">SUM(E9:E22)</f>
        <v>0</v>
      </c>
      <c r="F39" s="292">
        <f t="shared" si="30"/>
        <v>0</v>
      </c>
      <c r="G39" s="292">
        <f t="shared" si="30"/>
        <v>0</v>
      </c>
      <c r="H39" s="292">
        <f t="shared" si="30"/>
        <v>0</v>
      </c>
      <c r="I39" s="292">
        <f t="shared" si="30"/>
        <v>0</v>
      </c>
      <c r="J39" s="292">
        <f t="shared" si="30"/>
        <v>0</v>
      </c>
      <c r="K39" s="292">
        <f t="shared" si="30"/>
        <v>0</v>
      </c>
      <c r="L39" s="292">
        <f t="shared" ref="L39:BM39" si="31">SUM(L24:L38)</f>
        <v>3.2825577057814339</v>
      </c>
      <c r="M39" s="292">
        <f t="shared" si="31"/>
        <v>4.0414416395978439</v>
      </c>
      <c r="N39" s="292">
        <f t="shared" si="31"/>
        <v>4.0380823534737669</v>
      </c>
      <c r="O39" s="292">
        <f t="shared" si="31"/>
        <v>3.991049201860855</v>
      </c>
      <c r="P39" s="292">
        <f t="shared" si="31"/>
        <v>4.1617673787445488</v>
      </c>
      <c r="Q39" s="292">
        <f t="shared" si="31"/>
        <v>4.1897270315984407</v>
      </c>
      <c r="R39" s="292">
        <f t="shared" si="31"/>
        <v>4.2860989320659177</v>
      </c>
      <c r="S39" s="292">
        <f t="shared" si="31"/>
        <v>4.6644634280097153</v>
      </c>
      <c r="T39" s="292">
        <f t="shared" si="31"/>
        <v>4.7331785547309799</v>
      </c>
      <c r="U39" s="292">
        <f t="shared" si="31"/>
        <v>5.0749370285498294</v>
      </c>
      <c r="V39" s="292">
        <f t="shared" si="31"/>
        <v>5.376504221981679</v>
      </c>
      <c r="W39" s="292">
        <f t="shared" si="31"/>
        <v>5.6269594206955054</v>
      </c>
      <c r="X39" s="292">
        <f t="shared" si="31"/>
        <v>5.7995317538558737</v>
      </c>
      <c r="Y39" s="292">
        <f t="shared" si="31"/>
        <v>6.0014497210449491</v>
      </c>
      <c r="Z39" s="292">
        <f t="shared" si="31"/>
        <v>6.1117025167874459</v>
      </c>
      <c r="AA39" s="292">
        <f t="shared" si="31"/>
        <v>6.292665997920321</v>
      </c>
      <c r="AB39" s="292">
        <f t="shared" si="31"/>
        <v>6.5387042928956589</v>
      </c>
      <c r="AC39" s="292">
        <f t="shared" si="31"/>
        <v>6.7189428567019567</v>
      </c>
      <c r="AD39" s="292">
        <f t="shared" si="31"/>
        <v>6.9036302463251173</v>
      </c>
      <c r="AE39" s="292">
        <f t="shared" si="31"/>
        <v>7.0904212477035502</v>
      </c>
      <c r="AF39" s="292">
        <f t="shared" si="31"/>
        <v>7.2615984732949901</v>
      </c>
      <c r="AG39" s="292">
        <f t="shared" si="31"/>
        <v>7.4254934906915304</v>
      </c>
      <c r="AH39" s="292">
        <f t="shared" si="31"/>
        <v>7.6552633038747562</v>
      </c>
      <c r="AI39" s="292">
        <f t="shared" si="31"/>
        <v>7.8775787339009735</v>
      </c>
      <c r="AJ39" s="292">
        <f t="shared" si="31"/>
        <v>8.1135939066403147</v>
      </c>
      <c r="AK39" s="292">
        <f t="shared" si="31"/>
        <v>8.3589769208787068</v>
      </c>
      <c r="AL39" s="292">
        <f t="shared" si="31"/>
        <v>8.5746397974590352</v>
      </c>
      <c r="AM39" s="292">
        <f t="shared" si="31"/>
        <v>8.8488194001965041</v>
      </c>
      <c r="AN39" s="292">
        <f t="shared" si="31"/>
        <v>9.1064041608638568</v>
      </c>
      <c r="AO39" s="292">
        <f t="shared" si="31"/>
        <v>9.429235245165934</v>
      </c>
      <c r="AP39" s="292">
        <f t="shared" si="31"/>
        <v>9.7180106706827658</v>
      </c>
      <c r="AQ39" s="292">
        <f t="shared" si="31"/>
        <v>10.010070307607815</v>
      </c>
      <c r="AR39" s="292">
        <f t="shared" si="31"/>
        <v>10.317697747281541</v>
      </c>
      <c r="AS39" s="292">
        <f t="shared" si="31"/>
        <v>10.629365382717374</v>
      </c>
      <c r="AT39" s="292">
        <f t="shared" si="31"/>
        <v>10.922086135666174</v>
      </c>
      <c r="AU39" s="292">
        <f t="shared" si="31"/>
        <v>11.22062873258816</v>
      </c>
      <c r="AV39" s="292">
        <f t="shared" si="31"/>
        <v>11.529540857245845</v>
      </c>
      <c r="AW39" s="292">
        <f t="shared" si="31"/>
        <v>11.849387175066077</v>
      </c>
      <c r="AX39" s="292">
        <f t="shared" si="31"/>
        <v>12.179546010123683</v>
      </c>
      <c r="AY39" s="292">
        <f t="shared" si="31"/>
        <v>12.519219683186229</v>
      </c>
      <c r="AZ39" s="292">
        <f t="shared" si="31"/>
        <v>12.866896214499814</v>
      </c>
      <c r="BA39" s="292">
        <f t="shared" si="31"/>
        <v>13.223912592572868</v>
      </c>
      <c r="BB39" s="292">
        <f t="shared" si="31"/>
        <v>13.588930954338187</v>
      </c>
      <c r="BC39" s="292">
        <f t="shared" si="31"/>
        <v>13.964972507813904</v>
      </c>
      <c r="BD39" s="292">
        <f t="shared" si="31"/>
        <v>14.3476749008145</v>
      </c>
      <c r="BE39" s="292">
        <f t="shared" si="31"/>
        <v>14.738862746381077</v>
      </c>
      <c r="BF39" s="292">
        <f t="shared" si="31"/>
        <v>15.134263585313706</v>
      </c>
      <c r="BG39" s="292">
        <f t="shared" si="31"/>
        <v>15.536514493732021</v>
      </c>
      <c r="BH39" s="292">
        <f t="shared" si="31"/>
        <v>15.945806806892811</v>
      </c>
      <c r="BI39" s="292">
        <f t="shared" si="31"/>
        <v>16.361299925779655</v>
      </c>
      <c r="BJ39" s="292">
        <f t="shared" si="31"/>
        <v>16.78299382547096</v>
      </c>
      <c r="BK39" s="292">
        <f t="shared" si="31"/>
        <v>17.214030673450193</v>
      </c>
      <c r="BL39" s="292">
        <f t="shared" si="31"/>
        <v>17.654237911624147</v>
      </c>
      <c r="BM39" s="292">
        <f t="shared" si="31"/>
        <v>18.103516884873734</v>
      </c>
      <c r="BN39" s="197"/>
      <c r="BO39" s="50"/>
      <c r="BP39" s="50"/>
      <c r="BQ39" s="50"/>
    </row>
    <row r="40" spans="1:69" ht="15" customHeight="1" x14ac:dyDescent="0.3">
      <c r="A40" s="960"/>
      <c r="B40" s="26"/>
      <c r="C40" s="293"/>
      <c r="D40" s="198"/>
      <c r="E40" s="199"/>
      <c r="F40" s="199"/>
      <c r="G40" s="199"/>
      <c r="H40" s="199"/>
      <c r="I40" s="199"/>
      <c r="J40" s="199"/>
      <c r="K40" s="199"/>
      <c r="L40" s="199"/>
      <c r="M40" s="199"/>
      <c r="N40" s="199"/>
      <c r="O40" s="199"/>
      <c r="P40" s="199"/>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82"/>
    </row>
    <row r="41" spans="1:69" ht="14.25" customHeight="1" x14ac:dyDescent="0.3">
      <c r="A41" s="960"/>
      <c r="B41" s="944"/>
      <c r="C41" s="183"/>
      <c r="D41" s="178" t="s">
        <v>656</v>
      </c>
      <c r="E41" s="180"/>
      <c r="F41" s="180"/>
      <c r="G41" s="180"/>
      <c r="H41" s="180"/>
      <c r="I41" s="180"/>
      <c r="J41" s="180"/>
      <c r="K41" s="181"/>
      <c r="L41" s="181"/>
      <c r="M41" s="181"/>
      <c r="N41" s="181"/>
      <c r="O41" s="181"/>
      <c r="P41" s="181"/>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2"/>
    </row>
    <row r="42" spans="1:69" ht="14.25" hidden="1" customHeight="1" x14ac:dyDescent="0.3">
      <c r="A42" s="960"/>
      <c r="B42" s="944"/>
      <c r="C42" s="183"/>
      <c r="D42" s="184" t="s">
        <v>657</v>
      </c>
      <c r="E42" s="180"/>
      <c r="F42" s="180"/>
      <c r="G42" s="180"/>
      <c r="H42" s="180"/>
      <c r="I42" s="180"/>
      <c r="J42" s="180"/>
      <c r="K42" s="181"/>
      <c r="L42" s="181"/>
      <c r="M42" s="181"/>
      <c r="N42" s="181"/>
      <c r="O42" s="181"/>
      <c r="P42" s="181"/>
      <c r="Q42" s="185"/>
      <c r="R42" s="185"/>
      <c r="S42" s="185"/>
      <c r="T42" s="185"/>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5"/>
      <c r="BF42" s="185"/>
      <c r="BG42" s="185"/>
      <c r="BH42" s="185"/>
      <c r="BI42" s="185"/>
      <c r="BJ42" s="185"/>
      <c r="BK42" s="185"/>
      <c r="BL42" s="185"/>
      <c r="BM42" s="185"/>
      <c r="BN42" s="182"/>
    </row>
    <row r="43" spans="1:69" ht="14.25" hidden="1" customHeight="1" x14ac:dyDescent="0.3">
      <c r="A43" s="1199" t="s">
        <v>658</v>
      </c>
      <c r="B43" s="944"/>
      <c r="C43" s="183"/>
      <c r="D43" s="185" t="s">
        <v>512</v>
      </c>
      <c r="E43" s="187">
        <f>0.1*'Calibración-BAU_Agricultura '!G296*1000000</f>
        <v>39313.700000000004</v>
      </c>
      <c r="F43" s="187">
        <f>0.1*'Calibración-BAU_Agricultura '!H296*1000000</f>
        <v>32995.700000000004</v>
      </c>
      <c r="G43" s="187">
        <f>0.1*'Calibración-BAU_Agricultura '!I296*1000000</f>
        <v>37117.000000000007</v>
      </c>
      <c r="H43" s="187">
        <f>0.1*'Calibración-BAU_Agricultura '!J296*1000000</f>
        <v>39677.000000000007</v>
      </c>
      <c r="I43" s="187">
        <f>0.1*'Calibración-BAU_Agricultura '!K296*1000000</f>
        <v>35413.600000000006</v>
      </c>
      <c r="J43" s="187">
        <f>0.1*'Calibración-BAU_Agricultura '!L296*1000000</f>
        <v>37511.700000000004</v>
      </c>
      <c r="K43" s="187">
        <f>0.1*'Calibración-BAU_Agricultura '!M296*1000000</f>
        <v>36619.4</v>
      </c>
      <c r="L43" s="187">
        <f>0.1*'Calibración-BAU_Agricultura '!N296*1000000</f>
        <v>35810</v>
      </c>
      <c r="M43" s="187">
        <f>0.1*'Calibración-BAU_Agricultura '!O296*1000000</f>
        <v>29829.800000000003</v>
      </c>
      <c r="N43" s="187">
        <f>0.1*'Calibración-BAU_Agricultura '!P296*1000000</f>
        <v>25727.3</v>
      </c>
      <c r="O43" s="187">
        <f>0.1*'Calibración-BAU_Agricultura '!Q296*1000000</f>
        <v>31287.599999999999</v>
      </c>
      <c r="P43" s="187">
        <f>0.1*'Calibración-BAU_Agricultura '!R296*1000000</f>
        <v>34028.1</v>
      </c>
      <c r="Q43" s="187">
        <f>0.1*'Calibración-BAU_Agricultura '!S296*1000000</f>
        <v>34028.1</v>
      </c>
      <c r="R43" s="187">
        <f>0.1*'Calibración-BAU_Agricultura '!T296*1000000</f>
        <v>33859.5409864838</v>
      </c>
      <c r="S43" s="187">
        <f>0.1*'Calibración-BAU_Agricultura '!U296*1000000</f>
        <v>35922.76447583238</v>
      </c>
      <c r="T43" s="187">
        <f>0.1*'Calibración-BAU_Agricultura '!V296*1000000</f>
        <v>35984.780646797284</v>
      </c>
      <c r="U43" s="187">
        <f>0.1*'Calibración-BAU_Agricultura '!W296*1000000</f>
        <v>38144.539769901428</v>
      </c>
      <c r="V43" s="187">
        <f>0.1*'Calibración-BAU_Agricultura '!X296*1000000</f>
        <v>39092.957084561691</v>
      </c>
      <c r="W43" s="187">
        <f>0.1*'Calibración-BAU_Agricultura '!Y296*1000000</f>
        <v>40084.1465319782</v>
      </c>
      <c r="X43" s="187">
        <f>0.1*'Calibración-BAU_Agricultura '!Z296*1000000</f>
        <v>40966.757278575547</v>
      </c>
      <c r="Y43" s="187">
        <f>0.1*'Calibración-BAU_Agricultura '!AA296*1000000</f>
        <v>41998.770510330403</v>
      </c>
      <c r="Z43" s="187">
        <f>0.1*'Calibración-BAU_Agricultura '!AB296*1000000</f>
        <v>41477.56842516578</v>
      </c>
      <c r="AA43" s="187">
        <f>0.1*'Calibración-BAU_Agricultura '!AC296*1000000</f>
        <v>42249.196126021154</v>
      </c>
      <c r="AB43" s="187">
        <f>0.1*'Calibración-BAU_Agricultura '!AD296*1000000</f>
        <v>43182.172337255717</v>
      </c>
      <c r="AC43" s="187">
        <f>0.1*'Calibración-BAU_Agricultura '!AE296*1000000</f>
        <v>43863.304948159253</v>
      </c>
      <c r="AD43" s="187">
        <f>0.1*'Calibración-BAU_Agricultura '!AF296*1000000</f>
        <v>44514.823968595345</v>
      </c>
      <c r="AE43" s="187">
        <f>0.1*'Calibración-BAU_Agricultura '!AG296*1000000</f>
        <v>45144.378020778568</v>
      </c>
      <c r="AF43" s="187">
        <f>0.1*'Calibración-BAU_Agricultura '!AH296*1000000</f>
        <v>45688.155264641537</v>
      </c>
      <c r="AG43" s="187">
        <f>0.1*'Calibración-BAU_Agricultura '!AI296*1000000</f>
        <v>46162.581547748268</v>
      </c>
      <c r="AH43" s="187">
        <f>0.1*'Calibración-BAU_Agricultura '!AJ296*1000000</f>
        <v>46843.658032993648</v>
      </c>
      <c r="AI43" s="187">
        <f>0.1*'Calibración-BAU_Agricultura '!AK296*1000000</f>
        <v>47474.771904696405</v>
      </c>
      <c r="AJ43" s="187">
        <f>0.1*'Calibración-BAU_Agricultura '!AL296*1000000</f>
        <v>48071.235807010111</v>
      </c>
      <c r="AK43" s="187">
        <f>0.1*'Calibración-BAU_Agricultura '!AM296*1000000</f>
        <v>48647.678896714795</v>
      </c>
      <c r="AL43" s="187">
        <f>0.1*'Calibración-BAU_Agricultura '!AN296*1000000</f>
        <v>49146.726033208186</v>
      </c>
      <c r="AM43" s="187">
        <f>0.1*'Calibración-BAU_Agricultura '!AO296*1000000</f>
        <v>49703.411428322957</v>
      </c>
      <c r="AN43" s="187">
        <f>0.1*'Calibración-BAU_Agricultura '!AP296*1000000</f>
        <v>50215.355947799369</v>
      </c>
      <c r="AO43" s="187">
        <f>0.1*'Calibración-BAU_Agricultura '!AQ296*1000000</f>
        <v>50804.642375346615</v>
      </c>
      <c r="AP43" s="187">
        <f>0.1*'Calibración-BAU_Agricultura '!AR296*1000000</f>
        <v>51319.158044448312</v>
      </c>
      <c r="AQ43" s="187">
        <f>0.1*'Calibración-BAU_Agricultura '!AS296*1000000</f>
        <v>51816.269234086772</v>
      </c>
      <c r="AR43" s="187">
        <f>0.1*'Calibración-BAU_Agricultura '!AT296*1000000</f>
        <v>52312.932460733558</v>
      </c>
      <c r="AS43" s="187">
        <f>0.1*'Calibración-BAU_Agricultura '!AU296*1000000</f>
        <v>52802.788086331981</v>
      </c>
      <c r="AT43" s="187">
        <f>0.1*'Calibración-BAU_Agricultura '!AV296*1000000</f>
        <v>53321.570015102487</v>
      </c>
      <c r="AU43" s="187">
        <f>0.1*'Calibración-BAU_Agricultura '!AW296*1000000</f>
        <v>53804.975791690114</v>
      </c>
      <c r="AV43" s="187">
        <f>0.1*'Calibración-BAU_Agricultura '!AX296*1000000</f>
        <v>54280.072296284146</v>
      </c>
      <c r="AW43" s="187">
        <f>0.1*'Calibración-BAU_Agricultura '!AY296*1000000</f>
        <v>54752.630030632012</v>
      </c>
      <c r="AX43" s="187">
        <f>0.1*'Calibración-BAU_Agricultura '!AZ296*1000000</f>
        <v>55217.022491524825</v>
      </c>
      <c r="AY43" s="187">
        <f>0.1*'Calibración-BAU_Agricultura '!BA296*1000000</f>
        <v>55678.959491834023</v>
      </c>
      <c r="AZ43" s="187">
        <f>0.1*'Calibración-BAU_Agricultura '!BB296*1000000</f>
        <v>56121.734583580881</v>
      </c>
      <c r="BA43" s="187">
        <f>0.1*'Calibración-BAU_Agricultura '!BC296*1000000</f>
        <v>56556.95625598239</v>
      </c>
      <c r="BB43" s="187">
        <f>0.1*'Calibración-BAU_Agricultura '!BD296*1000000</f>
        <v>56984.157018117519</v>
      </c>
      <c r="BC43" s="187">
        <f>0.1*'Calibración-BAU_Agricultura '!BE296*1000000</f>
        <v>57401.645154903454</v>
      </c>
      <c r="BD43" s="187">
        <f>0.1*'Calibración-BAU_Agricultura '!BF296*1000000</f>
        <v>57807.923820371856</v>
      </c>
      <c r="BE43" s="187">
        <f>0.1*'Calibración-BAU_Agricultura '!BG296*1000000</f>
        <v>58203.770212001844</v>
      </c>
      <c r="BF43" s="187">
        <f>0.1*'Calibración-BAU_Agricultura '!BH296*1000000</f>
        <v>58589.409427496794</v>
      </c>
      <c r="BG43" s="187">
        <f>0.1*'Calibración-BAU_Agricultura '!BI296*1000000</f>
        <v>58964.729148791361</v>
      </c>
      <c r="BH43" s="187">
        <f>0.1*'Calibración-BAU_Agricultura '!BJ296*1000000</f>
        <v>59328.785520016485</v>
      </c>
      <c r="BI43" s="187">
        <f>0.1*'Calibración-BAU_Agricultura '!BK296*1000000</f>
        <v>59681.343073730131</v>
      </c>
      <c r="BJ43" s="187">
        <f>0.1*'Calibración-BAU_Agricultura '!BL296*1000000</f>
        <v>60021.886857068857</v>
      </c>
      <c r="BK43" s="187">
        <f>0.1*'Calibración-BAU_Agricultura '!BM296*1000000</f>
        <v>60350.814788707903</v>
      </c>
      <c r="BL43" s="187">
        <f>0.1*'Calibración-BAU_Agricultura '!BN296*1000000</f>
        <v>60667.839461163887</v>
      </c>
      <c r="BM43" s="187">
        <f>0.1*'Calibración-BAU_Agricultura '!BO296*1000000</f>
        <v>60972.668984134478</v>
      </c>
      <c r="BN43" s="182"/>
    </row>
    <row r="44" spans="1:69" ht="14.25" hidden="1" customHeight="1" x14ac:dyDescent="0.3">
      <c r="A44" s="982"/>
      <c r="B44" s="944"/>
      <c r="C44" s="183"/>
      <c r="D44" s="185" t="s">
        <v>364</v>
      </c>
      <c r="E44" s="187">
        <f>0.1*'Calibración-BAU_Agricultura '!G11</f>
        <v>15653</v>
      </c>
      <c r="F44" s="187">
        <f>0.1*'Calibración-BAU_Agricultura '!H11</f>
        <v>13782.900000000001</v>
      </c>
      <c r="G44" s="187">
        <f>0.1*'Calibración-BAU_Agricultura '!I11</f>
        <v>15044.800000000001</v>
      </c>
      <c r="H44" s="187">
        <f>0.1*'Calibración-BAU_Agricultura '!J11</f>
        <v>16347.6</v>
      </c>
      <c r="I44" s="187">
        <f>0.1*'Calibración-BAU_Agricultura '!K11</f>
        <v>13946.7</v>
      </c>
      <c r="J44" s="187">
        <f>0.1*'Calibración-BAU_Agricultura '!L11</f>
        <v>10455.778184174713</v>
      </c>
      <c r="K44" s="187">
        <f>0.1*'Calibración-BAU_Agricultura '!M11</f>
        <v>12558.7</v>
      </c>
      <c r="L44" s="187">
        <f>0.1*'Calibración-BAU_Agricultura '!N11</f>
        <v>13495</v>
      </c>
      <c r="M44" s="187">
        <f>0.1*'Calibración-BAU_Agricultura '!O11</f>
        <v>13277.1</v>
      </c>
      <c r="N44" s="187">
        <f>0.1*'Calibración-BAU_Agricultura '!P11</f>
        <v>14411.6</v>
      </c>
      <c r="O44" s="187">
        <f>0.1*'Calibración-BAU_Agricultura '!Q11</f>
        <v>15798.6</v>
      </c>
      <c r="P44" s="187">
        <f>0.1*'Calibración-BAU_Agricultura '!R11</f>
        <v>15176.400000000001</v>
      </c>
      <c r="Q44" s="187">
        <f>0.1*'Calibración-BAU_Agricultura '!S11</f>
        <v>14103.1</v>
      </c>
      <c r="R44" s="187">
        <f>0.1*'Calibración-BAU_Agricultura '!T11</f>
        <v>14033.239954228406</v>
      </c>
      <c r="S44" s="187">
        <f>0.1*'Calibración-BAU_Agricultura '!U11</f>
        <v>14888.352264132045</v>
      </c>
      <c r="T44" s="187">
        <f>0.1*'Calibración-BAU_Agricultura '!V11</f>
        <v>14914.055146771254</v>
      </c>
      <c r="U44" s="187">
        <f>0.1*'Calibración-BAU_Agricultura '!W11</f>
        <v>15809.177086845777</v>
      </c>
      <c r="V44" s="187">
        <f>0.1*'Calibración-BAU_Agricultura '!X11</f>
        <v>15809.177086845777</v>
      </c>
      <c r="W44" s="187">
        <f>0.1*'Calibración-BAU_Agricultura '!Y11</f>
        <v>15809.177086845777</v>
      </c>
      <c r="X44" s="187">
        <f>0.1*'Calibración-BAU_Agricultura '!Z11</f>
        <v>15809.177086845777</v>
      </c>
      <c r="Y44" s="187">
        <f>0.1*'Calibración-BAU_Agricultura '!AA11</f>
        <v>15809.177086845777</v>
      </c>
      <c r="Z44" s="187">
        <f>0.1*'Calibración-BAU_Agricultura '!AB11</f>
        <v>15809.177086845777</v>
      </c>
      <c r="AA44" s="187">
        <f>0.1*'Calibración-BAU_Agricultura '!AC11</f>
        <v>15809.177086845777</v>
      </c>
      <c r="AB44" s="187">
        <f>0.1*'Calibración-BAU_Agricultura '!AD11</f>
        <v>15809.177086845777</v>
      </c>
      <c r="AC44" s="187">
        <f>0.1*'Calibración-BAU_Agricultura '!AE11</f>
        <v>15809.177086845777</v>
      </c>
      <c r="AD44" s="187">
        <f>0.1*'Calibración-BAU_Agricultura '!AF11</f>
        <v>15809.177086845777</v>
      </c>
      <c r="AE44" s="187">
        <f>0.1*'Calibración-BAU_Agricultura '!AG11</f>
        <v>15809.177086845777</v>
      </c>
      <c r="AF44" s="187">
        <f>0.1*'Calibración-BAU_Agricultura '!AH11</f>
        <v>15809.177086845777</v>
      </c>
      <c r="AG44" s="187">
        <f>0.1*'Calibración-BAU_Agricultura '!AI11</f>
        <v>15809.177086845777</v>
      </c>
      <c r="AH44" s="187">
        <f>0.1*'Calibración-BAU_Agricultura '!AJ11</f>
        <v>15809.177086845777</v>
      </c>
      <c r="AI44" s="187">
        <f>0.1*'Calibración-BAU_Agricultura '!AK11</f>
        <v>15809.177086845777</v>
      </c>
      <c r="AJ44" s="187">
        <f>0.1*'Calibración-BAU_Agricultura '!AL11</f>
        <v>15809.177086845777</v>
      </c>
      <c r="AK44" s="187">
        <f>0.1*'Calibración-BAU_Agricultura '!AM11</f>
        <v>15809.177086845777</v>
      </c>
      <c r="AL44" s="187">
        <f>0.1*'Calibración-BAU_Agricultura '!AN11</f>
        <v>15809.177086845777</v>
      </c>
      <c r="AM44" s="187">
        <f>0.1*'Calibración-BAU_Agricultura '!AO11</f>
        <v>15809.177086845777</v>
      </c>
      <c r="AN44" s="187">
        <f>0.1*'Calibración-BAU_Agricultura '!AP11</f>
        <v>15809.177086845777</v>
      </c>
      <c r="AO44" s="187">
        <f>0.1*'Calibración-BAU_Agricultura '!AQ11</f>
        <v>15809.177086845777</v>
      </c>
      <c r="AP44" s="187">
        <f>0.1*'Calibración-BAU_Agricultura '!AR11</f>
        <v>15809.177086845777</v>
      </c>
      <c r="AQ44" s="187">
        <f>0.1*'Calibración-BAU_Agricultura '!AS11</f>
        <v>15809.177086845777</v>
      </c>
      <c r="AR44" s="187">
        <f>0.1*'Calibración-BAU_Agricultura '!AT11</f>
        <v>15809.177086845777</v>
      </c>
      <c r="AS44" s="187">
        <f>0.1*'Calibración-BAU_Agricultura '!AU11</f>
        <v>15809.177086845777</v>
      </c>
      <c r="AT44" s="187">
        <f>0.1*'Calibración-BAU_Agricultura '!AV11</f>
        <v>15809.177086845777</v>
      </c>
      <c r="AU44" s="187">
        <f>0.1*'Calibración-BAU_Agricultura '!AW11</f>
        <v>15809.177086845777</v>
      </c>
      <c r="AV44" s="187">
        <f>0.1*'Calibración-BAU_Agricultura '!AX11</f>
        <v>15809.177086845777</v>
      </c>
      <c r="AW44" s="187">
        <f>0.1*'Calibración-BAU_Agricultura '!AY11</f>
        <v>15809.177086845777</v>
      </c>
      <c r="AX44" s="187">
        <f>0.1*'Calibración-BAU_Agricultura '!AZ11</f>
        <v>15809.177086845777</v>
      </c>
      <c r="AY44" s="187">
        <f>0.1*'Calibración-BAU_Agricultura '!BA11</f>
        <v>15809.177086845777</v>
      </c>
      <c r="AZ44" s="187">
        <f>0.1*'Calibración-BAU_Agricultura '!BB11</f>
        <v>15809.177086845777</v>
      </c>
      <c r="BA44" s="187">
        <f>0.1*'Calibración-BAU_Agricultura '!BC11</f>
        <v>15809.177086845777</v>
      </c>
      <c r="BB44" s="187">
        <f>0.1*'Calibración-BAU_Agricultura '!BD11</f>
        <v>15809.177086845777</v>
      </c>
      <c r="BC44" s="187">
        <f>0.1*'Calibración-BAU_Agricultura '!BE11</f>
        <v>15809.177086845777</v>
      </c>
      <c r="BD44" s="187">
        <f>0.1*'Calibración-BAU_Agricultura '!BF11</f>
        <v>15809.177086845777</v>
      </c>
      <c r="BE44" s="187">
        <f>0.1*'Calibración-BAU_Agricultura '!BG11</f>
        <v>15809.177086845777</v>
      </c>
      <c r="BF44" s="187">
        <f>0.1*'Calibración-BAU_Agricultura '!BH11</f>
        <v>15809.177086845777</v>
      </c>
      <c r="BG44" s="187">
        <f>0.1*'Calibración-BAU_Agricultura '!BI11</f>
        <v>15809.177086845777</v>
      </c>
      <c r="BH44" s="187">
        <f>0.1*'Calibración-BAU_Agricultura '!BJ11</f>
        <v>15809.177086845777</v>
      </c>
      <c r="BI44" s="187">
        <f>0.1*'Calibración-BAU_Agricultura '!BK11</f>
        <v>15809.177086845777</v>
      </c>
      <c r="BJ44" s="187">
        <f>0.1*'Calibración-BAU_Agricultura '!BL11</f>
        <v>15809.177086845777</v>
      </c>
      <c r="BK44" s="187">
        <f>0.1*'Calibración-BAU_Agricultura '!BM11</f>
        <v>15809.177086845777</v>
      </c>
      <c r="BL44" s="187">
        <f>0.1*'Calibración-BAU_Agricultura '!BN11</f>
        <v>15809.177086845777</v>
      </c>
      <c r="BM44" s="187">
        <f>0.1*'Calibración-BAU_Agricultura '!BO11</f>
        <v>15809.177086845777</v>
      </c>
      <c r="BN44" s="182"/>
    </row>
    <row r="45" spans="1:69" ht="14.25" hidden="1" customHeight="1" x14ac:dyDescent="0.3">
      <c r="A45" s="982"/>
      <c r="B45" s="944"/>
      <c r="C45" s="183"/>
      <c r="D45" s="185" t="s">
        <v>659</v>
      </c>
      <c r="E45" s="187">
        <f>0.1*'Calibración-BAU_Agricultura '!G12</f>
        <v>47614.8</v>
      </c>
      <c r="F45" s="187">
        <f>0.1*'Calibración-BAU_Agricultura '!H12</f>
        <v>65010.5</v>
      </c>
      <c r="G45" s="187">
        <f>0.1*'Calibración-BAU_Agricultura '!I12</f>
        <v>53200.3</v>
      </c>
      <c r="H45" s="187">
        <f>0.1*'Calibración-BAU_Agricultura '!J12</f>
        <v>53061.200000000004</v>
      </c>
      <c r="I45" s="187">
        <f>0.1*'Calibración-BAU_Agricultura '!K12</f>
        <v>51839.3</v>
      </c>
      <c r="J45" s="187">
        <f>0.1*'Calibración-BAU_Agricultura '!L12</f>
        <v>57212.3</v>
      </c>
      <c r="K45" s="187">
        <f>0.1*'Calibración-BAU_Agricultura '!M12</f>
        <v>42573.700000000004</v>
      </c>
      <c r="L45" s="187">
        <f>0.1*'Calibración-BAU_Agricultura '!N12</f>
        <v>48248.200000000004</v>
      </c>
      <c r="M45" s="187">
        <f>0.1*'Calibración-BAU_Agricultura '!O12</f>
        <v>46154.700000000004</v>
      </c>
      <c r="N45" s="187">
        <f>0.1*'Calibración-BAU_Agricultura '!P12</f>
        <v>40525.9</v>
      </c>
      <c r="O45" s="187">
        <f>0.1*'Calibración-BAU_Agricultura '!Q12</f>
        <v>44468.100000000006</v>
      </c>
      <c r="P45" s="187">
        <f>0.1*'Calibración-BAU_Agricultura '!R12</f>
        <v>45371.8</v>
      </c>
      <c r="Q45" s="187">
        <f>0.1*'Calibración-BAU_Agricultura '!S12</f>
        <v>43321.600000000006</v>
      </c>
      <c r="R45" s="187">
        <f>0.1*'Calibración-BAU_Agricultura '!T12</f>
        <v>43107.005410236139</v>
      </c>
      <c r="S45" s="187">
        <f>0.1*'Calibración-BAU_Agricultura '!U12</f>
        <v>45733.72105748544</v>
      </c>
      <c r="T45" s="187">
        <f>0.1*'Calibración-BAU_Agricultura '!V12</f>
        <v>45812.674620924867</v>
      </c>
      <c r="U45" s="187">
        <f>0.1*'Calibración-BAU_Agricultura '!W12</f>
        <v>48562.290991732174</v>
      </c>
      <c r="V45" s="187">
        <f>0.1*'Calibración-BAU_Agricultura '!X12</f>
        <v>49769.732945258409</v>
      </c>
      <c r="W45" s="187">
        <f>0.1*'Calibración-BAU_Agricultura '!Y12</f>
        <v>51031.628636325477</v>
      </c>
      <c r="X45" s="187">
        <f>0.1*'Calibración-BAU_Agricultura '!Z12</f>
        <v>52155.291424426825</v>
      </c>
      <c r="Y45" s="187">
        <f>0.1*'Calibración-BAU_Agricultura '!AA12</f>
        <v>53469.16038627868</v>
      </c>
      <c r="Z45" s="187">
        <f>0.1*'Calibración-BAU_Agricultura '!AB12</f>
        <v>52805.61148837761</v>
      </c>
      <c r="AA45" s="187">
        <f>0.1*'Calibración-BAU_Agricultura '!AC12</f>
        <v>53787.980371899648</v>
      </c>
      <c r="AB45" s="187">
        <f>0.1*'Calibración-BAU_Agricultura '!AD12</f>
        <v>54975.764063396353</v>
      </c>
      <c r="AC45" s="187">
        <f>0.1*'Calibración-BAU_Agricultura '!AE12</f>
        <v>55842.922515279315</v>
      </c>
      <c r="AD45" s="187">
        <f>0.1*'Calibración-BAU_Agricultura '!AF12</f>
        <v>56672.379534499429</v>
      </c>
      <c r="AE45" s="187">
        <f>0.1*'Calibración-BAU_Agricultura '!AG12</f>
        <v>57473.872677726955</v>
      </c>
      <c r="AF45" s="187">
        <f>0.1*'Calibración-BAU_Agricultura '!AH12</f>
        <v>58166.162292713816</v>
      </c>
      <c r="AG45" s="187">
        <f>0.1*'Calibración-BAU_Agricultura '!AI12</f>
        <v>58770.160331576881</v>
      </c>
      <c r="AH45" s="187">
        <f>0.1*'Calibración-BAU_Agricultura '!AJ12</f>
        <v>59637.247329181992</v>
      </c>
      <c r="AI45" s="187">
        <f>0.1*'Calibración-BAU_Agricultura '!AK12</f>
        <v>60440.726298162284</v>
      </c>
      <c r="AJ45" s="187">
        <f>0.1*'Calibración-BAU_Agricultura '!AL12</f>
        <v>61200.091957440149</v>
      </c>
      <c r="AK45" s="187">
        <f>0.1*'Calibración-BAU_Agricultura '!AM12</f>
        <v>61933.968869608354</v>
      </c>
      <c r="AL45" s="187">
        <f>0.1*'Calibración-BAU_Agricultura '!AN12</f>
        <v>62569.312025068459</v>
      </c>
      <c r="AM45" s="187">
        <f>0.1*'Calibración-BAU_Agricultura '!AO12</f>
        <v>63278.035168970237</v>
      </c>
      <c r="AN45" s="187">
        <f>0.1*'Calibración-BAU_Agricultura '!AP12</f>
        <v>63929.798144127511</v>
      </c>
      <c r="AO45" s="187">
        <f>0.1*'Calibración-BAU_Agricultura '!AQ12</f>
        <v>64680.026070448141</v>
      </c>
      <c r="AP45" s="187">
        <f>0.1*'Calibración-BAU_Agricultura '!AR12</f>
        <v>65335.062408373451</v>
      </c>
      <c r="AQ45" s="187">
        <f>0.1*'Calibración-BAU_Agricultura '!AS12</f>
        <v>65967.940885662552</v>
      </c>
      <c r="AR45" s="187">
        <f>0.1*'Calibración-BAU_Agricultura '!AT12</f>
        <v>66600.249055660344</v>
      </c>
      <c r="AS45" s="187">
        <f>0.1*'Calibración-BAU_Agricultura '!AU12</f>
        <v>67223.890383560662</v>
      </c>
      <c r="AT45" s="187">
        <f>0.1*'Calibración-BAU_Agricultura '!AV12</f>
        <v>67884.358150066124</v>
      </c>
      <c r="AU45" s="187">
        <f>0.1*'Calibración-BAU_Agricultura '!AW12</f>
        <v>68499.788094465563</v>
      </c>
      <c r="AV45" s="187">
        <f>0.1*'Calibración-BAU_Agricultura '!AX12</f>
        <v>69104.639400692511</v>
      </c>
      <c r="AW45" s="187">
        <f>0.1*'Calibración-BAU_Agricultura '!AY12</f>
        <v>69706.258566744233</v>
      </c>
      <c r="AX45" s="187">
        <f>0.1*'Calibración-BAU_Agricultura '!AZ12</f>
        <v>70297.482420965142</v>
      </c>
      <c r="AY45" s="187">
        <f>0.1*'Calibración-BAU_Agricultura '!BA12</f>
        <v>70885.580197584903</v>
      </c>
      <c r="AZ45" s="187">
        <f>0.1*'Calibración-BAU_Agricultura '!BB12</f>
        <v>71449.282708586703</v>
      </c>
      <c r="BA45" s="187">
        <f>0.1*'Calibración-BAU_Agricultura '!BC12</f>
        <v>72003.368866882622</v>
      </c>
      <c r="BB45" s="187">
        <f>0.1*'Calibración-BAU_Agricultura '!BD12</f>
        <v>72547.243503930033</v>
      </c>
      <c r="BC45" s="187">
        <f>0.1*'Calibración-BAU_Agricultura '!BE12</f>
        <v>73078.752876083789</v>
      </c>
      <c r="BD45" s="187">
        <f>0.1*'Calibración-BAU_Agricultura '!BF12</f>
        <v>73595.991330007353</v>
      </c>
      <c r="BE45" s="187">
        <f>0.1*'Calibración-BAU_Agricultura '!BG12</f>
        <v>74099.948325538615</v>
      </c>
      <c r="BF45" s="187">
        <f>0.1*'Calibración-BAU_Agricultura '!BH12</f>
        <v>74590.91043738107</v>
      </c>
      <c r="BG45" s="187">
        <f>0.1*'Calibración-BAU_Agricultura '!BI12</f>
        <v>75068.734671999948</v>
      </c>
      <c r="BH45" s="187">
        <f>0.1*'Calibración-BAU_Agricultura '!BJ12</f>
        <v>75532.219394675209</v>
      </c>
      <c r="BI45" s="187">
        <f>0.1*'Calibración-BAU_Agricultura '!BK12</f>
        <v>75981.064828859366</v>
      </c>
      <c r="BJ45" s="187">
        <f>0.1*'Calibración-BAU_Agricultura '!BL12</f>
        <v>76414.615381616837</v>
      </c>
      <c r="BK45" s="187">
        <f>0.1*'Calibración-BAU_Agricultura '!BM12</f>
        <v>76833.377648193404</v>
      </c>
      <c r="BL45" s="187">
        <f>0.1*'Calibración-BAU_Agricultura '!BN12</f>
        <v>77236.985726524828</v>
      </c>
      <c r="BM45" s="187">
        <f>0.1*'Calibración-BAU_Agricultura '!BO12</f>
        <v>77625.068007413924</v>
      </c>
      <c r="BN45" s="182"/>
    </row>
    <row r="46" spans="1:69" ht="14.25" hidden="1" customHeight="1" x14ac:dyDescent="0.3">
      <c r="A46" s="982"/>
      <c r="B46" s="944"/>
      <c r="C46" s="183"/>
      <c r="D46" s="185" t="s">
        <v>660</v>
      </c>
      <c r="E46" s="187">
        <f>0.1*'Calibración-BAU_Agricultura '!G17</f>
        <v>3789.8</v>
      </c>
      <c r="F46" s="187">
        <f>0.1*'Calibración-BAU_Agricultura '!H17</f>
        <v>3844.1000000000004</v>
      </c>
      <c r="G46" s="187">
        <f>0.1*'Calibración-BAU_Agricultura '!I17</f>
        <v>3041.5</v>
      </c>
      <c r="H46" s="187">
        <f>0.1*'Calibración-BAU_Agricultura '!J17</f>
        <v>3569.7000000000003</v>
      </c>
      <c r="I46" s="187">
        <f>0.1*'Calibración-BAU_Agricultura '!K17</f>
        <v>2329.9</v>
      </c>
      <c r="J46" s="187">
        <f>0.1*'Calibración-BAU_Agricultura '!L17</f>
        <v>2236.4</v>
      </c>
      <c r="K46" s="187">
        <f>0.1*'Calibración-BAU_Agricultura '!M17</f>
        <v>2637.2000000000003</v>
      </c>
      <c r="L46" s="187">
        <f>0.1*'Calibración-BAU_Agricultura '!N17</f>
        <v>1806.5</v>
      </c>
      <c r="M46" s="187">
        <f>0.1*'Calibración-BAU_Agricultura '!O17</f>
        <v>1567.5</v>
      </c>
      <c r="N46" s="187">
        <f>0.1*'Calibración-BAU_Agricultura '!P17</f>
        <v>1581</v>
      </c>
      <c r="O46" s="187">
        <f>0.1*'Calibración-BAU_Agricultura '!Q17</f>
        <v>2387.9</v>
      </c>
      <c r="P46" s="187">
        <f>0.1*'Calibración-BAU_Agricultura '!R17</f>
        <v>1966.9</v>
      </c>
      <c r="Q46" s="187">
        <f>0.1*'Calibración-BAU_Agricultura '!S17</f>
        <v>1383.8983196032721</v>
      </c>
      <c r="R46" s="187">
        <f>0.1*'Calibración-BAU_Agricultura '!T17</f>
        <v>1377.0431459215481</v>
      </c>
      <c r="S46" s="187">
        <f>0.1*'Calibración-BAU_Agricultura '!U17</f>
        <v>1460.9529592780245</v>
      </c>
      <c r="T46" s="187">
        <f>0.1*'Calibración-BAU_Agricultura '!V17</f>
        <v>1463.4751122864664</v>
      </c>
      <c r="U46" s="187">
        <f>0.1*'Calibración-BAU_Agricultura '!W17</f>
        <v>1551.3109603417986</v>
      </c>
      <c r="V46" s="187">
        <f>0.1*'Calibración-BAU_Agricultura '!X17</f>
        <v>1589.8824094688728</v>
      </c>
      <c r="W46" s="187">
        <f>0.1*'Calibración-BAU_Agricultura '!Y17</f>
        <v>1630.1933704302021</v>
      </c>
      <c r="X46" s="187">
        <f>0.1*'Calibración-BAU_Agricultura '!Z17</f>
        <v>1666.0885138287417</v>
      </c>
      <c r="Y46" s="187">
        <f>0.1*'Calibración-BAU_Agricultura '!AA17</f>
        <v>1708.0597486973909</v>
      </c>
      <c r="Z46" s="187">
        <f>0.1*'Calibración-BAU_Agricultura '!AB17</f>
        <v>1686.8628352689877</v>
      </c>
      <c r="AA46" s="187">
        <f>0.1*'Calibración-BAU_Agricultura '!AC17</f>
        <v>1718.2443781283628</v>
      </c>
      <c r="AB46" s="187">
        <f>0.1*'Calibración-BAU_Agricultura '!AD17</f>
        <v>1756.1878486999587</v>
      </c>
      <c r="AC46" s="187">
        <f>0.1*'Calibración-BAU_Agricultura '!AE17</f>
        <v>1783.8890214265114</v>
      </c>
      <c r="AD46" s="187">
        <f>0.1*'Calibración-BAU_Agricultura '!AF17</f>
        <v>1810.3858307567727</v>
      </c>
      <c r="AE46" s="187">
        <f>0.1*'Calibración-BAU_Agricultura '!AG17</f>
        <v>1835.9893406475921</v>
      </c>
      <c r="AF46" s="187">
        <f>0.1*'Calibración-BAU_Agricultura '!AH17</f>
        <v>1858.1043695213896</v>
      </c>
      <c r="AG46" s="187">
        <f>0.1*'Calibración-BAU_Agricultura '!AI17</f>
        <v>1877.3989447685246</v>
      </c>
      <c r="AH46" s="187">
        <f>0.1*'Calibración-BAU_Agricultura '!AJ17</f>
        <v>1905.0978349049817</v>
      </c>
      <c r="AI46" s="187">
        <f>0.1*'Calibración-BAU_Agricultura '!AK17</f>
        <v>1930.7647815322625</v>
      </c>
      <c r="AJ46" s="187">
        <f>0.1*'Calibración-BAU_Agricultura '!AL17</f>
        <v>1955.0225388597632</v>
      </c>
      <c r="AK46" s="187">
        <f>0.1*'Calibración-BAU_Agricultura '!AM17</f>
        <v>1978.4660641576561</v>
      </c>
      <c r="AL46" s="187">
        <f>0.1*'Calibración-BAU_Agricultura '!AN17</f>
        <v>1998.7619517798282</v>
      </c>
      <c r="AM46" s="187">
        <f>0.1*'Calibración-BAU_Agricultura '!AO17</f>
        <v>2021.4019458684493</v>
      </c>
      <c r="AN46" s="187">
        <f>0.1*'Calibración-BAU_Agricultura '!AP17</f>
        <v>2042.2223607677097</v>
      </c>
      <c r="AO46" s="187">
        <f>0.1*'Calibración-BAU_Agricultura '!AQ17</f>
        <v>2066.1882153657521</v>
      </c>
      <c r="AP46" s="187">
        <f>0.1*'Calibración-BAU_Agricultura '!AR17</f>
        <v>2087.1131970685037</v>
      </c>
      <c r="AQ46" s="187">
        <f>0.1*'Calibración-BAU_Agricultura '!AS17</f>
        <v>2107.3303511263748</v>
      </c>
      <c r="AR46" s="187">
        <f>0.1*'Calibración-BAU_Agricultura '!AT17</f>
        <v>2127.5292868520023</v>
      </c>
      <c r="AS46" s="187">
        <f>0.1*'Calibración-BAU_Agricultura '!AU17</f>
        <v>2147.4513623458993</v>
      </c>
      <c r="AT46" s="187">
        <f>0.1*'Calibración-BAU_Agricultura '!AV17</f>
        <v>2168.549849756776</v>
      </c>
      <c r="AU46" s="187">
        <f>0.1*'Calibración-BAU_Agricultura '!AW17</f>
        <v>2188.2096145366536</v>
      </c>
      <c r="AV46" s="187">
        <f>0.1*'Calibración-BAU_Agricultura '!AX17</f>
        <v>2207.5314472089763</v>
      </c>
      <c r="AW46" s="187">
        <f>0.1*'Calibración-BAU_Agricultura '!AY17</f>
        <v>2226.7500299238368</v>
      </c>
      <c r="AX46" s="187">
        <f>0.1*'Calibración-BAU_Agricultura '!AZ17</f>
        <v>2245.636536847996</v>
      </c>
      <c r="AY46" s="187">
        <f>0.1*'Calibración-BAU_Agricultura '!BA17</f>
        <v>2264.4231819586689</v>
      </c>
      <c r="AZ46" s="187">
        <f>0.1*'Calibración-BAU_Agricultura '!BB17</f>
        <v>2282.4305260487195</v>
      </c>
      <c r="BA46" s="187">
        <f>0.1*'Calibración-BAU_Agricultura '!BC17</f>
        <v>2300.1306780140471</v>
      </c>
      <c r="BB46" s="187">
        <f>0.1*'Calibración-BAU_Agricultura '!BD17</f>
        <v>2317.5046253355858</v>
      </c>
      <c r="BC46" s="187">
        <f>0.1*'Calibración-BAU_Agricultura '!BE17</f>
        <v>2334.4835671793076</v>
      </c>
      <c r="BD46" s="187">
        <f>0.1*'Calibración-BAU_Agricultura '!BF17</f>
        <v>2351.0066278977256</v>
      </c>
      <c r="BE46" s="187">
        <f>0.1*'Calibración-BAU_Agricultura '!BG17</f>
        <v>2367.105415552568</v>
      </c>
      <c r="BF46" s="187">
        <f>0.1*'Calibración-BAU_Agricultura '!BH17</f>
        <v>2382.7890847053154</v>
      </c>
      <c r="BG46" s="187">
        <f>0.1*'Calibración-BAU_Agricultura '!BI17</f>
        <v>2398.0530674611414</v>
      </c>
      <c r="BH46" s="187">
        <f>0.1*'Calibración-BAU_Agricultura '!BJ17</f>
        <v>2412.8589778816267</v>
      </c>
      <c r="BI46" s="187">
        <f>0.1*'Calibración-BAU_Agricultura '!BK17</f>
        <v>2427.19723967549</v>
      </c>
      <c r="BJ46" s="187">
        <f>0.1*'Calibración-BAU_Agricultura '!BL17</f>
        <v>2441.046910080649</v>
      </c>
      <c r="BK46" s="187">
        <f>0.1*'Calibración-BAU_Agricultura '!BM17</f>
        <v>2454.4241721630415</v>
      </c>
      <c r="BL46" s="187">
        <f>0.1*'Calibración-BAU_Agricultura '!BN17</f>
        <v>2467.3173372673118</v>
      </c>
      <c r="BM46" s="187">
        <f>0.1*'Calibración-BAU_Agricultura '!BO17</f>
        <v>2479.7145344250857</v>
      </c>
      <c r="BN46" s="182"/>
    </row>
    <row r="47" spans="1:69" ht="15" hidden="1" customHeight="1" x14ac:dyDescent="0.3">
      <c r="A47" s="48"/>
      <c r="B47" s="84"/>
      <c r="C47" s="183"/>
      <c r="D47" s="179" t="s">
        <v>661</v>
      </c>
      <c r="E47" s="294">
        <f t="shared" ref="E47:P47" si="32">SUM(E43:E46)</f>
        <v>106371.3</v>
      </c>
      <c r="F47" s="294">
        <f t="shared" si="32"/>
        <v>115633.20000000001</v>
      </c>
      <c r="G47" s="294">
        <f t="shared" si="32"/>
        <v>108403.6</v>
      </c>
      <c r="H47" s="294">
        <f t="shared" si="32"/>
        <v>112655.50000000001</v>
      </c>
      <c r="I47" s="294">
        <f t="shared" si="32"/>
        <v>103529.5</v>
      </c>
      <c r="J47" s="294">
        <f t="shared" si="32"/>
        <v>107416.17818417471</v>
      </c>
      <c r="K47" s="294">
        <f t="shared" si="32"/>
        <v>94389.000000000015</v>
      </c>
      <c r="L47" s="294">
        <f t="shared" si="32"/>
        <v>99359.700000000012</v>
      </c>
      <c r="M47" s="294">
        <f t="shared" si="32"/>
        <v>90829.1</v>
      </c>
      <c r="N47" s="294">
        <f t="shared" si="32"/>
        <v>82245.8</v>
      </c>
      <c r="O47" s="294">
        <f t="shared" si="32"/>
        <v>93942.2</v>
      </c>
      <c r="P47" s="294">
        <f t="shared" si="32"/>
        <v>96543.2</v>
      </c>
      <c r="Q47" s="294">
        <f t="shared" ref="Q47:BM47" si="33">SUM(Q43:Q46)</f>
        <v>92836.698319603282</v>
      </c>
      <c r="R47" s="294">
        <f t="shared" si="33"/>
        <v>92376.82949686989</v>
      </c>
      <c r="S47" s="294">
        <f t="shared" si="33"/>
        <v>98005.790756727903</v>
      </c>
      <c r="T47" s="294">
        <f t="shared" si="33"/>
        <v>98174.98552677987</v>
      </c>
      <c r="U47" s="294">
        <f t="shared" si="33"/>
        <v>104067.31880882118</v>
      </c>
      <c r="V47" s="294">
        <f t="shared" si="33"/>
        <v>106261.74952613475</v>
      </c>
      <c r="W47" s="294">
        <f t="shared" si="33"/>
        <v>108555.14562557967</v>
      </c>
      <c r="X47" s="294">
        <f t="shared" si="33"/>
        <v>110597.31430367689</v>
      </c>
      <c r="Y47" s="294">
        <f t="shared" si="33"/>
        <v>112985.16773215224</v>
      </c>
      <c r="Z47" s="294">
        <f t="shared" si="33"/>
        <v>111779.21983565815</v>
      </c>
      <c r="AA47" s="294">
        <f t="shared" si="33"/>
        <v>113564.59796289494</v>
      </c>
      <c r="AB47" s="294">
        <f t="shared" si="33"/>
        <v>115723.30133619781</v>
      </c>
      <c r="AC47" s="294">
        <f t="shared" si="33"/>
        <v>117299.29357171086</v>
      </c>
      <c r="AD47" s="294">
        <f t="shared" si="33"/>
        <v>118806.76642069733</v>
      </c>
      <c r="AE47" s="294">
        <f t="shared" si="33"/>
        <v>120263.41712599888</v>
      </c>
      <c r="AF47" s="294">
        <f t="shared" si="33"/>
        <v>121521.59901372252</v>
      </c>
      <c r="AG47" s="294">
        <f t="shared" si="33"/>
        <v>122619.31791093946</v>
      </c>
      <c r="AH47" s="294">
        <f t="shared" si="33"/>
        <v>124195.1802839264</v>
      </c>
      <c r="AI47" s="294">
        <f t="shared" si="33"/>
        <v>125655.44007123672</v>
      </c>
      <c r="AJ47" s="294">
        <f t="shared" si="33"/>
        <v>127035.5273901558</v>
      </c>
      <c r="AK47" s="294">
        <f t="shared" si="33"/>
        <v>128369.29091732658</v>
      </c>
      <c r="AL47" s="294">
        <f t="shared" si="33"/>
        <v>129523.97709690225</v>
      </c>
      <c r="AM47" s="294">
        <f t="shared" si="33"/>
        <v>130812.02563000741</v>
      </c>
      <c r="AN47" s="294">
        <f t="shared" si="33"/>
        <v>131996.55353954039</v>
      </c>
      <c r="AO47" s="294">
        <f t="shared" si="33"/>
        <v>133360.03374800627</v>
      </c>
      <c r="AP47" s="294">
        <f t="shared" si="33"/>
        <v>134550.51073673606</v>
      </c>
      <c r="AQ47" s="294">
        <f t="shared" si="33"/>
        <v>135700.71755772148</v>
      </c>
      <c r="AR47" s="294">
        <f t="shared" si="33"/>
        <v>136849.88789009169</v>
      </c>
      <c r="AS47" s="294">
        <f t="shared" si="33"/>
        <v>137983.30691908431</v>
      </c>
      <c r="AT47" s="294">
        <f t="shared" si="33"/>
        <v>139183.65510177118</v>
      </c>
      <c r="AU47" s="294">
        <f t="shared" si="33"/>
        <v>140302.15058753814</v>
      </c>
      <c r="AV47" s="294">
        <f t="shared" si="33"/>
        <v>141401.4202310314</v>
      </c>
      <c r="AW47" s="294">
        <f t="shared" si="33"/>
        <v>142494.81571414587</v>
      </c>
      <c r="AX47" s="294">
        <f t="shared" si="33"/>
        <v>143569.31853618377</v>
      </c>
      <c r="AY47" s="294">
        <f t="shared" si="33"/>
        <v>144638.13995822339</v>
      </c>
      <c r="AZ47" s="294">
        <f t="shared" si="33"/>
        <v>145662.62490506211</v>
      </c>
      <c r="BA47" s="294">
        <f t="shared" si="33"/>
        <v>146669.63288772482</v>
      </c>
      <c r="BB47" s="294">
        <f t="shared" si="33"/>
        <v>147658.08223422893</v>
      </c>
      <c r="BC47" s="294">
        <f t="shared" si="33"/>
        <v>148624.05868501234</v>
      </c>
      <c r="BD47" s="294">
        <f t="shared" si="33"/>
        <v>149564.09886512271</v>
      </c>
      <c r="BE47" s="294">
        <f t="shared" si="33"/>
        <v>150480.0010399388</v>
      </c>
      <c r="BF47" s="294">
        <f t="shared" si="33"/>
        <v>151372.28603642897</v>
      </c>
      <c r="BG47" s="294">
        <f t="shared" si="33"/>
        <v>152240.69397509823</v>
      </c>
      <c r="BH47" s="294">
        <f t="shared" si="33"/>
        <v>153083.04097941911</v>
      </c>
      <c r="BI47" s="294">
        <f t="shared" si="33"/>
        <v>153898.78222911077</v>
      </c>
      <c r="BJ47" s="294">
        <f t="shared" si="33"/>
        <v>154686.72623561212</v>
      </c>
      <c r="BK47" s="294">
        <f t="shared" si="33"/>
        <v>155447.79369591011</v>
      </c>
      <c r="BL47" s="294">
        <f t="shared" si="33"/>
        <v>156181.31961180179</v>
      </c>
      <c r="BM47" s="294">
        <f t="shared" si="33"/>
        <v>156886.62861281927</v>
      </c>
      <c r="BN47" s="197"/>
      <c r="BO47" s="50"/>
      <c r="BP47" s="50"/>
      <c r="BQ47" s="50"/>
    </row>
    <row r="48" spans="1:69" ht="14.25" hidden="1" customHeight="1" x14ac:dyDescent="0.3">
      <c r="A48" s="1198" t="s">
        <v>662</v>
      </c>
      <c r="B48" s="944"/>
      <c r="C48" s="183"/>
      <c r="D48" s="184" t="s">
        <v>663</v>
      </c>
      <c r="E48" s="180"/>
      <c r="F48" s="180"/>
      <c r="G48" s="180"/>
      <c r="H48" s="180"/>
      <c r="I48" s="180"/>
      <c r="J48" s="180"/>
      <c r="K48" s="181"/>
      <c r="L48" s="181"/>
      <c r="M48" s="181"/>
      <c r="N48" s="181"/>
      <c r="O48" s="181"/>
      <c r="P48" s="181"/>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2"/>
    </row>
    <row r="49" spans="1:69" ht="14.25" hidden="1" customHeight="1" x14ac:dyDescent="0.3">
      <c r="A49" s="982"/>
      <c r="B49" s="944"/>
      <c r="C49" s="183"/>
      <c r="D49" s="185" t="s">
        <v>664</v>
      </c>
      <c r="E49" s="187">
        <f t="shared" ref="E49:P49" si="34">E43*5.5*0.8*2.7*0.001</f>
        <v>467.04675600000013</v>
      </c>
      <c r="F49" s="187">
        <f t="shared" si="34"/>
        <v>391.98891600000013</v>
      </c>
      <c r="G49" s="187">
        <f t="shared" si="34"/>
        <v>440.94996000000015</v>
      </c>
      <c r="H49" s="187">
        <f t="shared" si="34"/>
        <v>471.36276000000021</v>
      </c>
      <c r="I49" s="187">
        <f t="shared" si="34"/>
        <v>420.71356800000024</v>
      </c>
      <c r="J49" s="187">
        <f t="shared" si="34"/>
        <v>445.63899600000019</v>
      </c>
      <c r="K49" s="187">
        <f t="shared" si="34"/>
        <v>435.03847200000007</v>
      </c>
      <c r="L49" s="187">
        <f t="shared" si="34"/>
        <v>425.42280000000005</v>
      </c>
      <c r="M49" s="187">
        <f t="shared" si="34"/>
        <v>354.3780240000001</v>
      </c>
      <c r="N49" s="187">
        <f t="shared" si="34"/>
        <v>305.64032400000002</v>
      </c>
      <c r="O49" s="187">
        <f t="shared" si="34"/>
        <v>371.69668800000005</v>
      </c>
      <c r="P49" s="187">
        <f t="shared" si="34"/>
        <v>404.253828</v>
      </c>
      <c r="Q49" s="187">
        <f t="shared" ref="Q49:BM49" si="35">Q43*5.5*0.8*2.7*0.001</f>
        <v>404.253828</v>
      </c>
      <c r="R49" s="187">
        <f t="shared" si="35"/>
        <v>402.25134691942765</v>
      </c>
      <c r="S49" s="187">
        <f t="shared" si="35"/>
        <v>426.76244197288878</v>
      </c>
      <c r="T49" s="187">
        <f t="shared" si="35"/>
        <v>427.49919408395175</v>
      </c>
      <c r="U49" s="187">
        <f t="shared" si="35"/>
        <v>453.15713246642906</v>
      </c>
      <c r="V49" s="187">
        <f t="shared" si="35"/>
        <v>464.42433016459296</v>
      </c>
      <c r="W49" s="187">
        <f t="shared" si="35"/>
        <v>476.1996607999011</v>
      </c>
      <c r="X49" s="187">
        <f t="shared" si="35"/>
        <v>486.68507646947751</v>
      </c>
      <c r="Y49" s="187">
        <f t="shared" si="35"/>
        <v>498.94539366272528</v>
      </c>
      <c r="Z49" s="187">
        <f t="shared" si="35"/>
        <v>492.75351289096955</v>
      </c>
      <c r="AA49" s="187">
        <f t="shared" si="35"/>
        <v>501.9204499771314</v>
      </c>
      <c r="AB49" s="187">
        <f t="shared" si="35"/>
        <v>513.00420736659805</v>
      </c>
      <c r="AC49" s="187">
        <f t="shared" si="35"/>
        <v>521.09606278413196</v>
      </c>
      <c r="AD49" s="187">
        <f t="shared" si="35"/>
        <v>528.83610874691283</v>
      </c>
      <c r="AE49" s="187">
        <f t="shared" si="35"/>
        <v>536.3152108868494</v>
      </c>
      <c r="AF49" s="187">
        <f t="shared" si="35"/>
        <v>542.77528454394167</v>
      </c>
      <c r="AG49" s="187">
        <f t="shared" si="35"/>
        <v>548.41146878724942</v>
      </c>
      <c r="AH49" s="187">
        <f t="shared" si="35"/>
        <v>556.50265743196462</v>
      </c>
      <c r="AI49" s="187">
        <f t="shared" si="35"/>
        <v>564.00029022779324</v>
      </c>
      <c r="AJ49" s="187">
        <f t="shared" si="35"/>
        <v>571.08628138728022</v>
      </c>
      <c r="AK49" s="187">
        <f t="shared" si="35"/>
        <v>577.93442529297192</v>
      </c>
      <c r="AL49" s="187">
        <f t="shared" si="35"/>
        <v>583.86310527451326</v>
      </c>
      <c r="AM49" s="187">
        <f t="shared" si="35"/>
        <v>590.47652776847679</v>
      </c>
      <c r="AN49" s="187">
        <f t="shared" si="35"/>
        <v>596.55842865985653</v>
      </c>
      <c r="AO49" s="187">
        <f t="shared" si="35"/>
        <v>603.55915141911782</v>
      </c>
      <c r="AP49" s="187">
        <f t="shared" si="35"/>
        <v>609.67159756804608</v>
      </c>
      <c r="AQ49" s="187">
        <f t="shared" si="35"/>
        <v>615.57727850095091</v>
      </c>
      <c r="AR49" s="187">
        <f t="shared" si="35"/>
        <v>621.47763763351486</v>
      </c>
      <c r="AS49" s="187">
        <f t="shared" si="35"/>
        <v>627.29712246562406</v>
      </c>
      <c r="AT49" s="187">
        <f t="shared" si="35"/>
        <v>633.4602517794176</v>
      </c>
      <c r="AU49" s="187">
        <f t="shared" si="35"/>
        <v>639.2031124052786</v>
      </c>
      <c r="AV49" s="187">
        <f t="shared" si="35"/>
        <v>644.84725887985576</v>
      </c>
      <c r="AW49" s="187">
        <f t="shared" si="35"/>
        <v>650.46124476390833</v>
      </c>
      <c r="AX49" s="187">
        <f t="shared" si="35"/>
        <v>655.97822719931503</v>
      </c>
      <c r="AY49" s="187">
        <f t="shared" si="35"/>
        <v>661.46603876298832</v>
      </c>
      <c r="AZ49" s="187">
        <f t="shared" si="35"/>
        <v>666.72620685294089</v>
      </c>
      <c r="BA49" s="187">
        <f t="shared" si="35"/>
        <v>671.89664032107078</v>
      </c>
      <c r="BB49" s="187">
        <f t="shared" si="35"/>
        <v>676.97178537523621</v>
      </c>
      <c r="BC49" s="187">
        <f t="shared" si="35"/>
        <v>681.93154444025311</v>
      </c>
      <c r="BD49" s="187">
        <f t="shared" si="35"/>
        <v>686.75813498601769</v>
      </c>
      <c r="BE49" s="187">
        <f t="shared" si="35"/>
        <v>691.46079011858194</v>
      </c>
      <c r="BF49" s="187">
        <f t="shared" si="35"/>
        <v>696.04218399866204</v>
      </c>
      <c r="BG49" s="187">
        <f t="shared" si="35"/>
        <v>700.50098228764136</v>
      </c>
      <c r="BH49" s="187">
        <f t="shared" si="35"/>
        <v>704.8259719777958</v>
      </c>
      <c r="BI49" s="187">
        <f t="shared" si="35"/>
        <v>709.01435571591401</v>
      </c>
      <c r="BJ49" s="187">
        <f t="shared" si="35"/>
        <v>713.06001586197806</v>
      </c>
      <c r="BK49" s="187">
        <f t="shared" si="35"/>
        <v>716.96767968984989</v>
      </c>
      <c r="BL49" s="187">
        <f t="shared" si="35"/>
        <v>720.73393279862705</v>
      </c>
      <c r="BM49" s="187">
        <f t="shared" si="35"/>
        <v>724.35530753151772</v>
      </c>
      <c r="BN49" s="182"/>
    </row>
    <row r="50" spans="1:69" ht="14.25" hidden="1" customHeight="1" x14ac:dyDescent="0.3">
      <c r="A50" s="982"/>
      <c r="B50" s="944"/>
      <c r="C50" s="183"/>
      <c r="D50" s="185" t="s">
        <v>665</v>
      </c>
      <c r="E50" s="187">
        <f t="shared" ref="E50:P50" si="36">E44*6.5*0.8*2.7*0.001</f>
        <v>219.76812000000004</v>
      </c>
      <c r="F50" s="187">
        <f t="shared" si="36"/>
        <v>193.51191600000004</v>
      </c>
      <c r="G50" s="187">
        <f t="shared" si="36"/>
        <v>211.22899200000003</v>
      </c>
      <c r="H50" s="187">
        <f t="shared" si="36"/>
        <v>229.52030400000007</v>
      </c>
      <c r="I50" s="187">
        <f t="shared" si="36"/>
        <v>195.81166800000003</v>
      </c>
      <c r="J50" s="187">
        <f t="shared" si="36"/>
        <v>146.79912570581297</v>
      </c>
      <c r="K50" s="187">
        <f t="shared" si="36"/>
        <v>176.32414800000001</v>
      </c>
      <c r="L50" s="187">
        <f t="shared" si="36"/>
        <v>189.46980000000002</v>
      </c>
      <c r="M50" s="187">
        <f t="shared" si="36"/>
        <v>186.41048400000005</v>
      </c>
      <c r="N50" s="187">
        <f t="shared" si="36"/>
        <v>202.33886400000003</v>
      </c>
      <c r="O50" s="187">
        <f t="shared" si="36"/>
        <v>221.81234400000008</v>
      </c>
      <c r="P50" s="187">
        <f t="shared" si="36"/>
        <v>213.07665600000004</v>
      </c>
      <c r="Q50" s="187">
        <f t="shared" ref="Q50:BM50" si="37">Q44*6.5*0.8*2.7*0.001</f>
        <v>198.00752400000005</v>
      </c>
      <c r="R50" s="187">
        <f t="shared" si="37"/>
        <v>197.02668895736684</v>
      </c>
      <c r="S50" s="187">
        <f t="shared" si="37"/>
        <v>209.03246578841399</v>
      </c>
      <c r="T50" s="187">
        <f t="shared" si="37"/>
        <v>209.39333426066844</v>
      </c>
      <c r="U50" s="187">
        <f t="shared" si="37"/>
        <v>221.96084629931474</v>
      </c>
      <c r="V50" s="187">
        <f t="shared" si="37"/>
        <v>221.96084629931474</v>
      </c>
      <c r="W50" s="187">
        <f t="shared" si="37"/>
        <v>221.96084629931474</v>
      </c>
      <c r="X50" s="187">
        <f t="shared" si="37"/>
        <v>221.96084629931474</v>
      </c>
      <c r="Y50" s="187">
        <f t="shared" si="37"/>
        <v>221.96084629931474</v>
      </c>
      <c r="Z50" s="187">
        <f t="shared" si="37"/>
        <v>221.96084629931474</v>
      </c>
      <c r="AA50" s="187">
        <f t="shared" si="37"/>
        <v>221.96084629931474</v>
      </c>
      <c r="AB50" s="187">
        <f t="shared" si="37"/>
        <v>221.96084629931474</v>
      </c>
      <c r="AC50" s="187">
        <f t="shared" si="37"/>
        <v>221.96084629931474</v>
      </c>
      <c r="AD50" s="187">
        <f t="shared" si="37"/>
        <v>221.96084629931474</v>
      </c>
      <c r="AE50" s="187">
        <f t="shared" si="37"/>
        <v>221.96084629931474</v>
      </c>
      <c r="AF50" s="187">
        <f t="shared" si="37"/>
        <v>221.96084629931474</v>
      </c>
      <c r="AG50" s="187">
        <f t="shared" si="37"/>
        <v>221.96084629931474</v>
      </c>
      <c r="AH50" s="187">
        <f t="shared" si="37"/>
        <v>221.96084629931474</v>
      </c>
      <c r="AI50" s="187">
        <f t="shared" si="37"/>
        <v>221.96084629931474</v>
      </c>
      <c r="AJ50" s="187">
        <f t="shared" si="37"/>
        <v>221.96084629931474</v>
      </c>
      <c r="AK50" s="187">
        <f t="shared" si="37"/>
        <v>221.96084629931474</v>
      </c>
      <c r="AL50" s="187">
        <f t="shared" si="37"/>
        <v>221.96084629931474</v>
      </c>
      <c r="AM50" s="187">
        <f t="shared" si="37"/>
        <v>221.96084629931474</v>
      </c>
      <c r="AN50" s="187">
        <f t="shared" si="37"/>
        <v>221.96084629931474</v>
      </c>
      <c r="AO50" s="187">
        <f t="shared" si="37"/>
        <v>221.96084629931474</v>
      </c>
      <c r="AP50" s="187">
        <f t="shared" si="37"/>
        <v>221.96084629931474</v>
      </c>
      <c r="AQ50" s="187">
        <f t="shared" si="37"/>
        <v>221.96084629931474</v>
      </c>
      <c r="AR50" s="187">
        <f t="shared" si="37"/>
        <v>221.96084629931474</v>
      </c>
      <c r="AS50" s="187">
        <f t="shared" si="37"/>
        <v>221.96084629931474</v>
      </c>
      <c r="AT50" s="187">
        <f t="shared" si="37"/>
        <v>221.96084629931474</v>
      </c>
      <c r="AU50" s="187">
        <f t="shared" si="37"/>
        <v>221.96084629931474</v>
      </c>
      <c r="AV50" s="187">
        <f t="shared" si="37"/>
        <v>221.96084629931474</v>
      </c>
      <c r="AW50" s="187">
        <f t="shared" si="37"/>
        <v>221.96084629931474</v>
      </c>
      <c r="AX50" s="187">
        <f t="shared" si="37"/>
        <v>221.96084629931474</v>
      </c>
      <c r="AY50" s="187">
        <f t="shared" si="37"/>
        <v>221.96084629931474</v>
      </c>
      <c r="AZ50" s="187">
        <f t="shared" si="37"/>
        <v>221.96084629931474</v>
      </c>
      <c r="BA50" s="187">
        <f t="shared" si="37"/>
        <v>221.96084629931474</v>
      </c>
      <c r="BB50" s="187">
        <f t="shared" si="37"/>
        <v>221.96084629931474</v>
      </c>
      <c r="BC50" s="187">
        <f t="shared" si="37"/>
        <v>221.96084629931474</v>
      </c>
      <c r="BD50" s="187">
        <f t="shared" si="37"/>
        <v>221.96084629931474</v>
      </c>
      <c r="BE50" s="187">
        <f t="shared" si="37"/>
        <v>221.96084629931474</v>
      </c>
      <c r="BF50" s="187">
        <f t="shared" si="37"/>
        <v>221.96084629931474</v>
      </c>
      <c r="BG50" s="187">
        <f t="shared" si="37"/>
        <v>221.96084629931474</v>
      </c>
      <c r="BH50" s="187">
        <f t="shared" si="37"/>
        <v>221.96084629931474</v>
      </c>
      <c r="BI50" s="187">
        <f t="shared" si="37"/>
        <v>221.96084629931474</v>
      </c>
      <c r="BJ50" s="187">
        <f t="shared" si="37"/>
        <v>221.96084629931474</v>
      </c>
      <c r="BK50" s="187">
        <f t="shared" si="37"/>
        <v>221.96084629931474</v>
      </c>
      <c r="BL50" s="187">
        <f t="shared" si="37"/>
        <v>221.96084629931474</v>
      </c>
      <c r="BM50" s="187">
        <f t="shared" si="37"/>
        <v>221.96084629931474</v>
      </c>
      <c r="BN50" s="182"/>
    </row>
    <row r="51" spans="1:69" ht="14.25" hidden="1" customHeight="1" x14ac:dyDescent="0.3">
      <c r="A51" s="982"/>
      <c r="B51" s="944"/>
      <c r="C51" s="183"/>
      <c r="D51" s="185" t="s">
        <v>666</v>
      </c>
      <c r="E51" s="187">
        <f t="shared" ref="E51:P51" si="38">E45*10*0.8*0.001*2.7</f>
        <v>1028.4796800000001</v>
      </c>
      <c r="F51" s="187">
        <f t="shared" si="38"/>
        <v>1404.2268000000004</v>
      </c>
      <c r="G51" s="187">
        <f t="shared" si="38"/>
        <v>1149.1264800000001</v>
      </c>
      <c r="H51" s="187">
        <f t="shared" si="38"/>
        <v>1146.1219200000003</v>
      </c>
      <c r="I51" s="187">
        <f t="shared" si="38"/>
        <v>1119.7288800000001</v>
      </c>
      <c r="J51" s="187">
        <f t="shared" si="38"/>
        <v>1235.7856800000002</v>
      </c>
      <c r="K51" s="187">
        <f t="shared" si="38"/>
        <v>919.5919200000003</v>
      </c>
      <c r="L51" s="187">
        <f t="shared" si="38"/>
        <v>1042.1611200000002</v>
      </c>
      <c r="M51" s="187">
        <f t="shared" si="38"/>
        <v>996.94152000000031</v>
      </c>
      <c r="N51" s="187">
        <f t="shared" si="38"/>
        <v>875.35944000000006</v>
      </c>
      <c r="O51" s="187">
        <f t="shared" si="38"/>
        <v>960.51096000000018</v>
      </c>
      <c r="P51" s="187">
        <f t="shared" si="38"/>
        <v>980.03088000000002</v>
      </c>
      <c r="Q51" s="187">
        <f t="shared" ref="Q51:BM51" si="39">Q45*10*0.8*0.001*2.7</f>
        <v>935.74656000000016</v>
      </c>
      <c r="R51" s="187">
        <f t="shared" si="39"/>
        <v>931.1113168611007</v>
      </c>
      <c r="S51" s="187">
        <f t="shared" si="39"/>
        <v>987.84837484168554</v>
      </c>
      <c r="T51" s="187">
        <f t="shared" si="39"/>
        <v>989.55377181197719</v>
      </c>
      <c r="U51" s="187">
        <f t="shared" si="39"/>
        <v>1048.9454854214152</v>
      </c>
      <c r="V51" s="187">
        <f t="shared" si="39"/>
        <v>1075.0262316175817</v>
      </c>
      <c r="W51" s="187">
        <f t="shared" si="39"/>
        <v>1102.2831785446303</v>
      </c>
      <c r="X51" s="187">
        <f t="shared" si="39"/>
        <v>1126.5542947676197</v>
      </c>
      <c r="Y51" s="187">
        <f t="shared" si="39"/>
        <v>1154.9338643436197</v>
      </c>
      <c r="Z51" s="187">
        <f t="shared" si="39"/>
        <v>1140.6012081489564</v>
      </c>
      <c r="AA51" s="187">
        <f t="shared" si="39"/>
        <v>1161.8203760330325</v>
      </c>
      <c r="AB51" s="187">
        <f t="shared" si="39"/>
        <v>1187.4765037693614</v>
      </c>
      <c r="AC51" s="187">
        <f t="shared" si="39"/>
        <v>1206.2071263300334</v>
      </c>
      <c r="AD51" s="187">
        <f t="shared" si="39"/>
        <v>1224.1233979451877</v>
      </c>
      <c r="AE51" s="187">
        <f t="shared" si="39"/>
        <v>1241.4356498389025</v>
      </c>
      <c r="AF51" s="187">
        <f t="shared" si="39"/>
        <v>1256.3891055226184</v>
      </c>
      <c r="AG51" s="187">
        <f t="shared" si="39"/>
        <v>1269.4354631620608</v>
      </c>
      <c r="AH51" s="187">
        <f t="shared" si="39"/>
        <v>1288.1645423103312</v>
      </c>
      <c r="AI51" s="187">
        <f t="shared" si="39"/>
        <v>1305.5196880403055</v>
      </c>
      <c r="AJ51" s="187">
        <f t="shared" si="39"/>
        <v>1321.9219862807074</v>
      </c>
      <c r="AK51" s="187">
        <f t="shared" si="39"/>
        <v>1337.7737275835407</v>
      </c>
      <c r="AL51" s="187">
        <f t="shared" si="39"/>
        <v>1351.4971397414788</v>
      </c>
      <c r="AM51" s="187">
        <f t="shared" si="39"/>
        <v>1366.8055596497572</v>
      </c>
      <c r="AN51" s="187">
        <f t="shared" si="39"/>
        <v>1380.8836399131544</v>
      </c>
      <c r="AO51" s="187">
        <f t="shared" si="39"/>
        <v>1397.0885631216797</v>
      </c>
      <c r="AP51" s="187">
        <f t="shared" si="39"/>
        <v>1411.2373480208664</v>
      </c>
      <c r="AQ51" s="187">
        <f t="shared" si="39"/>
        <v>1424.9075231303113</v>
      </c>
      <c r="AR51" s="187">
        <f t="shared" si="39"/>
        <v>1438.5653796022634</v>
      </c>
      <c r="AS51" s="187">
        <f t="shared" si="39"/>
        <v>1452.0360322849103</v>
      </c>
      <c r="AT51" s="187">
        <f t="shared" si="39"/>
        <v>1466.3021360414282</v>
      </c>
      <c r="AU51" s="187">
        <f t="shared" si="39"/>
        <v>1479.5954228404562</v>
      </c>
      <c r="AV51" s="187">
        <f t="shared" si="39"/>
        <v>1492.6602110549588</v>
      </c>
      <c r="AW51" s="187">
        <f t="shared" si="39"/>
        <v>1505.6551850416756</v>
      </c>
      <c r="AX51" s="187">
        <f t="shared" si="39"/>
        <v>1518.425620292847</v>
      </c>
      <c r="AY51" s="187">
        <f t="shared" si="39"/>
        <v>1531.1285322678343</v>
      </c>
      <c r="AZ51" s="187">
        <f t="shared" si="39"/>
        <v>1543.304506505473</v>
      </c>
      <c r="BA51" s="187">
        <f t="shared" si="39"/>
        <v>1555.2727675246647</v>
      </c>
      <c r="BB51" s="187">
        <f t="shared" si="39"/>
        <v>1567.0204596848889</v>
      </c>
      <c r="BC51" s="187">
        <f t="shared" si="39"/>
        <v>1578.5010621234098</v>
      </c>
      <c r="BD51" s="187">
        <f t="shared" si="39"/>
        <v>1589.6734127281588</v>
      </c>
      <c r="BE51" s="187">
        <f t="shared" si="39"/>
        <v>1600.5588838316344</v>
      </c>
      <c r="BF51" s="187">
        <f t="shared" si="39"/>
        <v>1611.1636654474312</v>
      </c>
      <c r="BG51" s="187">
        <f t="shared" si="39"/>
        <v>1621.4846689151989</v>
      </c>
      <c r="BH51" s="187">
        <f t="shared" si="39"/>
        <v>1631.4959389249846</v>
      </c>
      <c r="BI51" s="187">
        <f t="shared" si="39"/>
        <v>1641.1910003033627</v>
      </c>
      <c r="BJ51" s="187">
        <f t="shared" si="39"/>
        <v>1650.5556922429241</v>
      </c>
      <c r="BK51" s="187">
        <f t="shared" si="39"/>
        <v>1659.6009572009777</v>
      </c>
      <c r="BL51" s="187">
        <f t="shared" si="39"/>
        <v>1668.3188916929366</v>
      </c>
      <c r="BM51" s="187">
        <f t="shared" si="39"/>
        <v>1676.701468960141</v>
      </c>
      <c r="BN51" s="182"/>
    </row>
    <row r="52" spans="1:69" ht="14.25" hidden="1" customHeight="1" x14ac:dyDescent="0.3">
      <c r="A52" s="982"/>
      <c r="B52" s="944"/>
      <c r="C52" s="183"/>
      <c r="D52" s="185" t="s">
        <v>667</v>
      </c>
      <c r="E52" s="187">
        <f t="shared" ref="E52:P52" si="40">E46*4*0.9*2.7*0.001</f>
        <v>36.836856000000004</v>
      </c>
      <c r="F52" s="187">
        <f t="shared" si="40"/>
        <v>37.364652000000007</v>
      </c>
      <c r="G52" s="187">
        <f t="shared" si="40"/>
        <v>29.563380000000002</v>
      </c>
      <c r="H52" s="187">
        <f t="shared" si="40"/>
        <v>34.697484000000003</v>
      </c>
      <c r="I52" s="187">
        <f t="shared" si="40"/>
        <v>22.646628000000003</v>
      </c>
      <c r="J52" s="187">
        <f t="shared" si="40"/>
        <v>21.737808000000005</v>
      </c>
      <c r="K52" s="187">
        <f t="shared" si="40"/>
        <v>25.633584000000006</v>
      </c>
      <c r="L52" s="187">
        <f t="shared" si="40"/>
        <v>17.559180000000005</v>
      </c>
      <c r="M52" s="187">
        <f t="shared" si="40"/>
        <v>15.2361</v>
      </c>
      <c r="N52" s="187">
        <f t="shared" si="40"/>
        <v>15.367320000000001</v>
      </c>
      <c r="O52" s="187">
        <f t="shared" si="40"/>
        <v>23.210388000000002</v>
      </c>
      <c r="P52" s="187">
        <f t="shared" si="40"/>
        <v>19.118268</v>
      </c>
      <c r="Q52" s="187">
        <f t="shared" ref="Q52:BM52" si="41">Q46*4*0.9*2.7*0.001</f>
        <v>13.451491666543806</v>
      </c>
      <c r="R52" s="187">
        <f t="shared" si="41"/>
        <v>13.384859378357449</v>
      </c>
      <c r="S52" s="187">
        <f t="shared" si="41"/>
        <v>14.200462764182399</v>
      </c>
      <c r="T52" s="187">
        <f t="shared" si="41"/>
        <v>14.224978091424454</v>
      </c>
      <c r="U52" s="187">
        <f t="shared" si="41"/>
        <v>15.078742534522284</v>
      </c>
      <c r="V52" s="187">
        <f t="shared" si="41"/>
        <v>15.453657020037445</v>
      </c>
      <c r="W52" s="187">
        <f t="shared" si="41"/>
        <v>15.845479560581566</v>
      </c>
      <c r="X52" s="187">
        <f t="shared" si="41"/>
        <v>16.194380354415372</v>
      </c>
      <c r="Y52" s="187">
        <f t="shared" si="41"/>
        <v>16.602340757338645</v>
      </c>
      <c r="Z52" s="187">
        <f t="shared" si="41"/>
        <v>16.396306758814564</v>
      </c>
      <c r="AA52" s="187">
        <f t="shared" si="41"/>
        <v>16.701335355407686</v>
      </c>
      <c r="AB52" s="187">
        <f t="shared" si="41"/>
        <v>17.070145889363602</v>
      </c>
      <c r="AC52" s="187">
        <f t="shared" si="41"/>
        <v>17.339401288265691</v>
      </c>
      <c r="AD52" s="187">
        <f t="shared" si="41"/>
        <v>17.596950274955834</v>
      </c>
      <c r="AE52" s="187">
        <f t="shared" si="41"/>
        <v>17.845816391094598</v>
      </c>
      <c r="AF52" s="187">
        <f t="shared" si="41"/>
        <v>18.060774471747912</v>
      </c>
      <c r="AG52" s="187">
        <f t="shared" si="41"/>
        <v>18.248317743150064</v>
      </c>
      <c r="AH52" s="187">
        <f t="shared" si="41"/>
        <v>18.517550955276423</v>
      </c>
      <c r="AI52" s="187">
        <f t="shared" si="41"/>
        <v>18.767033676493593</v>
      </c>
      <c r="AJ52" s="187">
        <f t="shared" si="41"/>
        <v>19.0028190777169</v>
      </c>
      <c r="AK52" s="187">
        <f t="shared" si="41"/>
        <v>19.230690143612417</v>
      </c>
      <c r="AL52" s="187">
        <f t="shared" si="41"/>
        <v>19.427966171299932</v>
      </c>
      <c r="AM52" s="187">
        <f t="shared" si="41"/>
        <v>19.648026913841328</v>
      </c>
      <c r="AN52" s="187">
        <f t="shared" si="41"/>
        <v>19.850401346662139</v>
      </c>
      <c r="AO52" s="187">
        <f t="shared" si="41"/>
        <v>20.083349453355112</v>
      </c>
      <c r="AP52" s="187">
        <f t="shared" si="41"/>
        <v>20.286740275505856</v>
      </c>
      <c r="AQ52" s="187">
        <f t="shared" si="41"/>
        <v>20.483251012948365</v>
      </c>
      <c r="AR52" s="187">
        <f t="shared" si="41"/>
        <v>20.679584668201464</v>
      </c>
      <c r="AS52" s="187">
        <f t="shared" si="41"/>
        <v>20.873227242002145</v>
      </c>
      <c r="AT52" s="187">
        <f t="shared" si="41"/>
        <v>21.078304539635866</v>
      </c>
      <c r="AU52" s="187">
        <f t="shared" si="41"/>
        <v>21.269397453296275</v>
      </c>
      <c r="AV52" s="187">
        <f t="shared" si="41"/>
        <v>21.45720566687125</v>
      </c>
      <c r="AW52" s="187">
        <f t="shared" si="41"/>
        <v>21.644010290859693</v>
      </c>
      <c r="AX52" s="187">
        <f t="shared" si="41"/>
        <v>21.827587138162521</v>
      </c>
      <c r="AY52" s="187">
        <f t="shared" si="41"/>
        <v>22.010193328638262</v>
      </c>
      <c r="AZ52" s="187">
        <f t="shared" si="41"/>
        <v>22.185224713193556</v>
      </c>
      <c r="BA52" s="187">
        <f t="shared" si="41"/>
        <v>22.357270190296539</v>
      </c>
      <c r="BB52" s="187">
        <f t="shared" si="41"/>
        <v>22.526144958261895</v>
      </c>
      <c r="BC52" s="187">
        <f t="shared" si="41"/>
        <v>22.691180272982869</v>
      </c>
      <c r="BD52" s="187">
        <f t="shared" si="41"/>
        <v>22.851784423165896</v>
      </c>
      <c r="BE52" s="187">
        <f t="shared" si="41"/>
        <v>23.00826463917096</v>
      </c>
      <c r="BF52" s="187">
        <f t="shared" si="41"/>
        <v>23.160709903335668</v>
      </c>
      <c r="BG52" s="187">
        <f t="shared" si="41"/>
        <v>23.309075815722295</v>
      </c>
      <c r="BH52" s="187">
        <f t="shared" si="41"/>
        <v>23.452989265009414</v>
      </c>
      <c r="BI52" s="187">
        <f t="shared" si="41"/>
        <v>23.592357169645766</v>
      </c>
      <c r="BJ52" s="187">
        <f t="shared" si="41"/>
        <v>23.726975965983911</v>
      </c>
      <c r="BK52" s="187">
        <f t="shared" si="41"/>
        <v>23.857002953424768</v>
      </c>
      <c r="BL52" s="187">
        <f t="shared" si="41"/>
        <v>23.982324518238276</v>
      </c>
      <c r="BM52" s="187">
        <f t="shared" si="41"/>
        <v>24.102825274611838</v>
      </c>
      <c r="BN52" s="182"/>
    </row>
    <row r="53" spans="1:69" ht="15" hidden="1" customHeight="1" x14ac:dyDescent="0.3">
      <c r="A53" s="982"/>
      <c r="B53" s="84"/>
      <c r="C53" s="183"/>
      <c r="D53" s="179" t="s">
        <v>668</v>
      </c>
      <c r="E53" s="294">
        <f t="shared" ref="E53:P53" si="42">SUM(E49:E52)</f>
        <v>1752.1314120000002</v>
      </c>
      <c r="F53" s="294">
        <f t="shared" si="42"/>
        <v>2027.0922840000005</v>
      </c>
      <c r="G53" s="294">
        <f t="shared" si="42"/>
        <v>1830.8688120000004</v>
      </c>
      <c r="H53" s="294">
        <f t="shared" si="42"/>
        <v>1881.7024680000006</v>
      </c>
      <c r="I53" s="294">
        <f t="shared" si="42"/>
        <v>1758.9007440000005</v>
      </c>
      <c r="J53" s="294">
        <f t="shared" si="42"/>
        <v>1849.9616097058135</v>
      </c>
      <c r="K53" s="294">
        <f t="shared" si="42"/>
        <v>1556.5881240000003</v>
      </c>
      <c r="L53" s="294">
        <f t="shared" si="42"/>
        <v>1674.6129000000003</v>
      </c>
      <c r="M53" s="294">
        <f t="shared" si="42"/>
        <v>1552.9661280000005</v>
      </c>
      <c r="N53" s="294">
        <f t="shared" si="42"/>
        <v>1398.705948</v>
      </c>
      <c r="O53" s="294">
        <f t="shared" si="42"/>
        <v>1577.2303800000004</v>
      </c>
      <c r="P53" s="294">
        <f t="shared" si="42"/>
        <v>1616.479632</v>
      </c>
      <c r="Q53" s="294">
        <f t="shared" ref="Q53:BM53" si="43">SUM(Q49:Q52)</f>
        <v>1551.4594036665439</v>
      </c>
      <c r="R53" s="294">
        <f t="shared" si="43"/>
        <v>1543.7742121162528</v>
      </c>
      <c r="S53" s="294">
        <f t="shared" si="43"/>
        <v>1637.8437453671706</v>
      </c>
      <c r="T53" s="294">
        <f t="shared" si="43"/>
        <v>1640.6712782480217</v>
      </c>
      <c r="U53" s="294">
        <f t="shared" si="43"/>
        <v>1739.1422067216813</v>
      </c>
      <c r="V53" s="294">
        <f t="shared" si="43"/>
        <v>1776.8650651015269</v>
      </c>
      <c r="W53" s="294">
        <f t="shared" si="43"/>
        <v>1816.2891652044277</v>
      </c>
      <c r="X53" s="294">
        <f t="shared" si="43"/>
        <v>1851.3945978908273</v>
      </c>
      <c r="Y53" s="294">
        <f t="shared" si="43"/>
        <v>1892.4424450629983</v>
      </c>
      <c r="Z53" s="294">
        <f t="shared" si="43"/>
        <v>1871.7118740980552</v>
      </c>
      <c r="AA53" s="294">
        <f t="shared" si="43"/>
        <v>1902.4030076648864</v>
      </c>
      <c r="AB53" s="294">
        <f t="shared" si="43"/>
        <v>1939.5117033246379</v>
      </c>
      <c r="AC53" s="294">
        <f t="shared" si="43"/>
        <v>1966.6034367017457</v>
      </c>
      <c r="AD53" s="294">
        <f t="shared" si="43"/>
        <v>1992.5173032663711</v>
      </c>
      <c r="AE53" s="294">
        <f t="shared" si="43"/>
        <v>2017.5575234161611</v>
      </c>
      <c r="AF53" s="294">
        <f t="shared" si="43"/>
        <v>2039.1860108376227</v>
      </c>
      <c r="AG53" s="294">
        <f t="shared" si="43"/>
        <v>2058.0560959917752</v>
      </c>
      <c r="AH53" s="294">
        <f t="shared" si="43"/>
        <v>2085.145596996887</v>
      </c>
      <c r="AI53" s="294">
        <f t="shared" si="43"/>
        <v>2110.2478582439071</v>
      </c>
      <c r="AJ53" s="294">
        <f t="shared" si="43"/>
        <v>2133.9719330450193</v>
      </c>
      <c r="AK53" s="294">
        <f t="shared" si="43"/>
        <v>2156.8996893194399</v>
      </c>
      <c r="AL53" s="294">
        <f t="shared" si="43"/>
        <v>2176.7490574866069</v>
      </c>
      <c r="AM53" s="294">
        <f t="shared" si="43"/>
        <v>2198.8909606313905</v>
      </c>
      <c r="AN53" s="294">
        <f t="shared" si="43"/>
        <v>2219.2533162189879</v>
      </c>
      <c r="AO53" s="294">
        <f t="shared" si="43"/>
        <v>2242.6919102934671</v>
      </c>
      <c r="AP53" s="294">
        <f t="shared" si="43"/>
        <v>2263.1565321637331</v>
      </c>
      <c r="AQ53" s="294">
        <f t="shared" si="43"/>
        <v>2282.9288989435258</v>
      </c>
      <c r="AR53" s="294">
        <f t="shared" si="43"/>
        <v>2302.6834482032946</v>
      </c>
      <c r="AS53" s="294">
        <f t="shared" si="43"/>
        <v>2322.1672282918512</v>
      </c>
      <c r="AT53" s="294">
        <f t="shared" si="43"/>
        <v>2342.8015386597967</v>
      </c>
      <c r="AU53" s="294">
        <f t="shared" si="43"/>
        <v>2362.0287789983458</v>
      </c>
      <c r="AV53" s="294">
        <f t="shared" si="43"/>
        <v>2380.9255219010006</v>
      </c>
      <c r="AW53" s="294">
        <f t="shared" si="43"/>
        <v>2399.7212863957584</v>
      </c>
      <c r="AX53" s="294">
        <f t="shared" si="43"/>
        <v>2418.1922809296393</v>
      </c>
      <c r="AY53" s="294">
        <f t="shared" si="43"/>
        <v>2436.5656106587758</v>
      </c>
      <c r="AZ53" s="294">
        <f t="shared" si="43"/>
        <v>2454.1767843709222</v>
      </c>
      <c r="BA53" s="294">
        <f t="shared" si="43"/>
        <v>2471.4875243353472</v>
      </c>
      <c r="BB53" s="294">
        <f t="shared" si="43"/>
        <v>2488.4792363177016</v>
      </c>
      <c r="BC53" s="294">
        <f t="shared" si="43"/>
        <v>2505.0846331359608</v>
      </c>
      <c r="BD53" s="294">
        <f t="shared" si="43"/>
        <v>2521.2441784366574</v>
      </c>
      <c r="BE53" s="294">
        <f t="shared" si="43"/>
        <v>2536.988784888702</v>
      </c>
      <c r="BF53" s="294">
        <f t="shared" si="43"/>
        <v>2552.3274056487439</v>
      </c>
      <c r="BG53" s="294">
        <f t="shared" si="43"/>
        <v>2567.2555733178774</v>
      </c>
      <c r="BH53" s="294">
        <f t="shared" si="43"/>
        <v>2581.7357464671045</v>
      </c>
      <c r="BI53" s="294">
        <f t="shared" si="43"/>
        <v>2595.7585594882371</v>
      </c>
      <c r="BJ53" s="294">
        <f t="shared" si="43"/>
        <v>2609.3035303702009</v>
      </c>
      <c r="BK53" s="294">
        <f t="shared" si="43"/>
        <v>2622.3864861435673</v>
      </c>
      <c r="BL53" s="294">
        <f t="shared" si="43"/>
        <v>2634.995995309117</v>
      </c>
      <c r="BM53" s="294">
        <f t="shared" si="43"/>
        <v>2647.1204480655852</v>
      </c>
      <c r="BN53" s="197"/>
      <c r="BO53" s="50"/>
      <c r="BP53" s="50"/>
      <c r="BQ53" s="50"/>
    </row>
    <row r="54" spans="1:69" ht="14.25" hidden="1" customHeight="1" x14ac:dyDescent="0.3">
      <c r="A54" s="982"/>
      <c r="B54" s="944"/>
      <c r="C54" s="183"/>
      <c r="D54" s="184" t="s">
        <v>669</v>
      </c>
      <c r="E54" s="180"/>
      <c r="F54" s="180"/>
      <c r="G54" s="180"/>
      <c r="H54" s="180"/>
      <c r="I54" s="180"/>
      <c r="J54" s="180"/>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2"/>
    </row>
    <row r="55" spans="1:69" ht="14.25" hidden="1" customHeight="1" x14ac:dyDescent="0.3">
      <c r="A55" s="982"/>
      <c r="B55" s="944"/>
      <c r="C55" s="183"/>
      <c r="D55" s="185" t="s">
        <v>670</v>
      </c>
      <c r="E55" s="187">
        <f t="shared" ref="E55:P55" si="44">E43*5.5*0.8*92*0.001</f>
        <v>15914.185760000002</v>
      </c>
      <c r="F55" s="187">
        <f t="shared" si="44"/>
        <v>13356.659360000005</v>
      </c>
      <c r="G55" s="187">
        <f t="shared" si="44"/>
        <v>15024.961600000006</v>
      </c>
      <c r="H55" s="187">
        <f t="shared" si="44"/>
        <v>16061.249600000005</v>
      </c>
      <c r="I55" s="187">
        <f t="shared" si="44"/>
        <v>14335.425280000005</v>
      </c>
      <c r="J55" s="187">
        <f t="shared" si="44"/>
        <v>15184.736160000004</v>
      </c>
      <c r="K55" s="187">
        <f t="shared" si="44"/>
        <v>14823.533120000002</v>
      </c>
      <c r="L55" s="187">
        <f t="shared" si="44"/>
        <v>14495.888000000001</v>
      </c>
      <c r="M55" s="187">
        <f t="shared" si="44"/>
        <v>12075.103040000004</v>
      </c>
      <c r="N55" s="187">
        <f t="shared" si="44"/>
        <v>10414.411039999999</v>
      </c>
      <c r="O55" s="187">
        <f t="shared" si="44"/>
        <v>12665.22048</v>
      </c>
      <c r="P55" s="187">
        <f t="shared" si="44"/>
        <v>13774.57488</v>
      </c>
      <c r="Q55" s="187">
        <f t="shared" ref="Q55:BM55" si="45">Q43*5.5*0.8*92*0.001</f>
        <v>13774.57488</v>
      </c>
      <c r="R55" s="187">
        <f t="shared" si="45"/>
        <v>13706.342191328646</v>
      </c>
      <c r="S55" s="187">
        <f t="shared" si="45"/>
        <v>14541.53505981695</v>
      </c>
      <c r="T55" s="187">
        <f t="shared" si="45"/>
        <v>14566.639205823541</v>
      </c>
      <c r="U55" s="187">
        <f t="shared" si="45"/>
        <v>15440.9096988561</v>
      </c>
      <c r="V55" s="187">
        <f t="shared" si="45"/>
        <v>15824.829027830574</v>
      </c>
      <c r="W55" s="187">
        <f t="shared" si="45"/>
        <v>16226.062516144775</v>
      </c>
      <c r="X55" s="187">
        <f t="shared" si="45"/>
        <v>16583.343346367383</v>
      </c>
      <c r="Y55" s="187">
        <f t="shared" si="45"/>
        <v>17001.102302581749</v>
      </c>
      <c r="Z55" s="187">
        <f t="shared" si="45"/>
        <v>16790.119698507107</v>
      </c>
      <c r="AA55" s="187">
        <f t="shared" si="45"/>
        <v>17102.474591813363</v>
      </c>
      <c r="AB55" s="187">
        <f t="shared" si="45"/>
        <v>17480.143362121118</v>
      </c>
      <c r="AC55" s="187">
        <f t="shared" si="45"/>
        <v>17755.865843014868</v>
      </c>
      <c r="AD55" s="187">
        <f t="shared" si="45"/>
        <v>18019.600742487397</v>
      </c>
      <c r="AE55" s="187">
        <f t="shared" si="45"/>
        <v>18274.444222811166</v>
      </c>
      <c r="AF55" s="187">
        <f t="shared" si="45"/>
        <v>18494.565251126896</v>
      </c>
      <c r="AG55" s="187">
        <f t="shared" si="45"/>
        <v>18686.613010528497</v>
      </c>
      <c r="AH55" s="187">
        <f t="shared" si="45"/>
        <v>18962.312771755831</v>
      </c>
      <c r="AI55" s="187">
        <f t="shared" si="45"/>
        <v>19217.787667021104</v>
      </c>
      <c r="AJ55" s="187">
        <f t="shared" si="45"/>
        <v>19459.236254677693</v>
      </c>
      <c r="AK55" s="187">
        <f t="shared" si="45"/>
        <v>19692.580417390152</v>
      </c>
      <c r="AL55" s="187">
        <f t="shared" si="45"/>
        <v>19894.594698242672</v>
      </c>
      <c r="AM55" s="187">
        <f t="shared" si="45"/>
        <v>20119.940946185136</v>
      </c>
      <c r="AN55" s="187">
        <f t="shared" si="45"/>
        <v>20327.176087669188</v>
      </c>
      <c r="AO55" s="187">
        <f t="shared" si="45"/>
        <v>20565.719233540309</v>
      </c>
      <c r="AP55" s="187">
        <f t="shared" si="45"/>
        <v>20773.99517639268</v>
      </c>
      <c r="AQ55" s="187">
        <f t="shared" si="45"/>
        <v>20975.225785958322</v>
      </c>
      <c r="AR55" s="187">
        <f t="shared" si="45"/>
        <v>21176.275060104948</v>
      </c>
      <c r="AS55" s="187">
        <f t="shared" si="45"/>
        <v>21374.568617347188</v>
      </c>
      <c r="AT55" s="187">
        <f t="shared" si="45"/>
        <v>21584.571542113492</v>
      </c>
      <c r="AU55" s="187">
        <f t="shared" si="45"/>
        <v>21780.25420047616</v>
      </c>
      <c r="AV55" s="187">
        <f t="shared" si="45"/>
        <v>21972.573265535826</v>
      </c>
      <c r="AW55" s="187">
        <f t="shared" si="45"/>
        <v>22163.864636399838</v>
      </c>
      <c r="AX55" s="187">
        <f t="shared" si="45"/>
        <v>22351.85070456925</v>
      </c>
      <c r="AY55" s="187">
        <f t="shared" si="45"/>
        <v>22538.84280229441</v>
      </c>
      <c r="AZ55" s="187">
        <f t="shared" si="45"/>
        <v>22718.078159433542</v>
      </c>
      <c r="BA55" s="187">
        <f t="shared" si="45"/>
        <v>22894.255892421672</v>
      </c>
      <c r="BB55" s="187">
        <f t="shared" si="45"/>
        <v>23067.186760933975</v>
      </c>
      <c r="BC55" s="187">
        <f t="shared" si="45"/>
        <v>23236.185958704918</v>
      </c>
      <c r="BD55" s="187">
        <f t="shared" si="45"/>
        <v>23400.647562486531</v>
      </c>
      <c r="BE55" s="187">
        <f t="shared" si="45"/>
        <v>23560.886181818347</v>
      </c>
      <c r="BF55" s="187">
        <f t="shared" si="45"/>
        <v>23716.992936250706</v>
      </c>
      <c r="BG55" s="187">
        <f t="shared" si="45"/>
        <v>23868.922359430744</v>
      </c>
      <c r="BH55" s="187">
        <f t="shared" si="45"/>
        <v>24016.292378502672</v>
      </c>
      <c r="BI55" s="187">
        <f t="shared" si="45"/>
        <v>24159.007676245958</v>
      </c>
      <c r="BJ55" s="187">
        <f t="shared" si="45"/>
        <v>24296.859799741473</v>
      </c>
      <c r="BK55" s="187">
        <f t="shared" si="45"/>
        <v>24430.009826468959</v>
      </c>
      <c r="BL55" s="187">
        <f t="shared" si="45"/>
        <v>24558.341413879141</v>
      </c>
      <c r="BM55" s="187">
        <f t="shared" si="45"/>
        <v>24681.736404777639</v>
      </c>
      <c r="BN55" s="182"/>
    </row>
    <row r="56" spans="1:69" ht="14.25" hidden="1" customHeight="1" x14ac:dyDescent="0.3">
      <c r="A56" s="982"/>
      <c r="B56" s="944"/>
      <c r="C56" s="183"/>
      <c r="D56" s="185" t="s">
        <v>671</v>
      </c>
      <c r="E56" s="187">
        <f t="shared" ref="E56:P56" si="46">E44*6.5*0.8*92*0.001</f>
        <v>7488.3951999999999</v>
      </c>
      <c r="F56" s="187">
        <f t="shared" si="46"/>
        <v>6593.7393600000005</v>
      </c>
      <c r="G56" s="187">
        <f t="shared" si="46"/>
        <v>7197.4323200000008</v>
      </c>
      <c r="H56" s="187">
        <f t="shared" si="46"/>
        <v>7820.6918400000022</v>
      </c>
      <c r="I56" s="187">
        <f t="shared" si="46"/>
        <v>6672.1012800000017</v>
      </c>
      <c r="J56" s="187">
        <f t="shared" si="46"/>
        <v>5002.044283309182</v>
      </c>
      <c r="K56" s="187">
        <f t="shared" si="46"/>
        <v>6008.0820800000001</v>
      </c>
      <c r="L56" s="187">
        <f t="shared" si="46"/>
        <v>6456.0079999999998</v>
      </c>
      <c r="M56" s="187">
        <f t="shared" si="46"/>
        <v>6351.7646400000012</v>
      </c>
      <c r="N56" s="187">
        <f t="shared" si="46"/>
        <v>6894.5094400000007</v>
      </c>
      <c r="O56" s="187">
        <f t="shared" si="46"/>
        <v>7558.0502400000014</v>
      </c>
      <c r="P56" s="187">
        <f t="shared" si="46"/>
        <v>7260.3897600000018</v>
      </c>
      <c r="Q56" s="187">
        <f t="shared" ref="Q56:BM56" si="47">Q44*6.5*0.8*92*0.001</f>
        <v>6746.9230400000015</v>
      </c>
      <c r="R56" s="187">
        <f t="shared" si="47"/>
        <v>6713.5019941028695</v>
      </c>
      <c r="S56" s="187">
        <f t="shared" si="47"/>
        <v>7122.5877231607719</v>
      </c>
      <c r="T56" s="187">
        <f t="shared" si="47"/>
        <v>7134.8839822153686</v>
      </c>
      <c r="U56" s="187">
        <f t="shared" si="47"/>
        <v>7563.1103183470204</v>
      </c>
      <c r="V56" s="187">
        <f t="shared" si="47"/>
        <v>7563.1103183470204</v>
      </c>
      <c r="W56" s="187">
        <f t="shared" si="47"/>
        <v>7563.1103183470204</v>
      </c>
      <c r="X56" s="187">
        <f t="shared" si="47"/>
        <v>7563.1103183470204</v>
      </c>
      <c r="Y56" s="187">
        <f t="shared" si="47"/>
        <v>7563.1103183470204</v>
      </c>
      <c r="Z56" s="187">
        <f t="shared" si="47"/>
        <v>7563.1103183470204</v>
      </c>
      <c r="AA56" s="187">
        <f t="shared" si="47"/>
        <v>7563.1103183470204</v>
      </c>
      <c r="AB56" s="187">
        <f t="shared" si="47"/>
        <v>7563.1103183470204</v>
      </c>
      <c r="AC56" s="187">
        <f t="shared" si="47"/>
        <v>7563.1103183470204</v>
      </c>
      <c r="AD56" s="187">
        <f t="shared" si="47"/>
        <v>7563.1103183470204</v>
      </c>
      <c r="AE56" s="187">
        <f t="shared" si="47"/>
        <v>7563.1103183470204</v>
      </c>
      <c r="AF56" s="187">
        <f t="shared" si="47"/>
        <v>7563.1103183470204</v>
      </c>
      <c r="AG56" s="187">
        <f t="shared" si="47"/>
        <v>7563.1103183470204</v>
      </c>
      <c r="AH56" s="187">
        <f t="shared" si="47"/>
        <v>7563.1103183470204</v>
      </c>
      <c r="AI56" s="187">
        <f t="shared" si="47"/>
        <v>7563.1103183470204</v>
      </c>
      <c r="AJ56" s="187">
        <f t="shared" si="47"/>
        <v>7563.1103183470204</v>
      </c>
      <c r="AK56" s="187">
        <f t="shared" si="47"/>
        <v>7563.1103183470204</v>
      </c>
      <c r="AL56" s="187">
        <f t="shared" si="47"/>
        <v>7563.1103183470204</v>
      </c>
      <c r="AM56" s="187">
        <f t="shared" si="47"/>
        <v>7563.1103183470204</v>
      </c>
      <c r="AN56" s="187">
        <f t="shared" si="47"/>
        <v>7563.1103183470204</v>
      </c>
      <c r="AO56" s="187">
        <f t="shared" si="47"/>
        <v>7563.1103183470204</v>
      </c>
      <c r="AP56" s="187">
        <f t="shared" si="47"/>
        <v>7563.1103183470204</v>
      </c>
      <c r="AQ56" s="187">
        <f t="shared" si="47"/>
        <v>7563.1103183470204</v>
      </c>
      <c r="AR56" s="187">
        <f t="shared" si="47"/>
        <v>7563.1103183470204</v>
      </c>
      <c r="AS56" s="187">
        <f t="shared" si="47"/>
        <v>7563.1103183470204</v>
      </c>
      <c r="AT56" s="187">
        <f t="shared" si="47"/>
        <v>7563.1103183470204</v>
      </c>
      <c r="AU56" s="187">
        <f t="shared" si="47"/>
        <v>7563.1103183470204</v>
      </c>
      <c r="AV56" s="187">
        <f t="shared" si="47"/>
        <v>7563.1103183470204</v>
      </c>
      <c r="AW56" s="187">
        <f t="shared" si="47"/>
        <v>7563.1103183470204</v>
      </c>
      <c r="AX56" s="187">
        <f t="shared" si="47"/>
        <v>7563.1103183470204</v>
      </c>
      <c r="AY56" s="187">
        <f t="shared" si="47"/>
        <v>7563.1103183470204</v>
      </c>
      <c r="AZ56" s="187">
        <f t="shared" si="47"/>
        <v>7563.1103183470204</v>
      </c>
      <c r="BA56" s="187">
        <f t="shared" si="47"/>
        <v>7563.1103183470204</v>
      </c>
      <c r="BB56" s="187">
        <f t="shared" si="47"/>
        <v>7563.1103183470204</v>
      </c>
      <c r="BC56" s="187">
        <f t="shared" si="47"/>
        <v>7563.1103183470204</v>
      </c>
      <c r="BD56" s="187">
        <f t="shared" si="47"/>
        <v>7563.1103183470204</v>
      </c>
      <c r="BE56" s="187">
        <f t="shared" si="47"/>
        <v>7563.1103183470204</v>
      </c>
      <c r="BF56" s="187">
        <f t="shared" si="47"/>
        <v>7563.1103183470204</v>
      </c>
      <c r="BG56" s="187">
        <f t="shared" si="47"/>
        <v>7563.1103183470204</v>
      </c>
      <c r="BH56" s="187">
        <f t="shared" si="47"/>
        <v>7563.1103183470204</v>
      </c>
      <c r="BI56" s="187">
        <f t="shared" si="47"/>
        <v>7563.1103183470204</v>
      </c>
      <c r="BJ56" s="187">
        <f t="shared" si="47"/>
        <v>7563.1103183470204</v>
      </c>
      <c r="BK56" s="187">
        <f t="shared" si="47"/>
        <v>7563.1103183470204</v>
      </c>
      <c r="BL56" s="187">
        <f t="shared" si="47"/>
        <v>7563.1103183470204</v>
      </c>
      <c r="BM56" s="187">
        <f t="shared" si="47"/>
        <v>7563.1103183470204</v>
      </c>
      <c r="BN56" s="182"/>
    </row>
    <row r="57" spans="1:69" ht="14.25" hidden="1" customHeight="1" x14ac:dyDescent="0.3">
      <c r="A57" s="982"/>
      <c r="B57" s="944"/>
      <c r="C57" s="183"/>
      <c r="D57" s="185" t="s">
        <v>672</v>
      </c>
      <c r="E57" s="187">
        <f t="shared" ref="E57:P57" si="48">E45*10*0.8*0.001*92</f>
        <v>35044.4928</v>
      </c>
      <c r="F57" s="187">
        <f t="shared" si="48"/>
        <v>47847.728000000003</v>
      </c>
      <c r="G57" s="187">
        <f t="shared" si="48"/>
        <v>39155.420800000007</v>
      </c>
      <c r="H57" s="187">
        <f t="shared" si="48"/>
        <v>39053.043200000007</v>
      </c>
      <c r="I57" s="187">
        <f t="shared" si="48"/>
        <v>38153.724800000004</v>
      </c>
      <c r="J57" s="187">
        <f t="shared" si="48"/>
        <v>42108.252800000002</v>
      </c>
      <c r="K57" s="187">
        <f t="shared" si="48"/>
        <v>31334.243200000008</v>
      </c>
      <c r="L57" s="187">
        <f t="shared" si="48"/>
        <v>35510.675200000005</v>
      </c>
      <c r="M57" s="187">
        <f t="shared" si="48"/>
        <v>33969.859200000006</v>
      </c>
      <c r="N57" s="187">
        <f t="shared" si="48"/>
        <v>29827.062399999999</v>
      </c>
      <c r="O57" s="187">
        <f t="shared" si="48"/>
        <v>32728.521600000004</v>
      </c>
      <c r="P57" s="187">
        <f t="shared" si="48"/>
        <v>33393.644800000002</v>
      </c>
      <c r="Q57" s="187">
        <f t="shared" ref="Q57:BM57" si="49">Q45*10*0.8*0.001*92</f>
        <v>31884.697600000003</v>
      </c>
      <c r="R57" s="187">
        <f t="shared" si="49"/>
        <v>31726.755981933798</v>
      </c>
      <c r="S57" s="187">
        <f t="shared" si="49"/>
        <v>33660.018698309286</v>
      </c>
      <c r="T57" s="187">
        <f t="shared" si="49"/>
        <v>33718.128521000704</v>
      </c>
      <c r="U57" s="187">
        <f t="shared" si="49"/>
        <v>35741.84616991489</v>
      </c>
      <c r="V57" s="187">
        <f t="shared" si="49"/>
        <v>36630.523447710191</v>
      </c>
      <c r="W57" s="187">
        <f t="shared" si="49"/>
        <v>37559.278676335554</v>
      </c>
      <c r="X57" s="187">
        <f t="shared" si="49"/>
        <v>38386.294488378153</v>
      </c>
      <c r="Y57" s="187">
        <f t="shared" si="49"/>
        <v>39353.302044301112</v>
      </c>
      <c r="Z57" s="187">
        <f t="shared" si="49"/>
        <v>38864.930055445919</v>
      </c>
      <c r="AA57" s="187">
        <f t="shared" si="49"/>
        <v>39587.953553718144</v>
      </c>
      <c r="AB57" s="187">
        <f t="shared" si="49"/>
        <v>40462.162350659717</v>
      </c>
      <c r="AC57" s="187">
        <f t="shared" si="49"/>
        <v>41100.390971245579</v>
      </c>
      <c r="AD57" s="187">
        <f t="shared" si="49"/>
        <v>41710.871337391582</v>
      </c>
      <c r="AE57" s="187">
        <f t="shared" si="49"/>
        <v>42300.770290807042</v>
      </c>
      <c r="AF57" s="187">
        <f t="shared" si="49"/>
        <v>42810.295447437369</v>
      </c>
      <c r="AG57" s="187">
        <f t="shared" si="49"/>
        <v>43254.838004040583</v>
      </c>
      <c r="AH57" s="187">
        <f t="shared" si="49"/>
        <v>43893.014034277949</v>
      </c>
      <c r="AI57" s="187">
        <f t="shared" si="49"/>
        <v>44484.374555447437</v>
      </c>
      <c r="AJ57" s="187">
        <f t="shared" si="49"/>
        <v>45043.267680675948</v>
      </c>
      <c r="AK57" s="187">
        <f t="shared" si="49"/>
        <v>45583.401088031751</v>
      </c>
      <c r="AL57" s="187">
        <f t="shared" si="49"/>
        <v>46051.01365045039</v>
      </c>
      <c r="AM57" s="187">
        <f t="shared" si="49"/>
        <v>46572.633884362098</v>
      </c>
      <c r="AN57" s="187">
        <f t="shared" si="49"/>
        <v>47052.331434077845</v>
      </c>
      <c r="AO57" s="187">
        <f t="shared" si="49"/>
        <v>47604.499187849826</v>
      </c>
      <c r="AP57" s="187">
        <f t="shared" si="49"/>
        <v>48086.605932562859</v>
      </c>
      <c r="AQ57" s="187">
        <f t="shared" si="49"/>
        <v>48552.404491847643</v>
      </c>
      <c r="AR57" s="187">
        <f t="shared" si="49"/>
        <v>49017.783304966011</v>
      </c>
      <c r="AS57" s="187">
        <f t="shared" si="49"/>
        <v>49476.783322300646</v>
      </c>
      <c r="AT57" s="187">
        <f t="shared" si="49"/>
        <v>49962.887598448666</v>
      </c>
      <c r="AU57" s="187">
        <f t="shared" si="49"/>
        <v>50415.844037526651</v>
      </c>
      <c r="AV57" s="187">
        <f t="shared" si="49"/>
        <v>50861.014598909707</v>
      </c>
      <c r="AW57" s="187">
        <f t="shared" si="49"/>
        <v>51303.806305123762</v>
      </c>
      <c r="AX57" s="187">
        <f t="shared" si="49"/>
        <v>51738.947061830346</v>
      </c>
      <c r="AY57" s="187">
        <f t="shared" si="49"/>
        <v>52171.787025422498</v>
      </c>
      <c r="AZ57" s="187">
        <f t="shared" si="49"/>
        <v>52586.672073519818</v>
      </c>
      <c r="BA57" s="187">
        <f t="shared" si="49"/>
        <v>52994.479486025608</v>
      </c>
      <c r="BB57" s="187">
        <f t="shared" si="49"/>
        <v>53394.771218892507</v>
      </c>
      <c r="BC57" s="187">
        <f t="shared" si="49"/>
        <v>53785.962116797666</v>
      </c>
      <c r="BD57" s="187">
        <f t="shared" si="49"/>
        <v>54166.649618885407</v>
      </c>
      <c r="BE57" s="187">
        <f t="shared" si="49"/>
        <v>54537.561967596426</v>
      </c>
      <c r="BF57" s="187">
        <f t="shared" si="49"/>
        <v>54898.910081912465</v>
      </c>
      <c r="BG57" s="187">
        <f t="shared" si="49"/>
        <v>55250.588718591964</v>
      </c>
      <c r="BH57" s="187">
        <f t="shared" si="49"/>
        <v>55591.713474480952</v>
      </c>
      <c r="BI57" s="187">
        <f t="shared" si="49"/>
        <v>55922.063714040502</v>
      </c>
      <c r="BJ57" s="187">
        <f t="shared" si="49"/>
        <v>56241.156920870002</v>
      </c>
      <c r="BK57" s="187">
        <f t="shared" si="49"/>
        <v>56549.365949070343</v>
      </c>
      <c r="BL57" s="187">
        <f t="shared" si="49"/>
        <v>56846.421494722279</v>
      </c>
      <c r="BM57" s="187">
        <f t="shared" si="49"/>
        <v>57132.050053456653</v>
      </c>
      <c r="BN57" s="182"/>
    </row>
    <row r="58" spans="1:69" ht="14.25" hidden="1" customHeight="1" x14ac:dyDescent="0.3">
      <c r="A58" s="982"/>
      <c r="B58" s="944"/>
      <c r="C58" s="183"/>
      <c r="D58" s="185" t="s">
        <v>673</v>
      </c>
      <c r="E58" s="187">
        <f t="shared" ref="E58:P58" si="50">E46*4*0.9*92*0.001</f>
        <v>1255.1817599999999</v>
      </c>
      <c r="F58" s="187">
        <f t="shared" si="50"/>
        <v>1273.1659200000001</v>
      </c>
      <c r="G58" s="187">
        <f t="shared" si="50"/>
        <v>1007.3448</v>
      </c>
      <c r="H58" s="187">
        <f t="shared" si="50"/>
        <v>1182.2846400000001</v>
      </c>
      <c r="I58" s="187">
        <f t="shared" si="50"/>
        <v>771.66288000000009</v>
      </c>
      <c r="J58" s="187">
        <f t="shared" si="50"/>
        <v>740.69568000000004</v>
      </c>
      <c r="K58" s="187">
        <f t="shared" si="50"/>
        <v>873.44064000000014</v>
      </c>
      <c r="L58" s="187">
        <f t="shared" si="50"/>
        <v>598.31280000000004</v>
      </c>
      <c r="M58" s="187">
        <f t="shared" si="50"/>
        <v>519.15600000000006</v>
      </c>
      <c r="N58" s="187">
        <f t="shared" si="50"/>
        <v>523.62720000000002</v>
      </c>
      <c r="O58" s="187">
        <f t="shared" si="50"/>
        <v>790.87248000000011</v>
      </c>
      <c r="P58" s="187">
        <f t="shared" si="50"/>
        <v>651.43727999999999</v>
      </c>
      <c r="Q58" s="187">
        <f t="shared" ref="Q58:BM58" si="51">Q46*4*0.9*92*0.001</f>
        <v>458.34712345260368</v>
      </c>
      <c r="R58" s="187">
        <f t="shared" si="51"/>
        <v>456.07668992921674</v>
      </c>
      <c r="S58" s="187">
        <f t="shared" si="51"/>
        <v>483.8676201128817</v>
      </c>
      <c r="T58" s="187">
        <f t="shared" si="51"/>
        <v>484.70295718927764</v>
      </c>
      <c r="U58" s="187">
        <f t="shared" si="51"/>
        <v>513.79419006520368</v>
      </c>
      <c r="V58" s="187">
        <f t="shared" si="51"/>
        <v>526.5690540160906</v>
      </c>
      <c r="W58" s="187">
        <f t="shared" si="51"/>
        <v>539.92004428648295</v>
      </c>
      <c r="X58" s="187">
        <f t="shared" si="51"/>
        <v>551.80851578007935</v>
      </c>
      <c r="Y58" s="187">
        <f t="shared" si="51"/>
        <v>565.70938876857588</v>
      </c>
      <c r="Z58" s="187">
        <f t="shared" si="51"/>
        <v>558.68897104108885</v>
      </c>
      <c r="AA58" s="187">
        <f t="shared" si="51"/>
        <v>569.08253803611376</v>
      </c>
      <c r="AB58" s="187">
        <f t="shared" si="51"/>
        <v>581.64941548942636</v>
      </c>
      <c r="AC58" s="187">
        <f t="shared" si="51"/>
        <v>590.82404389646058</v>
      </c>
      <c r="AD58" s="187">
        <f t="shared" si="51"/>
        <v>599.59978714664317</v>
      </c>
      <c r="AE58" s="187">
        <f t="shared" si="51"/>
        <v>608.07966962248258</v>
      </c>
      <c r="AF58" s="187">
        <f t="shared" si="51"/>
        <v>615.40416718548431</v>
      </c>
      <c r="AG58" s="187">
        <f t="shared" si="51"/>
        <v>621.79453050733537</v>
      </c>
      <c r="AH58" s="187">
        <f t="shared" si="51"/>
        <v>630.96840292052991</v>
      </c>
      <c r="AI58" s="187">
        <f t="shared" si="51"/>
        <v>639.46929564348545</v>
      </c>
      <c r="AJ58" s="187">
        <f t="shared" si="51"/>
        <v>647.5034648703537</v>
      </c>
      <c r="AK58" s="187">
        <f t="shared" si="51"/>
        <v>655.26796044901573</v>
      </c>
      <c r="AL58" s="187">
        <f t="shared" si="51"/>
        <v>661.9899584294792</v>
      </c>
      <c r="AM58" s="187">
        <f t="shared" si="51"/>
        <v>669.48832447163045</v>
      </c>
      <c r="AN58" s="187">
        <f t="shared" si="51"/>
        <v>676.38404588626543</v>
      </c>
      <c r="AO58" s="187">
        <f t="shared" si="51"/>
        <v>684.3215369291371</v>
      </c>
      <c r="AP58" s="187">
        <f t="shared" si="51"/>
        <v>691.25189086908847</v>
      </c>
      <c r="AQ58" s="187">
        <f t="shared" si="51"/>
        <v>697.94781229305534</v>
      </c>
      <c r="AR58" s="187">
        <f t="shared" si="51"/>
        <v>704.63769980538325</v>
      </c>
      <c r="AS58" s="187">
        <f t="shared" si="51"/>
        <v>711.2358912089619</v>
      </c>
      <c r="AT58" s="187">
        <f t="shared" si="51"/>
        <v>718.22371023944424</v>
      </c>
      <c r="AU58" s="187">
        <f t="shared" si="51"/>
        <v>724.73502433453973</v>
      </c>
      <c r="AV58" s="187">
        <f t="shared" si="51"/>
        <v>731.13441531561296</v>
      </c>
      <c r="AW58" s="187">
        <f t="shared" si="51"/>
        <v>737.49960991077478</v>
      </c>
      <c r="AX58" s="187">
        <f t="shared" si="51"/>
        <v>743.75482100405623</v>
      </c>
      <c r="AY58" s="187">
        <f t="shared" si="51"/>
        <v>749.97695786471115</v>
      </c>
      <c r="AZ58" s="187">
        <f t="shared" si="51"/>
        <v>755.94099022733587</v>
      </c>
      <c r="BA58" s="187">
        <f t="shared" si="51"/>
        <v>761.80328055825237</v>
      </c>
      <c r="BB58" s="187">
        <f t="shared" si="51"/>
        <v>767.55753191114604</v>
      </c>
      <c r="BC58" s="187">
        <f t="shared" si="51"/>
        <v>773.18095744978666</v>
      </c>
      <c r="BD58" s="187">
        <f t="shared" si="51"/>
        <v>778.65339515972687</v>
      </c>
      <c r="BE58" s="187">
        <f t="shared" si="51"/>
        <v>783.98531363101051</v>
      </c>
      <c r="BF58" s="187">
        <f t="shared" si="51"/>
        <v>789.1797448544005</v>
      </c>
      <c r="BG58" s="187">
        <f t="shared" si="51"/>
        <v>794.23517594313012</v>
      </c>
      <c r="BH58" s="187">
        <f t="shared" si="51"/>
        <v>799.13889347439499</v>
      </c>
      <c r="BI58" s="187">
        <f t="shared" si="51"/>
        <v>803.88772578052237</v>
      </c>
      <c r="BJ58" s="187">
        <f t="shared" si="51"/>
        <v>808.47473661871095</v>
      </c>
      <c r="BK58" s="187">
        <f t="shared" si="51"/>
        <v>812.9052858203994</v>
      </c>
      <c r="BL58" s="187">
        <f t="shared" si="51"/>
        <v>817.17550210293382</v>
      </c>
      <c r="BM58" s="187">
        <f t="shared" si="51"/>
        <v>821.28145380158855</v>
      </c>
      <c r="BN58" s="182"/>
    </row>
    <row r="59" spans="1:69" ht="15" hidden="1" customHeight="1" x14ac:dyDescent="0.3">
      <c r="A59" s="982"/>
      <c r="B59" s="84"/>
      <c r="C59" s="183"/>
      <c r="D59" s="179" t="s">
        <v>674</v>
      </c>
      <c r="E59" s="294">
        <f t="shared" ref="E59:P59" si="52">SUM(E55:E58)</f>
        <v>59702.255519999999</v>
      </c>
      <c r="F59" s="294">
        <f t="shared" si="52"/>
        <v>69071.29264</v>
      </c>
      <c r="G59" s="294">
        <f t="shared" si="52"/>
        <v>62385.159520000008</v>
      </c>
      <c r="H59" s="294">
        <f t="shared" si="52"/>
        <v>64117.269280000008</v>
      </c>
      <c r="I59" s="294">
        <f t="shared" si="52"/>
        <v>59932.914240000013</v>
      </c>
      <c r="J59" s="294">
        <f t="shared" si="52"/>
        <v>63035.728923309187</v>
      </c>
      <c r="K59" s="294">
        <f t="shared" si="52"/>
        <v>53039.299040000013</v>
      </c>
      <c r="L59" s="294">
        <f t="shared" si="52"/>
        <v>57060.884000000005</v>
      </c>
      <c r="M59" s="294">
        <f t="shared" si="52"/>
        <v>52915.882880000012</v>
      </c>
      <c r="N59" s="294">
        <f t="shared" si="52"/>
        <v>47659.610079999999</v>
      </c>
      <c r="O59" s="294">
        <f t="shared" si="52"/>
        <v>53742.664800000006</v>
      </c>
      <c r="P59" s="294">
        <f t="shared" si="52"/>
        <v>55080.046719999998</v>
      </c>
      <c r="Q59" s="294">
        <f t="shared" ref="Q59:BM59" si="53">SUM(Q55:Q58)</f>
        <v>52864.542643452609</v>
      </c>
      <c r="R59" s="294">
        <f t="shared" si="53"/>
        <v>52602.676857294529</v>
      </c>
      <c r="S59" s="294">
        <f t="shared" si="53"/>
        <v>55808.00910139989</v>
      </c>
      <c r="T59" s="294">
        <f t="shared" si="53"/>
        <v>55904.354666228894</v>
      </c>
      <c r="U59" s="294">
        <f t="shared" si="53"/>
        <v>59259.660377183209</v>
      </c>
      <c r="V59" s="294">
        <f t="shared" si="53"/>
        <v>60545.031847903876</v>
      </c>
      <c r="W59" s="294">
        <f t="shared" si="53"/>
        <v>61888.37155511383</v>
      </c>
      <c r="X59" s="294">
        <f t="shared" si="53"/>
        <v>63084.556668872639</v>
      </c>
      <c r="Y59" s="294">
        <f t="shared" si="53"/>
        <v>64483.224053998456</v>
      </c>
      <c r="Z59" s="294">
        <f t="shared" si="53"/>
        <v>63776.849043341135</v>
      </c>
      <c r="AA59" s="294">
        <f t="shared" si="53"/>
        <v>64822.621001914638</v>
      </c>
      <c r="AB59" s="294">
        <f t="shared" si="53"/>
        <v>66087.065446617285</v>
      </c>
      <c r="AC59" s="294">
        <f t="shared" si="53"/>
        <v>67010.191176503926</v>
      </c>
      <c r="AD59" s="294">
        <f t="shared" si="53"/>
        <v>67893.182185372629</v>
      </c>
      <c r="AE59" s="294">
        <f t="shared" si="53"/>
        <v>68746.40450158772</v>
      </c>
      <c r="AF59" s="294">
        <f t="shared" si="53"/>
        <v>69483.375184096774</v>
      </c>
      <c r="AG59" s="294">
        <f t="shared" si="53"/>
        <v>70126.355863423436</v>
      </c>
      <c r="AH59" s="294">
        <f t="shared" si="53"/>
        <v>71049.405527301322</v>
      </c>
      <c r="AI59" s="294">
        <f t="shared" si="53"/>
        <v>71904.741836459041</v>
      </c>
      <c r="AJ59" s="294">
        <f t="shared" si="53"/>
        <v>72713.117718571011</v>
      </c>
      <c r="AK59" s="294">
        <f t="shared" si="53"/>
        <v>73494.35978421793</v>
      </c>
      <c r="AL59" s="294">
        <f t="shared" si="53"/>
        <v>74170.708625469561</v>
      </c>
      <c r="AM59" s="294">
        <f t="shared" si="53"/>
        <v>74925.173473365896</v>
      </c>
      <c r="AN59" s="294">
        <f t="shared" si="53"/>
        <v>75619.001885980324</v>
      </c>
      <c r="AO59" s="294">
        <f t="shared" si="53"/>
        <v>76417.650276666303</v>
      </c>
      <c r="AP59" s="294">
        <f t="shared" si="53"/>
        <v>77114.963318171649</v>
      </c>
      <c r="AQ59" s="294">
        <f t="shared" si="53"/>
        <v>77788.688408446047</v>
      </c>
      <c r="AR59" s="294">
        <f t="shared" si="53"/>
        <v>78461.806383223375</v>
      </c>
      <c r="AS59" s="294">
        <f t="shared" si="53"/>
        <v>79125.698149203818</v>
      </c>
      <c r="AT59" s="294">
        <f t="shared" si="53"/>
        <v>79828.79316914863</v>
      </c>
      <c r="AU59" s="294">
        <f t="shared" si="53"/>
        <v>80483.943580684368</v>
      </c>
      <c r="AV59" s="294">
        <f t="shared" si="53"/>
        <v>81127.832598108158</v>
      </c>
      <c r="AW59" s="294">
        <f t="shared" si="53"/>
        <v>81768.280869781403</v>
      </c>
      <c r="AX59" s="294">
        <f t="shared" si="53"/>
        <v>82397.66290575068</v>
      </c>
      <c r="AY59" s="294">
        <f t="shared" si="53"/>
        <v>83023.717103928648</v>
      </c>
      <c r="AZ59" s="294">
        <f t="shared" si="53"/>
        <v>83623.801541527704</v>
      </c>
      <c r="BA59" s="294">
        <f t="shared" si="53"/>
        <v>84213.648977352554</v>
      </c>
      <c r="BB59" s="294">
        <f t="shared" si="53"/>
        <v>84792.625830084653</v>
      </c>
      <c r="BC59" s="294">
        <f t="shared" si="53"/>
        <v>85358.439351299385</v>
      </c>
      <c r="BD59" s="294">
        <f t="shared" si="53"/>
        <v>85909.060894878683</v>
      </c>
      <c r="BE59" s="294">
        <f t="shared" si="53"/>
        <v>86445.5437813928</v>
      </c>
      <c r="BF59" s="294">
        <f t="shared" si="53"/>
        <v>86968.193081364589</v>
      </c>
      <c r="BG59" s="294">
        <f t="shared" si="53"/>
        <v>87476.85657231287</v>
      </c>
      <c r="BH59" s="294">
        <f t="shared" si="53"/>
        <v>87970.255064805038</v>
      </c>
      <c r="BI59" s="294">
        <f t="shared" si="53"/>
        <v>88448.069434414007</v>
      </c>
      <c r="BJ59" s="294">
        <f t="shared" si="53"/>
        <v>88909.601775577205</v>
      </c>
      <c r="BK59" s="294">
        <f t="shared" si="53"/>
        <v>89355.391379706707</v>
      </c>
      <c r="BL59" s="294">
        <f t="shared" si="53"/>
        <v>89785.04872905137</v>
      </c>
      <c r="BM59" s="294">
        <f t="shared" si="53"/>
        <v>90198.17823038291</v>
      </c>
      <c r="BN59" s="197"/>
      <c r="BO59" s="50"/>
      <c r="BP59" s="50"/>
      <c r="BQ59" s="50"/>
    </row>
    <row r="60" spans="1:69" ht="14.25" hidden="1" customHeight="1" x14ac:dyDescent="0.3">
      <c r="A60" s="982"/>
      <c r="B60" s="944"/>
      <c r="C60" s="183"/>
      <c r="D60" s="184" t="s">
        <v>675</v>
      </c>
      <c r="E60" s="180"/>
      <c r="F60" s="180"/>
      <c r="G60" s="180"/>
      <c r="H60" s="180"/>
      <c r="I60" s="180"/>
      <c r="J60" s="180"/>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2"/>
    </row>
    <row r="61" spans="1:69" ht="14.25" hidden="1" customHeight="1" x14ac:dyDescent="0.3">
      <c r="A61" s="982"/>
      <c r="B61" s="944"/>
      <c r="C61" s="183"/>
      <c r="D61" s="185" t="s">
        <v>676</v>
      </c>
      <c r="E61" s="187">
        <f t="shared" ref="E61:P61" si="54">E43*5.5*0.8*0.07*0.001</f>
        <v>12.108619600000004</v>
      </c>
      <c r="F61" s="187">
        <f t="shared" si="54"/>
        <v>10.162675600000004</v>
      </c>
      <c r="G61" s="187">
        <f t="shared" si="54"/>
        <v>11.432036000000004</v>
      </c>
      <c r="H61" s="187">
        <f t="shared" si="54"/>
        <v>12.220516000000005</v>
      </c>
      <c r="I61" s="187">
        <f t="shared" si="54"/>
        <v>10.907388800000005</v>
      </c>
      <c r="J61" s="187">
        <f t="shared" si="54"/>
        <v>11.553603600000004</v>
      </c>
      <c r="K61" s="187">
        <f t="shared" si="54"/>
        <v>11.278775200000002</v>
      </c>
      <c r="L61" s="187">
        <f t="shared" si="54"/>
        <v>11.029480000000001</v>
      </c>
      <c r="M61" s="187">
        <f t="shared" si="54"/>
        <v>9.1875784000000031</v>
      </c>
      <c r="N61" s="187">
        <f t="shared" si="54"/>
        <v>7.9240084000000008</v>
      </c>
      <c r="O61" s="187">
        <f t="shared" si="54"/>
        <v>9.6365808000000026</v>
      </c>
      <c r="P61" s="187">
        <f t="shared" si="54"/>
        <v>10.4806548</v>
      </c>
      <c r="Q61" s="187">
        <f t="shared" ref="Q61:BM61" si="55">Q43*5.5*0.8*0.07*0.001</f>
        <v>10.4806548</v>
      </c>
      <c r="R61" s="187">
        <f t="shared" si="55"/>
        <v>10.428738623837013</v>
      </c>
      <c r="S61" s="187">
        <f t="shared" si="55"/>
        <v>11.064211458556375</v>
      </c>
      <c r="T61" s="187">
        <f t="shared" si="55"/>
        <v>11.083312439213564</v>
      </c>
      <c r="U61" s="187">
        <f t="shared" si="55"/>
        <v>11.748518249129642</v>
      </c>
      <c r="V61" s="187">
        <f t="shared" si="55"/>
        <v>12.040630782045001</v>
      </c>
      <c r="W61" s="187">
        <f t="shared" si="55"/>
        <v>12.345917131849287</v>
      </c>
      <c r="X61" s="187">
        <f t="shared" si="55"/>
        <v>12.617761241801269</v>
      </c>
      <c r="Y61" s="187">
        <f t="shared" si="55"/>
        <v>12.935621317181768</v>
      </c>
      <c r="Z61" s="187">
        <f t="shared" si="55"/>
        <v>12.775091074951062</v>
      </c>
      <c r="AA61" s="187">
        <f t="shared" si="55"/>
        <v>13.012752406814517</v>
      </c>
      <c r="AB61" s="187">
        <f t="shared" si="55"/>
        <v>13.300109079874764</v>
      </c>
      <c r="AC61" s="187">
        <f t="shared" si="55"/>
        <v>13.509897924033051</v>
      </c>
      <c r="AD61" s="187">
        <f t="shared" si="55"/>
        <v>13.710565782327368</v>
      </c>
      <c r="AE61" s="187">
        <f t="shared" si="55"/>
        <v>13.904468430399803</v>
      </c>
      <c r="AF61" s="187">
        <f t="shared" si="55"/>
        <v>14.071951821509597</v>
      </c>
      <c r="AG61" s="187">
        <f t="shared" si="55"/>
        <v>14.218075116706469</v>
      </c>
      <c r="AH61" s="187">
        <f t="shared" si="55"/>
        <v>14.427846674162048</v>
      </c>
      <c r="AI61" s="187">
        <f t="shared" si="55"/>
        <v>14.622229746646493</v>
      </c>
      <c r="AJ61" s="187">
        <f t="shared" si="55"/>
        <v>14.805940628559117</v>
      </c>
      <c r="AK61" s="187">
        <f t="shared" si="55"/>
        <v>14.98348510018816</v>
      </c>
      <c r="AL61" s="187">
        <f t="shared" si="55"/>
        <v>15.137191618228123</v>
      </c>
      <c r="AM61" s="187">
        <f t="shared" si="55"/>
        <v>15.308650719923472</v>
      </c>
      <c r="AN61" s="187">
        <f t="shared" si="55"/>
        <v>15.466329631922209</v>
      </c>
      <c r="AO61" s="187">
        <f t="shared" si="55"/>
        <v>15.64782985160676</v>
      </c>
      <c r="AP61" s="187">
        <f t="shared" si="55"/>
        <v>15.806300677690082</v>
      </c>
      <c r="AQ61" s="187">
        <f t="shared" si="55"/>
        <v>15.959410924098727</v>
      </c>
      <c r="AR61" s="187">
        <f t="shared" si="55"/>
        <v>16.112383197905938</v>
      </c>
      <c r="AS61" s="187">
        <f t="shared" si="55"/>
        <v>16.263258730590252</v>
      </c>
      <c r="AT61" s="187">
        <f t="shared" si="55"/>
        <v>16.423043564651568</v>
      </c>
      <c r="AU61" s="187">
        <f t="shared" si="55"/>
        <v>16.571932543840557</v>
      </c>
      <c r="AV61" s="187">
        <f t="shared" si="55"/>
        <v>16.718262267255518</v>
      </c>
      <c r="AW61" s="187">
        <f t="shared" si="55"/>
        <v>16.863810049434662</v>
      </c>
      <c r="AX61" s="187">
        <f t="shared" si="55"/>
        <v>17.006842927389648</v>
      </c>
      <c r="AY61" s="187">
        <f t="shared" si="55"/>
        <v>17.149119523484881</v>
      </c>
      <c r="AZ61" s="187">
        <f t="shared" si="55"/>
        <v>17.285494251742911</v>
      </c>
      <c r="BA61" s="187">
        <f t="shared" si="55"/>
        <v>17.41954252684258</v>
      </c>
      <c r="BB61" s="187">
        <f t="shared" si="55"/>
        <v>17.551120361580196</v>
      </c>
      <c r="BC61" s="187">
        <f t="shared" si="55"/>
        <v>17.679706707710267</v>
      </c>
      <c r="BD61" s="187">
        <f t="shared" si="55"/>
        <v>17.804840536674536</v>
      </c>
      <c r="BE61" s="187">
        <f t="shared" si="55"/>
        <v>17.92676122529657</v>
      </c>
      <c r="BF61" s="187">
        <f t="shared" si="55"/>
        <v>18.045538103669017</v>
      </c>
      <c r="BG61" s="187">
        <f t="shared" si="55"/>
        <v>18.16113657782774</v>
      </c>
      <c r="BH61" s="187">
        <f t="shared" si="55"/>
        <v>18.273265940165079</v>
      </c>
      <c r="BI61" s="187">
        <f t="shared" si="55"/>
        <v>18.381853666708885</v>
      </c>
      <c r="BJ61" s="187">
        <f t="shared" si="55"/>
        <v>18.48674115197721</v>
      </c>
      <c r="BK61" s="187">
        <f t="shared" si="55"/>
        <v>18.588050954922032</v>
      </c>
      <c r="BL61" s="187">
        <f t="shared" si="55"/>
        <v>18.685694554038481</v>
      </c>
      <c r="BM61" s="187">
        <f t="shared" si="55"/>
        <v>18.779582047113422</v>
      </c>
      <c r="BN61" s="182"/>
    </row>
    <row r="62" spans="1:69" ht="14.25" hidden="1" customHeight="1" x14ac:dyDescent="0.3">
      <c r="A62" s="982"/>
      <c r="B62" s="944"/>
      <c r="C62" s="183"/>
      <c r="D62" s="185" t="s">
        <v>677</v>
      </c>
      <c r="E62" s="187">
        <f t="shared" ref="E62:P62" si="56">E44*6.5*0.8*0.07*0.001</f>
        <v>5.6976920000000009</v>
      </c>
      <c r="F62" s="187">
        <f t="shared" si="56"/>
        <v>5.0169756000000012</v>
      </c>
      <c r="G62" s="187">
        <f t="shared" si="56"/>
        <v>5.4763072000000008</v>
      </c>
      <c r="H62" s="187">
        <f t="shared" si="56"/>
        <v>5.950526400000002</v>
      </c>
      <c r="I62" s="187">
        <f t="shared" si="56"/>
        <v>5.076598800000002</v>
      </c>
      <c r="J62" s="187">
        <f t="shared" si="56"/>
        <v>3.8059032590395958</v>
      </c>
      <c r="K62" s="187">
        <f t="shared" si="56"/>
        <v>4.5713668000000007</v>
      </c>
      <c r="L62" s="187">
        <f t="shared" si="56"/>
        <v>4.9121800000000002</v>
      </c>
      <c r="M62" s="187">
        <f t="shared" si="56"/>
        <v>4.8328644000000018</v>
      </c>
      <c r="N62" s="187">
        <f t="shared" si="56"/>
        <v>5.2458224000000007</v>
      </c>
      <c r="O62" s="187">
        <f t="shared" si="56"/>
        <v>5.7506904000000016</v>
      </c>
      <c r="P62" s="187">
        <f t="shared" si="56"/>
        <v>5.5242096000000007</v>
      </c>
      <c r="Q62" s="187">
        <f t="shared" ref="Q62:BM62" si="57">Q44*6.5*0.8*0.07*0.001</f>
        <v>5.1335284000000012</v>
      </c>
      <c r="R62" s="187">
        <f t="shared" si="57"/>
        <v>5.1080993433391404</v>
      </c>
      <c r="S62" s="187">
        <f t="shared" si="57"/>
        <v>5.4193602241440662</v>
      </c>
      <c r="T62" s="187">
        <f t="shared" si="57"/>
        <v>5.4287160734247371</v>
      </c>
      <c r="U62" s="187">
        <f t="shared" si="57"/>
        <v>5.7545404596118637</v>
      </c>
      <c r="V62" s="187">
        <f t="shared" si="57"/>
        <v>5.7545404596118637</v>
      </c>
      <c r="W62" s="187">
        <f t="shared" si="57"/>
        <v>5.7545404596118637</v>
      </c>
      <c r="X62" s="187">
        <f t="shared" si="57"/>
        <v>5.7545404596118637</v>
      </c>
      <c r="Y62" s="187">
        <f t="shared" si="57"/>
        <v>5.7545404596118637</v>
      </c>
      <c r="Z62" s="187">
        <f t="shared" si="57"/>
        <v>5.7545404596118637</v>
      </c>
      <c r="AA62" s="187">
        <f t="shared" si="57"/>
        <v>5.7545404596118637</v>
      </c>
      <c r="AB62" s="187">
        <f t="shared" si="57"/>
        <v>5.7545404596118637</v>
      </c>
      <c r="AC62" s="187">
        <f t="shared" si="57"/>
        <v>5.7545404596118637</v>
      </c>
      <c r="AD62" s="187">
        <f t="shared" si="57"/>
        <v>5.7545404596118637</v>
      </c>
      <c r="AE62" s="187">
        <f t="shared" si="57"/>
        <v>5.7545404596118637</v>
      </c>
      <c r="AF62" s="187">
        <f t="shared" si="57"/>
        <v>5.7545404596118637</v>
      </c>
      <c r="AG62" s="187">
        <f t="shared" si="57"/>
        <v>5.7545404596118637</v>
      </c>
      <c r="AH62" s="187">
        <f t="shared" si="57"/>
        <v>5.7545404596118637</v>
      </c>
      <c r="AI62" s="187">
        <f t="shared" si="57"/>
        <v>5.7545404596118637</v>
      </c>
      <c r="AJ62" s="187">
        <f t="shared" si="57"/>
        <v>5.7545404596118637</v>
      </c>
      <c r="AK62" s="187">
        <f t="shared" si="57"/>
        <v>5.7545404596118637</v>
      </c>
      <c r="AL62" s="187">
        <f t="shared" si="57"/>
        <v>5.7545404596118637</v>
      </c>
      <c r="AM62" s="187">
        <f t="shared" si="57"/>
        <v>5.7545404596118637</v>
      </c>
      <c r="AN62" s="187">
        <f t="shared" si="57"/>
        <v>5.7545404596118637</v>
      </c>
      <c r="AO62" s="187">
        <f t="shared" si="57"/>
        <v>5.7545404596118637</v>
      </c>
      <c r="AP62" s="187">
        <f t="shared" si="57"/>
        <v>5.7545404596118637</v>
      </c>
      <c r="AQ62" s="187">
        <f t="shared" si="57"/>
        <v>5.7545404596118637</v>
      </c>
      <c r="AR62" s="187">
        <f t="shared" si="57"/>
        <v>5.7545404596118637</v>
      </c>
      <c r="AS62" s="187">
        <f t="shared" si="57"/>
        <v>5.7545404596118637</v>
      </c>
      <c r="AT62" s="187">
        <f t="shared" si="57"/>
        <v>5.7545404596118637</v>
      </c>
      <c r="AU62" s="187">
        <f t="shared" si="57"/>
        <v>5.7545404596118637</v>
      </c>
      <c r="AV62" s="187">
        <f t="shared" si="57"/>
        <v>5.7545404596118637</v>
      </c>
      <c r="AW62" s="187">
        <f t="shared" si="57"/>
        <v>5.7545404596118637</v>
      </c>
      <c r="AX62" s="187">
        <f t="shared" si="57"/>
        <v>5.7545404596118637</v>
      </c>
      <c r="AY62" s="187">
        <f t="shared" si="57"/>
        <v>5.7545404596118637</v>
      </c>
      <c r="AZ62" s="187">
        <f t="shared" si="57"/>
        <v>5.7545404596118637</v>
      </c>
      <c r="BA62" s="187">
        <f t="shared" si="57"/>
        <v>5.7545404596118637</v>
      </c>
      <c r="BB62" s="187">
        <f t="shared" si="57"/>
        <v>5.7545404596118637</v>
      </c>
      <c r="BC62" s="187">
        <f t="shared" si="57"/>
        <v>5.7545404596118637</v>
      </c>
      <c r="BD62" s="187">
        <f t="shared" si="57"/>
        <v>5.7545404596118637</v>
      </c>
      <c r="BE62" s="187">
        <f t="shared" si="57"/>
        <v>5.7545404596118637</v>
      </c>
      <c r="BF62" s="187">
        <f t="shared" si="57"/>
        <v>5.7545404596118637</v>
      </c>
      <c r="BG62" s="187">
        <f t="shared" si="57"/>
        <v>5.7545404596118637</v>
      </c>
      <c r="BH62" s="187">
        <f t="shared" si="57"/>
        <v>5.7545404596118637</v>
      </c>
      <c r="BI62" s="187">
        <f t="shared" si="57"/>
        <v>5.7545404596118637</v>
      </c>
      <c r="BJ62" s="187">
        <f t="shared" si="57"/>
        <v>5.7545404596118637</v>
      </c>
      <c r="BK62" s="187">
        <f t="shared" si="57"/>
        <v>5.7545404596118637</v>
      </c>
      <c r="BL62" s="187">
        <f t="shared" si="57"/>
        <v>5.7545404596118637</v>
      </c>
      <c r="BM62" s="187">
        <f t="shared" si="57"/>
        <v>5.7545404596118637</v>
      </c>
      <c r="BN62" s="182"/>
    </row>
    <row r="63" spans="1:69" ht="14.25" hidden="1" customHeight="1" x14ac:dyDescent="0.3">
      <c r="A63" s="982"/>
      <c r="B63" s="944"/>
      <c r="C63" s="183"/>
      <c r="D63" s="185" t="s">
        <v>678</v>
      </c>
      <c r="E63" s="187">
        <f t="shared" ref="E63:P63" si="58">E45*10*0.8*0.001*0.07</f>
        <v>26.664288000000003</v>
      </c>
      <c r="F63" s="187">
        <f t="shared" si="58"/>
        <v>36.40588000000001</v>
      </c>
      <c r="G63" s="187">
        <f t="shared" si="58"/>
        <v>29.792168000000007</v>
      </c>
      <c r="H63" s="187">
        <f t="shared" si="58"/>
        <v>29.714272000000008</v>
      </c>
      <c r="I63" s="187">
        <f t="shared" si="58"/>
        <v>29.030008000000002</v>
      </c>
      <c r="J63" s="187">
        <f t="shared" si="58"/>
        <v>32.038888000000007</v>
      </c>
      <c r="K63" s="187">
        <f t="shared" si="58"/>
        <v>23.841272000000007</v>
      </c>
      <c r="L63" s="187">
        <f t="shared" si="58"/>
        <v>27.018992000000008</v>
      </c>
      <c r="M63" s="187">
        <f t="shared" si="58"/>
        <v>25.84663200000001</v>
      </c>
      <c r="N63" s="187">
        <f t="shared" si="58"/>
        <v>22.694504000000002</v>
      </c>
      <c r="O63" s="187">
        <f t="shared" si="58"/>
        <v>24.902136000000006</v>
      </c>
      <c r="P63" s="187">
        <f t="shared" si="58"/>
        <v>25.408208000000002</v>
      </c>
      <c r="Q63" s="187">
        <f t="shared" ref="Q63:BM63" si="59">Q45*10*0.8*0.001*0.07</f>
        <v>24.260096000000004</v>
      </c>
      <c r="R63" s="187">
        <f t="shared" si="59"/>
        <v>24.139923029732241</v>
      </c>
      <c r="S63" s="187">
        <f t="shared" si="59"/>
        <v>25.610883792191849</v>
      </c>
      <c r="T63" s="187">
        <f t="shared" si="59"/>
        <v>25.655097787717928</v>
      </c>
      <c r="U63" s="187">
        <f t="shared" si="59"/>
        <v>27.194882955370026</v>
      </c>
      <c r="V63" s="187">
        <f t="shared" si="59"/>
        <v>27.871050449344715</v>
      </c>
      <c r="W63" s="187">
        <f t="shared" si="59"/>
        <v>28.57771203634227</v>
      </c>
      <c r="X63" s="187">
        <f t="shared" si="59"/>
        <v>29.20696319767903</v>
      </c>
      <c r="Y63" s="187">
        <f t="shared" si="59"/>
        <v>29.942729816316064</v>
      </c>
      <c r="Z63" s="187">
        <f t="shared" si="59"/>
        <v>29.571142433491463</v>
      </c>
      <c r="AA63" s="187">
        <f t="shared" si="59"/>
        <v>30.121269008263805</v>
      </c>
      <c r="AB63" s="187">
        <f t="shared" si="59"/>
        <v>30.78642787550196</v>
      </c>
      <c r="AC63" s="187">
        <f t="shared" si="59"/>
        <v>31.272036608556423</v>
      </c>
      <c r="AD63" s="187">
        <f t="shared" si="59"/>
        <v>31.736532539319683</v>
      </c>
      <c r="AE63" s="187">
        <f t="shared" si="59"/>
        <v>32.185368699527103</v>
      </c>
      <c r="AF63" s="187">
        <f t="shared" si="59"/>
        <v>32.573050883919741</v>
      </c>
      <c r="AG63" s="187">
        <f t="shared" si="59"/>
        <v>32.91128978568306</v>
      </c>
      <c r="AH63" s="187">
        <f t="shared" si="59"/>
        <v>33.396858504341921</v>
      </c>
      <c r="AI63" s="187">
        <f t="shared" si="59"/>
        <v>33.846806726970883</v>
      </c>
      <c r="AJ63" s="187">
        <f t="shared" si="59"/>
        <v>34.27205149616649</v>
      </c>
      <c r="AK63" s="187">
        <f t="shared" si="59"/>
        <v>34.683022566980682</v>
      </c>
      <c r="AL63" s="187">
        <f t="shared" si="59"/>
        <v>35.03881473403834</v>
      </c>
      <c r="AM63" s="187">
        <f t="shared" si="59"/>
        <v>35.435699694623338</v>
      </c>
      <c r="AN63" s="187">
        <f t="shared" si="59"/>
        <v>35.80068696071141</v>
      </c>
      <c r="AO63" s="187">
        <f t="shared" si="59"/>
        <v>36.220814599450961</v>
      </c>
      <c r="AP63" s="187">
        <f t="shared" si="59"/>
        <v>36.587634948689136</v>
      </c>
      <c r="AQ63" s="187">
        <f t="shared" si="59"/>
        <v>36.942046895971032</v>
      </c>
      <c r="AR63" s="187">
        <f t="shared" si="59"/>
        <v>37.296139471169795</v>
      </c>
      <c r="AS63" s="187">
        <f t="shared" si="59"/>
        <v>37.64537861479397</v>
      </c>
      <c r="AT63" s="187">
        <f t="shared" si="59"/>
        <v>38.015240564037029</v>
      </c>
      <c r="AU63" s="187">
        <f t="shared" si="59"/>
        <v>38.359881332900713</v>
      </c>
      <c r="AV63" s="187">
        <f t="shared" si="59"/>
        <v>38.698598064387824</v>
      </c>
      <c r="AW63" s="187">
        <f t="shared" si="59"/>
        <v>39.035504797376781</v>
      </c>
      <c r="AX63" s="187">
        <f t="shared" si="59"/>
        <v>39.366590155740482</v>
      </c>
      <c r="AY63" s="187">
        <f t="shared" si="59"/>
        <v>39.695924910647555</v>
      </c>
      <c r="AZ63" s="187">
        <f t="shared" si="59"/>
        <v>40.011598316808559</v>
      </c>
      <c r="BA63" s="187">
        <f t="shared" si="59"/>
        <v>40.321886565454271</v>
      </c>
      <c r="BB63" s="187">
        <f t="shared" si="59"/>
        <v>40.62645636220082</v>
      </c>
      <c r="BC63" s="187">
        <f t="shared" si="59"/>
        <v>40.924101610606925</v>
      </c>
      <c r="BD63" s="187">
        <f t="shared" si="59"/>
        <v>41.213755144804118</v>
      </c>
      <c r="BE63" s="187">
        <f t="shared" si="59"/>
        <v>41.495971062301628</v>
      </c>
      <c r="BF63" s="187">
        <f t="shared" si="59"/>
        <v>41.770909844933399</v>
      </c>
      <c r="BG63" s="187">
        <f t="shared" si="59"/>
        <v>42.038491416319978</v>
      </c>
      <c r="BH63" s="187">
        <f t="shared" si="59"/>
        <v>42.298042861018118</v>
      </c>
      <c r="BI63" s="187">
        <f t="shared" si="59"/>
        <v>42.549396304161256</v>
      </c>
      <c r="BJ63" s="187">
        <f t="shared" si="59"/>
        <v>42.792184613705444</v>
      </c>
      <c r="BK63" s="187">
        <f t="shared" si="59"/>
        <v>43.026691482988312</v>
      </c>
      <c r="BL63" s="187">
        <f t="shared" si="59"/>
        <v>43.252712006853912</v>
      </c>
      <c r="BM63" s="187">
        <f t="shared" si="59"/>
        <v>43.470038084151803</v>
      </c>
      <c r="BN63" s="182"/>
    </row>
    <row r="64" spans="1:69" ht="14.25" hidden="1" customHeight="1" x14ac:dyDescent="0.3">
      <c r="A64" s="982"/>
      <c r="B64" s="944"/>
      <c r="C64" s="183"/>
      <c r="D64" s="185" t="s">
        <v>679</v>
      </c>
      <c r="E64" s="187">
        <f t="shared" ref="E64:P64" si="60">E46*4*0.9*0.07*0.001</f>
        <v>0.95502960000000026</v>
      </c>
      <c r="F64" s="187">
        <f t="shared" si="60"/>
        <v>0.96871320000000027</v>
      </c>
      <c r="G64" s="187">
        <f t="shared" si="60"/>
        <v>0.76645800000000008</v>
      </c>
      <c r="H64" s="187">
        <f t="shared" si="60"/>
        <v>0.89956440000000026</v>
      </c>
      <c r="I64" s="187">
        <f t="shared" si="60"/>
        <v>0.58713480000000018</v>
      </c>
      <c r="J64" s="187">
        <f t="shared" si="60"/>
        <v>0.56357280000000021</v>
      </c>
      <c r="K64" s="187">
        <f t="shared" si="60"/>
        <v>0.66457440000000023</v>
      </c>
      <c r="L64" s="187">
        <f t="shared" si="60"/>
        <v>0.45523800000000009</v>
      </c>
      <c r="M64" s="187">
        <f t="shared" si="60"/>
        <v>0.39501000000000008</v>
      </c>
      <c r="N64" s="187">
        <f t="shared" si="60"/>
        <v>0.3984120000000001</v>
      </c>
      <c r="O64" s="187">
        <f t="shared" si="60"/>
        <v>0.60175080000000014</v>
      </c>
      <c r="P64" s="187">
        <f t="shared" si="60"/>
        <v>0.49565880000000007</v>
      </c>
      <c r="Q64" s="187">
        <f t="shared" ref="Q64:BM64" si="61">Q46*4*0.9*0.07*0.001</f>
        <v>0.34874237654002455</v>
      </c>
      <c r="R64" s="187">
        <f t="shared" si="61"/>
        <v>0.34701487277223014</v>
      </c>
      <c r="S64" s="187">
        <f t="shared" si="61"/>
        <v>0.36816014573806222</v>
      </c>
      <c r="T64" s="187">
        <f t="shared" si="61"/>
        <v>0.36879572829618956</v>
      </c>
      <c r="U64" s="187">
        <f t="shared" si="61"/>
        <v>0.39093036200613329</v>
      </c>
      <c r="V64" s="187">
        <f t="shared" si="61"/>
        <v>0.40065036718615599</v>
      </c>
      <c r="W64" s="187">
        <f t="shared" si="61"/>
        <v>0.41080872934841095</v>
      </c>
      <c r="X64" s="187">
        <f t="shared" si="61"/>
        <v>0.41985430548484298</v>
      </c>
      <c r="Y64" s="187">
        <f t="shared" si="61"/>
        <v>0.43043105667174258</v>
      </c>
      <c r="Z64" s="187">
        <f t="shared" si="61"/>
        <v>0.42508943448778497</v>
      </c>
      <c r="AA64" s="187">
        <f t="shared" si="61"/>
        <v>0.43299758328834748</v>
      </c>
      <c r="AB64" s="187">
        <f t="shared" si="61"/>
        <v>0.44255933787238971</v>
      </c>
      <c r="AC64" s="187">
        <f t="shared" si="61"/>
        <v>0.4495400333994809</v>
      </c>
      <c r="AD64" s="187">
        <f t="shared" si="61"/>
        <v>0.45621722935070674</v>
      </c>
      <c r="AE64" s="187">
        <f t="shared" si="61"/>
        <v>0.46266931384319332</v>
      </c>
      <c r="AF64" s="187">
        <f t="shared" si="61"/>
        <v>0.4682423011193903</v>
      </c>
      <c r="AG64" s="187">
        <f t="shared" si="61"/>
        <v>0.47310453408166825</v>
      </c>
      <c r="AH64" s="187">
        <f t="shared" si="61"/>
        <v>0.48008465439605547</v>
      </c>
      <c r="AI64" s="187">
        <f t="shared" si="61"/>
        <v>0.48655272494613028</v>
      </c>
      <c r="AJ64" s="187">
        <f t="shared" si="61"/>
        <v>0.4926656797926604</v>
      </c>
      <c r="AK64" s="187">
        <f t="shared" si="61"/>
        <v>0.49857344816772942</v>
      </c>
      <c r="AL64" s="187">
        <f t="shared" si="61"/>
        <v>0.50368801184851686</v>
      </c>
      <c r="AM64" s="187">
        <f t="shared" si="61"/>
        <v>0.50939329035884928</v>
      </c>
      <c r="AN64" s="187">
        <f t="shared" si="61"/>
        <v>0.51464003491346288</v>
      </c>
      <c r="AO64" s="187">
        <f t="shared" si="61"/>
        <v>0.52067943027216967</v>
      </c>
      <c r="AP64" s="187">
        <f t="shared" si="61"/>
        <v>0.52595252566126294</v>
      </c>
      <c r="AQ64" s="187">
        <f t="shared" si="61"/>
        <v>0.53104724848384655</v>
      </c>
      <c r="AR64" s="187">
        <f t="shared" si="61"/>
        <v>0.53613738028670466</v>
      </c>
      <c r="AS64" s="187">
        <f t="shared" si="61"/>
        <v>0.54115774331116662</v>
      </c>
      <c r="AT64" s="187">
        <f t="shared" si="61"/>
        <v>0.5464745621387076</v>
      </c>
      <c r="AU64" s="187">
        <f t="shared" si="61"/>
        <v>0.5514288228632368</v>
      </c>
      <c r="AV64" s="187">
        <f t="shared" si="61"/>
        <v>0.55629792469666217</v>
      </c>
      <c r="AW64" s="187">
        <f t="shared" si="61"/>
        <v>0.56114100754080687</v>
      </c>
      <c r="AX64" s="187">
        <f t="shared" si="61"/>
        <v>0.56590040728569502</v>
      </c>
      <c r="AY64" s="187">
        <f t="shared" si="61"/>
        <v>0.5706346418535847</v>
      </c>
      <c r="AZ64" s="187">
        <f t="shared" si="61"/>
        <v>0.57517249256427738</v>
      </c>
      <c r="BA64" s="187">
        <f t="shared" si="61"/>
        <v>0.57963293085953993</v>
      </c>
      <c r="BB64" s="187">
        <f t="shared" si="61"/>
        <v>0.58401116558456767</v>
      </c>
      <c r="BC64" s="187">
        <f t="shared" si="61"/>
        <v>0.58828985892918551</v>
      </c>
      <c r="BD64" s="187">
        <f t="shared" si="61"/>
        <v>0.59245367023022699</v>
      </c>
      <c r="BE64" s="187">
        <f t="shared" si="61"/>
        <v>0.59651056471924724</v>
      </c>
      <c r="BF64" s="187">
        <f t="shared" si="61"/>
        <v>0.60046284934573957</v>
      </c>
      <c r="BG64" s="187">
        <f t="shared" si="61"/>
        <v>0.60430937300020771</v>
      </c>
      <c r="BH64" s="187">
        <f t="shared" si="61"/>
        <v>0.60804046242617005</v>
      </c>
      <c r="BI64" s="187">
        <f t="shared" si="61"/>
        <v>0.61165370439822353</v>
      </c>
      <c r="BJ64" s="187">
        <f t="shared" si="61"/>
        <v>0.61514382134032364</v>
      </c>
      <c r="BK64" s="187">
        <f t="shared" si="61"/>
        <v>0.61851489138508653</v>
      </c>
      <c r="BL64" s="187">
        <f t="shared" si="61"/>
        <v>0.62176396899136277</v>
      </c>
      <c r="BM64" s="187">
        <f t="shared" si="61"/>
        <v>0.62488806267512165</v>
      </c>
      <c r="BN64" s="182"/>
    </row>
    <row r="65" spans="1:69" ht="15" hidden="1" customHeight="1" x14ac:dyDescent="0.3">
      <c r="A65" s="982"/>
      <c r="B65" s="84"/>
      <c r="C65" s="183"/>
      <c r="D65" s="179" t="s">
        <v>680</v>
      </c>
      <c r="E65" s="294">
        <f t="shared" ref="E65:P65" si="62">SUM(E61:E64)</f>
        <v>45.42562920000001</v>
      </c>
      <c r="F65" s="294">
        <f t="shared" si="62"/>
        <v>52.554244400000023</v>
      </c>
      <c r="G65" s="294">
        <f t="shared" si="62"/>
        <v>47.466969200000008</v>
      </c>
      <c r="H65" s="294">
        <f t="shared" si="62"/>
        <v>48.784878800000016</v>
      </c>
      <c r="I65" s="294">
        <f t="shared" si="62"/>
        <v>45.60113040000001</v>
      </c>
      <c r="J65" s="294">
        <f t="shared" si="62"/>
        <v>47.961967659039608</v>
      </c>
      <c r="K65" s="294">
        <f t="shared" si="62"/>
        <v>40.355988400000008</v>
      </c>
      <c r="L65" s="294">
        <f t="shared" si="62"/>
        <v>43.415890000000012</v>
      </c>
      <c r="M65" s="294">
        <f t="shared" si="62"/>
        <v>40.262084800000011</v>
      </c>
      <c r="N65" s="294">
        <f t="shared" si="62"/>
        <v>36.262746800000002</v>
      </c>
      <c r="O65" s="294">
        <f t="shared" si="62"/>
        <v>40.891158000000011</v>
      </c>
      <c r="P65" s="294">
        <f t="shared" si="62"/>
        <v>41.908731200000005</v>
      </c>
      <c r="Q65" s="294">
        <f t="shared" ref="Q65:BM65" si="63">SUM(Q61:Q64)</f>
        <v>40.223021576540027</v>
      </c>
      <c r="R65" s="294">
        <f t="shared" si="63"/>
        <v>40.023775869680627</v>
      </c>
      <c r="S65" s="294">
        <f t="shared" si="63"/>
        <v>42.462615620630352</v>
      </c>
      <c r="T65" s="294">
        <f t="shared" si="63"/>
        <v>42.535922028652422</v>
      </c>
      <c r="U65" s="294">
        <f t="shared" si="63"/>
        <v>45.088872026117663</v>
      </c>
      <c r="V65" s="294">
        <f t="shared" si="63"/>
        <v>46.066872058187741</v>
      </c>
      <c r="W65" s="294">
        <f t="shared" si="63"/>
        <v>47.088978357151831</v>
      </c>
      <c r="X65" s="294">
        <f t="shared" si="63"/>
        <v>47.999119204577006</v>
      </c>
      <c r="Y65" s="294">
        <f t="shared" si="63"/>
        <v>49.063322649781433</v>
      </c>
      <c r="Z65" s="294">
        <f t="shared" si="63"/>
        <v>48.525863402542171</v>
      </c>
      <c r="AA65" s="294">
        <f t="shared" si="63"/>
        <v>49.32155945797853</v>
      </c>
      <c r="AB65" s="294">
        <f t="shared" si="63"/>
        <v>50.283636752860978</v>
      </c>
      <c r="AC65" s="294">
        <f t="shared" si="63"/>
        <v>50.986015025600814</v>
      </c>
      <c r="AD65" s="294">
        <f t="shared" si="63"/>
        <v>51.657856010609621</v>
      </c>
      <c r="AE65" s="294">
        <f t="shared" si="63"/>
        <v>52.307046903381959</v>
      </c>
      <c r="AF65" s="294">
        <f t="shared" si="63"/>
        <v>52.867785466160591</v>
      </c>
      <c r="AG65" s="294">
        <f t="shared" si="63"/>
        <v>53.357009896083063</v>
      </c>
      <c r="AH65" s="294">
        <f t="shared" si="63"/>
        <v>54.059330292511895</v>
      </c>
      <c r="AI65" s="294">
        <f t="shared" si="63"/>
        <v>54.710129658175369</v>
      </c>
      <c r="AJ65" s="294">
        <f t="shared" si="63"/>
        <v>55.32519826413013</v>
      </c>
      <c r="AK65" s="294">
        <f t="shared" si="63"/>
        <v>55.919621574948437</v>
      </c>
      <c r="AL65" s="294">
        <f t="shared" si="63"/>
        <v>56.434234823726847</v>
      </c>
      <c r="AM65" s="294">
        <f t="shared" si="63"/>
        <v>57.008284164517526</v>
      </c>
      <c r="AN65" s="294">
        <f t="shared" si="63"/>
        <v>57.536197087158946</v>
      </c>
      <c r="AO65" s="294">
        <f t="shared" si="63"/>
        <v>58.143864340941754</v>
      </c>
      <c r="AP65" s="294">
        <f t="shared" si="63"/>
        <v>58.674428611652338</v>
      </c>
      <c r="AQ65" s="294">
        <f t="shared" si="63"/>
        <v>59.18704552816547</v>
      </c>
      <c r="AR65" s="294">
        <f t="shared" si="63"/>
        <v>59.6992005089743</v>
      </c>
      <c r="AS65" s="294">
        <f t="shared" si="63"/>
        <v>60.204335548307249</v>
      </c>
      <c r="AT65" s="294">
        <f t="shared" si="63"/>
        <v>60.739299150439166</v>
      </c>
      <c r="AU65" s="294">
        <f t="shared" si="63"/>
        <v>61.23778315921637</v>
      </c>
      <c r="AV65" s="294">
        <f t="shared" si="63"/>
        <v>61.727698715951874</v>
      </c>
      <c r="AW65" s="294">
        <f t="shared" si="63"/>
        <v>62.214996313964114</v>
      </c>
      <c r="AX65" s="294">
        <f t="shared" si="63"/>
        <v>62.693873950027694</v>
      </c>
      <c r="AY65" s="294">
        <f t="shared" si="63"/>
        <v>63.170219535597887</v>
      </c>
      <c r="AZ65" s="294">
        <f t="shared" si="63"/>
        <v>63.626805520727615</v>
      </c>
      <c r="BA65" s="294">
        <f t="shared" si="63"/>
        <v>64.075602482768261</v>
      </c>
      <c r="BB65" s="294">
        <f t="shared" si="63"/>
        <v>64.516128348977446</v>
      </c>
      <c r="BC65" s="294">
        <f t="shared" si="63"/>
        <v>64.946638636858239</v>
      </c>
      <c r="BD65" s="294">
        <f t="shared" si="63"/>
        <v>65.365589811320746</v>
      </c>
      <c r="BE65" s="294">
        <f t="shared" si="63"/>
        <v>65.773783311929307</v>
      </c>
      <c r="BF65" s="294">
        <f t="shared" si="63"/>
        <v>66.171451257560022</v>
      </c>
      <c r="BG65" s="294">
        <f t="shared" si="63"/>
        <v>66.558477826759784</v>
      </c>
      <c r="BH65" s="294">
        <f t="shared" si="63"/>
        <v>66.933889723221228</v>
      </c>
      <c r="BI65" s="294">
        <f t="shared" si="63"/>
        <v>67.297444134880223</v>
      </c>
      <c r="BJ65" s="294">
        <f t="shared" si="63"/>
        <v>67.648610046634843</v>
      </c>
      <c r="BK65" s="294">
        <f t="shared" si="63"/>
        <v>67.987797788907301</v>
      </c>
      <c r="BL65" s="294">
        <f t="shared" si="63"/>
        <v>68.314710989495609</v>
      </c>
      <c r="BM65" s="294">
        <f t="shared" si="63"/>
        <v>68.629048653552218</v>
      </c>
      <c r="BN65" s="197"/>
      <c r="BO65" s="50"/>
      <c r="BP65" s="50"/>
      <c r="BQ65" s="50"/>
    </row>
    <row r="66" spans="1:69" ht="14.25" hidden="1" customHeight="1" x14ac:dyDescent="0.3">
      <c r="A66" s="982"/>
      <c r="B66" s="944"/>
      <c r="C66" s="183"/>
      <c r="D66" s="184" t="s">
        <v>681</v>
      </c>
      <c r="E66" s="180"/>
      <c r="F66" s="180"/>
      <c r="G66" s="180"/>
      <c r="H66" s="180"/>
      <c r="I66" s="180"/>
      <c r="J66" s="180"/>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1"/>
      <c r="BC66" s="181"/>
      <c r="BD66" s="181"/>
      <c r="BE66" s="181"/>
      <c r="BF66" s="181"/>
      <c r="BG66" s="181"/>
      <c r="BH66" s="181"/>
      <c r="BI66" s="181"/>
      <c r="BJ66" s="181"/>
      <c r="BK66" s="181"/>
      <c r="BL66" s="181"/>
      <c r="BM66" s="181"/>
      <c r="BN66" s="182"/>
    </row>
    <row r="67" spans="1:69" ht="14.25" hidden="1" customHeight="1" x14ac:dyDescent="0.3">
      <c r="A67" s="982"/>
      <c r="B67" s="944"/>
      <c r="C67" s="183"/>
      <c r="D67" s="185" t="s">
        <v>682</v>
      </c>
      <c r="E67" s="187">
        <f t="shared" ref="E67:P67" si="64">E43*5.5*0.8*2.05*0.001</f>
        <v>354.60957400000001</v>
      </c>
      <c r="F67" s="187">
        <f t="shared" si="64"/>
        <v>297.62121400000012</v>
      </c>
      <c r="G67" s="187">
        <f t="shared" si="64"/>
        <v>334.79534000000007</v>
      </c>
      <c r="H67" s="187">
        <f t="shared" si="64"/>
        <v>357.88654000000002</v>
      </c>
      <c r="I67" s="187">
        <f t="shared" si="64"/>
        <v>319.43067200000007</v>
      </c>
      <c r="J67" s="187">
        <f t="shared" si="64"/>
        <v>338.35553400000003</v>
      </c>
      <c r="K67" s="187">
        <f t="shared" si="64"/>
        <v>330.30698800000005</v>
      </c>
      <c r="L67" s="187">
        <f t="shared" si="64"/>
        <v>323.00619999999998</v>
      </c>
      <c r="M67" s="187">
        <f t="shared" si="64"/>
        <v>269.06479600000006</v>
      </c>
      <c r="N67" s="187">
        <f t="shared" si="64"/>
        <v>232.06024599999998</v>
      </c>
      <c r="O67" s="187">
        <f t="shared" si="64"/>
        <v>282.21415200000001</v>
      </c>
      <c r="P67" s="187">
        <f t="shared" si="64"/>
        <v>306.93346199999996</v>
      </c>
      <c r="Q67" s="187">
        <f t="shared" ref="Q67:BM67" si="65">Q43*5.5*0.8*2.05*0.001</f>
        <v>306.93346199999996</v>
      </c>
      <c r="R67" s="187">
        <f t="shared" si="65"/>
        <v>305.41305969808388</v>
      </c>
      <c r="S67" s="187">
        <f t="shared" si="65"/>
        <v>324.02333557200814</v>
      </c>
      <c r="T67" s="187">
        <f t="shared" si="65"/>
        <v>324.58272143411148</v>
      </c>
      <c r="U67" s="187">
        <f t="shared" si="65"/>
        <v>344.0637487245109</v>
      </c>
      <c r="V67" s="187">
        <f t="shared" si="65"/>
        <v>352.61847290274648</v>
      </c>
      <c r="W67" s="187">
        <f t="shared" si="65"/>
        <v>361.55900171844331</v>
      </c>
      <c r="X67" s="187">
        <f t="shared" si="65"/>
        <v>369.5201506527514</v>
      </c>
      <c r="Y67" s="187">
        <f t="shared" si="65"/>
        <v>378.82891000318023</v>
      </c>
      <c r="Z67" s="187">
        <f t="shared" si="65"/>
        <v>374.12766719499535</v>
      </c>
      <c r="AA67" s="187">
        <f t="shared" si="65"/>
        <v>381.08774905671083</v>
      </c>
      <c r="AB67" s="187">
        <f t="shared" si="65"/>
        <v>389.50319448204658</v>
      </c>
      <c r="AC67" s="187">
        <f t="shared" si="65"/>
        <v>395.64701063239647</v>
      </c>
      <c r="AD67" s="187">
        <f t="shared" si="65"/>
        <v>401.52371219673</v>
      </c>
      <c r="AE67" s="187">
        <f t="shared" si="65"/>
        <v>407.2022897474227</v>
      </c>
      <c r="AF67" s="187">
        <f t="shared" si="65"/>
        <v>412.10716048706666</v>
      </c>
      <c r="AG67" s="187">
        <f t="shared" si="65"/>
        <v>416.38648556068938</v>
      </c>
      <c r="AH67" s="187">
        <f t="shared" si="65"/>
        <v>422.52979545760275</v>
      </c>
      <c r="AI67" s="187">
        <f t="shared" si="65"/>
        <v>428.22244258036153</v>
      </c>
      <c r="AJ67" s="187">
        <f t="shared" si="65"/>
        <v>433.60254697923119</v>
      </c>
      <c r="AK67" s="187">
        <f t="shared" si="65"/>
        <v>438.80206364836749</v>
      </c>
      <c r="AL67" s="187">
        <f t="shared" si="65"/>
        <v>443.30346881953778</v>
      </c>
      <c r="AM67" s="187">
        <f t="shared" si="65"/>
        <v>448.32477108347308</v>
      </c>
      <c r="AN67" s="187">
        <f t="shared" si="65"/>
        <v>452.94251064915028</v>
      </c>
      <c r="AO67" s="187">
        <f t="shared" si="65"/>
        <v>458.25787422562644</v>
      </c>
      <c r="AP67" s="187">
        <f t="shared" si="65"/>
        <v>462.89880556092379</v>
      </c>
      <c r="AQ67" s="187">
        <f t="shared" si="65"/>
        <v>467.38274849146262</v>
      </c>
      <c r="AR67" s="187">
        <f t="shared" si="65"/>
        <v>471.86265079581676</v>
      </c>
      <c r="AS67" s="187">
        <f t="shared" si="65"/>
        <v>476.28114853871443</v>
      </c>
      <c r="AT67" s="187">
        <f t="shared" si="65"/>
        <v>480.96056153622447</v>
      </c>
      <c r="AU67" s="187">
        <f t="shared" si="65"/>
        <v>485.32088164104476</v>
      </c>
      <c r="AV67" s="187">
        <f t="shared" si="65"/>
        <v>489.60625211248305</v>
      </c>
      <c r="AW67" s="187">
        <f t="shared" si="65"/>
        <v>493.86872287630069</v>
      </c>
      <c r="AX67" s="187">
        <f t="shared" si="65"/>
        <v>498.05754287355387</v>
      </c>
      <c r="AY67" s="187">
        <f t="shared" si="65"/>
        <v>502.22421461634286</v>
      </c>
      <c r="AZ67" s="187">
        <f t="shared" si="65"/>
        <v>506.21804594389948</v>
      </c>
      <c r="BA67" s="187">
        <f t="shared" si="65"/>
        <v>510.14374542896115</v>
      </c>
      <c r="BB67" s="187">
        <f t="shared" si="65"/>
        <v>513.99709630341999</v>
      </c>
      <c r="BC67" s="187">
        <f t="shared" si="65"/>
        <v>517.76283929722911</v>
      </c>
      <c r="BD67" s="187">
        <f t="shared" si="65"/>
        <v>521.42747285975418</v>
      </c>
      <c r="BE67" s="187">
        <f t="shared" si="65"/>
        <v>524.99800731225662</v>
      </c>
      <c r="BF67" s="187">
        <f t="shared" si="65"/>
        <v>528.47647303602116</v>
      </c>
      <c r="BG67" s="187">
        <f t="shared" si="65"/>
        <v>531.86185692209813</v>
      </c>
      <c r="BH67" s="187">
        <f t="shared" si="65"/>
        <v>535.14564539054868</v>
      </c>
      <c r="BI67" s="187">
        <f t="shared" si="65"/>
        <v>538.32571452504567</v>
      </c>
      <c r="BJ67" s="187">
        <f t="shared" si="65"/>
        <v>541.39741945076105</v>
      </c>
      <c r="BK67" s="187">
        <f t="shared" si="65"/>
        <v>544.36434939414517</v>
      </c>
      <c r="BL67" s="187">
        <f t="shared" si="65"/>
        <v>547.22391193969827</v>
      </c>
      <c r="BM67" s="187">
        <f t="shared" si="65"/>
        <v>549.97347423689303</v>
      </c>
      <c r="BN67" s="182"/>
    </row>
    <row r="68" spans="1:69" ht="14.25" hidden="1" customHeight="1" x14ac:dyDescent="0.3">
      <c r="A68" s="982"/>
      <c r="B68" s="944"/>
      <c r="C68" s="183"/>
      <c r="D68" s="185" t="s">
        <v>683</v>
      </c>
      <c r="E68" s="187">
        <f t="shared" ref="E68:P68" si="66">E44*6.5*0.8*2.5*0.001</f>
        <v>203.489</v>
      </c>
      <c r="F68" s="187">
        <f t="shared" si="66"/>
        <v>179.17770000000002</v>
      </c>
      <c r="G68" s="187">
        <f t="shared" si="66"/>
        <v>195.58240000000004</v>
      </c>
      <c r="H68" s="187">
        <f t="shared" si="66"/>
        <v>212.51880000000006</v>
      </c>
      <c r="I68" s="187">
        <f t="shared" si="66"/>
        <v>181.30710000000005</v>
      </c>
      <c r="J68" s="187">
        <f t="shared" si="66"/>
        <v>135.92511639427127</v>
      </c>
      <c r="K68" s="187">
        <f t="shared" si="66"/>
        <v>163.26310000000001</v>
      </c>
      <c r="L68" s="187">
        <f t="shared" si="66"/>
        <v>175.435</v>
      </c>
      <c r="M68" s="187">
        <f t="shared" si="66"/>
        <v>172.60230000000004</v>
      </c>
      <c r="N68" s="187">
        <f t="shared" si="66"/>
        <v>187.35080000000002</v>
      </c>
      <c r="O68" s="187">
        <f t="shared" si="66"/>
        <v>205.38180000000006</v>
      </c>
      <c r="P68" s="187">
        <f t="shared" si="66"/>
        <v>197.29320000000004</v>
      </c>
      <c r="Q68" s="187">
        <f t="shared" ref="Q68:BM68" si="67">Q44*6.5*0.8*2.5*0.001</f>
        <v>183.34030000000001</v>
      </c>
      <c r="R68" s="187">
        <f t="shared" si="67"/>
        <v>182.43211940496928</v>
      </c>
      <c r="S68" s="187">
        <f t="shared" si="67"/>
        <v>193.54857943371664</v>
      </c>
      <c r="T68" s="187">
        <f t="shared" si="67"/>
        <v>193.88271690802631</v>
      </c>
      <c r="U68" s="187">
        <f t="shared" si="67"/>
        <v>205.51930212899512</v>
      </c>
      <c r="V68" s="187">
        <f t="shared" si="67"/>
        <v>205.51930212899512</v>
      </c>
      <c r="W68" s="187">
        <f t="shared" si="67"/>
        <v>205.51930212899512</v>
      </c>
      <c r="X68" s="187">
        <f t="shared" si="67"/>
        <v>205.51930212899512</v>
      </c>
      <c r="Y68" s="187">
        <f t="shared" si="67"/>
        <v>205.51930212899512</v>
      </c>
      <c r="Z68" s="187">
        <f t="shared" si="67"/>
        <v>205.51930212899512</v>
      </c>
      <c r="AA68" s="187">
        <f t="shared" si="67"/>
        <v>205.51930212899512</v>
      </c>
      <c r="AB68" s="187">
        <f t="shared" si="67"/>
        <v>205.51930212899512</v>
      </c>
      <c r="AC68" s="187">
        <f t="shared" si="67"/>
        <v>205.51930212899512</v>
      </c>
      <c r="AD68" s="187">
        <f t="shared" si="67"/>
        <v>205.51930212899512</v>
      </c>
      <c r="AE68" s="187">
        <f t="shared" si="67"/>
        <v>205.51930212899512</v>
      </c>
      <c r="AF68" s="187">
        <f t="shared" si="67"/>
        <v>205.51930212899512</v>
      </c>
      <c r="AG68" s="187">
        <f t="shared" si="67"/>
        <v>205.51930212899512</v>
      </c>
      <c r="AH68" s="187">
        <f t="shared" si="67"/>
        <v>205.51930212899512</v>
      </c>
      <c r="AI68" s="187">
        <f t="shared" si="67"/>
        <v>205.51930212899512</v>
      </c>
      <c r="AJ68" s="187">
        <f t="shared" si="67"/>
        <v>205.51930212899512</v>
      </c>
      <c r="AK68" s="187">
        <f t="shared" si="67"/>
        <v>205.51930212899512</v>
      </c>
      <c r="AL68" s="187">
        <f t="shared" si="67"/>
        <v>205.51930212899512</v>
      </c>
      <c r="AM68" s="187">
        <f t="shared" si="67"/>
        <v>205.51930212899512</v>
      </c>
      <c r="AN68" s="187">
        <f t="shared" si="67"/>
        <v>205.51930212899512</v>
      </c>
      <c r="AO68" s="187">
        <f t="shared" si="67"/>
        <v>205.51930212899512</v>
      </c>
      <c r="AP68" s="187">
        <f t="shared" si="67"/>
        <v>205.51930212899512</v>
      </c>
      <c r="AQ68" s="187">
        <f t="shared" si="67"/>
        <v>205.51930212899512</v>
      </c>
      <c r="AR68" s="187">
        <f t="shared" si="67"/>
        <v>205.51930212899512</v>
      </c>
      <c r="AS68" s="187">
        <f t="shared" si="67"/>
        <v>205.51930212899512</v>
      </c>
      <c r="AT68" s="187">
        <f t="shared" si="67"/>
        <v>205.51930212899512</v>
      </c>
      <c r="AU68" s="187">
        <f t="shared" si="67"/>
        <v>205.51930212899512</v>
      </c>
      <c r="AV68" s="187">
        <f t="shared" si="67"/>
        <v>205.51930212899512</v>
      </c>
      <c r="AW68" s="187">
        <f t="shared" si="67"/>
        <v>205.51930212899512</v>
      </c>
      <c r="AX68" s="187">
        <f t="shared" si="67"/>
        <v>205.51930212899512</v>
      </c>
      <c r="AY68" s="187">
        <f t="shared" si="67"/>
        <v>205.51930212899512</v>
      </c>
      <c r="AZ68" s="187">
        <f t="shared" si="67"/>
        <v>205.51930212899512</v>
      </c>
      <c r="BA68" s="187">
        <f t="shared" si="67"/>
        <v>205.51930212899512</v>
      </c>
      <c r="BB68" s="187">
        <f t="shared" si="67"/>
        <v>205.51930212899512</v>
      </c>
      <c r="BC68" s="187">
        <f t="shared" si="67"/>
        <v>205.51930212899512</v>
      </c>
      <c r="BD68" s="187">
        <f t="shared" si="67"/>
        <v>205.51930212899512</v>
      </c>
      <c r="BE68" s="187">
        <f t="shared" si="67"/>
        <v>205.51930212899512</v>
      </c>
      <c r="BF68" s="187">
        <f t="shared" si="67"/>
        <v>205.51930212899512</v>
      </c>
      <c r="BG68" s="187">
        <f t="shared" si="67"/>
        <v>205.51930212899512</v>
      </c>
      <c r="BH68" s="187">
        <f t="shared" si="67"/>
        <v>205.51930212899512</v>
      </c>
      <c r="BI68" s="187">
        <f t="shared" si="67"/>
        <v>205.51930212899512</v>
      </c>
      <c r="BJ68" s="187">
        <f t="shared" si="67"/>
        <v>205.51930212899512</v>
      </c>
      <c r="BK68" s="187">
        <f t="shared" si="67"/>
        <v>205.51930212899512</v>
      </c>
      <c r="BL68" s="187">
        <f t="shared" si="67"/>
        <v>205.51930212899512</v>
      </c>
      <c r="BM68" s="187">
        <f t="shared" si="67"/>
        <v>205.51930212899512</v>
      </c>
      <c r="BN68" s="182"/>
    </row>
    <row r="69" spans="1:69" ht="14.25" hidden="1" customHeight="1" x14ac:dyDescent="0.3">
      <c r="A69" s="982"/>
      <c r="B69" s="944"/>
      <c r="C69" s="183"/>
      <c r="D69" s="185" t="s">
        <v>684</v>
      </c>
      <c r="E69" s="187">
        <f t="shared" ref="E69:P69" si="68">E45*10*0.8*0.001*2.5</f>
        <v>952.29600000000005</v>
      </c>
      <c r="F69" s="187">
        <f t="shared" si="68"/>
        <v>1300.21</v>
      </c>
      <c r="G69" s="187">
        <f t="shared" si="68"/>
        <v>1064.0060000000001</v>
      </c>
      <c r="H69" s="187">
        <f t="shared" si="68"/>
        <v>1061.2240000000002</v>
      </c>
      <c r="I69" s="187">
        <f t="shared" si="68"/>
        <v>1036.7860000000001</v>
      </c>
      <c r="J69" s="187">
        <f t="shared" si="68"/>
        <v>1144.2460000000001</v>
      </c>
      <c r="K69" s="187">
        <f t="shared" si="68"/>
        <v>851.47400000000016</v>
      </c>
      <c r="L69" s="187">
        <f t="shared" si="68"/>
        <v>964.96400000000017</v>
      </c>
      <c r="M69" s="187">
        <f t="shared" si="68"/>
        <v>923.09400000000028</v>
      </c>
      <c r="N69" s="187">
        <f t="shared" si="68"/>
        <v>810.51800000000003</v>
      </c>
      <c r="O69" s="187">
        <f t="shared" si="68"/>
        <v>889.36200000000008</v>
      </c>
      <c r="P69" s="187">
        <f t="shared" si="68"/>
        <v>907.43600000000004</v>
      </c>
      <c r="Q69" s="187">
        <f t="shared" ref="Q69:BM69" si="69">Q45*10*0.8*0.001*2.5</f>
        <v>866.43200000000002</v>
      </c>
      <c r="R69" s="187">
        <f t="shared" si="69"/>
        <v>862.14010820472276</v>
      </c>
      <c r="S69" s="187">
        <f t="shared" si="69"/>
        <v>914.67442114970879</v>
      </c>
      <c r="T69" s="187">
        <f t="shared" si="69"/>
        <v>916.25349241849733</v>
      </c>
      <c r="U69" s="187">
        <f t="shared" si="69"/>
        <v>971.24581983464373</v>
      </c>
      <c r="V69" s="187">
        <f t="shared" si="69"/>
        <v>995.39465890516817</v>
      </c>
      <c r="W69" s="187">
        <f t="shared" si="69"/>
        <v>1020.6325727265096</v>
      </c>
      <c r="X69" s="187">
        <f t="shared" si="69"/>
        <v>1043.1058284885366</v>
      </c>
      <c r="Y69" s="187">
        <f t="shared" si="69"/>
        <v>1069.3832077255736</v>
      </c>
      <c r="Z69" s="187">
        <f t="shared" si="69"/>
        <v>1056.1122297675522</v>
      </c>
      <c r="AA69" s="187">
        <f t="shared" si="69"/>
        <v>1075.7596074379931</v>
      </c>
      <c r="AB69" s="187">
        <f t="shared" si="69"/>
        <v>1099.5152812679271</v>
      </c>
      <c r="AC69" s="187">
        <f t="shared" si="69"/>
        <v>1116.8584503055863</v>
      </c>
      <c r="AD69" s="187">
        <f t="shared" si="69"/>
        <v>1133.4475906899886</v>
      </c>
      <c r="AE69" s="187">
        <f t="shared" si="69"/>
        <v>1149.4774535545391</v>
      </c>
      <c r="AF69" s="187">
        <f t="shared" si="69"/>
        <v>1163.3232458542764</v>
      </c>
      <c r="AG69" s="187">
        <f t="shared" si="69"/>
        <v>1175.4032066315376</v>
      </c>
      <c r="AH69" s="187">
        <f t="shared" si="69"/>
        <v>1192.7449465836398</v>
      </c>
      <c r="AI69" s="187">
        <f t="shared" si="69"/>
        <v>1208.8145259632456</v>
      </c>
      <c r="AJ69" s="187">
        <f t="shared" si="69"/>
        <v>1224.0018391488029</v>
      </c>
      <c r="AK69" s="187">
        <f t="shared" si="69"/>
        <v>1238.6793773921672</v>
      </c>
      <c r="AL69" s="187">
        <f t="shared" si="69"/>
        <v>1251.3862405013692</v>
      </c>
      <c r="AM69" s="187">
        <f t="shared" si="69"/>
        <v>1265.5607033794049</v>
      </c>
      <c r="AN69" s="187">
        <f t="shared" si="69"/>
        <v>1278.5959628825501</v>
      </c>
      <c r="AO69" s="187">
        <f t="shared" si="69"/>
        <v>1293.6005214089628</v>
      </c>
      <c r="AP69" s="187">
        <f t="shared" si="69"/>
        <v>1306.701248167469</v>
      </c>
      <c r="AQ69" s="187">
        <f t="shared" si="69"/>
        <v>1319.358817713251</v>
      </c>
      <c r="AR69" s="187">
        <f t="shared" si="69"/>
        <v>1332.0049811132069</v>
      </c>
      <c r="AS69" s="187">
        <f t="shared" si="69"/>
        <v>1344.4778076712132</v>
      </c>
      <c r="AT69" s="187">
        <f t="shared" si="69"/>
        <v>1357.6871630013225</v>
      </c>
      <c r="AU69" s="187">
        <f t="shared" si="69"/>
        <v>1369.9957618893111</v>
      </c>
      <c r="AV69" s="187">
        <f t="shared" si="69"/>
        <v>1382.0927880138506</v>
      </c>
      <c r="AW69" s="187">
        <f t="shared" si="69"/>
        <v>1394.1251713348847</v>
      </c>
      <c r="AX69" s="187">
        <f t="shared" si="69"/>
        <v>1405.9496484193028</v>
      </c>
      <c r="AY69" s="187">
        <f t="shared" si="69"/>
        <v>1417.7116039516982</v>
      </c>
      <c r="AZ69" s="187">
        <f t="shared" si="69"/>
        <v>1428.985654171734</v>
      </c>
      <c r="BA69" s="187">
        <f t="shared" si="69"/>
        <v>1440.0673773376525</v>
      </c>
      <c r="BB69" s="187">
        <f t="shared" si="69"/>
        <v>1450.9448700786006</v>
      </c>
      <c r="BC69" s="187">
        <f t="shared" si="69"/>
        <v>1461.5750575216757</v>
      </c>
      <c r="BD69" s="187">
        <f t="shared" si="69"/>
        <v>1471.919826600147</v>
      </c>
      <c r="BE69" s="187">
        <f t="shared" si="69"/>
        <v>1481.9989665107723</v>
      </c>
      <c r="BF69" s="187">
        <f t="shared" si="69"/>
        <v>1491.8182087476214</v>
      </c>
      <c r="BG69" s="187">
        <f t="shared" si="69"/>
        <v>1501.374693439999</v>
      </c>
      <c r="BH69" s="187">
        <f t="shared" si="69"/>
        <v>1510.6443878935042</v>
      </c>
      <c r="BI69" s="187">
        <f t="shared" si="69"/>
        <v>1519.6212965771874</v>
      </c>
      <c r="BJ69" s="187">
        <f t="shared" si="69"/>
        <v>1528.292307632337</v>
      </c>
      <c r="BK69" s="187">
        <f t="shared" si="69"/>
        <v>1536.667552963868</v>
      </c>
      <c r="BL69" s="187">
        <f t="shared" si="69"/>
        <v>1544.7397145304967</v>
      </c>
      <c r="BM69" s="187">
        <f t="shared" si="69"/>
        <v>1552.5013601482785</v>
      </c>
      <c r="BN69" s="182"/>
    </row>
    <row r="70" spans="1:69" ht="14.25" hidden="1" customHeight="1" x14ac:dyDescent="0.3">
      <c r="A70" s="982"/>
      <c r="B70" s="944"/>
      <c r="C70" s="183"/>
      <c r="D70" s="185" t="s">
        <v>685</v>
      </c>
      <c r="E70" s="187">
        <f t="shared" ref="E70:P70" si="70">E46*4*0.9*2.5*0.001</f>
        <v>34.108200000000004</v>
      </c>
      <c r="F70" s="187">
        <f t="shared" si="70"/>
        <v>34.596900000000012</v>
      </c>
      <c r="G70" s="187">
        <f t="shared" si="70"/>
        <v>27.3735</v>
      </c>
      <c r="H70" s="187">
        <f t="shared" si="70"/>
        <v>32.127300000000005</v>
      </c>
      <c r="I70" s="187">
        <f t="shared" si="70"/>
        <v>20.969100000000001</v>
      </c>
      <c r="J70" s="187">
        <f t="shared" si="70"/>
        <v>20.127600000000001</v>
      </c>
      <c r="K70" s="187">
        <f t="shared" si="70"/>
        <v>23.734800000000003</v>
      </c>
      <c r="L70" s="187">
        <f t="shared" si="70"/>
        <v>16.258500000000002</v>
      </c>
      <c r="M70" s="187">
        <f t="shared" si="70"/>
        <v>14.1075</v>
      </c>
      <c r="N70" s="187">
        <f t="shared" si="70"/>
        <v>14.229000000000001</v>
      </c>
      <c r="O70" s="187">
        <f t="shared" si="70"/>
        <v>21.491100000000003</v>
      </c>
      <c r="P70" s="187">
        <f t="shared" si="70"/>
        <v>17.702099999999998</v>
      </c>
      <c r="Q70" s="187">
        <f t="shared" ref="Q70:BM70" si="71">Q46*4*0.9*2.5*0.001</f>
        <v>12.455084876429448</v>
      </c>
      <c r="R70" s="187">
        <f t="shared" si="71"/>
        <v>12.393388313293935</v>
      </c>
      <c r="S70" s="187">
        <f t="shared" si="71"/>
        <v>13.14857663350222</v>
      </c>
      <c r="T70" s="187">
        <f t="shared" si="71"/>
        <v>13.171276010578197</v>
      </c>
      <c r="U70" s="187">
        <f t="shared" si="71"/>
        <v>13.96179864307619</v>
      </c>
      <c r="V70" s="187">
        <f t="shared" si="71"/>
        <v>14.308941685219853</v>
      </c>
      <c r="W70" s="187">
        <f t="shared" si="71"/>
        <v>14.671740333871821</v>
      </c>
      <c r="X70" s="187">
        <f t="shared" si="71"/>
        <v>14.994796624458678</v>
      </c>
      <c r="Y70" s="187">
        <f t="shared" si="71"/>
        <v>15.372537738276518</v>
      </c>
      <c r="Z70" s="187">
        <f t="shared" si="71"/>
        <v>15.181765517420891</v>
      </c>
      <c r="AA70" s="187">
        <f t="shared" si="71"/>
        <v>15.464199403155265</v>
      </c>
      <c r="AB70" s="187">
        <f t="shared" si="71"/>
        <v>15.80569063829963</v>
      </c>
      <c r="AC70" s="187">
        <f t="shared" si="71"/>
        <v>16.055001192838603</v>
      </c>
      <c r="AD70" s="187">
        <f t="shared" si="71"/>
        <v>16.293472476810955</v>
      </c>
      <c r="AE70" s="187">
        <f t="shared" si="71"/>
        <v>16.523904065828329</v>
      </c>
      <c r="AF70" s="187">
        <f t="shared" si="71"/>
        <v>16.722939325692508</v>
      </c>
      <c r="AG70" s="187">
        <f t="shared" si="71"/>
        <v>16.896590502916723</v>
      </c>
      <c r="AH70" s="187">
        <f t="shared" si="71"/>
        <v>17.145880514144835</v>
      </c>
      <c r="AI70" s="187">
        <f t="shared" si="71"/>
        <v>17.376883033790364</v>
      </c>
      <c r="AJ70" s="187">
        <f t="shared" si="71"/>
        <v>17.59520284973787</v>
      </c>
      <c r="AK70" s="187">
        <f t="shared" si="71"/>
        <v>17.806194577418903</v>
      </c>
      <c r="AL70" s="187">
        <f t="shared" si="71"/>
        <v>17.988857566018453</v>
      </c>
      <c r="AM70" s="187">
        <f t="shared" si="71"/>
        <v>18.192617512816042</v>
      </c>
      <c r="AN70" s="187">
        <f t="shared" si="71"/>
        <v>18.380001246909387</v>
      </c>
      <c r="AO70" s="187">
        <f t="shared" si="71"/>
        <v>18.59569393829177</v>
      </c>
      <c r="AP70" s="187">
        <f t="shared" si="71"/>
        <v>18.78401877361653</v>
      </c>
      <c r="AQ70" s="187">
        <f t="shared" si="71"/>
        <v>18.965973160137374</v>
      </c>
      <c r="AR70" s="187">
        <f t="shared" si="71"/>
        <v>19.14776358166802</v>
      </c>
      <c r="AS70" s="187">
        <f t="shared" si="71"/>
        <v>19.327062261113092</v>
      </c>
      <c r="AT70" s="187">
        <f t="shared" si="71"/>
        <v>19.516948647810985</v>
      </c>
      <c r="AU70" s="187">
        <f t="shared" si="71"/>
        <v>19.693886530829882</v>
      </c>
      <c r="AV70" s="187">
        <f t="shared" si="71"/>
        <v>19.867783024880787</v>
      </c>
      <c r="AW70" s="187">
        <f t="shared" si="71"/>
        <v>20.040750269314529</v>
      </c>
      <c r="AX70" s="187">
        <f t="shared" si="71"/>
        <v>20.210728831631965</v>
      </c>
      <c r="AY70" s="187">
        <f t="shared" si="71"/>
        <v>20.37980863762802</v>
      </c>
      <c r="AZ70" s="187">
        <f t="shared" si="71"/>
        <v>20.541874734438476</v>
      </c>
      <c r="BA70" s="187">
        <f t="shared" si="71"/>
        <v>20.701176102126425</v>
      </c>
      <c r="BB70" s="187">
        <f t="shared" si="71"/>
        <v>20.857541628020272</v>
      </c>
      <c r="BC70" s="187">
        <f t="shared" si="71"/>
        <v>21.010352104613769</v>
      </c>
      <c r="BD70" s="187">
        <f t="shared" si="71"/>
        <v>21.159059651079534</v>
      </c>
      <c r="BE70" s="187">
        <f t="shared" si="71"/>
        <v>21.303948739973112</v>
      </c>
      <c r="BF70" s="187">
        <f t="shared" si="71"/>
        <v>21.445101762347839</v>
      </c>
      <c r="BG70" s="187">
        <f t="shared" si="71"/>
        <v>21.58247760715027</v>
      </c>
      <c r="BH70" s="187">
        <f t="shared" si="71"/>
        <v>21.715730800934647</v>
      </c>
      <c r="BI70" s="187">
        <f t="shared" si="71"/>
        <v>21.844775157079415</v>
      </c>
      <c r="BJ70" s="187">
        <f t="shared" si="71"/>
        <v>21.96942219072584</v>
      </c>
      <c r="BK70" s="187">
        <f t="shared" si="71"/>
        <v>22.089817549467373</v>
      </c>
      <c r="BL70" s="187">
        <f t="shared" si="71"/>
        <v>22.205856035405809</v>
      </c>
      <c r="BM70" s="187">
        <f t="shared" si="71"/>
        <v>22.317430809825776</v>
      </c>
      <c r="BN70" s="182"/>
    </row>
    <row r="71" spans="1:69" ht="15" hidden="1" customHeight="1" x14ac:dyDescent="0.3">
      <c r="A71" s="48"/>
      <c r="B71" s="84"/>
      <c r="C71" s="183"/>
      <c r="D71" s="179" t="s">
        <v>686</v>
      </c>
      <c r="E71" s="294">
        <f t="shared" ref="E71:P71" si="72">SUM(E67:E70)</f>
        <v>1544.5027739999998</v>
      </c>
      <c r="F71" s="294">
        <f t="shared" si="72"/>
        <v>1811.6058140000002</v>
      </c>
      <c r="G71" s="294">
        <f t="shared" si="72"/>
        <v>1621.7572400000001</v>
      </c>
      <c r="H71" s="294">
        <f t="shared" si="72"/>
        <v>1663.7566400000003</v>
      </c>
      <c r="I71" s="294">
        <f t="shared" si="72"/>
        <v>1558.4928720000003</v>
      </c>
      <c r="J71" s="294">
        <f t="shared" si="72"/>
        <v>1638.6542503942715</v>
      </c>
      <c r="K71" s="294">
        <f t="shared" si="72"/>
        <v>1368.7788880000001</v>
      </c>
      <c r="L71" s="294">
        <f t="shared" si="72"/>
        <v>1479.6637000000001</v>
      </c>
      <c r="M71" s="294">
        <f t="shared" si="72"/>
        <v>1378.8685960000005</v>
      </c>
      <c r="N71" s="294">
        <f t="shared" si="72"/>
        <v>1244.158046</v>
      </c>
      <c r="O71" s="294">
        <f t="shared" si="72"/>
        <v>1398.4490520000002</v>
      </c>
      <c r="P71" s="294">
        <f t="shared" si="72"/>
        <v>1429.3647620000002</v>
      </c>
      <c r="Q71" s="294">
        <f t="shared" ref="Q71:BM71" si="73">SUM(Q67:Q70)</f>
        <v>1369.1608468764296</v>
      </c>
      <c r="R71" s="294">
        <f t="shared" si="73"/>
        <v>1362.3786756210698</v>
      </c>
      <c r="S71" s="294">
        <f t="shared" si="73"/>
        <v>1445.3949127889359</v>
      </c>
      <c r="T71" s="294">
        <f t="shared" si="73"/>
        <v>1447.8902067712131</v>
      </c>
      <c r="U71" s="294">
        <f t="shared" si="73"/>
        <v>1534.7906693312261</v>
      </c>
      <c r="V71" s="294">
        <f t="shared" si="73"/>
        <v>1567.8413756221298</v>
      </c>
      <c r="W71" s="294">
        <f t="shared" si="73"/>
        <v>1602.38261690782</v>
      </c>
      <c r="X71" s="294">
        <f t="shared" si="73"/>
        <v>1633.140077894742</v>
      </c>
      <c r="Y71" s="294">
        <f t="shared" si="73"/>
        <v>1669.1039575960256</v>
      </c>
      <c r="Z71" s="294">
        <f t="shared" si="73"/>
        <v>1650.9409646089634</v>
      </c>
      <c r="AA71" s="294">
        <f t="shared" si="73"/>
        <v>1677.8308580268545</v>
      </c>
      <c r="AB71" s="294">
        <f t="shared" si="73"/>
        <v>1710.3434685172685</v>
      </c>
      <c r="AC71" s="294">
        <f t="shared" si="73"/>
        <v>1734.0797642598163</v>
      </c>
      <c r="AD71" s="294">
        <f t="shared" si="73"/>
        <v>1756.7840774925246</v>
      </c>
      <c r="AE71" s="294">
        <f t="shared" si="73"/>
        <v>1778.7229494967853</v>
      </c>
      <c r="AF71" s="294">
        <f t="shared" si="73"/>
        <v>1797.6726477960306</v>
      </c>
      <c r="AG71" s="294">
        <f t="shared" si="73"/>
        <v>1814.2055848241389</v>
      </c>
      <c r="AH71" s="294">
        <f t="shared" si="73"/>
        <v>1837.9399246843825</v>
      </c>
      <c r="AI71" s="294">
        <f t="shared" si="73"/>
        <v>1859.9331537063927</v>
      </c>
      <c r="AJ71" s="294">
        <f t="shared" si="73"/>
        <v>1880.7188911067672</v>
      </c>
      <c r="AK71" s="294">
        <f t="shared" si="73"/>
        <v>1900.8069377469487</v>
      </c>
      <c r="AL71" s="294">
        <f t="shared" si="73"/>
        <v>1918.1978690159206</v>
      </c>
      <c r="AM71" s="294">
        <f t="shared" si="73"/>
        <v>1937.5973941046891</v>
      </c>
      <c r="AN71" s="294">
        <f t="shared" si="73"/>
        <v>1955.4377769076048</v>
      </c>
      <c r="AO71" s="294">
        <f t="shared" si="73"/>
        <v>1975.9733917018762</v>
      </c>
      <c r="AP71" s="294">
        <f t="shared" si="73"/>
        <v>1993.9033746310042</v>
      </c>
      <c r="AQ71" s="294">
        <f t="shared" si="73"/>
        <v>2011.2268414938462</v>
      </c>
      <c r="AR71" s="294">
        <f t="shared" si="73"/>
        <v>2028.5346976196868</v>
      </c>
      <c r="AS71" s="294">
        <f t="shared" si="73"/>
        <v>2045.6053206000358</v>
      </c>
      <c r="AT71" s="294">
        <f t="shared" si="73"/>
        <v>2063.6839753143531</v>
      </c>
      <c r="AU71" s="294">
        <f t="shared" si="73"/>
        <v>2080.5298321901805</v>
      </c>
      <c r="AV71" s="294">
        <f t="shared" si="73"/>
        <v>2097.0861252802097</v>
      </c>
      <c r="AW71" s="294">
        <f t="shared" si="73"/>
        <v>2113.5539466094951</v>
      </c>
      <c r="AX71" s="294">
        <f t="shared" si="73"/>
        <v>2129.7372222534837</v>
      </c>
      <c r="AY71" s="294">
        <f t="shared" si="73"/>
        <v>2145.8349293346646</v>
      </c>
      <c r="AZ71" s="294">
        <f t="shared" si="73"/>
        <v>2161.2648769790671</v>
      </c>
      <c r="BA71" s="294">
        <f t="shared" si="73"/>
        <v>2176.4316009977351</v>
      </c>
      <c r="BB71" s="294">
        <f t="shared" si="73"/>
        <v>2191.318810139036</v>
      </c>
      <c r="BC71" s="294">
        <f t="shared" si="73"/>
        <v>2205.867551052514</v>
      </c>
      <c r="BD71" s="294">
        <f t="shared" si="73"/>
        <v>2220.0256612399758</v>
      </c>
      <c r="BE71" s="294">
        <f t="shared" si="73"/>
        <v>2233.8202246919973</v>
      </c>
      <c r="BF71" s="294">
        <f t="shared" si="73"/>
        <v>2247.2590856749857</v>
      </c>
      <c r="BG71" s="294">
        <f t="shared" si="73"/>
        <v>2260.3383300982427</v>
      </c>
      <c r="BH71" s="294">
        <f t="shared" si="73"/>
        <v>2273.0250662139824</v>
      </c>
      <c r="BI71" s="294">
        <f t="shared" si="73"/>
        <v>2285.3110883883073</v>
      </c>
      <c r="BJ71" s="294">
        <f t="shared" si="73"/>
        <v>2297.1784514028191</v>
      </c>
      <c r="BK71" s="294">
        <f t="shared" si="73"/>
        <v>2308.6410220364755</v>
      </c>
      <c r="BL71" s="294">
        <f t="shared" si="73"/>
        <v>2319.6887846345958</v>
      </c>
      <c r="BM71" s="294">
        <f t="shared" si="73"/>
        <v>2330.3115673239927</v>
      </c>
      <c r="BN71" s="197"/>
      <c r="BO71" s="50"/>
      <c r="BP71" s="50"/>
      <c r="BQ71" s="50"/>
    </row>
    <row r="72" spans="1:69" ht="14.25" customHeight="1" x14ac:dyDescent="0.3">
      <c r="A72" s="960"/>
      <c r="B72" s="944"/>
      <c r="C72" s="183"/>
      <c r="D72" s="184" t="s">
        <v>687</v>
      </c>
      <c r="E72" s="180"/>
      <c r="F72" s="180"/>
      <c r="G72" s="180"/>
      <c r="H72" s="180"/>
      <c r="I72" s="180"/>
      <c r="J72" s="180"/>
      <c r="K72" s="181"/>
      <c r="L72" s="181"/>
      <c r="M72" s="181"/>
      <c r="N72" s="181"/>
      <c r="O72" s="181"/>
      <c r="P72" s="181"/>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c r="AX72" s="185"/>
      <c r="AY72" s="185"/>
      <c r="AZ72" s="185"/>
      <c r="BA72" s="185"/>
      <c r="BB72" s="185"/>
      <c r="BC72" s="185"/>
      <c r="BD72" s="185"/>
      <c r="BE72" s="185"/>
      <c r="BF72" s="185"/>
      <c r="BG72" s="185"/>
      <c r="BH72" s="185"/>
      <c r="BI72" s="185"/>
      <c r="BJ72" s="185"/>
      <c r="BK72" s="185"/>
      <c r="BL72" s="185"/>
      <c r="BM72" s="185"/>
      <c r="BN72" s="182"/>
    </row>
    <row r="73" spans="1:69" ht="14.25" customHeight="1" x14ac:dyDescent="0.3">
      <c r="A73" s="960"/>
      <c r="B73" s="944"/>
      <c r="C73" s="183"/>
      <c r="D73" s="185" t="s">
        <v>640</v>
      </c>
      <c r="E73" s="295">
        <f t="shared" ref="E73:P73" si="74">((E49*25)+(E61*298))/1000000</f>
        <v>1.5284537540800003E-2</v>
      </c>
      <c r="F73" s="295">
        <f t="shared" si="74"/>
        <v>1.2828200228800005E-2</v>
      </c>
      <c r="G73" s="295">
        <f t="shared" si="74"/>
        <v>1.4430495728000006E-2</v>
      </c>
      <c r="H73" s="295">
        <f t="shared" si="74"/>
        <v>1.5425782768000006E-2</v>
      </c>
      <c r="I73" s="295">
        <f t="shared" si="74"/>
        <v>1.3768241062400008E-2</v>
      </c>
      <c r="J73" s="295">
        <f t="shared" si="74"/>
        <v>1.4583948772800006E-2</v>
      </c>
      <c r="K73" s="295">
        <f t="shared" si="74"/>
        <v>1.4237036809600001E-2</v>
      </c>
      <c r="L73" s="295">
        <f t="shared" si="74"/>
        <v>1.3922355040000002E-2</v>
      </c>
      <c r="M73" s="295">
        <f t="shared" si="74"/>
        <v>1.1597348963200001E-2</v>
      </c>
      <c r="N73" s="637">
        <f t="shared" si="74"/>
        <v>1.0002362603200001E-2</v>
      </c>
      <c r="O73" s="637">
        <f t="shared" si="74"/>
        <v>1.2164118278400003E-2</v>
      </c>
      <c r="P73" s="637">
        <f t="shared" si="74"/>
        <v>1.32295808304E-2</v>
      </c>
      <c r="Q73" s="637">
        <f t="shared" ref="Q73:BM73" si="75">((Q49*25)+(Q61*298))/1000000</f>
        <v>1.32295808304E-2</v>
      </c>
      <c r="R73" s="637">
        <f t="shared" si="75"/>
        <v>1.3164047782889121E-2</v>
      </c>
      <c r="S73" s="637">
        <f t="shared" si="75"/>
        <v>1.3966196063972021E-2</v>
      </c>
      <c r="T73" s="637">
        <f t="shared" si="75"/>
        <v>1.3990306958984434E-2</v>
      </c>
      <c r="U73" s="637">
        <f t="shared" si="75"/>
        <v>1.482998674990136E-2</v>
      </c>
      <c r="V73" s="637">
        <f t="shared" si="75"/>
        <v>1.5198716227164233E-2</v>
      </c>
      <c r="W73" s="637">
        <f t="shared" si="75"/>
        <v>1.5584074825288615E-2</v>
      </c>
      <c r="X73" s="637">
        <f t="shared" si="75"/>
        <v>1.5927219761793718E-2</v>
      </c>
      <c r="Y73" s="637">
        <f t="shared" si="75"/>
        <v>1.63284499940883E-2</v>
      </c>
      <c r="Z73" s="637">
        <f t="shared" si="75"/>
        <v>1.6125814962609657E-2</v>
      </c>
      <c r="AA73" s="637">
        <f t="shared" si="75"/>
        <v>1.6425811466659012E-2</v>
      </c>
      <c r="AB73" s="637">
        <f t="shared" si="75"/>
        <v>1.6788537689967631E-2</v>
      </c>
      <c r="AC73" s="637">
        <f t="shared" si="75"/>
        <v>1.7053351150965148E-2</v>
      </c>
      <c r="AD73" s="637">
        <f t="shared" si="75"/>
        <v>1.7306651321806376E-2</v>
      </c>
      <c r="AE73" s="637">
        <f t="shared" si="75"/>
        <v>1.7551411864430374E-2</v>
      </c>
      <c r="AF73" s="637">
        <f t="shared" si="75"/>
        <v>1.7762823756408402E-2</v>
      </c>
      <c r="AG73" s="637">
        <f t="shared" si="75"/>
        <v>1.7947273104459763E-2</v>
      </c>
      <c r="AH73" s="637">
        <f t="shared" si="75"/>
        <v>1.8212064744699403E-2</v>
      </c>
      <c r="AI73" s="637">
        <f t="shared" si="75"/>
        <v>1.8457431720195483E-2</v>
      </c>
      <c r="AJ73" s="637">
        <f t="shared" si="75"/>
        <v>1.8689327341992624E-2</v>
      </c>
      <c r="AK73" s="637">
        <f t="shared" si="75"/>
        <v>1.8913439192180369E-2</v>
      </c>
      <c r="AL73" s="637">
        <f t="shared" si="75"/>
        <v>1.9107460734094812E-2</v>
      </c>
      <c r="AM73" s="637">
        <f t="shared" si="75"/>
        <v>1.9323891108749113E-2</v>
      </c>
      <c r="AN73" s="637">
        <f t="shared" si="75"/>
        <v>1.9522926946809231E-2</v>
      </c>
      <c r="AO73" s="637">
        <f t="shared" si="75"/>
        <v>1.9752032081256757E-2</v>
      </c>
      <c r="AP73" s="637">
        <f t="shared" si="75"/>
        <v>1.9952067541152797E-2</v>
      </c>
      <c r="AQ73" s="637">
        <f t="shared" si="75"/>
        <v>2.0145336417905193E-2</v>
      </c>
      <c r="AR73" s="637">
        <f t="shared" si="75"/>
        <v>2.0338431133813839E-2</v>
      </c>
      <c r="AS73" s="637">
        <f t="shared" si="75"/>
        <v>2.0528879163356498E-2</v>
      </c>
      <c r="AT73" s="637">
        <f t="shared" si="75"/>
        <v>2.073057327675161E-2</v>
      </c>
      <c r="AU73" s="637">
        <f t="shared" si="75"/>
        <v>2.0918513708196449E-2</v>
      </c>
      <c r="AV73" s="637">
        <f t="shared" si="75"/>
        <v>2.1103223627638536E-2</v>
      </c>
      <c r="AW73" s="637">
        <f t="shared" si="75"/>
        <v>2.1286946513829237E-2</v>
      </c>
      <c r="AX73" s="637">
        <f t="shared" si="75"/>
        <v>2.1467494872344992E-2</v>
      </c>
      <c r="AY73" s="637">
        <f t="shared" si="75"/>
        <v>2.1647088587073201E-2</v>
      </c>
      <c r="AZ73" s="637">
        <f t="shared" si="75"/>
        <v>2.181923245834291E-2</v>
      </c>
      <c r="BA73" s="637">
        <f t="shared" si="75"/>
        <v>2.1988439681025859E-2</v>
      </c>
      <c r="BB73" s="637">
        <f t="shared" si="75"/>
        <v>2.2154528502131805E-2</v>
      </c>
      <c r="BC73" s="637">
        <f t="shared" si="75"/>
        <v>2.2316841209903984E-2</v>
      </c>
      <c r="BD73" s="637">
        <f t="shared" si="75"/>
        <v>2.2474795854579455E-2</v>
      </c>
      <c r="BE73" s="637">
        <f t="shared" si="75"/>
        <v>2.2628694598102926E-2</v>
      </c>
      <c r="BF73" s="637">
        <f t="shared" si="75"/>
        <v>2.2778624954859918E-2</v>
      </c>
      <c r="BG73" s="637">
        <f t="shared" si="75"/>
        <v>2.2924543257383703E-2</v>
      </c>
      <c r="BH73" s="637">
        <f t="shared" si="75"/>
        <v>2.3066082549614089E-2</v>
      </c>
      <c r="BI73" s="637">
        <f t="shared" si="75"/>
        <v>2.3203151285577095E-2</v>
      </c>
      <c r="BJ73" s="637">
        <f t="shared" si="75"/>
        <v>2.3335549259838658E-2</v>
      </c>
      <c r="BK73" s="637">
        <f t="shared" si="75"/>
        <v>2.3463431176813012E-2</v>
      </c>
      <c r="BL73" s="637">
        <f t="shared" si="75"/>
        <v>2.3586685297069143E-2</v>
      </c>
      <c r="BM73" s="637">
        <f t="shared" si="75"/>
        <v>2.3705198138327745E-2</v>
      </c>
      <c r="BN73" s="182"/>
    </row>
    <row r="74" spans="1:69" ht="14.25" customHeight="1" x14ac:dyDescent="0.3">
      <c r="A74" s="960"/>
      <c r="B74" s="944"/>
      <c r="C74" s="183"/>
      <c r="D74" s="185" t="s">
        <v>644</v>
      </c>
      <c r="E74" s="295">
        <f t="shared" ref="E74:P74" si="76">((E50*25)+(E62*298))/1000000</f>
        <v>7.1921152160000015E-3</v>
      </c>
      <c r="F74" s="295">
        <f t="shared" si="76"/>
        <v>6.3328566288000021E-3</v>
      </c>
      <c r="G74" s="295">
        <f t="shared" si="76"/>
        <v>6.9126643456000007E-3</v>
      </c>
      <c r="H74" s="295">
        <f t="shared" si="76"/>
        <v>7.5112644672000028E-3</v>
      </c>
      <c r="I74" s="295">
        <f t="shared" si="76"/>
        <v>6.4081181424000015E-3</v>
      </c>
      <c r="J74" s="295">
        <f t="shared" si="76"/>
        <v>4.804137313839124E-3</v>
      </c>
      <c r="K74" s="295">
        <f t="shared" si="76"/>
        <v>5.770371006400001E-3</v>
      </c>
      <c r="L74" s="295">
        <f t="shared" si="76"/>
        <v>6.2005746400000004E-3</v>
      </c>
      <c r="M74" s="295">
        <f t="shared" si="76"/>
        <v>6.1004556912000029E-3</v>
      </c>
      <c r="N74" s="637">
        <f t="shared" si="76"/>
        <v>6.6217266752000015E-3</v>
      </c>
      <c r="O74" s="637">
        <f t="shared" si="76"/>
        <v>7.2590143392000026E-3</v>
      </c>
      <c r="P74" s="637">
        <f t="shared" si="76"/>
        <v>6.9731308608000017E-3</v>
      </c>
      <c r="Q74" s="637">
        <f t="shared" ref="Q74:BM74" si="77">((Q50*25)+(Q62*298))/1000000</f>
        <v>6.4799795632000017E-3</v>
      </c>
      <c r="R74" s="637">
        <f t="shared" si="77"/>
        <v>6.4478808282492353E-3</v>
      </c>
      <c r="S74" s="637">
        <f t="shared" si="77"/>
        <v>6.840780991505281E-3</v>
      </c>
      <c r="T74" s="637">
        <f t="shared" si="77"/>
        <v>6.8525907463972838E-3</v>
      </c>
      <c r="U74" s="637">
        <f t="shared" si="77"/>
        <v>7.2638742144472031E-3</v>
      </c>
      <c r="V74" s="637">
        <f t="shared" si="77"/>
        <v>7.2638742144472031E-3</v>
      </c>
      <c r="W74" s="637">
        <f t="shared" si="77"/>
        <v>7.2638742144472031E-3</v>
      </c>
      <c r="X74" s="637">
        <f t="shared" si="77"/>
        <v>7.2638742144472031E-3</v>
      </c>
      <c r="Y74" s="637">
        <f t="shared" si="77"/>
        <v>7.2638742144472031E-3</v>
      </c>
      <c r="Z74" s="637">
        <f t="shared" si="77"/>
        <v>7.2638742144472031E-3</v>
      </c>
      <c r="AA74" s="637">
        <f t="shared" si="77"/>
        <v>7.2638742144472031E-3</v>
      </c>
      <c r="AB74" s="637">
        <f t="shared" si="77"/>
        <v>7.2638742144472031E-3</v>
      </c>
      <c r="AC74" s="637">
        <f t="shared" si="77"/>
        <v>7.2638742144472031E-3</v>
      </c>
      <c r="AD74" s="637">
        <f t="shared" si="77"/>
        <v>7.2638742144472031E-3</v>
      </c>
      <c r="AE74" s="637">
        <f t="shared" si="77"/>
        <v>7.2638742144472031E-3</v>
      </c>
      <c r="AF74" s="637">
        <f t="shared" si="77"/>
        <v>7.2638742144472031E-3</v>
      </c>
      <c r="AG74" s="637">
        <f t="shared" si="77"/>
        <v>7.2638742144472031E-3</v>
      </c>
      <c r="AH74" s="637">
        <f t="shared" si="77"/>
        <v>7.2638742144472031E-3</v>
      </c>
      <c r="AI74" s="637">
        <f t="shared" si="77"/>
        <v>7.2638742144472031E-3</v>
      </c>
      <c r="AJ74" s="637">
        <f t="shared" si="77"/>
        <v>7.2638742144472031E-3</v>
      </c>
      <c r="AK74" s="637">
        <f t="shared" si="77"/>
        <v>7.2638742144472031E-3</v>
      </c>
      <c r="AL74" s="637">
        <f t="shared" si="77"/>
        <v>7.2638742144472031E-3</v>
      </c>
      <c r="AM74" s="637">
        <f t="shared" si="77"/>
        <v>7.2638742144472031E-3</v>
      </c>
      <c r="AN74" s="637">
        <f t="shared" si="77"/>
        <v>7.2638742144472031E-3</v>
      </c>
      <c r="AO74" s="637">
        <f t="shared" si="77"/>
        <v>7.2638742144472031E-3</v>
      </c>
      <c r="AP74" s="637">
        <f t="shared" si="77"/>
        <v>7.2638742144472031E-3</v>
      </c>
      <c r="AQ74" s="637">
        <f t="shared" si="77"/>
        <v>7.2638742144472031E-3</v>
      </c>
      <c r="AR74" s="637">
        <f t="shared" si="77"/>
        <v>7.2638742144472031E-3</v>
      </c>
      <c r="AS74" s="637">
        <f t="shared" si="77"/>
        <v>7.2638742144472031E-3</v>
      </c>
      <c r="AT74" s="637">
        <f t="shared" si="77"/>
        <v>7.2638742144472031E-3</v>
      </c>
      <c r="AU74" s="637">
        <f t="shared" si="77"/>
        <v>7.2638742144472031E-3</v>
      </c>
      <c r="AV74" s="637">
        <f t="shared" si="77"/>
        <v>7.2638742144472031E-3</v>
      </c>
      <c r="AW74" s="637">
        <f t="shared" si="77"/>
        <v>7.2638742144472031E-3</v>
      </c>
      <c r="AX74" s="637">
        <f t="shared" si="77"/>
        <v>7.2638742144472031E-3</v>
      </c>
      <c r="AY74" s="637">
        <f t="shared" si="77"/>
        <v>7.2638742144472031E-3</v>
      </c>
      <c r="AZ74" s="637">
        <f t="shared" si="77"/>
        <v>7.2638742144472031E-3</v>
      </c>
      <c r="BA74" s="637">
        <f t="shared" si="77"/>
        <v>7.2638742144472031E-3</v>
      </c>
      <c r="BB74" s="637">
        <f t="shared" si="77"/>
        <v>7.2638742144472031E-3</v>
      </c>
      <c r="BC74" s="637">
        <f t="shared" si="77"/>
        <v>7.2638742144472031E-3</v>
      </c>
      <c r="BD74" s="637">
        <f t="shared" si="77"/>
        <v>7.2638742144472031E-3</v>
      </c>
      <c r="BE74" s="637">
        <f t="shared" si="77"/>
        <v>7.2638742144472031E-3</v>
      </c>
      <c r="BF74" s="637">
        <f t="shared" si="77"/>
        <v>7.2638742144472031E-3</v>
      </c>
      <c r="BG74" s="637">
        <f t="shared" si="77"/>
        <v>7.2638742144472031E-3</v>
      </c>
      <c r="BH74" s="637">
        <f t="shared" si="77"/>
        <v>7.2638742144472031E-3</v>
      </c>
      <c r="BI74" s="637">
        <f t="shared" si="77"/>
        <v>7.2638742144472031E-3</v>
      </c>
      <c r="BJ74" s="637">
        <f t="shared" si="77"/>
        <v>7.2638742144472031E-3</v>
      </c>
      <c r="BK74" s="637">
        <f t="shared" si="77"/>
        <v>7.2638742144472031E-3</v>
      </c>
      <c r="BL74" s="637">
        <f t="shared" si="77"/>
        <v>7.2638742144472031E-3</v>
      </c>
      <c r="BM74" s="637">
        <f t="shared" si="77"/>
        <v>7.2638742144472031E-3</v>
      </c>
      <c r="BN74" s="182"/>
    </row>
    <row r="75" spans="1:69" ht="14.25" customHeight="1" x14ac:dyDescent="0.3">
      <c r="A75" s="960"/>
      <c r="B75" s="944"/>
      <c r="C75" s="183"/>
      <c r="D75" s="185" t="s">
        <v>645</v>
      </c>
      <c r="E75" s="295">
        <f t="shared" ref="E75:P75" si="78">((E51*25)+(E63*298))/1000000</f>
        <v>3.3657949824E-2</v>
      </c>
      <c r="F75" s="295">
        <f t="shared" si="78"/>
        <v>4.5954622240000013E-2</v>
      </c>
      <c r="G75" s="295">
        <f t="shared" si="78"/>
        <v>3.7606228064000012E-2</v>
      </c>
      <c r="H75" s="295">
        <f t="shared" si="78"/>
        <v>3.7507901056000006E-2</v>
      </c>
      <c r="I75" s="295">
        <f t="shared" si="78"/>
        <v>3.6644164384000005E-2</v>
      </c>
      <c r="J75" s="295">
        <f t="shared" si="78"/>
        <v>4.0442230624E-2</v>
      </c>
      <c r="K75" s="295">
        <f t="shared" si="78"/>
        <v>3.0094497056000008E-2</v>
      </c>
      <c r="L75" s="295">
        <f t="shared" si="78"/>
        <v>3.4105687616000011E-2</v>
      </c>
      <c r="M75" s="295">
        <f t="shared" si="78"/>
        <v>3.2625834336000012E-2</v>
      </c>
      <c r="N75" s="637">
        <f t="shared" si="78"/>
        <v>2.8646948192000005E-2</v>
      </c>
      <c r="O75" s="637">
        <f t="shared" si="78"/>
        <v>3.1433610528000006E-2</v>
      </c>
      <c r="P75" s="637">
        <f t="shared" si="78"/>
        <v>3.2072417983999998E-2</v>
      </c>
      <c r="Q75" s="637">
        <f t="shared" ref="Q75:BM75" si="79">((Q51*25)+(Q63*298))/1000000</f>
        <v>3.0623172608000005E-2</v>
      </c>
      <c r="R75" s="637">
        <f t="shared" si="79"/>
        <v>3.0471479984387723E-2</v>
      </c>
      <c r="S75" s="637">
        <f t="shared" si="79"/>
        <v>3.232825274111531E-2</v>
      </c>
      <c r="T75" s="637">
        <f t="shared" si="79"/>
        <v>3.2384063436039376E-2</v>
      </c>
      <c r="U75" s="637">
        <f t="shared" si="79"/>
        <v>3.4327712256235647E-2</v>
      </c>
      <c r="V75" s="637">
        <f t="shared" si="79"/>
        <v>3.5181228824344268E-2</v>
      </c>
      <c r="W75" s="637">
        <f t="shared" si="79"/>
        <v>3.6073237650445754E-2</v>
      </c>
      <c r="X75" s="637">
        <f t="shared" si="79"/>
        <v>3.6867532402098849E-2</v>
      </c>
      <c r="Y75" s="637">
        <f t="shared" si="79"/>
        <v>3.7796280093852677E-2</v>
      </c>
      <c r="Z75" s="637">
        <f t="shared" si="79"/>
        <v>3.7327230648904371E-2</v>
      </c>
      <c r="AA75" s="637">
        <f t="shared" si="79"/>
        <v>3.8021647565288426E-2</v>
      </c>
      <c r="AB75" s="637">
        <f t="shared" si="79"/>
        <v>3.8861268101133627E-2</v>
      </c>
      <c r="AC75" s="637">
        <f t="shared" si="79"/>
        <v>3.9474245067600645E-2</v>
      </c>
      <c r="AD75" s="637">
        <f t="shared" si="79"/>
        <v>4.006057164534696E-2</v>
      </c>
      <c r="AE75" s="637">
        <f t="shared" si="79"/>
        <v>4.0627131118431636E-2</v>
      </c>
      <c r="AF75" s="637">
        <f t="shared" si="79"/>
        <v>4.1116496801473543E-2</v>
      </c>
      <c r="AG75" s="637">
        <f t="shared" si="79"/>
        <v>4.1543450935185071E-2</v>
      </c>
      <c r="AH75" s="637">
        <f t="shared" si="79"/>
        <v>4.215637739205217E-2</v>
      </c>
      <c r="AI75" s="637">
        <f t="shared" si="79"/>
        <v>4.2724340605644957E-2</v>
      </c>
      <c r="AJ75" s="637">
        <f t="shared" si="79"/>
        <v>4.3261121002875297E-2</v>
      </c>
      <c r="AK75" s="637">
        <f t="shared" si="79"/>
        <v>4.3779883914548755E-2</v>
      </c>
      <c r="AL75" s="637">
        <f t="shared" si="79"/>
        <v>4.4228995284280398E-2</v>
      </c>
      <c r="AM75" s="637">
        <f t="shared" si="79"/>
        <v>4.4729977500241686E-2</v>
      </c>
      <c r="AN75" s="637">
        <f t="shared" si="79"/>
        <v>4.5190695712120858E-2</v>
      </c>
      <c r="AO75" s="637">
        <f t="shared" si="79"/>
        <v>4.5721016828678379E-2</v>
      </c>
      <c r="AP75" s="637">
        <f t="shared" si="79"/>
        <v>4.6184048915231021E-2</v>
      </c>
      <c r="AQ75" s="637">
        <f t="shared" si="79"/>
        <v>4.6631418053257156E-2</v>
      </c>
      <c r="AR75" s="637">
        <f t="shared" si="79"/>
        <v>4.7078384052465193E-2</v>
      </c>
      <c r="AS75" s="637">
        <f t="shared" si="79"/>
        <v>4.7519223634331365E-2</v>
      </c>
      <c r="AT75" s="637">
        <f t="shared" si="79"/>
        <v>4.798609508911874E-2</v>
      </c>
      <c r="AU75" s="637">
        <f t="shared" si="79"/>
        <v>4.8421130208215819E-2</v>
      </c>
      <c r="AV75" s="637">
        <f t="shared" si="79"/>
        <v>4.8848687499561547E-2</v>
      </c>
      <c r="AW75" s="637">
        <f t="shared" si="79"/>
        <v>4.927396005566017E-2</v>
      </c>
      <c r="AX75" s="637">
        <f t="shared" si="79"/>
        <v>4.9691884373731836E-2</v>
      </c>
      <c r="AY75" s="637">
        <f t="shared" si="79"/>
        <v>5.0107598930068824E-2</v>
      </c>
      <c r="AZ75" s="637">
        <f t="shared" si="79"/>
        <v>5.0506068961045779E-2</v>
      </c>
      <c r="BA75" s="637">
        <f t="shared" si="79"/>
        <v>5.089774138462199E-2</v>
      </c>
      <c r="BB75" s="637">
        <f t="shared" si="79"/>
        <v>5.1282195488058076E-2</v>
      </c>
      <c r="BC75" s="637">
        <f t="shared" si="79"/>
        <v>5.1657908833046107E-2</v>
      </c>
      <c r="BD75" s="637">
        <f t="shared" si="79"/>
        <v>5.2023534351355601E-2</v>
      </c>
      <c r="BE75" s="637">
        <f t="shared" si="79"/>
        <v>5.2379771472356743E-2</v>
      </c>
      <c r="BF75" s="637">
        <f t="shared" si="79"/>
        <v>5.2726822769975937E-2</v>
      </c>
      <c r="BG75" s="637">
        <f t="shared" si="79"/>
        <v>5.3064587164943326E-2</v>
      </c>
      <c r="BH75" s="637">
        <f t="shared" si="79"/>
        <v>5.3392215245708016E-2</v>
      </c>
      <c r="BI75" s="637">
        <f t="shared" si="79"/>
        <v>5.3709495106224123E-2</v>
      </c>
      <c r="BJ75" s="637">
        <f t="shared" si="79"/>
        <v>5.4015963320957323E-2</v>
      </c>
      <c r="BK75" s="637">
        <f t="shared" si="79"/>
        <v>5.431197799195496E-2</v>
      </c>
      <c r="BL75" s="637">
        <f t="shared" si="79"/>
        <v>5.4597280470365876E-2</v>
      </c>
      <c r="BM75" s="637">
        <f t="shared" si="79"/>
        <v>5.4871608073080766E-2</v>
      </c>
      <c r="BN75" s="182"/>
    </row>
    <row r="76" spans="1:69" ht="14.25" customHeight="1" x14ac:dyDescent="0.3">
      <c r="A76" s="960"/>
      <c r="B76" s="944"/>
      <c r="C76" s="183"/>
      <c r="D76" s="185" t="s">
        <v>650</v>
      </c>
      <c r="E76" s="295">
        <f t="shared" ref="E76:P76" si="80">((E52*25)+(E64*298))/1000000</f>
        <v>1.2055202208000001E-3</v>
      </c>
      <c r="F76" s="295">
        <f t="shared" si="80"/>
        <v>1.2227928336000001E-3</v>
      </c>
      <c r="G76" s="295">
        <f t="shared" si="80"/>
        <v>9.6748898400000004E-4</v>
      </c>
      <c r="H76" s="295">
        <f t="shared" si="80"/>
        <v>1.1355072912000001E-3</v>
      </c>
      <c r="I76" s="295">
        <f t="shared" si="80"/>
        <v>7.4113187040000025E-4</v>
      </c>
      <c r="J76" s="295">
        <f t="shared" si="80"/>
        <v>7.1138989440000023E-4</v>
      </c>
      <c r="K76" s="295">
        <f t="shared" si="80"/>
        <v>8.3888277120000023E-4</v>
      </c>
      <c r="L76" s="295">
        <f t="shared" si="80"/>
        <v>5.7464042400000022E-4</v>
      </c>
      <c r="M76" s="295">
        <f t="shared" si="80"/>
        <v>4.9861548000000003E-4</v>
      </c>
      <c r="N76" s="637">
        <f t="shared" si="80"/>
        <v>5.029097760000001E-4</v>
      </c>
      <c r="O76" s="637">
        <f t="shared" si="80"/>
        <v>7.5958143840000017E-4</v>
      </c>
      <c r="P76" s="637">
        <f t="shared" si="80"/>
        <v>6.2566302240000008E-4</v>
      </c>
      <c r="Q76" s="637">
        <f t="shared" ref="Q76:BM76" si="81">((Q52*25)+(Q64*298))/1000000</f>
        <v>4.4021251987252246E-4</v>
      </c>
      <c r="R76" s="637">
        <f t="shared" si="81"/>
        <v>4.3803191654506079E-4</v>
      </c>
      <c r="S76" s="637">
        <f t="shared" si="81"/>
        <v>4.6472329253450248E-4</v>
      </c>
      <c r="T76" s="637">
        <f t="shared" si="81"/>
        <v>4.6552557931787584E-4</v>
      </c>
      <c r="U76" s="637">
        <f t="shared" si="81"/>
        <v>4.934658112408848E-4</v>
      </c>
      <c r="V76" s="637">
        <f t="shared" si="81"/>
        <v>5.0573523492241062E-4</v>
      </c>
      <c r="W76" s="637">
        <f t="shared" si="81"/>
        <v>5.1855799036036555E-4</v>
      </c>
      <c r="X76" s="637">
        <f t="shared" si="81"/>
        <v>5.2997609189486751E-4</v>
      </c>
      <c r="Y76" s="637">
        <f t="shared" si="81"/>
        <v>5.433269738216454E-4</v>
      </c>
      <c r="Z76" s="637">
        <f t="shared" si="81"/>
        <v>5.3658432044772402E-4</v>
      </c>
      <c r="AA76" s="637">
        <f t="shared" si="81"/>
        <v>5.4656666370511968E-4</v>
      </c>
      <c r="AB76" s="637">
        <f t="shared" si="81"/>
        <v>5.5863632992006213E-4</v>
      </c>
      <c r="AC76" s="637">
        <f t="shared" si="81"/>
        <v>5.6744796215968754E-4</v>
      </c>
      <c r="AD76" s="637">
        <f t="shared" si="81"/>
        <v>5.7587649122040649E-4</v>
      </c>
      <c r="AE76" s="637">
        <f t="shared" si="81"/>
        <v>5.840208653026366E-4</v>
      </c>
      <c r="AF76" s="637">
        <f t="shared" si="81"/>
        <v>5.9105556752727599E-4</v>
      </c>
      <c r="AG76" s="637">
        <f t="shared" si="81"/>
        <v>5.9719309473508868E-4</v>
      </c>
      <c r="AH76" s="637">
        <f t="shared" si="81"/>
        <v>6.0600400089193512E-4</v>
      </c>
      <c r="AI76" s="637">
        <f t="shared" si="81"/>
        <v>6.1416855394628674E-4</v>
      </c>
      <c r="AJ76" s="637">
        <f t="shared" si="81"/>
        <v>6.2188484952113525E-4</v>
      </c>
      <c r="AK76" s="637">
        <f t="shared" si="81"/>
        <v>6.2934214114429381E-4</v>
      </c>
      <c r="AL76" s="637">
        <f t="shared" si="81"/>
        <v>6.3579818181335639E-4</v>
      </c>
      <c r="AM76" s="637">
        <f t="shared" si="81"/>
        <v>6.4299987337297019E-4</v>
      </c>
      <c r="AN76" s="637">
        <f t="shared" si="81"/>
        <v>6.4962276407076541E-4</v>
      </c>
      <c r="AO76" s="637">
        <f t="shared" si="81"/>
        <v>6.5724620655498438E-4</v>
      </c>
      <c r="AP76" s="637">
        <f t="shared" si="81"/>
        <v>6.6390235953470275E-4</v>
      </c>
      <c r="AQ76" s="637">
        <f t="shared" si="81"/>
        <v>6.7033335537189538E-4</v>
      </c>
      <c r="AR76" s="637">
        <f t="shared" si="81"/>
        <v>6.7675855603047466E-4</v>
      </c>
      <c r="AS76" s="637">
        <f t="shared" si="81"/>
        <v>6.8309568855678124E-4</v>
      </c>
      <c r="AT76" s="637">
        <f t="shared" si="81"/>
        <v>6.8980703300823142E-4</v>
      </c>
      <c r="AU76" s="637">
        <f t="shared" si="81"/>
        <v>6.9606072554565142E-4</v>
      </c>
      <c r="AV76" s="637">
        <f t="shared" si="81"/>
        <v>7.0220692323138656E-4</v>
      </c>
      <c r="AW76" s="637">
        <f t="shared" si="81"/>
        <v>7.0832027751865283E-4</v>
      </c>
      <c r="AX76" s="637">
        <f t="shared" si="81"/>
        <v>7.1432799982520012E-4</v>
      </c>
      <c r="AY76" s="637">
        <f t="shared" si="81"/>
        <v>7.2030395648832468E-4</v>
      </c>
      <c r="AZ76" s="637">
        <f t="shared" si="81"/>
        <v>7.2603202061399363E-4</v>
      </c>
      <c r="BA76" s="637">
        <f t="shared" si="81"/>
        <v>7.3166236815355636E-4</v>
      </c>
      <c r="BB76" s="637">
        <f t="shared" si="81"/>
        <v>7.3718895130074852E-4</v>
      </c>
      <c r="BC76" s="637">
        <f t="shared" si="81"/>
        <v>7.4258988478546905E-4</v>
      </c>
      <c r="BD76" s="637">
        <f t="shared" si="81"/>
        <v>7.4784580430775508E-4</v>
      </c>
      <c r="BE76" s="637">
        <f t="shared" si="81"/>
        <v>7.5296676426560977E-4</v>
      </c>
      <c r="BF76" s="637">
        <f t="shared" si="81"/>
        <v>7.5795567668842203E-4</v>
      </c>
      <c r="BG76" s="637">
        <f t="shared" si="81"/>
        <v>7.6281108854711925E-4</v>
      </c>
      <c r="BH76" s="637">
        <f t="shared" si="81"/>
        <v>7.6752078942823399E-4</v>
      </c>
      <c r="BI76" s="637">
        <f t="shared" si="81"/>
        <v>7.7208173315181474E-4</v>
      </c>
      <c r="BJ76" s="637">
        <f t="shared" si="81"/>
        <v>7.7648725790901421E-4</v>
      </c>
      <c r="BK76" s="637">
        <f t="shared" si="81"/>
        <v>7.8074251146837488E-4</v>
      </c>
      <c r="BL76" s="637">
        <f t="shared" si="81"/>
        <v>7.8484377571538301E-4</v>
      </c>
      <c r="BM76" s="637">
        <f t="shared" si="81"/>
        <v>7.8878727454248228E-4</v>
      </c>
      <c r="BN76" s="182"/>
    </row>
    <row r="77" spans="1:69" ht="15" customHeight="1" x14ac:dyDescent="0.3">
      <c r="A77" s="48"/>
      <c r="B77" s="84"/>
      <c r="C77" s="183"/>
      <c r="D77" s="179" t="s">
        <v>688</v>
      </c>
      <c r="E77" s="626">
        <f t="shared" ref="E77:BM77" si="82">SUM(E73:E76)</f>
        <v>5.7340122801600002E-2</v>
      </c>
      <c r="F77" s="626">
        <f t="shared" si="82"/>
        <v>6.6338471931200016E-2</v>
      </c>
      <c r="G77" s="626">
        <f t="shared" si="82"/>
        <v>5.9916877121600022E-2</v>
      </c>
      <c r="H77" s="626">
        <f t="shared" si="82"/>
        <v>6.1580455582400016E-2</v>
      </c>
      <c r="I77" s="626">
        <f t="shared" si="82"/>
        <v>5.7561655459200015E-2</v>
      </c>
      <c r="J77" s="626">
        <f t="shared" si="82"/>
        <v>6.0541706605039124E-2</v>
      </c>
      <c r="K77" s="626">
        <f t="shared" si="82"/>
        <v>5.0940787643200008E-2</v>
      </c>
      <c r="L77" s="626">
        <f t="shared" si="82"/>
        <v>5.4803257720000012E-2</v>
      </c>
      <c r="M77" s="626">
        <f t="shared" si="82"/>
        <v>5.0822254470400015E-2</v>
      </c>
      <c r="N77" s="626">
        <f t="shared" si="82"/>
        <v>4.5773947246400014E-2</v>
      </c>
      <c r="O77" s="626">
        <f t="shared" si="82"/>
        <v>5.1616324584000013E-2</v>
      </c>
      <c r="P77" s="626">
        <f t="shared" si="82"/>
        <v>5.2900792697599994E-2</v>
      </c>
      <c r="Q77" s="626">
        <f t="shared" si="82"/>
        <v>5.0772945521472525E-2</v>
      </c>
      <c r="R77" s="626">
        <f t="shared" si="82"/>
        <v>5.0521440512071143E-2</v>
      </c>
      <c r="S77" s="626">
        <f t="shared" si="82"/>
        <v>5.3599953089127114E-2</v>
      </c>
      <c r="T77" s="626">
        <f t="shared" si="82"/>
        <v>5.3692486720738966E-2</v>
      </c>
      <c r="U77" s="626">
        <f t="shared" si="82"/>
        <v>5.6915039031825092E-2</v>
      </c>
      <c r="V77" s="626">
        <f t="shared" si="82"/>
        <v>5.8149554500878109E-2</v>
      </c>
      <c r="W77" s="626">
        <f t="shared" si="82"/>
        <v>5.9439744680541938E-2</v>
      </c>
      <c r="X77" s="626">
        <f t="shared" si="82"/>
        <v>6.0588602470234634E-2</v>
      </c>
      <c r="Y77" s="626">
        <f t="shared" si="82"/>
        <v>6.1931931276209828E-2</v>
      </c>
      <c r="Z77" s="626">
        <f t="shared" si="82"/>
        <v>6.1253504146408955E-2</v>
      </c>
      <c r="AA77" s="626">
        <f t="shared" si="82"/>
        <v>6.2257899910099758E-2</v>
      </c>
      <c r="AB77" s="626">
        <f t="shared" si="82"/>
        <v>6.3472316335468529E-2</v>
      </c>
      <c r="AC77" s="626">
        <f t="shared" si="82"/>
        <v>6.4358918395172687E-2</v>
      </c>
      <c r="AD77" s="626">
        <f t="shared" si="82"/>
        <v>6.5206973672820939E-2</v>
      </c>
      <c r="AE77" s="626">
        <f t="shared" si="82"/>
        <v>6.6026438062611853E-2</v>
      </c>
      <c r="AF77" s="626">
        <f t="shared" si="82"/>
        <v>6.673425033985643E-2</v>
      </c>
      <c r="AG77" s="626">
        <f t="shared" si="82"/>
        <v>6.7351791348827128E-2</v>
      </c>
      <c r="AH77" s="626">
        <f t="shared" si="82"/>
        <v>6.8238320352090709E-2</v>
      </c>
      <c r="AI77" s="626">
        <f t="shared" si="82"/>
        <v>6.9059815094233937E-2</v>
      </c>
      <c r="AJ77" s="626">
        <f t="shared" si="82"/>
        <v>6.9836207408836254E-2</v>
      </c>
      <c r="AK77" s="626">
        <f t="shared" si="82"/>
        <v>7.058653946232063E-2</v>
      </c>
      <c r="AL77" s="626">
        <f t="shared" si="82"/>
        <v>7.123612841463578E-2</v>
      </c>
      <c r="AM77" s="626">
        <f t="shared" si="82"/>
        <v>7.1960742696810978E-2</v>
      </c>
      <c r="AN77" s="626">
        <f t="shared" si="82"/>
        <v>7.2627119637448057E-2</v>
      </c>
      <c r="AO77" s="626">
        <f t="shared" si="82"/>
        <v>7.3394169330937328E-2</v>
      </c>
      <c r="AP77" s="626">
        <f t="shared" si="82"/>
        <v>7.4063893030365729E-2</v>
      </c>
      <c r="AQ77" s="626">
        <f t="shared" si="82"/>
        <v>7.4710962040981446E-2</v>
      </c>
      <c r="AR77" s="626">
        <f t="shared" si="82"/>
        <v>7.535744795675671E-2</v>
      </c>
      <c r="AS77" s="626">
        <f t="shared" si="82"/>
        <v>7.5995072700691849E-2</v>
      </c>
      <c r="AT77" s="626">
        <f t="shared" si="82"/>
        <v>7.6670349613325792E-2</v>
      </c>
      <c r="AU77" s="626">
        <f t="shared" si="82"/>
        <v>7.7299578856405121E-2</v>
      </c>
      <c r="AV77" s="626">
        <f t="shared" si="82"/>
        <v>7.791799226487868E-2</v>
      </c>
      <c r="AW77" s="626">
        <f t="shared" si="82"/>
        <v>7.8533101061455265E-2</v>
      </c>
      <c r="AX77" s="626">
        <f t="shared" si="82"/>
        <v>7.9137581460349229E-2</v>
      </c>
      <c r="AY77" s="626">
        <f t="shared" si="82"/>
        <v>7.9738865688077545E-2</v>
      </c>
      <c r="AZ77" s="626">
        <f t="shared" si="82"/>
        <v>8.0315207654449883E-2</v>
      </c>
      <c r="BA77" s="626">
        <f t="shared" si="82"/>
        <v>8.0881717648248613E-2</v>
      </c>
      <c r="BB77" s="626">
        <f t="shared" si="82"/>
        <v>8.143778715593783E-2</v>
      </c>
      <c r="BC77" s="626">
        <f t="shared" si="82"/>
        <v>8.1981214142182762E-2</v>
      </c>
      <c r="BD77" s="626">
        <f t="shared" si="82"/>
        <v>8.2510050224690018E-2</v>
      </c>
      <c r="BE77" s="626">
        <f t="shared" si="82"/>
        <v>8.3025307049172478E-2</v>
      </c>
      <c r="BF77" s="626">
        <f t="shared" si="82"/>
        <v>8.3527277615971479E-2</v>
      </c>
      <c r="BG77" s="626">
        <f t="shared" si="82"/>
        <v>8.4015815725321352E-2</v>
      </c>
      <c r="BH77" s="626">
        <f t="shared" si="82"/>
        <v>8.4489692799197547E-2</v>
      </c>
      <c r="BI77" s="626">
        <f t="shared" si="82"/>
        <v>8.4948602339400228E-2</v>
      </c>
      <c r="BJ77" s="626">
        <f t="shared" si="82"/>
        <v>8.5391874053152211E-2</v>
      </c>
      <c r="BK77" s="626">
        <f t="shared" si="82"/>
        <v>8.5820025894683544E-2</v>
      </c>
      <c r="BL77" s="626">
        <f t="shared" si="82"/>
        <v>8.6232683757597614E-2</v>
      </c>
      <c r="BM77" s="626">
        <f t="shared" si="82"/>
        <v>8.6629467700398199E-2</v>
      </c>
      <c r="BN77" s="197"/>
      <c r="BO77" s="50"/>
      <c r="BP77" s="50"/>
      <c r="BQ77" s="50"/>
    </row>
    <row r="78" spans="1:69" ht="14.25" hidden="1" customHeight="1" x14ac:dyDescent="0.3">
      <c r="A78" s="960"/>
      <c r="B78" s="944"/>
      <c r="C78" s="183"/>
      <c r="D78" s="184" t="s">
        <v>689</v>
      </c>
      <c r="E78" s="180"/>
      <c r="F78" s="180"/>
      <c r="G78" s="180"/>
      <c r="H78" s="180"/>
      <c r="I78" s="180"/>
      <c r="J78" s="180"/>
      <c r="K78" s="181"/>
      <c r="L78" s="181"/>
      <c r="M78" s="181"/>
      <c r="N78" s="181"/>
      <c r="O78" s="181"/>
      <c r="P78" s="181"/>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c r="BN78" s="182"/>
    </row>
    <row r="79" spans="1:69" ht="14.25" hidden="1" customHeight="1" x14ac:dyDescent="0.3">
      <c r="A79" s="960"/>
      <c r="B79" s="944"/>
      <c r="C79" s="183"/>
      <c r="D79" s="185" t="s">
        <v>690</v>
      </c>
      <c r="E79" s="296">
        <v>18.77</v>
      </c>
      <c r="F79" s="296"/>
      <c r="G79" s="296">
        <v>21.12</v>
      </c>
      <c r="H79" s="296"/>
      <c r="I79" s="296">
        <v>20.7</v>
      </c>
      <c r="J79" s="296"/>
      <c r="K79" s="296">
        <v>19.510000000000002</v>
      </c>
      <c r="L79" s="296"/>
      <c r="M79" s="296">
        <v>21.52</v>
      </c>
      <c r="N79" s="296"/>
      <c r="O79" s="296"/>
      <c r="P79" s="296"/>
      <c r="Q79" s="291"/>
      <c r="R79" s="291"/>
      <c r="S79" s="291"/>
      <c r="T79" s="291"/>
      <c r="U79" s="291"/>
      <c r="V79" s="291"/>
      <c r="W79" s="291"/>
      <c r="X79" s="291"/>
      <c r="Y79" s="291"/>
      <c r="Z79" s="291"/>
      <c r="AA79" s="291"/>
      <c r="AB79" s="291"/>
      <c r="AC79" s="291"/>
      <c r="AD79" s="291"/>
      <c r="AE79" s="291"/>
      <c r="AF79" s="291"/>
      <c r="AG79" s="291"/>
      <c r="AH79" s="291"/>
      <c r="AI79" s="291"/>
      <c r="AJ79" s="291"/>
      <c r="AK79" s="291"/>
      <c r="AL79" s="291"/>
      <c r="AM79" s="291"/>
      <c r="AN79" s="291"/>
      <c r="AO79" s="291"/>
      <c r="AP79" s="291"/>
      <c r="AQ79" s="291"/>
      <c r="AR79" s="291"/>
      <c r="AS79" s="291"/>
      <c r="AT79" s="291"/>
      <c r="AU79" s="291"/>
      <c r="AV79" s="291"/>
      <c r="AW79" s="291"/>
      <c r="AX79" s="291"/>
      <c r="AY79" s="291"/>
      <c r="AZ79" s="291"/>
      <c r="BA79" s="291"/>
      <c r="BB79" s="291"/>
      <c r="BC79" s="291"/>
      <c r="BD79" s="291"/>
      <c r="BE79" s="291"/>
      <c r="BF79" s="291"/>
      <c r="BG79" s="291"/>
      <c r="BH79" s="291"/>
      <c r="BI79" s="291"/>
      <c r="BJ79" s="291"/>
      <c r="BK79" s="291"/>
      <c r="BL79" s="291"/>
      <c r="BM79" s="291"/>
      <c r="BN79" s="182"/>
    </row>
    <row r="80" spans="1:69" ht="14.25" hidden="1" customHeight="1" x14ac:dyDescent="0.3">
      <c r="A80" s="960"/>
      <c r="B80" s="944"/>
      <c r="C80" s="183"/>
      <c r="D80" s="185" t="s">
        <v>691</v>
      </c>
      <c r="E80" s="296">
        <v>202.62</v>
      </c>
      <c r="F80" s="296"/>
      <c r="G80" s="296">
        <v>216.54</v>
      </c>
      <c r="H80" s="296"/>
      <c r="I80" s="296">
        <v>215.79</v>
      </c>
      <c r="J80" s="296"/>
      <c r="K80" s="296">
        <v>189.02</v>
      </c>
      <c r="L80" s="296"/>
      <c r="M80" s="296">
        <v>187.2</v>
      </c>
      <c r="N80" s="296"/>
      <c r="O80" s="296"/>
      <c r="P80" s="296"/>
      <c r="Q80" s="291"/>
      <c r="R80" s="291"/>
      <c r="S80" s="291"/>
      <c r="T80" s="291"/>
      <c r="U80" s="291"/>
      <c r="V80" s="291"/>
      <c r="W80" s="291"/>
      <c r="X80" s="291"/>
      <c r="Y80" s="291"/>
      <c r="Z80" s="291"/>
      <c r="AA80" s="291"/>
      <c r="AB80" s="291"/>
      <c r="AC80" s="291"/>
      <c r="AD80" s="291"/>
      <c r="AE80" s="291"/>
      <c r="AF80" s="291"/>
      <c r="AG80" s="291"/>
      <c r="AH80" s="291"/>
      <c r="AI80" s="291"/>
      <c r="AJ80" s="291"/>
      <c r="AK80" s="291"/>
      <c r="AL80" s="291"/>
      <c r="AM80" s="291"/>
      <c r="AN80" s="291"/>
      <c r="AO80" s="291"/>
      <c r="AP80" s="291"/>
      <c r="AQ80" s="291"/>
      <c r="AR80" s="291"/>
      <c r="AS80" s="291"/>
      <c r="AT80" s="291"/>
      <c r="AU80" s="291"/>
      <c r="AV80" s="291"/>
      <c r="AW80" s="291"/>
      <c r="AX80" s="291"/>
      <c r="AY80" s="291"/>
      <c r="AZ80" s="291"/>
      <c r="BA80" s="291"/>
      <c r="BB80" s="291"/>
      <c r="BC80" s="291"/>
      <c r="BD80" s="291"/>
      <c r="BE80" s="291"/>
      <c r="BF80" s="291"/>
      <c r="BG80" s="291"/>
      <c r="BH80" s="291"/>
      <c r="BI80" s="291"/>
      <c r="BJ80" s="291"/>
      <c r="BK80" s="291"/>
      <c r="BL80" s="291"/>
      <c r="BM80" s="291"/>
      <c r="BN80" s="182"/>
    </row>
    <row r="81" spans="1:69" ht="15" hidden="1" customHeight="1" x14ac:dyDescent="0.3">
      <c r="A81" s="48"/>
      <c r="B81" s="84"/>
      <c r="C81" s="183"/>
      <c r="D81" s="179" t="s">
        <v>692</v>
      </c>
      <c r="E81" s="297">
        <f t="shared" ref="E81:P81" si="83">SUM(E79:E80)</f>
        <v>221.39000000000001</v>
      </c>
      <c r="F81" s="297">
        <f t="shared" si="83"/>
        <v>0</v>
      </c>
      <c r="G81" s="297">
        <f t="shared" si="83"/>
        <v>237.66</v>
      </c>
      <c r="H81" s="297">
        <f t="shared" si="83"/>
        <v>0</v>
      </c>
      <c r="I81" s="297">
        <f t="shared" si="83"/>
        <v>236.48999999999998</v>
      </c>
      <c r="J81" s="297">
        <f t="shared" si="83"/>
        <v>0</v>
      </c>
      <c r="K81" s="297">
        <f t="shared" si="83"/>
        <v>208.53</v>
      </c>
      <c r="L81" s="297">
        <f t="shared" si="83"/>
        <v>0</v>
      </c>
      <c r="M81" s="297">
        <f t="shared" si="83"/>
        <v>208.72</v>
      </c>
      <c r="N81" s="297">
        <f t="shared" si="83"/>
        <v>0</v>
      </c>
      <c r="O81" s="297">
        <f t="shared" si="83"/>
        <v>0</v>
      </c>
      <c r="P81" s="297">
        <f t="shared" si="83"/>
        <v>0</v>
      </c>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79"/>
      <c r="BN81" s="197"/>
      <c r="BO81" s="50"/>
      <c r="BP81" s="50"/>
      <c r="BQ81" s="50"/>
    </row>
    <row r="82" spans="1:69" ht="14.25" customHeight="1" x14ac:dyDescent="0.3">
      <c r="A82" s="960"/>
      <c r="B82" s="944"/>
      <c r="C82" s="183"/>
      <c r="D82" s="184" t="s">
        <v>693</v>
      </c>
      <c r="E82" s="180"/>
      <c r="F82" s="180"/>
      <c r="G82" s="180"/>
      <c r="H82" s="180"/>
      <c r="I82" s="180"/>
      <c r="J82" s="180"/>
      <c r="K82" s="181"/>
      <c r="L82" s="181"/>
      <c r="M82" s="181"/>
      <c r="N82" s="181"/>
      <c r="O82" s="181"/>
      <c r="P82" s="181"/>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2"/>
    </row>
    <row r="83" spans="1:69" ht="14.25" customHeight="1" x14ac:dyDescent="0.3">
      <c r="A83" s="1178" t="s">
        <v>98</v>
      </c>
      <c r="B83" s="944"/>
      <c r="C83" s="183"/>
      <c r="D83" s="185" t="s">
        <v>694</v>
      </c>
      <c r="E83" s="298">
        <f t="shared" ref="E83:E84" si="84">E79/1000</f>
        <v>1.8769999999999998E-2</v>
      </c>
      <c r="F83" s="298">
        <v>0.02</v>
      </c>
      <c r="G83" s="298">
        <f t="shared" ref="G83:G84" si="85">G79/1000</f>
        <v>2.112E-2</v>
      </c>
      <c r="H83" s="298">
        <v>0.02</v>
      </c>
      <c r="I83" s="298">
        <f t="shared" ref="I83:I84" si="86">I79/1000</f>
        <v>2.07E-2</v>
      </c>
      <c r="J83" s="298">
        <v>0.02</v>
      </c>
      <c r="K83" s="298">
        <f t="shared" ref="K83:K84" si="87">K79/1000</f>
        <v>1.9510000000000003E-2</v>
      </c>
      <c r="L83" s="298">
        <v>0.02</v>
      </c>
      <c r="M83" s="298">
        <f t="shared" ref="M83:M84" si="88">M79/1000</f>
        <v>2.1520000000000001E-2</v>
      </c>
      <c r="N83" s="624">
        <f>M83*(1+Driver_macroeconómicos_Agricult!E$8)</f>
        <v>2.1829181249723911E-2</v>
      </c>
      <c r="O83" s="624">
        <f>N83*(1+Driver_macroeconómicos_Agricult!F$8)</f>
        <v>2.21359340832341E-2</v>
      </c>
      <c r="P83" s="624">
        <f>O83*(1+Driver_macroeconómicos_Agricult!G$8)</f>
        <v>2.2440129558076741E-2</v>
      </c>
      <c r="Q83" s="624">
        <f>P83*(1+Driver_macroeconómicos_Agricult!H$8)</f>
        <v>2.2741798013652736E-2</v>
      </c>
      <c r="R83" s="624">
        <f>Q83*(1+Driver_macroeconómicos_Agricult!I$8)</f>
        <v>2.3040893940860733E-2</v>
      </c>
      <c r="S83" s="624">
        <f>R83*(1+Driver_macroeconómicos_Agricult!J$8)</f>
        <v>2.3337239095720441E-2</v>
      </c>
      <c r="T83" s="624">
        <f>S83*(1+Driver_macroeconómicos_Agricult!K$8)</f>
        <v>2.3630777855996883E-2</v>
      </c>
      <c r="U83" s="624">
        <f>T83*(1+Driver_macroeconómicos_Agricult!L$8)</f>
        <v>2.3921181544846966E-2</v>
      </c>
      <c r="V83" s="624">
        <f>U83*(1+Driver_macroeconómicos_Agricult!M$8)</f>
        <v>2.4208340181942428E-2</v>
      </c>
      <c r="W83" s="624">
        <f>V83*(1+Driver_macroeconómicos_Agricult!N$8)</f>
        <v>2.4492047712185491E-2</v>
      </c>
      <c r="X83" s="624">
        <f>W83*(1+Driver_macroeconómicos_Agricult!O$8)</f>
        <v>2.4772263683041622E-2</v>
      </c>
      <c r="Y83" s="624">
        <f>X83*(1+Driver_macroeconómicos_Agricult!P$8)</f>
        <v>2.5048673323226477E-2</v>
      </c>
      <c r="Z83" s="624">
        <f>Y83*(1+Driver_macroeconómicos_Agricult!Q$8)</f>
        <v>2.5321128728160669E-2</v>
      </c>
      <c r="AA83" s="624">
        <f>Z83*(1+Driver_macroeconómicos_Agricult!R$8)</f>
        <v>2.5589439012446868E-2</v>
      </c>
      <c r="AB83" s="624">
        <f>AA83*(1+Driver_macroeconómicos_Agricult!S$8)</f>
        <v>2.5853382951286846E-2</v>
      </c>
      <c r="AC83" s="624">
        <f>AB83*(1+Driver_macroeconómicos_Agricult!T$8)</f>
        <v>2.6112851828494044E-2</v>
      </c>
      <c r="AD83" s="624">
        <f>AC83*(1+Driver_macroeconómicos_Agricult!U$8)</f>
        <v>2.6367656022812831E-2</v>
      </c>
      <c r="AE83" s="624">
        <f>AD83*(1+Driver_macroeconómicos_Agricult!V$8)</f>
        <v>2.6617684289773246E-2</v>
      </c>
      <c r="AF83" s="624">
        <f>AE83*(1+Driver_macroeconómicos_Agricult!W$8)</f>
        <v>2.6862722989427278E-2</v>
      </c>
      <c r="AG83" s="624">
        <f>AF83*(1+Driver_macroeconómicos_Agricult!X$8)</f>
        <v>2.710268742428075E-2</v>
      </c>
      <c r="AH83" s="624">
        <f>AG83*(1+Driver_macroeconómicos_Agricult!Y$8)</f>
        <v>2.7337419576620635E-2</v>
      </c>
      <c r="AI83" s="624">
        <f>AH83*(1+Driver_macroeconómicos_Agricult!Z$8)</f>
        <v>2.7566809466118673E-2</v>
      </c>
      <c r="AJ83" s="624">
        <f>AI83*(1+Driver_macroeconómicos_Agricult!AA$8)</f>
        <v>2.7790828017515666E-2</v>
      </c>
      <c r="AK83" s="624">
        <f>AJ83*(1+Driver_macroeconómicos_Agricult!AB$8)</f>
        <v>2.8009398118167661E-2</v>
      </c>
      <c r="AL83" s="624">
        <f>AK83*(1+Driver_macroeconómicos_Agricult!AC$8)</f>
        <v>2.822238450491231E-2</v>
      </c>
      <c r="AM83" s="624">
        <f>AL83*(1+Driver_macroeconómicos_Agricult!AD$8)</f>
        <v>2.8429759366632123E-2</v>
      </c>
      <c r="AN83" s="624">
        <f>AM83*(1+Driver_macroeconómicos_Agricult!AE$8)</f>
        <v>2.8631387440164757E-2</v>
      </c>
      <c r="AO83" s="624">
        <f>AN83*(1+Driver_macroeconómicos_Agricult!AF$8)</f>
        <v>2.8827234593684196E-2</v>
      </c>
      <c r="AP83" s="624">
        <f>AO83*(1+Driver_macroeconómicos_Agricult!AG$8)</f>
        <v>2.9017332430733043E-2</v>
      </c>
      <c r="AQ83" s="624">
        <f>AP83*(1+Driver_macroeconómicos_Agricult!AH$8)</f>
        <v>2.9201517877031454E-2</v>
      </c>
      <c r="AR83" s="624">
        <f>AQ83*(1+Driver_macroeconómicos_Agricult!AI$8)</f>
        <v>2.9379840234105899E-2</v>
      </c>
      <c r="AS83" s="624">
        <f>AR83*(1+Driver_macroeconómicos_Agricult!AJ$8)</f>
        <v>2.9552361444899884E-2</v>
      </c>
      <c r="AT83" s="624">
        <f>AS83*(1+Driver_macroeconómicos_Agricult!AK$8)</f>
        <v>2.9718965165513821E-2</v>
      </c>
      <c r="AU83" s="624">
        <f>AT83*(1+Driver_macroeconómicos_Agricult!AL$8)</f>
        <v>2.9879538504849115E-2</v>
      </c>
      <c r="AV83" s="624">
        <f>AU83*(1+Driver_macroeconómicos_Agricult!AM$8)</f>
        <v>3.0033972151592932E-2</v>
      </c>
      <c r="AW83" s="624">
        <f>AV83*(1+Driver_macroeconómicos_Agricult!AN$8)</f>
        <v>3.0182160497780768E-2</v>
      </c>
      <c r="AX83" s="624">
        <f>AW83*(1+Driver_macroeconómicos_Agricult!AO$8)</f>
        <v>3.032400175874209E-2</v>
      </c>
      <c r="AY83" s="624">
        <f>AX83*(1+Driver_macroeconómicos_Agricult!AP$8)</f>
        <v>3.0459398089239052E-2</v>
      </c>
      <c r="AZ83" s="624">
        <f>AY83*(1+Driver_macroeconómicos_Agricult!AQ$8)</f>
        <v>3.0588255695613371E-2</v>
      </c>
      <c r="BA83" s="624">
        <f>AZ83*(1+Driver_macroeconómicos_Agricult!AR$8)</f>
        <v>3.0710484943761988E-2</v>
      </c>
      <c r="BB83" s="624">
        <f>BA83*(1+Driver_macroeconómicos_Agricult!AS$8)</f>
        <v>3.0826000462768066E-2</v>
      </c>
      <c r="BC83" s="624">
        <f>BB83*(1+Driver_macroeconómicos_Agricult!AT$8)</f>
        <v>3.0934721244020007E-2</v>
      </c>
      <c r="BD83" s="624">
        <f>BC83*(1+Driver_macroeconómicos_Agricult!AU$8)</f>
        <v>3.1036570735657874E-2</v>
      </c>
      <c r="BE83" s="624">
        <f>BD83*(1+Driver_macroeconómicos_Agricult!AV$8)</f>
        <v>3.1131476932193432E-2</v>
      </c>
      <c r="BF83" s="624">
        <f>BE83*(1+Driver_macroeconómicos_Agricult!AW$8)</f>
        <v>3.1219372459157249E-2</v>
      </c>
      <c r="BG83" s="624">
        <f>BF83*(1+Driver_macroeconómicos_Agricult!AX$8)</f>
        <v>3.1300194652633957E-2</v>
      </c>
      <c r="BH83" s="624">
        <f>BG83*(1+Driver_macroeconómicos_Agricult!AY$8)</f>
        <v>3.1373885633554442E-2</v>
      </c>
      <c r="BI83" s="624">
        <f>BH83*(1+Driver_macroeconómicos_Agricult!AZ$8)</f>
        <v>3.1440392376622037E-2</v>
      </c>
      <c r="BJ83" s="624">
        <f>BI83*(1+Driver_macroeconómicos_Agricult!BA$8)</f>
        <v>3.1499666773757935E-2</v>
      </c>
      <c r="BK83" s="624">
        <f>BJ83*(1+Driver_macroeconómicos_Agricult!BB$8)</f>
        <v>3.1551665691959919E-2</v>
      </c>
      <c r="BL83" s="624">
        <f>BK83*(1+Driver_macroeconómicos_Agricult!BC$8)</f>
        <v>3.1596351025477122E-2</v>
      </c>
      <c r="BM83" s="624">
        <f>BL83*(1+Driver_macroeconómicos_Agricult!BD$8)</f>
        <v>3.1633689742212763E-2</v>
      </c>
      <c r="BN83" s="182"/>
    </row>
    <row r="84" spans="1:69" ht="14.25" customHeight="1" x14ac:dyDescent="0.3">
      <c r="A84" s="982"/>
      <c r="B84" s="944"/>
      <c r="C84" s="183"/>
      <c r="D84" s="185" t="s">
        <v>695</v>
      </c>
      <c r="E84" s="298">
        <f t="shared" si="84"/>
        <v>0.20261999999999999</v>
      </c>
      <c r="F84" s="298">
        <v>0.21</v>
      </c>
      <c r="G84" s="298">
        <f t="shared" si="85"/>
        <v>0.21653999999999998</v>
      </c>
      <c r="H84" s="298">
        <v>0.22</v>
      </c>
      <c r="I84" s="298">
        <f t="shared" si="86"/>
        <v>0.21578999999999998</v>
      </c>
      <c r="J84" s="298">
        <v>0.21</v>
      </c>
      <c r="K84" s="298">
        <f t="shared" si="87"/>
        <v>0.18902000000000002</v>
      </c>
      <c r="L84" s="298">
        <v>0.19</v>
      </c>
      <c r="M84" s="298">
        <f t="shared" si="88"/>
        <v>0.18719999999999998</v>
      </c>
      <c r="N84" s="624">
        <f>M84*(1+Driver_macroeconómicos_Agricult!E$8)</f>
        <v>0.18988953206079534</v>
      </c>
      <c r="O84" s="624">
        <f>N84*(1+Driver_macroeconómicos_Agricult!F$8)</f>
        <v>0.19255793960880219</v>
      </c>
      <c r="P84" s="624">
        <f>O84*(1+Driver_macroeconómicos_Agricult!G$8)</f>
        <v>0.19520410098847424</v>
      </c>
      <c r="Q84" s="624">
        <f>P84*(1+Driver_macroeconómicos_Agricult!H$8)</f>
        <v>0.19782828011876355</v>
      </c>
      <c r="R84" s="624">
        <f>Q84*(1+Driver_macroeconómicos_Agricult!I$8)</f>
        <v>0.20043008112124203</v>
      </c>
      <c r="S84" s="624">
        <f>R84*(1+Driver_macroeconómicos_Agricult!J$8)</f>
        <v>0.20300795347206627</v>
      </c>
      <c r="T84" s="624">
        <f>S84*(1+Driver_macroeconómicos_Agricult!K$8)</f>
        <v>0.20556141331982414</v>
      </c>
      <c r="U84" s="624">
        <f>T84*(1+Driver_macroeconómicos_Agricult!L$8)</f>
        <v>0.20808760154253489</v>
      </c>
      <c r="V84" s="624">
        <f>U84*(1+Driver_macroeconómicos_Agricult!M$8)</f>
        <v>0.21058556143399729</v>
      </c>
      <c r="W84" s="624">
        <f>V84*(1+Driver_macroeconómicos_Agricult!N$8)</f>
        <v>0.21305350054466182</v>
      </c>
      <c r="X84" s="624">
        <f>W84*(1+Driver_macroeconómicos_Agricult!O$8)</f>
        <v>0.21549106698259249</v>
      </c>
      <c r="Y84" s="624">
        <f>X84*(1+Driver_macroeconómicos_Agricult!P$8)</f>
        <v>0.21789552258866149</v>
      </c>
      <c r="Z84" s="624">
        <f>Y84*(1+Driver_macroeconómicos_Agricult!Q$8)</f>
        <v>0.2202655807579775</v>
      </c>
      <c r="AA84" s="624">
        <f>Z84*(1+Driver_macroeconómicos_Agricult!R$8)</f>
        <v>0.22259958100046712</v>
      </c>
      <c r="AB84" s="624">
        <f>AA84*(1+Driver_macroeconómicos_Agricult!S$8)</f>
        <v>0.22489559890710484</v>
      </c>
      <c r="AC84" s="624">
        <f>AB84*(1+Driver_macroeconómicos_Agricult!T$8)</f>
        <v>0.22715268876831243</v>
      </c>
      <c r="AD84" s="624">
        <f>AC84*(1+Driver_macroeconómicos_Agricult!U$8)</f>
        <v>0.22936920109063944</v>
      </c>
      <c r="AE84" s="624">
        <f>AD84*(1+Driver_macroeconómicos_Agricult!V$8)</f>
        <v>0.23154416817126161</v>
      </c>
      <c r="AF84" s="624">
        <f>AE84*(1+Driver_macroeconómicos_Agricult!W$8)</f>
        <v>0.23367573158089147</v>
      </c>
      <c r="AG84" s="624">
        <f>AF84*(1+Driver_macroeconómicos_Agricult!X$8)</f>
        <v>0.23576315454578783</v>
      </c>
      <c r="AH84" s="624">
        <f>AG84*(1+Driver_macroeconómicos_Agricult!Y$8)</f>
        <v>0.23780506248807531</v>
      </c>
      <c r="AI84" s="624">
        <f>AH84*(1+Driver_macroeconómicos_Agricult!Z$8)</f>
        <v>0.23980049870155265</v>
      </c>
      <c r="AJ84" s="624">
        <f>AI84*(1+Driver_macroeconómicos_Agricult!AA$8)</f>
        <v>0.24174921026389079</v>
      </c>
      <c r="AK84" s="624">
        <f>AJ84*(1+Driver_macroeconómicos_Agricult!AB$8)</f>
        <v>0.24365052638108659</v>
      </c>
      <c r="AL84" s="624">
        <f>AK84*(1+Driver_macroeconómicos_Agricult!AC$8)</f>
        <v>0.2455032704144787</v>
      </c>
      <c r="AM84" s="624">
        <f>AL84*(1+Driver_macroeconómicos_Agricult!AD$8)</f>
        <v>0.24730720043836107</v>
      </c>
      <c r="AN84" s="624">
        <f>AM84*(1+Driver_macroeconómicos_Agricult!AE$8)</f>
        <v>0.24906113981407244</v>
      </c>
      <c r="AO84" s="624">
        <f>AN84*(1+Driver_macroeconómicos_Agricult!AF$8)</f>
        <v>0.25076479163279169</v>
      </c>
      <c r="AP84" s="624">
        <f>AO84*(1+Driver_macroeconómicos_Agricult!AG$8)</f>
        <v>0.25241843081009391</v>
      </c>
      <c r="AQ84" s="624">
        <f>AP84*(1+Driver_macroeconómicos_Agricult!AH$8)</f>
        <v>0.25402063878161169</v>
      </c>
      <c r="AR84" s="624">
        <f>AQ84*(1+Driver_macroeconómicos_Agricult!AI$8)</f>
        <v>0.25557184441564218</v>
      </c>
      <c r="AS84" s="624">
        <f>AR84*(1+Driver_macroeconómicos_Agricult!AJ$8)</f>
        <v>0.25707258654671256</v>
      </c>
      <c r="AT84" s="624">
        <f>AS84*(1+Driver_macroeconómicos_Agricult!AK$8)</f>
        <v>0.25852185311264791</v>
      </c>
      <c r="AU84" s="624">
        <f>AT84*(1+Driver_macroeconómicos_Agricult!AL$8)</f>
        <v>0.25991866208679137</v>
      </c>
      <c r="AV84" s="624">
        <f>AU84*(1+Driver_macroeconómicos_Agricult!AM$8)</f>
        <v>0.26126206258262979</v>
      </c>
      <c r="AW84" s="624">
        <f>AV84*(1+Driver_macroeconómicos_Agricult!AN$8)</f>
        <v>0.26255113592865037</v>
      </c>
      <c r="AX84" s="624">
        <f>AW84*(1+Driver_macroeconómicos_Agricult!AO$8)</f>
        <v>0.263784996711734</v>
      </c>
      <c r="AY84" s="624">
        <f>AX84*(1+Driver_macroeconómicos_Agricult!AP$8)</f>
        <v>0.26496279378743248</v>
      </c>
      <c r="AZ84" s="624">
        <f>AY84*(1+Driver_macroeconómicos_Agricult!AQ$8)</f>
        <v>0.26608371125552133</v>
      </c>
      <c r="BA84" s="624">
        <f>AZ84*(1+Driver_macroeconómicos_Agricult!AR$8)</f>
        <v>0.26714696939926769</v>
      </c>
      <c r="BB84" s="624">
        <f>BA84*(1+Driver_macroeconómicos_Agricult!AS$8)</f>
        <v>0.2681518255869042</v>
      </c>
      <c r="BC84" s="624">
        <f>BB84*(1+Driver_macroeconómicos_Agricult!AT$8)</f>
        <v>0.26909757513385418</v>
      </c>
      <c r="BD84" s="624">
        <f>BC84*(1+Driver_macroeconómicos_Agricult!AU$8)</f>
        <v>0.26998355212430997</v>
      </c>
      <c r="BE84" s="624">
        <f>BD84*(1+Driver_macroeconómicos_Agricult!AV$8)</f>
        <v>0.27080913019082747</v>
      </c>
      <c r="BF84" s="624">
        <f>BE84*(1+Driver_macroeconómicos_Agricult!AW$8)</f>
        <v>0.27157372325066143</v>
      </c>
      <c r="BG84" s="624">
        <f>BF84*(1+Driver_macroeconómicos_Agricult!AX$8)</f>
        <v>0.27227678619763351</v>
      </c>
      <c r="BH84" s="624">
        <f>BG84*(1+Driver_macroeconómicos_Agricult!AY$8)</f>
        <v>0.27291781554839167</v>
      </c>
      <c r="BI84" s="624">
        <f>BH84*(1+Driver_macroeconómicos_Agricult!AZ$8)</f>
        <v>0.2734963500419908</v>
      </c>
      <c r="BJ84" s="624">
        <f>BI84*(1+Driver_macroeconómicos_Agricult!BA$8)</f>
        <v>0.27401197119179749</v>
      </c>
      <c r="BK84" s="624">
        <f>BJ84*(1+Driver_macroeconómicos_Agricult!BB$8)</f>
        <v>0.27446430378879616</v>
      </c>
      <c r="BL84" s="624">
        <f>BK84*(1+Driver_macroeconómicos_Agricult!BC$8)</f>
        <v>0.2748530163554514</v>
      </c>
      <c r="BM84" s="624">
        <f>BL84*(1+Driver_macroeconómicos_Agricult!BD$8)</f>
        <v>0.27517782154935994</v>
      </c>
      <c r="BN84" s="182"/>
    </row>
    <row r="85" spans="1:69" ht="15" customHeight="1" x14ac:dyDescent="0.3">
      <c r="A85" s="48"/>
      <c r="B85" s="84"/>
      <c r="C85" s="183"/>
      <c r="D85" s="179" t="s">
        <v>688</v>
      </c>
      <c r="E85" s="627">
        <f t="shared" ref="E85:BM85" si="89">SUM(E83:E84)</f>
        <v>0.22139</v>
      </c>
      <c r="F85" s="627">
        <f t="shared" si="89"/>
        <v>0.22999999999999998</v>
      </c>
      <c r="G85" s="627">
        <f t="shared" si="89"/>
        <v>0.23765999999999998</v>
      </c>
      <c r="H85" s="627">
        <f t="shared" si="89"/>
        <v>0.24</v>
      </c>
      <c r="I85" s="627">
        <f t="shared" si="89"/>
        <v>0.23648999999999998</v>
      </c>
      <c r="J85" s="627">
        <f t="shared" si="89"/>
        <v>0.22999999999999998</v>
      </c>
      <c r="K85" s="627">
        <f t="shared" si="89"/>
        <v>0.20853000000000002</v>
      </c>
      <c r="L85" s="627">
        <f t="shared" si="89"/>
        <v>0.21</v>
      </c>
      <c r="M85" s="627">
        <f t="shared" si="89"/>
        <v>0.20871999999999999</v>
      </c>
      <c r="N85" s="627">
        <f t="shared" si="89"/>
        <v>0.21171871331051925</v>
      </c>
      <c r="O85" s="627">
        <f t="shared" si="89"/>
        <v>0.2146938736920363</v>
      </c>
      <c r="P85" s="627">
        <f t="shared" si="89"/>
        <v>0.21764423054655097</v>
      </c>
      <c r="Q85" s="627">
        <f t="shared" si="89"/>
        <v>0.22057007813241628</v>
      </c>
      <c r="R85" s="627">
        <f t="shared" si="89"/>
        <v>0.22347097506210276</v>
      </c>
      <c r="S85" s="627">
        <f t="shared" si="89"/>
        <v>0.22634519256778671</v>
      </c>
      <c r="T85" s="627">
        <f t="shared" si="89"/>
        <v>0.22919219117582101</v>
      </c>
      <c r="U85" s="627">
        <f t="shared" si="89"/>
        <v>0.23200878308738185</v>
      </c>
      <c r="V85" s="627">
        <f t="shared" si="89"/>
        <v>0.23479390161593972</v>
      </c>
      <c r="W85" s="627">
        <f t="shared" si="89"/>
        <v>0.23754554825684732</v>
      </c>
      <c r="X85" s="627">
        <f t="shared" si="89"/>
        <v>0.2402633306656341</v>
      </c>
      <c r="Y85" s="627">
        <f t="shared" si="89"/>
        <v>0.24294419591188796</v>
      </c>
      <c r="Z85" s="627">
        <f t="shared" si="89"/>
        <v>0.24558670948613817</v>
      </c>
      <c r="AA85" s="627">
        <f t="shared" si="89"/>
        <v>0.24818902001291399</v>
      </c>
      <c r="AB85" s="627">
        <f t="shared" si="89"/>
        <v>0.25074898185839167</v>
      </c>
      <c r="AC85" s="627">
        <f t="shared" si="89"/>
        <v>0.2532655405968065</v>
      </c>
      <c r="AD85" s="627">
        <f t="shared" si="89"/>
        <v>0.25573685711345229</v>
      </c>
      <c r="AE85" s="627">
        <f t="shared" si="89"/>
        <v>0.25816185246103485</v>
      </c>
      <c r="AF85" s="627">
        <f t="shared" si="89"/>
        <v>0.26053845457031877</v>
      </c>
      <c r="AG85" s="627">
        <f t="shared" si="89"/>
        <v>0.26286584197006857</v>
      </c>
      <c r="AH85" s="627">
        <f t="shared" si="89"/>
        <v>0.26514248206469593</v>
      </c>
      <c r="AI85" s="627">
        <f t="shared" si="89"/>
        <v>0.26736730816767135</v>
      </c>
      <c r="AJ85" s="627">
        <f t="shared" si="89"/>
        <v>0.26954003828140644</v>
      </c>
      <c r="AK85" s="627">
        <f t="shared" si="89"/>
        <v>0.27165992449925425</v>
      </c>
      <c r="AL85" s="627">
        <f t="shared" si="89"/>
        <v>0.27372565491939099</v>
      </c>
      <c r="AM85" s="627">
        <f t="shared" si="89"/>
        <v>0.27573695980499319</v>
      </c>
      <c r="AN85" s="627">
        <f t="shared" si="89"/>
        <v>0.27769252725423721</v>
      </c>
      <c r="AO85" s="627">
        <f t="shared" si="89"/>
        <v>0.27959202622647589</v>
      </c>
      <c r="AP85" s="627">
        <f t="shared" si="89"/>
        <v>0.28143576324082697</v>
      </c>
      <c r="AQ85" s="627">
        <f t="shared" si="89"/>
        <v>0.28322215665864314</v>
      </c>
      <c r="AR85" s="627">
        <f t="shared" si="89"/>
        <v>0.28495168464974807</v>
      </c>
      <c r="AS85" s="627">
        <f t="shared" si="89"/>
        <v>0.28662494799161242</v>
      </c>
      <c r="AT85" s="627">
        <f t="shared" si="89"/>
        <v>0.28824081827816173</v>
      </c>
      <c r="AU85" s="627">
        <f t="shared" si="89"/>
        <v>0.28979820059164046</v>
      </c>
      <c r="AV85" s="627">
        <f t="shared" si="89"/>
        <v>0.29129603473422272</v>
      </c>
      <c r="AW85" s="627">
        <f t="shared" si="89"/>
        <v>0.29273329642643114</v>
      </c>
      <c r="AX85" s="627">
        <f t="shared" si="89"/>
        <v>0.29410899847047611</v>
      </c>
      <c r="AY85" s="627">
        <f t="shared" si="89"/>
        <v>0.29542219187667151</v>
      </c>
      <c r="AZ85" s="627">
        <f t="shared" si="89"/>
        <v>0.29667196695113468</v>
      </c>
      <c r="BA85" s="627">
        <f t="shared" si="89"/>
        <v>0.29785745434302968</v>
      </c>
      <c r="BB85" s="627">
        <f t="shared" si="89"/>
        <v>0.29897782604967227</v>
      </c>
      <c r="BC85" s="627">
        <f t="shared" si="89"/>
        <v>0.30003229637787421</v>
      </c>
      <c r="BD85" s="627">
        <f t="shared" si="89"/>
        <v>0.30102012285996782</v>
      </c>
      <c r="BE85" s="627">
        <f t="shared" si="89"/>
        <v>0.3019406071230209</v>
      </c>
      <c r="BF85" s="627">
        <f t="shared" si="89"/>
        <v>0.30279309570981866</v>
      </c>
      <c r="BG85" s="627">
        <f t="shared" si="89"/>
        <v>0.30357698085026746</v>
      </c>
      <c r="BH85" s="627">
        <f t="shared" si="89"/>
        <v>0.30429170118194609</v>
      </c>
      <c r="BI85" s="627">
        <f t="shared" si="89"/>
        <v>0.30493674241861285</v>
      </c>
      <c r="BJ85" s="627">
        <f t="shared" si="89"/>
        <v>0.30551163796555542</v>
      </c>
      <c r="BK85" s="627">
        <f t="shared" si="89"/>
        <v>0.3060159694807561</v>
      </c>
      <c r="BL85" s="627">
        <f t="shared" si="89"/>
        <v>0.30644936738092854</v>
      </c>
      <c r="BM85" s="627">
        <f t="shared" si="89"/>
        <v>0.30681151129157269</v>
      </c>
      <c r="BN85" s="197"/>
      <c r="BO85" s="50"/>
      <c r="BP85" s="50"/>
      <c r="BQ85" s="50"/>
    </row>
    <row r="86" spans="1:69" ht="15" customHeight="1" x14ac:dyDescent="0.3">
      <c r="A86" s="960"/>
      <c r="B86" s="26"/>
      <c r="C86" s="293"/>
      <c r="D86" s="198"/>
      <c r="E86" s="199"/>
      <c r="F86" s="199"/>
      <c r="G86" s="199"/>
      <c r="H86" s="199"/>
      <c r="I86" s="199"/>
      <c r="J86" s="199"/>
      <c r="K86" s="199"/>
      <c r="L86" s="199"/>
      <c r="M86" s="199"/>
      <c r="N86" s="199"/>
      <c r="O86" s="199"/>
      <c r="P86" s="199"/>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8"/>
      <c r="BN86" s="182"/>
    </row>
    <row r="87" spans="1:69" ht="14.25" customHeight="1" x14ac:dyDescent="0.3">
      <c r="A87" s="960"/>
      <c r="B87" s="944"/>
      <c r="C87" s="183"/>
      <c r="D87" s="178" t="s">
        <v>696</v>
      </c>
      <c r="E87" s="180"/>
      <c r="F87" s="180"/>
      <c r="G87" s="180"/>
      <c r="H87" s="180"/>
      <c r="I87" s="180"/>
      <c r="J87" s="180"/>
      <c r="K87" s="181"/>
      <c r="L87" s="181"/>
      <c r="M87" s="181"/>
      <c r="N87" s="181"/>
      <c r="O87" s="181"/>
      <c r="P87" s="181"/>
      <c r="Q87" s="185"/>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c r="AX87" s="185"/>
      <c r="AY87" s="185"/>
      <c r="AZ87" s="185"/>
      <c r="BA87" s="185"/>
      <c r="BB87" s="185"/>
      <c r="BC87" s="185"/>
      <c r="BD87" s="185"/>
      <c r="BE87" s="185"/>
      <c r="BF87" s="185"/>
      <c r="BG87" s="185"/>
      <c r="BH87" s="185"/>
      <c r="BI87" s="185"/>
      <c r="BJ87" s="185"/>
      <c r="BK87" s="185"/>
      <c r="BL87" s="185"/>
      <c r="BM87" s="185"/>
      <c r="BN87" s="182"/>
    </row>
    <row r="88" spans="1:69" ht="14.25" customHeight="1" x14ac:dyDescent="0.3">
      <c r="A88" s="960"/>
      <c r="B88" s="944"/>
      <c r="C88" s="183"/>
      <c r="D88" s="184" t="s">
        <v>697</v>
      </c>
      <c r="E88" s="180"/>
      <c r="F88" s="180"/>
      <c r="G88" s="180"/>
      <c r="H88" s="180"/>
      <c r="I88" s="180"/>
      <c r="J88" s="180"/>
      <c r="K88" s="181"/>
      <c r="L88" s="181"/>
      <c r="M88" s="181"/>
      <c r="N88" s="181"/>
      <c r="O88" s="181"/>
      <c r="P88" s="181"/>
      <c r="Q88" s="185"/>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c r="BI88" s="185"/>
      <c r="BJ88" s="185"/>
      <c r="BK88" s="185"/>
      <c r="BL88" s="185"/>
      <c r="BM88" s="185"/>
      <c r="BN88" s="182"/>
    </row>
    <row r="89" spans="1:69" ht="14.25" customHeight="1" x14ac:dyDescent="0.3">
      <c r="A89" s="960" t="s">
        <v>698</v>
      </c>
      <c r="B89" s="944"/>
      <c r="C89" s="183"/>
      <c r="D89" s="185" t="s">
        <v>699</v>
      </c>
      <c r="E89" s="299">
        <f>110*0.69*'Calibración-BAU_Agricultura '!G296</f>
        <v>29.839098299999996</v>
      </c>
      <c r="F89" s="299">
        <f>110*0.69*'Calibración-BAU_Agricultura '!H296</f>
        <v>25.043736299999996</v>
      </c>
      <c r="G89" s="299">
        <f>110*0.69*'Calibración-BAU_Agricultura '!I296</f>
        <v>28.171802999999997</v>
      </c>
      <c r="H89" s="299">
        <f>110*0.69*'Calibración-BAU_Agricultura '!J296</f>
        <v>30.114842999999997</v>
      </c>
      <c r="I89" s="299">
        <f>110*0.69*'Calibración-BAU_Agricultura '!K296</f>
        <v>26.878922399999997</v>
      </c>
      <c r="J89" s="299">
        <f>110*0.69*'Calibración-BAU_Agricultura '!L296</f>
        <v>28.471380299999996</v>
      </c>
      <c r="K89" s="299">
        <f>110*0.69*'Calibración-BAU_Agricultura '!M296</f>
        <v>27.7941246</v>
      </c>
      <c r="L89" s="299">
        <f>110*0.69*'Calibración-BAU_Agricultura '!N296</f>
        <v>27.179789999999993</v>
      </c>
      <c r="M89" s="299">
        <f>110*0.69*'Calibración-BAU_Agricultura '!O296</f>
        <v>22.640818199999998</v>
      </c>
      <c r="N89" s="638">
        <f>110*0.69*'Calibración-BAU_Agricultura '!P296</f>
        <v>19.527020699999994</v>
      </c>
      <c r="O89" s="638">
        <f>110*0.69*'Calibración-BAU_Agricultura '!Q296</f>
        <v>23.747288399999995</v>
      </c>
      <c r="P89" s="638">
        <f>110*0.69*'Calibración-BAU_Agricultura '!R296</f>
        <v>25.827327899999997</v>
      </c>
      <c r="Q89" s="638">
        <f>110*0.69*'Calibración-BAU_Agricultura '!S296</f>
        <v>25.827327899999997</v>
      </c>
      <c r="R89" s="638">
        <f>110*0.69*'Calibración-BAU_Agricultura '!T296</f>
        <v>25.699391608741198</v>
      </c>
      <c r="S89" s="638">
        <f>110*0.69*'Calibración-BAU_Agricultura '!U296</f>
        <v>27.265378237156774</v>
      </c>
      <c r="T89" s="638">
        <f>110*0.69*'Calibración-BAU_Agricultura '!V296</f>
        <v>27.312448510919133</v>
      </c>
      <c r="U89" s="638">
        <f>110*0.69*'Calibración-BAU_Agricultura '!W296</f>
        <v>28.951705685355176</v>
      </c>
      <c r="V89" s="638">
        <f>110*0.69*'Calibración-BAU_Agricultura '!X296</f>
        <v>29.671554427182315</v>
      </c>
      <c r="W89" s="638">
        <f>110*0.69*'Calibración-BAU_Agricultura '!Y296</f>
        <v>30.423867217771448</v>
      </c>
      <c r="X89" s="638">
        <f>110*0.69*'Calibración-BAU_Agricultura '!Z296</f>
        <v>31.093768774438828</v>
      </c>
      <c r="Y89" s="638">
        <f>110*0.69*'Calibración-BAU_Agricultura '!AA296</f>
        <v>31.877066817340769</v>
      </c>
      <c r="Z89" s="638">
        <f>110*0.69*'Calibración-BAU_Agricultura '!AB296</f>
        <v>31.481474434700818</v>
      </c>
      <c r="AA89" s="638">
        <f>110*0.69*'Calibración-BAU_Agricultura '!AC296</f>
        <v>32.067139859650055</v>
      </c>
      <c r="AB89" s="638">
        <f>110*0.69*'Calibración-BAU_Agricultura '!AD296</f>
        <v>32.775268803977077</v>
      </c>
      <c r="AC89" s="638">
        <f>110*0.69*'Calibración-BAU_Agricultura '!AE296</f>
        <v>33.292248455652867</v>
      </c>
      <c r="AD89" s="638">
        <f>110*0.69*'Calibración-BAU_Agricultura '!AF296</f>
        <v>33.786751392163858</v>
      </c>
      <c r="AE89" s="638">
        <f>110*0.69*'Calibración-BAU_Agricultura '!AG296</f>
        <v>34.264582917770923</v>
      </c>
      <c r="AF89" s="638">
        <f>110*0.69*'Calibración-BAU_Agricultura '!AH296</f>
        <v>34.677309845862922</v>
      </c>
      <c r="AG89" s="638">
        <f>110*0.69*'Calibración-BAU_Agricultura '!AI296</f>
        <v>35.03739939474093</v>
      </c>
      <c r="AH89" s="638">
        <f>110*0.69*'Calibración-BAU_Agricultura '!AJ296</f>
        <v>35.554336447042175</v>
      </c>
      <c r="AI89" s="638">
        <f>110*0.69*'Calibración-BAU_Agricultura '!AK296</f>
        <v>36.033351875664565</v>
      </c>
      <c r="AJ89" s="638">
        <f>110*0.69*'Calibración-BAU_Agricultura '!AL296</f>
        <v>36.486067977520662</v>
      </c>
      <c r="AK89" s="638">
        <f>110*0.69*'Calibración-BAU_Agricultura '!AM296</f>
        <v>36.923588282606524</v>
      </c>
      <c r="AL89" s="638">
        <f>110*0.69*'Calibración-BAU_Agricultura '!AN296</f>
        <v>37.302365059205009</v>
      </c>
      <c r="AM89" s="638">
        <f>110*0.69*'Calibración-BAU_Agricultura '!AO296</f>
        <v>37.724889274097116</v>
      </c>
      <c r="AN89" s="638">
        <f>110*0.69*'Calibración-BAU_Agricultura '!AP296</f>
        <v>38.113455164379715</v>
      </c>
      <c r="AO89" s="638">
        <f>110*0.69*'Calibración-BAU_Agricultura '!AQ296</f>
        <v>38.560723562888072</v>
      </c>
      <c r="AP89" s="638">
        <f>110*0.69*'Calibración-BAU_Agricultura '!AR296</f>
        <v>38.95124095573626</v>
      </c>
      <c r="AQ89" s="638">
        <f>110*0.69*'Calibración-BAU_Agricultura '!AS296</f>
        <v>39.328548348671852</v>
      </c>
      <c r="AR89" s="638">
        <f>110*0.69*'Calibración-BAU_Agricultura '!AT296</f>
        <v>39.705515737696764</v>
      </c>
      <c r="AS89" s="638">
        <f>110*0.69*'Calibración-BAU_Agricultura '!AU296</f>
        <v>40.077316157525964</v>
      </c>
      <c r="AT89" s="638">
        <f>110*0.69*'Calibración-BAU_Agricultura '!AV296</f>
        <v>40.471071641462778</v>
      </c>
      <c r="AU89" s="638">
        <f>110*0.69*'Calibración-BAU_Agricultura '!AW296</f>
        <v>40.837976625892793</v>
      </c>
      <c r="AV89" s="638">
        <f>110*0.69*'Calibración-BAU_Agricultura '!AX296</f>
        <v>41.198574872879661</v>
      </c>
      <c r="AW89" s="638">
        <f>110*0.69*'Calibración-BAU_Agricultura '!AY296</f>
        <v>41.557246193249689</v>
      </c>
      <c r="AX89" s="638">
        <f>110*0.69*'Calibración-BAU_Agricultura '!AZ296</f>
        <v>41.909720071067341</v>
      </c>
      <c r="AY89" s="638">
        <f>110*0.69*'Calibración-BAU_Agricultura '!BA296</f>
        <v>42.260330254302019</v>
      </c>
      <c r="AZ89" s="638">
        <f>110*0.69*'Calibración-BAU_Agricultura '!BB296</f>
        <v>42.596396548937875</v>
      </c>
      <c r="BA89" s="638">
        <f>110*0.69*'Calibración-BAU_Agricultura '!BC296</f>
        <v>42.926729798290623</v>
      </c>
      <c r="BB89" s="638">
        <f>110*0.69*'Calibración-BAU_Agricultura '!BD296</f>
        <v>43.25097517675119</v>
      </c>
      <c r="BC89" s="638">
        <f>110*0.69*'Calibración-BAU_Agricultura '!BE296</f>
        <v>43.567848672571714</v>
      </c>
      <c r="BD89" s="638">
        <f>110*0.69*'Calibración-BAU_Agricultura '!BF296</f>
        <v>43.876214179662234</v>
      </c>
      <c r="BE89" s="638">
        <f>110*0.69*'Calibración-BAU_Agricultura '!BG296</f>
        <v>44.17666159090939</v>
      </c>
      <c r="BF89" s="638">
        <f>110*0.69*'Calibración-BAU_Agricultura '!BH296</f>
        <v>44.469361755470061</v>
      </c>
      <c r="BG89" s="638">
        <f>110*0.69*'Calibración-BAU_Agricultura '!BI296</f>
        <v>44.754229423932635</v>
      </c>
      <c r="BH89" s="638">
        <f>110*0.69*'Calibración-BAU_Agricultura '!BJ296</f>
        <v>45.030548209692505</v>
      </c>
      <c r="BI89" s="638">
        <f>110*0.69*'Calibración-BAU_Agricultura '!BK296</f>
        <v>45.298139392961161</v>
      </c>
      <c r="BJ89" s="638">
        <f>110*0.69*'Calibración-BAU_Agricultura '!BL296</f>
        <v>45.556612124515254</v>
      </c>
      <c r="BK89" s="638">
        <f>110*0.69*'Calibración-BAU_Agricultura '!BM296</f>
        <v>45.806268424629287</v>
      </c>
      <c r="BL89" s="638">
        <f>110*0.69*'Calibración-BAU_Agricultura '!BN296</f>
        <v>46.046890151023383</v>
      </c>
      <c r="BM89" s="638">
        <f>110*0.69*'Calibración-BAU_Agricultura '!BO296</f>
        <v>46.278255758958061</v>
      </c>
      <c r="BN89" s="198"/>
    </row>
    <row r="90" spans="1:69" ht="15" customHeight="1" x14ac:dyDescent="0.3">
      <c r="A90" s="960" t="s">
        <v>700</v>
      </c>
      <c r="B90" s="26"/>
      <c r="C90" s="293"/>
      <c r="D90" s="185" t="s">
        <v>701</v>
      </c>
      <c r="E90" s="299">
        <f t="shared" ref="E90:P90" si="90">E89*25/1000</f>
        <v>0.74597745749999989</v>
      </c>
      <c r="F90" s="299">
        <f t="shared" si="90"/>
        <v>0.62609340749999987</v>
      </c>
      <c r="G90" s="299">
        <f t="shared" si="90"/>
        <v>0.70429507499999988</v>
      </c>
      <c r="H90" s="299">
        <f t="shared" si="90"/>
        <v>0.75287107499999995</v>
      </c>
      <c r="I90" s="299">
        <f t="shared" si="90"/>
        <v>0.6719730599999999</v>
      </c>
      <c r="J90" s="299">
        <f t="shared" si="90"/>
        <v>0.71178450749999989</v>
      </c>
      <c r="K90" s="299">
        <f t="shared" si="90"/>
        <v>0.69485311500000002</v>
      </c>
      <c r="L90" s="299">
        <f t="shared" si="90"/>
        <v>0.67949474999999981</v>
      </c>
      <c r="M90" s="299">
        <f t="shared" si="90"/>
        <v>0.56602045499999998</v>
      </c>
      <c r="N90" s="638">
        <f t="shared" si="90"/>
        <v>0.48817551749999982</v>
      </c>
      <c r="O90" s="638">
        <f t="shared" si="90"/>
        <v>0.59368220999999988</v>
      </c>
      <c r="P90" s="638">
        <f t="shared" si="90"/>
        <v>0.64568319749999992</v>
      </c>
      <c r="Q90" s="638">
        <f t="shared" ref="Q90:BM90" si="91">Q89*25/1000</f>
        <v>0.64568319749999992</v>
      </c>
      <c r="R90" s="638">
        <f t="shared" si="91"/>
        <v>0.64248479021853</v>
      </c>
      <c r="S90" s="638">
        <f t="shared" si="91"/>
        <v>0.68163445592891936</v>
      </c>
      <c r="T90" s="638">
        <f t="shared" si="91"/>
        <v>0.6828112127729784</v>
      </c>
      <c r="U90" s="638">
        <f t="shared" si="91"/>
        <v>0.72379264213387939</v>
      </c>
      <c r="V90" s="638">
        <f t="shared" si="91"/>
        <v>0.74178886067955785</v>
      </c>
      <c r="W90" s="638">
        <f t="shared" si="91"/>
        <v>0.76059668044428619</v>
      </c>
      <c r="X90" s="638">
        <f t="shared" si="91"/>
        <v>0.77734421936097065</v>
      </c>
      <c r="Y90" s="638">
        <f t="shared" si="91"/>
        <v>0.79692667043351928</v>
      </c>
      <c r="Z90" s="638">
        <f t="shared" si="91"/>
        <v>0.78703686086752045</v>
      </c>
      <c r="AA90" s="638">
        <f t="shared" si="91"/>
        <v>0.80167849649125145</v>
      </c>
      <c r="AB90" s="638">
        <f t="shared" si="91"/>
        <v>0.819381720099427</v>
      </c>
      <c r="AC90" s="638">
        <f t="shared" si="91"/>
        <v>0.83230621139132166</v>
      </c>
      <c r="AD90" s="638">
        <f t="shared" si="91"/>
        <v>0.84466878480409635</v>
      </c>
      <c r="AE90" s="638">
        <f t="shared" si="91"/>
        <v>0.85661457294427301</v>
      </c>
      <c r="AF90" s="638">
        <f t="shared" si="91"/>
        <v>0.86693274614657312</v>
      </c>
      <c r="AG90" s="638">
        <f t="shared" si="91"/>
        <v>0.87593498486852328</v>
      </c>
      <c r="AH90" s="638">
        <f t="shared" si="91"/>
        <v>0.88885841117605435</v>
      </c>
      <c r="AI90" s="638">
        <f t="shared" si="91"/>
        <v>0.90083379689161414</v>
      </c>
      <c r="AJ90" s="638">
        <f t="shared" si="91"/>
        <v>0.91215169943801655</v>
      </c>
      <c r="AK90" s="638">
        <f t="shared" si="91"/>
        <v>0.92308970706516313</v>
      </c>
      <c r="AL90" s="638">
        <f t="shared" si="91"/>
        <v>0.93255912648012518</v>
      </c>
      <c r="AM90" s="638">
        <f t="shared" si="91"/>
        <v>0.94312223185242794</v>
      </c>
      <c r="AN90" s="638">
        <f t="shared" si="91"/>
        <v>0.95283637910949293</v>
      </c>
      <c r="AO90" s="638">
        <f t="shared" si="91"/>
        <v>0.96401808907220177</v>
      </c>
      <c r="AP90" s="638">
        <f t="shared" si="91"/>
        <v>0.97378102389340659</v>
      </c>
      <c r="AQ90" s="638">
        <f t="shared" si="91"/>
        <v>0.98321370871679625</v>
      </c>
      <c r="AR90" s="638">
        <f t="shared" si="91"/>
        <v>0.99263789344241915</v>
      </c>
      <c r="AS90" s="638">
        <f t="shared" si="91"/>
        <v>1.001932903938149</v>
      </c>
      <c r="AT90" s="638">
        <f t="shared" si="91"/>
        <v>1.0117767910365694</v>
      </c>
      <c r="AU90" s="638">
        <f t="shared" si="91"/>
        <v>1.0209494156473198</v>
      </c>
      <c r="AV90" s="638">
        <f t="shared" si="91"/>
        <v>1.0299643718219915</v>
      </c>
      <c r="AW90" s="638">
        <f t="shared" si="91"/>
        <v>1.0389311548312423</v>
      </c>
      <c r="AX90" s="638">
        <f t="shared" si="91"/>
        <v>1.0477430017766836</v>
      </c>
      <c r="AY90" s="638">
        <f t="shared" si="91"/>
        <v>1.0565082563575503</v>
      </c>
      <c r="AZ90" s="638">
        <f t="shared" si="91"/>
        <v>1.0649099137234468</v>
      </c>
      <c r="BA90" s="638">
        <f t="shared" si="91"/>
        <v>1.0731682449572657</v>
      </c>
      <c r="BB90" s="638">
        <f t="shared" si="91"/>
        <v>1.0812743794187798</v>
      </c>
      <c r="BC90" s="638">
        <f t="shared" si="91"/>
        <v>1.089196216814293</v>
      </c>
      <c r="BD90" s="638">
        <f t="shared" si="91"/>
        <v>1.0969053544915559</v>
      </c>
      <c r="BE90" s="638">
        <f t="shared" si="91"/>
        <v>1.1044165397727348</v>
      </c>
      <c r="BF90" s="638">
        <f t="shared" si="91"/>
        <v>1.1117340438867516</v>
      </c>
      <c r="BG90" s="638">
        <f t="shared" si="91"/>
        <v>1.118855735598316</v>
      </c>
      <c r="BH90" s="638">
        <f t="shared" si="91"/>
        <v>1.1257637052423126</v>
      </c>
      <c r="BI90" s="638">
        <f t="shared" si="91"/>
        <v>1.1324534848240291</v>
      </c>
      <c r="BJ90" s="638">
        <f t="shared" si="91"/>
        <v>1.1389153031128811</v>
      </c>
      <c r="BK90" s="638">
        <f t="shared" si="91"/>
        <v>1.1451567106157321</v>
      </c>
      <c r="BL90" s="638">
        <f t="shared" si="91"/>
        <v>1.1511722537755846</v>
      </c>
      <c r="BM90" s="638">
        <f t="shared" si="91"/>
        <v>1.1569563939739513</v>
      </c>
      <c r="BN90" s="182"/>
    </row>
    <row r="91" spans="1:69" ht="15" customHeight="1" thickBot="1" x14ac:dyDescent="0.35">
      <c r="A91" s="960"/>
      <c r="B91" s="26"/>
      <c r="C91" s="85"/>
      <c r="D91" s="200"/>
      <c r="E91" s="201"/>
      <c r="F91" s="201"/>
      <c r="G91" s="201"/>
      <c r="H91" s="201"/>
      <c r="I91" s="201"/>
      <c r="J91" s="201"/>
      <c r="K91" s="201"/>
      <c r="L91" s="201"/>
      <c r="M91" s="201"/>
      <c r="N91" s="201"/>
      <c r="O91" s="201"/>
      <c r="P91" s="201"/>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c r="AP91" s="200"/>
      <c r="AQ91" s="200"/>
      <c r="AR91" s="200"/>
      <c r="AS91" s="200"/>
      <c r="AT91" s="200"/>
      <c r="AU91" s="200"/>
      <c r="AV91" s="200"/>
      <c r="AW91" s="200"/>
      <c r="AX91" s="200"/>
      <c r="AY91" s="200"/>
      <c r="AZ91" s="200"/>
      <c r="BA91" s="200"/>
      <c r="BB91" s="200"/>
      <c r="BC91" s="200"/>
      <c r="BD91" s="200"/>
      <c r="BE91" s="200"/>
      <c r="BF91" s="200"/>
      <c r="BG91" s="200"/>
      <c r="BH91" s="200"/>
      <c r="BI91" s="200"/>
      <c r="BJ91" s="200"/>
      <c r="BK91" s="200"/>
      <c r="BL91" s="200"/>
      <c r="BM91" s="200"/>
      <c r="BN91" s="52"/>
    </row>
    <row r="92" spans="1:69" ht="14.25" customHeight="1" x14ac:dyDescent="0.3">
      <c r="A92" s="960"/>
      <c r="B92" s="944"/>
      <c r="C92" s="944"/>
      <c r="D92" s="45"/>
      <c r="E92" s="944"/>
      <c r="F92" s="944"/>
      <c r="G92" s="944"/>
      <c r="H92" s="944"/>
      <c r="I92" s="944"/>
      <c r="J92" s="944"/>
      <c r="K92" s="944"/>
      <c r="L92" s="944"/>
      <c r="M92" s="944"/>
      <c r="N92" s="944"/>
      <c r="O92" s="944"/>
      <c r="P92" s="944"/>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row>
    <row r="93" spans="1:69" ht="15.75" customHeight="1" x14ac:dyDescent="0.3">
      <c r="A93" s="960"/>
      <c r="B93" s="944"/>
      <c r="C93" s="44"/>
      <c r="D93" s="44" t="s">
        <v>702</v>
      </c>
      <c r="E93" s="941"/>
      <c r="F93" s="944"/>
      <c r="G93" s="944"/>
      <c r="H93" s="944"/>
      <c r="I93" s="944"/>
      <c r="J93" s="944"/>
      <c r="K93" s="944"/>
      <c r="L93" s="944"/>
      <c r="M93" s="944"/>
      <c r="N93" s="944"/>
      <c r="O93" s="944"/>
      <c r="P93" s="944"/>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row>
    <row r="94" spans="1:69" ht="15" customHeight="1" thickBot="1" x14ac:dyDescent="0.35">
      <c r="A94" s="960"/>
      <c r="B94" s="26"/>
      <c r="D94" s="81"/>
      <c r="E94" s="82"/>
      <c r="F94" s="944"/>
      <c r="G94" s="944"/>
      <c r="H94" s="944"/>
      <c r="I94" s="944"/>
      <c r="J94" s="944"/>
      <c r="K94" s="944"/>
      <c r="L94" s="944"/>
      <c r="M94" s="944"/>
      <c r="N94" s="944"/>
      <c r="O94" s="944"/>
      <c r="P94" s="944"/>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row>
    <row r="95" spans="1:69" ht="14.25" customHeight="1" x14ac:dyDescent="0.3">
      <c r="A95" s="960"/>
      <c r="B95" s="45"/>
      <c r="C95" s="83"/>
      <c r="D95" s="175"/>
      <c r="E95" s="176"/>
      <c r="F95" s="176"/>
      <c r="G95" s="176"/>
      <c r="H95" s="176"/>
      <c r="I95" s="176"/>
      <c r="J95" s="176"/>
      <c r="K95" s="176"/>
      <c r="L95" s="176"/>
      <c r="M95" s="176"/>
      <c r="N95" s="176"/>
      <c r="O95" s="176"/>
      <c r="P95" s="176"/>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47"/>
    </row>
    <row r="96" spans="1:69" ht="14.25" customHeight="1" x14ac:dyDescent="0.3">
      <c r="A96" s="960"/>
      <c r="B96" s="944"/>
      <c r="C96" s="183"/>
      <c r="D96" s="178" t="s">
        <v>703</v>
      </c>
      <c r="E96" s="180"/>
      <c r="F96" s="180"/>
      <c r="G96" s="180"/>
      <c r="H96" s="180"/>
      <c r="I96" s="180"/>
      <c r="J96" s="180"/>
      <c r="K96" s="181"/>
      <c r="L96" s="181"/>
      <c r="M96" s="181"/>
      <c r="N96" s="181"/>
      <c r="O96" s="181"/>
      <c r="P96" s="181"/>
      <c r="Q96" s="185"/>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c r="AX96" s="185"/>
      <c r="AY96" s="185"/>
      <c r="AZ96" s="185"/>
      <c r="BA96" s="185"/>
      <c r="BB96" s="185"/>
      <c r="BC96" s="185"/>
      <c r="BD96" s="185"/>
      <c r="BE96" s="185"/>
      <c r="BF96" s="185"/>
      <c r="BG96" s="185"/>
      <c r="BH96" s="185"/>
      <c r="BI96" s="185"/>
      <c r="BJ96" s="185"/>
      <c r="BK96" s="185"/>
      <c r="BL96" s="185"/>
      <c r="BM96" s="185"/>
      <c r="BN96" s="182"/>
    </row>
    <row r="97" spans="1:66" ht="14.25" customHeight="1" x14ac:dyDescent="0.3">
      <c r="A97" s="960"/>
      <c r="B97" s="944"/>
      <c r="C97" s="183"/>
      <c r="D97" s="184" t="s">
        <v>704</v>
      </c>
      <c r="E97" s="180"/>
      <c r="F97" s="180"/>
      <c r="G97" s="180"/>
      <c r="H97" s="180"/>
      <c r="I97" s="180"/>
      <c r="J97" s="180"/>
      <c r="K97" s="181"/>
      <c r="L97" s="181"/>
      <c r="M97" s="181"/>
      <c r="N97" s="181"/>
      <c r="O97" s="181"/>
      <c r="P97" s="181"/>
      <c r="Q97" s="185"/>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5"/>
      <c r="BN97" s="182"/>
    </row>
    <row r="98" spans="1:66" ht="14.25" customHeight="1" x14ac:dyDescent="0.3">
      <c r="A98" s="1178" t="s">
        <v>6</v>
      </c>
      <c r="B98" s="944"/>
      <c r="C98" s="183"/>
      <c r="D98" s="185" t="s">
        <v>705</v>
      </c>
      <c r="E98" s="1203" t="s">
        <v>623</v>
      </c>
      <c r="F98" s="977"/>
      <c r="G98" s="977"/>
      <c r="H98" s="977"/>
      <c r="I98" s="977"/>
      <c r="J98" s="977"/>
      <c r="K98" s="977"/>
      <c r="L98" s="202">
        <v>203.37577932876076</v>
      </c>
      <c r="M98" s="202">
        <v>168.86544963795106</v>
      </c>
      <c r="N98" s="202">
        <v>148.33635557383047</v>
      </c>
      <c r="O98" s="202">
        <v>164.93146787757703</v>
      </c>
      <c r="P98" s="202">
        <v>157.4</v>
      </c>
      <c r="Q98" s="300">
        <f>P98*(1+Driver_macroeconómicos_Agricult!H$25)</f>
        <v>162.82059158328727</v>
      </c>
      <c r="R98" s="300">
        <f>Q98*(1+Driver_macroeconómicos_Agricult!I$25)</f>
        <v>167.61009256368737</v>
      </c>
      <c r="S98" s="300">
        <f>R98*(1+Driver_macroeconómicos_Agricult!J$25)</f>
        <v>172.83077002281885</v>
      </c>
      <c r="T98" s="300">
        <f>S98*(1+Driver_macroeconómicos_Agricult!K$25)</f>
        <v>176.9136823539329</v>
      </c>
      <c r="U98" s="300">
        <f>T98*(1+Driver_macroeconómicos_Agricult!L$25)</f>
        <v>180.36337952723147</v>
      </c>
      <c r="V98" s="300">
        <f>U98*(1+Driver_macroeconómicos_Agricult!M$25)</f>
        <v>184.94626064913402</v>
      </c>
      <c r="W98" s="300">
        <f>V98*(1+Driver_macroeconómicos_Agricult!N$25)</f>
        <v>188.92872937823967</v>
      </c>
      <c r="X98" s="300">
        <f>W98*(1+Driver_macroeconómicos_Agricult!O$25)</f>
        <v>191.29018127295561</v>
      </c>
      <c r="Y98" s="300">
        <f>X98*(1+Driver_macroeconómicos_Agricult!P$25)</f>
        <v>194.06841074275314</v>
      </c>
      <c r="Z98" s="300">
        <f>Y98*(1+Driver_macroeconómicos_Agricult!Q$25)</f>
        <v>198.12602453903455</v>
      </c>
      <c r="AA98" s="300">
        <f>Z98*(1+Driver_macroeconómicos_Agricult!R$25)</f>
        <v>200.79849085221531</v>
      </c>
      <c r="AB98" s="300">
        <f>AA98*(1+Driver_macroeconómicos_Agricult!S$25)</f>
        <v>204.25169810208439</v>
      </c>
      <c r="AC98" s="300">
        <f>AB98*(1+Driver_macroeconómicos_Agricult!T$25)</f>
        <v>206.69667980653699</v>
      </c>
      <c r="AD98" s="300">
        <f>AC98*(1+Driver_macroeconómicos_Agricult!U$25)</f>
        <v>209.26406902650916</v>
      </c>
      <c r="AE98" s="300">
        <f>AD98*(1+Driver_macroeconómicos_Agricult!V$25)</f>
        <v>212.37184820931259</v>
      </c>
      <c r="AF98" s="300">
        <f>AE98*(1+Driver_macroeconómicos_Agricult!W$25)</f>
        <v>215.18104381227676</v>
      </c>
      <c r="AG98" s="300">
        <f>AF98*(1+Driver_macroeconómicos_Agricult!X$25)</f>
        <v>218.40823181041813</v>
      </c>
      <c r="AH98" s="300">
        <f>AG98*(1+Driver_macroeconómicos_Agricult!Y$25)</f>
        <v>222.42748093908403</v>
      </c>
      <c r="AI98" s="300">
        <f>AH98*(1+Driver_macroeconómicos_Agricult!Z$25)</f>
        <v>226.25376494106735</v>
      </c>
      <c r="AJ98" s="300">
        <f>AI98*(1+Driver_macroeconómicos_Agricult!AA$25)</f>
        <v>230.57469599441441</v>
      </c>
      <c r="AK98" s="300">
        <f>AJ98*(1+Driver_macroeconómicos_Agricult!AB$25)</f>
        <v>235.14522927960468</v>
      </c>
      <c r="AL98" s="300">
        <f>AK98*(1+Driver_macroeconómicos_Agricult!AC$25)</f>
        <v>239.0681002039255</v>
      </c>
      <c r="AM98" s="300">
        <f>AL98*(1+Driver_macroeconómicos_Agricult!AD$25)</f>
        <v>244.36404556444106</v>
      </c>
      <c r="AN98" s="300">
        <f>AM98*(1+Driver_macroeconómicos_Agricult!AE$25)</f>
        <v>249.28445125902726</v>
      </c>
      <c r="AO98" s="300">
        <f>AN98*(1+Driver_macroeconómicos_Agricult!AF$25)</f>
        <v>255.54596757119668</v>
      </c>
      <c r="AP98" s="300">
        <f>AO98*(1+Driver_macroeconómicos_Agricult!AG$25)</f>
        <v>261.05524185828887</v>
      </c>
      <c r="AQ98" s="300">
        <f>AP98*(1+Driver_macroeconómicos_Agricult!AH$25)</f>
        <v>266.62991022160577</v>
      </c>
      <c r="AR98" s="300">
        <f>AQ98*(1+Driver_macroeconómicos_Agricult!AI$25)</f>
        <v>272.52958555942104</v>
      </c>
      <c r="AS98" s="300">
        <f>AR98*(1+Driver_macroeconómicos_Agricult!AJ$25)</f>
        <v>278.48807940434</v>
      </c>
      <c r="AT98" s="300">
        <f>AS98*(1+Driver_macroeconómicos_Agricult!AK$25)</f>
        <v>283.72739142705069</v>
      </c>
      <c r="AU98" s="300">
        <f>AT98*(1+Driver_macroeconómicos_Agricult!AL$25)</f>
        <v>289.17862843338787</v>
      </c>
      <c r="AV98" s="300">
        <f>AU98*(1+Driver_macroeconómicos_Agricult!AM$25)</f>
        <v>294.81343607019124</v>
      </c>
      <c r="AW98" s="300">
        <f>AV98*(1+Driver_macroeconómicos_Agricult!AN$25)</f>
        <v>300.67334703399962</v>
      </c>
      <c r="AX98" s="300">
        <f>AW98*(1+Driver_macroeconómicos_Agricult!AO$25)</f>
        <v>306.74142252113643</v>
      </c>
      <c r="AY98" s="300">
        <f>AX98*(1+Driver_macroeconómicos_Agricult!AP$25)</f>
        <v>312.96607046919161</v>
      </c>
      <c r="AZ98" s="300">
        <f>AY98*(1+Driver_macroeconómicos_Agricult!AQ$25)</f>
        <v>319.37748404065729</v>
      </c>
      <c r="BA98" s="300">
        <f>AZ98*(1+Driver_macroeconómicos_Agricult!AR$25)</f>
        <v>325.94795262852142</v>
      </c>
      <c r="BB98" s="300">
        <f>BA98*(1+Driver_macroeconómicos_Agricult!AS$25)</f>
        <v>332.66888031461019</v>
      </c>
      <c r="BC98" s="300">
        <f>BB98*(1+Driver_macroeconómicos_Agricult!AT$25)</f>
        <v>339.61024584747946</v>
      </c>
      <c r="BD98" s="300">
        <f>BC98*(1+Driver_macroeconómicos_Agricult!AU$25)</f>
        <v>346.66913533142019</v>
      </c>
      <c r="BE98" s="300">
        <f>BD98*(1+Driver_macroeconómicos_Agricult!AV$25)</f>
        <v>353.88882289739632</v>
      </c>
      <c r="BF98" s="300">
        <f>BE98*(1+Driver_macroeconómicos_Agricult!AW$25)</f>
        <v>361.16393422395595</v>
      </c>
      <c r="BG98" s="300">
        <f>BF98*(1+Driver_macroeconómicos_Agricult!AX$25)</f>
        <v>368.56600421803199</v>
      </c>
      <c r="BH98" s="300">
        <f>BG98*(1+Driver_macroeconómicos_Agricult!AY$25)</f>
        <v>376.09998516828307</v>
      </c>
      <c r="BI98" s="300">
        <f>BH98*(1+Driver_macroeconómicos_Agricult!AZ$25)</f>
        <v>383.74835100737283</v>
      </c>
      <c r="BJ98" s="300">
        <f>BI98*(1+Driver_macroeconómicos_Agricult!BA$25)</f>
        <v>391.51561394147404</v>
      </c>
      <c r="BK98" s="300">
        <f>BJ98*(1+Driver_macroeconómicos_Agricult!BB$25)</f>
        <v>399.4750108936916</v>
      </c>
      <c r="BL98" s="300">
        <f>BK98*(1+Driver_macroeconómicos_Agricult!BC$25)</f>
        <v>407.62410255139088</v>
      </c>
      <c r="BM98" s="300">
        <f>BL98*(1+Driver_macroeconómicos_Agricult!BD$25)</f>
        <v>415.96271569063782</v>
      </c>
      <c r="BN98" s="182"/>
    </row>
    <row r="99" spans="1:66" ht="14.25" customHeight="1" x14ac:dyDescent="0.3">
      <c r="A99" s="982"/>
      <c r="B99" s="944"/>
      <c r="C99" s="183"/>
      <c r="D99" s="185" t="s">
        <v>706</v>
      </c>
      <c r="E99" s="977"/>
      <c r="F99" s="982"/>
      <c r="G99" s="982"/>
      <c r="H99" s="982"/>
      <c r="I99" s="982"/>
      <c r="J99" s="982"/>
      <c r="K99" s="977"/>
      <c r="L99" s="202">
        <v>768.06</v>
      </c>
      <c r="M99" s="202">
        <v>769</v>
      </c>
      <c r="N99" s="202">
        <v>567</v>
      </c>
      <c r="O99" s="202">
        <v>831.7</v>
      </c>
      <c r="P99" s="202">
        <v>1015.3</v>
      </c>
      <c r="Q99" s="300">
        <f>P99*(1+Driver_macroeconómicos_Agricult!H$25)</f>
        <v>1050.2652263946095</v>
      </c>
      <c r="R99" s="300">
        <f>Q99*(1+Driver_macroeconómicos_Agricult!I$25)</f>
        <v>1081.1596377376859</v>
      </c>
      <c r="S99" s="300">
        <f>R99*(1+Driver_macroeconómicos_Agricult!J$25)</f>
        <v>1114.83532912432</v>
      </c>
      <c r="T99" s="300">
        <f>S99*(1+Driver_macroeconómicos_Agricult!K$25)</f>
        <v>1141.1719294405848</v>
      </c>
      <c r="U99" s="300">
        <f>T99*(1+Driver_macroeconómicos_Agricult!L$25)</f>
        <v>1163.4240103811824</v>
      </c>
      <c r="V99" s="300">
        <f>U99*(1+Driver_macroeconómicos_Agricult!M$25)</f>
        <v>1192.985631747559</v>
      </c>
      <c r="W99" s="300">
        <f>V99*(1+Driver_macroeconómicos_Agricult!N$25)</f>
        <v>1218.674326160907</v>
      </c>
      <c r="X99" s="300">
        <f>W99*(1+Driver_macroeconómicos_Agricult!O$25)</f>
        <v>1233.9067410827945</v>
      </c>
      <c r="Y99" s="300">
        <f>X99*(1+Driver_macroeconómicos_Agricult!P$25)</f>
        <v>1251.8275567161202</v>
      </c>
      <c r="Z99" s="300">
        <f>Y99*(1+Driver_macroeconómicos_Agricult!Q$25)</f>
        <v>1278.0009702317777</v>
      </c>
      <c r="AA99" s="300">
        <f>Z99*(1+Driver_macroeconómicos_Agricult!R$25)</f>
        <v>1295.2395664692137</v>
      </c>
      <c r="AB99" s="300">
        <f>AA99*(1+Driver_macroeconómicos_Agricult!S$25)</f>
        <v>1317.5142889647161</v>
      </c>
      <c r="AC99" s="300">
        <f>AB99*(1+Driver_macroeconómicos_Agricult!T$25)</f>
        <v>1333.2855083073509</v>
      </c>
      <c r="AD99" s="300">
        <f>AC99*(1+Driver_macroeconómicos_Agricult!U$25)</f>
        <v>1349.846310562991</v>
      </c>
      <c r="AE99" s="300">
        <f>AD99*(1+Driver_macroeconómicos_Agricult!V$25)</f>
        <v>1369.8928684047974</v>
      </c>
      <c r="AF99" s="300">
        <f>AE99*(1+Driver_macroeconómicos_Agricult!W$25)</f>
        <v>1388.0134293685173</v>
      </c>
      <c r="AG99" s="300">
        <f>AF99*(1+Driver_macroeconómicos_Agricult!X$25)</f>
        <v>1408.8302271735549</v>
      </c>
      <c r="AH99" s="300">
        <f>AG99*(1+Driver_macroeconómicos_Agricult!Y$25)</f>
        <v>1434.7561715212962</v>
      </c>
      <c r="AI99" s="300">
        <f>AH99*(1+Driver_macroeconómicos_Agricult!Z$25)</f>
        <v>1459.4374049851695</v>
      </c>
      <c r="AJ99" s="300">
        <f>AI99*(1+Driver_macroeconómicos_Agricult!AA$25)</f>
        <v>1487.3093319131444</v>
      </c>
      <c r="AK99" s="300">
        <f>AJ99*(1+Driver_macroeconómicos_Agricult!AB$25)</f>
        <v>1516.7913042413127</v>
      </c>
      <c r="AL99" s="300">
        <f>AK99*(1+Driver_macroeconómicos_Agricult!AC$25)</f>
        <v>1542.0955663090569</v>
      </c>
      <c r="AM99" s="300">
        <f>AL99*(1+Driver_macroeconómicos_Agricult!AD$25)</f>
        <v>1576.256769133272</v>
      </c>
      <c r="AN99" s="300">
        <f>AM99*(1+Driver_macroeconómicos_Agricult!AE$25)</f>
        <v>1607.9955740996847</v>
      </c>
      <c r="AO99" s="300">
        <f>AN99*(1+Driver_macroeconómicos_Agricult!AF$25)</f>
        <v>1648.385138977357</v>
      </c>
      <c r="AP99" s="300">
        <f>AO99*(1+Driver_macroeconómicos_Agricult!AG$25)</f>
        <v>1683.9224082510843</v>
      </c>
      <c r="AQ99" s="300">
        <f>AP99*(1+Driver_macroeconómicos_Agricult!AH$25)</f>
        <v>1719.88149839896</v>
      </c>
      <c r="AR99" s="300">
        <f>AQ99*(1+Driver_macroeconómicos_Agricult!AI$25)</f>
        <v>1757.9370280716655</v>
      </c>
      <c r="AS99" s="300">
        <f>AR99*(1+Driver_macroeconómicos_Agricult!AJ$25)</f>
        <v>1796.3719632733571</v>
      </c>
      <c r="AT99" s="300">
        <f>AS99*(1+Driver_macroeconómicos_Agricult!AK$25)</f>
        <v>1830.1678558823671</v>
      </c>
      <c r="AU99" s="300">
        <f>AT99*(1+Driver_macroeconómicos_Agricult!AL$25)</f>
        <v>1865.3307588844898</v>
      </c>
      <c r="AV99" s="300">
        <f>AU99*(1+Driver_macroeconómicos_Agricult!AM$25)</f>
        <v>1901.6777740919008</v>
      </c>
      <c r="AW99" s="300">
        <f>AV99*(1+Driver_macroeconómicos_Agricult!AN$25)</f>
        <v>1939.4768058679788</v>
      </c>
      <c r="AX99" s="300">
        <f>AW99*(1+Driver_macroeconómicos_Agricult!AO$25)</f>
        <v>1978.6185913958695</v>
      </c>
      <c r="AY99" s="300">
        <f>AX99*(1+Driver_macroeconómicos_Agricult!AP$25)</f>
        <v>2018.7703389286551</v>
      </c>
      <c r="AZ99" s="300">
        <f>AY99*(1+Driver_macroeconómicos_Agricult!AQ$25)</f>
        <v>2060.1268077921181</v>
      </c>
      <c r="BA99" s="300">
        <f>AZ99*(1+Driver_macroeconómicos_Agricult!AR$25)</f>
        <v>2102.5092522473815</v>
      </c>
      <c r="BB99" s="300">
        <f>BA99*(1+Driver_macroeconómicos_Agricult!AS$25)</f>
        <v>2145.862224799389</v>
      </c>
      <c r="BC99" s="300">
        <f>BB99*(1+Driver_macroeconómicos_Agricult!AT$25)</f>
        <v>2190.637119497751</v>
      </c>
      <c r="BD99" s="300">
        <f>BC99*(1+Driver_macroeconómicos_Agricult!AU$25)</f>
        <v>2236.1700959465761</v>
      </c>
      <c r="BE99" s="300">
        <f>BD99*(1+Driver_macroeconómicos_Agricult!AV$25)</f>
        <v>2282.7402915357475</v>
      </c>
      <c r="BF99" s="300">
        <f>BE99*(1+Driver_macroeconómicos_Agricult!AW$25)</f>
        <v>2329.6679950291145</v>
      </c>
      <c r="BG99" s="300">
        <f>BF99*(1+Driver_macroeconómicos_Agricult!AX$25)</f>
        <v>2377.414638389886</v>
      </c>
      <c r="BH99" s="300">
        <f>BG99*(1+Driver_macroeconómicos_Agricult!AY$25)</f>
        <v>2426.0121660823252</v>
      </c>
      <c r="BI99" s="300">
        <f>BH99*(1+Driver_macroeconómicos_Agricult!AZ$25)</f>
        <v>2475.3475271778007</v>
      </c>
      <c r="BJ99" s="300">
        <f>BI99*(1+Driver_macroeconómicos_Agricult!BA$25)</f>
        <v>2525.4498274128259</v>
      </c>
      <c r="BK99" s="300">
        <f>BJ99*(1+Driver_macroeconómicos_Agricult!BB$25)</f>
        <v>2576.7914775118506</v>
      </c>
      <c r="BL99" s="300">
        <f>BK99*(1+Driver_macroeconómicos_Agricult!BC$25)</f>
        <v>2629.3567428235538</v>
      </c>
      <c r="BM99" s="300">
        <f>BL99*(1+Driver_macroeconómicos_Agricult!BD$25)</f>
        <v>2683.1445059765238</v>
      </c>
      <c r="BN99" s="182"/>
    </row>
    <row r="100" spans="1:66" ht="14.25" customHeight="1" x14ac:dyDescent="0.3">
      <c r="A100" s="982"/>
      <c r="B100" s="944"/>
      <c r="C100" s="183"/>
      <c r="D100" s="185" t="s">
        <v>707</v>
      </c>
      <c r="E100" s="977"/>
      <c r="F100" s="982"/>
      <c r="G100" s="982"/>
      <c r="H100" s="982"/>
      <c r="I100" s="982"/>
      <c r="J100" s="982"/>
      <c r="K100" s="977"/>
      <c r="L100" s="202">
        <v>122.25383807632522</v>
      </c>
      <c r="M100" s="202">
        <v>30.379732311994736</v>
      </c>
      <c r="N100" s="202">
        <v>115.22607457378612</v>
      </c>
      <c r="O100" s="202">
        <v>123.19989497262668</v>
      </c>
      <c r="P100" s="202">
        <v>131.33708370927823</v>
      </c>
      <c r="Q100" s="300">
        <f>P100*(1+Driver_macroeconómicos_Agricult!H$25)</f>
        <v>135.86011223868107</v>
      </c>
      <c r="R100" s="300">
        <f>Q100*(1+Driver_macroeconómicos_Agricult!I$25)</f>
        <v>139.85654865029784</v>
      </c>
      <c r="S100" s="300">
        <f>R100*(1+Driver_macroeconómicos_Agricult!J$25)</f>
        <v>144.21276562913579</v>
      </c>
      <c r="T100" s="300">
        <f>S100*(1+Driver_macroeconómicos_Agricult!K$25)</f>
        <v>147.61961314253585</v>
      </c>
      <c r="U100" s="300">
        <f>T100*(1+Driver_macroeconómicos_Agricult!L$25)</f>
        <v>150.49809577545312</v>
      </c>
      <c r="V100" s="300">
        <f>U100*(1+Driver_macroeconómicos_Agricult!M$25)</f>
        <v>154.32212526425226</v>
      </c>
      <c r="W100" s="300">
        <f>V100*(1+Driver_macroeconómicos_Agricult!N$25)</f>
        <v>157.64516102565082</v>
      </c>
      <c r="X100" s="300">
        <f>W100*(1+Driver_macroeconómicos_Agricult!O$25)</f>
        <v>159.61559434948654</v>
      </c>
      <c r="Y100" s="300">
        <f>X100*(1+Driver_macroeconómicos_Agricult!P$25)</f>
        <v>161.93379356446994</v>
      </c>
      <c r="Z100" s="300">
        <f>Y100*(1+Driver_macroeconómicos_Agricult!Q$25)</f>
        <v>165.31953157477574</v>
      </c>
      <c r="AA100" s="300">
        <f>Z100*(1+Driver_macroeconómicos_Agricult!R$25)</f>
        <v>167.54948031610004</v>
      </c>
      <c r="AB100" s="300">
        <f>AA100*(1+Driver_macroeconómicos_Agricult!S$25)</f>
        <v>170.43089181318734</v>
      </c>
      <c r="AC100" s="300">
        <f>AB100*(1+Driver_macroeconómicos_Agricult!T$25)</f>
        <v>172.47102374956182</v>
      </c>
      <c r="AD100" s="300">
        <f>AC100*(1+Driver_macroeconómicos_Agricult!U$25)</f>
        <v>174.61329447953503</v>
      </c>
      <c r="AE100" s="300">
        <f>AD100*(1+Driver_macroeconómicos_Agricult!V$25)</f>
        <v>177.206475258962</v>
      </c>
      <c r="AF100" s="300">
        <f>AE100*(1+Driver_macroeconómicos_Agricult!W$25)</f>
        <v>179.55051311196226</v>
      </c>
      <c r="AG100" s="300">
        <f>AF100*(1+Driver_macroeconómicos_Agricult!X$25)</f>
        <v>182.24333052147605</v>
      </c>
      <c r="AH100" s="300">
        <f>AG100*(1+Driver_macroeconómicos_Agricult!Y$25)</f>
        <v>185.59705643799472</v>
      </c>
      <c r="AI100" s="300">
        <f>AH100*(1+Driver_macroeconómicos_Agricult!Z$25)</f>
        <v>188.78976915885849</v>
      </c>
      <c r="AJ100" s="300">
        <f>AI100*(1+Driver_macroeconómicos_Agricult!AA$25)</f>
        <v>192.39522331041798</v>
      </c>
      <c r="AK100" s="300">
        <f>AJ100*(1+Driver_macroeconómicos_Agricult!AB$25)</f>
        <v>196.20894956628248</v>
      </c>
      <c r="AL100" s="300">
        <f>AK100*(1+Driver_macroeconómicos_Agricult!AC$25)</f>
        <v>199.48225596379339</v>
      </c>
      <c r="AM100" s="300">
        <f>AL100*(1+Driver_macroeconómicos_Agricult!AD$25)</f>
        <v>203.90127768637151</v>
      </c>
      <c r="AN100" s="300">
        <f>AM100*(1+Driver_macroeconómicos_Agricult!AE$25)</f>
        <v>208.00694309039616</v>
      </c>
      <c r="AO100" s="300">
        <f>AN100*(1+Driver_macroeconómicos_Agricult!AF$25)</f>
        <v>213.23165269673927</v>
      </c>
      <c r="AP100" s="300">
        <f>AO100*(1+Driver_macroeconómicos_Agricult!AG$25)</f>
        <v>217.82867949611156</v>
      </c>
      <c r="AQ100" s="300">
        <f>AP100*(1+Driver_macroeconómicos_Agricult!AH$25)</f>
        <v>222.48027216119681</v>
      </c>
      <c r="AR100" s="300">
        <f>AQ100*(1+Driver_macroeconómicos_Agricult!AI$25)</f>
        <v>227.40305585687793</v>
      </c>
      <c r="AS100" s="300">
        <f>AR100*(1+Driver_macroeconómicos_Agricult!AJ$25)</f>
        <v>232.3749186579665</v>
      </c>
      <c r="AT100" s="300">
        <f>AS100*(1+Driver_macroeconómicos_Agricult!AK$25)</f>
        <v>236.74668461543652</v>
      </c>
      <c r="AU100" s="300">
        <f>AT100*(1+Driver_macroeconómicos_Agricult!AL$25)</f>
        <v>241.29528417719268</v>
      </c>
      <c r="AV100" s="300">
        <f>AU100*(1+Driver_macroeconómicos_Agricult!AM$25)</f>
        <v>245.99705801633201</v>
      </c>
      <c r="AW100" s="300">
        <f>AV100*(1+Driver_macroeconómicos_Agricult!AN$25)</f>
        <v>250.88666168077052</v>
      </c>
      <c r="AX100" s="300">
        <f>AW100*(1+Driver_macroeconómicos_Agricult!AO$25)</f>
        <v>255.94996116112824</v>
      </c>
      <c r="AY100" s="300">
        <f>AX100*(1+Driver_macroeconómicos_Agricult!AP$25)</f>
        <v>261.14390721331699</v>
      </c>
      <c r="AZ100" s="300">
        <f>AY100*(1+Driver_macroeconómicos_Agricult!AQ$25)</f>
        <v>266.4936934962293</v>
      </c>
      <c r="BA100" s="300">
        <f>AZ100*(1+Driver_macroeconómicos_Agricult!AR$25)</f>
        <v>271.9761978350698</v>
      </c>
      <c r="BB100" s="300">
        <f>BA100*(1+Driver_macroeconómicos_Agricult!AS$25)</f>
        <v>277.5842476578897</v>
      </c>
      <c r="BC100" s="300">
        <f>BB100*(1+Driver_macroeconómicos_Agricult!AT$25)</f>
        <v>283.37623435450439</v>
      </c>
      <c r="BD100" s="300">
        <f>BC100*(1+Driver_macroeconómicos_Agricult!AU$25)</f>
        <v>289.26628492024054</v>
      </c>
      <c r="BE100" s="300">
        <f>BD100*(1+Driver_macroeconómicos_Agricult!AV$25)</f>
        <v>295.29050798382019</v>
      </c>
      <c r="BF100" s="300">
        <f>BE100*(1+Driver_macroeconómicos_Agricult!AW$25)</f>
        <v>301.36097752188044</v>
      </c>
      <c r="BG100" s="300">
        <f>BF100*(1+Driver_macroeconómicos_Agricult!AX$25)</f>
        <v>307.53738340773748</v>
      </c>
      <c r="BH100" s="300">
        <f>BG100*(1+Driver_macroeconómicos_Agricult!AY$25)</f>
        <v>313.82385791045181</v>
      </c>
      <c r="BI100" s="300">
        <f>BH100*(1+Driver_macroeconómicos_Agricult!AZ$25)</f>
        <v>320.20577699842971</v>
      </c>
      <c r="BJ100" s="300">
        <f>BI100*(1+Driver_macroeconómicos_Agricult!BA$25)</f>
        <v>326.68690572884918</v>
      </c>
      <c r="BK100" s="300">
        <f>BJ100*(1+Driver_macroeconómicos_Agricult!BB$25)</f>
        <v>333.32835416461012</v>
      </c>
      <c r="BL100" s="300">
        <f>BK100*(1+Driver_macroeconómicos_Agricult!BC$25)</f>
        <v>340.12808690413891</v>
      </c>
      <c r="BM100" s="300">
        <f>BL100*(1+Driver_macroeconómicos_Agricult!BD$25)</f>
        <v>347.08595940660757</v>
      </c>
      <c r="BN100" s="182"/>
    </row>
    <row r="101" spans="1:66" ht="14.25" customHeight="1" x14ac:dyDescent="0.3">
      <c r="A101" s="982"/>
      <c r="B101" s="944" t="s">
        <v>367</v>
      </c>
      <c r="C101" s="183"/>
      <c r="D101" s="185" t="s">
        <v>708</v>
      </c>
      <c r="E101" s="977"/>
      <c r="F101" s="982"/>
      <c r="G101" s="982"/>
      <c r="H101" s="982"/>
      <c r="I101" s="982"/>
      <c r="J101" s="982"/>
      <c r="K101" s="977"/>
      <c r="L101" s="202">
        <v>150.85779409882147</v>
      </c>
      <c r="M101" s="202">
        <v>200</v>
      </c>
      <c r="N101" s="202">
        <v>200</v>
      </c>
      <c r="O101" s="202">
        <v>200</v>
      </c>
      <c r="P101" s="202">
        <v>170</v>
      </c>
      <c r="Q101" s="300">
        <f>P101*(1+Driver_macroeconómicos_Agricult!H$25)</f>
        <v>175.85451441651102</v>
      </c>
      <c r="R101" s="300">
        <f>Q101*(1+Driver_macroeconómicos_Agricult!I$25)</f>
        <v>181.02741890614266</v>
      </c>
      <c r="S101" s="300">
        <f>R101*(1+Driver_macroeconómicos_Agricult!J$25)</f>
        <v>186.6660159077459</v>
      </c>
      <c r="T101" s="300">
        <f>S101*(1+Driver_macroeconómicos_Agricult!K$25)</f>
        <v>191.07576874312957</v>
      </c>
      <c r="U101" s="300">
        <f>T101*(1+Driver_macroeconómicos_Agricult!L$25)</f>
        <v>194.80161702432881</v>
      </c>
      <c r="V101" s="300">
        <f>U101*(1+Driver_macroeconómicos_Agricult!M$25)</f>
        <v>199.75136156513844</v>
      </c>
      <c r="W101" s="300">
        <f>V101*(1+Driver_macroeconómicos_Agricult!N$25)</f>
        <v>204.05263020521443</v>
      </c>
      <c r="X101" s="300">
        <f>W101*(1+Driver_macroeconómicos_Agricult!O$25)</f>
        <v>206.60311827447561</v>
      </c>
      <c r="Y101" s="300">
        <f>X101*(1+Driver_macroeconómicos_Agricult!P$25)</f>
        <v>209.60374730792913</v>
      </c>
      <c r="Z101" s="300">
        <f>Y101*(1+Driver_macroeconómicos_Agricult!Q$25)</f>
        <v>213.9861764398722</v>
      </c>
      <c r="AA101" s="300">
        <f>Z101*(1+Driver_macroeconómicos_Agricult!R$25)</f>
        <v>216.8725758886697</v>
      </c>
      <c r="AB101" s="300">
        <f>AA101*(1+Driver_macroeconómicos_Agricult!S$25)</f>
        <v>220.60221523096794</v>
      </c>
      <c r="AC101" s="300">
        <f>AB101*(1+Driver_macroeconómicos_Agricult!T$25)</f>
        <v>223.24291974022424</v>
      </c>
      <c r="AD101" s="300">
        <f>AC101*(1+Driver_macroeconómicos_Agricult!U$25)</f>
        <v>226.01583058771641</v>
      </c>
      <c r="AE101" s="300">
        <f>AD101*(1+Driver_macroeconómicos_Agricult!V$25)</f>
        <v>229.37239006088402</v>
      </c>
      <c r="AF101" s="300">
        <f>AE101*(1+Driver_macroeconómicos_Agricult!W$25)</f>
        <v>232.40646409203973</v>
      </c>
      <c r="AG101" s="300">
        <f>AF101*(1+Driver_macroeconómicos_Agricult!X$25)</f>
        <v>235.89199115483535</v>
      </c>
      <c r="AH101" s="300">
        <f>AG101*(1+Driver_macroeconómicos_Agricult!Y$25)</f>
        <v>240.2329844958341</v>
      </c>
      <c r="AI101" s="300">
        <f>AH101*(1+Driver_macroeconómicos_Agricult!Z$25)</f>
        <v>244.36556569238533</v>
      </c>
      <c r="AJ101" s="300">
        <f>AI101*(1+Driver_macroeconómicos_Agricult!AA$25)</f>
        <v>249.03239084530148</v>
      </c>
      <c r="AK101" s="300">
        <f>AJ101*(1+Driver_macroeconómicos_Agricult!AB$25)</f>
        <v>253.96879909487166</v>
      </c>
      <c r="AL101" s="300">
        <f>AK101*(1+Driver_macroeconómicos_Agricult!AC$25)</f>
        <v>258.20569907666669</v>
      </c>
      <c r="AM101" s="300">
        <f>AL101*(1+Driver_macroeconómicos_Agricult!AD$25)</f>
        <v>263.9255892373252</v>
      </c>
      <c r="AN101" s="300">
        <f>AM101*(1+Driver_macroeconómicos_Agricult!AE$25)</f>
        <v>269.23987747163051</v>
      </c>
      <c r="AO101" s="300">
        <f>AN101*(1+Driver_macroeconómicos_Agricult!AF$25)</f>
        <v>276.00263333610826</v>
      </c>
      <c r="AP101" s="300">
        <f>AO101*(1+Driver_macroeconómicos_Agricult!AG$25)</f>
        <v>281.95292958010867</v>
      </c>
      <c r="AQ101" s="300">
        <f>AP101*(1+Driver_macroeconómicos_Agricult!AH$25)</f>
        <v>287.97385475014596</v>
      </c>
      <c r="AR101" s="300">
        <f>AQ101*(1+Driver_macroeconómicos_Agricult!AI$25)</f>
        <v>294.34580397142042</v>
      </c>
      <c r="AS101" s="300">
        <f>AR101*(1+Driver_macroeconómicos_Agricult!AJ$25)</f>
        <v>300.78128016987165</v>
      </c>
      <c r="AT101" s="300">
        <f>AS101*(1+Driver_macroeconómicos_Agricult!AK$25)</f>
        <v>306.4400034472593</v>
      </c>
      <c r="AU101" s="300">
        <f>AT101*(1+Driver_macroeconómicos_Agricult!AL$25)</f>
        <v>312.32761647824606</v>
      </c>
      <c r="AV101" s="300">
        <f>AU101*(1+Driver_macroeconómicos_Agricult!AM$25)</f>
        <v>318.41349512028273</v>
      </c>
      <c r="AW101" s="300">
        <f>AV101*(1+Driver_macroeconómicos_Agricult!AN$25)</f>
        <v>324.74249679656879</v>
      </c>
      <c r="AX101" s="300">
        <f>AW101*(1+Driver_macroeconómicos_Agricult!AO$25)</f>
        <v>331.29632673820322</v>
      </c>
      <c r="AY101" s="300">
        <f>AX101*(1+Driver_macroeconómicos_Agricult!AP$25)</f>
        <v>338.01926289556906</v>
      </c>
      <c r="AZ101" s="300">
        <f>AY101*(1+Driver_macroeconómicos_Agricult!AQ$25)</f>
        <v>344.94391541875308</v>
      </c>
      <c r="BA101" s="300">
        <f>AZ101*(1+Driver_macroeconómicos_Agricult!AR$25)</f>
        <v>352.04035544376518</v>
      </c>
      <c r="BB101" s="300">
        <f>BA101*(1+Driver_macroeconómicos_Agricult!AS$25)</f>
        <v>359.2992989420822</v>
      </c>
      <c r="BC101" s="300">
        <f>BB101*(1+Driver_macroeconómicos_Agricult!AT$25)</f>
        <v>366.79632651887874</v>
      </c>
      <c r="BD101" s="300">
        <f>BC101*(1+Driver_macroeconómicos_Agricult!AU$25)</f>
        <v>374.42028593609558</v>
      </c>
      <c r="BE101" s="300">
        <f>BD101*(1+Driver_macroeconómicos_Agricult!AV$25)</f>
        <v>382.21791545462122</v>
      </c>
      <c r="BF101" s="300">
        <f>BE101*(1+Driver_macroeconómicos_Agricult!AW$25)</f>
        <v>390.07540545154075</v>
      </c>
      <c r="BG101" s="300">
        <f>BF101*(1+Driver_macroeconómicos_Agricult!AX$25)</f>
        <v>398.07001726216924</v>
      </c>
      <c r="BH101" s="300">
        <f>BG101*(1+Driver_macroeconómicos_Agricult!AY$25)</f>
        <v>406.20709960996265</v>
      </c>
      <c r="BI101" s="300">
        <f>BH101*(1+Driver_macroeconómicos_Agricult!AZ$25)</f>
        <v>414.4677234514192</v>
      </c>
      <c r="BJ101" s="300">
        <f>BI101*(1+Driver_macroeconómicos_Agricult!BA$25)</f>
        <v>422.85676219854253</v>
      </c>
      <c r="BK101" s="300">
        <f>BJ101*(1+Driver_macroeconómicos_Agricult!BB$25)</f>
        <v>431.45331545061993</v>
      </c>
      <c r="BL101" s="300">
        <f>BK101*(1+Driver_macroeconómicos_Agricult!BC$25)</f>
        <v>440.25474862602573</v>
      </c>
      <c r="BM101" s="300">
        <f>BL101*(1+Driver_macroeconómicos_Agricult!BD$25)</f>
        <v>449.26087463410698</v>
      </c>
      <c r="BN101" s="182"/>
    </row>
    <row r="102" spans="1:66" ht="14.25" customHeight="1" x14ac:dyDescent="0.3">
      <c r="A102" s="982"/>
      <c r="B102" s="944"/>
      <c r="C102" s="183"/>
      <c r="D102" s="185" t="s">
        <v>709</v>
      </c>
      <c r="E102" s="977"/>
      <c r="F102" s="982"/>
      <c r="G102" s="982"/>
      <c r="H102" s="982"/>
      <c r="I102" s="982"/>
      <c r="J102" s="982"/>
      <c r="K102" s="977"/>
      <c r="L102" s="202">
        <v>501.71135388656484</v>
      </c>
      <c r="M102" s="202">
        <v>466</v>
      </c>
      <c r="N102" s="202">
        <v>438</v>
      </c>
      <c r="O102" s="202">
        <v>367.7</v>
      </c>
      <c r="P102" s="202">
        <v>421.4</v>
      </c>
      <c r="Q102" s="300">
        <f>P102*(1+Driver_macroeconómicos_Agricult!H$25)</f>
        <v>435.91230808892789</v>
      </c>
      <c r="R102" s="300">
        <f>Q102*(1+Driver_macroeconómicos_Agricult!I$25)</f>
        <v>448.73502545322651</v>
      </c>
      <c r="S102" s="300">
        <f>R102*(1+Driver_macroeconómicos_Agricult!J$25)</f>
        <v>462.71211237367129</v>
      </c>
      <c r="T102" s="300">
        <f>S102*(1+Driver_macroeconómicos_Agricult!K$25)</f>
        <v>473.64311146091057</v>
      </c>
      <c r="U102" s="300">
        <f>T102*(1+Driver_macroeconómicos_Agricult!L$25)</f>
        <v>482.87883184736563</v>
      </c>
      <c r="V102" s="300">
        <f>U102*(1+Driver_macroeconómicos_Agricult!M$25)</f>
        <v>495.14837507970196</v>
      </c>
      <c r="W102" s="300">
        <f>V102*(1+Driver_macroeconómicos_Agricult!N$25)</f>
        <v>505.81046099104327</v>
      </c>
      <c r="X102" s="300">
        <f>W102*(1+Driver_macroeconómicos_Agricult!O$25)</f>
        <v>512.13267082861182</v>
      </c>
      <c r="Y102" s="300">
        <f>X102*(1+Driver_macroeconómicos_Agricult!P$25)</f>
        <v>519.57070067977247</v>
      </c>
      <c r="Z102" s="300">
        <f>Y102*(1+Driver_macroeconómicos_Agricult!Q$25)</f>
        <v>530.43396912801245</v>
      </c>
      <c r="AA102" s="300">
        <f>Z102*(1+Driver_macroeconómicos_Agricult!R$25)</f>
        <v>537.58884399697286</v>
      </c>
      <c r="AB102" s="300">
        <f>AA102*(1+Driver_macroeconómicos_Agricult!S$25)</f>
        <v>546.83396175488156</v>
      </c>
      <c r="AC102" s="300">
        <f>AB102*(1+Driver_macroeconómicos_Agricult!T$25)</f>
        <v>553.37980222664976</v>
      </c>
      <c r="AD102" s="300">
        <f>AC102*(1+Driver_macroeconómicos_Agricult!U$25)</f>
        <v>560.25335888037444</v>
      </c>
      <c r="AE102" s="300">
        <f>AD102*(1+Driver_macroeconómicos_Agricult!V$25)</f>
        <v>568.57367748033232</v>
      </c>
      <c r="AF102" s="300">
        <f>AE102*(1+Driver_macroeconómicos_Agricult!W$25)</f>
        <v>576.0946115787383</v>
      </c>
      <c r="AG102" s="300">
        <f>AF102*(1+Driver_macroeconómicos_Agricult!X$25)</f>
        <v>584.73461807439753</v>
      </c>
      <c r="AH102" s="300">
        <f>AG102*(1+Driver_macroeconómicos_Agricult!Y$25)</f>
        <v>595.49517450908502</v>
      </c>
      <c r="AI102" s="300">
        <f>AH102*(1+Driver_macroeconómicos_Agricult!Z$25)</f>
        <v>605.73911401630085</v>
      </c>
      <c r="AJ102" s="300">
        <f>AI102*(1+Driver_macroeconómicos_Agricult!AA$25)</f>
        <v>617.30735001300002</v>
      </c>
      <c r="AK102" s="300">
        <f>AJ102*(1+Driver_macroeconómicos_Agricult!AB$25)</f>
        <v>629.54383493281694</v>
      </c>
      <c r="AL102" s="300">
        <f>AK102*(1+Driver_macroeconómicos_Agricult!AC$25)</f>
        <v>640.04636229945481</v>
      </c>
      <c r="AM102" s="300">
        <f>AL102*(1+Driver_macroeconómicos_Agricult!AD$25)</f>
        <v>654.22496061534594</v>
      </c>
      <c r="AN102" s="300">
        <f>AM102*(1+Driver_macroeconómicos_Agricult!AE$25)</f>
        <v>667.39814333261802</v>
      </c>
      <c r="AO102" s="300">
        <f>AN102*(1+Driver_macroeconómicos_Agricult!AF$25)</f>
        <v>684.16182169315289</v>
      </c>
      <c r="AP102" s="300">
        <f>AO102*(1+Driver_macroeconómicos_Agricult!AG$25)</f>
        <v>698.91155602975164</v>
      </c>
      <c r="AQ102" s="300">
        <f>AP102*(1+Driver_macroeconómicos_Agricult!AH$25)</f>
        <v>713.83636701006765</v>
      </c>
      <c r="AR102" s="300">
        <f>AQ102*(1+Driver_macroeconómicos_Agricult!AI$25)</f>
        <v>729.63130466797975</v>
      </c>
      <c r="AS102" s="300">
        <f>AR102*(1+Driver_macroeconómicos_Agricult!AJ$25)</f>
        <v>745.58371449167009</v>
      </c>
      <c r="AT102" s="300">
        <f>AS102*(1+Driver_macroeconómicos_Agricult!AK$25)</f>
        <v>759.61069089808871</v>
      </c>
      <c r="AU102" s="300">
        <f>AT102*(1+Driver_macroeconómicos_Agricult!AL$25)</f>
        <v>774.20504461137</v>
      </c>
      <c r="AV102" s="300">
        <f>AU102*(1+Driver_macroeconómicos_Agricult!AM$25)</f>
        <v>789.29086378639511</v>
      </c>
      <c r="AW102" s="300">
        <f>AV102*(1+Driver_macroeconómicos_Agricult!AN$25)</f>
        <v>804.97934205925958</v>
      </c>
      <c r="AX102" s="300">
        <f>AW102*(1+Driver_macroeconómicos_Agricult!AO$25)</f>
        <v>821.22512992634631</v>
      </c>
      <c r="AY102" s="300">
        <f>AX102*(1+Driver_macroeconómicos_Agricult!AP$25)</f>
        <v>837.89010225995787</v>
      </c>
      <c r="AZ102" s="300">
        <f>AY102*(1+Driver_macroeconómicos_Agricult!AQ$25)</f>
        <v>855.05509386742699</v>
      </c>
      <c r="BA102" s="300">
        <f>AZ102*(1+Driver_macroeconómicos_Agricult!AR$25)</f>
        <v>872.6459163764863</v>
      </c>
      <c r="BB102" s="300">
        <f>BA102*(1+Driver_macroeconómicos_Agricult!AS$25)</f>
        <v>890.63955631878503</v>
      </c>
      <c r="BC102" s="300">
        <f>BB102*(1+Driver_macroeconómicos_Agricult!AT$25)</f>
        <v>909.22336467679713</v>
      </c>
      <c r="BD102" s="300">
        <f>BC102*(1+Driver_macroeconómicos_Agricult!AU$25)</f>
        <v>928.12181466747461</v>
      </c>
      <c r="BE102" s="300">
        <f>BD102*(1+Driver_macroeconómicos_Agricult!AV$25)</f>
        <v>947.45076219163172</v>
      </c>
      <c r="BF102" s="300">
        <f>BE102*(1+Driver_macroeconómicos_Agricult!AW$25)</f>
        <v>966.92809327811347</v>
      </c>
      <c r="BG102" s="300">
        <f>BF102*(1+Driver_macroeconómicos_Agricult!AX$25)</f>
        <v>986.74532514281259</v>
      </c>
      <c r="BH102" s="300">
        <f>BG102*(1+Driver_macroeconómicos_Agricult!AY$25)</f>
        <v>1006.915716327284</v>
      </c>
      <c r="BI102" s="300">
        <f>BH102*(1+Driver_macroeconómicos_Agricult!AZ$25)</f>
        <v>1027.3923450731063</v>
      </c>
      <c r="BJ102" s="300">
        <f>BI102*(1+Driver_macroeconómicos_Agricult!BA$25)</f>
        <v>1048.1872917086225</v>
      </c>
      <c r="BK102" s="300">
        <f>BJ102*(1+Driver_macroeconómicos_Agricult!BB$25)</f>
        <v>1069.4966301817133</v>
      </c>
      <c r="BL102" s="300">
        <f>BK102*(1+Driver_macroeconómicos_Agricult!BC$25)</f>
        <v>1091.3138298294546</v>
      </c>
      <c r="BM102" s="300">
        <f>BL102*(1+Driver_macroeconómicos_Agricult!BD$25)</f>
        <v>1113.6384268871336</v>
      </c>
      <c r="BN102" s="182"/>
    </row>
    <row r="103" spans="1:66" ht="14.25" customHeight="1" x14ac:dyDescent="0.3">
      <c r="A103" s="982"/>
      <c r="B103" s="944"/>
      <c r="C103" s="183"/>
      <c r="D103" s="185" t="s">
        <v>710</v>
      </c>
      <c r="E103" s="977"/>
      <c r="F103" s="982"/>
      <c r="G103" s="982"/>
      <c r="H103" s="982"/>
      <c r="I103" s="982"/>
      <c r="J103" s="982"/>
      <c r="K103" s="977"/>
      <c r="L103" s="202">
        <v>325.44090052128229</v>
      </c>
      <c r="M103" s="202">
        <v>517</v>
      </c>
      <c r="N103" s="202">
        <v>742</v>
      </c>
      <c r="O103" s="202">
        <v>650.4</v>
      </c>
      <c r="P103" s="202">
        <v>620.6</v>
      </c>
      <c r="Q103" s="300">
        <f>P103*(1+Driver_macroeconómicos_Agricult!H$25)</f>
        <v>641.97242145227494</v>
      </c>
      <c r="R103" s="300">
        <f>Q103*(1+Driver_macroeconómicos_Agricult!I$25)</f>
        <v>660.85656572442429</v>
      </c>
      <c r="S103" s="300">
        <f>R103*(1+Driver_macroeconómicos_Agricult!J$25)</f>
        <v>681.44076160204179</v>
      </c>
      <c r="T103" s="300">
        <f>S103*(1+Driver_macroeconómicos_Agricult!K$25)</f>
        <v>697.53895342344822</v>
      </c>
      <c r="U103" s="300">
        <f>T103*(1+Driver_macroeconómicos_Agricult!L$25)</f>
        <v>711.14049132528498</v>
      </c>
      <c r="V103" s="300">
        <f>U103*(1+Driver_macroeconómicos_Agricult!M$25)</f>
        <v>729.2099705136759</v>
      </c>
      <c r="W103" s="300">
        <f>V103*(1+Driver_macroeconómicos_Agricult!N$25)</f>
        <v>744.91213120797681</v>
      </c>
      <c r="X103" s="300">
        <f>W103*(1+Driver_macroeconómicos_Agricult!O$25)</f>
        <v>754.22291294787965</v>
      </c>
      <c r="Y103" s="300">
        <f>X103*(1+Driver_macroeconómicos_Agricult!P$25)</f>
        <v>765.17697399588701</v>
      </c>
      <c r="Z103" s="300">
        <f>Y103*(1+Driver_macroeconómicos_Agricult!Q$25)</f>
        <v>781.17541822696853</v>
      </c>
      <c r="AA103" s="300">
        <f>Z103*(1+Driver_macroeconómicos_Agricult!R$25)</f>
        <v>791.71247409710816</v>
      </c>
      <c r="AB103" s="300">
        <f>AA103*(1+Driver_macroeconómicos_Agricult!S$25)</f>
        <v>805.32785160199217</v>
      </c>
      <c r="AC103" s="300">
        <f>AB103*(1+Driver_macroeconómicos_Agricult!T$25)</f>
        <v>814.96797641637136</v>
      </c>
      <c r="AD103" s="300">
        <f>AC103*(1+Driver_macroeconómicos_Agricult!U$25)</f>
        <v>825.09073213374575</v>
      </c>
      <c r="AE103" s="300">
        <f>AD103*(1+Driver_macroeconómicos_Agricult!V$25)</f>
        <v>837.3441486575565</v>
      </c>
      <c r="AF103" s="300">
        <f>AE103*(1+Driver_macroeconómicos_Agricult!W$25)</f>
        <v>848.420303620705</v>
      </c>
      <c r="AG103" s="300">
        <f>AF103*(1+Driver_macroeconómicos_Agricult!X$25)</f>
        <v>861.14452770994603</v>
      </c>
      <c r="AH103" s="300">
        <f>AG103*(1+Driver_macroeconómicos_Agricult!Y$25)</f>
        <v>876.99170693008614</v>
      </c>
      <c r="AI103" s="300">
        <f>AH103*(1+Driver_macroeconómicos_Agricult!Z$25)</f>
        <v>892.07805922761372</v>
      </c>
      <c r="AJ103" s="300">
        <f>AI103*(1+Driver_macroeconómicos_Agricult!AA$25)</f>
        <v>909.11471622702402</v>
      </c>
      <c r="AK103" s="300">
        <f>AJ103*(1+Driver_macroeconómicos_Agricult!AB$25)</f>
        <v>927.13551010751371</v>
      </c>
      <c r="AL103" s="300">
        <f>AK103*(1+Driver_macroeconómicos_Agricult!AC$25)</f>
        <v>942.60268733517262</v>
      </c>
      <c r="AM103" s="300">
        <f>AL103*(1+Driver_macroeconómicos_Agricult!AD$25)</f>
        <v>963.48365106284712</v>
      </c>
      <c r="AN103" s="300">
        <f>AM103*(1+Driver_macroeconómicos_Agricult!AE$25)</f>
        <v>982.88392916996406</v>
      </c>
      <c r="AO103" s="300">
        <f>AN103*(1+Driver_macroeconómicos_Agricult!AF$25)</f>
        <v>1007.571966166993</v>
      </c>
      <c r="AP103" s="300">
        <f>AO103*(1+Driver_macroeconómicos_Agricult!AG$25)</f>
        <v>1029.2940476318558</v>
      </c>
      <c r="AQ103" s="300">
        <f>AP103*(1+Driver_macroeconómicos_Agricult!AH$25)</f>
        <v>1051.2739662231802</v>
      </c>
      <c r="AR103" s="300">
        <f>AQ103*(1+Driver_macroeconómicos_Agricult!AI$25)</f>
        <v>1074.5353290862563</v>
      </c>
      <c r="AS103" s="300">
        <f>AR103*(1+Driver_macroeconómicos_Agricult!AJ$25)</f>
        <v>1098.0286027848379</v>
      </c>
      <c r="AT103" s="300">
        <f>AS103*(1+Driver_macroeconómicos_Agricult!AK$25)</f>
        <v>1118.6862714080542</v>
      </c>
      <c r="AU103" s="300">
        <f>AT103*(1+Driver_macroeconómicos_Agricult!AL$25)</f>
        <v>1140.1795222729388</v>
      </c>
      <c r="AV103" s="300">
        <f>AU103*(1+Driver_macroeconómicos_Agricult!AM$25)</f>
        <v>1162.3965592449858</v>
      </c>
      <c r="AW103" s="300">
        <f>AV103*(1+Driver_macroeconómicos_Agricult!AN$25)</f>
        <v>1185.5011383055926</v>
      </c>
      <c r="AX103" s="300">
        <f>AW103*(1+Driver_macroeconómicos_Agricult!AO$25)</f>
        <v>1209.4264727866416</v>
      </c>
      <c r="AY103" s="300">
        <f>AX103*(1+Driver_macroeconómicos_Agricult!AP$25)</f>
        <v>1233.9691444293549</v>
      </c>
      <c r="AZ103" s="300">
        <f>AY103*(1+Driver_macroeconómicos_Agricult!AQ$25)</f>
        <v>1259.2481994639902</v>
      </c>
      <c r="BA103" s="300">
        <f>AZ103*(1+Driver_macroeconómicos_Agricult!AR$25)</f>
        <v>1285.1543799317697</v>
      </c>
      <c r="BB103" s="300">
        <f>BA103*(1+Driver_macroeconómicos_Agricult!AS$25)</f>
        <v>1311.6537936673903</v>
      </c>
      <c r="BC103" s="300">
        <f>BB103*(1+Driver_macroeconómicos_Agricult!AT$25)</f>
        <v>1339.0223543389195</v>
      </c>
      <c r="BD103" s="300">
        <f>BC103*(1+Driver_macroeconómicos_Agricult!AU$25)</f>
        <v>1366.8542908937711</v>
      </c>
      <c r="BE103" s="300">
        <f>BD103*(1+Driver_macroeconómicos_Agricult!AV$25)</f>
        <v>1395.320225477283</v>
      </c>
      <c r="BF103" s="300">
        <f>BE103*(1+Driver_macroeconómicos_Agricult!AW$25)</f>
        <v>1424.0046860189786</v>
      </c>
      <c r="BG103" s="300">
        <f>BF103*(1+Driver_macroeconómicos_Agricult!AX$25)</f>
        <v>1453.1897218406025</v>
      </c>
      <c r="BH103" s="300">
        <f>BG103*(1+Driver_macroeconómicos_Agricult!AY$25)</f>
        <v>1482.8948589290765</v>
      </c>
      <c r="BI103" s="300">
        <f>BH103*(1+Driver_macroeconómicos_Agricult!AZ$25)</f>
        <v>1513.0509951408878</v>
      </c>
      <c r="BJ103" s="300">
        <f>BI103*(1+Driver_macroeconómicos_Agricult!BA$25)</f>
        <v>1543.6759212965628</v>
      </c>
      <c r="BK103" s="300">
        <f>BJ103*(1+Driver_macroeconómicos_Agricult!BB$25)</f>
        <v>1575.0583974626761</v>
      </c>
      <c r="BL103" s="300">
        <f>BK103*(1+Driver_macroeconómicos_Agricult!BC$25)</f>
        <v>1607.18880586654</v>
      </c>
      <c r="BM103" s="300">
        <f>BL103*(1+Driver_macroeconómicos_Agricult!BD$25)</f>
        <v>1640.0664635172177</v>
      </c>
      <c r="BN103" s="182"/>
    </row>
    <row r="104" spans="1:66" ht="13.5" customHeight="1" x14ac:dyDescent="0.3">
      <c r="A104" s="982"/>
      <c r="B104" s="944"/>
      <c r="C104" s="183"/>
      <c r="D104" s="185" t="s">
        <v>711</v>
      </c>
      <c r="E104" s="977"/>
      <c r="F104" s="982"/>
      <c r="G104" s="982"/>
      <c r="H104" s="982"/>
      <c r="I104" s="982"/>
      <c r="J104" s="982"/>
      <c r="K104" s="977"/>
      <c r="L104" s="202">
        <v>276.75341671727637</v>
      </c>
      <c r="M104" s="202">
        <v>201.02416595832574</v>
      </c>
      <c r="N104" s="202">
        <v>247.82375039928598</v>
      </c>
      <c r="O104" s="202">
        <v>199.73610791490233</v>
      </c>
      <c r="P104" s="202">
        <v>268.89999999999998</v>
      </c>
      <c r="Q104" s="300">
        <f>P104*(1+Driver_macroeconómicos_Agricult!H$25)</f>
        <v>278.16046427411652</v>
      </c>
      <c r="R104" s="300">
        <f>Q104*(1+Driver_macroeconómicos_Agricult!I$25)</f>
        <v>286.34278202271616</v>
      </c>
      <c r="S104" s="300">
        <f>R104*(1+Driver_macroeconómicos_Agricult!J$25)</f>
        <v>295.26171575054627</v>
      </c>
      <c r="T104" s="300">
        <f>S104*(1+Driver_macroeconómicos_Agricult!K$25)</f>
        <v>302.23690714722079</v>
      </c>
      <c r="U104" s="300">
        <f>T104*(1+Driver_macroeconómicos_Agricult!L$25)</f>
        <v>308.13032245789418</v>
      </c>
      <c r="V104" s="300">
        <f>U104*(1+Driver_macroeconómicos_Agricult!M$25)</f>
        <v>315.95965367568067</v>
      </c>
      <c r="W104" s="300">
        <f>V104*(1+Driver_macroeconómicos_Agricult!N$25)</f>
        <v>322.76324860107144</v>
      </c>
      <c r="X104" s="300">
        <f>W104*(1+Driver_macroeconómicos_Agricult!O$25)</f>
        <v>326.79752061180278</v>
      </c>
      <c r="Y104" s="300">
        <f>X104*(1+Driver_macroeconómicos_Agricult!P$25)</f>
        <v>331.54380971236543</v>
      </c>
      <c r="Z104" s="300">
        <f>Y104*(1+Driver_macroeconómicos_Agricult!Q$25)</f>
        <v>338.4757814393036</v>
      </c>
      <c r="AA104" s="300">
        <f>Z104*(1+Driver_macroeconómicos_Agricult!R$25)</f>
        <v>343.04138621448976</v>
      </c>
      <c r="AB104" s="300">
        <f>AA104*(1+Driver_macroeconómicos_Agricult!S$25)</f>
        <v>348.94079809180738</v>
      </c>
      <c r="AC104" s="300">
        <f>AB104*(1+Driver_macroeconómicos_Agricult!T$25)</f>
        <v>353.11777128321336</v>
      </c>
      <c r="AD104" s="300">
        <f>AC104*(1+Driver_macroeconómicos_Agricult!U$25)</f>
        <v>357.50386379433479</v>
      </c>
      <c r="AE104" s="300">
        <f>AD104*(1+Driver_macroeconómicos_Agricult!V$25)</f>
        <v>362.8131511021864</v>
      </c>
      <c r="AF104" s="300">
        <f>AE104*(1+Driver_macroeconómicos_Agricult!W$25)</f>
        <v>367.61234231970269</v>
      </c>
      <c r="AG104" s="300">
        <f>AF104*(1+Driver_macroeconómicos_Agricult!X$25)</f>
        <v>373.12562600903061</v>
      </c>
      <c r="AH104" s="300">
        <f>AG104*(1+Driver_macroeconómicos_Agricult!Y$25)</f>
        <v>379.99205606429274</v>
      </c>
      <c r="AI104" s="300">
        <f>AH104*(1+Driver_macroeconómicos_Agricult!Z$25)</f>
        <v>386.52882714519052</v>
      </c>
      <c r="AJ104" s="300">
        <f>AI104*(1+Driver_macroeconómicos_Agricult!AA$25)</f>
        <v>393.91064646059726</v>
      </c>
      <c r="AK104" s="300">
        <f>AJ104*(1+Driver_macroeconómicos_Agricult!AB$25)</f>
        <v>401.71888280359383</v>
      </c>
      <c r="AL104" s="300">
        <f>AK104*(1+Driver_macroeconómicos_Agricult!AC$25)</f>
        <v>408.42066165715079</v>
      </c>
      <c r="AM104" s="300">
        <f>AL104*(1+Driver_macroeconómicos_Agricult!AD$25)</f>
        <v>417.46818203480416</v>
      </c>
      <c r="AN104" s="300">
        <f>AM104*(1+Driver_macroeconómicos_Agricult!AE$25)</f>
        <v>425.87413560071417</v>
      </c>
      <c r="AO104" s="300">
        <f>AN104*(1+Driver_macroeconómicos_Agricult!AF$25)</f>
        <v>436.571224141644</v>
      </c>
      <c r="AP104" s="300">
        <f>AO104*(1+Driver_macroeconómicos_Agricult!AG$25)</f>
        <v>445.9831927299482</v>
      </c>
      <c r="AQ104" s="300">
        <f>AP104*(1+Driver_macroeconómicos_Agricult!AH$25)</f>
        <v>455.50687966067193</v>
      </c>
      <c r="AR104" s="300">
        <f>AQ104*(1+Driver_macroeconómicos_Agricult!AI$25)</f>
        <v>465.58580404655839</v>
      </c>
      <c r="AS104" s="300">
        <f>AR104*(1+Driver_macroeconómicos_Agricult!AJ$25)</f>
        <v>475.76521316281452</v>
      </c>
      <c r="AT104" s="300">
        <f>AS104*(1+Driver_macroeconómicos_Agricult!AK$25)</f>
        <v>484.71598192334125</v>
      </c>
      <c r="AU104" s="300">
        <f>AT104*(1+Driver_macroeconómicos_Agricult!AL$25)</f>
        <v>494.02880041764917</v>
      </c>
      <c r="AV104" s="300">
        <f>AU104*(1+Driver_macroeconómicos_Agricult!AM$25)</f>
        <v>503.65522845790605</v>
      </c>
      <c r="AW104" s="300">
        <f>AV104*(1+Driver_macroeconómicos_Agricult!AN$25)</f>
        <v>513.66621993292563</v>
      </c>
      <c r="AX104" s="300">
        <f>AW104*(1+Driver_macroeconómicos_Agricult!AO$25)</f>
        <v>524.03283682295796</v>
      </c>
      <c r="AY104" s="300">
        <f>AX104*(1+Driver_macroeconómicos_Agricult!AP$25)</f>
        <v>534.66693995657954</v>
      </c>
      <c r="AZ104" s="300">
        <f>AY104*(1+Driver_macroeconómicos_Agricult!AQ$25)</f>
        <v>545.62011091825127</v>
      </c>
      <c r="BA104" s="300">
        <f>AZ104*(1+Driver_macroeconómicos_Agricult!AR$25)</f>
        <v>556.84500928722628</v>
      </c>
      <c r="BB104" s="300">
        <f>BA104*(1+Driver_macroeconómicos_Agricult!AS$25)</f>
        <v>568.32694991485823</v>
      </c>
      <c r="BC104" s="300">
        <f>BB104*(1+Driver_macroeconómicos_Agricult!AT$25)</f>
        <v>580.18548353486176</v>
      </c>
      <c r="BD104" s="300">
        <f>BC104*(1+Driver_macroeconómicos_Agricult!AU$25)</f>
        <v>592.24479346009468</v>
      </c>
      <c r="BE104" s="300">
        <f>BD104*(1+Driver_macroeconómicos_Agricult!AV$25)</f>
        <v>604.57880862204502</v>
      </c>
      <c r="BF104" s="300">
        <f>BE104*(1+Driver_macroeconómicos_Agricult!AW$25)</f>
        <v>617.00750897599596</v>
      </c>
      <c r="BG104" s="300">
        <f>BF104*(1+Driver_macroeconómicos_Agricult!AX$25)</f>
        <v>629.6531037752784</v>
      </c>
      <c r="BH104" s="300">
        <f>BG104*(1+Driver_macroeconómicos_Agricult!AY$25)</f>
        <v>642.52405344187628</v>
      </c>
      <c r="BI104" s="300">
        <f>BH104*(1+Driver_macroeconómicos_Agricult!AZ$25)</f>
        <v>655.59041668286261</v>
      </c>
      <c r="BJ104" s="300">
        <f>BI104*(1+Driver_macroeconómicos_Agricult!BA$25)</f>
        <v>668.85990208934174</v>
      </c>
      <c r="BK104" s="300">
        <f>BJ104*(1+Driver_macroeconómicos_Agricult!BB$25)</f>
        <v>682.45762661571598</v>
      </c>
      <c r="BL104" s="300">
        <f>BK104*(1+Driver_macroeconómicos_Agricult!BC$25)</f>
        <v>696.37942297375491</v>
      </c>
      <c r="BM104" s="300">
        <f>BL104*(1+Driver_macroeconómicos_Agricult!BD$25)</f>
        <v>710.62499523006693</v>
      </c>
      <c r="BN104" s="182"/>
    </row>
    <row r="105" spans="1:66" ht="14.25" customHeight="1" x14ac:dyDescent="0.3">
      <c r="A105" s="982"/>
      <c r="B105" s="944" t="s">
        <v>367</v>
      </c>
      <c r="C105" s="183"/>
      <c r="D105" s="185" t="s">
        <v>712</v>
      </c>
      <c r="E105" s="977"/>
      <c r="F105" s="982"/>
      <c r="G105" s="982"/>
      <c r="H105" s="982"/>
      <c r="I105" s="982"/>
      <c r="J105" s="982"/>
      <c r="K105" s="977"/>
      <c r="L105" s="202">
        <v>0</v>
      </c>
      <c r="M105" s="202">
        <v>107.77264867839591</v>
      </c>
      <c r="N105" s="202">
        <v>121.71801820253535</v>
      </c>
      <c r="O105" s="202">
        <v>156.70408071033322</v>
      </c>
      <c r="P105" s="202">
        <v>106.5</v>
      </c>
      <c r="Q105" s="300">
        <f>P105*(1+Driver_macroeconómicos_Agricult!H$25)</f>
        <v>110.16768109034368</v>
      </c>
      <c r="R105" s="300">
        <f>Q105*(1+Driver_macroeconómicos_Agricult!I$25)</f>
        <v>113.4083536088482</v>
      </c>
      <c r="S105" s="300">
        <f>R105*(1+Driver_macroeconómicos_Agricult!J$25)</f>
        <v>116.94076878926435</v>
      </c>
      <c r="T105" s="300">
        <f>S105*(1+Driver_macroeconómicos_Agricult!K$25)</f>
        <v>119.70334924201941</v>
      </c>
      <c r="U105" s="300">
        <f>T105*(1+Driver_macroeconómicos_Agricult!L$25)</f>
        <v>122.03748360641775</v>
      </c>
      <c r="V105" s="300">
        <f>U105*(1+Driver_macroeconómicos_Agricult!M$25)</f>
        <v>125.13835298051319</v>
      </c>
      <c r="W105" s="300">
        <f>V105*(1+Driver_macroeconómicos_Agricult!N$25)</f>
        <v>127.83297127561961</v>
      </c>
      <c r="X105" s="300">
        <f>W105*(1+Driver_macroeconómicos_Agricult!O$25)</f>
        <v>129.43077703665676</v>
      </c>
      <c r="Y105" s="300">
        <f>X105*(1+Driver_macroeconómicos_Agricult!P$25)</f>
        <v>131.31058287232028</v>
      </c>
      <c r="Z105" s="300">
        <f>Y105*(1+Driver_macroeconómicos_Agricult!Q$25)</f>
        <v>134.05604582850813</v>
      </c>
      <c r="AA105" s="300">
        <f>Z105*(1+Driver_macroeconómicos_Agricult!R$25)</f>
        <v>135.86429018907833</v>
      </c>
      <c r="AB105" s="300">
        <f>AA105*(1+Driver_macroeconómicos_Agricult!S$25)</f>
        <v>138.20079954175341</v>
      </c>
      <c r="AC105" s="300">
        <f>AB105*(1+Driver_macroeconómicos_Agricult!T$25)</f>
        <v>139.8551232490228</v>
      </c>
      <c r="AD105" s="300">
        <f>AC105*(1+Driver_macroeconómicos_Agricult!U$25)</f>
        <v>141.59227033877525</v>
      </c>
      <c r="AE105" s="300">
        <f>AD105*(1+Driver_macroeconómicos_Agricult!V$25)</f>
        <v>143.69505612637732</v>
      </c>
      <c r="AF105" s="300">
        <f>AE105*(1+Driver_macroeconómicos_Agricult!W$25)</f>
        <v>145.59581426942486</v>
      </c>
      <c r="AG105" s="300">
        <f>AF105*(1+Driver_macroeconómicos_Agricult!X$25)</f>
        <v>147.77939445876447</v>
      </c>
      <c r="AH105" s="300">
        <f>AG105*(1+Driver_macroeconómicos_Agricult!Y$25)</f>
        <v>150.49889911062544</v>
      </c>
      <c r="AI105" s="300">
        <f>AH105*(1+Driver_macroeconómicos_Agricult!Z$25)</f>
        <v>153.087839683759</v>
      </c>
      <c r="AJ105" s="300">
        <f>AI105*(1+Driver_macroeconómicos_Agricult!AA$25)</f>
        <v>156.01146838249764</v>
      </c>
      <c r="AK105" s="300">
        <f>AJ105*(1+Driver_macroeconómicos_Agricult!AB$25)</f>
        <v>159.10398296237543</v>
      </c>
      <c r="AL105" s="300">
        <f>AK105*(1+Driver_macroeconómicos_Agricult!AC$25)</f>
        <v>161.75827618626468</v>
      </c>
      <c r="AM105" s="300">
        <f>AL105*(1+Driver_macroeconómicos_Agricult!AD$25)</f>
        <v>165.34161913985369</v>
      </c>
      <c r="AN105" s="300">
        <f>AM105*(1+Driver_macroeconómicos_Agricult!AE$25)</f>
        <v>168.67086441605085</v>
      </c>
      <c r="AO105" s="300">
        <f>AN105*(1+Driver_macroeconómicos_Agricult!AF$25)</f>
        <v>172.90753206056192</v>
      </c>
      <c r="AP105" s="300">
        <f>AO105*(1+Driver_macroeconómicos_Agricult!AG$25)</f>
        <v>176.63521764871513</v>
      </c>
      <c r="AQ105" s="300">
        <f>AP105*(1+Driver_macroeconómicos_Agricult!AH$25)</f>
        <v>180.40715018170908</v>
      </c>
      <c r="AR105" s="300">
        <f>AQ105*(1+Driver_macroeconómicos_Agricult!AI$25)</f>
        <v>184.39898895856632</v>
      </c>
      <c r="AS105" s="300">
        <f>AR105*(1+Driver_macroeconómicos_Agricult!AJ$25)</f>
        <v>188.43062551818431</v>
      </c>
      <c r="AT105" s="300">
        <f>AS105*(1+Driver_macroeconómicos_Agricult!AK$25)</f>
        <v>191.97564921843011</v>
      </c>
      <c r="AU105" s="300">
        <f>AT105*(1+Driver_macroeconómicos_Agricult!AL$25)</f>
        <v>195.66406561725418</v>
      </c>
      <c r="AV105" s="300">
        <f>AU105*(1+Driver_macroeconómicos_Agricult!AM$25)</f>
        <v>199.47668959005952</v>
      </c>
      <c r="AW105" s="300">
        <f>AV105*(1+Driver_macroeconómicos_Agricult!AN$25)</f>
        <v>203.44162299314462</v>
      </c>
      <c r="AX105" s="300">
        <f>AW105*(1+Driver_macroeconómicos_Agricult!AO$25)</f>
        <v>207.54740469187442</v>
      </c>
      <c r="AY105" s="300">
        <f>AX105*(1+Driver_macroeconómicos_Agricult!AP$25)</f>
        <v>211.75912646104771</v>
      </c>
      <c r="AZ105" s="300">
        <f>AY105*(1+Driver_macroeconómicos_Agricult!AQ$25)</f>
        <v>216.09721760057184</v>
      </c>
      <c r="BA105" s="300">
        <f>AZ105*(1+Driver_macroeconómicos_Agricult!AR$25)</f>
        <v>220.54292855741764</v>
      </c>
      <c r="BB105" s="300">
        <f>BA105*(1+Driver_macroeconómicos_Agricult!AS$25)</f>
        <v>225.09044316077504</v>
      </c>
      <c r="BC105" s="300">
        <f>BB105*(1+Driver_macroeconómicos_Agricult!AT$25)</f>
        <v>229.78711043682699</v>
      </c>
      <c r="BD105" s="300">
        <f>BC105*(1+Driver_macroeconómicos_Agricult!AU$25)</f>
        <v>234.56329677761283</v>
      </c>
      <c r="BE105" s="300">
        <f>BD105*(1+Driver_macroeconómicos_Agricult!AV$25)</f>
        <v>239.44828232892451</v>
      </c>
      <c r="BF105" s="300">
        <f>BE105*(1+Driver_macroeconómicos_Agricult!AW$25)</f>
        <v>244.37076870934763</v>
      </c>
      <c r="BG105" s="300">
        <f>BF105*(1+Driver_macroeconómicos_Agricult!AX$25)</f>
        <v>249.37915787306491</v>
      </c>
      <c r="BH105" s="300">
        <f>BG105*(1+Driver_macroeconómicos_Agricult!AY$25)</f>
        <v>254.47680063800607</v>
      </c>
      <c r="BI105" s="300">
        <f>BH105*(1+Driver_macroeconómicos_Agricult!AZ$25)</f>
        <v>259.65183851515388</v>
      </c>
      <c r="BJ105" s="300">
        <f>BI105*(1+Driver_macroeconómicos_Agricult!BA$25)</f>
        <v>264.90732455379288</v>
      </c>
      <c r="BK105" s="300">
        <f>BJ105*(1+Driver_macroeconómicos_Agricult!BB$25)</f>
        <v>270.29281232641785</v>
      </c>
      <c r="BL105" s="300">
        <f>BK105*(1+Driver_macroeconómicos_Agricult!BC$25)</f>
        <v>275.80665134512799</v>
      </c>
      <c r="BM105" s="300">
        <f>BL105*(1+Driver_macroeconómicos_Agricult!BD$25)</f>
        <v>281.44872440313179</v>
      </c>
      <c r="BN105" s="182"/>
    </row>
    <row r="106" spans="1:66" ht="14.25" customHeight="1" x14ac:dyDescent="0.3">
      <c r="A106" s="982"/>
      <c r="B106" s="944" t="s">
        <v>367</v>
      </c>
      <c r="C106" s="183"/>
      <c r="D106" s="185" t="s">
        <v>713</v>
      </c>
      <c r="E106" s="977"/>
      <c r="F106" s="982"/>
      <c r="G106" s="982"/>
      <c r="H106" s="982"/>
      <c r="I106" s="982"/>
      <c r="J106" s="982"/>
      <c r="K106" s="977"/>
      <c r="L106" s="202">
        <v>0</v>
      </c>
      <c r="M106" s="202">
        <v>133.29921508867</v>
      </c>
      <c r="N106" s="202">
        <v>196.93190017375747</v>
      </c>
      <c r="O106" s="202">
        <v>211.50616730098926</v>
      </c>
      <c r="P106" s="202">
        <v>219.59911059084641</v>
      </c>
      <c r="Q106" s="300">
        <f>P106*(1+Driver_macroeconómicos_Agricult!H$25)</f>
        <v>227.16173505441765</v>
      </c>
      <c r="R106" s="300">
        <f>Q106*(1+Driver_macroeconómicos_Agricult!I$25)</f>
        <v>233.84388343732647</v>
      </c>
      <c r="S106" s="300">
        <f>R106*(1+Driver_macroeconómicos_Agricult!J$25)</f>
        <v>241.12759453457522</v>
      </c>
      <c r="T106" s="300">
        <f>S106*(1+Driver_macroeconómicos_Agricult!K$25)</f>
        <v>246.82393453796178</v>
      </c>
      <c r="U106" s="300">
        <f>T106*(1+Driver_macroeconómicos_Agricult!L$25)</f>
        <v>251.63683435412523</v>
      </c>
      <c r="V106" s="300">
        <f>U106*(1+Driver_macroeconómicos_Agricult!M$25)</f>
        <v>258.03071375891165</v>
      </c>
      <c r="W106" s="300">
        <f>V106*(1+Driver_macroeconómicos_Agricult!N$25)</f>
        <v>263.58691827522335</v>
      </c>
      <c r="X106" s="300">
        <f>W106*(1+Driver_macroeconómicos_Agricult!O$25)</f>
        <v>266.88153540217814</v>
      </c>
      <c r="Y106" s="300">
        <f>X106*(1+Driver_macroeconómicos_Agricult!P$25)</f>
        <v>270.75762638429262</v>
      </c>
      <c r="Z106" s="300">
        <f>Y106*(1+Driver_macroeconómicos_Agricult!Q$25)</f>
        <v>276.41867073489328</v>
      </c>
      <c r="AA106" s="300">
        <f>Z106*(1+Driver_macroeconómicos_Agricult!R$25)</f>
        <v>280.14720456881003</v>
      </c>
      <c r="AB106" s="300">
        <f>AA106*(1+Driver_macroeconómicos_Agricult!S$25)</f>
        <v>284.96500152406486</v>
      </c>
      <c r="AC106" s="300">
        <f>AB106*(1+Driver_macroeconómicos_Agricult!T$25)</f>
        <v>288.37615659209968</v>
      </c>
      <c r="AD106" s="300">
        <f>AC106*(1+Driver_macroeconómicos_Agricult!U$25)</f>
        <v>291.95809045008195</v>
      </c>
      <c r="AE106" s="300">
        <f>AD106*(1+Driver_macroeconómicos_Agricult!V$25)</f>
        <v>296.29395794980485</v>
      </c>
      <c r="AF106" s="300">
        <f>AE106*(1+Driver_macroeconómicos_Agricult!W$25)</f>
        <v>300.21325182456121</v>
      </c>
      <c r="AG106" s="300">
        <f>AF106*(1+Driver_macroeconómicos_Agricult!X$25)</f>
        <v>304.71571443003324</v>
      </c>
      <c r="AH106" s="300">
        <f>AG106*(1+Driver_macroeconómicos_Agricult!Y$25)</f>
        <v>310.32323370511625</v>
      </c>
      <c r="AI106" s="300">
        <f>AH106*(1+Driver_macroeconómicos_Agricult!Z$25)</f>
        <v>315.66153461809921</v>
      </c>
      <c r="AJ106" s="300">
        <f>AI106*(1+Driver_macroeconómicos_Agricult!AA$25)</f>
        <v>321.6899502231779</v>
      </c>
      <c r="AK106" s="300">
        <f>AJ106*(1+Driver_macroeconómicos_Agricult!AB$25)</f>
        <v>328.0666023474069</v>
      </c>
      <c r="AL106" s="300">
        <f>AK106*(1+Driver_macroeconómicos_Agricult!AC$25)</f>
        <v>333.5396580395514</v>
      </c>
      <c r="AM106" s="300">
        <f>AL106*(1+Driver_macroeconómicos_Agricult!AD$25)</f>
        <v>340.92838034518633</v>
      </c>
      <c r="AN106" s="300">
        <f>AM106*(1+Driver_macroeconómicos_Agricult!AE$25)</f>
        <v>347.79316251975604</v>
      </c>
      <c r="AO106" s="300">
        <f>AN106*(1+Driver_macroeconómicos_Agricult!AF$25)</f>
        <v>356.52901647847574</v>
      </c>
      <c r="AP106" s="300">
        <f>AO106*(1+Driver_macroeconómicos_Agricult!AG$25)</f>
        <v>364.21536802514959</v>
      </c>
      <c r="AQ106" s="300">
        <f>AP106*(1+Driver_macroeconómicos_Agricult!AH$25)</f>
        <v>371.9929551561745</v>
      </c>
      <c r="AR106" s="300">
        <f>AQ106*(1+Driver_macroeconómicos_Agricult!AI$25)</f>
        <v>380.22398093100924</v>
      </c>
      <c r="AS106" s="300">
        <f>AR106*(1+Driver_macroeconómicos_Agricult!AJ$25)</f>
        <v>388.53706828047075</v>
      </c>
      <c r="AT106" s="300">
        <f>AS106*(1+Driver_macroeconómicos_Agricult!AK$25)</f>
        <v>395.84677768514166</v>
      </c>
      <c r="AU106" s="300">
        <f>AT106*(1+Driver_macroeconómicos_Agricult!AL$25)</f>
        <v>403.45215759754035</v>
      </c>
      <c r="AV106" s="300">
        <f>AU106*(1+Driver_macroeconómicos_Agricult!AM$25)</f>
        <v>411.31364899139379</v>
      </c>
      <c r="AW106" s="300">
        <f>AV106*(1+Driver_macroeconómicos_Agricult!AN$25)</f>
        <v>419.489196868102</v>
      </c>
      <c r="AX106" s="300">
        <f>AW106*(1+Driver_macroeconómicos_Agricult!AO$25)</f>
        <v>427.9551687866113</v>
      </c>
      <c r="AY106" s="300">
        <f>AX106*(1+Driver_macroeconómicos_Agricult!AP$25)</f>
        <v>436.63958526141471</v>
      </c>
      <c r="AZ106" s="300">
        <f>AY106*(1+Driver_macroeconómicos_Agricult!AQ$25)</f>
        <v>445.58457076283753</v>
      </c>
      <c r="BA106" s="300">
        <f>AZ106*(1+Driver_macroeconómicos_Agricult!AR$25)</f>
        <v>454.75146439727246</v>
      </c>
      <c r="BB106" s="300">
        <f>BA106*(1+Driver_macroeconómicos_Agricult!AS$25)</f>
        <v>464.1282734329173</v>
      </c>
      <c r="BC106" s="300">
        <f>BB106*(1+Driver_macroeconómicos_Agricult!AT$25)</f>
        <v>473.81262983256181</v>
      </c>
      <c r="BD106" s="300">
        <f>BC106*(1+Driver_macroeconómicos_Agricult!AU$25)</f>
        <v>483.66095163962962</v>
      </c>
      <c r="BE106" s="300">
        <f>BD106*(1+Driver_macroeconómicos_Agricult!AV$25)</f>
        <v>493.73361344542468</v>
      </c>
      <c r="BF106" s="300">
        <f>BE106*(1+Driver_macroeconómicos_Agricult!AW$25)</f>
        <v>503.88360059130707</v>
      </c>
      <c r="BG106" s="300">
        <f>BF106*(1+Driver_macroeconómicos_Agricult!AX$25)</f>
        <v>514.21071613914887</v>
      </c>
      <c r="BH106" s="300">
        <f>BG106*(1+Driver_macroeconómicos_Agricult!AY$25)</f>
        <v>524.72186935314835</v>
      </c>
      <c r="BI106" s="300">
        <f>BH106*(1+Driver_macroeconómicos_Agricult!AZ$25)</f>
        <v>535.39260846202717</v>
      </c>
      <c r="BJ106" s="300">
        <f>BI106*(1+Driver_macroeconómicos_Agricult!BA$25)</f>
        <v>546.22922874191204</v>
      </c>
      <c r="BK106" s="300">
        <f>BJ106*(1+Driver_macroeconómicos_Agricult!BB$25)</f>
        <v>557.33390784957703</v>
      </c>
      <c r="BL106" s="300">
        <f>BK106*(1+Driver_macroeconómicos_Agricult!BC$25)</f>
        <v>568.70324253924696</v>
      </c>
      <c r="BM106" s="300">
        <f>BL106*(1+Driver_macroeconómicos_Agricult!BD$25)</f>
        <v>580.33699113479827</v>
      </c>
      <c r="BN106" s="182"/>
    </row>
    <row r="107" spans="1:66" ht="14.25" customHeight="1" x14ac:dyDescent="0.3">
      <c r="A107" s="982"/>
      <c r="B107" s="944"/>
      <c r="C107" s="183"/>
      <c r="D107" s="185" t="s">
        <v>714</v>
      </c>
      <c r="E107" s="977"/>
      <c r="F107" s="982"/>
      <c r="G107" s="982"/>
      <c r="H107" s="982"/>
      <c r="I107" s="982"/>
      <c r="J107" s="982"/>
      <c r="K107" s="977"/>
      <c r="L107" s="301">
        <v>105.71304470928307</v>
      </c>
      <c r="M107" s="301">
        <v>1048.1144799708336</v>
      </c>
      <c r="N107" s="301">
        <v>683.87502065145532</v>
      </c>
      <c r="O107" s="301">
        <v>503.48773330439957</v>
      </c>
      <c r="P107" s="301">
        <v>496.74178998435787</v>
      </c>
      <c r="Q107" s="300">
        <f>P107*(1+Driver_macroeconómicos_Agricult!H$25)</f>
        <v>513.84874275345737</v>
      </c>
      <c r="R107" s="300">
        <f>Q107*(1+Driver_macroeconómicos_Agricult!I$25)</f>
        <v>528.9640241393264</v>
      </c>
      <c r="S107" s="300">
        <f>R107*(1+Driver_macroeconómicos_Agricult!J$25)</f>
        <v>545.44006394860185</v>
      </c>
      <c r="T107" s="300">
        <f>S107*(1+Driver_macroeconómicos_Agricult!K$25)</f>
        <v>558.32540816529058</v>
      </c>
      <c r="U107" s="300">
        <f>T107*(1+Driver_macroeconómicos_Agricult!L$25)</f>
        <v>569.21237607360263</v>
      </c>
      <c r="V107" s="300">
        <f>U107*(1+Driver_macroeconómicos_Agricult!M$25)</f>
        <v>583.67558173929126</v>
      </c>
      <c r="W107" s="300">
        <f>V107*(1+Driver_macroeconómicos_Agricult!N$25)</f>
        <v>596.24393399502617</v>
      </c>
      <c r="X107" s="300">
        <f>W107*(1+Driver_macroeconómicos_Agricult!O$25)</f>
        <v>603.69648698831168</v>
      </c>
      <c r="Y107" s="300">
        <f>X107*(1+Driver_macroeconómicos_Agricult!P$25)</f>
        <v>612.46435661864541</v>
      </c>
      <c r="Z107" s="300">
        <f>Y107*(1+Driver_macroeconómicos_Agricult!Q$25)</f>
        <v>625.26986068618066</v>
      </c>
      <c r="AA107" s="300">
        <f>Z107*(1+Driver_macroeconómicos_Agricult!R$25)</f>
        <v>633.7039502673897</v>
      </c>
      <c r="AB107" s="300">
        <f>AA107*(1+Driver_macroeconómicos_Agricult!S$25)</f>
        <v>644.60199569615031</v>
      </c>
      <c r="AC107" s="300">
        <f>AB107*(1+Driver_macroeconómicos_Agricult!T$25)</f>
        <v>652.31816207701934</v>
      </c>
      <c r="AD107" s="300">
        <f>AC107*(1+Driver_macroeconómicos_Agricult!U$25)</f>
        <v>660.42063677025646</v>
      </c>
      <c r="AE107" s="300">
        <f>AD107*(1+Driver_macroeconómicos_Agricult!V$25)</f>
        <v>670.22853889314024</v>
      </c>
      <c r="AF107" s="300">
        <f>AE107*(1+Driver_macroeconómicos_Agricult!W$25)</f>
        <v>679.09413515891288</v>
      </c>
      <c r="AG107" s="300">
        <f>AF107*(1+Driver_macroeconómicos_Agricult!X$25)</f>
        <v>689.27888193663068</v>
      </c>
      <c r="AH107" s="300">
        <f>AG107*(1+Driver_macroeconómicos_Agricult!Y$25)</f>
        <v>701.96331018673595</v>
      </c>
      <c r="AI107" s="300">
        <f>AH107*(1+Driver_macroeconómicos_Agricult!Z$25)</f>
        <v>714.03875595632746</v>
      </c>
      <c r="AJ107" s="300">
        <f>AI107*(1+Driver_macroeconómicos_Agricult!AA$25)</f>
        <v>727.67526819164266</v>
      </c>
      <c r="AK107" s="300">
        <f>AJ107*(1+Driver_macroeconómicos_Agricult!AB$25)</f>
        <v>742.09950507390761</v>
      </c>
      <c r="AL107" s="300">
        <f>AK107*(1+Driver_macroeconómicos_Agricult!AC$25)</f>
        <v>754.47977143238734</v>
      </c>
      <c r="AM107" s="300">
        <f>AL107*(1+Driver_macroeconómicos_Agricult!AD$25)</f>
        <v>771.19335070838395</v>
      </c>
      <c r="AN107" s="300">
        <f>AM107*(1+Driver_macroeconómicos_Agricult!AE$25)</f>
        <v>786.72175688486413</v>
      </c>
      <c r="AO107" s="300">
        <f>AN107*(1+Driver_macroeconómicos_Agricult!AF$25)</f>
        <v>806.48260072808705</v>
      </c>
      <c r="AP107" s="300">
        <f>AO107*(1+Driver_macroeconómicos_Agricult!AG$25)</f>
        <v>823.86942900562815</v>
      </c>
      <c r="AQ107" s="300">
        <f>AP107*(1+Driver_macroeconómicos_Agricult!AH$25)</f>
        <v>841.46263574872353</v>
      </c>
      <c r="AR107" s="300">
        <f>AQ107*(1+Driver_macroeconómicos_Agricult!AI$25)</f>
        <v>860.08153846557821</v>
      </c>
      <c r="AS107" s="300">
        <f>AR107*(1+Driver_macroeconómicos_Agricult!AJ$25)</f>
        <v>878.88606767863939</v>
      </c>
      <c r="AT107" s="300">
        <f>AS107*(1+Driver_macroeconómicos_Agricult!AK$25)</f>
        <v>895.42091667767295</v>
      </c>
      <c r="AU107" s="300">
        <f>AT107*(1+Driver_macroeconómicos_Agricult!AL$25)</f>
        <v>912.62458394677651</v>
      </c>
      <c r="AV107" s="300">
        <f>AU107*(1+Driver_macroeconómicos_Agricult!AM$25)</f>
        <v>930.40758541896992</v>
      </c>
      <c r="AW107" s="300">
        <f>AV107*(1+Driver_macroeconómicos_Agricult!AN$25)</f>
        <v>948.90099495716015</v>
      </c>
      <c r="AX107" s="300">
        <f>AW107*(1+Driver_macroeconómicos_Agricult!AO$25)</f>
        <v>968.05135505398698</v>
      </c>
      <c r="AY107" s="300">
        <f>AX107*(1+Driver_macroeconómicos_Agricult!AP$25)</f>
        <v>987.69584529375447</v>
      </c>
      <c r="AZ107" s="300">
        <f>AY107*(1+Driver_macroeconómicos_Agricult!AQ$25)</f>
        <v>1007.9297528783788</v>
      </c>
      <c r="BA107" s="300">
        <f>AZ107*(1+Driver_macroeconómicos_Agricult!AR$25)</f>
        <v>1028.6656253521503</v>
      </c>
      <c r="BB107" s="300">
        <f>BA107*(1+Driver_macroeconómicos_Agricult!AS$25)</f>
        <v>1049.8763346859698</v>
      </c>
      <c r="BC107" s="300">
        <f>BB107*(1+Driver_macroeconómicos_Agricult!AT$25)</f>
        <v>1071.7827282039698</v>
      </c>
      <c r="BD107" s="300">
        <f>BC107*(1+Driver_macroeconómicos_Agricult!AU$25)</f>
        <v>1094.0600178961838</v>
      </c>
      <c r="BE107" s="300">
        <f>BD107*(1+Driver_macroeconómicos_Agricult!AV$25)</f>
        <v>1116.8447734530503</v>
      </c>
      <c r="BF107" s="300">
        <f>BE107*(1+Driver_macroeconómicos_Agricult!AW$25)</f>
        <v>1139.8044419580738</v>
      </c>
      <c r="BG107" s="300">
        <f>BF107*(1+Driver_macroeconómicos_Agricult!AX$25)</f>
        <v>1163.1647818465542</v>
      </c>
      <c r="BH107" s="300">
        <f>BG107*(1+Driver_macroeconómicos_Agricult!AY$25)</f>
        <v>1186.9414221447485</v>
      </c>
      <c r="BI107" s="300">
        <f>BH107*(1+Driver_macroeconómicos_Agricult!AZ$25)</f>
        <v>1211.0790519882344</v>
      </c>
      <c r="BJ107" s="300">
        <f>BI107*(1+Driver_macroeconómicos_Agricult!BA$25)</f>
        <v>1235.5919115382001</v>
      </c>
      <c r="BK107" s="300">
        <f>BJ107*(1+Driver_macroeconómicos_Agricult!BB$25)</f>
        <v>1260.7111306566283</v>
      </c>
      <c r="BL107" s="300">
        <f>BK107*(1+Driver_macroeconómicos_Agricult!BC$25)</f>
        <v>1286.4290110682682</v>
      </c>
      <c r="BM107" s="300">
        <f>BL107*(1+Driver_macroeconómicos_Agricult!BD$25)</f>
        <v>1312.745006092262</v>
      </c>
      <c r="BN107" s="182"/>
    </row>
    <row r="108" spans="1:66" ht="14.25" customHeight="1" x14ac:dyDescent="0.3">
      <c r="A108" s="982"/>
      <c r="B108" s="944"/>
      <c r="C108" s="183"/>
      <c r="D108" s="185" t="s">
        <v>715</v>
      </c>
      <c r="E108" s="977"/>
      <c r="F108" s="982"/>
      <c r="G108" s="982"/>
      <c r="H108" s="982"/>
      <c r="I108" s="982"/>
      <c r="J108" s="982"/>
      <c r="K108" s="977"/>
      <c r="L108" s="301">
        <v>388.76177507084674</v>
      </c>
      <c r="M108" s="301">
        <v>330.0776224697172</v>
      </c>
      <c r="N108" s="301">
        <v>414.51562066941744</v>
      </c>
      <c r="O108" s="301">
        <v>370.99405287354472</v>
      </c>
      <c r="P108" s="301">
        <v>469.70000000000005</v>
      </c>
      <c r="Q108" s="300">
        <f>P108*(1+Driver_macroeconómicos_Agricult!H$25)</f>
        <v>485.87567894961904</v>
      </c>
      <c r="R108" s="300">
        <f>Q108*(1+Driver_macroeconómicos_Agricult!I$25)</f>
        <v>500.16810976597185</v>
      </c>
      <c r="S108" s="300">
        <f>R108*(1+Driver_macroeconómicos_Agricult!J$25)</f>
        <v>515.7472215992251</v>
      </c>
      <c r="T108" s="300">
        <f>S108*(1+Driver_macroeconómicos_Agricult!K$25)</f>
        <v>527.93110928616454</v>
      </c>
      <c r="U108" s="300">
        <f>T108*(1+Driver_macroeconómicos_Agricult!L$25)</f>
        <v>538.22540891957203</v>
      </c>
      <c r="V108" s="300">
        <f>U108*(1+Driver_macroeconómicos_Agricult!M$25)</f>
        <v>551.90126192438549</v>
      </c>
      <c r="W108" s="300">
        <f>V108*(1+Driver_macroeconómicos_Agricult!N$25)</f>
        <v>563.78541416111307</v>
      </c>
      <c r="X108" s="300">
        <f>W108*(1+Driver_macroeconómicos_Agricult!O$25)</f>
        <v>570.83226266777172</v>
      </c>
      <c r="Y108" s="300">
        <f>X108*(1+Driver_macroeconómicos_Agricult!P$25)</f>
        <v>579.12282417961353</v>
      </c>
      <c r="Z108" s="300">
        <f>Y108*(1+Driver_macroeconómicos_Agricult!Q$25)</f>
        <v>591.23121808122323</v>
      </c>
      <c r="AA108" s="300">
        <f>Z108*(1+Driver_macroeconómicos_Agricult!R$25)</f>
        <v>599.20616997004788</v>
      </c>
      <c r="AB108" s="300">
        <f>AA108*(1+Driver_macroeconómicos_Agricult!S$25)</f>
        <v>609.51094408226834</v>
      </c>
      <c r="AC108" s="300">
        <f>AB108*(1+Driver_macroeconómicos_Agricult!T$25)</f>
        <v>616.80705530578416</v>
      </c>
      <c r="AD108" s="300">
        <f>AC108*(1+Driver_macroeconómicos_Agricult!U$25)</f>
        <v>624.4684448650022</v>
      </c>
      <c r="AE108" s="300">
        <f>AD108*(1+Driver_macroeconómicos_Agricult!V$25)</f>
        <v>633.74242124468947</v>
      </c>
      <c r="AF108" s="300">
        <f>AE108*(1+Driver_macroeconómicos_Agricult!W$25)</f>
        <v>642.12538931782967</v>
      </c>
      <c r="AG108" s="300">
        <f>AF108*(1+Driver_macroeconómicos_Agricult!X$25)</f>
        <v>651.7556955613303</v>
      </c>
      <c r="AH108" s="300">
        <f>AG108*(1+Driver_macroeconómicos_Agricult!Y$25)</f>
        <v>663.74960480996037</v>
      </c>
      <c r="AI108" s="300">
        <f>AH108*(1+Driver_macroeconómicos_Agricult!Z$25)</f>
        <v>675.16768356301986</v>
      </c>
      <c r="AJ108" s="300">
        <f>AI108*(1+Driver_macroeconómicos_Agricult!AA$25)</f>
        <v>688.06184694140052</v>
      </c>
      <c r="AK108" s="300">
        <f>AJ108*(1+Driver_macroeconómicos_Agricult!AB$25)</f>
        <v>701.700852558007</v>
      </c>
      <c r="AL108" s="300">
        <f>AK108*(1+Driver_macroeconómicos_Agricult!AC$25)</f>
        <v>713.40715797829603</v>
      </c>
      <c r="AM108" s="300">
        <f>AL108*(1+Driver_macroeconómicos_Agricult!AD$25)</f>
        <v>729.21087802806835</v>
      </c>
      <c r="AN108" s="300">
        <f>AM108*(1+Driver_macroeconómicos_Agricult!AE$25)</f>
        <v>743.89394381426371</v>
      </c>
      <c r="AO108" s="300">
        <f>AN108*(1+Driver_macroeconómicos_Agricult!AF$25)</f>
        <v>762.57904045864734</v>
      </c>
      <c r="AP108" s="300">
        <f>AO108*(1+Driver_macroeconómicos_Agricult!AG$25)</f>
        <v>779.01935896339444</v>
      </c>
      <c r="AQ108" s="300">
        <f>AP108*(1+Driver_macroeconómicos_Agricult!AH$25)</f>
        <v>795.65482103613874</v>
      </c>
      <c r="AR108" s="300">
        <f>AQ108*(1+Driver_macroeconómicos_Agricult!AI$25)</f>
        <v>813.26014191397758</v>
      </c>
      <c r="AS108" s="300">
        <f>AR108*(1+Driver_macroeconómicos_Agricult!AJ$25)</f>
        <v>831.04098409287496</v>
      </c>
      <c r="AT108" s="300">
        <f>AS108*(1+Driver_macroeconómicos_Agricult!AK$25)</f>
        <v>846.67570364222195</v>
      </c>
      <c r="AU108" s="300">
        <f>AT108*(1+Driver_macroeconómicos_Agricult!AL$25)</f>
        <v>862.94283211666004</v>
      </c>
      <c r="AV108" s="300">
        <f>AU108*(1+Driver_macroeconómicos_Agricult!AM$25)</f>
        <v>879.75775681174616</v>
      </c>
      <c r="AW108" s="300">
        <f>AV108*(1+Driver_macroeconómicos_Agricult!AN$25)</f>
        <v>897.24441614910836</v>
      </c>
      <c r="AX108" s="300">
        <f>AW108*(1+Driver_macroeconómicos_Agricult!AO$25)</f>
        <v>915.35226275843593</v>
      </c>
      <c r="AY108" s="300">
        <f>AX108*(1+Driver_macroeconómicos_Agricult!AP$25)</f>
        <v>933.92733989440501</v>
      </c>
      <c r="AZ108" s="300">
        <f>AY108*(1+Driver_macroeconómicos_Agricult!AQ$25)</f>
        <v>953.05974748346114</v>
      </c>
      <c r="BA108" s="300">
        <f>AZ108*(1+Driver_macroeconómicos_Agricult!AR$25)</f>
        <v>972.66679383492101</v>
      </c>
      <c r="BB108" s="300">
        <f>BA108*(1+Driver_macroeconómicos_Agricult!AS$25)</f>
        <v>992.72282772409449</v>
      </c>
      <c r="BC108" s="300">
        <f>BB108*(1+Driver_macroeconómicos_Agricult!AT$25)</f>
        <v>1013.4366739171612</v>
      </c>
      <c r="BD108" s="300">
        <f>BC108*(1+Driver_macroeconómicos_Agricult!AU$25)</f>
        <v>1034.5012253187303</v>
      </c>
      <c r="BE108" s="300">
        <f>BD108*(1+Driver_macroeconómicos_Agricult!AV$25)</f>
        <v>1056.0456169943275</v>
      </c>
      <c r="BF108" s="300">
        <f>BE108*(1+Driver_macroeconómicos_Agricult!AW$25)</f>
        <v>1077.7553996505221</v>
      </c>
      <c r="BG108" s="300">
        <f>BF108*(1+Driver_macroeconómicos_Agricult!AX$25)</f>
        <v>1099.8440418120058</v>
      </c>
      <c r="BH108" s="300">
        <f>BG108*(1+Driver_macroeconómicos_Agricult!AY$25)</f>
        <v>1122.3263216870562</v>
      </c>
      <c r="BI108" s="300">
        <f>BH108*(1+Driver_macroeconómicos_Agricult!AZ$25)</f>
        <v>1145.1499394419511</v>
      </c>
      <c r="BJ108" s="300">
        <f>BI108*(1+Driver_macroeconómicos_Agricult!BA$25)</f>
        <v>1168.3283600273853</v>
      </c>
      <c r="BK108" s="300">
        <f>BJ108*(1+Driver_macroeconómicos_Agricult!BB$25)</f>
        <v>1192.0801309832723</v>
      </c>
      <c r="BL108" s="300">
        <f>BK108*(1+Driver_macroeconómicos_Agricult!BC$25)</f>
        <v>1216.3979731155553</v>
      </c>
      <c r="BM108" s="300">
        <f>BL108*(1+Driver_macroeconómicos_Agricult!BD$25)</f>
        <v>1241.2813695037655</v>
      </c>
      <c r="BN108" s="182"/>
    </row>
    <row r="109" spans="1:66" ht="14.25" customHeight="1" x14ac:dyDescent="0.3">
      <c r="A109" s="982"/>
      <c r="B109" s="944"/>
      <c r="C109" s="183"/>
      <c r="D109" s="185" t="s">
        <v>716</v>
      </c>
      <c r="E109" s="977"/>
      <c r="F109" s="982"/>
      <c r="G109" s="982"/>
      <c r="H109" s="982"/>
      <c r="I109" s="982"/>
      <c r="J109" s="982"/>
      <c r="K109" s="977"/>
      <c r="L109" s="301">
        <v>1016.4744417270931</v>
      </c>
      <c r="M109" s="301">
        <v>462</v>
      </c>
      <c r="N109" s="301">
        <v>486</v>
      </c>
      <c r="O109" s="301">
        <v>495.5</v>
      </c>
      <c r="P109" s="301">
        <v>538.70000000000005</v>
      </c>
      <c r="Q109" s="300">
        <f>P109*(1+Driver_macroeconómicos_Agricult!H$25)</f>
        <v>557.25192303632059</v>
      </c>
      <c r="R109" s="300">
        <f>Q109*(1+Driver_macroeconómicos_Agricult!I$25)</f>
        <v>573.64394449846509</v>
      </c>
      <c r="S109" s="300">
        <f>R109*(1+Driver_macroeconómicos_Agricult!J$25)</f>
        <v>591.51166335001608</v>
      </c>
      <c r="T109" s="300">
        <f>S109*(1+Driver_macroeconómicos_Agricult!K$25)</f>
        <v>605.48539189367011</v>
      </c>
      <c r="U109" s="300">
        <f>T109*(1+Driver_macroeconómicos_Agricult!L$25)</f>
        <v>617.29194759415259</v>
      </c>
      <c r="V109" s="300">
        <f>U109*(1+Driver_macroeconómicos_Agricult!M$25)</f>
        <v>632.97681455964755</v>
      </c>
      <c r="W109" s="300">
        <f>V109*(1+Driver_macroeconómicos_Agricult!N$25)</f>
        <v>646.60677583264123</v>
      </c>
      <c r="X109" s="300">
        <f>W109*(1+Driver_macroeconómicos_Agricult!O$25)</f>
        <v>654.68882243799999</v>
      </c>
      <c r="Y109" s="300">
        <f>X109*(1+Driver_macroeconómicos_Agricult!P$25)</f>
        <v>664.1972863222436</v>
      </c>
      <c r="Z109" s="300">
        <f>Y109*(1+Driver_macroeconómicos_Agricult!Q$25)</f>
        <v>678.08443087152432</v>
      </c>
      <c r="AA109" s="300">
        <f>Z109*(1+Driver_macroeconómicos_Agricult!R$25)</f>
        <v>687.23092136015498</v>
      </c>
      <c r="AB109" s="300">
        <f>AA109*(1+Driver_macroeconómicos_Agricult!S$25)</f>
        <v>699.04949026424947</v>
      </c>
      <c r="AC109" s="300">
        <f>AB109*(1+Driver_macroeconómicos_Agricult!T$25)</f>
        <v>707.41741684740452</v>
      </c>
      <c r="AD109" s="300">
        <f>AC109*(1+Driver_macroeconómicos_Agricult!U$25)</f>
        <v>716.20428198589889</v>
      </c>
      <c r="AE109" s="300">
        <f>AD109*(1+Driver_macroeconómicos_Agricult!V$25)</f>
        <v>726.84062662234237</v>
      </c>
      <c r="AF109" s="300">
        <f>AE109*(1+Driver_macroeconómicos_Agricult!W$25)</f>
        <v>736.45507180224581</v>
      </c>
      <c r="AG109" s="300">
        <f>AF109*(1+Driver_macroeconómicos_Agricult!X$25)</f>
        <v>747.50009197123404</v>
      </c>
      <c r="AH109" s="300">
        <f>AG109*(1+Driver_macroeconómicos_Agricult!Y$25)</f>
        <v>761.25593381121064</v>
      </c>
      <c r="AI109" s="300">
        <f>AH109*(1+Driver_macroeconómicos_Agricult!Z$25)</f>
        <v>774.35135434404685</v>
      </c>
      <c r="AJ109" s="300">
        <f>AI109*(1+Driver_macroeconómicos_Agricult!AA$25)</f>
        <v>789.13969969625816</v>
      </c>
      <c r="AK109" s="300">
        <f>AJ109*(1+Driver_macroeconómicos_Agricult!AB$25)</f>
        <v>804.78230630827841</v>
      </c>
      <c r="AL109" s="300">
        <f>AK109*(1+Driver_macroeconómicos_Agricult!AC$25)</f>
        <v>818.20829466235477</v>
      </c>
      <c r="AM109" s="300">
        <f>AL109*(1+Driver_macroeconómicos_Agricult!AD$25)</f>
        <v>836.33361718910021</v>
      </c>
      <c r="AN109" s="300">
        <f>AM109*(1+Driver_macroeconómicos_Agricult!AE$25)</f>
        <v>853.17365878804299</v>
      </c>
      <c r="AO109" s="300">
        <f>AN109*(1+Driver_macroeconómicos_Agricult!AF$25)</f>
        <v>874.6036386950675</v>
      </c>
      <c r="AP109" s="300">
        <f>AO109*(1+Driver_macroeconómicos_Agricult!AG$25)</f>
        <v>893.45907744002648</v>
      </c>
      <c r="AQ109" s="300">
        <f>AP109*(1+Driver_macroeconómicos_Agricult!AH$25)</f>
        <v>912.53832678766821</v>
      </c>
      <c r="AR109" s="300">
        <f>AQ109*(1+Driver_macroeconómicos_Agricult!AI$25)</f>
        <v>932.72990940825969</v>
      </c>
      <c r="AS109" s="300">
        <f>AR109*(1+Driver_macroeconómicos_Agricult!AJ$25)</f>
        <v>953.12279780888139</v>
      </c>
      <c r="AT109" s="300">
        <f>AS109*(1+Driver_macroeconómicos_Agricult!AK$25)</f>
        <v>971.05429327669742</v>
      </c>
      <c r="AU109" s="300">
        <f>AT109*(1+Driver_macroeconómicos_Agricult!AL$25)</f>
        <v>989.71109998135955</v>
      </c>
      <c r="AV109" s="300">
        <f>AU109*(1+Driver_macroeconómicos_Agricult!AM$25)</f>
        <v>1008.9961754193899</v>
      </c>
      <c r="AW109" s="300">
        <f>AV109*(1+Driver_macroeconómicos_Agricult!AN$25)</f>
        <v>1029.0516648488917</v>
      </c>
      <c r="AX109" s="300">
        <f>AW109*(1+Driver_macroeconómicos_Agricult!AO$25)</f>
        <v>1049.8195953757063</v>
      </c>
      <c r="AY109" s="300">
        <f>AX109*(1+Driver_macroeconómicos_Agricult!AP$25)</f>
        <v>1071.1233936579004</v>
      </c>
      <c r="AZ109" s="300">
        <f>AY109*(1+Driver_macroeconómicos_Agricult!AQ$25)</f>
        <v>1093.0663955063665</v>
      </c>
      <c r="BA109" s="300">
        <f>AZ109*(1+Driver_macroeconómicos_Agricult!AR$25)</f>
        <v>1115.5537616326842</v>
      </c>
      <c r="BB109" s="300">
        <f>BA109*(1+Driver_macroeconómicos_Agricult!AS$25)</f>
        <v>1138.5560725888217</v>
      </c>
      <c r="BC109" s="300">
        <f>BB109*(1+Driver_macroeconómicos_Agricult!AT$25)</f>
        <v>1162.3128299748234</v>
      </c>
      <c r="BD109" s="300">
        <f>BC109*(1+Driver_macroeconómicos_Agricult!AU$25)</f>
        <v>1186.4718119633806</v>
      </c>
      <c r="BE109" s="300">
        <f>BD109*(1+Driver_macroeconómicos_Agricult!AV$25)</f>
        <v>1211.1811238553205</v>
      </c>
      <c r="BF109" s="300">
        <f>BE109*(1+Driver_macroeconómicos_Agricult!AW$25)</f>
        <v>1236.0801230396767</v>
      </c>
      <c r="BG109" s="300">
        <f>BF109*(1+Driver_macroeconómicos_Agricult!AX$25)</f>
        <v>1261.4136370537094</v>
      </c>
      <c r="BH109" s="300">
        <f>BG109*(1+Driver_macroeconómicos_Agricult!AY$25)</f>
        <v>1287.1986150581583</v>
      </c>
      <c r="BI109" s="300">
        <f>BH109*(1+Driver_macroeconómicos_Agricult!AZ$25)</f>
        <v>1313.3750742545858</v>
      </c>
      <c r="BJ109" s="300">
        <f>BI109*(1+Driver_macroeconómicos_Agricult!BA$25)</f>
        <v>1339.958457625617</v>
      </c>
      <c r="BK109" s="300">
        <f>BJ109*(1+Driver_macroeconómicos_Agricult!BB$25)</f>
        <v>1367.1994178426412</v>
      </c>
      <c r="BL109" s="300">
        <f>BK109*(1+Driver_macroeconómicos_Agricult!BC$25)</f>
        <v>1395.0896063814125</v>
      </c>
      <c r="BM109" s="300">
        <f>BL109*(1+Driver_macroeconómicos_Agricult!BD$25)</f>
        <v>1423.6284303846676</v>
      </c>
      <c r="BN109" s="182"/>
    </row>
    <row r="110" spans="1:66" ht="14.25" customHeight="1" x14ac:dyDescent="0.3">
      <c r="A110" s="982"/>
      <c r="B110" s="944"/>
      <c r="C110" s="183"/>
      <c r="D110" s="185" t="s">
        <v>717</v>
      </c>
      <c r="E110" s="977"/>
      <c r="F110" s="982"/>
      <c r="G110" s="982"/>
      <c r="H110" s="982"/>
      <c r="I110" s="982"/>
      <c r="J110" s="982"/>
      <c r="K110" s="977"/>
      <c r="L110" s="301">
        <v>185.67</v>
      </c>
      <c r="M110" s="301">
        <v>1244.0659714179023</v>
      </c>
      <c r="N110" s="301">
        <v>618.36073373563374</v>
      </c>
      <c r="O110" s="301">
        <v>607.660123075569</v>
      </c>
      <c r="P110" s="301">
        <v>584.38572887216105</v>
      </c>
      <c r="Q110" s="300">
        <f>P110*(1+Driver_macroeconómicos_Agricult!H$25)</f>
        <v>604.5109916632515</v>
      </c>
      <c r="R110" s="300">
        <f>Q110*(1+Driver_macroeconómicos_Agricult!I$25)</f>
        <v>622.29317731360118</v>
      </c>
      <c r="S110" s="300">
        <f>R110*(1+Driver_macroeconómicos_Agricult!J$25)</f>
        <v>641.67621036417938</v>
      </c>
      <c r="T110" s="300">
        <f>S110*(1+Driver_macroeconómicos_Agricult!K$25)</f>
        <v>656.835014039778</v>
      </c>
      <c r="U110" s="300">
        <f>T110*(1+Driver_macroeconómicos_Agricult!L$25)</f>
        <v>669.64285264845864</v>
      </c>
      <c r="V110" s="300">
        <f>U110*(1+Driver_macroeconómicos_Agricult!M$25)</f>
        <v>686.65791189088236</v>
      </c>
      <c r="W110" s="300">
        <f>V110*(1+Driver_macroeconómicos_Agricult!N$25)</f>
        <v>701.44379429856338</v>
      </c>
      <c r="X110" s="300">
        <f>W110*(1+Driver_macroeconómicos_Agricult!O$25)</f>
        <v>710.21125800053358</v>
      </c>
      <c r="Y110" s="300">
        <f>X110*(1+Driver_macroeconómicos_Agricult!P$25)</f>
        <v>720.52610967576709</v>
      </c>
      <c r="Z110" s="300">
        <f>Y110*(1+Driver_macroeconómicos_Agricult!Q$25)</f>
        <v>735.59098639636204</v>
      </c>
      <c r="AA110" s="300">
        <f>Z110*(1+Driver_macroeconómicos_Agricult!R$25)</f>
        <v>745.51316666519574</v>
      </c>
      <c r="AB110" s="300">
        <f>AA110*(1+Driver_macroeconómicos_Agricult!S$25)</f>
        <v>758.33403728566191</v>
      </c>
      <c r="AC110" s="300">
        <f>AB110*(1+Driver_macroeconómicos_Agricult!T$25)</f>
        <v>767.41162569376627</v>
      </c>
      <c r="AD110" s="300">
        <f>AC110*(1+Driver_macroeconómicos_Agricult!U$25)</f>
        <v>776.94368173323232</v>
      </c>
      <c r="AE110" s="300">
        <f>AD110*(1+Driver_macroeconómicos_Agricult!V$25)</f>
        <v>788.48206675811355</v>
      </c>
      <c r="AF110" s="300">
        <f>AE110*(1+Driver_macroeconómicos_Agricult!W$25)</f>
        <v>798.91188772369605</v>
      </c>
      <c r="AG110" s="300">
        <f>AF110*(1+Driver_macroeconómicos_Agricult!X$25)</f>
        <v>810.89360697719883</v>
      </c>
      <c r="AH110" s="300">
        <f>AG110*(1+Driver_macroeconómicos_Agricult!Y$25)</f>
        <v>825.81604555136801</v>
      </c>
      <c r="AI110" s="300">
        <f>AH110*(1+Driver_macroeconómicos_Agricult!Z$25)</f>
        <v>840.02205422589725</v>
      </c>
      <c r="AJ110" s="300">
        <f>AI110*(1+Driver_macroeconómicos_Agricult!AA$25)</f>
        <v>856.06456021710801</v>
      </c>
      <c r="AK110" s="300">
        <f>AJ110*(1+Driver_macroeconómicos_Agricult!AB$25)</f>
        <v>873.0337751167292</v>
      </c>
      <c r="AL110" s="300">
        <f>AK110*(1+Driver_macroeconómicos_Agricult!AC$25)</f>
        <v>887.59838619919833</v>
      </c>
      <c r="AM110" s="300">
        <f>AL110*(1+Driver_macroeconómicos_Agricult!AD$25)</f>
        <v>907.26086961452256</v>
      </c>
      <c r="AN110" s="300">
        <f>AM110*(1+Driver_macroeconómicos_Agricult!AE$25)</f>
        <v>925.52907081005935</v>
      </c>
      <c r="AO110" s="300">
        <f>AN110*(1+Driver_macroeconómicos_Agricult!AF$25)</f>
        <v>948.77647089857305</v>
      </c>
      <c r="AP110" s="300">
        <f>AO110*(1+Driver_macroeconómicos_Agricult!AG$25)</f>
        <v>969.23098976654649</v>
      </c>
      <c r="AQ110" s="300">
        <f>AP110*(1+Driver_macroeconómicos_Agricult!AH$25)</f>
        <v>989.92830002523465</v>
      </c>
      <c r="AR110" s="300">
        <f>AQ110*(1+Driver_macroeconómicos_Agricult!AI$25)</f>
        <v>1011.8322776135338</v>
      </c>
      <c r="AS110" s="300">
        <f>AR110*(1+Driver_macroeconómicos_Agricult!AJ$25)</f>
        <v>1033.9546331951301</v>
      </c>
      <c r="AT110" s="300">
        <f>AS110*(1+Driver_macroeconómicos_Agricult!AK$25)</f>
        <v>1053.4068515889069</v>
      </c>
      <c r="AU110" s="300">
        <f>AT110*(1+Driver_macroeconómicos_Agricult!AL$25)</f>
        <v>1073.6458929561447</v>
      </c>
      <c r="AV110" s="300">
        <f>AU110*(1+Driver_macroeconómicos_Agricult!AM$25)</f>
        <v>1094.5664848741103</v>
      </c>
      <c r="AW110" s="300">
        <f>AV110*(1+Driver_macroeconómicos_Agricult!AN$25)</f>
        <v>1116.322827566049</v>
      </c>
      <c r="AX110" s="300">
        <f>AW110*(1+Driver_macroeconómicos_Agricult!AO$25)</f>
        <v>1138.852031609262</v>
      </c>
      <c r="AY110" s="300">
        <f>AX110*(1+Driver_macroeconómicos_Agricult!AP$25)</f>
        <v>1161.9625489415164</v>
      </c>
      <c r="AZ110" s="300">
        <f>AY110*(1+Driver_macroeconómicos_Agricult!AQ$25)</f>
        <v>1185.7664790117949</v>
      </c>
      <c r="BA110" s="300">
        <f>AZ110*(1+Driver_macroeconómicos_Agricult!AR$25)</f>
        <v>1210.1609394612906</v>
      </c>
      <c r="BB110" s="300">
        <f>BA110*(1+Driver_macroeconómicos_Agricult!AS$25)</f>
        <v>1235.1140158560306</v>
      </c>
      <c r="BC110" s="300">
        <f>BB110*(1+Driver_macroeconómicos_Agricult!AT$25)</f>
        <v>1260.8855212962715</v>
      </c>
      <c r="BD110" s="300">
        <f>BC110*(1+Driver_macroeconómicos_Agricult!AU$25)</f>
        <v>1287.093362948754</v>
      </c>
      <c r="BE110" s="300">
        <f>BD110*(1+Driver_macroeconómicos_Agricult!AV$25)</f>
        <v>1313.8982065349817</v>
      </c>
      <c r="BF110" s="300">
        <f>BE110*(1+Driver_macroeconómicos_Agricult!AW$25)</f>
        <v>1340.9088242935436</v>
      </c>
      <c r="BG110" s="300">
        <f>BF110*(1+Driver_macroeconómicos_Agricult!AX$25)</f>
        <v>1368.3908069406268</v>
      </c>
      <c r="BH110" s="300">
        <f>BG110*(1+Driver_macroeconómicos_Agricult!AY$25)</f>
        <v>1396.3625410506741</v>
      </c>
      <c r="BI110" s="300">
        <f>BH110*(1+Driver_macroeconómicos_Agricult!AZ$25)</f>
        <v>1424.7589568420174</v>
      </c>
      <c r="BJ110" s="300">
        <f>BI110*(1+Driver_macroeconómicos_Agricult!BA$25)</f>
        <v>1453.5968069759847</v>
      </c>
      <c r="BK110" s="300">
        <f>BJ110*(1+Driver_macroeconómicos_Agricult!BB$25)</f>
        <v>1483.1480013171824</v>
      </c>
      <c r="BL110" s="300">
        <f>BK110*(1+Driver_macroeconómicos_Agricult!BC$25)</f>
        <v>1513.4034833250009</v>
      </c>
      <c r="BM110" s="300">
        <f>BL110*(1+Driver_macroeconómicos_Agricult!BD$25)</f>
        <v>1544.3626098635132</v>
      </c>
      <c r="BN110" s="182"/>
    </row>
    <row r="111" spans="1:66" ht="14.25" customHeight="1" x14ac:dyDescent="0.3">
      <c r="A111" s="982"/>
      <c r="B111" s="944"/>
      <c r="C111" s="183"/>
      <c r="D111" s="185" t="s">
        <v>718</v>
      </c>
      <c r="E111" s="977"/>
      <c r="F111" s="982"/>
      <c r="G111" s="982"/>
      <c r="H111" s="982"/>
      <c r="I111" s="982"/>
      <c r="J111" s="982"/>
      <c r="K111" s="977"/>
      <c r="L111" s="301">
        <v>483.70721151232755</v>
      </c>
      <c r="M111" s="301">
        <v>901.23942272500881</v>
      </c>
      <c r="N111" s="301">
        <v>955.62587592882051</v>
      </c>
      <c r="O111" s="301">
        <v>618.24892948451316</v>
      </c>
      <c r="P111" s="301">
        <v>816.25433898912627</v>
      </c>
      <c r="Q111" s="300">
        <f>P111*(1+Driver_macroeconómicos_Agricult!H$25)</f>
        <v>844.36476719589984</v>
      </c>
      <c r="R111" s="300">
        <f>Q111*(1+Driver_macroeconómicos_Agricult!I$25)</f>
        <v>869.20244798906538</v>
      </c>
      <c r="S111" s="300">
        <f>R111*(1+Driver_macroeconómicos_Agricult!J$25)</f>
        <v>896.27614956771083</v>
      </c>
      <c r="T111" s="300">
        <f>S111*(1+Driver_macroeconómicos_Agricult!K$25)</f>
        <v>917.44956066036684</v>
      </c>
      <c r="U111" s="300">
        <f>T111*(1+Driver_macroeconómicos_Agricult!L$25)</f>
        <v>935.33920669533188</v>
      </c>
      <c r="V111" s="300">
        <f>U111*(1+Driver_macroeconómicos_Agricult!M$25)</f>
        <v>959.10538586194127</v>
      </c>
      <c r="W111" s="300">
        <f>V111*(1+Driver_macroeconómicos_Agricult!N$25)</f>
        <v>979.7579105126465</v>
      </c>
      <c r="X111" s="300">
        <f>W111*(1+Driver_macroeconómicos_Agricult!O$25)</f>
        <v>992.00406906014314</v>
      </c>
      <c r="Y111" s="300">
        <f>X111*(1+Driver_macroeconómicos_Agricult!P$25)</f>
        <v>1006.4115776969265</v>
      </c>
      <c r="Z111" s="300">
        <f>Y111*(1+Driver_macroeconómicos_Agricult!Q$25)</f>
        <v>1027.4537941337551</v>
      </c>
      <c r="AA111" s="300">
        <f>Z111*(1+Driver_macroeconómicos_Agricult!R$25)</f>
        <v>1041.3128298639715</v>
      </c>
      <c r="AB111" s="300">
        <f>AA111*(1+Driver_macroeconómicos_Agricult!S$25)</f>
        <v>1059.2206786640627</v>
      </c>
      <c r="AC111" s="300">
        <f>AB111*(1+Driver_macroeconómicos_Agricult!T$25)</f>
        <v>1071.9000110974073</v>
      </c>
      <c r="AD111" s="300">
        <f>AC111*(1+Driver_macroeconómicos_Agricult!U$25)</f>
        <v>1085.2141317497337</v>
      </c>
      <c r="AE111" s="300">
        <f>AD111*(1+Driver_macroeconómicos_Agricult!V$25)</f>
        <v>1101.3306390088403</v>
      </c>
      <c r="AF111" s="300">
        <f>AE111*(1+Driver_macroeconómicos_Agricult!W$25)</f>
        <v>1115.8987336720468</v>
      </c>
      <c r="AG111" s="300">
        <f>AF111*(1+Driver_macroeconómicos_Agricult!X$25)</f>
        <v>1132.6344783112877</v>
      </c>
      <c r="AH111" s="300">
        <f>AG111*(1+Driver_macroeconómicos_Agricult!Y$25)</f>
        <v>1153.477740959012</v>
      </c>
      <c r="AI111" s="300">
        <f>AH111*(1+Driver_macroeconómicos_Agricult!Z$25)</f>
        <v>1173.3203135055403</v>
      </c>
      <c r="AJ111" s="300">
        <f>AI111*(1+Driver_macroeconómicos_Agricult!AA$25)</f>
        <v>1195.7280563312543</v>
      </c>
      <c r="AK111" s="300">
        <f>AJ111*(1+Driver_macroeconómicos_Agricult!AB$25)</f>
        <v>1219.430201347333</v>
      </c>
      <c r="AL111" s="300">
        <f>AK111*(1+Driver_macroeconómicos_Agricult!AC$25)</f>
        <v>1239.7736601355869</v>
      </c>
      <c r="AM111" s="300">
        <f>AL111*(1+Driver_macroeconómicos_Agricult!AD$25)</f>
        <v>1267.2376905013439</v>
      </c>
      <c r="AN111" s="300">
        <f>AM111*(1+Driver_macroeconómicos_Agricult!AE$25)</f>
        <v>1292.7542247948179</v>
      </c>
      <c r="AO111" s="300">
        <f>AN111*(1+Driver_macroeconómicos_Agricult!AF$25)</f>
        <v>1325.2255707824893</v>
      </c>
      <c r="AP111" s="300">
        <f>AO111*(1+Driver_macroeconómicos_Agricult!AG$25)</f>
        <v>1353.795895061525</v>
      </c>
      <c r="AQ111" s="300">
        <f>AP111*(1+Driver_macroeconómicos_Agricult!AH$25)</f>
        <v>1382.7053438543003</v>
      </c>
      <c r="AR111" s="300">
        <f>AQ111*(1+Driver_macroeconómicos_Agricult!AI$25)</f>
        <v>1413.3002332642041</v>
      </c>
      <c r="AS111" s="300">
        <f>AR111*(1+Driver_macroeconómicos_Agricult!AJ$25)</f>
        <v>1444.2001472080103</v>
      </c>
      <c r="AT111" s="300">
        <f>AS111*(1+Driver_macroeconómicos_Agricult!AK$25)</f>
        <v>1471.3704850215777</v>
      </c>
      <c r="AU111" s="300">
        <f>AT111*(1+Driver_macroeconómicos_Agricult!AL$25)</f>
        <v>1499.6398360970593</v>
      </c>
      <c r="AV111" s="300">
        <f>AU111*(1+Driver_macroeconómicos_Agricult!AM$25)</f>
        <v>1528.8611587330811</v>
      </c>
      <c r="AW111" s="300">
        <f>AV111*(1+Driver_macroeconómicos_Agricult!AN$25)</f>
        <v>1559.2498356727162</v>
      </c>
      <c r="AX111" s="300">
        <f>AW111*(1+Driver_macroeconómicos_Agricult!AO$25)</f>
        <v>1590.7180246542218</v>
      </c>
      <c r="AY111" s="300">
        <f>AX111*(1+Driver_macroeconómicos_Agricult!AP$25)</f>
        <v>1622.9981764730262</v>
      </c>
      <c r="AZ111" s="300">
        <f>AY111*(1+Driver_macroeconómicos_Agricult!AQ$25)</f>
        <v>1656.2468686379732</v>
      </c>
      <c r="BA111" s="300">
        <f>AZ111*(1+Driver_macroeconómicos_Agricult!AR$25)</f>
        <v>1690.3203978249862</v>
      </c>
      <c r="BB111" s="300">
        <f>BA111*(1+Driver_macroeconómicos_Agricult!AS$25)</f>
        <v>1725.1741868072106</v>
      </c>
      <c r="BC111" s="300">
        <f>BB111*(1+Driver_macroeconómicos_Agricult!AT$25)</f>
        <v>1761.1711355665125</v>
      </c>
      <c r="BD111" s="300">
        <f>BC111*(1+Driver_macroeconómicos_Agricult!AU$25)</f>
        <v>1797.7775470640433</v>
      </c>
      <c r="BE111" s="300">
        <f>BD111*(1+Driver_macroeconómicos_Agricult!AV$25)</f>
        <v>1835.2178348777272</v>
      </c>
      <c r="BF111" s="300">
        <f>BE111*(1+Driver_macroeconómicos_Agricult!AW$25)</f>
        <v>1872.9455425456638</v>
      </c>
      <c r="BG111" s="300">
        <f>BF111*(1+Driver_macroeconómicos_Agricult!AX$25)</f>
        <v>1911.3316400689534</v>
      </c>
      <c r="BH111" s="300">
        <f>BG111*(1+Driver_macroeconómicos_Agricult!AY$25)</f>
        <v>1950.4018093224722</v>
      </c>
      <c r="BI111" s="300">
        <f>BH111*(1+Driver_macroeconómicos_Agricult!AZ$25)</f>
        <v>1990.0651625774483</v>
      </c>
      <c r="BJ111" s="300">
        <f>BI111*(1+Driver_macroeconómicos_Agricult!BA$25)</f>
        <v>2030.3450995026678</v>
      </c>
      <c r="BK111" s="300">
        <f>BJ111*(1+Driver_macroeconómicos_Agricult!BB$25)</f>
        <v>2071.6214165165461</v>
      </c>
      <c r="BL111" s="300">
        <f>BK111*(1+Driver_macroeconómicos_Agricult!BC$25)</f>
        <v>2113.8814636856509</v>
      </c>
      <c r="BM111" s="300">
        <f>BL111*(1+Driver_macroeconómicos_Agricult!BD$25)</f>
        <v>2157.12434269494</v>
      </c>
      <c r="BN111" s="182"/>
    </row>
    <row r="112" spans="1:66" ht="14.25" customHeight="1" x14ac:dyDescent="0.3">
      <c r="A112" s="982"/>
      <c r="B112" s="944" t="s">
        <v>367</v>
      </c>
      <c r="C112" s="183"/>
      <c r="D112" s="185" t="s">
        <v>719</v>
      </c>
      <c r="E112" s="977"/>
      <c r="F112" s="977"/>
      <c r="G112" s="977"/>
      <c r="H112" s="977"/>
      <c r="I112" s="977"/>
      <c r="J112" s="977"/>
      <c r="K112" s="977"/>
      <c r="L112" s="202">
        <v>0</v>
      </c>
      <c r="M112" s="202">
        <v>0</v>
      </c>
      <c r="N112" s="202">
        <v>129</v>
      </c>
      <c r="O112" s="202">
        <v>0</v>
      </c>
      <c r="P112" s="202">
        <v>0</v>
      </c>
      <c r="Q112" s="300">
        <f>P112*(1+Driver_macroeconómicos_Agricult!H$25)</f>
        <v>0</v>
      </c>
      <c r="R112" s="300">
        <f>Q112*(1+Driver_macroeconómicos_Agricult!I$25)</f>
        <v>0</v>
      </c>
      <c r="S112" s="300">
        <f>R112*(1+Driver_macroeconómicos_Agricult!J$25)</f>
        <v>0</v>
      </c>
      <c r="T112" s="300">
        <f>S112*(1+Driver_macroeconómicos_Agricult!K$25)</f>
        <v>0</v>
      </c>
      <c r="U112" s="300">
        <f>T112*(1+Driver_macroeconómicos_Agricult!L$25)</f>
        <v>0</v>
      </c>
      <c r="V112" s="300">
        <f>U112*(1+Driver_macroeconómicos_Agricult!M$25)</f>
        <v>0</v>
      </c>
      <c r="W112" s="300">
        <f>V112*(1+Driver_macroeconómicos_Agricult!N$25)</f>
        <v>0</v>
      </c>
      <c r="X112" s="300">
        <f>W112*(1+Driver_macroeconómicos_Agricult!O$25)</f>
        <v>0</v>
      </c>
      <c r="Y112" s="300">
        <f>X112*(1+Driver_macroeconómicos_Agricult!P$25)</f>
        <v>0</v>
      </c>
      <c r="Z112" s="300">
        <f>Y112*(1+Driver_macroeconómicos_Agricult!Q$25)</f>
        <v>0</v>
      </c>
      <c r="AA112" s="300">
        <f>Z112*(1+Driver_macroeconómicos_Agricult!R$25)</f>
        <v>0</v>
      </c>
      <c r="AB112" s="300">
        <f>AA112*(1+Driver_macroeconómicos_Agricult!S$25)</f>
        <v>0</v>
      </c>
      <c r="AC112" s="300">
        <f>AB112*(1+Driver_macroeconómicos_Agricult!T$25)</f>
        <v>0</v>
      </c>
      <c r="AD112" s="300">
        <f>AC112*(1+Driver_macroeconómicos_Agricult!U$25)</f>
        <v>0</v>
      </c>
      <c r="AE112" s="300">
        <f>AD112*(1+Driver_macroeconómicos_Agricult!V$25)</f>
        <v>0</v>
      </c>
      <c r="AF112" s="300">
        <f>AE112*(1+Driver_macroeconómicos_Agricult!W$25)</f>
        <v>0</v>
      </c>
      <c r="AG112" s="300">
        <f>AF112*(1+Driver_macroeconómicos_Agricult!X$25)</f>
        <v>0</v>
      </c>
      <c r="AH112" s="300">
        <f>AG112*(1+Driver_macroeconómicos_Agricult!Y$25)</f>
        <v>0</v>
      </c>
      <c r="AI112" s="300">
        <f>AH112*(1+Driver_macroeconómicos_Agricult!Z$25)</f>
        <v>0</v>
      </c>
      <c r="AJ112" s="300">
        <f>AI112*(1+Driver_macroeconómicos_Agricult!AA$25)</f>
        <v>0</v>
      </c>
      <c r="AK112" s="300">
        <f>AJ112*(1+Driver_macroeconómicos_Agricult!AB$25)</f>
        <v>0</v>
      </c>
      <c r="AL112" s="300">
        <f>AK112*(1+Driver_macroeconómicos_Agricult!AC$25)</f>
        <v>0</v>
      </c>
      <c r="AM112" s="300">
        <f>AL112*(1+Driver_macroeconómicos_Agricult!AD$25)</f>
        <v>0</v>
      </c>
      <c r="AN112" s="300">
        <f>AM112*(1+Driver_macroeconómicos_Agricult!AE$25)</f>
        <v>0</v>
      </c>
      <c r="AO112" s="300">
        <f>AN112*(1+Driver_macroeconómicos_Agricult!AF$25)</f>
        <v>0</v>
      </c>
      <c r="AP112" s="300">
        <f>AO112*(1+Driver_macroeconómicos_Agricult!AG$25)</f>
        <v>0</v>
      </c>
      <c r="AQ112" s="300">
        <f>AP112*(1+Driver_macroeconómicos_Agricult!AH$25)</f>
        <v>0</v>
      </c>
      <c r="AR112" s="300">
        <f>AQ112*(1+Driver_macroeconómicos_Agricult!AI$25)</f>
        <v>0</v>
      </c>
      <c r="AS112" s="300">
        <f>AR112*(1+Driver_macroeconómicos_Agricult!AJ$25)</f>
        <v>0</v>
      </c>
      <c r="AT112" s="300">
        <f>AS112*(1+Driver_macroeconómicos_Agricult!AK$25)</f>
        <v>0</v>
      </c>
      <c r="AU112" s="300">
        <f>AT112*(1+Driver_macroeconómicos_Agricult!AL$25)</f>
        <v>0</v>
      </c>
      <c r="AV112" s="300">
        <f>AU112*(1+Driver_macroeconómicos_Agricult!AM$25)</f>
        <v>0</v>
      </c>
      <c r="AW112" s="300">
        <f>AV112*(1+Driver_macroeconómicos_Agricult!AN$25)</f>
        <v>0</v>
      </c>
      <c r="AX112" s="300">
        <f>AW112*(1+Driver_macroeconómicos_Agricult!AO$25)</f>
        <v>0</v>
      </c>
      <c r="AY112" s="300">
        <f>AX112*(1+Driver_macroeconómicos_Agricult!AP$25)</f>
        <v>0</v>
      </c>
      <c r="AZ112" s="300">
        <f>AY112*(1+Driver_macroeconómicos_Agricult!AQ$25)</f>
        <v>0</v>
      </c>
      <c r="BA112" s="300">
        <f>AZ112*(1+Driver_macroeconómicos_Agricult!AR$25)</f>
        <v>0</v>
      </c>
      <c r="BB112" s="300">
        <f>BA112*(1+Driver_macroeconómicos_Agricult!AS$25)</f>
        <v>0</v>
      </c>
      <c r="BC112" s="300">
        <f>BB112*(1+Driver_macroeconómicos_Agricult!AT$25)</f>
        <v>0</v>
      </c>
      <c r="BD112" s="300">
        <f>BC112*(1+Driver_macroeconómicos_Agricult!AU$25)</f>
        <v>0</v>
      </c>
      <c r="BE112" s="300">
        <f>BD112*(1+Driver_macroeconómicos_Agricult!AV$25)</f>
        <v>0</v>
      </c>
      <c r="BF112" s="300">
        <f>BE112*(1+Driver_macroeconómicos_Agricult!AW$25)</f>
        <v>0</v>
      </c>
      <c r="BG112" s="300">
        <f>BF112*(1+Driver_macroeconómicos_Agricult!AX$25)</f>
        <v>0</v>
      </c>
      <c r="BH112" s="300">
        <f>BG112*(1+Driver_macroeconómicos_Agricult!AY$25)</f>
        <v>0</v>
      </c>
      <c r="BI112" s="300">
        <f>BH112*(1+Driver_macroeconómicos_Agricult!AZ$25)</f>
        <v>0</v>
      </c>
      <c r="BJ112" s="300">
        <f>BI112*(1+Driver_macroeconómicos_Agricult!BA$25)</f>
        <v>0</v>
      </c>
      <c r="BK112" s="300">
        <f>BJ112*(1+Driver_macroeconómicos_Agricult!BB$25)</f>
        <v>0</v>
      </c>
      <c r="BL112" s="300">
        <f>BK112*(1+Driver_macroeconómicos_Agricult!BC$25)</f>
        <v>0</v>
      </c>
      <c r="BM112" s="300">
        <f>BL112*(1+Driver_macroeconómicos_Agricult!BD$25)</f>
        <v>0</v>
      </c>
      <c r="BN112" s="182"/>
    </row>
    <row r="113" spans="1:69" ht="14" customHeight="1" x14ac:dyDescent="0.3">
      <c r="A113" s="48"/>
      <c r="B113" s="49"/>
      <c r="C113" s="194"/>
      <c r="D113" s="179" t="s">
        <v>720</v>
      </c>
      <c r="E113" s="302"/>
      <c r="F113" s="302"/>
      <c r="G113" s="302"/>
      <c r="H113" s="302"/>
      <c r="I113" s="302"/>
      <c r="J113" s="302"/>
      <c r="K113" s="302"/>
      <c r="L113" s="303">
        <f t="shared" ref="L113:AS113" si="92">SUM(L98:L112)</f>
        <v>4528.7795556485817</v>
      </c>
      <c r="M113" s="303">
        <f t="shared" si="92"/>
        <v>6578.8387082587988</v>
      </c>
      <c r="N113" s="303">
        <f t="shared" si="92"/>
        <v>6064.4133499085219</v>
      </c>
      <c r="O113" s="303">
        <f t="shared" si="92"/>
        <v>5501.7685575144551</v>
      </c>
      <c r="P113" s="297">
        <f t="shared" si="92"/>
        <v>6016.8180521457698</v>
      </c>
      <c r="Q113" s="297">
        <f t="shared" si="92"/>
        <v>6224.0271581917177</v>
      </c>
      <c r="R113" s="297">
        <f t="shared" si="92"/>
        <v>6407.1120118107856</v>
      </c>
      <c r="S113" s="297">
        <f t="shared" si="92"/>
        <v>6606.6791425638521</v>
      </c>
      <c r="T113" s="297">
        <f t="shared" si="92"/>
        <v>6762.7537335370143</v>
      </c>
      <c r="U113" s="297">
        <f t="shared" si="92"/>
        <v>6894.622858230402</v>
      </c>
      <c r="V113" s="297">
        <f t="shared" si="92"/>
        <v>7069.8094012107149</v>
      </c>
      <c r="W113" s="297">
        <f t="shared" si="92"/>
        <v>7222.0444059209385</v>
      </c>
      <c r="X113" s="297">
        <f t="shared" si="92"/>
        <v>7312.3139509616012</v>
      </c>
      <c r="Y113" s="297">
        <f t="shared" si="92"/>
        <v>7418.5153564691054</v>
      </c>
      <c r="Z113" s="297">
        <f t="shared" si="92"/>
        <v>7573.6228783121915</v>
      </c>
      <c r="AA113" s="297">
        <f t="shared" si="92"/>
        <v>7675.7813507194169</v>
      </c>
      <c r="AB113" s="297">
        <f t="shared" si="92"/>
        <v>7807.7846526178473</v>
      </c>
      <c r="AC113" s="297">
        <f t="shared" si="92"/>
        <v>7901.2472323924121</v>
      </c>
      <c r="AD113" s="297">
        <f t="shared" si="92"/>
        <v>7999.3889973581872</v>
      </c>
      <c r="AE113" s="297">
        <f t="shared" si="92"/>
        <v>8118.1878657773395</v>
      </c>
      <c r="AF113" s="297">
        <f t="shared" si="92"/>
        <v>8225.5729916726596</v>
      </c>
      <c r="AG113" s="297">
        <f t="shared" si="92"/>
        <v>8348.9364161001376</v>
      </c>
      <c r="AH113" s="297">
        <f t="shared" si="92"/>
        <v>8502.5773990317011</v>
      </c>
      <c r="AI113" s="297">
        <f t="shared" si="92"/>
        <v>8648.8420410632752</v>
      </c>
      <c r="AJ113" s="297">
        <f t="shared" si="92"/>
        <v>8814.0152047472384</v>
      </c>
      <c r="AK113" s="297">
        <f t="shared" si="92"/>
        <v>8988.729735740033</v>
      </c>
      <c r="AL113" s="297">
        <f t="shared" si="92"/>
        <v>9138.6865374788613</v>
      </c>
      <c r="AM113" s="297">
        <f t="shared" si="92"/>
        <v>9341.1308808608665</v>
      </c>
      <c r="AN113" s="297">
        <f t="shared" si="92"/>
        <v>9529.2197360518912</v>
      </c>
      <c r="AO113" s="297">
        <f t="shared" si="92"/>
        <v>9768.574274685092</v>
      </c>
      <c r="AP113" s="297">
        <f t="shared" si="92"/>
        <v>9979.1733914881352</v>
      </c>
      <c r="AQ113" s="297">
        <f t="shared" si="92"/>
        <v>10192.272281215777</v>
      </c>
      <c r="AR113" s="297">
        <f t="shared" si="92"/>
        <v>10417.79498181531</v>
      </c>
      <c r="AS113" s="297">
        <f t="shared" si="92"/>
        <v>10645.566095727048</v>
      </c>
      <c r="AT113" s="297">
        <f t="shared" ref="AT113:BM113" si="93">SUM(AT98:AT112)</f>
        <v>10845.845556712246</v>
      </c>
      <c r="AU113" s="297">
        <f t="shared" si="93"/>
        <v>11054.226123588069</v>
      </c>
      <c r="AV113" s="297">
        <f t="shared" si="93"/>
        <v>11269.623914626743</v>
      </c>
      <c r="AW113" s="297">
        <f t="shared" si="93"/>
        <v>11493.626570732267</v>
      </c>
      <c r="AX113" s="297">
        <f t="shared" si="93"/>
        <v>11725.58658428238</v>
      </c>
      <c r="AY113" s="297">
        <f t="shared" si="93"/>
        <v>11963.531782135689</v>
      </c>
      <c r="AZ113" s="297">
        <f t="shared" si="93"/>
        <v>12208.616336878807</v>
      </c>
      <c r="BA113" s="297">
        <f t="shared" si="93"/>
        <v>12459.780974810941</v>
      </c>
      <c r="BB113" s="297">
        <f t="shared" si="93"/>
        <v>12716.697105870824</v>
      </c>
      <c r="BC113" s="297">
        <f t="shared" si="93"/>
        <v>12982.03975799732</v>
      </c>
      <c r="BD113" s="297">
        <f t="shared" si="93"/>
        <v>13251.874914764005</v>
      </c>
      <c r="BE113" s="297">
        <f t="shared" si="93"/>
        <v>13527.856785652299</v>
      </c>
      <c r="BF113" s="297">
        <f t="shared" si="93"/>
        <v>13805.957301287715</v>
      </c>
      <c r="BG113" s="297">
        <f t="shared" si="93"/>
        <v>14088.910975770581</v>
      </c>
      <c r="BH113" s="297">
        <f t="shared" si="93"/>
        <v>14376.907116723523</v>
      </c>
      <c r="BI113" s="297">
        <f t="shared" si="93"/>
        <v>14669.275767613297</v>
      </c>
      <c r="BJ113" s="297">
        <f t="shared" si="93"/>
        <v>14966.189413341777</v>
      </c>
      <c r="BK113" s="297">
        <f t="shared" si="93"/>
        <v>15270.447629773142</v>
      </c>
      <c r="BL113" s="297">
        <f t="shared" si="93"/>
        <v>15581.957171035123</v>
      </c>
      <c r="BM113" s="297">
        <f t="shared" si="93"/>
        <v>15900.711415419373</v>
      </c>
      <c r="BN113" s="197"/>
      <c r="BO113" s="50"/>
      <c r="BP113" s="50"/>
      <c r="BQ113" s="50"/>
    </row>
    <row r="114" spans="1:69" ht="14.25" customHeight="1" x14ac:dyDescent="0.3">
      <c r="A114" s="960"/>
      <c r="B114" s="45"/>
      <c r="C114" s="293"/>
      <c r="D114" s="198"/>
      <c r="E114" s="199"/>
      <c r="F114" s="199"/>
      <c r="G114" s="199"/>
      <c r="H114" s="199"/>
      <c r="I114" s="199"/>
      <c r="J114" s="199"/>
      <c r="K114" s="199"/>
      <c r="L114" s="199"/>
      <c r="M114" s="199"/>
      <c r="N114" s="199"/>
      <c r="O114" s="199"/>
      <c r="P114" s="199"/>
      <c r="Q114" s="198"/>
      <c r="R114" s="198"/>
      <c r="S114" s="198"/>
      <c r="T114" s="198"/>
      <c r="U114" s="198"/>
      <c r="V114" s="198"/>
      <c r="W114" s="198"/>
      <c r="X114" s="198"/>
      <c r="Y114" s="198"/>
      <c r="Z114" s="198"/>
      <c r="AA114" s="198"/>
      <c r="AB114" s="198"/>
      <c r="AC114" s="198"/>
      <c r="AD114" s="198"/>
      <c r="AE114" s="198"/>
      <c r="AF114" s="198"/>
      <c r="AG114" s="198"/>
      <c r="AH114" s="198"/>
      <c r="AI114" s="198"/>
      <c r="AJ114" s="198"/>
      <c r="AK114" s="198"/>
      <c r="AL114" s="198"/>
      <c r="AM114" s="198"/>
      <c r="AN114" s="198"/>
      <c r="AO114" s="198"/>
      <c r="AP114" s="198"/>
      <c r="AQ114" s="198"/>
      <c r="AR114" s="198"/>
      <c r="AS114" s="198"/>
      <c r="AT114" s="198"/>
      <c r="AU114" s="198"/>
      <c r="AV114" s="198"/>
      <c r="AW114" s="198"/>
      <c r="AX114" s="198"/>
      <c r="AY114" s="198"/>
      <c r="AZ114" s="198"/>
      <c r="BA114" s="198"/>
      <c r="BB114" s="198"/>
      <c r="BC114" s="198"/>
      <c r="BD114" s="198"/>
      <c r="BE114" s="198"/>
      <c r="BF114" s="198"/>
      <c r="BG114" s="198"/>
      <c r="BH114" s="198"/>
      <c r="BI114" s="198"/>
      <c r="BJ114" s="198"/>
      <c r="BK114" s="198"/>
      <c r="BL114" s="198"/>
      <c r="BM114" s="198"/>
      <c r="BN114" s="182"/>
    </row>
    <row r="115" spans="1:69" ht="14.25" customHeight="1" x14ac:dyDescent="0.3">
      <c r="A115" s="960"/>
      <c r="B115" s="944"/>
      <c r="C115" s="183"/>
      <c r="D115" s="178" t="s">
        <v>721</v>
      </c>
      <c r="E115" s="180"/>
      <c r="F115" s="180"/>
      <c r="G115" s="180"/>
      <c r="H115" s="180"/>
      <c r="I115" s="180"/>
      <c r="J115" s="180"/>
      <c r="K115" s="181"/>
      <c r="L115" s="181"/>
      <c r="M115" s="181"/>
      <c r="N115" s="181"/>
      <c r="O115" s="181"/>
      <c r="P115" s="181"/>
      <c r="Q115" s="185"/>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2"/>
    </row>
    <row r="116" spans="1:69" ht="14.25" customHeight="1" x14ac:dyDescent="0.3">
      <c r="A116" s="960"/>
      <c r="B116" s="944"/>
      <c r="C116" s="183"/>
      <c r="D116" s="184" t="s">
        <v>722</v>
      </c>
      <c r="E116" s="180"/>
      <c r="F116" s="180"/>
      <c r="G116" s="180"/>
      <c r="H116" s="180"/>
      <c r="I116" s="180"/>
      <c r="J116" s="180"/>
      <c r="K116" s="181"/>
      <c r="L116" s="181"/>
      <c r="M116" s="181"/>
      <c r="N116" s="181"/>
      <c r="O116" s="181"/>
      <c r="P116" s="181"/>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2"/>
    </row>
    <row r="117" spans="1:69" ht="14.25" customHeight="1" x14ac:dyDescent="0.3">
      <c r="A117" s="1178" t="s">
        <v>6</v>
      </c>
      <c r="B117" s="944"/>
      <c r="C117" s="183"/>
      <c r="D117" s="185" t="s">
        <v>723</v>
      </c>
      <c r="E117" s="1203" t="s">
        <v>623</v>
      </c>
      <c r="F117" s="977"/>
      <c r="G117" s="977"/>
      <c r="H117" s="977"/>
      <c r="I117" s="977"/>
      <c r="J117" s="977"/>
      <c r="K117" s="977"/>
      <c r="L117" s="202">
        <v>188.51506308789868</v>
      </c>
      <c r="M117" s="202">
        <v>145.28096183790507</v>
      </c>
      <c r="N117" s="202">
        <v>122.23089736940734</v>
      </c>
      <c r="O117" s="202">
        <v>133.15344674625547</v>
      </c>
      <c r="P117" s="202">
        <v>177.5</v>
      </c>
      <c r="Q117" s="291"/>
      <c r="R117" s="291"/>
      <c r="S117" s="291"/>
      <c r="T117" s="291"/>
      <c r="U117" s="291"/>
      <c r="V117" s="291"/>
      <c r="W117" s="291"/>
      <c r="X117" s="291"/>
      <c r="Y117" s="291"/>
      <c r="Z117" s="291"/>
      <c r="AA117" s="291"/>
      <c r="AB117" s="291"/>
      <c r="AC117" s="291"/>
      <c r="AD117" s="291"/>
      <c r="AE117" s="291"/>
      <c r="AF117" s="291"/>
      <c r="AG117" s="291"/>
      <c r="AH117" s="291"/>
      <c r="AI117" s="291"/>
      <c r="AJ117" s="291"/>
      <c r="AK117" s="291"/>
      <c r="AL117" s="291"/>
      <c r="AM117" s="291"/>
      <c r="AN117" s="291"/>
      <c r="AO117" s="291"/>
      <c r="AP117" s="291"/>
      <c r="AQ117" s="291"/>
      <c r="AR117" s="291"/>
      <c r="AS117" s="291"/>
      <c r="AT117" s="291"/>
      <c r="AU117" s="291"/>
      <c r="AV117" s="291"/>
      <c r="AW117" s="291"/>
      <c r="AX117" s="291"/>
      <c r="AY117" s="291"/>
      <c r="AZ117" s="291"/>
      <c r="BA117" s="291"/>
      <c r="BB117" s="291"/>
      <c r="BC117" s="291"/>
      <c r="BD117" s="291"/>
      <c r="BE117" s="291"/>
      <c r="BF117" s="291"/>
      <c r="BG117" s="291"/>
      <c r="BH117" s="291"/>
      <c r="BI117" s="291"/>
      <c r="BJ117" s="291"/>
      <c r="BK117" s="291"/>
      <c r="BL117" s="291"/>
      <c r="BM117" s="291"/>
      <c r="BN117" s="182"/>
    </row>
    <row r="118" spans="1:69" ht="14.25" customHeight="1" x14ac:dyDescent="0.3">
      <c r="A118" s="982"/>
      <c r="B118" s="944"/>
      <c r="C118" s="183"/>
      <c r="D118" s="185" t="s">
        <v>724</v>
      </c>
      <c r="E118" s="977"/>
      <c r="F118" s="982"/>
      <c r="G118" s="982"/>
      <c r="H118" s="982"/>
      <c r="I118" s="982"/>
      <c r="J118" s="982"/>
      <c r="K118" s="977"/>
      <c r="L118" s="202">
        <v>507.34</v>
      </c>
      <c r="M118" s="202">
        <v>444</v>
      </c>
      <c r="N118" s="202">
        <v>472</v>
      </c>
      <c r="O118" s="202">
        <v>70.257031728152484</v>
      </c>
      <c r="P118" s="202">
        <v>89.482079349866268</v>
      </c>
      <c r="Q118" s="291"/>
      <c r="R118" s="291"/>
      <c r="S118" s="291"/>
      <c r="T118" s="291"/>
      <c r="U118" s="291"/>
      <c r="V118" s="291"/>
      <c r="W118" s="291"/>
      <c r="X118" s="291"/>
      <c r="Y118" s="291"/>
      <c r="Z118" s="291"/>
      <c r="AA118" s="291"/>
      <c r="AB118" s="291"/>
      <c r="AC118" s="291"/>
      <c r="AD118" s="291"/>
      <c r="AE118" s="291"/>
      <c r="AF118" s="291"/>
      <c r="AG118" s="291"/>
      <c r="AH118" s="291"/>
      <c r="AI118" s="291"/>
      <c r="AJ118" s="291"/>
      <c r="AK118" s="291"/>
      <c r="AL118" s="291"/>
      <c r="AM118" s="291"/>
      <c r="AN118" s="291"/>
      <c r="AO118" s="291"/>
      <c r="AP118" s="291"/>
      <c r="AQ118" s="291"/>
      <c r="AR118" s="291"/>
      <c r="AS118" s="291"/>
      <c r="AT118" s="291"/>
      <c r="AU118" s="291"/>
      <c r="AV118" s="291"/>
      <c r="AW118" s="291"/>
      <c r="AX118" s="291"/>
      <c r="AY118" s="291"/>
      <c r="AZ118" s="291"/>
      <c r="BA118" s="291"/>
      <c r="BB118" s="291"/>
      <c r="BC118" s="291"/>
      <c r="BD118" s="291"/>
      <c r="BE118" s="291"/>
      <c r="BF118" s="291"/>
      <c r="BG118" s="291"/>
      <c r="BH118" s="291"/>
      <c r="BI118" s="291"/>
      <c r="BJ118" s="291"/>
      <c r="BK118" s="291"/>
      <c r="BL118" s="291"/>
      <c r="BM118" s="291"/>
      <c r="BN118" s="182"/>
    </row>
    <row r="119" spans="1:69" ht="14.25" customHeight="1" x14ac:dyDescent="0.3">
      <c r="A119" s="982"/>
      <c r="B119" s="944" t="s">
        <v>367</v>
      </c>
      <c r="C119" s="183"/>
      <c r="D119" s="185" t="s">
        <v>707</v>
      </c>
      <c r="E119" s="977"/>
      <c r="F119" s="982"/>
      <c r="G119" s="982"/>
      <c r="H119" s="982"/>
      <c r="I119" s="982"/>
      <c r="J119" s="982"/>
      <c r="K119" s="977"/>
      <c r="L119" s="202">
        <v>89.556361957077144</v>
      </c>
      <c r="M119" s="202">
        <v>0</v>
      </c>
      <c r="N119" s="202">
        <v>119.25433286090312</v>
      </c>
      <c r="O119" s="202">
        <v>96.15168910528169</v>
      </c>
      <c r="P119" s="202">
        <v>85.7</v>
      </c>
      <c r="Q119" s="291"/>
      <c r="R119" s="291"/>
      <c r="S119" s="291"/>
      <c r="T119" s="291"/>
      <c r="U119" s="291"/>
      <c r="V119" s="291"/>
      <c r="W119" s="291"/>
      <c r="X119" s="291"/>
      <c r="Y119" s="291"/>
      <c r="Z119" s="291"/>
      <c r="AA119" s="291"/>
      <c r="AB119" s="291"/>
      <c r="AC119" s="291"/>
      <c r="AD119" s="291"/>
      <c r="AE119" s="291"/>
      <c r="AF119" s="291"/>
      <c r="AG119" s="291"/>
      <c r="AH119" s="291"/>
      <c r="AI119" s="291"/>
      <c r="AJ119" s="291"/>
      <c r="AK119" s="291"/>
      <c r="AL119" s="291"/>
      <c r="AM119" s="291"/>
      <c r="AN119" s="291"/>
      <c r="AO119" s="291"/>
      <c r="AP119" s="291"/>
      <c r="AQ119" s="291"/>
      <c r="AR119" s="291"/>
      <c r="AS119" s="291"/>
      <c r="AT119" s="291"/>
      <c r="AU119" s="291"/>
      <c r="AV119" s="291"/>
      <c r="AW119" s="291"/>
      <c r="AX119" s="291"/>
      <c r="AY119" s="291"/>
      <c r="AZ119" s="291"/>
      <c r="BA119" s="291"/>
      <c r="BB119" s="291"/>
      <c r="BC119" s="291"/>
      <c r="BD119" s="291"/>
      <c r="BE119" s="291"/>
      <c r="BF119" s="291"/>
      <c r="BG119" s="291"/>
      <c r="BH119" s="291"/>
      <c r="BI119" s="291"/>
      <c r="BJ119" s="291"/>
      <c r="BK119" s="291"/>
      <c r="BL119" s="291"/>
      <c r="BM119" s="291"/>
      <c r="BN119" s="182"/>
    </row>
    <row r="120" spans="1:69" ht="14.25" customHeight="1" x14ac:dyDescent="0.3">
      <c r="A120" s="982"/>
      <c r="B120" s="944" t="s">
        <v>367</v>
      </c>
      <c r="C120" s="183"/>
      <c r="D120" s="185" t="s">
        <v>708</v>
      </c>
      <c r="E120" s="977"/>
      <c r="F120" s="982"/>
      <c r="G120" s="982"/>
      <c r="H120" s="982"/>
      <c r="I120" s="982"/>
      <c r="J120" s="982"/>
      <c r="K120" s="977"/>
      <c r="L120" s="202">
        <v>31.242163659231721</v>
      </c>
      <c r="M120" s="202">
        <v>0</v>
      </c>
      <c r="N120" s="202">
        <v>0</v>
      </c>
      <c r="O120" s="202">
        <v>0</v>
      </c>
      <c r="P120" s="202">
        <v>54.4</v>
      </c>
      <c r="Q120" s="291"/>
      <c r="R120" s="291"/>
      <c r="S120" s="291"/>
      <c r="T120" s="291"/>
      <c r="U120" s="291"/>
      <c r="V120" s="291"/>
      <c r="W120" s="291"/>
      <c r="X120" s="291"/>
      <c r="Y120" s="291"/>
      <c r="Z120" s="291"/>
      <c r="AA120" s="291"/>
      <c r="AB120" s="291"/>
      <c r="AC120" s="291"/>
      <c r="AD120" s="291"/>
      <c r="AE120" s="291"/>
      <c r="AF120" s="291"/>
      <c r="AG120" s="291"/>
      <c r="AH120" s="291"/>
      <c r="AI120" s="291"/>
      <c r="AJ120" s="291"/>
      <c r="AK120" s="291"/>
      <c r="AL120" s="291"/>
      <c r="AM120" s="291"/>
      <c r="AN120" s="291"/>
      <c r="AO120" s="291"/>
      <c r="AP120" s="291"/>
      <c r="AQ120" s="291"/>
      <c r="AR120" s="291"/>
      <c r="AS120" s="291"/>
      <c r="AT120" s="291"/>
      <c r="AU120" s="291"/>
      <c r="AV120" s="291"/>
      <c r="AW120" s="291"/>
      <c r="AX120" s="291"/>
      <c r="AY120" s="291"/>
      <c r="AZ120" s="291"/>
      <c r="BA120" s="291"/>
      <c r="BB120" s="291"/>
      <c r="BC120" s="291"/>
      <c r="BD120" s="291"/>
      <c r="BE120" s="291"/>
      <c r="BF120" s="291"/>
      <c r="BG120" s="291"/>
      <c r="BH120" s="291"/>
      <c r="BI120" s="291"/>
      <c r="BJ120" s="291"/>
      <c r="BK120" s="291"/>
      <c r="BL120" s="291"/>
      <c r="BM120" s="291"/>
      <c r="BN120" s="182"/>
    </row>
    <row r="121" spans="1:69" ht="14.25" customHeight="1" x14ac:dyDescent="0.3">
      <c r="A121" s="982"/>
      <c r="B121" s="944"/>
      <c r="C121" s="183"/>
      <c r="D121" s="185" t="s">
        <v>709</v>
      </c>
      <c r="E121" s="977"/>
      <c r="F121" s="982"/>
      <c r="G121" s="982"/>
      <c r="H121" s="982"/>
      <c r="I121" s="982"/>
      <c r="J121" s="982"/>
      <c r="K121" s="977"/>
      <c r="L121" s="202">
        <v>209.6640747175139</v>
      </c>
      <c r="M121" s="202">
        <v>289</v>
      </c>
      <c r="N121" s="202">
        <v>315</v>
      </c>
      <c r="O121" s="202">
        <v>291.2</v>
      </c>
      <c r="P121" s="202">
        <v>343.4</v>
      </c>
      <c r="Q121" s="291"/>
      <c r="R121" s="291"/>
      <c r="S121" s="291"/>
      <c r="T121" s="291"/>
      <c r="U121" s="291"/>
      <c r="V121" s="291"/>
      <c r="W121" s="291"/>
      <c r="X121" s="291"/>
      <c r="Y121" s="291"/>
      <c r="Z121" s="291"/>
      <c r="AA121" s="291"/>
      <c r="AB121" s="291"/>
      <c r="AC121" s="291"/>
      <c r="AD121" s="291"/>
      <c r="AE121" s="291"/>
      <c r="AF121" s="291"/>
      <c r="AG121" s="291"/>
      <c r="AH121" s="291"/>
      <c r="AI121" s="291"/>
      <c r="AJ121" s="291"/>
      <c r="AK121" s="291"/>
      <c r="AL121" s="291"/>
      <c r="AM121" s="291"/>
      <c r="AN121" s="291"/>
      <c r="AO121" s="291"/>
      <c r="AP121" s="291"/>
      <c r="AQ121" s="291"/>
      <c r="AR121" s="291"/>
      <c r="AS121" s="291"/>
      <c r="AT121" s="291"/>
      <c r="AU121" s="291"/>
      <c r="AV121" s="291"/>
      <c r="AW121" s="291"/>
      <c r="AX121" s="291"/>
      <c r="AY121" s="291"/>
      <c r="AZ121" s="291"/>
      <c r="BA121" s="291"/>
      <c r="BB121" s="291"/>
      <c r="BC121" s="291"/>
      <c r="BD121" s="291"/>
      <c r="BE121" s="291"/>
      <c r="BF121" s="291"/>
      <c r="BG121" s="291"/>
      <c r="BH121" s="291"/>
      <c r="BI121" s="291"/>
      <c r="BJ121" s="291"/>
      <c r="BK121" s="291"/>
      <c r="BL121" s="291"/>
      <c r="BM121" s="291"/>
      <c r="BN121" s="182"/>
    </row>
    <row r="122" spans="1:69" ht="14.25" customHeight="1" x14ac:dyDescent="0.3">
      <c r="A122" s="982"/>
      <c r="B122" s="944"/>
      <c r="C122" s="183"/>
      <c r="D122" s="185" t="s">
        <v>710</v>
      </c>
      <c r="E122" s="977"/>
      <c r="F122" s="982"/>
      <c r="G122" s="982"/>
      <c r="H122" s="982"/>
      <c r="I122" s="982"/>
      <c r="J122" s="982"/>
      <c r="K122" s="977"/>
      <c r="L122" s="202">
        <v>225.16596407905777</v>
      </c>
      <c r="M122" s="202">
        <v>504</v>
      </c>
      <c r="N122" s="202">
        <v>459</v>
      </c>
      <c r="O122" s="202">
        <v>560.70000000000005</v>
      </c>
      <c r="P122" s="202">
        <v>624.29999999999995</v>
      </c>
      <c r="Q122" s="291"/>
      <c r="R122" s="291"/>
      <c r="S122" s="291"/>
      <c r="T122" s="291"/>
      <c r="U122" s="291"/>
      <c r="V122" s="291"/>
      <c r="W122" s="291"/>
      <c r="X122" s="291"/>
      <c r="Y122" s="291"/>
      <c r="Z122" s="291"/>
      <c r="AA122" s="291"/>
      <c r="AB122" s="291"/>
      <c r="AC122" s="291"/>
      <c r="AD122" s="291"/>
      <c r="AE122" s="291"/>
      <c r="AF122" s="291"/>
      <c r="AG122" s="291"/>
      <c r="AH122" s="291"/>
      <c r="AI122" s="291"/>
      <c r="AJ122" s="291"/>
      <c r="AK122" s="291"/>
      <c r="AL122" s="291"/>
      <c r="AM122" s="291"/>
      <c r="AN122" s="291"/>
      <c r="AO122" s="291"/>
      <c r="AP122" s="291"/>
      <c r="AQ122" s="291"/>
      <c r="AR122" s="291"/>
      <c r="AS122" s="291"/>
      <c r="AT122" s="291"/>
      <c r="AU122" s="291"/>
      <c r="AV122" s="291"/>
      <c r="AW122" s="291"/>
      <c r="AX122" s="291"/>
      <c r="AY122" s="291"/>
      <c r="AZ122" s="291"/>
      <c r="BA122" s="291"/>
      <c r="BB122" s="291"/>
      <c r="BC122" s="291"/>
      <c r="BD122" s="291"/>
      <c r="BE122" s="291"/>
      <c r="BF122" s="291"/>
      <c r="BG122" s="291"/>
      <c r="BH122" s="291"/>
      <c r="BI122" s="291"/>
      <c r="BJ122" s="291"/>
      <c r="BK122" s="291"/>
      <c r="BL122" s="291"/>
      <c r="BM122" s="291"/>
      <c r="BN122" s="182"/>
    </row>
    <row r="123" spans="1:69" ht="13.5" customHeight="1" x14ac:dyDescent="0.3">
      <c r="A123" s="982"/>
      <c r="B123" s="944"/>
      <c r="C123" s="183"/>
      <c r="D123" s="185" t="s">
        <v>711</v>
      </c>
      <c r="E123" s="977"/>
      <c r="F123" s="982"/>
      <c r="G123" s="982"/>
      <c r="H123" s="982"/>
      <c r="I123" s="982"/>
      <c r="J123" s="982"/>
      <c r="K123" s="977"/>
      <c r="L123" s="202">
        <v>140.70319537875019</v>
      </c>
      <c r="M123" s="202">
        <v>101.30512348021746</v>
      </c>
      <c r="N123" s="202">
        <v>121.71872104367945</v>
      </c>
      <c r="O123" s="202">
        <v>93.011900681839663</v>
      </c>
      <c r="P123" s="202">
        <v>161.5</v>
      </c>
      <c r="Q123" s="291"/>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1"/>
      <c r="AM123" s="291"/>
      <c r="AN123" s="291"/>
      <c r="AO123" s="291"/>
      <c r="AP123" s="291"/>
      <c r="AQ123" s="291"/>
      <c r="AR123" s="291"/>
      <c r="AS123" s="291"/>
      <c r="AT123" s="291"/>
      <c r="AU123" s="291"/>
      <c r="AV123" s="291"/>
      <c r="AW123" s="291"/>
      <c r="AX123" s="291"/>
      <c r="AY123" s="291"/>
      <c r="AZ123" s="291"/>
      <c r="BA123" s="291"/>
      <c r="BB123" s="291"/>
      <c r="BC123" s="291"/>
      <c r="BD123" s="291"/>
      <c r="BE123" s="291"/>
      <c r="BF123" s="291"/>
      <c r="BG123" s="291"/>
      <c r="BH123" s="291"/>
      <c r="BI123" s="291"/>
      <c r="BJ123" s="291"/>
      <c r="BK123" s="291"/>
      <c r="BL123" s="291"/>
      <c r="BM123" s="291"/>
      <c r="BN123" s="182"/>
    </row>
    <row r="124" spans="1:69" ht="14.25" customHeight="1" x14ac:dyDescent="0.3">
      <c r="A124" s="982"/>
      <c r="B124" s="944" t="s">
        <v>367</v>
      </c>
      <c r="C124" s="183"/>
      <c r="D124" s="185" t="s">
        <v>712</v>
      </c>
      <c r="E124" s="977"/>
      <c r="F124" s="982"/>
      <c r="G124" s="982"/>
      <c r="H124" s="982"/>
      <c r="I124" s="982"/>
      <c r="J124" s="982"/>
      <c r="K124" s="977"/>
      <c r="L124" s="202">
        <v>0</v>
      </c>
      <c r="M124" s="202">
        <v>138.56369308701076</v>
      </c>
      <c r="N124" s="202">
        <v>51.238300846430114</v>
      </c>
      <c r="O124" s="202">
        <v>136.89247960387596</v>
      </c>
      <c r="P124" s="202">
        <v>112</v>
      </c>
      <c r="Q124" s="291"/>
      <c r="R124" s="291"/>
      <c r="S124" s="291"/>
      <c r="T124" s="291"/>
      <c r="U124" s="291"/>
      <c r="V124" s="291"/>
      <c r="W124" s="291"/>
      <c r="X124" s="291"/>
      <c r="Y124" s="291"/>
      <c r="Z124" s="291"/>
      <c r="AA124" s="291"/>
      <c r="AB124" s="291"/>
      <c r="AC124" s="291"/>
      <c r="AD124" s="291"/>
      <c r="AE124" s="291"/>
      <c r="AF124" s="291"/>
      <c r="AG124" s="291"/>
      <c r="AH124" s="291"/>
      <c r="AI124" s="291"/>
      <c r="AJ124" s="291"/>
      <c r="AK124" s="291"/>
      <c r="AL124" s="291"/>
      <c r="AM124" s="291"/>
      <c r="AN124" s="291"/>
      <c r="AO124" s="291"/>
      <c r="AP124" s="291"/>
      <c r="AQ124" s="291"/>
      <c r="AR124" s="291"/>
      <c r="AS124" s="291"/>
      <c r="AT124" s="291"/>
      <c r="AU124" s="291"/>
      <c r="AV124" s="291"/>
      <c r="AW124" s="291"/>
      <c r="AX124" s="291"/>
      <c r="AY124" s="291"/>
      <c r="AZ124" s="291"/>
      <c r="BA124" s="291"/>
      <c r="BB124" s="291"/>
      <c r="BC124" s="291"/>
      <c r="BD124" s="291"/>
      <c r="BE124" s="291"/>
      <c r="BF124" s="291"/>
      <c r="BG124" s="291"/>
      <c r="BH124" s="291"/>
      <c r="BI124" s="291"/>
      <c r="BJ124" s="291"/>
      <c r="BK124" s="291"/>
      <c r="BL124" s="291"/>
      <c r="BM124" s="291"/>
      <c r="BN124" s="182"/>
    </row>
    <row r="125" spans="1:69" ht="14.25" customHeight="1" x14ac:dyDescent="0.3">
      <c r="A125" s="982"/>
      <c r="B125" s="944" t="s">
        <v>367</v>
      </c>
      <c r="C125" s="183"/>
      <c r="D125" s="185" t="s">
        <v>713</v>
      </c>
      <c r="E125" s="977"/>
      <c r="F125" s="982"/>
      <c r="G125" s="982"/>
      <c r="H125" s="982"/>
      <c r="I125" s="982"/>
      <c r="J125" s="982"/>
      <c r="K125" s="977"/>
      <c r="L125" s="202">
        <v>0</v>
      </c>
      <c r="M125" s="202">
        <v>90.718474000000001</v>
      </c>
      <c r="N125" s="202">
        <v>81.18152272775869</v>
      </c>
      <c r="O125" s="202">
        <v>0</v>
      </c>
      <c r="P125" s="202">
        <v>9.5489500701369625</v>
      </c>
      <c r="Q125" s="291"/>
      <c r="R125" s="291"/>
      <c r="S125" s="291"/>
      <c r="T125" s="291"/>
      <c r="U125" s="291"/>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291"/>
      <c r="AQ125" s="291"/>
      <c r="AR125" s="291"/>
      <c r="AS125" s="291"/>
      <c r="AT125" s="291"/>
      <c r="AU125" s="291"/>
      <c r="AV125" s="291"/>
      <c r="AW125" s="291"/>
      <c r="AX125" s="291"/>
      <c r="AY125" s="291"/>
      <c r="AZ125" s="291"/>
      <c r="BA125" s="291"/>
      <c r="BB125" s="291"/>
      <c r="BC125" s="291"/>
      <c r="BD125" s="291"/>
      <c r="BE125" s="291"/>
      <c r="BF125" s="291"/>
      <c r="BG125" s="291"/>
      <c r="BH125" s="291"/>
      <c r="BI125" s="291"/>
      <c r="BJ125" s="291"/>
      <c r="BK125" s="291"/>
      <c r="BL125" s="291"/>
      <c r="BM125" s="291"/>
      <c r="BN125" s="182"/>
    </row>
    <row r="126" spans="1:69" ht="14.25" customHeight="1" x14ac:dyDescent="0.3">
      <c r="A126" s="982"/>
      <c r="B126" s="944"/>
      <c r="C126" s="183"/>
      <c r="D126" s="185" t="s">
        <v>725</v>
      </c>
      <c r="E126" s="977"/>
      <c r="F126" s="982"/>
      <c r="G126" s="982"/>
      <c r="H126" s="982"/>
      <c r="I126" s="982"/>
      <c r="J126" s="982"/>
      <c r="K126" s="977"/>
      <c r="L126" s="202">
        <v>60.516393629655965</v>
      </c>
      <c r="M126" s="301">
        <v>560</v>
      </c>
      <c r="N126" s="301">
        <v>427</v>
      </c>
      <c r="O126" s="301">
        <v>547.1</v>
      </c>
      <c r="P126" s="301">
        <v>548.20000000000005</v>
      </c>
      <c r="Q126" s="291"/>
      <c r="R126" s="291"/>
      <c r="S126" s="291"/>
      <c r="T126" s="291"/>
      <c r="U126" s="291"/>
      <c r="V126" s="291"/>
      <c r="W126" s="291"/>
      <c r="X126" s="291"/>
      <c r="Y126" s="291"/>
      <c r="Z126" s="291"/>
      <c r="AA126" s="291"/>
      <c r="AB126" s="291"/>
      <c r="AC126" s="291"/>
      <c r="AD126" s="291"/>
      <c r="AE126" s="291"/>
      <c r="AF126" s="291"/>
      <c r="AG126" s="291"/>
      <c r="AH126" s="291"/>
      <c r="AI126" s="291"/>
      <c r="AJ126" s="291"/>
      <c r="AK126" s="291"/>
      <c r="AL126" s="291"/>
      <c r="AM126" s="291"/>
      <c r="AN126" s="291"/>
      <c r="AO126" s="291"/>
      <c r="AP126" s="291"/>
      <c r="AQ126" s="291"/>
      <c r="AR126" s="291"/>
      <c r="AS126" s="291"/>
      <c r="AT126" s="291"/>
      <c r="AU126" s="291"/>
      <c r="AV126" s="291"/>
      <c r="AW126" s="291"/>
      <c r="AX126" s="291"/>
      <c r="AY126" s="291"/>
      <c r="AZ126" s="291"/>
      <c r="BA126" s="291"/>
      <c r="BB126" s="291"/>
      <c r="BC126" s="291"/>
      <c r="BD126" s="291"/>
      <c r="BE126" s="291"/>
      <c r="BF126" s="291"/>
      <c r="BG126" s="291"/>
      <c r="BH126" s="291"/>
      <c r="BI126" s="291"/>
      <c r="BJ126" s="291"/>
      <c r="BK126" s="291"/>
      <c r="BL126" s="291"/>
      <c r="BM126" s="291"/>
      <c r="BN126" s="182"/>
    </row>
    <row r="127" spans="1:69" ht="14.25" customHeight="1" x14ac:dyDescent="0.3">
      <c r="A127" s="982"/>
      <c r="B127" s="944"/>
      <c r="C127" s="183"/>
      <c r="D127" s="185" t="s">
        <v>726</v>
      </c>
      <c r="E127" s="977"/>
      <c r="F127" s="982"/>
      <c r="G127" s="982"/>
      <c r="H127" s="982"/>
      <c r="I127" s="982"/>
      <c r="J127" s="982"/>
      <c r="K127" s="977"/>
      <c r="L127" s="301">
        <v>160.43223036590172</v>
      </c>
      <c r="M127" s="301">
        <v>202</v>
      </c>
      <c r="N127" s="301">
        <v>173</v>
      </c>
      <c r="O127" s="301">
        <v>474.13333333333338</v>
      </c>
      <c r="P127" s="301">
        <v>276.40000000000003</v>
      </c>
      <c r="Q127" s="291"/>
      <c r="R127" s="291"/>
      <c r="S127" s="291"/>
      <c r="T127" s="291"/>
      <c r="U127" s="291"/>
      <c r="V127" s="291"/>
      <c r="W127" s="291"/>
      <c r="X127" s="291"/>
      <c r="Y127" s="291"/>
      <c r="Z127" s="291"/>
      <c r="AA127" s="291"/>
      <c r="AB127" s="291"/>
      <c r="AC127" s="291"/>
      <c r="AD127" s="291"/>
      <c r="AE127" s="291"/>
      <c r="AF127" s="291"/>
      <c r="AG127" s="291"/>
      <c r="AH127" s="291"/>
      <c r="AI127" s="291"/>
      <c r="AJ127" s="291"/>
      <c r="AK127" s="291"/>
      <c r="AL127" s="291"/>
      <c r="AM127" s="291"/>
      <c r="AN127" s="291"/>
      <c r="AO127" s="291"/>
      <c r="AP127" s="291"/>
      <c r="AQ127" s="291"/>
      <c r="AR127" s="291"/>
      <c r="AS127" s="291"/>
      <c r="AT127" s="291"/>
      <c r="AU127" s="291"/>
      <c r="AV127" s="291"/>
      <c r="AW127" s="291"/>
      <c r="AX127" s="291"/>
      <c r="AY127" s="291"/>
      <c r="AZ127" s="291"/>
      <c r="BA127" s="291"/>
      <c r="BB127" s="291"/>
      <c r="BC127" s="291"/>
      <c r="BD127" s="291"/>
      <c r="BE127" s="291"/>
      <c r="BF127" s="291"/>
      <c r="BG127" s="291"/>
      <c r="BH127" s="291"/>
      <c r="BI127" s="291"/>
      <c r="BJ127" s="291"/>
      <c r="BK127" s="291"/>
      <c r="BL127" s="291"/>
      <c r="BM127" s="291"/>
      <c r="BN127" s="182"/>
    </row>
    <row r="128" spans="1:69" ht="14.25" customHeight="1" x14ac:dyDescent="0.3">
      <c r="A128" s="982"/>
      <c r="B128" s="944"/>
      <c r="C128" s="183"/>
      <c r="D128" s="185" t="s">
        <v>727</v>
      </c>
      <c r="E128" s="977"/>
      <c r="F128" s="982"/>
      <c r="G128" s="982"/>
      <c r="H128" s="982"/>
      <c r="I128" s="982"/>
      <c r="J128" s="982"/>
      <c r="K128" s="977"/>
      <c r="L128" s="301">
        <v>1298.0794734765552</v>
      </c>
      <c r="M128" s="301">
        <v>249</v>
      </c>
      <c r="N128" s="301">
        <v>208</v>
      </c>
      <c r="O128" s="301">
        <v>249</v>
      </c>
      <c r="P128" s="301">
        <v>274.10000000000002</v>
      </c>
      <c r="Q128" s="291"/>
      <c r="R128" s="291"/>
      <c r="S128" s="291"/>
      <c r="T128" s="291"/>
      <c r="U128" s="291"/>
      <c r="V128" s="291"/>
      <c r="W128" s="291"/>
      <c r="X128" s="291"/>
      <c r="Y128" s="291"/>
      <c r="Z128" s="291"/>
      <c r="AA128" s="291"/>
      <c r="AB128" s="291"/>
      <c r="AC128" s="291"/>
      <c r="AD128" s="291"/>
      <c r="AE128" s="291"/>
      <c r="AF128" s="291"/>
      <c r="AG128" s="291"/>
      <c r="AH128" s="291"/>
      <c r="AI128" s="291"/>
      <c r="AJ128" s="291"/>
      <c r="AK128" s="291"/>
      <c r="AL128" s="291"/>
      <c r="AM128" s="291"/>
      <c r="AN128" s="291"/>
      <c r="AO128" s="291"/>
      <c r="AP128" s="291"/>
      <c r="AQ128" s="291"/>
      <c r="AR128" s="291"/>
      <c r="AS128" s="291"/>
      <c r="AT128" s="291"/>
      <c r="AU128" s="291"/>
      <c r="AV128" s="291"/>
      <c r="AW128" s="291"/>
      <c r="AX128" s="291"/>
      <c r="AY128" s="291"/>
      <c r="AZ128" s="291"/>
      <c r="BA128" s="291"/>
      <c r="BB128" s="291"/>
      <c r="BC128" s="291"/>
      <c r="BD128" s="291"/>
      <c r="BE128" s="291"/>
      <c r="BF128" s="291"/>
      <c r="BG128" s="291"/>
      <c r="BH128" s="291"/>
      <c r="BI128" s="291"/>
      <c r="BJ128" s="291"/>
      <c r="BK128" s="291"/>
      <c r="BL128" s="291"/>
      <c r="BM128" s="291"/>
      <c r="BN128" s="182"/>
    </row>
    <row r="129" spans="1:69" ht="14.25" customHeight="1" x14ac:dyDescent="0.3">
      <c r="A129" s="982"/>
      <c r="B129" s="944"/>
      <c r="C129" s="183"/>
      <c r="D129" s="185" t="s">
        <v>717</v>
      </c>
      <c r="E129" s="977"/>
      <c r="F129" s="982"/>
      <c r="G129" s="982"/>
      <c r="H129" s="982"/>
      <c r="I129" s="982"/>
      <c r="J129" s="982"/>
      <c r="K129" s="977"/>
      <c r="L129" s="301">
        <v>134.86000000000001</v>
      </c>
      <c r="M129" s="301">
        <v>699.74918015369724</v>
      </c>
      <c r="N129" s="301">
        <v>748.89562781130621</v>
      </c>
      <c r="O129" s="301">
        <v>498.69101764540835</v>
      </c>
      <c r="P129" s="301">
        <v>487.15887304007219</v>
      </c>
      <c r="Q129" s="291"/>
      <c r="R129" s="291"/>
      <c r="S129" s="291"/>
      <c r="T129" s="291"/>
      <c r="U129" s="291"/>
      <c r="V129" s="291"/>
      <c r="W129" s="291"/>
      <c r="X129" s="291"/>
      <c r="Y129" s="291"/>
      <c r="Z129" s="291"/>
      <c r="AA129" s="291"/>
      <c r="AB129" s="291"/>
      <c r="AC129" s="291"/>
      <c r="AD129" s="291"/>
      <c r="AE129" s="291"/>
      <c r="AF129" s="291"/>
      <c r="AG129" s="291"/>
      <c r="AH129" s="291"/>
      <c r="AI129" s="291"/>
      <c r="AJ129" s="291"/>
      <c r="AK129" s="291"/>
      <c r="AL129" s="291"/>
      <c r="AM129" s="291"/>
      <c r="AN129" s="291"/>
      <c r="AO129" s="291"/>
      <c r="AP129" s="291"/>
      <c r="AQ129" s="291"/>
      <c r="AR129" s="291"/>
      <c r="AS129" s="291"/>
      <c r="AT129" s="291"/>
      <c r="AU129" s="291"/>
      <c r="AV129" s="291"/>
      <c r="AW129" s="291"/>
      <c r="AX129" s="291"/>
      <c r="AY129" s="291"/>
      <c r="AZ129" s="291"/>
      <c r="BA129" s="291"/>
      <c r="BB129" s="291"/>
      <c r="BC129" s="291"/>
      <c r="BD129" s="291"/>
      <c r="BE129" s="291"/>
      <c r="BF129" s="291"/>
      <c r="BG129" s="291"/>
      <c r="BH129" s="291"/>
      <c r="BI129" s="291"/>
      <c r="BJ129" s="291"/>
      <c r="BK129" s="291"/>
      <c r="BL129" s="291"/>
      <c r="BM129" s="291"/>
      <c r="BN129" s="182"/>
    </row>
    <row r="130" spans="1:69" ht="14.25" customHeight="1" x14ac:dyDescent="0.3">
      <c r="A130" s="982"/>
      <c r="B130" s="944"/>
      <c r="C130" s="183"/>
      <c r="D130" s="185" t="s">
        <v>718</v>
      </c>
      <c r="E130" s="977"/>
      <c r="F130" s="982"/>
      <c r="G130" s="982"/>
      <c r="H130" s="982"/>
      <c r="I130" s="982"/>
      <c r="J130" s="982"/>
      <c r="K130" s="977"/>
      <c r="L130" s="301">
        <v>188.51506308789868</v>
      </c>
      <c r="M130" s="301">
        <v>469.82131568580076</v>
      </c>
      <c r="N130" s="301">
        <v>488.83823374289562</v>
      </c>
      <c r="O130" s="301">
        <v>604.63174330158949</v>
      </c>
      <c r="P130" s="301">
        <v>478.96878663002803</v>
      </c>
      <c r="Q130" s="291"/>
      <c r="R130" s="291"/>
      <c r="S130" s="291"/>
      <c r="T130" s="291"/>
      <c r="U130" s="291"/>
      <c r="V130" s="291"/>
      <c r="W130" s="291"/>
      <c r="X130" s="291"/>
      <c r="Y130" s="291"/>
      <c r="Z130" s="291"/>
      <c r="AA130" s="291"/>
      <c r="AB130" s="291"/>
      <c r="AC130" s="291"/>
      <c r="AD130" s="291"/>
      <c r="AE130" s="291"/>
      <c r="AF130" s="291"/>
      <c r="AG130" s="291"/>
      <c r="AH130" s="291"/>
      <c r="AI130" s="291"/>
      <c r="AJ130" s="291"/>
      <c r="AK130" s="291"/>
      <c r="AL130" s="291"/>
      <c r="AM130" s="291"/>
      <c r="AN130" s="291"/>
      <c r="AO130" s="291"/>
      <c r="AP130" s="291"/>
      <c r="AQ130" s="291"/>
      <c r="AR130" s="291"/>
      <c r="AS130" s="291"/>
      <c r="AT130" s="291"/>
      <c r="AU130" s="291"/>
      <c r="AV130" s="291"/>
      <c r="AW130" s="291"/>
      <c r="AX130" s="291"/>
      <c r="AY130" s="291"/>
      <c r="AZ130" s="291"/>
      <c r="BA130" s="291"/>
      <c r="BB130" s="291"/>
      <c r="BC130" s="291"/>
      <c r="BD130" s="291"/>
      <c r="BE130" s="291"/>
      <c r="BF130" s="291"/>
      <c r="BG130" s="291"/>
      <c r="BH130" s="291"/>
      <c r="BI130" s="291"/>
      <c r="BJ130" s="291"/>
      <c r="BK130" s="291"/>
      <c r="BL130" s="291"/>
      <c r="BM130" s="291"/>
      <c r="BN130" s="182"/>
    </row>
    <row r="131" spans="1:69" ht="14.25" customHeight="1" x14ac:dyDescent="0.3">
      <c r="A131" s="982"/>
      <c r="B131" s="944" t="s">
        <v>367</v>
      </c>
      <c r="C131" s="183"/>
      <c r="D131" s="185" t="s">
        <v>719</v>
      </c>
      <c r="E131" s="977"/>
      <c r="F131" s="977"/>
      <c r="G131" s="977"/>
      <c r="H131" s="977"/>
      <c r="I131" s="977"/>
      <c r="J131" s="977"/>
      <c r="K131" s="977"/>
      <c r="L131" s="202">
        <v>0</v>
      </c>
      <c r="M131" s="202">
        <v>0</v>
      </c>
      <c r="N131" s="202">
        <v>0</v>
      </c>
      <c r="O131" s="202">
        <v>0</v>
      </c>
      <c r="P131" s="202">
        <v>0</v>
      </c>
      <c r="Q131" s="291"/>
      <c r="R131" s="291"/>
      <c r="S131" s="291"/>
      <c r="T131" s="291"/>
      <c r="U131" s="291"/>
      <c r="V131" s="291"/>
      <c r="W131" s="291"/>
      <c r="X131" s="291"/>
      <c r="Y131" s="291"/>
      <c r="Z131" s="291"/>
      <c r="AA131" s="291"/>
      <c r="AB131" s="291"/>
      <c r="AC131" s="291"/>
      <c r="AD131" s="291"/>
      <c r="AE131" s="291"/>
      <c r="AF131" s="291"/>
      <c r="AG131" s="291"/>
      <c r="AH131" s="291"/>
      <c r="AI131" s="291"/>
      <c r="AJ131" s="291"/>
      <c r="AK131" s="291"/>
      <c r="AL131" s="291"/>
      <c r="AM131" s="291"/>
      <c r="AN131" s="291"/>
      <c r="AO131" s="291"/>
      <c r="AP131" s="291"/>
      <c r="AQ131" s="291"/>
      <c r="AR131" s="291"/>
      <c r="AS131" s="291"/>
      <c r="AT131" s="291"/>
      <c r="AU131" s="291"/>
      <c r="AV131" s="291"/>
      <c r="AW131" s="291"/>
      <c r="AX131" s="291"/>
      <c r="AY131" s="291"/>
      <c r="AZ131" s="291"/>
      <c r="BA131" s="291"/>
      <c r="BB131" s="291"/>
      <c r="BC131" s="291"/>
      <c r="BD131" s="291"/>
      <c r="BE131" s="291"/>
      <c r="BF131" s="291"/>
      <c r="BG131" s="291"/>
      <c r="BH131" s="291"/>
      <c r="BI131" s="291"/>
      <c r="BJ131" s="291"/>
      <c r="BK131" s="291"/>
      <c r="BL131" s="291"/>
      <c r="BM131" s="291"/>
      <c r="BN131" s="198"/>
    </row>
    <row r="132" spans="1:69" ht="14.25" customHeight="1" x14ac:dyDescent="0.3">
      <c r="A132" s="48"/>
      <c r="B132" s="49"/>
      <c r="C132" s="194"/>
      <c r="D132" s="179" t="s">
        <v>720</v>
      </c>
      <c r="E132" s="302"/>
      <c r="F132" s="302"/>
      <c r="G132" s="302"/>
      <c r="H132" s="302"/>
      <c r="I132" s="302"/>
      <c r="J132" s="302"/>
      <c r="K132" s="302"/>
      <c r="L132" s="303">
        <f t="shared" ref="L132:P132" si="94">SUM(L117:L131)</f>
        <v>3234.5899834395414</v>
      </c>
      <c r="M132" s="303">
        <f t="shared" si="94"/>
        <v>3893.4387482446309</v>
      </c>
      <c r="N132" s="303">
        <f t="shared" si="94"/>
        <v>3787.3576364023802</v>
      </c>
      <c r="O132" s="303">
        <f t="shared" si="94"/>
        <v>3754.922642145737</v>
      </c>
      <c r="P132" s="303">
        <f t="shared" si="94"/>
        <v>3722.6586890901035</v>
      </c>
      <c r="Q132" s="304"/>
      <c r="R132" s="304"/>
      <c r="S132" s="304"/>
      <c r="T132" s="304"/>
      <c r="U132" s="304"/>
      <c r="V132" s="304"/>
      <c r="W132" s="304"/>
      <c r="X132" s="304"/>
      <c r="Y132" s="304"/>
      <c r="Z132" s="304"/>
      <c r="AA132" s="304"/>
      <c r="AB132" s="304"/>
      <c r="AC132" s="304"/>
      <c r="AD132" s="304"/>
      <c r="AE132" s="304"/>
      <c r="AF132" s="304"/>
      <c r="AG132" s="304"/>
      <c r="AH132" s="304"/>
      <c r="AI132" s="304"/>
      <c r="AJ132" s="304"/>
      <c r="AK132" s="304"/>
      <c r="AL132" s="304"/>
      <c r="AM132" s="304"/>
      <c r="AN132" s="304"/>
      <c r="AO132" s="304"/>
      <c r="AP132" s="304"/>
      <c r="AQ132" s="304"/>
      <c r="AR132" s="304"/>
      <c r="AS132" s="304"/>
      <c r="AT132" s="304"/>
      <c r="AU132" s="304"/>
      <c r="AV132" s="304"/>
      <c r="AW132" s="304"/>
      <c r="AX132" s="304"/>
      <c r="AY132" s="304"/>
      <c r="AZ132" s="304"/>
      <c r="BA132" s="304"/>
      <c r="BB132" s="304"/>
      <c r="BC132" s="304"/>
      <c r="BD132" s="304"/>
      <c r="BE132" s="304"/>
      <c r="BF132" s="304"/>
      <c r="BG132" s="304"/>
      <c r="BH132" s="304"/>
      <c r="BI132" s="304"/>
      <c r="BJ132" s="304"/>
      <c r="BK132" s="304"/>
      <c r="BL132" s="304"/>
      <c r="BM132" s="304"/>
      <c r="BN132" s="197"/>
      <c r="BO132" s="50"/>
      <c r="BP132" s="50"/>
      <c r="BQ132" s="50"/>
    </row>
    <row r="133" spans="1:69" ht="15" customHeight="1" thickBot="1" x14ac:dyDescent="0.35">
      <c r="A133" s="960"/>
      <c r="B133" s="26"/>
      <c r="C133" s="85"/>
      <c r="D133" s="200"/>
      <c r="E133" s="201"/>
      <c r="F133" s="201"/>
      <c r="G133" s="201"/>
      <c r="H133" s="201"/>
      <c r="I133" s="201"/>
      <c r="J133" s="201"/>
      <c r="K133" s="201"/>
      <c r="L133" s="201"/>
      <c r="M133" s="201"/>
      <c r="N133" s="201"/>
      <c r="O133" s="201"/>
      <c r="P133" s="201"/>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c r="AP133" s="200"/>
      <c r="AQ133" s="200"/>
      <c r="AR133" s="200"/>
      <c r="AS133" s="200"/>
      <c r="AT133" s="200"/>
      <c r="AU133" s="200"/>
      <c r="AV133" s="200"/>
      <c r="AW133" s="200"/>
      <c r="AX133" s="200"/>
      <c r="AY133" s="200"/>
      <c r="AZ133" s="200"/>
      <c r="BA133" s="200"/>
      <c r="BB133" s="200"/>
      <c r="BC133" s="200"/>
      <c r="BD133" s="200"/>
      <c r="BE133" s="200"/>
      <c r="BF133" s="200"/>
      <c r="BG133" s="200"/>
      <c r="BH133" s="200"/>
      <c r="BI133" s="200"/>
      <c r="BJ133" s="200"/>
      <c r="BK133" s="200"/>
      <c r="BL133" s="200"/>
      <c r="BM133" s="200"/>
      <c r="BN133" s="52"/>
    </row>
    <row r="134" spans="1:69" ht="14.25" hidden="1" customHeight="1" x14ac:dyDescent="0.3">
      <c r="A134" s="960"/>
      <c r="B134" s="944"/>
      <c r="C134" s="944"/>
      <c r="D134" s="45"/>
      <c r="E134" s="944"/>
      <c r="F134" s="944"/>
      <c r="G134" s="944"/>
      <c r="H134" s="944"/>
      <c r="I134" s="944"/>
      <c r="J134" s="944"/>
      <c r="K134" s="944"/>
      <c r="L134" s="944"/>
      <c r="M134" s="944"/>
      <c r="N134" s="944"/>
      <c r="O134" s="944"/>
      <c r="P134" s="944"/>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row>
    <row r="135" spans="1:69" ht="15.75" hidden="1" customHeight="1" x14ac:dyDescent="0.3">
      <c r="A135" s="960"/>
      <c r="B135" s="944"/>
      <c r="C135" s="1029" t="s">
        <v>728</v>
      </c>
      <c r="D135" s="1205"/>
      <c r="E135" s="1205"/>
      <c r="F135" s="944"/>
      <c r="G135" s="944"/>
      <c r="H135" s="944"/>
      <c r="I135" s="944"/>
      <c r="J135" s="944"/>
      <c r="K135" s="944"/>
      <c r="L135" s="944"/>
      <c r="M135" s="944"/>
      <c r="N135" s="944"/>
      <c r="O135" s="944"/>
      <c r="P135" s="944"/>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row>
    <row r="136" spans="1:69" ht="14.25" hidden="1" customHeight="1" x14ac:dyDescent="0.3">
      <c r="A136" s="960"/>
      <c r="B136" s="45"/>
      <c r="C136" s="293"/>
      <c r="D136" s="198"/>
      <c r="E136" s="199"/>
      <c r="F136" s="199"/>
      <c r="G136" s="199"/>
      <c r="H136" s="199"/>
      <c r="I136" s="199"/>
      <c r="J136" s="199"/>
      <c r="K136" s="199"/>
      <c r="L136" s="199"/>
      <c r="M136" s="199"/>
      <c r="N136" s="199"/>
      <c r="O136" s="199"/>
      <c r="P136" s="199"/>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198"/>
      <c r="AU136" s="198"/>
      <c r="AV136" s="198"/>
      <c r="AW136" s="198"/>
      <c r="AX136" s="198"/>
      <c r="AY136" s="198"/>
      <c r="AZ136" s="198"/>
      <c r="BA136" s="198"/>
      <c r="BB136" s="198"/>
      <c r="BC136" s="198"/>
      <c r="BD136" s="198"/>
      <c r="BE136" s="198"/>
      <c r="BF136" s="198"/>
      <c r="BG136" s="198"/>
      <c r="BH136" s="198"/>
      <c r="BI136" s="198"/>
      <c r="BJ136" s="198"/>
      <c r="BK136" s="198"/>
      <c r="BL136" s="198"/>
      <c r="BM136" s="198"/>
      <c r="BN136" s="182"/>
    </row>
    <row r="137" spans="1:69" ht="14.25" hidden="1" customHeight="1" x14ac:dyDescent="0.3">
      <c r="A137" s="960"/>
      <c r="B137" s="45"/>
      <c r="C137" s="293"/>
      <c r="D137" s="179" t="s">
        <v>729</v>
      </c>
      <c r="E137" s="180"/>
      <c r="F137" s="180"/>
      <c r="G137" s="180"/>
      <c r="H137" s="180"/>
      <c r="I137" s="180"/>
      <c r="J137" s="180"/>
      <c r="K137" s="181"/>
      <c r="L137" s="181"/>
      <c r="M137" s="181"/>
      <c r="N137" s="181"/>
      <c r="O137" s="181"/>
      <c r="P137" s="181"/>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2"/>
    </row>
    <row r="138" spans="1:69" ht="12.75" hidden="1" customHeight="1" x14ac:dyDescent="0.3">
      <c r="A138" s="1178" t="s">
        <v>6</v>
      </c>
      <c r="B138" s="45"/>
      <c r="C138" s="293"/>
      <c r="D138" s="185" t="s">
        <v>730</v>
      </c>
      <c r="E138" s="1204" t="s">
        <v>623</v>
      </c>
      <c r="F138" s="977"/>
      <c r="G138" s="977"/>
      <c r="H138" s="977"/>
      <c r="I138" s="977"/>
      <c r="J138" s="977"/>
      <c r="K138" s="977"/>
      <c r="L138" s="202"/>
      <c r="M138" s="202">
        <v>393</v>
      </c>
      <c r="N138" s="202">
        <v>295</v>
      </c>
      <c r="O138" s="202">
        <v>10</v>
      </c>
      <c r="P138" s="202">
        <v>135.1</v>
      </c>
      <c r="Q138" s="291"/>
      <c r="R138" s="291"/>
      <c r="S138" s="291"/>
      <c r="T138" s="291"/>
      <c r="U138" s="291"/>
      <c r="V138" s="291"/>
      <c r="W138" s="291"/>
      <c r="X138" s="291"/>
      <c r="Y138" s="291"/>
      <c r="Z138" s="291"/>
      <c r="AA138" s="291"/>
      <c r="AB138" s="291"/>
      <c r="AC138" s="291"/>
      <c r="AD138" s="291"/>
      <c r="AE138" s="291"/>
      <c r="AF138" s="291"/>
      <c r="AG138" s="291"/>
      <c r="AH138" s="291"/>
      <c r="AI138" s="291"/>
      <c r="AJ138" s="291"/>
      <c r="AK138" s="291"/>
      <c r="AL138" s="291"/>
      <c r="AM138" s="291"/>
      <c r="AN138" s="291"/>
      <c r="AO138" s="291"/>
      <c r="AP138" s="291"/>
      <c r="AQ138" s="291"/>
      <c r="AR138" s="291"/>
      <c r="AS138" s="291"/>
      <c r="AT138" s="291"/>
      <c r="AU138" s="291"/>
      <c r="AV138" s="291"/>
      <c r="AW138" s="291"/>
      <c r="AX138" s="291"/>
      <c r="AY138" s="291"/>
      <c r="AZ138" s="291"/>
      <c r="BA138" s="291"/>
      <c r="BB138" s="291"/>
      <c r="BC138" s="291"/>
      <c r="BD138" s="291"/>
      <c r="BE138" s="291"/>
      <c r="BF138" s="291"/>
      <c r="BG138" s="291"/>
      <c r="BH138" s="291"/>
      <c r="BI138" s="291"/>
      <c r="BJ138" s="291"/>
      <c r="BK138" s="291"/>
      <c r="BL138" s="291"/>
      <c r="BM138" s="291"/>
      <c r="BN138" s="182"/>
    </row>
    <row r="139" spans="1:69" ht="14.25" hidden="1" customHeight="1" x14ac:dyDescent="0.3">
      <c r="A139" s="982"/>
      <c r="B139" s="45"/>
      <c r="C139" s="293"/>
      <c r="D139" s="185" t="s">
        <v>731</v>
      </c>
      <c r="E139" s="977"/>
      <c r="F139" s="982"/>
      <c r="G139" s="982"/>
      <c r="H139" s="982"/>
      <c r="I139" s="982"/>
      <c r="J139" s="982"/>
      <c r="K139" s="977"/>
      <c r="L139" s="202">
        <v>68.886546250000009</v>
      </c>
      <c r="M139" s="202"/>
      <c r="N139" s="202"/>
      <c r="O139" s="202"/>
      <c r="P139" s="202"/>
      <c r="Q139" s="291"/>
      <c r="R139" s="291"/>
      <c r="S139" s="291"/>
      <c r="T139" s="291"/>
      <c r="U139" s="291"/>
      <c r="V139" s="291"/>
      <c r="W139" s="291"/>
      <c r="X139" s="291"/>
      <c r="Y139" s="291"/>
      <c r="Z139" s="291"/>
      <c r="AA139" s="291"/>
      <c r="AB139" s="291"/>
      <c r="AC139" s="291"/>
      <c r="AD139" s="291"/>
      <c r="AE139" s="291"/>
      <c r="AF139" s="291"/>
      <c r="AG139" s="291"/>
      <c r="AH139" s="291"/>
      <c r="AI139" s="291"/>
      <c r="AJ139" s="291"/>
      <c r="AK139" s="291"/>
      <c r="AL139" s="291"/>
      <c r="AM139" s="291"/>
      <c r="AN139" s="291"/>
      <c r="AO139" s="291"/>
      <c r="AP139" s="291"/>
      <c r="AQ139" s="291"/>
      <c r="AR139" s="291"/>
      <c r="AS139" s="291"/>
      <c r="AT139" s="291"/>
      <c r="AU139" s="291"/>
      <c r="AV139" s="291"/>
      <c r="AW139" s="291"/>
      <c r="AX139" s="291"/>
      <c r="AY139" s="291"/>
      <c r="AZ139" s="291"/>
      <c r="BA139" s="291"/>
      <c r="BB139" s="291"/>
      <c r="BC139" s="291"/>
      <c r="BD139" s="291"/>
      <c r="BE139" s="291"/>
      <c r="BF139" s="291"/>
      <c r="BG139" s="291"/>
      <c r="BH139" s="291"/>
      <c r="BI139" s="291"/>
      <c r="BJ139" s="291"/>
      <c r="BK139" s="291"/>
      <c r="BL139" s="291"/>
      <c r="BM139" s="291"/>
      <c r="BN139" s="182"/>
    </row>
    <row r="140" spans="1:69" ht="14.25" hidden="1" customHeight="1" x14ac:dyDescent="0.3">
      <c r="A140" s="982"/>
      <c r="B140" s="45"/>
      <c r="C140" s="293"/>
      <c r="D140" s="185" t="s">
        <v>732</v>
      </c>
      <c r="E140" s="977"/>
      <c r="F140" s="982"/>
      <c r="G140" s="982"/>
      <c r="H140" s="982"/>
      <c r="I140" s="982"/>
      <c r="J140" s="982"/>
      <c r="K140" s="977"/>
      <c r="L140" s="202">
        <v>367.75</v>
      </c>
      <c r="M140" s="202">
        <v>1917</v>
      </c>
      <c r="N140" s="202">
        <v>952</v>
      </c>
      <c r="O140" s="202">
        <v>1059.7</v>
      </c>
      <c r="P140" s="202">
        <v>1307.2</v>
      </c>
      <c r="Q140" s="291"/>
      <c r="R140" s="291"/>
      <c r="S140" s="291"/>
      <c r="T140" s="291"/>
      <c r="U140" s="291"/>
      <c r="V140" s="291"/>
      <c r="W140" s="291"/>
      <c r="X140" s="291"/>
      <c r="Y140" s="291"/>
      <c r="Z140" s="291"/>
      <c r="AA140" s="291"/>
      <c r="AB140" s="291"/>
      <c r="AC140" s="291"/>
      <c r="AD140" s="291"/>
      <c r="AE140" s="291"/>
      <c r="AF140" s="291"/>
      <c r="AG140" s="291"/>
      <c r="AH140" s="291"/>
      <c r="AI140" s="291"/>
      <c r="AJ140" s="291"/>
      <c r="AK140" s="291"/>
      <c r="AL140" s="291"/>
      <c r="AM140" s="291"/>
      <c r="AN140" s="291"/>
      <c r="AO140" s="291"/>
      <c r="AP140" s="291"/>
      <c r="AQ140" s="291"/>
      <c r="AR140" s="291"/>
      <c r="AS140" s="291"/>
      <c r="AT140" s="291"/>
      <c r="AU140" s="291"/>
      <c r="AV140" s="291"/>
      <c r="AW140" s="291"/>
      <c r="AX140" s="291"/>
      <c r="AY140" s="291"/>
      <c r="AZ140" s="291"/>
      <c r="BA140" s="291"/>
      <c r="BB140" s="291"/>
      <c r="BC140" s="291"/>
      <c r="BD140" s="291"/>
      <c r="BE140" s="291"/>
      <c r="BF140" s="291"/>
      <c r="BG140" s="291"/>
      <c r="BH140" s="291"/>
      <c r="BI140" s="291"/>
      <c r="BJ140" s="291"/>
      <c r="BK140" s="291"/>
      <c r="BL140" s="291"/>
      <c r="BM140" s="291"/>
      <c r="BN140" s="182"/>
    </row>
    <row r="141" spans="1:69" ht="14.25" hidden="1" customHeight="1" x14ac:dyDescent="0.3">
      <c r="A141" s="982"/>
      <c r="B141" s="45"/>
      <c r="C141" s="293"/>
      <c r="D141" s="185" t="s">
        <v>733</v>
      </c>
      <c r="E141" s="977"/>
      <c r="F141" s="982"/>
      <c r="G141" s="982"/>
      <c r="H141" s="982"/>
      <c r="I141" s="982"/>
      <c r="J141" s="982"/>
      <c r="K141" s="977"/>
      <c r="L141" s="202">
        <v>99.875122171069222</v>
      </c>
      <c r="M141" s="202">
        <v>465</v>
      </c>
      <c r="N141" s="202">
        <v>208</v>
      </c>
      <c r="O141" s="202">
        <v>253.1</v>
      </c>
      <c r="P141" s="202">
        <v>370.2</v>
      </c>
      <c r="Q141" s="291"/>
      <c r="R141" s="291"/>
      <c r="S141" s="291"/>
      <c r="T141" s="291"/>
      <c r="U141" s="291"/>
      <c r="V141" s="291"/>
      <c r="W141" s="291"/>
      <c r="X141" s="291"/>
      <c r="Y141" s="291"/>
      <c r="Z141" s="291"/>
      <c r="AA141" s="291"/>
      <c r="AB141" s="291"/>
      <c r="AC141" s="291"/>
      <c r="AD141" s="291"/>
      <c r="AE141" s="291"/>
      <c r="AF141" s="291"/>
      <c r="AG141" s="291"/>
      <c r="AH141" s="291"/>
      <c r="AI141" s="291"/>
      <c r="AJ141" s="291"/>
      <c r="AK141" s="291"/>
      <c r="AL141" s="291"/>
      <c r="AM141" s="291"/>
      <c r="AN141" s="291"/>
      <c r="AO141" s="291"/>
      <c r="AP141" s="291"/>
      <c r="AQ141" s="291"/>
      <c r="AR141" s="291"/>
      <c r="AS141" s="291"/>
      <c r="AT141" s="291"/>
      <c r="AU141" s="291"/>
      <c r="AV141" s="291"/>
      <c r="AW141" s="291"/>
      <c r="AX141" s="291"/>
      <c r="AY141" s="291"/>
      <c r="AZ141" s="291"/>
      <c r="BA141" s="291"/>
      <c r="BB141" s="291"/>
      <c r="BC141" s="291"/>
      <c r="BD141" s="291"/>
      <c r="BE141" s="291"/>
      <c r="BF141" s="291"/>
      <c r="BG141" s="291"/>
      <c r="BH141" s="291"/>
      <c r="BI141" s="291"/>
      <c r="BJ141" s="291"/>
      <c r="BK141" s="291"/>
      <c r="BL141" s="291"/>
      <c r="BM141" s="291"/>
      <c r="BN141" s="182"/>
    </row>
    <row r="142" spans="1:69" ht="14.25" hidden="1" customHeight="1" x14ac:dyDescent="0.3">
      <c r="A142" s="982"/>
      <c r="B142" s="45"/>
      <c r="C142" s="293"/>
      <c r="D142" s="185" t="s">
        <v>734</v>
      </c>
      <c r="E142" s="977"/>
      <c r="F142" s="982"/>
      <c r="G142" s="982"/>
      <c r="H142" s="982"/>
      <c r="I142" s="982"/>
      <c r="J142" s="982"/>
      <c r="K142" s="977"/>
      <c r="L142" s="202"/>
      <c r="M142" s="202"/>
      <c r="N142" s="202"/>
      <c r="O142" s="202"/>
      <c r="P142" s="202"/>
      <c r="Q142" s="291"/>
      <c r="R142" s="291"/>
      <c r="S142" s="291"/>
      <c r="T142" s="291"/>
      <c r="U142" s="291"/>
      <c r="V142" s="291"/>
      <c r="W142" s="291"/>
      <c r="X142" s="291"/>
      <c r="Y142" s="291"/>
      <c r="Z142" s="291"/>
      <c r="AA142" s="291"/>
      <c r="AB142" s="291"/>
      <c r="AC142" s="291"/>
      <c r="AD142" s="291"/>
      <c r="AE142" s="291"/>
      <c r="AF142" s="291"/>
      <c r="AG142" s="291"/>
      <c r="AH142" s="291"/>
      <c r="AI142" s="291"/>
      <c r="AJ142" s="291"/>
      <c r="AK142" s="291"/>
      <c r="AL142" s="291"/>
      <c r="AM142" s="291"/>
      <c r="AN142" s="291"/>
      <c r="AO142" s="291"/>
      <c r="AP142" s="291"/>
      <c r="AQ142" s="291"/>
      <c r="AR142" s="291"/>
      <c r="AS142" s="291"/>
      <c r="AT142" s="291"/>
      <c r="AU142" s="291"/>
      <c r="AV142" s="291"/>
      <c r="AW142" s="291"/>
      <c r="AX142" s="291"/>
      <c r="AY142" s="291"/>
      <c r="AZ142" s="291"/>
      <c r="BA142" s="291"/>
      <c r="BB142" s="291"/>
      <c r="BC142" s="291"/>
      <c r="BD142" s="291"/>
      <c r="BE142" s="291"/>
      <c r="BF142" s="291"/>
      <c r="BG142" s="291"/>
      <c r="BH142" s="291"/>
      <c r="BI142" s="291"/>
      <c r="BJ142" s="291"/>
      <c r="BK142" s="291"/>
      <c r="BL142" s="291"/>
      <c r="BM142" s="291"/>
      <c r="BN142" s="182"/>
    </row>
    <row r="143" spans="1:69" ht="14.25" hidden="1" customHeight="1" x14ac:dyDescent="0.3">
      <c r="A143" s="982"/>
      <c r="B143" s="45"/>
      <c r="C143" s="293"/>
      <c r="D143" s="185" t="s">
        <v>735</v>
      </c>
      <c r="E143" s="977"/>
      <c r="F143" s="982"/>
      <c r="G143" s="982"/>
      <c r="H143" s="982"/>
      <c r="I143" s="982"/>
      <c r="J143" s="982"/>
      <c r="K143" s="977"/>
      <c r="L143" s="202">
        <v>68.627134056018619</v>
      </c>
      <c r="M143" s="202">
        <v>80.434262953422717</v>
      </c>
      <c r="N143" s="202">
        <v>167.76394433630099</v>
      </c>
      <c r="O143" s="202">
        <v>78.327788098341117</v>
      </c>
      <c r="P143" s="202">
        <v>105.4</v>
      </c>
      <c r="Q143" s="291"/>
      <c r="R143" s="291"/>
      <c r="S143" s="291"/>
      <c r="T143" s="291"/>
      <c r="U143" s="291"/>
      <c r="V143" s="291"/>
      <c r="W143" s="291"/>
      <c r="X143" s="291"/>
      <c r="Y143" s="291"/>
      <c r="Z143" s="291"/>
      <c r="AA143" s="291"/>
      <c r="AB143" s="291"/>
      <c r="AC143" s="291"/>
      <c r="AD143" s="291"/>
      <c r="AE143" s="291"/>
      <c r="AF143" s="291"/>
      <c r="AG143" s="291"/>
      <c r="AH143" s="291"/>
      <c r="AI143" s="291"/>
      <c r="AJ143" s="291"/>
      <c r="AK143" s="291"/>
      <c r="AL143" s="291"/>
      <c r="AM143" s="291"/>
      <c r="AN143" s="291"/>
      <c r="AO143" s="291"/>
      <c r="AP143" s="291"/>
      <c r="AQ143" s="291"/>
      <c r="AR143" s="291"/>
      <c r="AS143" s="291"/>
      <c r="AT143" s="291"/>
      <c r="AU143" s="291"/>
      <c r="AV143" s="291"/>
      <c r="AW143" s="291"/>
      <c r="AX143" s="291"/>
      <c r="AY143" s="291"/>
      <c r="AZ143" s="291"/>
      <c r="BA143" s="291"/>
      <c r="BB143" s="291"/>
      <c r="BC143" s="291"/>
      <c r="BD143" s="291"/>
      <c r="BE143" s="291"/>
      <c r="BF143" s="291"/>
      <c r="BG143" s="291"/>
      <c r="BH143" s="291"/>
      <c r="BI143" s="291"/>
      <c r="BJ143" s="291"/>
      <c r="BK143" s="291"/>
      <c r="BL143" s="291"/>
      <c r="BM143" s="291"/>
      <c r="BN143" s="182"/>
    </row>
    <row r="144" spans="1:69" ht="14.25" hidden="1" customHeight="1" x14ac:dyDescent="0.3">
      <c r="A144" s="982"/>
      <c r="B144" s="45"/>
      <c r="C144" s="293"/>
      <c r="D144" s="185" t="s">
        <v>736</v>
      </c>
      <c r="E144" s="977"/>
      <c r="F144" s="982"/>
      <c r="G144" s="982"/>
      <c r="H144" s="982"/>
      <c r="I144" s="982"/>
      <c r="J144" s="982"/>
      <c r="K144" s="977"/>
      <c r="L144" s="202"/>
      <c r="M144" s="202"/>
      <c r="N144" s="202"/>
      <c r="O144" s="202"/>
      <c r="P144" s="202"/>
      <c r="Q144" s="291"/>
      <c r="R144" s="291"/>
      <c r="S144" s="291"/>
      <c r="T144" s="291"/>
      <c r="U144" s="291"/>
      <c r="V144" s="291"/>
      <c r="W144" s="291"/>
      <c r="X144" s="291"/>
      <c r="Y144" s="291"/>
      <c r="Z144" s="291"/>
      <c r="AA144" s="291"/>
      <c r="AB144" s="291"/>
      <c r="AC144" s="291"/>
      <c r="AD144" s="291"/>
      <c r="AE144" s="291"/>
      <c r="AF144" s="291"/>
      <c r="AG144" s="291"/>
      <c r="AH144" s="291"/>
      <c r="AI144" s="291"/>
      <c r="AJ144" s="291"/>
      <c r="AK144" s="291"/>
      <c r="AL144" s="291"/>
      <c r="AM144" s="291"/>
      <c r="AN144" s="291"/>
      <c r="AO144" s="291"/>
      <c r="AP144" s="291"/>
      <c r="AQ144" s="291"/>
      <c r="AR144" s="291"/>
      <c r="AS144" s="291"/>
      <c r="AT144" s="291"/>
      <c r="AU144" s="291"/>
      <c r="AV144" s="291"/>
      <c r="AW144" s="291"/>
      <c r="AX144" s="291"/>
      <c r="AY144" s="291"/>
      <c r="AZ144" s="291"/>
      <c r="BA144" s="291"/>
      <c r="BB144" s="291"/>
      <c r="BC144" s="291"/>
      <c r="BD144" s="291"/>
      <c r="BE144" s="291"/>
      <c r="BF144" s="291"/>
      <c r="BG144" s="291"/>
      <c r="BH144" s="291"/>
      <c r="BI144" s="291"/>
      <c r="BJ144" s="291"/>
      <c r="BK144" s="291"/>
      <c r="BL144" s="291"/>
      <c r="BM144" s="291"/>
      <c r="BN144" s="182"/>
    </row>
    <row r="145" spans="1:66" ht="14.25" hidden="1" customHeight="1" x14ac:dyDescent="0.3">
      <c r="A145" s="982"/>
      <c r="B145" s="45"/>
      <c r="C145" s="293"/>
      <c r="D145" s="185" t="s">
        <v>737</v>
      </c>
      <c r="E145" s="977"/>
      <c r="F145" s="982"/>
      <c r="G145" s="982"/>
      <c r="H145" s="982"/>
      <c r="I145" s="982"/>
      <c r="J145" s="982"/>
      <c r="K145" s="977"/>
      <c r="L145" s="202"/>
      <c r="M145" s="202"/>
      <c r="N145" s="202"/>
      <c r="O145" s="202"/>
      <c r="P145" s="202"/>
      <c r="Q145" s="291"/>
      <c r="R145" s="291"/>
      <c r="S145" s="291"/>
      <c r="T145" s="291"/>
      <c r="U145" s="291"/>
      <c r="V145" s="291"/>
      <c r="W145" s="291"/>
      <c r="X145" s="291"/>
      <c r="Y145" s="291"/>
      <c r="Z145" s="291"/>
      <c r="AA145" s="291"/>
      <c r="AB145" s="291"/>
      <c r="AC145" s="291"/>
      <c r="AD145" s="291"/>
      <c r="AE145" s="291"/>
      <c r="AF145" s="291"/>
      <c r="AG145" s="291"/>
      <c r="AH145" s="291"/>
      <c r="AI145" s="291"/>
      <c r="AJ145" s="291"/>
      <c r="AK145" s="291"/>
      <c r="AL145" s="291"/>
      <c r="AM145" s="291"/>
      <c r="AN145" s="291"/>
      <c r="AO145" s="291"/>
      <c r="AP145" s="291"/>
      <c r="AQ145" s="291"/>
      <c r="AR145" s="291"/>
      <c r="AS145" s="291"/>
      <c r="AT145" s="291"/>
      <c r="AU145" s="291"/>
      <c r="AV145" s="291"/>
      <c r="AW145" s="291"/>
      <c r="AX145" s="291"/>
      <c r="AY145" s="291"/>
      <c r="AZ145" s="291"/>
      <c r="BA145" s="291"/>
      <c r="BB145" s="291"/>
      <c r="BC145" s="291"/>
      <c r="BD145" s="291"/>
      <c r="BE145" s="291"/>
      <c r="BF145" s="291"/>
      <c r="BG145" s="291"/>
      <c r="BH145" s="291"/>
      <c r="BI145" s="291"/>
      <c r="BJ145" s="291"/>
      <c r="BK145" s="291"/>
      <c r="BL145" s="291"/>
      <c r="BM145" s="291"/>
      <c r="BN145" s="182"/>
    </row>
    <row r="146" spans="1:66" ht="14.25" hidden="1" customHeight="1" x14ac:dyDescent="0.3">
      <c r="A146" s="982"/>
      <c r="B146" s="45"/>
      <c r="C146" s="293"/>
      <c r="D146" s="185" t="s">
        <v>738</v>
      </c>
      <c r="E146" s="977"/>
      <c r="F146" s="982"/>
      <c r="G146" s="982"/>
      <c r="H146" s="982"/>
      <c r="I146" s="982"/>
      <c r="J146" s="982"/>
      <c r="K146" s="977"/>
      <c r="L146" s="202">
        <v>20.09750798536972</v>
      </c>
      <c r="M146" s="202">
        <v>48</v>
      </c>
      <c r="N146" s="202">
        <v>256</v>
      </c>
      <c r="O146" s="202">
        <v>133</v>
      </c>
      <c r="P146" s="202">
        <v>176.2</v>
      </c>
      <c r="Q146" s="291"/>
      <c r="R146" s="291"/>
      <c r="S146" s="291"/>
      <c r="T146" s="291"/>
      <c r="U146" s="291"/>
      <c r="V146" s="291"/>
      <c r="W146" s="291"/>
      <c r="X146" s="291"/>
      <c r="Y146" s="291"/>
      <c r="Z146" s="291"/>
      <c r="AA146" s="291"/>
      <c r="AB146" s="291"/>
      <c r="AC146" s="291"/>
      <c r="AD146" s="291"/>
      <c r="AE146" s="291"/>
      <c r="AF146" s="291"/>
      <c r="AG146" s="291"/>
      <c r="AH146" s="291"/>
      <c r="AI146" s="291"/>
      <c r="AJ146" s="291"/>
      <c r="AK146" s="291"/>
      <c r="AL146" s="291"/>
      <c r="AM146" s="291"/>
      <c r="AN146" s="291"/>
      <c r="AO146" s="291"/>
      <c r="AP146" s="291"/>
      <c r="AQ146" s="291"/>
      <c r="AR146" s="291"/>
      <c r="AS146" s="291"/>
      <c r="AT146" s="291"/>
      <c r="AU146" s="291"/>
      <c r="AV146" s="291"/>
      <c r="AW146" s="291"/>
      <c r="AX146" s="291"/>
      <c r="AY146" s="291"/>
      <c r="AZ146" s="291"/>
      <c r="BA146" s="291"/>
      <c r="BB146" s="291"/>
      <c r="BC146" s="291"/>
      <c r="BD146" s="291"/>
      <c r="BE146" s="291"/>
      <c r="BF146" s="291"/>
      <c r="BG146" s="291"/>
      <c r="BH146" s="291"/>
      <c r="BI146" s="291"/>
      <c r="BJ146" s="291"/>
      <c r="BK146" s="291"/>
      <c r="BL146" s="291"/>
      <c r="BM146" s="291"/>
      <c r="BN146" s="182"/>
    </row>
    <row r="147" spans="1:66" ht="14.25" hidden="1" customHeight="1" x14ac:dyDescent="0.3">
      <c r="A147" s="982"/>
      <c r="B147" s="45"/>
      <c r="C147" s="293"/>
      <c r="D147" s="185" t="s">
        <v>739</v>
      </c>
      <c r="E147" s="977"/>
      <c r="F147" s="982"/>
      <c r="G147" s="982"/>
      <c r="H147" s="982"/>
      <c r="I147" s="982"/>
      <c r="J147" s="982"/>
      <c r="K147" s="977"/>
      <c r="L147" s="202">
        <v>90.405855522398184</v>
      </c>
      <c r="M147" s="202">
        <v>93.386420898618837</v>
      </c>
      <c r="N147" s="202">
        <v>76.322910346871438</v>
      </c>
      <c r="O147" s="202">
        <v>72.797264579802444</v>
      </c>
      <c r="P147" s="202">
        <v>73.599999999999994</v>
      </c>
      <c r="Q147" s="291"/>
      <c r="R147" s="291"/>
      <c r="S147" s="291"/>
      <c r="T147" s="291"/>
      <c r="U147" s="291"/>
      <c r="V147" s="291"/>
      <c r="W147" s="291"/>
      <c r="X147" s="291"/>
      <c r="Y147" s="291"/>
      <c r="Z147" s="291"/>
      <c r="AA147" s="291"/>
      <c r="AB147" s="291"/>
      <c r="AC147" s="291"/>
      <c r="AD147" s="291"/>
      <c r="AE147" s="291"/>
      <c r="AF147" s="291"/>
      <c r="AG147" s="291"/>
      <c r="AH147" s="291"/>
      <c r="AI147" s="291"/>
      <c r="AJ147" s="291"/>
      <c r="AK147" s="291"/>
      <c r="AL147" s="291"/>
      <c r="AM147" s="291"/>
      <c r="AN147" s="291"/>
      <c r="AO147" s="291"/>
      <c r="AP147" s="291"/>
      <c r="AQ147" s="291"/>
      <c r="AR147" s="291"/>
      <c r="AS147" s="291"/>
      <c r="AT147" s="291"/>
      <c r="AU147" s="291"/>
      <c r="AV147" s="291"/>
      <c r="AW147" s="291"/>
      <c r="AX147" s="291"/>
      <c r="AY147" s="291"/>
      <c r="AZ147" s="291"/>
      <c r="BA147" s="291"/>
      <c r="BB147" s="291"/>
      <c r="BC147" s="291"/>
      <c r="BD147" s="291"/>
      <c r="BE147" s="291"/>
      <c r="BF147" s="291"/>
      <c r="BG147" s="291"/>
      <c r="BH147" s="291"/>
      <c r="BI147" s="291"/>
      <c r="BJ147" s="291"/>
      <c r="BK147" s="291"/>
      <c r="BL147" s="291"/>
      <c r="BM147" s="291"/>
      <c r="BN147" s="182"/>
    </row>
    <row r="148" spans="1:66" ht="14.25" hidden="1" customHeight="1" x14ac:dyDescent="0.3">
      <c r="A148" s="982"/>
      <c r="B148" s="45"/>
      <c r="C148" s="293"/>
      <c r="D148" s="185" t="s">
        <v>727</v>
      </c>
      <c r="E148" s="977"/>
      <c r="F148" s="982"/>
      <c r="G148" s="982"/>
      <c r="H148" s="982"/>
      <c r="I148" s="982"/>
      <c r="J148" s="982"/>
      <c r="K148" s="977"/>
      <c r="L148" s="202">
        <v>192.40992614660448</v>
      </c>
      <c r="M148" s="202">
        <v>181.41904812679448</v>
      </c>
      <c r="N148" s="202">
        <v>161</v>
      </c>
      <c r="O148" s="202">
        <v>206.9</v>
      </c>
      <c r="P148" s="202">
        <v>260.8</v>
      </c>
      <c r="Q148" s="291"/>
      <c r="R148" s="291"/>
      <c r="S148" s="291"/>
      <c r="T148" s="291"/>
      <c r="U148" s="291"/>
      <c r="V148" s="291"/>
      <c r="W148" s="291"/>
      <c r="X148" s="291"/>
      <c r="Y148" s="291"/>
      <c r="Z148" s="291"/>
      <c r="AA148" s="291"/>
      <c r="AB148" s="291"/>
      <c r="AC148" s="291"/>
      <c r="AD148" s="291"/>
      <c r="AE148" s="291"/>
      <c r="AF148" s="291"/>
      <c r="AG148" s="291"/>
      <c r="AH148" s="291"/>
      <c r="AI148" s="291"/>
      <c r="AJ148" s="291"/>
      <c r="AK148" s="291"/>
      <c r="AL148" s="291"/>
      <c r="AM148" s="291"/>
      <c r="AN148" s="291"/>
      <c r="AO148" s="291"/>
      <c r="AP148" s="291"/>
      <c r="AQ148" s="291"/>
      <c r="AR148" s="291"/>
      <c r="AS148" s="291"/>
      <c r="AT148" s="291"/>
      <c r="AU148" s="291"/>
      <c r="AV148" s="291"/>
      <c r="AW148" s="291"/>
      <c r="AX148" s="291"/>
      <c r="AY148" s="291"/>
      <c r="AZ148" s="291"/>
      <c r="BA148" s="291"/>
      <c r="BB148" s="291"/>
      <c r="BC148" s="291"/>
      <c r="BD148" s="291"/>
      <c r="BE148" s="291"/>
      <c r="BF148" s="291"/>
      <c r="BG148" s="291"/>
      <c r="BH148" s="291"/>
      <c r="BI148" s="291"/>
      <c r="BJ148" s="291"/>
      <c r="BK148" s="291"/>
      <c r="BL148" s="291"/>
      <c r="BM148" s="291"/>
      <c r="BN148" s="182"/>
    </row>
    <row r="149" spans="1:66" ht="14.25" hidden="1" customHeight="1" x14ac:dyDescent="0.3">
      <c r="A149" s="982"/>
      <c r="B149" s="45"/>
      <c r="C149" s="293"/>
      <c r="D149" s="185" t="s">
        <v>740</v>
      </c>
      <c r="E149" s="977"/>
      <c r="F149" s="982"/>
      <c r="G149" s="982"/>
      <c r="H149" s="982"/>
      <c r="I149" s="982"/>
      <c r="J149" s="982"/>
      <c r="K149" s="977"/>
      <c r="L149" s="202"/>
      <c r="M149" s="202">
        <v>119.44965175517352</v>
      </c>
      <c r="N149" s="202">
        <v>111.43472310106029</v>
      </c>
      <c r="O149" s="202">
        <v>27.50372910782248</v>
      </c>
      <c r="P149" s="202">
        <v>5.3</v>
      </c>
      <c r="Q149" s="291"/>
      <c r="R149" s="291"/>
      <c r="S149" s="291"/>
      <c r="T149" s="291"/>
      <c r="U149" s="291"/>
      <c r="V149" s="291"/>
      <c r="W149" s="291"/>
      <c r="X149" s="291"/>
      <c r="Y149" s="291"/>
      <c r="Z149" s="291"/>
      <c r="AA149" s="291"/>
      <c r="AB149" s="291"/>
      <c r="AC149" s="291"/>
      <c r="AD149" s="291"/>
      <c r="AE149" s="291"/>
      <c r="AF149" s="291"/>
      <c r="AG149" s="291"/>
      <c r="AH149" s="291"/>
      <c r="AI149" s="291"/>
      <c r="AJ149" s="291"/>
      <c r="AK149" s="291"/>
      <c r="AL149" s="291"/>
      <c r="AM149" s="291"/>
      <c r="AN149" s="291"/>
      <c r="AO149" s="291"/>
      <c r="AP149" s="291"/>
      <c r="AQ149" s="291"/>
      <c r="AR149" s="291"/>
      <c r="AS149" s="291"/>
      <c r="AT149" s="291"/>
      <c r="AU149" s="291"/>
      <c r="AV149" s="291"/>
      <c r="AW149" s="291"/>
      <c r="AX149" s="291"/>
      <c r="AY149" s="291"/>
      <c r="AZ149" s="291"/>
      <c r="BA149" s="291"/>
      <c r="BB149" s="291"/>
      <c r="BC149" s="291"/>
      <c r="BD149" s="291"/>
      <c r="BE149" s="291"/>
      <c r="BF149" s="291"/>
      <c r="BG149" s="291"/>
      <c r="BH149" s="291"/>
      <c r="BI149" s="291"/>
      <c r="BJ149" s="291"/>
      <c r="BK149" s="291"/>
      <c r="BL149" s="291"/>
      <c r="BM149" s="291"/>
      <c r="BN149" s="182"/>
    </row>
    <row r="150" spans="1:66" ht="14.25" hidden="1" customHeight="1" x14ac:dyDescent="0.3">
      <c r="A150" s="982"/>
      <c r="B150" s="45"/>
      <c r="C150" s="293"/>
      <c r="D150" s="185" t="s">
        <v>741</v>
      </c>
      <c r="E150" s="977"/>
      <c r="F150" s="982"/>
      <c r="G150" s="982"/>
      <c r="H150" s="982"/>
      <c r="I150" s="982"/>
      <c r="J150" s="982"/>
      <c r="K150" s="977"/>
      <c r="L150" s="202"/>
      <c r="M150" s="202"/>
      <c r="N150" s="202"/>
      <c r="O150" s="202"/>
      <c r="P150" s="202"/>
      <c r="Q150" s="291"/>
      <c r="R150" s="291"/>
      <c r="S150" s="291"/>
      <c r="T150" s="291"/>
      <c r="U150" s="291"/>
      <c r="V150" s="291"/>
      <c r="W150" s="291"/>
      <c r="X150" s="291"/>
      <c r="Y150" s="291"/>
      <c r="Z150" s="291"/>
      <c r="AA150" s="291"/>
      <c r="AB150" s="291"/>
      <c r="AC150" s="291"/>
      <c r="AD150" s="291"/>
      <c r="AE150" s="291"/>
      <c r="AF150" s="291"/>
      <c r="AG150" s="291"/>
      <c r="AH150" s="291"/>
      <c r="AI150" s="291"/>
      <c r="AJ150" s="291"/>
      <c r="AK150" s="291"/>
      <c r="AL150" s="291"/>
      <c r="AM150" s="291"/>
      <c r="AN150" s="291"/>
      <c r="AO150" s="291"/>
      <c r="AP150" s="291"/>
      <c r="AQ150" s="291"/>
      <c r="AR150" s="291"/>
      <c r="AS150" s="291"/>
      <c r="AT150" s="291"/>
      <c r="AU150" s="291"/>
      <c r="AV150" s="291"/>
      <c r="AW150" s="291"/>
      <c r="AX150" s="291"/>
      <c r="AY150" s="291"/>
      <c r="AZ150" s="291"/>
      <c r="BA150" s="291"/>
      <c r="BB150" s="291"/>
      <c r="BC150" s="291"/>
      <c r="BD150" s="291"/>
      <c r="BE150" s="291"/>
      <c r="BF150" s="291"/>
      <c r="BG150" s="291"/>
      <c r="BH150" s="291"/>
      <c r="BI150" s="291"/>
      <c r="BJ150" s="291"/>
      <c r="BK150" s="291"/>
      <c r="BL150" s="291"/>
      <c r="BM150" s="291"/>
      <c r="BN150" s="182"/>
    </row>
    <row r="151" spans="1:66" ht="14.25" hidden="1" customHeight="1" x14ac:dyDescent="0.3">
      <c r="A151" s="982"/>
      <c r="B151" s="45"/>
      <c r="C151" s="293"/>
      <c r="D151" s="185" t="s">
        <v>742</v>
      </c>
      <c r="E151" s="977"/>
      <c r="F151" s="982"/>
      <c r="G151" s="982"/>
      <c r="H151" s="982"/>
      <c r="I151" s="982"/>
      <c r="J151" s="982"/>
      <c r="K151" s="977"/>
      <c r="L151" s="202">
        <v>53.613558320820026</v>
      </c>
      <c r="M151" s="202">
        <v>87</v>
      </c>
      <c r="N151" s="202">
        <v>124</v>
      </c>
      <c r="O151" s="202">
        <v>65.7</v>
      </c>
      <c r="P151" s="202">
        <v>114.9</v>
      </c>
      <c r="Q151" s="291"/>
      <c r="R151" s="291"/>
      <c r="S151" s="291"/>
      <c r="T151" s="291"/>
      <c r="U151" s="291"/>
      <c r="V151" s="291"/>
      <c r="W151" s="291"/>
      <c r="X151" s="291"/>
      <c r="Y151" s="291"/>
      <c r="Z151" s="291"/>
      <c r="AA151" s="291"/>
      <c r="AB151" s="291"/>
      <c r="AC151" s="291"/>
      <c r="AD151" s="291"/>
      <c r="AE151" s="291"/>
      <c r="AF151" s="291"/>
      <c r="AG151" s="291"/>
      <c r="AH151" s="291"/>
      <c r="AI151" s="291"/>
      <c r="AJ151" s="291"/>
      <c r="AK151" s="291"/>
      <c r="AL151" s="291"/>
      <c r="AM151" s="291"/>
      <c r="AN151" s="291"/>
      <c r="AO151" s="291"/>
      <c r="AP151" s="291"/>
      <c r="AQ151" s="291"/>
      <c r="AR151" s="291"/>
      <c r="AS151" s="291"/>
      <c r="AT151" s="291"/>
      <c r="AU151" s="291"/>
      <c r="AV151" s="291"/>
      <c r="AW151" s="291"/>
      <c r="AX151" s="291"/>
      <c r="AY151" s="291"/>
      <c r="AZ151" s="291"/>
      <c r="BA151" s="291"/>
      <c r="BB151" s="291"/>
      <c r="BC151" s="291"/>
      <c r="BD151" s="291"/>
      <c r="BE151" s="291"/>
      <c r="BF151" s="291"/>
      <c r="BG151" s="291"/>
      <c r="BH151" s="291"/>
      <c r="BI151" s="291"/>
      <c r="BJ151" s="291"/>
      <c r="BK151" s="291"/>
      <c r="BL151" s="291"/>
      <c r="BM151" s="291"/>
      <c r="BN151" s="182"/>
    </row>
    <row r="152" spans="1:66" ht="14.25" hidden="1" customHeight="1" x14ac:dyDescent="0.3">
      <c r="A152" s="982"/>
      <c r="B152" s="45"/>
      <c r="C152" s="293"/>
      <c r="D152" s="185" t="s">
        <v>743</v>
      </c>
      <c r="E152" s="977"/>
      <c r="F152" s="982"/>
      <c r="G152" s="982"/>
      <c r="H152" s="982"/>
      <c r="I152" s="982"/>
      <c r="J152" s="982"/>
      <c r="K152" s="977"/>
      <c r="L152" s="202">
        <v>148.36678753519294</v>
      </c>
      <c r="M152" s="202">
        <v>92</v>
      </c>
      <c r="N152" s="202">
        <v>1612</v>
      </c>
      <c r="O152" s="202">
        <v>191.2</v>
      </c>
      <c r="P152" s="202">
        <v>352</v>
      </c>
      <c r="Q152" s="291"/>
      <c r="R152" s="291"/>
      <c r="S152" s="291"/>
      <c r="T152" s="291"/>
      <c r="U152" s="291"/>
      <c r="V152" s="291"/>
      <c r="W152" s="291"/>
      <c r="X152" s="291"/>
      <c r="Y152" s="291"/>
      <c r="Z152" s="291"/>
      <c r="AA152" s="291"/>
      <c r="AB152" s="291"/>
      <c r="AC152" s="291"/>
      <c r="AD152" s="291"/>
      <c r="AE152" s="291"/>
      <c r="AF152" s="291"/>
      <c r="AG152" s="291"/>
      <c r="AH152" s="291"/>
      <c r="AI152" s="291"/>
      <c r="AJ152" s="291"/>
      <c r="AK152" s="291"/>
      <c r="AL152" s="291"/>
      <c r="AM152" s="291"/>
      <c r="AN152" s="291"/>
      <c r="AO152" s="291"/>
      <c r="AP152" s="291"/>
      <c r="AQ152" s="291"/>
      <c r="AR152" s="291"/>
      <c r="AS152" s="291"/>
      <c r="AT152" s="291"/>
      <c r="AU152" s="291"/>
      <c r="AV152" s="291"/>
      <c r="AW152" s="291"/>
      <c r="AX152" s="291"/>
      <c r="AY152" s="291"/>
      <c r="AZ152" s="291"/>
      <c r="BA152" s="291"/>
      <c r="BB152" s="291"/>
      <c r="BC152" s="291"/>
      <c r="BD152" s="291"/>
      <c r="BE152" s="291"/>
      <c r="BF152" s="291"/>
      <c r="BG152" s="291"/>
      <c r="BH152" s="291"/>
      <c r="BI152" s="291"/>
      <c r="BJ152" s="291"/>
      <c r="BK152" s="291"/>
      <c r="BL152" s="291"/>
      <c r="BM152" s="291"/>
      <c r="BN152" s="182"/>
    </row>
    <row r="153" spans="1:66" ht="13.5" hidden="1" customHeight="1" x14ac:dyDescent="0.3">
      <c r="A153" s="982"/>
      <c r="B153" s="45"/>
      <c r="C153" s="293"/>
      <c r="D153" s="185" t="s">
        <v>744</v>
      </c>
      <c r="E153" s="977"/>
      <c r="F153" s="982"/>
      <c r="G153" s="982"/>
      <c r="H153" s="982"/>
      <c r="I153" s="982"/>
      <c r="J153" s="982"/>
      <c r="K153" s="977"/>
      <c r="L153" s="202">
        <v>73.171611650189448</v>
      </c>
      <c r="M153" s="202"/>
      <c r="N153" s="202">
        <v>146.3884184978146</v>
      </c>
      <c r="O153" s="202">
        <v>60.71005413654887</v>
      </c>
      <c r="P153" s="202">
        <v>47.6</v>
      </c>
      <c r="Q153" s="291"/>
      <c r="R153" s="291"/>
      <c r="S153" s="291"/>
      <c r="T153" s="291"/>
      <c r="U153" s="291"/>
      <c r="V153" s="291"/>
      <c r="W153" s="291"/>
      <c r="X153" s="291"/>
      <c r="Y153" s="291"/>
      <c r="Z153" s="291"/>
      <c r="AA153" s="291"/>
      <c r="AB153" s="291"/>
      <c r="AC153" s="291"/>
      <c r="AD153" s="291"/>
      <c r="AE153" s="291"/>
      <c r="AF153" s="291"/>
      <c r="AG153" s="291"/>
      <c r="AH153" s="291"/>
      <c r="AI153" s="291"/>
      <c r="AJ153" s="291"/>
      <c r="AK153" s="291"/>
      <c r="AL153" s="291"/>
      <c r="AM153" s="291"/>
      <c r="AN153" s="291"/>
      <c r="AO153" s="291"/>
      <c r="AP153" s="291"/>
      <c r="AQ153" s="291"/>
      <c r="AR153" s="291"/>
      <c r="AS153" s="291"/>
      <c r="AT153" s="291"/>
      <c r="AU153" s="291"/>
      <c r="AV153" s="291"/>
      <c r="AW153" s="291"/>
      <c r="AX153" s="291"/>
      <c r="AY153" s="291"/>
      <c r="AZ153" s="291"/>
      <c r="BA153" s="291"/>
      <c r="BB153" s="291"/>
      <c r="BC153" s="291"/>
      <c r="BD153" s="291"/>
      <c r="BE153" s="291"/>
      <c r="BF153" s="291"/>
      <c r="BG153" s="291"/>
      <c r="BH153" s="291"/>
      <c r="BI153" s="291"/>
      <c r="BJ153" s="291"/>
      <c r="BK153" s="291"/>
      <c r="BL153" s="291"/>
      <c r="BM153" s="291"/>
      <c r="BN153" s="182"/>
    </row>
    <row r="154" spans="1:66" ht="13.5" hidden="1" customHeight="1" x14ac:dyDescent="0.3">
      <c r="A154" s="982"/>
      <c r="B154" s="45"/>
      <c r="C154" s="293"/>
      <c r="D154" s="185" t="s">
        <v>745</v>
      </c>
      <c r="E154" s="977"/>
      <c r="F154" s="977"/>
      <c r="G154" s="977"/>
      <c r="H154" s="977"/>
      <c r="I154" s="977"/>
      <c r="J154" s="977"/>
      <c r="K154" s="977"/>
      <c r="L154" s="202"/>
      <c r="M154" s="202"/>
      <c r="N154" s="202"/>
      <c r="O154" s="202"/>
      <c r="P154" s="202"/>
      <c r="Q154" s="291"/>
      <c r="R154" s="291"/>
      <c r="S154" s="291"/>
      <c r="T154" s="291"/>
      <c r="U154" s="291"/>
      <c r="V154" s="291"/>
      <c r="W154" s="291"/>
      <c r="X154" s="291"/>
      <c r="Y154" s="291"/>
      <c r="Z154" s="291"/>
      <c r="AA154" s="291"/>
      <c r="AB154" s="291"/>
      <c r="AC154" s="291"/>
      <c r="AD154" s="291"/>
      <c r="AE154" s="291"/>
      <c r="AF154" s="291"/>
      <c r="AG154" s="291"/>
      <c r="AH154" s="291"/>
      <c r="AI154" s="291"/>
      <c r="AJ154" s="291"/>
      <c r="AK154" s="291"/>
      <c r="AL154" s="291"/>
      <c r="AM154" s="291"/>
      <c r="AN154" s="291"/>
      <c r="AO154" s="291"/>
      <c r="AP154" s="291"/>
      <c r="AQ154" s="291"/>
      <c r="AR154" s="291"/>
      <c r="AS154" s="291"/>
      <c r="AT154" s="291"/>
      <c r="AU154" s="291"/>
      <c r="AV154" s="291"/>
      <c r="AW154" s="291"/>
      <c r="AX154" s="291"/>
      <c r="AY154" s="291"/>
      <c r="AZ154" s="291"/>
      <c r="BA154" s="291"/>
      <c r="BB154" s="291"/>
      <c r="BC154" s="291"/>
      <c r="BD154" s="291"/>
      <c r="BE154" s="291"/>
      <c r="BF154" s="291"/>
      <c r="BG154" s="291"/>
      <c r="BH154" s="291"/>
      <c r="BI154" s="291"/>
      <c r="BJ154" s="291"/>
      <c r="BK154" s="291"/>
      <c r="BL154" s="291"/>
      <c r="BM154" s="291"/>
      <c r="BN154" s="182"/>
    </row>
    <row r="155" spans="1:66" ht="13.5" hidden="1" customHeight="1" x14ac:dyDescent="0.3">
      <c r="A155" s="960"/>
      <c r="B155" s="45"/>
      <c r="C155" s="293"/>
      <c r="D155" s="185" t="s">
        <v>720</v>
      </c>
      <c r="E155" s="181">
        <f t="shared" ref="E155:AS155" si="95">SUM(E138:E154)</f>
        <v>0</v>
      </c>
      <c r="F155" s="181">
        <f t="shared" si="95"/>
        <v>0</v>
      </c>
      <c r="G155" s="181">
        <f t="shared" si="95"/>
        <v>0</v>
      </c>
      <c r="H155" s="181">
        <f t="shared" si="95"/>
        <v>0</v>
      </c>
      <c r="I155" s="181">
        <f t="shared" si="95"/>
        <v>0</v>
      </c>
      <c r="J155" s="181">
        <f t="shared" si="95"/>
        <v>0</v>
      </c>
      <c r="K155" s="181">
        <f t="shared" si="95"/>
        <v>0</v>
      </c>
      <c r="L155" s="202">
        <f t="shared" si="95"/>
        <v>1183.2040496376626</v>
      </c>
      <c r="M155" s="202">
        <f t="shared" si="95"/>
        <v>3476.6893837340094</v>
      </c>
      <c r="N155" s="202">
        <f t="shared" si="95"/>
        <v>4109.9099962820474</v>
      </c>
      <c r="O155" s="202">
        <f t="shared" si="95"/>
        <v>2158.938835922515</v>
      </c>
      <c r="P155" s="202">
        <f t="shared" si="95"/>
        <v>2948.3</v>
      </c>
      <c r="Q155" s="291">
        <f t="shared" si="95"/>
        <v>0</v>
      </c>
      <c r="R155" s="291">
        <f t="shared" si="95"/>
        <v>0</v>
      </c>
      <c r="S155" s="291">
        <f t="shared" si="95"/>
        <v>0</v>
      </c>
      <c r="T155" s="291">
        <f t="shared" si="95"/>
        <v>0</v>
      </c>
      <c r="U155" s="291">
        <f t="shared" si="95"/>
        <v>0</v>
      </c>
      <c r="V155" s="291">
        <f t="shared" si="95"/>
        <v>0</v>
      </c>
      <c r="W155" s="291">
        <f t="shared" si="95"/>
        <v>0</v>
      </c>
      <c r="X155" s="291">
        <f t="shared" si="95"/>
        <v>0</v>
      </c>
      <c r="Y155" s="291">
        <f t="shared" si="95"/>
        <v>0</v>
      </c>
      <c r="Z155" s="291">
        <f t="shared" si="95"/>
        <v>0</v>
      </c>
      <c r="AA155" s="291">
        <f t="shared" si="95"/>
        <v>0</v>
      </c>
      <c r="AB155" s="291">
        <f t="shared" si="95"/>
        <v>0</v>
      </c>
      <c r="AC155" s="291">
        <f t="shared" si="95"/>
        <v>0</v>
      </c>
      <c r="AD155" s="291">
        <f t="shared" si="95"/>
        <v>0</v>
      </c>
      <c r="AE155" s="291">
        <f t="shared" si="95"/>
        <v>0</v>
      </c>
      <c r="AF155" s="291">
        <f t="shared" si="95"/>
        <v>0</v>
      </c>
      <c r="AG155" s="291">
        <f t="shared" si="95"/>
        <v>0</v>
      </c>
      <c r="AH155" s="291">
        <f t="shared" si="95"/>
        <v>0</v>
      </c>
      <c r="AI155" s="291">
        <f t="shared" si="95"/>
        <v>0</v>
      </c>
      <c r="AJ155" s="291">
        <f t="shared" si="95"/>
        <v>0</v>
      </c>
      <c r="AK155" s="291">
        <f t="shared" si="95"/>
        <v>0</v>
      </c>
      <c r="AL155" s="291">
        <f t="shared" si="95"/>
        <v>0</v>
      </c>
      <c r="AM155" s="291">
        <f t="shared" si="95"/>
        <v>0</v>
      </c>
      <c r="AN155" s="291">
        <f t="shared" si="95"/>
        <v>0</v>
      </c>
      <c r="AO155" s="291">
        <f t="shared" si="95"/>
        <v>0</v>
      </c>
      <c r="AP155" s="291">
        <f t="shared" si="95"/>
        <v>0</v>
      </c>
      <c r="AQ155" s="291">
        <f t="shared" si="95"/>
        <v>0</v>
      </c>
      <c r="AR155" s="291">
        <f t="shared" si="95"/>
        <v>0</v>
      </c>
      <c r="AS155" s="291">
        <f t="shared" si="95"/>
        <v>0</v>
      </c>
      <c r="AT155" s="291">
        <f t="shared" ref="AT155:BM155" si="96">SUM(AT138:AT154)</f>
        <v>0</v>
      </c>
      <c r="AU155" s="291">
        <f t="shared" si="96"/>
        <v>0</v>
      </c>
      <c r="AV155" s="291">
        <f t="shared" si="96"/>
        <v>0</v>
      </c>
      <c r="AW155" s="291">
        <f t="shared" si="96"/>
        <v>0</v>
      </c>
      <c r="AX155" s="291">
        <f t="shared" si="96"/>
        <v>0</v>
      </c>
      <c r="AY155" s="291">
        <f t="shared" si="96"/>
        <v>0</v>
      </c>
      <c r="AZ155" s="291">
        <f t="shared" si="96"/>
        <v>0</v>
      </c>
      <c r="BA155" s="291">
        <f t="shared" si="96"/>
        <v>0</v>
      </c>
      <c r="BB155" s="291">
        <f t="shared" si="96"/>
        <v>0</v>
      </c>
      <c r="BC155" s="291">
        <f t="shared" si="96"/>
        <v>0</v>
      </c>
      <c r="BD155" s="291">
        <f t="shared" si="96"/>
        <v>0</v>
      </c>
      <c r="BE155" s="291">
        <f t="shared" si="96"/>
        <v>0</v>
      </c>
      <c r="BF155" s="291">
        <f t="shared" si="96"/>
        <v>0</v>
      </c>
      <c r="BG155" s="291">
        <f t="shared" si="96"/>
        <v>0</v>
      </c>
      <c r="BH155" s="291">
        <f t="shared" si="96"/>
        <v>0</v>
      </c>
      <c r="BI155" s="291">
        <f t="shared" si="96"/>
        <v>0</v>
      </c>
      <c r="BJ155" s="291">
        <f t="shared" si="96"/>
        <v>0</v>
      </c>
      <c r="BK155" s="291">
        <f t="shared" si="96"/>
        <v>0</v>
      </c>
      <c r="BL155" s="291">
        <f t="shared" si="96"/>
        <v>0</v>
      </c>
      <c r="BM155" s="291">
        <f t="shared" si="96"/>
        <v>0</v>
      </c>
      <c r="BN155" s="182"/>
    </row>
    <row r="156" spans="1:66" ht="14.25" hidden="1" customHeight="1" x14ac:dyDescent="0.3">
      <c r="A156" s="960"/>
      <c r="B156" s="45"/>
      <c r="C156" s="293"/>
      <c r="D156" s="198"/>
      <c r="E156" s="199"/>
      <c r="F156" s="199"/>
      <c r="G156" s="199"/>
      <c r="H156" s="199"/>
      <c r="I156" s="199"/>
      <c r="J156" s="199"/>
      <c r="K156" s="199"/>
      <c r="L156" s="199"/>
      <c r="M156" s="199"/>
      <c r="N156" s="199"/>
      <c r="O156" s="199"/>
      <c r="P156" s="199"/>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c r="AR156" s="198"/>
      <c r="AS156" s="198"/>
      <c r="AT156" s="198"/>
      <c r="AU156" s="198"/>
      <c r="AV156" s="198"/>
      <c r="AW156" s="198"/>
      <c r="AX156" s="198"/>
      <c r="AY156" s="198"/>
      <c r="AZ156" s="198"/>
      <c r="BA156" s="198"/>
      <c r="BB156" s="198"/>
      <c r="BC156" s="198"/>
      <c r="BD156" s="198"/>
      <c r="BE156" s="198"/>
      <c r="BF156" s="198"/>
      <c r="BG156" s="198"/>
      <c r="BH156" s="198"/>
      <c r="BI156" s="198"/>
      <c r="BJ156" s="198"/>
      <c r="BK156" s="198"/>
      <c r="BL156" s="198"/>
      <c r="BM156" s="198"/>
      <c r="BN156" s="182"/>
    </row>
    <row r="157" spans="1:66" ht="14.25" hidden="1" customHeight="1" x14ac:dyDescent="0.3">
      <c r="A157" s="960"/>
      <c r="B157" s="45"/>
      <c r="C157" s="293"/>
      <c r="D157" s="179" t="s">
        <v>746</v>
      </c>
      <c r="E157" s="180"/>
      <c r="F157" s="180"/>
      <c r="G157" s="180"/>
      <c r="H157" s="180"/>
      <c r="I157" s="180"/>
      <c r="J157" s="180"/>
      <c r="K157" s="181"/>
      <c r="L157" s="181"/>
      <c r="M157" s="181"/>
      <c r="N157" s="181"/>
      <c r="O157" s="181"/>
      <c r="P157" s="181"/>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2"/>
    </row>
    <row r="158" spans="1:66" ht="14.25" hidden="1" customHeight="1" x14ac:dyDescent="0.3">
      <c r="A158" s="1178" t="s">
        <v>6</v>
      </c>
      <c r="B158" s="45"/>
      <c r="C158" s="293"/>
      <c r="D158" s="185" t="s">
        <v>730</v>
      </c>
      <c r="E158" s="1204" t="s">
        <v>623</v>
      </c>
      <c r="F158" s="977"/>
      <c r="G158" s="977"/>
      <c r="H158" s="977"/>
      <c r="I158" s="977"/>
      <c r="J158" s="977"/>
      <c r="K158" s="977"/>
      <c r="L158" s="202"/>
      <c r="M158" s="202">
        <v>7</v>
      </c>
      <c r="N158" s="202">
        <v>200</v>
      </c>
      <c r="O158" s="202">
        <v>92.6</v>
      </c>
      <c r="P158" s="202">
        <v>258</v>
      </c>
      <c r="Q158" s="291"/>
      <c r="R158" s="291"/>
      <c r="S158" s="291"/>
      <c r="T158" s="291"/>
      <c r="U158" s="291"/>
      <c r="V158" s="291"/>
      <c r="W158" s="291"/>
      <c r="X158" s="291"/>
      <c r="Y158" s="291"/>
      <c r="Z158" s="291"/>
      <c r="AA158" s="291"/>
      <c r="AB158" s="291"/>
      <c r="AC158" s="291"/>
      <c r="AD158" s="291"/>
      <c r="AE158" s="291"/>
      <c r="AF158" s="291"/>
      <c r="AG158" s="291"/>
      <c r="AH158" s="291"/>
      <c r="AI158" s="291"/>
      <c r="AJ158" s="291"/>
      <c r="AK158" s="291"/>
      <c r="AL158" s="291"/>
      <c r="AM158" s="291"/>
      <c r="AN158" s="291"/>
      <c r="AO158" s="291"/>
      <c r="AP158" s="291"/>
      <c r="AQ158" s="291"/>
      <c r="AR158" s="291"/>
      <c r="AS158" s="291"/>
      <c r="AT158" s="291"/>
      <c r="AU158" s="291"/>
      <c r="AV158" s="291"/>
      <c r="AW158" s="291"/>
      <c r="AX158" s="291"/>
      <c r="AY158" s="291"/>
      <c r="AZ158" s="291"/>
      <c r="BA158" s="291"/>
      <c r="BB158" s="291"/>
      <c r="BC158" s="291"/>
      <c r="BD158" s="291"/>
      <c r="BE158" s="291"/>
      <c r="BF158" s="291"/>
      <c r="BG158" s="291"/>
      <c r="BH158" s="291"/>
      <c r="BI158" s="291"/>
      <c r="BJ158" s="291"/>
      <c r="BK158" s="291"/>
      <c r="BL158" s="291"/>
      <c r="BM158" s="291"/>
      <c r="BN158" s="182"/>
    </row>
    <row r="159" spans="1:66" ht="14.25" hidden="1" customHeight="1" x14ac:dyDescent="0.3">
      <c r="A159" s="982"/>
      <c r="B159" s="45"/>
      <c r="C159" s="293"/>
      <c r="D159" s="185" t="s">
        <v>731</v>
      </c>
      <c r="E159" s="977"/>
      <c r="F159" s="982"/>
      <c r="G159" s="982"/>
      <c r="H159" s="982"/>
      <c r="I159" s="982"/>
      <c r="J159" s="982"/>
      <c r="K159" s="977"/>
      <c r="L159" s="202">
        <v>120.78112454545455</v>
      </c>
      <c r="M159" s="202"/>
      <c r="N159" s="202"/>
      <c r="O159" s="202"/>
      <c r="P159" s="202"/>
      <c r="Q159" s="291"/>
      <c r="R159" s="291"/>
      <c r="S159" s="291"/>
      <c r="T159" s="291"/>
      <c r="U159" s="291"/>
      <c r="V159" s="291"/>
      <c r="W159" s="291"/>
      <c r="X159" s="291"/>
      <c r="Y159" s="291"/>
      <c r="Z159" s="291"/>
      <c r="AA159" s="291"/>
      <c r="AB159" s="291"/>
      <c r="AC159" s="291"/>
      <c r="AD159" s="291"/>
      <c r="AE159" s="291"/>
      <c r="AF159" s="291"/>
      <c r="AG159" s="291"/>
      <c r="AH159" s="291"/>
      <c r="AI159" s="291"/>
      <c r="AJ159" s="291"/>
      <c r="AK159" s="291"/>
      <c r="AL159" s="291"/>
      <c r="AM159" s="291"/>
      <c r="AN159" s="291"/>
      <c r="AO159" s="291"/>
      <c r="AP159" s="291"/>
      <c r="AQ159" s="291"/>
      <c r="AR159" s="291"/>
      <c r="AS159" s="291"/>
      <c r="AT159" s="291"/>
      <c r="AU159" s="291"/>
      <c r="AV159" s="291"/>
      <c r="AW159" s="291"/>
      <c r="AX159" s="291"/>
      <c r="AY159" s="291"/>
      <c r="AZ159" s="291"/>
      <c r="BA159" s="291"/>
      <c r="BB159" s="291"/>
      <c r="BC159" s="291"/>
      <c r="BD159" s="291"/>
      <c r="BE159" s="291"/>
      <c r="BF159" s="291"/>
      <c r="BG159" s="291"/>
      <c r="BH159" s="291"/>
      <c r="BI159" s="291"/>
      <c r="BJ159" s="291"/>
      <c r="BK159" s="291"/>
      <c r="BL159" s="291"/>
      <c r="BM159" s="291"/>
      <c r="BN159" s="182"/>
    </row>
    <row r="160" spans="1:66" ht="14.25" hidden="1" customHeight="1" x14ac:dyDescent="0.3">
      <c r="A160" s="982"/>
      <c r="B160" s="45"/>
      <c r="C160" s="293"/>
      <c r="D160" s="185" t="s">
        <v>732</v>
      </c>
      <c r="E160" s="977"/>
      <c r="F160" s="982"/>
      <c r="G160" s="982"/>
      <c r="H160" s="982"/>
      <c r="I160" s="982"/>
      <c r="J160" s="982"/>
      <c r="K160" s="977"/>
      <c r="L160" s="202">
        <v>520.91</v>
      </c>
      <c r="M160" s="202">
        <v>1001</v>
      </c>
      <c r="N160" s="202">
        <v>1475</v>
      </c>
      <c r="O160" s="202">
        <v>595.79999999999995</v>
      </c>
      <c r="P160" s="202">
        <v>1517</v>
      </c>
      <c r="Q160" s="291"/>
      <c r="R160" s="291"/>
      <c r="S160" s="291"/>
      <c r="T160" s="291"/>
      <c r="U160" s="291"/>
      <c r="V160" s="291"/>
      <c r="W160" s="291"/>
      <c r="X160" s="291"/>
      <c r="Y160" s="291"/>
      <c r="Z160" s="291"/>
      <c r="AA160" s="291"/>
      <c r="AB160" s="291"/>
      <c r="AC160" s="291"/>
      <c r="AD160" s="291"/>
      <c r="AE160" s="291"/>
      <c r="AF160" s="291"/>
      <c r="AG160" s="291"/>
      <c r="AH160" s="291"/>
      <c r="AI160" s="291"/>
      <c r="AJ160" s="291"/>
      <c r="AK160" s="291"/>
      <c r="AL160" s="291"/>
      <c r="AM160" s="291"/>
      <c r="AN160" s="291"/>
      <c r="AO160" s="291"/>
      <c r="AP160" s="291"/>
      <c r="AQ160" s="291"/>
      <c r="AR160" s="291"/>
      <c r="AS160" s="291"/>
      <c r="AT160" s="291"/>
      <c r="AU160" s="291"/>
      <c r="AV160" s="291"/>
      <c r="AW160" s="291"/>
      <c r="AX160" s="291"/>
      <c r="AY160" s="291"/>
      <c r="AZ160" s="291"/>
      <c r="BA160" s="291"/>
      <c r="BB160" s="291"/>
      <c r="BC160" s="291"/>
      <c r="BD160" s="291"/>
      <c r="BE160" s="291"/>
      <c r="BF160" s="291"/>
      <c r="BG160" s="291"/>
      <c r="BH160" s="291"/>
      <c r="BI160" s="291"/>
      <c r="BJ160" s="291"/>
      <c r="BK160" s="291"/>
      <c r="BL160" s="291"/>
      <c r="BM160" s="291"/>
      <c r="BN160" s="182"/>
    </row>
    <row r="161" spans="1:66" ht="14.25" hidden="1" customHeight="1" x14ac:dyDescent="0.3">
      <c r="A161" s="982"/>
      <c r="B161" s="45"/>
      <c r="C161" s="293"/>
      <c r="D161" s="185" t="s">
        <v>733</v>
      </c>
      <c r="E161" s="977"/>
      <c r="F161" s="982"/>
      <c r="G161" s="982"/>
      <c r="H161" s="982"/>
      <c r="I161" s="982"/>
      <c r="J161" s="982"/>
      <c r="K161" s="977"/>
      <c r="L161" s="202">
        <v>77.28114449165912</v>
      </c>
      <c r="M161" s="202">
        <v>307</v>
      </c>
      <c r="N161" s="202">
        <v>324</v>
      </c>
      <c r="O161" s="202">
        <v>383.5</v>
      </c>
      <c r="P161" s="202">
        <v>372.6</v>
      </c>
      <c r="Q161" s="291"/>
      <c r="R161" s="291"/>
      <c r="S161" s="291"/>
      <c r="T161" s="291"/>
      <c r="U161" s="291"/>
      <c r="V161" s="291"/>
      <c r="W161" s="291"/>
      <c r="X161" s="291"/>
      <c r="Y161" s="291"/>
      <c r="Z161" s="291"/>
      <c r="AA161" s="291"/>
      <c r="AB161" s="291"/>
      <c r="AC161" s="291"/>
      <c r="AD161" s="291"/>
      <c r="AE161" s="291"/>
      <c r="AF161" s="291"/>
      <c r="AG161" s="291"/>
      <c r="AH161" s="291"/>
      <c r="AI161" s="291"/>
      <c r="AJ161" s="291"/>
      <c r="AK161" s="291"/>
      <c r="AL161" s="291"/>
      <c r="AM161" s="291"/>
      <c r="AN161" s="291"/>
      <c r="AO161" s="291"/>
      <c r="AP161" s="291"/>
      <c r="AQ161" s="291"/>
      <c r="AR161" s="291"/>
      <c r="AS161" s="291"/>
      <c r="AT161" s="291"/>
      <c r="AU161" s="291"/>
      <c r="AV161" s="291"/>
      <c r="AW161" s="291"/>
      <c r="AX161" s="291"/>
      <c r="AY161" s="291"/>
      <c r="AZ161" s="291"/>
      <c r="BA161" s="291"/>
      <c r="BB161" s="291"/>
      <c r="BC161" s="291"/>
      <c r="BD161" s="291"/>
      <c r="BE161" s="291"/>
      <c r="BF161" s="291"/>
      <c r="BG161" s="291"/>
      <c r="BH161" s="291"/>
      <c r="BI161" s="291"/>
      <c r="BJ161" s="291"/>
      <c r="BK161" s="291"/>
      <c r="BL161" s="291"/>
      <c r="BM161" s="291"/>
      <c r="BN161" s="182"/>
    </row>
    <row r="162" spans="1:66" ht="14.25" hidden="1" customHeight="1" x14ac:dyDescent="0.3">
      <c r="A162" s="982"/>
      <c r="B162" s="45"/>
      <c r="C162" s="293"/>
      <c r="D162" s="185" t="s">
        <v>734</v>
      </c>
      <c r="E162" s="977"/>
      <c r="F162" s="982"/>
      <c r="G162" s="982"/>
      <c r="H162" s="982"/>
      <c r="I162" s="982"/>
      <c r="J162" s="982"/>
      <c r="K162" s="977"/>
      <c r="L162" s="202"/>
      <c r="M162" s="202"/>
      <c r="N162" s="202"/>
      <c r="O162" s="202"/>
      <c r="P162" s="202"/>
      <c r="Q162" s="291"/>
      <c r="R162" s="291"/>
      <c r="S162" s="291"/>
      <c r="T162" s="291"/>
      <c r="U162" s="291"/>
      <c r="V162" s="291"/>
      <c r="W162" s="291"/>
      <c r="X162" s="291"/>
      <c r="Y162" s="291"/>
      <c r="Z162" s="291"/>
      <c r="AA162" s="291"/>
      <c r="AB162" s="291"/>
      <c r="AC162" s="291"/>
      <c r="AD162" s="291"/>
      <c r="AE162" s="291"/>
      <c r="AF162" s="291"/>
      <c r="AG162" s="291"/>
      <c r="AH162" s="291"/>
      <c r="AI162" s="291"/>
      <c r="AJ162" s="291"/>
      <c r="AK162" s="291"/>
      <c r="AL162" s="291"/>
      <c r="AM162" s="291"/>
      <c r="AN162" s="291"/>
      <c r="AO162" s="291"/>
      <c r="AP162" s="291"/>
      <c r="AQ162" s="291"/>
      <c r="AR162" s="291"/>
      <c r="AS162" s="291"/>
      <c r="AT162" s="291"/>
      <c r="AU162" s="291"/>
      <c r="AV162" s="291"/>
      <c r="AW162" s="291"/>
      <c r="AX162" s="291"/>
      <c r="AY162" s="291"/>
      <c r="AZ162" s="291"/>
      <c r="BA162" s="291"/>
      <c r="BB162" s="291"/>
      <c r="BC162" s="291"/>
      <c r="BD162" s="291"/>
      <c r="BE162" s="291"/>
      <c r="BF162" s="291"/>
      <c r="BG162" s="291"/>
      <c r="BH162" s="291"/>
      <c r="BI162" s="291"/>
      <c r="BJ162" s="291"/>
      <c r="BK162" s="291"/>
      <c r="BL162" s="291"/>
      <c r="BM162" s="291"/>
      <c r="BN162" s="182"/>
    </row>
    <row r="163" spans="1:66" ht="14.25" hidden="1" customHeight="1" x14ac:dyDescent="0.3">
      <c r="A163" s="982"/>
      <c r="B163" s="45"/>
      <c r="C163" s="293"/>
      <c r="D163" s="185" t="s">
        <v>735</v>
      </c>
      <c r="E163" s="977"/>
      <c r="F163" s="982"/>
      <c r="G163" s="982"/>
      <c r="H163" s="982"/>
      <c r="I163" s="982"/>
      <c r="J163" s="982"/>
      <c r="K163" s="977"/>
      <c r="L163" s="202">
        <v>122.23665805097517</v>
      </c>
      <c r="M163" s="202">
        <v>115.75198038100689</v>
      </c>
      <c r="N163" s="202">
        <v>116.37642325026624</v>
      </c>
      <c r="O163" s="202">
        <v>133.61051233032401</v>
      </c>
      <c r="P163" s="202">
        <v>195</v>
      </c>
      <c r="Q163" s="291"/>
      <c r="R163" s="291"/>
      <c r="S163" s="291"/>
      <c r="T163" s="291"/>
      <c r="U163" s="291"/>
      <c r="V163" s="291"/>
      <c r="W163" s="291"/>
      <c r="X163" s="291"/>
      <c r="Y163" s="291"/>
      <c r="Z163" s="291"/>
      <c r="AA163" s="291"/>
      <c r="AB163" s="291"/>
      <c r="AC163" s="291"/>
      <c r="AD163" s="291"/>
      <c r="AE163" s="291"/>
      <c r="AF163" s="291"/>
      <c r="AG163" s="291"/>
      <c r="AH163" s="291"/>
      <c r="AI163" s="291"/>
      <c r="AJ163" s="291"/>
      <c r="AK163" s="291"/>
      <c r="AL163" s="291"/>
      <c r="AM163" s="291"/>
      <c r="AN163" s="291"/>
      <c r="AO163" s="291"/>
      <c r="AP163" s="291"/>
      <c r="AQ163" s="291"/>
      <c r="AR163" s="291"/>
      <c r="AS163" s="291"/>
      <c r="AT163" s="291"/>
      <c r="AU163" s="291"/>
      <c r="AV163" s="291"/>
      <c r="AW163" s="291"/>
      <c r="AX163" s="291"/>
      <c r="AY163" s="291"/>
      <c r="AZ163" s="291"/>
      <c r="BA163" s="291"/>
      <c r="BB163" s="291"/>
      <c r="BC163" s="291"/>
      <c r="BD163" s="291"/>
      <c r="BE163" s="291"/>
      <c r="BF163" s="291"/>
      <c r="BG163" s="291"/>
      <c r="BH163" s="291"/>
      <c r="BI163" s="291"/>
      <c r="BJ163" s="291"/>
      <c r="BK163" s="291"/>
      <c r="BL163" s="291"/>
      <c r="BM163" s="291"/>
      <c r="BN163" s="182"/>
    </row>
    <row r="164" spans="1:66" ht="14.25" hidden="1" customHeight="1" x14ac:dyDescent="0.3">
      <c r="A164" s="982"/>
      <c r="B164" s="45"/>
      <c r="C164" s="293"/>
      <c r="D164" s="185" t="s">
        <v>736</v>
      </c>
      <c r="E164" s="977"/>
      <c r="F164" s="982"/>
      <c r="G164" s="982"/>
      <c r="H164" s="982"/>
      <c r="I164" s="982"/>
      <c r="J164" s="982"/>
      <c r="K164" s="977"/>
      <c r="L164" s="202"/>
      <c r="M164" s="202"/>
      <c r="N164" s="202"/>
      <c r="O164" s="202"/>
      <c r="P164" s="202"/>
      <c r="Q164" s="291"/>
      <c r="R164" s="291"/>
      <c r="S164" s="291"/>
      <c r="T164" s="291"/>
      <c r="U164" s="291"/>
      <c r="V164" s="291"/>
      <c r="W164" s="291"/>
      <c r="X164" s="291"/>
      <c r="Y164" s="291"/>
      <c r="Z164" s="291"/>
      <c r="AA164" s="291"/>
      <c r="AB164" s="291"/>
      <c r="AC164" s="291"/>
      <c r="AD164" s="291"/>
      <c r="AE164" s="291"/>
      <c r="AF164" s="291"/>
      <c r="AG164" s="291"/>
      <c r="AH164" s="291"/>
      <c r="AI164" s="291"/>
      <c r="AJ164" s="291"/>
      <c r="AK164" s="291"/>
      <c r="AL164" s="291"/>
      <c r="AM164" s="291"/>
      <c r="AN164" s="291"/>
      <c r="AO164" s="291"/>
      <c r="AP164" s="291"/>
      <c r="AQ164" s="291"/>
      <c r="AR164" s="291"/>
      <c r="AS164" s="291"/>
      <c r="AT164" s="291"/>
      <c r="AU164" s="291"/>
      <c r="AV164" s="291"/>
      <c r="AW164" s="291"/>
      <c r="AX164" s="291"/>
      <c r="AY164" s="291"/>
      <c r="AZ164" s="291"/>
      <c r="BA164" s="291"/>
      <c r="BB164" s="291"/>
      <c r="BC164" s="291"/>
      <c r="BD164" s="291"/>
      <c r="BE164" s="291"/>
      <c r="BF164" s="291"/>
      <c r="BG164" s="291"/>
      <c r="BH164" s="291"/>
      <c r="BI164" s="291"/>
      <c r="BJ164" s="291"/>
      <c r="BK164" s="291"/>
      <c r="BL164" s="291"/>
      <c r="BM164" s="291"/>
      <c r="BN164" s="182"/>
    </row>
    <row r="165" spans="1:66" ht="14.25" hidden="1" customHeight="1" x14ac:dyDescent="0.3">
      <c r="A165" s="982"/>
      <c r="B165" s="45"/>
      <c r="C165" s="293"/>
      <c r="D165" s="185" t="s">
        <v>737</v>
      </c>
      <c r="E165" s="977"/>
      <c r="F165" s="982"/>
      <c r="G165" s="982"/>
      <c r="H165" s="982"/>
      <c r="I165" s="982"/>
      <c r="J165" s="982"/>
      <c r="K165" s="977"/>
      <c r="L165" s="202"/>
      <c r="M165" s="202"/>
      <c r="N165" s="202"/>
      <c r="O165" s="202"/>
      <c r="P165" s="202"/>
      <c r="Q165" s="291"/>
      <c r="R165" s="291"/>
      <c r="S165" s="291"/>
      <c r="T165" s="291"/>
      <c r="U165" s="291"/>
      <c r="V165" s="291"/>
      <c r="W165" s="291"/>
      <c r="X165" s="291"/>
      <c r="Y165" s="291"/>
      <c r="Z165" s="291"/>
      <c r="AA165" s="291"/>
      <c r="AB165" s="291"/>
      <c r="AC165" s="291"/>
      <c r="AD165" s="291"/>
      <c r="AE165" s="291"/>
      <c r="AF165" s="291"/>
      <c r="AG165" s="291"/>
      <c r="AH165" s="291"/>
      <c r="AI165" s="291"/>
      <c r="AJ165" s="291"/>
      <c r="AK165" s="291"/>
      <c r="AL165" s="291"/>
      <c r="AM165" s="291"/>
      <c r="AN165" s="291"/>
      <c r="AO165" s="291"/>
      <c r="AP165" s="291"/>
      <c r="AQ165" s="291"/>
      <c r="AR165" s="291"/>
      <c r="AS165" s="291"/>
      <c r="AT165" s="291"/>
      <c r="AU165" s="291"/>
      <c r="AV165" s="291"/>
      <c r="AW165" s="291"/>
      <c r="AX165" s="291"/>
      <c r="AY165" s="291"/>
      <c r="AZ165" s="291"/>
      <c r="BA165" s="291"/>
      <c r="BB165" s="291"/>
      <c r="BC165" s="291"/>
      <c r="BD165" s="291"/>
      <c r="BE165" s="291"/>
      <c r="BF165" s="291"/>
      <c r="BG165" s="291"/>
      <c r="BH165" s="291"/>
      <c r="BI165" s="291"/>
      <c r="BJ165" s="291"/>
      <c r="BK165" s="291"/>
      <c r="BL165" s="291"/>
      <c r="BM165" s="291"/>
      <c r="BN165" s="182"/>
    </row>
    <row r="166" spans="1:66" ht="14.25" hidden="1" customHeight="1" x14ac:dyDescent="0.3">
      <c r="A166" s="982"/>
      <c r="B166" s="45"/>
      <c r="C166" s="293"/>
      <c r="D166" s="185" t="s">
        <v>738</v>
      </c>
      <c r="E166" s="977"/>
      <c r="F166" s="982"/>
      <c r="G166" s="982"/>
      <c r="H166" s="982"/>
      <c r="I166" s="982"/>
      <c r="J166" s="982"/>
      <c r="K166" s="977"/>
      <c r="L166" s="202">
        <v>21.564363861051724</v>
      </c>
      <c r="M166" s="202">
        <v>85</v>
      </c>
      <c r="N166" s="202">
        <v>270</v>
      </c>
      <c r="O166" s="202">
        <v>628.70000000000005</v>
      </c>
      <c r="P166" s="202">
        <v>358</v>
      </c>
      <c r="Q166" s="291"/>
      <c r="R166" s="291"/>
      <c r="S166" s="291"/>
      <c r="T166" s="291"/>
      <c r="U166" s="291"/>
      <c r="V166" s="291"/>
      <c r="W166" s="291"/>
      <c r="X166" s="291"/>
      <c r="Y166" s="291"/>
      <c r="Z166" s="291"/>
      <c r="AA166" s="291"/>
      <c r="AB166" s="291"/>
      <c r="AC166" s="291"/>
      <c r="AD166" s="291"/>
      <c r="AE166" s="291"/>
      <c r="AF166" s="291"/>
      <c r="AG166" s="291"/>
      <c r="AH166" s="291"/>
      <c r="AI166" s="291"/>
      <c r="AJ166" s="291"/>
      <c r="AK166" s="291"/>
      <c r="AL166" s="291"/>
      <c r="AM166" s="291"/>
      <c r="AN166" s="291"/>
      <c r="AO166" s="291"/>
      <c r="AP166" s="291"/>
      <c r="AQ166" s="291"/>
      <c r="AR166" s="291"/>
      <c r="AS166" s="291"/>
      <c r="AT166" s="291"/>
      <c r="AU166" s="291"/>
      <c r="AV166" s="291"/>
      <c r="AW166" s="291"/>
      <c r="AX166" s="291"/>
      <c r="AY166" s="291"/>
      <c r="AZ166" s="291"/>
      <c r="BA166" s="291"/>
      <c r="BB166" s="291"/>
      <c r="BC166" s="291"/>
      <c r="BD166" s="291"/>
      <c r="BE166" s="291"/>
      <c r="BF166" s="291"/>
      <c r="BG166" s="291"/>
      <c r="BH166" s="291"/>
      <c r="BI166" s="291"/>
      <c r="BJ166" s="291"/>
      <c r="BK166" s="291"/>
      <c r="BL166" s="291"/>
      <c r="BM166" s="291"/>
      <c r="BN166" s="182"/>
    </row>
    <row r="167" spans="1:66" ht="14.25" hidden="1" customHeight="1" x14ac:dyDescent="0.3">
      <c r="A167" s="982"/>
      <c r="B167" s="45"/>
      <c r="C167" s="293"/>
      <c r="D167" s="185" t="s">
        <v>739</v>
      </c>
      <c r="E167" s="977"/>
      <c r="F167" s="982"/>
      <c r="G167" s="982"/>
      <c r="H167" s="982"/>
      <c r="I167" s="982"/>
      <c r="J167" s="982"/>
      <c r="K167" s="977"/>
      <c r="L167" s="202">
        <v>112.83508766104259</v>
      </c>
      <c r="M167" s="202">
        <v>88.288869108496669</v>
      </c>
      <c r="N167" s="202">
        <v>90.983304874281373</v>
      </c>
      <c r="O167" s="202">
        <v>93.815657039697896</v>
      </c>
      <c r="P167" s="202">
        <v>97.4</v>
      </c>
      <c r="Q167" s="291"/>
      <c r="R167" s="291"/>
      <c r="S167" s="291"/>
      <c r="T167" s="291"/>
      <c r="U167" s="291"/>
      <c r="V167" s="291"/>
      <c r="W167" s="291"/>
      <c r="X167" s="291"/>
      <c r="Y167" s="291"/>
      <c r="Z167" s="291"/>
      <c r="AA167" s="291"/>
      <c r="AB167" s="291"/>
      <c r="AC167" s="291"/>
      <c r="AD167" s="291"/>
      <c r="AE167" s="291"/>
      <c r="AF167" s="291"/>
      <c r="AG167" s="291"/>
      <c r="AH167" s="291"/>
      <c r="AI167" s="291"/>
      <c r="AJ167" s="291"/>
      <c r="AK167" s="291"/>
      <c r="AL167" s="291"/>
      <c r="AM167" s="291"/>
      <c r="AN167" s="291"/>
      <c r="AO167" s="291"/>
      <c r="AP167" s="291"/>
      <c r="AQ167" s="291"/>
      <c r="AR167" s="291"/>
      <c r="AS167" s="291"/>
      <c r="AT167" s="291"/>
      <c r="AU167" s="291"/>
      <c r="AV167" s="291"/>
      <c r="AW167" s="291"/>
      <c r="AX167" s="291"/>
      <c r="AY167" s="291"/>
      <c r="AZ167" s="291"/>
      <c r="BA167" s="291"/>
      <c r="BB167" s="291"/>
      <c r="BC167" s="291"/>
      <c r="BD167" s="291"/>
      <c r="BE167" s="291"/>
      <c r="BF167" s="291"/>
      <c r="BG167" s="291"/>
      <c r="BH167" s="291"/>
      <c r="BI167" s="291"/>
      <c r="BJ167" s="291"/>
      <c r="BK167" s="291"/>
      <c r="BL167" s="291"/>
      <c r="BM167" s="291"/>
      <c r="BN167" s="182"/>
    </row>
    <row r="168" spans="1:66" ht="14.25" hidden="1" customHeight="1" x14ac:dyDescent="0.3">
      <c r="A168" s="982"/>
      <c r="B168" s="45"/>
      <c r="C168" s="293"/>
      <c r="D168" s="185" t="s">
        <v>727</v>
      </c>
      <c r="E168" s="977"/>
      <c r="F168" s="982"/>
      <c r="G168" s="982"/>
      <c r="H168" s="982"/>
      <c r="I168" s="982"/>
      <c r="J168" s="982"/>
      <c r="K168" s="977"/>
      <c r="L168" s="202">
        <v>158.99349283157133</v>
      </c>
      <c r="M168" s="202">
        <v>179.69810767388904</v>
      </c>
      <c r="N168" s="202">
        <v>232</v>
      </c>
      <c r="O168" s="202">
        <v>108.8</v>
      </c>
      <c r="P168" s="202">
        <v>431.1</v>
      </c>
      <c r="Q168" s="291"/>
      <c r="R168" s="291"/>
      <c r="S168" s="291"/>
      <c r="T168" s="291"/>
      <c r="U168" s="291"/>
      <c r="V168" s="291"/>
      <c r="W168" s="291"/>
      <c r="X168" s="291"/>
      <c r="Y168" s="291"/>
      <c r="Z168" s="291"/>
      <c r="AA168" s="291"/>
      <c r="AB168" s="291"/>
      <c r="AC168" s="291"/>
      <c r="AD168" s="291"/>
      <c r="AE168" s="291"/>
      <c r="AF168" s="291"/>
      <c r="AG168" s="291"/>
      <c r="AH168" s="291"/>
      <c r="AI168" s="291"/>
      <c r="AJ168" s="291"/>
      <c r="AK168" s="291"/>
      <c r="AL168" s="291"/>
      <c r="AM168" s="291"/>
      <c r="AN168" s="291"/>
      <c r="AO168" s="291"/>
      <c r="AP168" s="291"/>
      <c r="AQ168" s="291"/>
      <c r="AR168" s="291"/>
      <c r="AS168" s="291"/>
      <c r="AT168" s="291"/>
      <c r="AU168" s="291"/>
      <c r="AV168" s="291"/>
      <c r="AW168" s="291"/>
      <c r="AX168" s="291"/>
      <c r="AY168" s="291"/>
      <c r="AZ168" s="291"/>
      <c r="BA168" s="291"/>
      <c r="BB168" s="291"/>
      <c r="BC168" s="291"/>
      <c r="BD168" s="291"/>
      <c r="BE168" s="291"/>
      <c r="BF168" s="291"/>
      <c r="BG168" s="291"/>
      <c r="BH168" s="291"/>
      <c r="BI168" s="291"/>
      <c r="BJ168" s="291"/>
      <c r="BK168" s="291"/>
      <c r="BL168" s="291"/>
      <c r="BM168" s="291"/>
      <c r="BN168" s="182"/>
    </row>
    <row r="169" spans="1:66" ht="14.25" hidden="1" customHeight="1" x14ac:dyDescent="0.3">
      <c r="A169" s="982"/>
      <c r="B169" s="45"/>
      <c r="C169" s="293"/>
      <c r="D169" s="185" t="s">
        <v>740</v>
      </c>
      <c r="E169" s="977"/>
      <c r="F169" s="982"/>
      <c r="G169" s="982"/>
      <c r="H169" s="982"/>
      <c r="I169" s="982"/>
      <c r="J169" s="982"/>
      <c r="K169" s="977"/>
      <c r="L169" s="202"/>
      <c r="M169" s="202">
        <v>140.17422755354059</v>
      </c>
      <c r="N169" s="202">
        <v>62.111893886387435</v>
      </c>
      <c r="O169" s="202">
        <v>27.981916847879528</v>
      </c>
      <c r="P169" s="202">
        <v>255.9</v>
      </c>
      <c r="Q169" s="291"/>
      <c r="R169" s="291"/>
      <c r="S169" s="291"/>
      <c r="T169" s="291"/>
      <c r="U169" s="291"/>
      <c r="V169" s="291"/>
      <c r="W169" s="291"/>
      <c r="X169" s="291"/>
      <c r="Y169" s="291"/>
      <c r="Z169" s="291"/>
      <c r="AA169" s="291"/>
      <c r="AB169" s="291"/>
      <c r="AC169" s="291"/>
      <c r="AD169" s="291"/>
      <c r="AE169" s="291"/>
      <c r="AF169" s="291"/>
      <c r="AG169" s="291"/>
      <c r="AH169" s="291"/>
      <c r="AI169" s="291"/>
      <c r="AJ169" s="291"/>
      <c r="AK169" s="291"/>
      <c r="AL169" s="291"/>
      <c r="AM169" s="291"/>
      <c r="AN169" s="291"/>
      <c r="AO169" s="291"/>
      <c r="AP169" s="291"/>
      <c r="AQ169" s="291"/>
      <c r="AR169" s="291"/>
      <c r="AS169" s="291"/>
      <c r="AT169" s="291"/>
      <c r="AU169" s="291"/>
      <c r="AV169" s="291"/>
      <c r="AW169" s="291"/>
      <c r="AX169" s="291"/>
      <c r="AY169" s="291"/>
      <c r="AZ169" s="291"/>
      <c r="BA169" s="291"/>
      <c r="BB169" s="291"/>
      <c r="BC169" s="291"/>
      <c r="BD169" s="291"/>
      <c r="BE169" s="291"/>
      <c r="BF169" s="291"/>
      <c r="BG169" s="291"/>
      <c r="BH169" s="291"/>
      <c r="BI169" s="291"/>
      <c r="BJ169" s="291"/>
      <c r="BK169" s="291"/>
      <c r="BL169" s="291"/>
      <c r="BM169" s="291"/>
      <c r="BN169" s="182"/>
    </row>
    <row r="170" spans="1:66" ht="14.25" hidden="1" customHeight="1" x14ac:dyDescent="0.3">
      <c r="A170" s="982"/>
      <c r="B170" s="45"/>
      <c r="C170" s="293"/>
      <c r="D170" s="185" t="s">
        <v>741</v>
      </c>
      <c r="E170" s="977"/>
      <c r="F170" s="982"/>
      <c r="G170" s="982"/>
      <c r="H170" s="982"/>
      <c r="I170" s="982"/>
      <c r="J170" s="982"/>
      <c r="K170" s="977"/>
      <c r="L170" s="202"/>
      <c r="M170" s="202"/>
      <c r="N170" s="202"/>
      <c r="O170" s="202"/>
      <c r="P170" s="202"/>
      <c r="Q170" s="291"/>
      <c r="R170" s="291"/>
      <c r="S170" s="291"/>
      <c r="T170" s="291"/>
      <c r="U170" s="291"/>
      <c r="V170" s="291"/>
      <c r="W170" s="291"/>
      <c r="X170" s="291"/>
      <c r="Y170" s="291"/>
      <c r="Z170" s="291"/>
      <c r="AA170" s="291"/>
      <c r="AB170" s="291"/>
      <c r="AC170" s="291"/>
      <c r="AD170" s="291"/>
      <c r="AE170" s="291"/>
      <c r="AF170" s="291"/>
      <c r="AG170" s="291"/>
      <c r="AH170" s="291"/>
      <c r="AI170" s="291"/>
      <c r="AJ170" s="291"/>
      <c r="AK170" s="291"/>
      <c r="AL170" s="291"/>
      <c r="AM170" s="291"/>
      <c r="AN170" s="291"/>
      <c r="AO170" s="291"/>
      <c r="AP170" s="291"/>
      <c r="AQ170" s="291"/>
      <c r="AR170" s="291"/>
      <c r="AS170" s="291"/>
      <c r="AT170" s="291"/>
      <c r="AU170" s="291"/>
      <c r="AV170" s="291"/>
      <c r="AW170" s="291"/>
      <c r="AX170" s="291"/>
      <c r="AY170" s="291"/>
      <c r="AZ170" s="291"/>
      <c r="BA170" s="291"/>
      <c r="BB170" s="291"/>
      <c r="BC170" s="291"/>
      <c r="BD170" s="291"/>
      <c r="BE170" s="291"/>
      <c r="BF170" s="291"/>
      <c r="BG170" s="291"/>
      <c r="BH170" s="291"/>
      <c r="BI170" s="291"/>
      <c r="BJ170" s="291"/>
      <c r="BK170" s="291"/>
      <c r="BL170" s="291"/>
      <c r="BM170" s="291"/>
      <c r="BN170" s="182"/>
    </row>
    <row r="171" spans="1:66" ht="14.25" hidden="1" customHeight="1" x14ac:dyDescent="0.3">
      <c r="A171" s="982"/>
      <c r="B171" s="45"/>
      <c r="C171" s="293"/>
      <c r="D171" s="185" t="s">
        <v>742</v>
      </c>
      <c r="E171" s="977"/>
      <c r="F171" s="982"/>
      <c r="G171" s="982"/>
      <c r="H171" s="982"/>
      <c r="I171" s="982"/>
      <c r="J171" s="982"/>
      <c r="K171" s="977"/>
      <c r="L171" s="202">
        <v>175.52220966719958</v>
      </c>
      <c r="M171" s="202">
        <v>250</v>
      </c>
      <c r="N171" s="202">
        <v>198</v>
      </c>
      <c r="O171" s="202">
        <v>172</v>
      </c>
      <c r="P171" s="202">
        <v>178</v>
      </c>
      <c r="Q171" s="291"/>
      <c r="R171" s="291"/>
      <c r="S171" s="291"/>
      <c r="T171" s="291"/>
      <c r="U171" s="291"/>
      <c r="V171" s="291"/>
      <c r="W171" s="291"/>
      <c r="X171" s="291"/>
      <c r="Y171" s="291"/>
      <c r="Z171" s="291"/>
      <c r="AA171" s="291"/>
      <c r="AB171" s="291"/>
      <c r="AC171" s="291"/>
      <c r="AD171" s="291"/>
      <c r="AE171" s="291"/>
      <c r="AF171" s="291"/>
      <c r="AG171" s="291"/>
      <c r="AH171" s="291"/>
      <c r="AI171" s="291"/>
      <c r="AJ171" s="291"/>
      <c r="AK171" s="291"/>
      <c r="AL171" s="291"/>
      <c r="AM171" s="291"/>
      <c r="AN171" s="291"/>
      <c r="AO171" s="291"/>
      <c r="AP171" s="291"/>
      <c r="AQ171" s="291"/>
      <c r="AR171" s="291"/>
      <c r="AS171" s="291"/>
      <c r="AT171" s="291"/>
      <c r="AU171" s="291"/>
      <c r="AV171" s="291"/>
      <c r="AW171" s="291"/>
      <c r="AX171" s="291"/>
      <c r="AY171" s="291"/>
      <c r="AZ171" s="291"/>
      <c r="BA171" s="291"/>
      <c r="BB171" s="291"/>
      <c r="BC171" s="291"/>
      <c r="BD171" s="291"/>
      <c r="BE171" s="291"/>
      <c r="BF171" s="291"/>
      <c r="BG171" s="291"/>
      <c r="BH171" s="291"/>
      <c r="BI171" s="291"/>
      <c r="BJ171" s="291"/>
      <c r="BK171" s="291"/>
      <c r="BL171" s="291"/>
      <c r="BM171" s="291"/>
      <c r="BN171" s="182"/>
    </row>
    <row r="172" spans="1:66" ht="14.25" hidden="1" customHeight="1" x14ac:dyDescent="0.3">
      <c r="A172" s="982"/>
      <c r="B172" s="45"/>
      <c r="C172" s="293"/>
      <c r="D172" s="185" t="s">
        <v>743</v>
      </c>
      <c r="E172" s="977"/>
      <c r="F172" s="982"/>
      <c r="G172" s="982"/>
      <c r="H172" s="982"/>
      <c r="I172" s="982"/>
      <c r="J172" s="982"/>
      <c r="K172" s="977"/>
      <c r="L172" s="202">
        <v>290.1947300152421</v>
      </c>
      <c r="M172" s="202">
        <v>303</v>
      </c>
      <c r="N172" s="202">
        <v>591</v>
      </c>
      <c r="O172" s="202">
        <v>389.9</v>
      </c>
      <c r="P172" s="202">
        <v>335.7</v>
      </c>
      <c r="Q172" s="291"/>
      <c r="R172" s="291"/>
      <c r="S172" s="291"/>
      <c r="T172" s="291"/>
      <c r="U172" s="291"/>
      <c r="V172" s="291"/>
      <c r="W172" s="291"/>
      <c r="X172" s="291"/>
      <c r="Y172" s="291"/>
      <c r="Z172" s="291"/>
      <c r="AA172" s="291"/>
      <c r="AB172" s="291"/>
      <c r="AC172" s="291"/>
      <c r="AD172" s="291"/>
      <c r="AE172" s="291"/>
      <c r="AF172" s="291"/>
      <c r="AG172" s="291"/>
      <c r="AH172" s="291"/>
      <c r="AI172" s="291"/>
      <c r="AJ172" s="291"/>
      <c r="AK172" s="291"/>
      <c r="AL172" s="291"/>
      <c r="AM172" s="291"/>
      <c r="AN172" s="291"/>
      <c r="AO172" s="291"/>
      <c r="AP172" s="291"/>
      <c r="AQ172" s="291"/>
      <c r="AR172" s="291"/>
      <c r="AS172" s="291"/>
      <c r="AT172" s="291"/>
      <c r="AU172" s="291"/>
      <c r="AV172" s="291"/>
      <c r="AW172" s="291"/>
      <c r="AX172" s="291"/>
      <c r="AY172" s="291"/>
      <c r="AZ172" s="291"/>
      <c r="BA172" s="291"/>
      <c r="BB172" s="291"/>
      <c r="BC172" s="291"/>
      <c r="BD172" s="291"/>
      <c r="BE172" s="291"/>
      <c r="BF172" s="291"/>
      <c r="BG172" s="291"/>
      <c r="BH172" s="291"/>
      <c r="BI172" s="291"/>
      <c r="BJ172" s="291"/>
      <c r="BK172" s="291"/>
      <c r="BL172" s="291"/>
      <c r="BM172" s="291"/>
      <c r="BN172" s="182"/>
    </row>
    <row r="173" spans="1:66" ht="13.5" hidden="1" customHeight="1" x14ac:dyDescent="0.3">
      <c r="A173" s="982"/>
      <c r="B173" s="45"/>
      <c r="C173" s="293"/>
      <c r="D173" s="185" t="s">
        <v>744</v>
      </c>
      <c r="E173" s="977"/>
      <c r="F173" s="982"/>
      <c r="G173" s="982"/>
      <c r="H173" s="982"/>
      <c r="I173" s="982"/>
      <c r="J173" s="982"/>
      <c r="K173" s="977"/>
      <c r="L173" s="202">
        <v>147.91748598313742</v>
      </c>
      <c r="M173" s="202"/>
      <c r="N173" s="202">
        <v>79.26327019723746</v>
      </c>
      <c r="O173" s="202">
        <v>71.666707246169423</v>
      </c>
      <c r="P173" s="202">
        <v>54</v>
      </c>
      <c r="Q173" s="291"/>
      <c r="R173" s="291"/>
      <c r="S173" s="291"/>
      <c r="T173" s="291"/>
      <c r="U173" s="291"/>
      <c r="V173" s="291"/>
      <c r="W173" s="291"/>
      <c r="X173" s="291"/>
      <c r="Y173" s="291"/>
      <c r="Z173" s="291"/>
      <c r="AA173" s="291"/>
      <c r="AB173" s="291"/>
      <c r="AC173" s="291"/>
      <c r="AD173" s="291"/>
      <c r="AE173" s="291"/>
      <c r="AF173" s="291"/>
      <c r="AG173" s="291"/>
      <c r="AH173" s="291"/>
      <c r="AI173" s="291"/>
      <c r="AJ173" s="291"/>
      <c r="AK173" s="291"/>
      <c r="AL173" s="291"/>
      <c r="AM173" s="291"/>
      <c r="AN173" s="291"/>
      <c r="AO173" s="291"/>
      <c r="AP173" s="291"/>
      <c r="AQ173" s="291"/>
      <c r="AR173" s="291"/>
      <c r="AS173" s="291"/>
      <c r="AT173" s="291"/>
      <c r="AU173" s="291"/>
      <c r="AV173" s="291"/>
      <c r="AW173" s="291"/>
      <c r="AX173" s="291"/>
      <c r="AY173" s="291"/>
      <c r="AZ173" s="291"/>
      <c r="BA173" s="291"/>
      <c r="BB173" s="291"/>
      <c r="BC173" s="291"/>
      <c r="BD173" s="291"/>
      <c r="BE173" s="291"/>
      <c r="BF173" s="291"/>
      <c r="BG173" s="291"/>
      <c r="BH173" s="291"/>
      <c r="BI173" s="291"/>
      <c r="BJ173" s="291"/>
      <c r="BK173" s="291"/>
      <c r="BL173" s="291"/>
      <c r="BM173" s="291"/>
      <c r="BN173" s="182"/>
    </row>
    <row r="174" spans="1:66" ht="13.5" hidden="1" customHeight="1" x14ac:dyDescent="0.3">
      <c r="A174" s="982"/>
      <c r="B174" s="45"/>
      <c r="C174" s="293"/>
      <c r="D174" s="185" t="s">
        <v>745</v>
      </c>
      <c r="E174" s="977"/>
      <c r="F174" s="977"/>
      <c r="G174" s="977"/>
      <c r="H174" s="977"/>
      <c r="I174" s="977"/>
      <c r="J174" s="977"/>
      <c r="K174" s="977"/>
      <c r="L174" s="202"/>
      <c r="M174" s="202"/>
      <c r="N174" s="202"/>
      <c r="O174" s="202"/>
      <c r="P174" s="202"/>
      <c r="Q174" s="291"/>
      <c r="R174" s="291"/>
      <c r="S174" s="291"/>
      <c r="T174" s="291"/>
      <c r="U174" s="291"/>
      <c r="V174" s="291"/>
      <c r="W174" s="291"/>
      <c r="X174" s="291"/>
      <c r="Y174" s="291"/>
      <c r="Z174" s="291"/>
      <c r="AA174" s="291"/>
      <c r="AB174" s="291"/>
      <c r="AC174" s="291"/>
      <c r="AD174" s="291"/>
      <c r="AE174" s="291"/>
      <c r="AF174" s="291"/>
      <c r="AG174" s="291"/>
      <c r="AH174" s="291"/>
      <c r="AI174" s="291"/>
      <c r="AJ174" s="291"/>
      <c r="AK174" s="291"/>
      <c r="AL174" s="291"/>
      <c r="AM174" s="291"/>
      <c r="AN174" s="291"/>
      <c r="AO174" s="291"/>
      <c r="AP174" s="291"/>
      <c r="AQ174" s="291"/>
      <c r="AR174" s="291"/>
      <c r="AS174" s="291"/>
      <c r="AT174" s="291"/>
      <c r="AU174" s="291"/>
      <c r="AV174" s="291"/>
      <c r="AW174" s="291"/>
      <c r="AX174" s="291"/>
      <c r="AY174" s="291"/>
      <c r="AZ174" s="291"/>
      <c r="BA174" s="291"/>
      <c r="BB174" s="291"/>
      <c r="BC174" s="291"/>
      <c r="BD174" s="291"/>
      <c r="BE174" s="291"/>
      <c r="BF174" s="291"/>
      <c r="BG174" s="291"/>
      <c r="BH174" s="291"/>
      <c r="BI174" s="291"/>
      <c r="BJ174" s="291"/>
      <c r="BK174" s="291"/>
      <c r="BL174" s="291"/>
      <c r="BM174" s="291"/>
      <c r="BN174" s="182"/>
    </row>
    <row r="175" spans="1:66" ht="13.5" hidden="1" customHeight="1" x14ac:dyDescent="0.3">
      <c r="A175" s="960"/>
      <c r="B175" s="45"/>
      <c r="C175" s="293"/>
      <c r="D175" s="185" t="s">
        <v>720</v>
      </c>
      <c r="E175" s="181">
        <f t="shared" ref="E175:AS175" si="97">SUM(E158:E174)</f>
        <v>0</v>
      </c>
      <c r="F175" s="181">
        <f t="shared" si="97"/>
        <v>0</v>
      </c>
      <c r="G175" s="181">
        <f t="shared" si="97"/>
        <v>0</v>
      </c>
      <c r="H175" s="181">
        <f t="shared" si="97"/>
        <v>0</v>
      </c>
      <c r="I175" s="181">
        <f t="shared" si="97"/>
        <v>0</v>
      </c>
      <c r="J175" s="181">
        <f t="shared" si="97"/>
        <v>0</v>
      </c>
      <c r="K175" s="181">
        <f t="shared" si="97"/>
        <v>0</v>
      </c>
      <c r="L175" s="202">
        <f t="shared" si="97"/>
        <v>1748.2362971073335</v>
      </c>
      <c r="M175" s="202">
        <f t="shared" si="97"/>
        <v>2476.9131847169333</v>
      </c>
      <c r="N175" s="202">
        <f t="shared" si="97"/>
        <v>3638.7348922081724</v>
      </c>
      <c r="O175" s="202">
        <f t="shared" si="97"/>
        <v>2698.3747934640714</v>
      </c>
      <c r="P175" s="202">
        <f t="shared" si="97"/>
        <v>4052.7</v>
      </c>
      <c r="Q175" s="291">
        <f t="shared" si="97"/>
        <v>0</v>
      </c>
      <c r="R175" s="291">
        <f t="shared" si="97"/>
        <v>0</v>
      </c>
      <c r="S175" s="291">
        <f t="shared" si="97"/>
        <v>0</v>
      </c>
      <c r="T175" s="291">
        <f t="shared" si="97"/>
        <v>0</v>
      </c>
      <c r="U175" s="291">
        <f t="shared" si="97"/>
        <v>0</v>
      </c>
      <c r="V175" s="291">
        <f t="shared" si="97"/>
        <v>0</v>
      </c>
      <c r="W175" s="291">
        <f t="shared" si="97"/>
        <v>0</v>
      </c>
      <c r="X175" s="291">
        <f t="shared" si="97"/>
        <v>0</v>
      </c>
      <c r="Y175" s="291">
        <f t="shared" si="97"/>
        <v>0</v>
      </c>
      <c r="Z175" s="291">
        <f t="shared" si="97"/>
        <v>0</v>
      </c>
      <c r="AA175" s="291">
        <f t="shared" si="97"/>
        <v>0</v>
      </c>
      <c r="AB175" s="291">
        <f t="shared" si="97"/>
        <v>0</v>
      </c>
      <c r="AC175" s="291">
        <f t="shared" si="97"/>
        <v>0</v>
      </c>
      <c r="AD175" s="291">
        <f t="shared" si="97"/>
        <v>0</v>
      </c>
      <c r="AE175" s="291">
        <f t="shared" si="97"/>
        <v>0</v>
      </c>
      <c r="AF175" s="291">
        <f t="shared" si="97"/>
        <v>0</v>
      </c>
      <c r="AG175" s="291">
        <f t="shared" si="97"/>
        <v>0</v>
      </c>
      <c r="AH175" s="291">
        <f t="shared" si="97"/>
        <v>0</v>
      </c>
      <c r="AI175" s="291">
        <f t="shared" si="97"/>
        <v>0</v>
      </c>
      <c r="AJ175" s="291">
        <f t="shared" si="97"/>
        <v>0</v>
      </c>
      <c r="AK175" s="291">
        <f t="shared" si="97"/>
        <v>0</v>
      </c>
      <c r="AL175" s="291">
        <f t="shared" si="97"/>
        <v>0</v>
      </c>
      <c r="AM175" s="291">
        <f t="shared" si="97"/>
        <v>0</v>
      </c>
      <c r="AN175" s="291">
        <f t="shared" si="97"/>
        <v>0</v>
      </c>
      <c r="AO175" s="291">
        <f t="shared" si="97"/>
        <v>0</v>
      </c>
      <c r="AP175" s="291">
        <f t="shared" si="97"/>
        <v>0</v>
      </c>
      <c r="AQ175" s="291">
        <f t="shared" si="97"/>
        <v>0</v>
      </c>
      <c r="AR175" s="291">
        <f t="shared" si="97"/>
        <v>0</v>
      </c>
      <c r="AS175" s="291">
        <f t="shared" si="97"/>
        <v>0</v>
      </c>
      <c r="AT175" s="291">
        <f t="shared" ref="AT175:BM175" si="98">SUM(AT158:AT174)</f>
        <v>0</v>
      </c>
      <c r="AU175" s="291">
        <f t="shared" si="98"/>
        <v>0</v>
      </c>
      <c r="AV175" s="291">
        <f t="shared" si="98"/>
        <v>0</v>
      </c>
      <c r="AW175" s="291">
        <f t="shared" si="98"/>
        <v>0</v>
      </c>
      <c r="AX175" s="291">
        <f t="shared" si="98"/>
        <v>0</v>
      </c>
      <c r="AY175" s="291">
        <f t="shared" si="98"/>
        <v>0</v>
      </c>
      <c r="AZ175" s="291">
        <f t="shared" si="98"/>
        <v>0</v>
      </c>
      <c r="BA175" s="291">
        <f t="shared" si="98"/>
        <v>0</v>
      </c>
      <c r="BB175" s="291">
        <f t="shared" si="98"/>
        <v>0</v>
      </c>
      <c r="BC175" s="291">
        <f t="shared" si="98"/>
        <v>0</v>
      </c>
      <c r="BD175" s="291">
        <f t="shared" si="98"/>
        <v>0</v>
      </c>
      <c r="BE175" s="291">
        <f t="shared" si="98"/>
        <v>0</v>
      </c>
      <c r="BF175" s="291">
        <f t="shared" si="98"/>
        <v>0</v>
      </c>
      <c r="BG175" s="291">
        <f t="shared" si="98"/>
        <v>0</v>
      </c>
      <c r="BH175" s="291">
        <f t="shared" si="98"/>
        <v>0</v>
      </c>
      <c r="BI175" s="291">
        <f t="shared" si="98"/>
        <v>0</v>
      </c>
      <c r="BJ175" s="291">
        <f t="shared" si="98"/>
        <v>0</v>
      </c>
      <c r="BK175" s="291">
        <f t="shared" si="98"/>
        <v>0</v>
      </c>
      <c r="BL175" s="291">
        <f t="shared" si="98"/>
        <v>0</v>
      </c>
      <c r="BM175" s="291">
        <f t="shared" si="98"/>
        <v>0</v>
      </c>
      <c r="BN175" s="182"/>
    </row>
    <row r="176" spans="1:66" ht="14.25" hidden="1" customHeight="1" x14ac:dyDescent="0.3">
      <c r="A176" s="960"/>
      <c r="B176" s="45"/>
      <c r="C176" s="293"/>
      <c r="D176" s="198"/>
      <c r="E176" s="199"/>
      <c r="F176" s="199"/>
      <c r="G176" s="199"/>
      <c r="H176" s="199"/>
      <c r="I176" s="199"/>
      <c r="J176" s="199"/>
      <c r="K176" s="199"/>
      <c r="L176" s="199"/>
      <c r="M176" s="199"/>
      <c r="N176" s="199"/>
      <c r="O176" s="199"/>
      <c r="P176" s="199"/>
      <c r="Q176" s="19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c r="AN176" s="198"/>
      <c r="AO176" s="198"/>
      <c r="AP176" s="198"/>
      <c r="AQ176" s="198"/>
      <c r="AR176" s="198"/>
      <c r="AS176" s="198"/>
      <c r="AT176" s="198"/>
      <c r="AU176" s="198"/>
      <c r="AV176" s="198"/>
      <c r="AW176" s="198"/>
      <c r="AX176" s="198"/>
      <c r="AY176" s="198"/>
      <c r="AZ176" s="198"/>
      <c r="BA176" s="198"/>
      <c r="BB176" s="198"/>
      <c r="BC176" s="198"/>
      <c r="BD176" s="198"/>
      <c r="BE176" s="198"/>
      <c r="BF176" s="198"/>
      <c r="BG176" s="198"/>
      <c r="BH176" s="198"/>
      <c r="BI176" s="198"/>
      <c r="BJ176" s="198"/>
      <c r="BK176" s="198"/>
      <c r="BL176" s="198"/>
      <c r="BM176" s="198"/>
      <c r="BN176" s="182"/>
    </row>
    <row r="177" spans="1:69" ht="14.25" customHeight="1" x14ac:dyDescent="0.35">
      <c r="A177" s="960"/>
      <c r="B177" s="944"/>
      <c r="C177" s="944"/>
      <c r="D177" s="11"/>
      <c r="E177" s="61"/>
      <c r="F177" s="61"/>
      <c r="G177" s="61"/>
      <c r="H177" s="61"/>
      <c r="I177" s="61"/>
      <c r="J177" s="61"/>
      <c r="K177" s="61"/>
      <c r="L177" s="61"/>
      <c r="M177" s="944"/>
      <c r="N177" s="944"/>
      <c r="O177" s="944"/>
      <c r="P177" s="944"/>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row>
    <row r="178" spans="1:69" ht="14.25" customHeight="1" x14ac:dyDescent="0.35">
      <c r="A178" s="960"/>
      <c r="B178" s="944"/>
      <c r="C178" s="944" t="s">
        <v>367</v>
      </c>
      <c r="D178" s="45" t="s">
        <v>395</v>
      </c>
      <c r="E178" s="61"/>
      <c r="F178" s="61"/>
      <c r="G178" s="61"/>
      <c r="H178" s="61"/>
      <c r="I178" s="61"/>
      <c r="J178" s="61"/>
      <c r="K178" s="61"/>
      <c r="L178" s="61"/>
      <c r="M178" s="944"/>
      <c r="N178" s="944"/>
      <c r="O178" s="944"/>
      <c r="P178" s="944"/>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row>
    <row r="179" spans="1:69" ht="14.25" customHeight="1" x14ac:dyDescent="0.3">
      <c r="A179" s="960"/>
      <c r="B179" s="944"/>
      <c r="C179" s="944"/>
      <c r="D179" s="45"/>
      <c r="E179" s="944"/>
      <c r="F179" s="944"/>
      <c r="G179" s="944"/>
      <c r="H179" s="944"/>
      <c r="I179" s="944"/>
      <c r="J179" s="944"/>
      <c r="K179" s="944"/>
      <c r="L179" s="944"/>
      <c r="M179" s="944"/>
      <c r="N179" s="944"/>
      <c r="O179" s="944"/>
      <c r="P179" s="944"/>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row>
    <row r="180" spans="1:69" ht="15.75" customHeight="1" x14ac:dyDescent="0.3">
      <c r="A180" s="960"/>
      <c r="B180" s="944"/>
      <c r="C180" s="44"/>
      <c r="D180" s="44" t="s">
        <v>747</v>
      </c>
      <c r="E180" s="941"/>
      <c r="F180" s="944"/>
      <c r="G180" s="944"/>
      <c r="H180" s="944"/>
      <c r="I180" s="944"/>
      <c r="J180" s="944"/>
      <c r="K180" s="944"/>
      <c r="L180" s="944"/>
      <c r="M180" s="944"/>
      <c r="N180" s="944"/>
      <c r="O180" s="944"/>
      <c r="P180" s="944"/>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row>
    <row r="181" spans="1:69" ht="15" customHeight="1" thickBot="1" x14ac:dyDescent="0.35">
      <c r="A181" s="960"/>
      <c r="B181" s="26"/>
      <c r="C181" s="45"/>
      <c r="D181" s="45"/>
      <c r="E181" s="944"/>
      <c r="F181" s="944"/>
      <c r="G181" s="944"/>
      <c r="H181" s="944"/>
      <c r="I181" s="944"/>
      <c r="J181" s="944"/>
      <c r="K181" s="944"/>
      <c r="L181" s="944"/>
      <c r="M181" s="944"/>
      <c r="N181" s="944"/>
      <c r="O181" s="944"/>
      <c r="P181" s="944"/>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row>
    <row r="182" spans="1:69" ht="15" customHeight="1" x14ac:dyDescent="0.3">
      <c r="A182" s="960"/>
      <c r="B182" s="26"/>
      <c r="C182" s="86"/>
      <c r="D182" s="224"/>
      <c r="E182" s="225"/>
      <c r="F182" s="225"/>
      <c r="G182" s="225"/>
      <c r="H182" s="225"/>
      <c r="I182" s="225"/>
      <c r="J182" s="225"/>
      <c r="K182" s="225"/>
      <c r="L182" s="225"/>
      <c r="M182" s="225"/>
      <c r="N182" s="225"/>
      <c r="O182" s="225"/>
      <c r="P182" s="225"/>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c r="AR182" s="224"/>
      <c r="AS182" s="224"/>
      <c r="AT182" s="224"/>
      <c r="AU182" s="224"/>
      <c r="AV182" s="224"/>
      <c r="AW182" s="224"/>
      <c r="AX182" s="224"/>
      <c r="AY182" s="224"/>
      <c r="AZ182" s="224"/>
      <c r="BA182" s="224"/>
      <c r="BB182" s="224"/>
      <c r="BC182" s="224"/>
      <c r="BD182" s="224"/>
      <c r="BE182" s="224"/>
      <c r="BF182" s="224"/>
      <c r="BG182" s="224"/>
      <c r="BH182" s="224"/>
      <c r="BI182" s="224"/>
      <c r="BJ182" s="224"/>
      <c r="BK182" s="224"/>
      <c r="BL182" s="224"/>
      <c r="BM182" s="224"/>
      <c r="BN182" s="55"/>
    </row>
    <row r="183" spans="1:69" ht="14.25" customHeight="1" x14ac:dyDescent="0.3">
      <c r="A183" s="960"/>
      <c r="B183" s="944"/>
      <c r="C183" s="232"/>
      <c r="D183" s="227" t="s">
        <v>748</v>
      </c>
      <c r="E183" s="229"/>
      <c r="F183" s="229"/>
      <c r="G183" s="229"/>
      <c r="H183" s="229"/>
      <c r="I183" s="229"/>
      <c r="J183" s="229"/>
      <c r="K183" s="230"/>
      <c r="L183" s="230"/>
      <c r="M183" s="230"/>
      <c r="N183" s="230"/>
      <c r="O183" s="230"/>
      <c r="P183" s="230"/>
      <c r="Q183" s="234"/>
      <c r="R183" s="234"/>
      <c r="S183" s="234"/>
      <c r="T183" s="234"/>
      <c r="U183" s="234"/>
      <c r="V183" s="234"/>
      <c r="W183" s="234"/>
      <c r="X183" s="234"/>
      <c r="Y183" s="234"/>
      <c r="Z183" s="234"/>
      <c r="AA183" s="234"/>
      <c r="AB183" s="234"/>
      <c r="AC183" s="234"/>
      <c r="AD183" s="234"/>
      <c r="AE183" s="234"/>
      <c r="AF183" s="234"/>
      <c r="AG183" s="234"/>
      <c r="AH183" s="234"/>
      <c r="AI183" s="234"/>
      <c r="AJ183" s="234"/>
      <c r="AK183" s="234"/>
      <c r="AL183" s="234"/>
      <c r="AM183" s="234"/>
      <c r="AN183" s="234"/>
      <c r="AO183" s="234"/>
      <c r="AP183" s="234"/>
      <c r="AQ183" s="234"/>
      <c r="AR183" s="234"/>
      <c r="AS183" s="234"/>
      <c r="AT183" s="234"/>
      <c r="AU183" s="234"/>
      <c r="AV183" s="234"/>
      <c r="AW183" s="234"/>
      <c r="AX183" s="234"/>
      <c r="AY183" s="234"/>
      <c r="AZ183" s="234"/>
      <c r="BA183" s="234"/>
      <c r="BB183" s="234"/>
      <c r="BC183" s="234"/>
      <c r="BD183" s="234"/>
      <c r="BE183" s="234"/>
      <c r="BF183" s="234"/>
      <c r="BG183" s="234"/>
      <c r="BH183" s="234"/>
      <c r="BI183" s="234"/>
      <c r="BJ183" s="234"/>
      <c r="BK183" s="234"/>
      <c r="BL183" s="234"/>
      <c r="BM183" s="234"/>
      <c r="BN183" s="231"/>
    </row>
    <row r="184" spans="1:69" ht="14.25" customHeight="1" x14ac:dyDescent="0.3">
      <c r="A184" s="960"/>
      <c r="B184" s="944"/>
      <c r="C184" s="232"/>
      <c r="D184" s="233" t="s">
        <v>749</v>
      </c>
      <c r="E184" s="229"/>
      <c r="F184" s="229"/>
      <c r="G184" s="229"/>
      <c r="H184" s="229"/>
      <c r="I184" s="229"/>
      <c r="J184" s="229"/>
      <c r="K184" s="230"/>
      <c r="L184" s="230"/>
      <c r="M184" s="230"/>
      <c r="N184" s="230"/>
      <c r="O184" s="230"/>
      <c r="P184" s="230"/>
      <c r="Q184" s="234"/>
      <c r="R184" s="234"/>
      <c r="S184" s="234"/>
      <c r="T184" s="234"/>
      <c r="U184" s="234"/>
      <c r="V184" s="234"/>
      <c r="W184" s="234"/>
      <c r="X184" s="234"/>
      <c r="Y184" s="234"/>
      <c r="Z184" s="234"/>
      <c r="AA184" s="234"/>
      <c r="AB184" s="234"/>
      <c r="AC184" s="234"/>
      <c r="AD184" s="234"/>
      <c r="AE184" s="234"/>
      <c r="AF184" s="234"/>
      <c r="AG184" s="234"/>
      <c r="AH184" s="234"/>
      <c r="AI184" s="234"/>
      <c r="AJ184" s="234"/>
      <c r="AK184" s="234"/>
      <c r="AL184" s="234"/>
      <c r="AM184" s="234"/>
      <c r="AN184" s="234"/>
      <c r="AO184" s="234"/>
      <c r="AP184" s="234"/>
      <c r="AQ184" s="234"/>
      <c r="AR184" s="234"/>
      <c r="AS184" s="234"/>
      <c r="AT184" s="234"/>
      <c r="AU184" s="234"/>
      <c r="AV184" s="234"/>
      <c r="AW184" s="234"/>
      <c r="AX184" s="234"/>
      <c r="AY184" s="234"/>
      <c r="AZ184" s="234"/>
      <c r="BA184" s="234"/>
      <c r="BB184" s="234"/>
      <c r="BC184" s="234"/>
      <c r="BD184" s="234"/>
      <c r="BE184" s="234"/>
      <c r="BF184" s="234"/>
      <c r="BG184" s="234"/>
      <c r="BH184" s="234"/>
      <c r="BI184" s="234"/>
      <c r="BJ184" s="234"/>
      <c r="BK184" s="234"/>
      <c r="BL184" s="234"/>
      <c r="BM184" s="234"/>
      <c r="BN184" s="231"/>
    </row>
    <row r="185" spans="1:69" ht="14.25" customHeight="1" x14ac:dyDescent="0.3">
      <c r="A185" s="1199" t="s">
        <v>750</v>
      </c>
      <c r="B185" s="944"/>
      <c r="C185" s="252"/>
      <c r="D185" s="234" t="s">
        <v>751</v>
      </c>
      <c r="E185" s="891">
        <f>'Calibración-BAU_Agricultura '!G318*111.93/1000000</f>
        <v>121.87632366000001</v>
      </c>
      <c r="F185" s="891">
        <f>'Calibración-BAU_Agricultura '!H318*111.93/1000000</f>
        <v>126.18574059000001</v>
      </c>
      <c r="G185" s="891">
        <f>'Calibración-BAU_Agricultura '!I318*111.93/1000000</f>
        <v>117.89710023000001</v>
      </c>
      <c r="H185" s="891">
        <f>'Calibración-BAU_Agricultura '!J318*111.93/1000000</f>
        <v>126.21529011000001</v>
      </c>
      <c r="I185" s="891">
        <f>'Calibración-BAU_Agricultura '!K318*111.93/1000000</f>
        <v>111.82221141000001</v>
      </c>
      <c r="J185" s="891">
        <f>'Calibración-BAU_Agricultura '!L318*111.93/1000000</f>
        <v>96.358969979999998</v>
      </c>
      <c r="K185" s="891">
        <f>'Calibración-BAU_Agricultura '!M318*111.93/1000000</f>
        <v>100.3083081</v>
      </c>
      <c r="L185" s="891">
        <f>'Calibración-BAU_Agricultura '!N318*111.93/1000000</f>
        <v>95.830436520000006</v>
      </c>
      <c r="M185" s="891">
        <f>'Calibración-BAU_Agricultura '!O318*111.93/1000000</f>
        <v>93.184859040000006</v>
      </c>
      <c r="N185" s="891">
        <f>'Calibración-BAU_Agricultura '!P318*111.93/1000000</f>
        <v>111.53858079000001</v>
      </c>
      <c r="O185" s="891">
        <f>'Calibración-BAU_Agricultura '!Q318*111.93/1000000</f>
        <v>107.73486360000001</v>
      </c>
      <c r="P185" s="891">
        <f>'Calibración-BAU_Agricultura '!R318*111.93/1000000</f>
        <v>94.77280995000001</v>
      </c>
      <c r="Q185" s="891">
        <f>'Calibración-BAU_Agricultura '!S318*111.93/1000000</f>
        <v>96.046865304013039</v>
      </c>
      <c r="R185" s="891">
        <f>'Calibración-BAU_Agricultura '!T318*111.93/1000000</f>
        <v>97.310055937237351</v>
      </c>
      <c r="S185" s="891">
        <f>'Calibración-BAU_Agricultura '!U318*111.93/1000000</f>
        <v>98.56162906066497</v>
      </c>
      <c r="T185" s="891">
        <f>'Calibración-BAU_Agricultura '!V318*111.93/1000000</f>
        <v>99.801349761413988</v>
      </c>
      <c r="U185" s="891">
        <f>'Calibración-BAU_Agricultura '!W318*111.93/1000000</f>
        <v>101.02782991790943</v>
      </c>
      <c r="V185" s="891">
        <f>'Calibración-BAU_Agricultura '!X318*111.93/1000000</f>
        <v>102.24060504331658</v>
      </c>
      <c r="W185" s="891">
        <f>'Calibración-BAU_Agricultura '!Y318*111.93/1000000</f>
        <v>103.43880489218652</v>
      </c>
      <c r="X185" s="891">
        <f>'Calibración-BAU_Agricultura '!Z318*111.93/1000000</f>
        <v>104.62225861878697</v>
      </c>
      <c r="Y185" s="891">
        <f>'Calibración-BAU_Agricultura '!AA318*111.93/1000000</f>
        <v>105.78963682976342</v>
      </c>
      <c r="Z185" s="891">
        <f>'Calibración-BAU_Agricultura '!AB318*111.93/1000000</f>
        <v>106.94031487040712</v>
      </c>
      <c r="AA185" s="891">
        <f>'Calibración-BAU_Agricultura '!AC318*111.93/1000000</f>
        <v>108.07348656241878</v>
      </c>
      <c r="AB185" s="891">
        <f>'Calibración-BAU_Agricultura '!AD318*111.93/1000000</f>
        <v>109.18821759319982</v>
      </c>
      <c r="AC185" s="891">
        <f>'Calibración-BAU_Agricultura '!AE318*111.93/1000000</f>
        <v>110.28404881484475</v>
      </c>
      <c r="AD185" s="891">
        <f>'Calibración-BAU_Agricultura '!AF318*111.93/1000000</f>
        <v>111.36017938798335</v>
      </c>
      <c r="AE185" s="891">
        <f>'Calibración-BAU_Agricultura '!AG318*111.93/1000000</f>
        <v>112.41613948685178</v>
      </c>
      <c r="AF185" s="891">
        <f>'Calibración-BAU_Agricultura '!AH318*111.93/1000000</f>
        <v>113.45102683242631</v>
      </c>
      <c r="AG185" s="891">
        <f>'Calibración-BAU_Agricultura '!AI318*111.93/1000000</f>
        <v>114.46448371645494</v>
      </c>
      <c r="AH185" s="891">
        <f>'Calibración-BAU_Agricultura '!AJ318*111.93/1000000</f>
        <v>115.45584277279583</v>
      </c>
      <c r="AI185" s="891">
        <f>'Calibración-BAU_Agricultura '!AK318*111.93/1000000</f>
        <v>116.42463951461428</v>
      </c>
      <c r="AJ185" s="891">
        <f>'Calibración-BAU_Agricultura '!AL318*111.93/1000000</f>
        <v>117.37075114654021</v>
      </c>
      <c r="AK185" s="891">
        <f>'Calibración-BAU_Agricultura '!AM318*111.93/1000000</f>
        <v>118.29385199389644</v>
      </c>
      <c r="AL185" s="891">
        <f>'Calibración-BAU_Agricultura '!AN318*111.93/1000000</f>
        <v>119.19337079126554</v>
      </c>
      <c r="AM185" s="891">
        <f>'Calibración-BAU_Agricultura '!AO318*111.93/1000000</f>
        <v>120.06919008220655</v>
      </c>
      <c r="AN185" s="891">
        <f>'Calibración-BAU_Agricultura '!AP318*111.93/1000000</f>
        <v>120.92073860130211</v>
      </c>
      <c r="AO185" s="891">
        <f>'Calibración-BAU_Agricultura '!AQ318*111.93/1000000</f>
        <v>121.74787219746558</v>
      </c>
      <c r="AP185" s="891">
        <f>'Calibración-BAU_Agricultura '!AR318*111.93/1000000</f>
        <v>122.55072434392532</v>
      </c>
      <c r="AQ185" s="891">
        <f>'Calibración-BAU_Agricultura '!AS318*111.93/1000000</f>
        <v>123.32860631882295</v>
      </c>
      <c r="AR185" s="891">
        <f>'Calibración-BAU_Agricultura '!AT318*111.93/1000000</f>
        <v>124.08172634039472</v>
      </c>
      <c r="AS185" s="891">
        <f>'Calibración-BAU_Agricultura '!AU318*111.93/1000000</f>
        <v>124.81034601616827</v>
      </c>
      <c r="AT185" s="891">
        <f>'Calibración-BAU_Agricultura '!AV318*111.93/1000000</f>
        <v>125.51397398363804</v>
      </c>
      <c r="AU185" s="891">
        <f>'Calibración-BAU_Agricultura '!AW318*111.93/1000000</f>
        <v>126.19213346272996</v>
      </c>
      <c r="AV185" s="891">
        <f>'Calibración-BAU_Agricultura '!AX318*111.93/1000000</f>
        <v>126.84436279210428</v>
      </c>
      <c r="AW185" s="891">
        <f>'Calibración-BAU_Agricultura '!AY318*111.93/1000000</f>
        <v>127.47021595100503</v>
      </c>
      <c r="AX185" s="891">
        <f>'Calibración-BAU_Agricultura '!AZ318*111.93/1000000</f>
        <v>128.06926306583406</v>
      </c>
      <c r="AY185" s="891">
        <f>'Calibración-BAU_Agricultura '!BA318*111.93/1000000</f>
        <v>128.64109090064699</v>
      </c>
      <c r="AZ185" s="891">
        <f>'Calibración-BAU_Agricultura '!BB318*111.93/1000000</f>
        <v>129.18530333078999</v>
      </c>
      <c r="BA185" s="891">
        <f>'Calibración-BAU_Agricultura '!BC318*111.93/1000000</f>
        <v>129.70152179892051</v>
      </c>
      <c r="BB185" s="891">
        <f>'Calibración-BAU_Agricultura '!BD318*111.93/1000000</f>
        <v>130.18938575267819</v>
      </c>
      <c r="BC185" s="891">
        <f>'Calibración-BAU_Agricultura '!BE318*111.93/1000000</f>
        <v>130.64855306330082</v>
      </c>
      <c r="BD185" s="891">
        <f>'Calibración-BAU_Agricultura '!BF318*111.93/1000000</f>
        <v>131.0787004245056</v>
      </c>
      <c r="BE185" s="891">
        <f>'Calibración-BAU_Agricultura '!BG318*111.93/1000000</f>
        <v>131.4795237309871</v>
      </c>
      <c r="BF185" s="891">
        <f>'Calibración-BAU_Agricultura '!BH318*111.93/1000000</f>
        <v>131.85073843591286</v>
      </c>
      <c r="BG185" s="891">
        <f>'Calibración-BAU_Agricultura '!BI318*111.93/1000000</f>
        <v>132.19207988682948</v>
      </c>
      <c r="BH185" s="891">
        <f>'Calibración-BAU_Agricultura '!BJ318*111.93/1000000</f>
        <v>132.50330363942555</v>
      </c>
      <c r="BI185" s="891">
        <f>'Calibración-BAU_Agricultura '!BK318*111.93/1000000</f>
        <v>132.78418574863201</v>
      </c>
      <c r="BJ185" s="891">
        <f>'Calibración-BAU_Agricultura '!BL318*111.93/1000000</f>
        <v>133.03452303657514</v>
      </c>
      <c r="BK185" s="891">
        <f>'Calibración-BAU_Agricultura '!BM318*111.93/1000000</f>
        <v>133.25413333693493</v>
      </c>
      <c r="BL185" s="891">
        <f>'Calibración-BAU_Agricultura '!BN318*111.93/1000000</f>
        <v>133.44285571529812</v>
      </c>
      <c r="BM185" s="891">
        <f>'Calibración-BAU_Agricultura '!BO318*111.93/1000000</f>
        <v>133.60055066513365</v>
      </c>
      <c r="BN185" s="238"/>
    </row>
    <row r="186" spans="1:69" ht="14.25" customHeight="1" x14ac:dyDescent="0.3">
      <c r="A186" s="982"/>
      <c r="B186" s="944"/>
      <c r="C186" s="252"/>
      <c r="D186" s="234" t="s">
        <v>752</v>
      </c>
      <c r="E186" s="891">
        <f>'Calibración-BAU_Agricultura '!G319*80.5/1000000</f>
        <v>29.603675360000004</v>
      </c>
      <c r="F186" s="891">
        <f>'Calibración-BAU_Agricultura '!H319*80.5/1000000</f>
        <v>30.197424040000001</v>
      </c>
      <c r="G186" s="891">
        <f>'Calibración-BAU_Agricultura '!I319*80.5/1000000</f>
        <v>29.502324250000004</v>
      </c>
      <c r="H186" s="891">
        <f>'Calibración-BAU_Agricultura '!J319*80.5/1000000</f>
        <v>28.930777470000002</v>
      </c>
      <c r="I186" s="891">
        <f>'Calibración-BAU_Agricultura '!K319*80.5/1000000</f>
        <v>25.947056240000006</v>
      </c>
      <c r="J186" s="891">
        <f>'Calibración-BAU_Agricultura '!L319*80.5/1000000</f>
        <v>23.189225255000004</v>
      </c>
      <c r="K186" s="891">
        <f>'Calibración-BAU_Agricultura '!M319*80.5/1000000</f>
        <v>23.257397485000002</v>
      </c>
      <c r="L186" s="891">
        <f>'Calibración-BAU_Agricultura '!N319*80.5/1000000</f>
        <v>23.614092985000003</v>
      </c>
      <c r="M186" s="891">
        <f>'Calibración-BAU_Agricultura '!O319*80.5/1000000</f>
        <v>22.860045460000002</v>
      </c>
      <c r="N186" s="891">
        <f>'Calibración-BAU_Agricultura '!P319*80.5/1000000</f>
        <v>24.26568494</v>
      </c>
      <c r="O186" s="891">
        <f>'Calibración-BAU_Agricultura '!Q319*80.5/1000000</f>
        <v>24.432931740000004</v>
      </c>
      <c r="P186" s="891">
        <f>'Calibración-BAU_Agricultura '!R319*80.5/1000000</f>
        <v>22.917150550000006</v>
      </c>
      <c r="Q186" s="891">
        <f>'Calibración-BAU_Agricultura '!S319*80.5/1000000</f>
        <v>23.225231721934804</v>
      </c>
      <c r="R186" s="891">
        <f>'Calibración-BAU_Agricultura '!T319*80.5/1000000</f>
        <v>23.530685679986952</v>
      </c>
      <c r="S186" s="891">
        <f>'Calibración-BAU_Agricultura '!U319*80.5/1000000</f>
        <v>23.833330391155236</v>
      </c>
      <c r="T186" s="891">
        <f>'Calibración-BAU_Agricultura '!V319*80.5/1000000</f>
        <v>24.133109050815172</v>
      </c>
      <c r="U186" s="891">
        <f>'Calibración-BAU_Agricultura '!W319*80.5/1000000</f>
        <v>24.429685995276589</v>
      </c>
      <c r="V186" s="891">
        <f>'Calibración-BAU_Agricultura '!X319*80.5/1000000</f>
        <v>24.722948906304701</v>
      </c>
      <c r="W186" s="891">
        <f>'Calibración-BAU_Agricultura '!Y319*80.5/1000000</f>
        <v>25.012687348586052</v>
      </c>
      <c r="X186" s="891">
        <f>'Calibración-BAU_Agricultura '!Z319*80.5/1000000</f>
        <v>25.298860009666484</v>
      </c>
      <c r="Y186" s="891">
        <f>'Calibración-BAU_Agricultura '!AA319*80.5/1000000</f>
        <v>25.581145427011933</v>
      </c>
      <c r="Z186" s="891">
        <f>'Calibración-BAU_Agricultura '!AB319*80.5/1000000</f>
        <v>25.859392551961832</v>
      </c>
      <c r="AA186" s="891">
        <f>'Calibración-BAU_Agricultura '!AC319*80.5/1000000</f>
        <v>26.133406441373044</v>
      </c>
      <c r="AB186" s="891">
        <f>'Calibración-BAU_Agricultura '!AD319*80.5/1000000</f>
        <v>26.402961167761806</v>
      </c>
      <c r="AC186" s="891">
        <f>'Calibración-BAU_Agricultura '!AE319*80.5/1000000</f>
        <v>26.667945703907524</v>
      </c>
      <c r="AD186" s="891">
        <f>'Calibración-BAU_Agricultura '!AF319*80.5/1000000</f>
        <v>26.92816639768126</v>
      </c>
      <c r="AE186" s="891">
        <f>'Calibración-BAU_Agricultura '!AG319*80.5/1000000</f>
        <v>27.183509639834025</v>
      </c>
      <c r="AF186" s="891">
        <f>'Calibración-BAU_Agricultura '!AH319*80.5/1000000</f>
        <v>27.433757248967208</v>
      </c>
      <c r="AG186" s="891">
        <f>'Calibración-BAU_Agricultura '!AI319*80.5/1000000</f>
        <v>27.678822727129891</v>
      </c>
      <c r="AH186" s="891">
        <f>'Calibración-BAU_Agricultura '!AJ319*80.5/1000000</f>
        <v>27.918544697547951</v>
      </c>
      <c r="AI186" s="891">
        <f>'Calibración-BAU_Agricultura '!AK319*80.5/1000000</f>
        <v>28.152810841986593</v>
      </c>
      <c r="AJ186" s="891">
        <f>'Calibración-BAU_Agricultura '!AL319*80.5/1000000</f>
        <v>28.381591467119396</v>
      </c>
      <c r="AK186" s="891">
        <f>'Calibración-BAU_Agricultura '!AM319*80.5/1000000</f>
        <v>28.604807821080577</v>
      </c>
      <c r="AL186" s="891">
        <f>'Calibración-BAU_Agricultura '!AN319*80.5/1000000</f>
        <v>28.822321765351493</v>
      </c>
      <c r="AM186" s="891">
        <f>'Calibración-BAU_Agricultura '!AO319*80.5/1000000</f>
        <v>29.034104897619898</v>
      </c>
      <c r="AN186" s="891">
        <f>'Calibración-BAU_Agricultura '!AP319*80.5/1000000</f>
        <v>29.240019079367158</v>
      </c>
      <c r="AO186" s="891">
        <f>'Calibración-BAU_Agricultura '!AQ319*80.5/1000000</f>
        <v>29.440029453210052</v>
      </c>
      <c r="AP186" s="891">
        <f>'Calibración-BAU_Agricultura '!AR319*80.5/1000000</f>
        <v>29.634168294503407</v>
      </c>
      <c r="AQ186" s="891">
        <f>'Calibración-BAU_Agricultura '!AS319*80.5/1000000</f>
        <v>29.822269062416328</v>
      </c>
      <c r="AR186" s="891">
        <f>'Calibración-BAU_Agricultura '!AT319*80.5/1000000</f>
        <v>30.004382106502348</v>
      </c>
      <c r="AS186" s="891">
        <f>'Calibración-BAU_Agricultura '!AU319*80.5/1000000</f>
        <v>30.18057068645691</v>
      </c>
      <c r="AT186" s="891">
        <f>'Calibración-BAU_Agricultura '!AV319*80.5/1000000</f>
        <v>30.350715985200321</v>
      </c>
      <c r="AU186" s="891">
        <f>'Calibración-BAU_Agricultura '!AW319*80.5/1000000</f>
        <v>30.514702711851758</v>
      </c>
      <c r="AV186" s="891">
        <f>'Calibración-BAU_Agricultura '!AX319*80.5/1000000</f>
        <v>30.67241923141346</v>
      </c>
      <c r="AW186" s="891">
        <f>'Calibración-BAU_Agricultura '!AY319*80.5/1000000</f>
        <v>30.823757690959912</v>
      </c>
      <c r="AX186" s="891">
        <f>'Calibración-BAU_Agricultura '!AZ319*80.5/1000000</f>
        <v>30.96861414213323</v>
      </c>
      <c r="AY186" s="891">
        <f>'Calibración-BAU_Agricultura '!BA319*80.5/1000000</f>
        <v>31.106888659750691</v>
      </c>
      <c r="AZ186" s="891">
        <f>'Calibración-BAU_Agricultura '!BB319*80.5/1000000</f>
        <v>31.238485456335585</v>
      </c>
      <c r="BA186" s="891">
        <f>'Calibración-BAU_Agricultura '!BC319*80.5/1000000</f>
        <v>31.36331299238816</v>
      </c>
      <c r="BB186" s="891">
        <f>'Calibración-BAU_Agricultura '!BD319*80.5/1000000</f>
        <v>31.481284082219538</v>
      </c>
      <c r="BC186" s="891">
        <f>'Calibración-BAU_Agricultura '!BE319*80.5/1000000</f>
        <v>31.592315995177792</v>
      </c>
      <c r="BD186" s="891">
        <f>'Calibración-BAU_Agricultura '!BF319*80.5/1000000</f>
        <v>31.696330552102033</v>
      </c>
      <c r="BE186" s="891">
        <f>'Calibración-BAU_Agricultura '!BG319*80.5/1000000</f>
        <v>31.793254216847558</v>
      </c>
      <c r="BF186" s="891">
        <f>'Calibración-BAU_Agricultura '!BH319*80.5/1000000</f>
        <v>31.883018182732343</v>
      </c>
      <c r="BG186" s="891">
        <f>'Calibración-BAU_Agricultura '!BI319*80.5/1000000</f>
        <v>31.965558453763016</v>
      </c>
      <c r="BH186" s="891">
        <f>'Calibración-BAU_Agricultura '!BJ319*80.5/1000000</f>
        <v>32.040815920506297</v>
      </c>
      <c r="BI186" s="891">
        <f>'Calibración-BAU_Agricultura '!BK319*80.5/1000000</f>
        <v>32.108736430480434</v>
      </c>
      <c r="BJ186" s="891">
        <f>'Calibración-BAU_Agricultura '!BL319*80.5/1000000</f>
        <v>32.169270852949268</v>
      </c>
      <c r="BK186" s="891">
        <f>'Calibración-BAU_Agricultura '!BM319*80.5/1000000</f>
        <v>32.222375138010896</v>
      </c>
      <c r="BL186" s="891">
        <f>'Calibración-BAU_Agricultura '!BN319*80.5/1000000</f>
        <v>32.268010369881566</v>
      </c>
      <c r="BM186" s="891">
        <f>'Calibración-BAU_Agricultura '!BO319*80.5/1000000</f>
        <v>32.30614281428479</v>
      </c>
      <c r="BN186" s="238"/>
    </row>
    <row r="187" spans="1:69" ht="14.25" customHeight="1" x14ac:dyDescent="0.3">
      <c r="A187" s="982"/>
      <c r="B187" s="944"/>
      <c r="C187" s="252"/>
      <c r="D187" s="234" t="s">
        <v>753</v>
      </c>
      <c r="E187" s="891">
        <f>'Calibración-BAU_Agricultura '!G320*95.19/1000000</f>
        <v>155.02606847039996</v>
      </c>
      <c r="F187" s="891">
        <f>'Calibración-BAU_Agricultura '!H320*95.19/1000000</f>
        <v>158.13536224559999</v>
      </c>
      <c r="G187" s="891">
        <f>'Calibración-BAU_Agricultura '!I320*95.19/1000000</f>
        <v>154.49532139500002</v>
      </c>
      <c r="H187" s="891">
        <f>'Calibración-BAU_Agricultura '!J320*95.19/1000000</f>
        <v>151.50229268580003</v>
      </c>
      <c r="I187" s="891">
        <f>'Calibración-BAU_Agricultura '!K320*95.19/1000000</f>
        <v>135.87738915359998</v>
      </c>
      <c r="J187" s="891">
        <f>'Calibración-BAU_Agricultura '!L320*95.19/1000000</f>
        <v>121.43540889569999</v>
      </c>
      <c r="K187" s="891">
        <f>'Calibración-BAU_Agricultura '!M320*95.19/1000000</f>
        <v>121.79240756789999</v>
      </c>
      <c r="L187" s="891">
        <f>'Calibración-BAU_Agricultura '!N320*95.19/1000000</f>
        <v>123.6603209379</v>
      </c>
      <c r="M187" s="891">
        <f>'Calibración-BAU_Agricultura '!O320*95.19/1000000</f>
        <v>119.7115874844</v>
      </c>
      <c r="N187" s="891">
        <f>'Calibración-BAU_Agricultura '!P320*95.19/1000000</f>
        <v>127.07252357159999</v>
      </c>
      <c r="O187" s="891">
        <f>'Calibración-BAU_Agricultura '!Q320*95.19/1000000</f>
        <v>127.94834772359998</v>
      </c>
      <c r="P187" s="891">
        <f>'Calibración-BAU_Agricultura '!R320*95.19/1000000</f>
        <v>120.01063067699999</v>
      </c>
      <c r="Q187" s="891">
        <f>'Calibración-BAU_Agricultura '!S320*95.19/1000000</f>
        <v>121.62396457132242</v>
      </c>
      <c r="R187" s="891">
        <f>'Calibración-BAU_Agricultura '!T320*95.19/1000000</f>
        <v>123.22354049018045</v>
      </c>
      <c r="S187" s="891">
        <f>'Calibración-BAU_Agricultura '!U320*95.19/1000000</f>
        <v>124.80840517827163</v>
      </c>
      <c r="T187" s="891">
        <f>'Calibración-BAU_Agricultura '!V320*95.19/1000000</f>
        <v>126.37826116585619</v>
      </c>
      <c r="U187" s="891">
        <f>'Calibración-BAU_Agricultura '!W320*95.19/1000000</f>
        <v>127.93135067719913</v>
      </c>
      <c r="V187" s="891">
        <f>'Calibración-BAU_Agricultura '!X320*95.19/1000000</f>
        <v>129.46708553349683</v>
      </c>
      <c r="W187" s="891">
        <f>'Calibración-BAU_Agricultura '!Y320*95.19/1000000</f>
        <v>130.98436374457691</v>
      </c>
      <c r="X187" s="891">
        <f>'Calibración-BAU_Agricultura '!Z320*95.19/1000000</f>
        <v>132.4829689688105</v>
      </c>
      <c r="Y187" s="891">
        <f>'Calibración-BAU_Agricultura '!AA320*95.19/1000000</f>
        <v>133.96121779789746</v>
      </c>
      <c r="Z187" s="891">
        <f>'Calibración-BAU_Agricultura '!AB320*95.19/1000000</f>
        <v>135.41831923275711</v>
      </c>
      <c r="AA187" s="891">
        <f>'Calibración-BAU_Agricultura '!AC320*95.19/1000000</f>
        <v>136.85325241132793</v>
      </c>
      <c r="AB187" s="891">
        <f>'Calibración-BAU_Agricultura '!AD320*95.19/1000000</f>
        <v>138.26483421532672</v>
      </c>
      <c r="AC187" s="891">
        <f>'Calibración-BAU_Agricultura '!AE320*95.19/1000000</f>
        <v>139.65248322662583</v>
      </c>
      <c r="AD187" s="891">
        <f>'Calibración-BAU_Agricultura '!AF320*95.19/1000000</f>
        <v>141.01518534383965</v>
      </c>
      <c r="AE187" s="891">
        <f>'Calibración-BAU_Agricultura '!AG320*95.19/1000000</f>
        <v>142.35234562748855</v>
      </c>
      <c r="AF187" s="891">
        <f>'Calibración-BAU_Agricultura '!AH320*95.19/1000000</f>
        <v>143.66282152334489</v>
      </c>
      <c r="AG187" s="891">
        <f>'Calibración-BAU_Agricultura '!AI320*95.19/1000000</f>
        <v>144.94616006612301</v>
      </c>
      <c r="AH187" s="891">
        <f>'Calibración-BAU_Agricultura '!AJ320*95.19/1000000</f>
        <v>146.20151617133499</v>
      </c>
      <c r="AI187" s="891">
        <f>'Calibración-BAU_Agricultura '!AK320*95.19/1000000</f>
        <v>147.42830166017717</v>
      </c>
      <c r="AJ187" s="891">
        <f>'Calibración-BAU_Agricultura '!AL320*95.19/1000000</f>
        <v>148.62636103710375</v>
      </c>
      <c r="AK187" s="891">
        <f>'Calibración-BAU_Agricultura '!AM320*95.19/1000000</f>
        <v>149.79528190088459</v>
      </c>
      <c r="AL187" s="891">
        <f>'Calibración-BAU_Agricultura '!AN320*95.19/1000000</f>
        <v>150.93434085919799</v>
      </c>
      <c r="AM187" s="891">
        <f>'Calibración-BAU_Agricultura '!AO320*95.19/1000000</f>
        <v>152.04338917717408</v>
      </c>
      <c r="AN187" s="891">
        <f>'Calibración-BAU_Agricultura '!AP320*95.19/1000000</f>
        <v>153.12170346249113</v>
      </c>
      <c r="AO187" s="891">
        <f>'Calibración-BAU_Agricultura '!AQ320*95.19/1000000</f>
        <v>154.16910117689977</v>
      </c>
      <c r="AP187" s="891">
        <f>'Calibración-BAU_Agricultura '!AR320*95.19/1000000</f>
        <v>155.18575133729755</v>
      </c>
      <c r="AQ187" s="891">
        <f>'Calibración-BAU_Agricultura '!AS320*95.19/1000000</f>
        <v>156.17078181649285</v>
      </c>
      <c r="AR187" s="891">
        <f>'Calibración-BAU_Agricultura '!AT320*95.19/1000000</f>
        <v>157.12445628084598</v>
      </c>
      <c r="AS187" s="891">
        <f>'Calibración-BAU_Agricultura '!AU320*95.19/1000000</f>
        <v>158.04710600347622</v>
      </c>
      <c r="AT187" s="891">
        <f>'Calibración-BAU_Agricultura '!AV320*95.19/1000000</f>
        <v>158.93810877296852</v>
      </c>
      <c r="AU187" s="891">
        <f>'Calibración-BAU_Agricultura '!AW320*95.19/1000000</f>
        <v>159.7968608436135</v>
      </c>
      <c r="AV187" s="891">
        <f>'Calibración-BAU_Agricultura '!AX320*95.19/1000000</f>
        <v>160.62277761452646</v>
      </c>
      <c r="AW187" s="891">
        <f>'Calibración-BAU_Agricultura '!AY320*95.19/1000000</f>
        <v>161.4152942904644</v>
      </c>
      <c r="AX187" s="891">
        <f>'Calibración-BAU_Agricultura '!AZ320*95.19/1000000</f>
        <v>162.17386652329995</v>
      </c>
      <c r="AY187" s="891">
        <f>'Calibración-BAU_Agricultura '!BA320*95.19/1000000</f>
        <v>162.89797103313526</v>
      </c>
      <c r="AZ187" s="891">
        <f>'Calibración-BAU_Agricultura '!BB320*95.19/1000000</f>
        <v>163.58710620806767</v>
      </c>
      <c r="BA187" s="891">
        <f>'Calibración-BAU_Agricultura '!BC320*95.19/1000000</f>
        <v>164.24079268164735</v>
      </c>
      <c r="BB187" s="891">
        <f>'Calibración-BAU_Agricultura '!BD320*95.19/1000000</f>
        <v>164.85857388709991</v>
      </c>
      <c r="BC187" s="891">
        <f>'Calibración-BAU_Agricultura '!BE320*95.19/1000000</f>
        <v>165.44001658741826</v>
      </c>
      <c r="BD187" s="891">
        <f>'Calibración-BAU_Agricultura '!BF320*95.19/1000000</f>
        <v>165.98471138046563</v>
      </c>
      <c r="BE187" s="891">
        <f>'Calibración-BAU_Agricultura '!BG320*95.19/1000000</f>
        <v>166.49227317826674</v>
      </c>
      <c r="BF187" s="891">
        <f>'Calibración-BAU_Agricultura '!BH320*95.19/1000000</f>
        <v>166.96234165970375</v>
      </c>
      <c r="BG187" s="891">
        <f>'Calibración-BAU_Agricultura '!BI320*95.19/1000000</f>
        <v>167.39458169587357</v>
      </c>
      <c r="BH187" s="891">
        <f>'Calibración-BAU_Agricultura '!BJ320*95.19/1000000</f>
        <v>167.7886837474052</v>
      </c>
      <c r="BI187" s="891">
        <f>'Calibración-BAU_Agricultura '!BK320*95.19/1000000</f>
        <v>168.1443642330797</v>
      </c>
      <c r="BJ187" s="891">
        <f>'Calibración-BAU_Agricultura '!BL320*95.19/1000000</f>
        <v>168.46136586913835</v>
      </c>
      <c r="BK187" s="891">
        <f>'Calibración-BAU_Agricultura '!BM320*95.19/1000000</f>
        <v>168.73945797871338</v>
      </c>
      <c r="BL187" s="891">
        <f>'Calibración-BAU_Agricultura '!BN320*95.19/1000000</f>
        <v>168.97843677086038</v>
      </c>
      <c r="BM187" s="891">
        <f>'Calibración-BAU_Agricultura '!BO320*95.19/1000000</f>
        <v>169.17812558872203</v>
      </c>
      <c r="BN187" s="238"/>
    </row>
    <row r="188" spans="1:69" ht="14.25" customHeight="1" x14ac:dyDescent="0.3">
      <c r="A188" s="982"/>
      <c r="B188" s="944"/>
      <c r="C188" s="252"/>
      <c r="D188" s="234" t="s">
        <v>754</v>
      </c>
      <c r="E188" s="891">
        <f>'Calibración-BAU_Agricultura '!G321*52.38/1000000</f>
        <v>101.8166798016</v>
      </c>
      <c r="F188" s="891">
        <f>'Calibración-BAU_Agricultura '!H321*52.38/1000000</f>
        <v>103.85877486240001</v>
      </c>
      <c r="G188" s="891">
        <f>'Calibración-BAU_Agricultura '!I321*52.38/1000000</f>
        <v>101.46810033</v>
      </c>
      <c r="H188" s="891">
        <f>'Calibración-BAU_Agricultura '!J321*52.38/1000000</f>
        <v>99.502364833199991</v>
      </c>
      <c r="I188" s="891">
        <f>'Calibración-BAU_Agricultura '!K321*52.38/1000000</f>
        <v>89.240375894400003</v>
      </c>
      <c r="J188" s="891">
        <f>'Calibración-BAU_Agricultura '!L321*52.38/1000000</f>
        <v>79.755297067800001</v>
      </c>
      <c r="K188" s="891">
        <f>'Calibración-BAU_Agricultura '!M321*52.38/1000000</f>
        <v>79.989763566600004</v>
      </c>
      <c r="L188" s="891">
        <f>'Calibración-BAU_Agricultura '!N321*52.38/1000000</f>
        <v>81.21655554660002</v>
      </c>
      <c r="M188" s="891">
        <f>'Calibración-BAU_Agricultura '!O321*52.38/1000000</f>
        <v>78.62314055760001</v>
      </c>
      <c r="N188" s="891">
        <f>'Calibración-BAU_Agricultura '!P321*52.38/1000000</f>
        <v>83.457592466400015</v>
      </c>
      <c r="O188" s="891">
        <f>'Calibración-BAU_Agricultura '!Q321*52.38/1000000</f>
        <v>84.032808674400002</v>
      </c>
      <c r="P188" s="891">
        <f>'Calibración-BAU_Agricultura '!R321*52.38/1000000</f>
        <v>78.819543558000007</v>
      </c>
      <c r="Q188" s="891">
        <f>'Calibración-BAU_Agricultura '!S321*52.38/1000000</f>
        <v>79.879135032853526</v>
      </c>
      <c r="R188" s="891">
        <f>'Calibración-BAU_Agricultura '!T321*52.38/1000000</f>
        <v>80.929690663629998</v>
      </c>
      <c r="S188" s="891">
        <f>'Calibración-BAU_Agricultura '!U321*52.38/1000000</f>
        <v>81.970584379560435</v>
      </c>
      <c r="T188" s="891">
        <f>'Calibración-BAU_Agricultura '!V321*52.38/1000000</f>
        <v>83.001620811043196</v>
      </c>
      <c r="U188" s="891">
        <f>'Calibración-BAU_Agricultura '!W321*52.38/1000000</f>
        <v>84.021645501341155</v>
      </c>
      <c r="V188" s="891">
        <f>'Calibración-BAU_Agricultura '!X321*52.38/1000000</f>
        <v>85.030272151469177</v>
      </c>
      <c r="W188" s="891">
        <f>'Calibración-BAU_Agricultura '!Y321*52.38/1000000</f>
        <v>86.026777005857454</v>
      </c>
      <c r="X188" s="891">
        <f>'Calibración-BAU_Agricultura '!Z321*52.38/1000000</f>
        <v>87.011017977522997</v>
      </c>
      <c r="Y188" s="891">
        <f>'Calibración-BAU_Agricultura '!AA321*52.38/1000000</f>
        <v>87.981889452129067</v>
      </c>
      <c r="Z188" s="891">
        <f>'Calibración-BAU_Agricultura '!AB321*52.38/1000000</f>
        <v>88.938871924143982</v>
      </c>
      <c r="AA188" s="891">
        <f>'Calibración-BAU_Agricultura '!AC321*52.38/1000000</f>
        <v>89.881294920616554</v>
      </c>
      <c r="AB188" s="891">
        <f>'Calibración-BAU_Agricultura '!AD321*52.38/1000000</f>
        <v>90.808381403358354</v>
      </c>
      <c r="AC188" s="891">
        <f>'Calibración-BAU_Agricultura '!AE321*52.38/1000000</f>
        <v>91.719749513602494</v>
      </c>
      <c r="AD188" s="891">
        <f>'Calibración-BAU_Agricultura '!AF321*52.38/1000000</f>
        <v>92.61473321861601</v>
      </c>
      <c r="AE188" s="891">
        <f>'Calibración-BAU_Agricultura '!AG321*52.38/1000000</f>
        <v>93.492941779195576</v>
      </c>
      <c r="AF188" s="891">
        <f>'Calibración-BAU_Agricultura '!AH321*52.38/1000000</f>
        <v>94.353624798462079</v>
      </c>
      <c r="AG188" s="891">
        <f>'Calibración-BAU_Agricultura '!AI321*52.38/1000000</f>
        <v>95.196484781794751</v>
      </c>
      <c r="AH188" s="891">
        <f>'Calibración-BAU_Agricultura '!AJ321*52.38/1000000</f>
        <v>96.02096670191618</v>
      </c>
      <c r="AI188" s="891">
        <f>'Calibración-BAU_Agricultura '!AK321*52.38/1000000</f>
        <v>96.826684259841215</v>
      </c>
      <c r="AJ188" s="891">
        <f>'Calibración-BAU_Agricultura '!AL321*52.38/1000000</f>
        <v>97.613535330550846</v>
      </c>
      <c r="AK188" s="891">
        <f>'Calibración-BAU_Agricultura '!AM321*52.38/1000000</f>
        <v>98.381249060733651</v>
      </c>
      <c r="AL188" s="891">
        <f>'Calibración-BAU_Agricultura '!AN321*52.38/1000000</f>
        <v>99.129350347040116</v>
      </c>
      <c r="AM188" s="891">
        <f>'Calibración-BAU_Agricultura '!AO321*52.38/1000000</f>
        <v>99.85774150466942</v>
      </c>
      <c r="AN188" s="891">
        <f>'Calibración-BAU_Agricultura '!AP321*52.38/1000000</f>
        <v>100.56594743027206</v>
      </c>
      <c r="AO188" s="891">
        <f>'Calibración-BAU_Agricultura '!AQ321*52.38/1000000</f>
        <v>101.25384823795611</v>
      </c>
      <c r="AP188" s="891">
        <f>'Calibración-BAU_Agricultura '!AR321*52.38/1000000</f>
        <v>101.92155493317705</v>
      </c>
      <c r="AQ188" s="891">
        <f>'Calibración-BAU_Agricultura '!AS321*52.38/1000000</f>
        <v>102.56849472778453</v>
      </c>
      <c r="AR188" s="891">
        <f>'Calibración-BAU_Agricultura '!AT321*52.38/1000000</f>
        <v>103.19484079028913</v>
      </c>
      <c r="AS188" s="891">
        <f>'Calibración-BAU_Agricultura '!AU321*52.38/1000000</f>
        <v>103.80081069138363</v>
      </c>
      <c r="AT188" s="891">
        <f>'Calibración-BAU_Agricultura '!AV321*52.38/1000000</f>
        <v>104.3859957804389</v>
      </c>
      <c r="AU188" s="891">
        <f>'Calibración-BAU_Agricultura '!AW321*52.38/1000000</f>
        <v>104.94999953457214</v>
      </c>
      <c r="AV188" s="891">
        <f>'Calibración-BAU_Agricultura '!AX321*52.38/1000000</f>
        <v>105.49243800467285</v>
      </c>
      <c r="AW188" s="891">
        <f>'Calibración-BAU_Agricultura '!AY321*52.38/1000000</f>
        <v>106.01294024940862</v>
      </c>
      <c r="AX188" s="891">
        <f>'Calibración-BAU_Agricultura '!AZ321*52.38/1000000</f>
        <v>106.51114875652657</v>
      </c>
      <c r="AY188" s="891">
        <f>'Calibración-BAU_Agricultura '!BA321*52.38/1000000</f>
        <v>106.98671985078335</v>
      </c>
      <c r="AZ188" s="891">
        <f>'Calibración-BAU_Agricultura '!BB321*52.38/1000000</f>
        <v>107.43932408785402</v>
      </c>
      <c r="BA188" s="891">
        <f>'Calibración-BAU_Agricultura '!BC321*52.38/1000000</f>
        <v>107.86864663358968</v>
      </c>
      <c r="BB188" s="891">
        <f>'Calibración-BAU_Agricultura '!BD321*52.38/1000000</f>
        <v>108.27438762801488</v>
      </c>
      <c r="BC188" s="891">
        <f>'Calibración-BAU_Agricultura '!BE321*52.38/1000000</f>
        <v>108.65626253347695</v>
      </c>
      <c r="BD188" s="891">
        <f>'Calibración-BAU_Agricultura '!BF321*52.38/1000000</f>
        <v>109.01400246638308</v>
      </c>
      <c r="BE188" s="891">
        <f>'Calibración-BAU_Agricultura '!BG321*52.38/1000000</f>
        <v>109.34735451198505</v>
      </c>
      <c r="BF188" s="891">
        <f>'Calibración-BAU_Agricultura '!BH321*52.38/1000000</f>
        <v>109.65608202169697</v>
      </c>
      <c r="BG188" s="891">
        <f>'Calibración-BAU_Agricultura '!BI321*52.38/1000000</f>
        <v>109.93996489245775</v>
      </c>
      <c r="BH188" s="891">
        <f>'Calibración-BAU_Agricultura '!BJ321*52.38/1000000</f>
        <v>110.19879982767779</v>
      </c>
      <c r="BI188" s="891">
        <f>'Calibración-BAU_Agricultura '!BK321*52.38/1000000</f>
        <v>110.43240057933789</v>
      </c>
      <c r="BJ188" s="891">
        <f>'Calibración-BAU_Agricultura '!BL321*52.38/1000000</f>
        <v>110.64059817083736</v>
      </c>
      <c r="BK188" s="891">
        <f>'Calibración-BAU_Agricultura '!BM321*52.38/1000000</f>
        <v>110.82324110021899</v>
      </c>
      <c r="BL188" s="891">
        <f>'Calibración-BAU_Agricultura '!BN321*52.38/1000000</f>
        <v>110.98019552342977</v>
      </c>
      <c r="BM188" s="891">
        <f>'Calibración-BAU_Agricultura '!BO321*52.38/1000000</f>
        <v>111.11134541730753</v>
      </c>
      <c r="BN188" s="238"/>
    </row>
    <row r="189" spans="1:69" ht="14.25" customHeight="1" x14ac:dyDescent="0.3">
      <c r="A189" s="1199" t="s">
        <v>755</v>
      </c>
      <c r="B189" s="944"/>
      <c r="C189" s="252"/>
      <c r="D189" s="234" t="s">
        <v>756</v>
      </c>
      <c r="E189" s="891">
        <f>'Calibración-BAU_Agricultura '!G334*1/1000000</f>
        <v>1.4897609999999999</v>
      </c>
      <c r="F189" s="891">
        <f>'Calibración-BAU_Agricultura '!H334*1/1000000</f>
        <v>1.8310660000000001</v>
      </c>
      <c r="G189" s="891">
        <f>'Calibración-BAU_Agricultura '!I334*1/1000000</f>
        <v>1.1619321340866045</v>
      </c>
      <c r="H189" s="891">
        <f>'Calibración-BAU_Agricultura '!J334*1/1000000</f>
        <v>1.2185375906119025</v>
      </c>
      <c r="I189" s="891">
        <f>'Calibración-BAU_Agricultura '!K334*1/1000000</f>
        <v>1.9341619360749993</v>
      </c>
      <c r="J189" s="891">
        <f>'Calibración-BAU_Agricultura '!L334*1/1000000</f>
        <v>1.6376616133549255</v>
      </c>
      <c r="K189" s="891">
        <f>'Calibración-BAU_Agricultura '!M334*1/1000000</f>
        <v>1.1412438146574</v>
      </c>
      <c r="L189" s="891">
        <f>'Calibración-BAU_Agricultura '!N334*1/1000000</f>
        <v>1.1154727973779477</v>
      </c>
      <c r="M189" s="891">
        <f>'Calibración-BAU_Agricultura '!O334*1/1000000</f>
        <v>1.2833377520061444</v>
      </c>
      <c r="N189" s="891">
        <f>'Calibración-BAU_Agricultura '!P334*1/1000000</f>
        <v>1.1626852354139834</v>
      </c>
      <c r="O189" s="891">
        <f>'Calibración-BAU_Agricultura '!Q334*1/1000000</f>
        <v>2.4958257799999912</v>
      </c>
      <c r="P189" s="891">
        <f>'Calibración-BAU_Agricultura '!R334*1/1000000</f>
        <v>2.4852264569992717</v>
      </c>
      <c r="Q189" s="891">
        <f>'Calibración-BAU_Agricultura '!S334*1/1000000</f>
        <v>2.5186359979334827</v>
      </c>
      <c r="R189" s="891">
        <f>'Calibración-BAU_Agricultura '!T334*1/1000000</f>
        <v>2.5517606334020204</v>
      </c>
      <c r="S189" s="891">
        <f>'Calibración-BAU_Agricultura '!U334*1/1000000</f>
        <v>2.5845806230261807</v>
      </c>
      <c r="T189" s="891">
        <f>'Calibración-BAU_Agricultura '!V334*1/1000000</f>
        <v>2.6170898066877877</v>
      </c>
      <c r="U189" s="891">
        <f>'Calibración-BAU_Agricultura '!W334*1/1000000</f>
        <v>2.6492517836885239</v>
      </c>
      <c r="V189" s="891">
        <f>'Calibración-BAU_Agricultura '!X334*1/1000000</f>
        <v>2.6810543737947219</v>
      </c>
      <c r="W189" s="891">
        <f>'Calibración-BAU_Agricultura '!Y334*1/1000000</f>
        <v>2.7124747565685907</v>
      </c>
      <c r="X189" s="891">
        <f>'Calibración-BAU_Agricultura '!Z334*1/1000000</f>
        <v>2.7435084519241837</v>
      </c>
      <c r="Y189" s="891">
        <f>'Calibración-BAU_Agricultura '!AA334*1/1000000</f>
        <v>2.7741205991927278</v>
      </c>
      <c r="Z189" s="891">
        <f>'Calibración-BAU_Agricultura '!AB334*1/1000000</f>
        <v>2.8042948180599798</v>
      </c>
      <c r="AA189" s="891">
        <f>'Calibración-BAU_Agricultura '!AC334*1/1000000</f>
        <v>2.8340099681203794</v>
      </c>
      <c r="AB189" s="891">
        <f>'Calibración-BAU_Agricultura '!AD334*1/1000000</f>
        <v>2.8632415489039054</v>
      </c>
      <c r="AC189" s="891">
        <f>'Calibración-BAU_Agricultura '!AE334*1/1000000</f>
        <v>2.8919775201795761</v>
      </c>
      <c r="AD189" s="891">
        <f>'Calibración-BAU_Agricultura '!AF334*1/1000000</f>
        <v>2.9201968815445163</v>
      </c>
      <c r="AE189" s="891">
        <f>'Calibración-BAU_Agricultura '!AG334*1/1000000</f>
        <v>2.9478873127623721</v>
      </c>
      <c r="AF189" s="891">
        <f>'Calibración-BAU_Agricultura '!AH334*1/1000000</f>
        <v>2.9750251533792378</v>
      </c>
      <c r="AG189" s="891">
        <f>'Calibración-BAU_Agricultura '!AI334*1/1000000</f>
        <v>3.0016010232151622</v>
      </c>
      <c r="AH189" s="891">
        <f>'Calibración-BAU_Agricultura '!AJ334*1/1000000</f>
        <v>3.0275974219344155</v>
      </c>
      <c r="AI189" s="891">
        <f>'Calibración-BAU_Agricultura '!AK334*1/1000000</f>
        <v>3.0530021693033307</v>
      </c>
      <c r="AJ189" s="891">
        <f>'Calibración-BAU_Agricultura '!AL334*1/1000000</f>
        <v>3.0778120452601327</v>
      </c>
      <c r="AK189" s="891">
        <f>'Calibración-BAU_Agricultura '!AM334*1/1000000</f>
        <v>3.1020185096409865</v>
      </c>
      <c r="AL189" s="891">
        <f>'Calibración-BAU_Agricultura '!AN334*1/1000000</f>
        <v>3.125606582158508</v>
      </c>
      <c r="AM189" s="891">
        <f>'Calibración-BAU_Agricultura '!AO334*1/1000000</f>
        <v>3.1485731827536076</v>
      </c>
      <c r="AN189" s="891">
        <f>'Calibración-BAU_Agricultura '!AP334*1/1000000</f>
        <v>3.1709033311389025</v>
      </c>
      <c r="AO189" s="891">
        <f>'Calibración-BAU_Agricultura '!AQ334*1/1000000</f>
        <v>3.1925932472418741</v>
      </c>
      <c r="AP189" s="891">
        <f>'Calibración-BAU_Agricultura '!AR334*1/1000000</f>
        <v>3.2136464311296695</v>
      </c>
      <c r="AQ189" s="891">
        <f>'Calibración-BAU_Agricultura '!AS334*1/1000000</f>
        <v>3.2340448224558136</v>
      </c>
      <c r="AR189" s="891">
        <f>'Calibración-BAU_Agricultura '!AT334*1/1000000</f>
        <v>3.253793881325056</v>
      </c>
      <c r="AS189" s="891">
        <f>'Calibración-BAU_Agricultura '!AU334*1/1000000</f>
        <v>3.2729004678690021</v>
      </c>
      <c r="AT189" s="891">
        <f>'Calibración-BAU_Agricultura '!AV334*1/1000000</f>
        <v>3.2913516970935337</v>
      </c>
      <c r="AU189" s="891">
        <f>'Calibración-BAU_Agricultura '!AW334*1/1000000</f>
        <v>3.3091350663994903</v>
      </c>
      <c r="AV189" s="891">
        <f>'Calibración-BAU_Agricultura '!AX334*1/1000000</f>
        <v>3.3262384696461296</v>
      </c>
      <c r="AW189" s="891">
        <f>'Calibración-BAU_Agricultura '!AY334*1/1000000</f>
        <v>3.342650210835584</v>
      </c>
      <c r="AX189" s="891">
        <f>'Calibración-BAU_Agricultura '!AZ334*1/1000000</f>
        <v>3.358359017396745</v>
      </c>
      <c r="AY189" s="891">
        <f>'Calibración-BAU_Agricultura '!BA334*1/1000000</f>
        <v>3.373354053047533</v>
      </c>
      <c r="AZ189" s="891">
        <f>'Calibración-BAU_Agricultura '!BB334*1/1000000</f>
        <v>3.3876249302150758</v>
      </c>
      <c r="BA189" s="891">
        <f>'Calibración-BAU_Agricultura '!BC334*1/1000000</f>
        <v>3.4011617219939247</v>
      </c>
      <c r="BB189" s="891">
        <f>'Calibración-BAU_Agricultura '!BD334*1/1000000</f>
        <v>3.4139549736231056</v>
      </c>
      <c r="BC189" s="891">
        <f>'Calibración-BAU_Agricultura '!BE334*1/1000000</f>
        <v>3.4259957134634735</v>
      </c>
      <c r="BD189" s="891">
        <f>'Calibración-BAU_Agricultura '!BF334*1/1000000</f>
        <v>3.4372754634575751</v>
      </c>
      <c r="BE189" s="891">
        <f>'Calibración-BAU_Agricultura '!BG334*1/1000000</f>
        <v>3.4477862490549982</v>
      </c>
      <c r="BF189" s="891">
        <f>'Calibración-BAU_Agricultura '!BH334*1/1000000</f>
        <v>3.4575206085869712</v>
      </c>
      <c r="BG189" s="891">
        <f>'Calibración-BAU_Agricultura '!BI334*1/1000000</f>
        <v>3.466471602074829</v>
      </c>
      <c r="BH189" s="891">
        <f>'Calibración-BAU_Agricultura '!BJ334*1/1000000</f>
        <v>3.4746328194578147</v>
      </c>
      <c r="BI189" s="891">
        <f>'Calibración-BAU_Agricultura '!BK334*1/1000000</f>
        <v>3.4819983882265984</v>
      </c>
      <c r="BJ189" s="891">
        <f>'Calibración-BAU_Agricultura '!BL334*1/1000000</f>
        <v>3.4885629804498106</v>
      </c>
      <c r="BK189" s="891">
        <f>'Calibración-BAU_Agricultura '!BM334*1/1000000</f>
        <v>3.4943218191818448</v>
      </c>
      <c r="BL189" s="891">
        <f>'Calibración-BAU_Agricultura '!BN334*1/1000000</f>
        <v>3.4992706842411736</v>
      </c>
      <c r="BM189" s="891">
        <f>'Calibración-BAU_Agricultura '!BO334*1/1000000</f>
        <v>3.5034059173494168</v>
      </c>
      <c r="BN189" s="238"/>
    </row>
    <row r="190" spans="1:69" ht="14.25" customHeight="1" x14ac:dyDescent="0.3">
      <c r="A190" s="982"/>
      <c r="B190" s="944"/>
      <c r="C190" s="252"/>
      <c r="D190" s="234" t="s">
        <v>757</v>
      </c>
      <c r="E190" s="891">
        <f>'Calibración-BAU_Agricultura '!G335*5/1000000</f>
        <v>3.9624899999999998</v>
      </c>
      <c r="F190" s="891">
        <f>'Calibración-BAU_Agricultura '!H335*5/1000000</f>
        <v>3.7148150000000002</v>
      </c>
      <c r="G190" s="891">
        <f>'Calibración-BAU_Agricultura '!I335*5/1000000</f>
        <v>3.5584828431067428</v>
      </c>
      <c r="H190" s="891">
        <f>'Calibración-BAU_Agricultura '!J335*5/1000000</f>
        <v>3.6973771086479075</v>
      </c>
      <c r="I190" s="891">
        <f>'Calibración-BAU_Agricultura '!K335*5/1000000</f>
        <v>3.3719748698150087</v>
      </c>
      <c r="J190" s="891">
        <f>'Calibración-BAU_Agricultura '!L335*5/1000000</f>
        <v>2.5334813059602719</v>
      </c>
      <c r="K190" s="891">
        <f>'Calibración-BAU_Agricultura '!M335*5/1000000</f>
        <v>2.3924282341850676</v>
      </c>
      <c r="L190" s="891">
        <f>'Calibración-BAU_Agricultura '!N335*5/1000000</f>
        <v>1.950598335221724</v>
      </c>
      <c r="M190" s="891">
        <f>'Calibración-BAU_Agricultura '!O335*5/1000000</f>
        <v>1.7794829914545622</v>
      </c>
      <c r="N190" s="891">
        <f>'Calibración-BAU_Agricultura '!P335*5/1000000</f>
        <v>2.3232208497448705</v>
      </c>
      <c r="O190" s="891">
        <f>'Calibración-BAU_Agricultura '!Q335*5/1000000</f>
        <v>2.4826751756691703</v>
      </c>
      <c r="P190" s="891">
        <f>'Calibración-BAU_Agricultura '!R335*5/1000000</f>
        <v>2.6441377958595611</v>
      </c>
      <c r="Q190" s="891">
        <f>'Calibración-BAU_Agricultura '!S335*5/1000000</f>
        <v>2.679683622952167</v>
      </c>
      <c r="R190" s="891">
        <f>'Calibración-BAU_Agricultura '!T335*5/1000000</f>
        <v>2.7149263270404633</v>
      </c>
      <c r="S190" s="891">
        <f>'Calibración-BAU_Agricultura '!U335*5/1000000</f>
        <v>2.7498449054985983</v>
      </c>
      <c r="T190" s="891">
        <f>'Calibración-BAU_Agricultura '!V335*5/1000000</f>
        <v>2.7844328043156681</v>
      </c>
      <c r="U190" s="891">
        <f>'Calibración-BAU_Agricultura '!W335*5/1000000</f>
        <v>2.8186512952454219</v>
      </c>
      <c r="V190" s="891">
        <f>'Calibración-BAU_Agricultura '!X335*5/1000000</f>
        <v>2.8524874192208447</v>
      </c>
      <c r="W190" s="891">
        <f>'Calibración-BAU_Agricultura '!Y335*5/1000000</f>
        <v>2.8859168966106332</v>
      </c>
      <c r="X190" s="891">
        <f>'Calibración-BAU_Agricultura '!Z335*5/1000000</f>
        <v>2.9189349608614026</v>
      </c>
      <c r="Y190" s="891">
        <f>'Calibración-BAU_Agricultura '!AA335*5/1000000</f>
        <v>2.9515045222296288</v>
      </c>
      <c r="Z190" s="891">
        <f>'Calibración-BAU_Agricultura '!AB335*5/1000000</f>
        <v>2.9836081530044978</v>
      </c>
      <c r="AA190" s="891">
        <f>'Calibración-BAU_Agricultura '!AC335*5/1000000</f>
        <v>3.0152233610122261</v>
      </c>
      <c r="AB190" s="891">
        <f>'Calibración-BAU_Agricultura '!AD335*5/1000000</f>
        <v>3.0463240791639907</v>
      </c>
      <c r="AC190" s="891">
        <f>'Calibración-BAU_Agricultura '!AE335*5/1000000</f>
        <v>3.0768974973475705</v>
      </c>
      <c r="AD190" s="891">
        <f>'Calibración-BAU_Agricultura '!AF335*5/1000000</f>
        <v>3.1069212723439747</v>
      </c>
      <c r="AE190" s="891">
        <f>'Calibración-BAU_Agricultura '!AG335*5/1000000</f>
        <v>3.1363822961313947</v>
      </c>
      <c r="AF190" s="891">
        <f>'Calibración-BAU_Agricultura '!AH335*5/1000000</f>
        <v>3.1652553953497682</v>
      </c>
      <c r="AG190" s="891">
        <f>'Calibración-BAU_Agricultura '!AI335*5/1000000</f>
        <v>3.1935305900279456</v>
      </c>
      <c r="AH190" s="891">
        <f>'Calibración-BAU_Agricultura '!AJ335*5/1000000</f>
        <v>3.2211892608167672</v>
      </c>
      <c r="AI190" s="891">
        <f>'Calibración-BAU_Agricultura '!AK335*5/1000000</f>
        <v>3.2482184486492187</v>
      </c>
      <c r="AJ190" s="891">
        <f>'Calibración-BAU_Agricultura '!AL335*5/1000000</f>
        <v>3.2746147275650554</v>
      </c>
      <c r="AK190" s="891">
        <f>'Calibración-BAU_Agricultura '!AM335*5/1000000</f>
        <v>3.3003690113218869</v>
      </c>
      <c r="AL190" s="891">
        <f>'Calibración-BAU_Agricultura '!AN335*5/1000000</f>
        <v>3.3254653617568333</v>
      </c>
      <c r="AM190" s="891">
        <f>'Calibración-BAU_Agricultura '!AO335*5/1000000</f>
        <v>3.3499005018644428</v>
      </c>
      <c r="AN190" s="891">
        <f>'Calibración-BAU_Agricultura '!AP335*5/1000000</f>
        <v>3.3736584934818348</v>
      </c>
      <c r="AO190" s="891">
        <f>'Calibración-BAU_Agricultura '!AQ335*5/1000000</f>
        <v>3.3967353148295918</v>
      </c>
      <c r="AP190" s="891">
        <f>'Calibración-BAU_Agricultura '!AR335*5/1000000</f>
        <v>3.4191346897775445</v>
      </c>
      <c r="AQ190" s="891">
        <f>'Calibración-BAU_Agricultura '!AS335*5/1000000</f>
        <v>3.4408374031573619</v>
      </c>
      <c r="AR190" s="891">
        <f>'Calibración-BAU_Agricultura '!AT335*5/1000000</f>
        <v>3.4618492642059802</v>
      </c>
      <c r="AS190" s="891">
        <f>'Calibración-BAU_Agricultura '!AU335*5/1000000</f>
        <v>3.482177571708271</v>
      </c>
      <c r="AT190" s="891">
        <f>'Calibración-BAU_Agricultura '!AV335*5/1000000</f>
        <v>3.5018086167726956</v>
      </c>
      <c r="AU190" s="891">
        <f>'Calibración-BAU_Agricultura '!AW335*5/1000000</f>
        <v>3.5207290973539238</v>
      </c>
      <c r="AV190" s="891">
        <f>'Calibración-BAU_Agricultura '!AX335*5/1000000</f>
        <v>3.5389261332155448</v>
      </c>
      <c r="AW190" s="891">
        <f>'Calibración-BAU_Agricultura '!AY335*5/1000000</f>
        <v>3.5563872804895427</v>
      </c>
      <c r="AX190" s="891">
        <f>'Calibración-BAU_Agricultura '!AZ335*5/1000000</f>
        <v>3.5731005458095835</v>
      </c>
      <c r="AY190" s="891">
        <f>'Calibración-BAU_Agricultura '!BA335*5/1000000</f>
        <v>3.5890543999957254</v>
      </c>
      <c r="AZ190" s="891">
        <f>'Calibración-BAU_Agricultura '!BB335*5/1000000</f>
        <v>3.6042377912687806</v>
      </c>
      <c r="BA190" s="891">
        <f>'Calibración-BAU_Agricultura '!BC335*5/1000000</f>
        <v>3.6186401579731626</v>
      </c>
      <c r="BB190" s="891">
        <f>'Calibración-BAU_Agricultura '!BD335*5/1000000</f>
        <v>3.6322514407878095</v>
      </c>
      <c r="BC190" s="891">
        <f>'Calibración-BAU_Agricultura '!BE335*5/1000000</f>
        <v>3.6450620944054566</v>
      </c>
      <c r="BD190" s="891">
        <f>'Calibración-BAU_Agricultura '!BF335*5/1000000</f>
        <v>3.6570630986613266</v>
      </c>
      <c r="BE190" s="891">
        <f>'Calibración-BAU_Agricultura '!BG335*5/1000000</f>
        <v>3.6682459690931339</v>
      </c>
      <c r="BF190" s="891">
        <f>'Calibración-BAU_Agricultura '!BH335*5/1000000</f>
        <v>3.6786027669151133</v>
      </c>
      <c r="BG190" s="891">
        <f>'Calibración-BAU_Agricultura '!BI335*5/1000000</f>
        <v>3.6881261083897225</v>
      </c>
      <c r="BH190" s="891">
        <f>'Calibración-BAU_Agricultura '!BJ335*5/1000000</f>
        <v>3.6968091735815496</v>
      </c>
      <c r="BI190" s="891">
        <f>'Calibración-BAU_Agricultura '!BK335*5/1000000</f>
        <v>3.7046457144789375</v>
      </c>
      <c r="BJ190" s="891">
        <f>'Calibración-BAU_Agricultura '!BL335*5/1000000</f>
        <v>3.711630062469808</v>
      </c>
      <c r="BK190" s="891">
        <f>'Calibración-BAU_Agricultura '!BM335*5/1000000</f>
        <v>3.7177571351591987</v>
      </c>
      <c r="BL190" s="891">
        <f>'Calibración-BAU_Agricultura '!BN335*5/1000000</f>
        <v>3.7230224425170566</v>
      </c>
      <c r="BM190" s="891">
        <f>'Calibración-BAU_Agricultura '!BO335*5/1000000</f>
        <v>3.7274220923459085</v>
      </c>
      <c r="BN190" s="238"/>
    </row>
    <row r="191" spans="1:69" ht="14.25" customHeight="1" x14ac:dyDescent="0.3">
      <c r="A191" s="982"/>
      <c r="B191" s="944"/>
      <c r="C191" s="252"/>
      <c r="D191" s="234" t="s">
        <v>758</v>
      </c>
      <c r="E191" s="891">
        <f>'Calibración-BAU_Agricultura '!G336*10/1000000</f>
        <v>7.66479</v>
      </c>
      <c r="F191" s="891">
        <f>'Calibración-BAU_Agricultura '!H336*10/1000000</f>
        <v>1.76427</v>
      </c>
      <c r="G191" s="891">
        <f>'Calibración-BAU_Agricultura '!I336*10/1000000</f>
        <v>6.8637800000000002</v>
      </c>
      <c r="H191" s="891">
        <f>'Calibración-BAU_Agricultura '!J336*10/1000000</f>
        <v>6.3807299999999998</v>
      </c>
      <c r="I191" s="891">
        <f>'Calibración-BAU_Agricultura '!K336*10/1000000</f>
        <v>4.9177999999999997</v>
      </c>
      <c r="J191" s="891">
        <f>'Calibración-BAU_Agricultura '!L336*10/1000000</f>
        <v>3.9764599999999999</v>
      </c>
      <c r="K191" s="891">
        <f>'Calibración-BAU_Agricultura '!M336*10/1000000</f>
        <v>3.84761</v>
      </c>
      <c r="L191" s="891">
        <f>'Calibración-BAU_Agricultura '!N336*10/1000000</f>
        <v>3.7941199999999999</v>
      </c>
      <c r="M191" s="891">
        <f>'Calibración-BAU_Agricultura '!O336*10/1000000</f>
        <v>3.3529399999999998</v>
      </c>
      <c r="N191" s="891">
        <f>'Calibración-BAU_Agricultura '!P336*10/1000000</f>
        <v>3.6943899999999998</v>
      </c>
      <c r="O191" s="891">
        <f>'Calibración-BAU_Agricultura '!Q336*10/1000000</f>
        <v>2.8560500000000002</v>
      </c>
      <c r="P191" s="891">
        <f>'Calibración-BAU_Agricultura '!R336*10/1000000</f>
        <v>3.6611899999999999</v>
      </c>
      <c r="Q191" s="891">
        <f>'Calibración-BAU_Agricultura '!S336*10/1000000</f>
        <v>3.7104083224705469</v>
      </c>
      <c r="R191" s="891">
        <f>'Calibración-BAU_Agricultura '!T336*10/1000000</f>
        <v>3.759206927438516</v>
      </c>
      <c r="S191" s="891">
        <f>'Calibración-BAU_Agricultura '!U336*10/1000000</f>
        <v>3.8075567337403391</v>
      </c>
      <c r="T191" s="891">
        <f>'Calibración-BAU_Agricultura '!V336*10/1000000</f>
        <v>3.8554486664029861</v>
      </c>
      <c r="U191" s="891">
        <f>'Calibración-BAU_Agricultura '!W336*10/1000000</f>
        <v>3.902829100585834</v>
      </c>
      <c r="V191" s="891">
        <f>'Calibración-BAU_Agricultura '!X336*10/1000000</f>
        <v>3.949680092592212</v>
      </c>
      <c r="W191" s="891">
        <f>'Calibración-BAU_Agricultura '!Y336*10/1000000</f>
        <v>3.9959680237720359</v>
      </c>
      <c r="X191" s="891">
        <f>'Calibración-BAU_Agricultura '!Z336*10/1000000</f>
        <v>4.041686294144923</v>
      </c>
      <c r="Y191" s="891">
        <f>'Calibración-BAU_Agricultura '!AA336*10/1000000</f>
        <v>4.0867835476135044</v>
      </c>
      <c r="Z191" s="891">
        <f>'Calibración-BAU_Agricultura '!AB336*10/1000000</f>
        <v>4.1312356529995</v>
      </c>
      <c r="AA191" s="891">
        <f>'Calibración-BAU_Agricultura '!AC336*10/1000000</f>
        <v>4.1750114666454703</v>
      </c>
      <c r="AB191" s="891">
        <f>'Calibración-BAU_Agricultura '!AD336*10/1000000</f>
        <v>4.2180748949086873</v>
      </c>
      <c r="AC191" s="891">
        <f>'Calibración-BAU_Agricultura '!AE336*10/1000000</f>
        <v>4.2604082003418684</v>
      </c>
      <c r="AD191" s="891">
        <f>'Calibración-BAU_Agricultura '!AF336*10/1000000</f>
        <v>4.3019804455369606</v>
      </c>
      <c r="AE191" s="891">
        <f>'Calibración-BAU_Agricultura '!AG336*10/1000000</f>
        <v>4.3427734805479066</v>
      </c>
      <c r="AF191" s="891">
        <f>'Calibración-BAU_Agricultura '!AH336*10/1000000</f>
        <v>4.3827524492283016</v>
      </c>
      <c r="AG191" s="891">
        <f>'Calibración-BAU_Agricultura '!AI336*10/1000000</f>
        <v>4.421903532869214</v>
      </c>
      <c r="AH191" s="891">
        <f>'Calibración-BAU_Agricultura '!AJ336*10/1000000</f>
        <v>4.460200950297267</v>
      </c>
      <c r="AI191" s="891">
        <f>'Calibración-BAU_Agricultura '!AK336*10/1000000</f>
        <v>4.4976267578157909</v>
      </c>
      <c r="AJ191" s="891">
        <f>'Calibración-BAU_Agricultura '!AL336*10/1000000</f>
        <v>4.5341762116888837</v>
      </c>
      <c r="AK191" s="891">
        <f>'Calibración-BAU_Agricultura '!AM336*10/1000000</f>
        <v>4.5698367307039387</v>
      </c>
      <c r="AL191" s="891">
        <f>'Calibración-BAU_Agricultura '!AN336*10/1000000</f>
        <v>4.6045862461765426</v>
      </c>
      <c r="AM191" s="891">
        <f>'Calibración-BAU_Agricultura '!AO336*10/1000000</f>
        <v>4.6384202206201843</v>
      </c>
      <c r="AN191" s="891">
        <f>'Calibración-BAU_Agricultura '!AP336*10/1000000</f>
        <v>4.6713165853504508</v>
      </c>
      <c r="AO191" s="891">
        <f>'Calibración-BAU_Agricultura '!AQ336*10/1000000</f>
        <v>4.7032697716338943</v>
      </c>
      <c r="AP191" s="891">
        <f>'Calibración-BAU_Agricultura '!AR336*10/1000000</f>
        <v>4.7342849357051895</v>
      </c>
      <c r="AQ191" s="891">
        <f>'Calibración-BAU_Agricultura '!AS336*10/1000000</f>
        <v>4.7643354713934114</v>
      </c>
      <c r="AR191" s="891">
        <f>'Calibración-BAU_Agricultura '!AT336*10/1000000</f>
        <v>4.7934294224246514</v>
      </c>
      <c r="AS191" s="891">
        <f>'Calibración-BAU_Agricultura '!AU336*10/1000000</f>
        <v>4.8215768950188771</v>
      </c>
      <c r="AT191" s="891">
        <f>'Calibración-BAU_Agricultura '!AV336*10/1000000</f>
        <v>4.8487589072392563</v>
      </c>
      <c r="AU191" s="891">
        <f>'Calibración-BAU_Agricultura '!AW336*10/1000000</f>
        <v>4.8749570404861924</v>
      </c>
      <c r="AV191" s="891">
        <f>'Calibración-BAU_Agricultura '!AX336*10/1000000</f>
        <v>4.9001534602153507</v>
      </c>
      <c r="AW191" s="891">
        <f>'Calibración-BAU_Agricultura '!AY336*10/1000000</f>
        <v>4.9243309360973546</v>
      </c>
      <c r="AX191" s="891">
        <f>'Calibración-BAU_Agricultura '!AZ336*10/1000000</f>
        <v>4.9474728615873556</v>
      </c>
      <c r="AY191" s="891">
        <f>'Calibración-BAU_Agricultura '!BA336*10/1000000</f>
        <v>4.9695632728734944</v>
      </c>
      <c r="AZ191" s="891">
        <f>'Calibración-BAU_Agricultura '!BB336*10/1000000</f>
        <v>4.9905868671740805</v>
      </c>
      <c r="BA191" s="891">
        <f>'Calibración-BAU_Agricultura '!BC336*10/1000000</f>
        <v>5.0105290203542161</v>
      </c>
      <c r="BB191" s="891">
        <f>'Calibración-BAU_Agricultura '!BD336*10/1000000</f>
        <v>5.0293758038335756</v>
      </c>
      <c r="BC191" s="891">
        <f>'Calibración-BAU_Agricultura '!BE336*10/1000000</f>
        <v>5.0471140007580466</v>
      </c>
      <c r="BD191" s="891">
        <f>'Calibración-BAU_Agricultura '!BF336*10/1000000</f>
        <v>5.0637311214090026</v>
      </c>
      <c r="BE191" s="891">
        <f>'Calibración-BAU_Agricultura '!BG336*10/1000000</f>
        <v>5.0792154178251492</v>
      </c>
      <c r="BF191" s="891">
        <f>'Calibración-BAU_Agricultura '!BH336*10/1000000</f>
        <v>5.0935558976130144</v>
      </c>
      <c r="BG191" s="891">
        <f>'Calibración-BAU_Agricultura '!BI336*10/1000000</f>
        <v>5.1067423369234088</v>
      </c>
      <c r="BH191" s="891">
        <f>'Calibración-BAU_Agricultura '!BJ336*10/1000000</f>
        <v>5.1187652925724851</v>
      </c>
      <c r="BI191" s="891">
        <f>'Calibración-BAU_Agricultura '!BK336*10/1000000</f>
        <v>5.1296161132872884</v>
      </c>
      <c r="BJ191" s="891">
        <f>'Calibración-BAU_Agricultura '!BL336*10/1000000</f>
        <v>5.1392869500571194</v>
      </c>
      <c r="BK191" s="891">
        <f>'Calibración-BAU_Agricultura '!BM336*10/1000000</f>
        <v>5.1477707655733891</v>
      </c>
      <c r="BL191" s="891">
        <f>'Calibración-BAU_Agricultura '!BN336*10/1000000</f>
        <v>5.1550613427421368</v>
      </c>
      <c r="BM191" s="891">
        <f>'Calibración-BAU_Agricultura '!BO336*10/1000000</f>
        <v>5.1611532922547969</v>
      </c>
      <c r="BN191" s="238"/>
    </row>
    <row r="192" spans="1:69" ht="14.25" customHeight="1" x14ac:dyDescent="0.3">
      <c r="A192" s="960"/>
      <c r="B192" s="944"/>
      <c r="C192" s="232"/>
      <c r="D192" s="233" t="s">
        <v>759</v>
      </c>
      <c r="E192" s="229"/>
      <c r="F192" s="229"/>
      <c r="G192" s="229"/>
      <c r="H192" s="229"/>
      <c r="I192" s="229"/>
      <c r="J192" s="305"/>
      <c r="K192" s="891"/>
      <c r="L192" s="891"/>
      <c r="M192" s="891"/>
      <c r="N192" s="891"/>
      <c r="O192" s="891"/>
      <c r="P192" s="891"/>
      <c r="Q192" s="234"/>
      <c r="R192" s="234"/>
      <c r="S192" s="234"/>
      <c r="T192" s="234"/>
      <c r="U192" s="234"/>
      <c r="V192" s="234"/>
      <c r="W192" s="234"/>
      <c r="X192" s="234"/>
      <c r="Y192" s="234"/>
      <c r="Z192" s="234"/>
      <c r="AA192" s="234"/>
      <c r="AB192" s="234"/>
      <c r="AC192" s="234"/>
      <c r="AD192" s="234"/>
      <c r="AE192" s="234"/>
      <c r="AF192" s="234"/>
      <c r="AG192" s="234"/>
      <c r="AH192" s="234"/>
      <c r="AI192" s="234"/>
      <c r="AJ192" s="234"/>
      <c r="AK192" s="234"/>
      <c r="AL192" s="234"/>
      <c r="AM192" s="234"/>
      <c r="AN192" s="234"/>
      <c r="AO192" s="234"/>
      <c r="AP192" s="234"/>
      <c r="AQ192" s="234"/>
      <c r="AR192" s="234"/>
      <c r="AS192" s="234"/>
      <c r="AT192" s="234"/>
      <c r="AU192" s="234"/>
      <c r="AV192" s="234"/>
      <c r="AW192" s="234"/>
      <c r="AX192" s="234"/>
      <c r="AY192" s="234"/>
      <c r="AZ192" s="234"/>
      <c r="BA192" s="234"/>
      <c r="BB192" s="234"/>
      <c r="BC192" s="234"/>
      <c r="BD192" s="234"/>
      <c r="BE192" s="234"/>
      <c r="BF192" s="234"/>
      <c r="BG192" s="234"/>
      <c r="BH192" s="234"/>
      <c r="BI192" s="234"/>
      <c r="BJ192" s="234"/>
      <c r="BK192" s="234"/>
      <c r="BL192" s="234"/>
      <c r="BM192" s="234"/>
      <c r="BN192" s="231"/>
    </row>
    <row r="193" spans="1:66" ht="14.25" customHeight="1" x14ac:dyDescent="0.3">
      <c r="A193" s="1178" t="s">
        <v>700</v>
      </c>
      <c r="B193" s="944"/>
      <c r="C193" s="252"/>
      <c r="D193" s="234" t="s">
        <v>760</v>
      </c>
      <c r="E193" s="629">
        <f>E185*25/1000</f>
        <v>3.0469080915000002</v>
      </c>
      <c r="F193" s="629">
        <f t="shared" ref="F193:BM193" si="99">F185*25/1000</f>
        <v>3.15464351475</v>
      </c>
      <c r="G193" s="629">
        <f t="shared" si="99"/>
        <v>2.9474275057500003</v>
      </c>
      <c r="H193" s="629">
        <f t="shared" si="99"/>
        <v>3.1553822527499999</v>
      </c>
      <c r="I193" s="629">
        <f t="shared" si="99"/>
        <v>2.7955552852499999</v>
      </c>
      <c r="J193" s="629">
        <f t="shared" si="99"/>
        <v>2.4089742494999999</v>
      </c>
      <c r="K193" s="629">
        <f t="shared" si="99"/>
        <v>2.5077077025000003</v>
      </c>
      <c r="L193" s="629">
        <f t="shared" si="99"/>
        <v>2.3957609130000002</v>
      </c>
      <c r="M193" s="629">
        <f t="shared" si="99"/>
        <v>2.3296214760000002</v>
      </c>
      <c r="N193" s="629">
        <f t="shared" si="99"/>
        <v>2.7884645197500002</v>
      </c>
      <c r="O193" s="629">
        <f t="shared" si="99"/>
        <v>2.6933715900000004</v>
      </c>
      <c r="P193" s="629">
        <f t="shared" si="99"/>
        <v>2.3693202487500002</v>
      </c>
      <c r="Q193" s="629">
        <f t="shared" si="99"/>
        <v>2.4011716326003261</v>
      </c>
      <c r="R193" s="629">
        <f t="shared" si="99"/>
        <v>2.4327513984309341</v>
      </c>
      <c r="S193" s="629">
        <f t="shared" si="99"/>
        <v>2.464040726516624</v>
      </c>
      <c r="T193" s="629">
        <f t="shared" si="99"/>
        <v>2.4950337440353496</v>
      </c>
      <c r="U193" s="629">
        <f t="shared" si="99"/>
        <v>2.5256957479477355</v>
      </c>
      <c r="V193" s="629">
        <f t="shared" si="99"/>
        <v>2.5560151260829143</v>
      </c>
      <c r="W193" s="629">
        <f t="shared" si="99"/>
        <v>2.5859701223046629</v>
      </c>
      <c r="X193" s="629">
        <f t="shared" si="99"/>
        <v>2.6155564654696741</v>
      </c>
      <c r="Y193" s="629">
        <f t="shared" si="99"/>
        <v>2.6447409207440855</v>
      </c>
      <c r="Z193" s="629">
        <f t="shared" si="99"/>
        <v>2.6735078717601781</v>
      </c>
      <c r="AA193" s="629">
        <f t="shared" si="99"/>
        <v>2.7018371640604695</v>
      </c>
      <c r="AB193" s="629">
        <f t="shared" si="99"/>
        <v>2.7297054398299956</v>
      </c>
      <c r="AC193" s="629">
        <f t="shared" si="99"/>
        <v>2.7571012203711187</v>
      </c>
      <c r="AD193" s="629">
        <f t="shared" si="99"/>
        <v>2.7840044846995839</v>
      </c>
      <c r="AE193" s="629">
        <f t="shared" si="99"/>
        <v>2.8104034871712944</v>
      </c>
      <c r="AF193" s="629">
        <f t="shared" si="99"/>
        <v>2.8362756708106578</v>
      </c>
      <c r="AG193" s="629">
        <f t="shared" si="99"/>
        <v>2.8616120929113738</v>
      </c>
      <c r="AH193" s="629">
        <f t="shared" si="99"/>
        <v>2.886396069319896</v>
      </c>
      <c r="AI193" s="629">
        <f t="shared" si="99"/>
        <v>2.910615987865357</v>
      </c>
      <c r="AJ193" s="629">
        <f t="shared" si="99"/>
        <v>2.9342687786635051</v>
      </c>
      <c r="AK193" s="629">
        <f t="shared" si="99"/>
        <v>2.9573462998474112</v>
      </c>
      <c r="AL193" s="629">
        <f t="shared" si="99"/>
        <v>2.9798342697816382</v>
      </c>
      <c r="AM193" s="629">
        <f t="shared" si="99"/>
        <v>3.0017297520551636</v>
      </c>
      <c r="AN193" s="629">
        <f t="shared" si="99"/>
        <v>3.0230184650325529</v>
      </c>
      <c r="AO193" s="629">
        <f t="shared" si="99"/>
        <v>3.0436968049366397</v>
      </c>
      <c r="AP193" s="629">
        <f t="shared" si="99"/>
        <v>3.0637681085981332</v>
      </c>
      <c r="AQ193" s="629">
        <f t="shared" si="99"/>
        <v>3.0832151579705736</v>
      </c>
      <c r="AR193" s="629">
        <f t="shared" si="99"/>
        <v>3.102043158509868</v>
      </c>
      <c r="AS193" s="629">
        <f t="shared" si="99"/>
        <v>3.1202586504042067</v>
      </c>
      <c r="AT193" s="629">
        <f t="shared" si="99"/>
        <v>3.137849349590951</v>
      </c>
      <c r="AU193" s="629">
        <f t="shared" si="99"/>
        <v>3.1548033365682491</v>
      </c>
      <c r="AV193" s="629">
        <f t="shared" si="99"/>
        <v>3.1711090698026068</v>
      </c>
      <c r="AW193" s="629">
        <f t="shared" si="99"/>
        <v>3.1867553987751256</v>
      </c>
      <c r="AX193" s="629">
        <f t="shared" si="99"/>
        <v>3.2017315766458516</v>
      </c>
      <c r="AY193" s="629">
        <f t="shared" si="99"/>
        <v>3.2160272725161749</v>
      </c>
      <c r="AZ193" s="629">
        <f t="shared" si="99"/>
        <v>3.2296325832697499</v>
      </c>
      <c r="BA193" s="629">
        <f t="shared" si="99"/>
        <v>3.242538044973013</v>
      </c>
      <c r="BB193" s="629">
        <f t="shared" si="99"/>
        <v>3.2547346438169549</v>
      </c>
      <c r="BC193" s="629">
        <f t="shared" si="99"/>
        <v>3.2662138265825207</v>
      </c>
      <c r="BD193" s="629">
        <f t="shared" si="99"/>
        <v>3.2769675106126401</v>
      </c>
      <c r="BE193" s="629">
        <f t="shared" si="99"/>
        <v>3.2869880932746773</v>
      </c>
      <c r="BF193" s="629">
        <f t="shared" si="99"/>
        <v>3.2962684608978217</v>
      </c>
      <c r="BG193" s="629">
        <f t="shared" si="99"/>
        <v>3.3048019971707365</v>
      </c>
      <c r="BH193" s="629">
        <f t="shared" si="99"/>
        <v>3.312582590985639</v>
      </c>
      <c r="BI193" s="629">
        <f t="shared" si="99"/>
        <v>3.3196046437158002</v>
      </c>
      <c r="BJ193" s="629">
        <f t="shared" si="99"/>
        <v>3.3258630759143784</v>
      </c>
      <c r="BK193" s="629">
        <f t="shared" si="99"/>
        <v>3.3313533334233729</v>
      </c>
      <c r="BL193" s="629">
        <f t="shared" si="99"/>
        <v>3.3360713928824528</v>
      </c>
      <c r="BM193" s="629">
        <f t="shared" si="99"/>
        <v>3.3400137666283412</v>
      </c>
      <c r="BN193" s="238"/>
    </row>
    <row r="194" spans="1:66" ht="14.25" customHeight="1" x14ac:dyDescent="0.3">
      <c r="A194" s="1178"/>
      <c r="B194" s="944"/>
      <c r="C194" s="252"/>
      <c r="D194" s="234" t="s">
        <v>761</v>
      </c>
      <c r="E194" s="629">
        <f t="shared" ref="E194:E199" si="100">E186*25/1000</f>
        <v>0.74009188400000003</v>
      </c>
      <c r="F194" s="629">
        <f t="shared" ref="F194:BM194" si="101">F186*25/1000</f>
        <v>0.75493560100000001</v>
      </c>
      <c r="G194" s="629">
        <f t="shared" si="101"/>
        <v>0.73755810625000018</v>
      </c>
      <c r="H194" s="629">
        <f t="shared" si="101"/>
        <v>0.72326943675000011</v>
      </c>
      <c r="I194" s="629">
        <f t="shared" si="101"/>
        <v>0.64867640600000021</v>
      </c>
      <c r="J194" s="629">
        <f t="shared" si="101"/>
        <v>0.57973063137500014</v>
      </c>
      <c r="K194" s="629">
        <f t="shared" si="101"/>
        <v>0.58143493712500005</v>
      </c>
      <c r="L194" s="629">
        <f t="shared" si="101"/>
        <v>0.59035232462500009</v>
      </c>
      <c r="M194" s="629">
        <f t="shared" si="101"/>
        <v>0.57150113650000001</v>
      </c>
      <c r="N194" s="629">
        <f t="shared" si="101"/>
        <v>0.60664212350000002</v>
      </c>
      <c r="O194" s="629">
        <f t="shared" si="101"/>
        <v>0.61082329350000009</v>
      </c>
      <c r="P194" s="629">
        <f t="shared" si="101"/>
        <v>0.57292876375000013</v>
      </c>
      <c r="Q194" s="629">
        <f t="shared" si="101"/>
        <v>0.58063079304837018</v>
      </c>
      <c r="R194" s="629">
        <f t="shared" si="101"/>
        <v>0.58826714199967378</v>
      </c>
      <c r="S194" s="629">
        <f t="shared" si="101"/>
        <v>0.59583325977888091</v>
      </c>
      <c r="T194" s="629">
        <f t="shared" si="101"/>
        <v>0.60332772627037934</v>
      </c>
      <c r="U194" s="629">
        <f t="shared" si="101"/>
        <v>0.61074214988191478</v>
      </c>
      <c r="V194" s="629">
        <f t="shared" si="101"/>
        <v>0.61807372265761751</v>
      </c>
      <c r="W194" s="629">
        <f t="shared" si="101"/>
        <v>0.62531718371465128</v>
      </c>
      <c r="X194" s="629">
        <f t="shared" si="101"/>
        <v>0.6324715002416621</v>
      </c>
      <c r="Y194" s="629">
        <f t="shared" si="101"/>
        <v>0.63952863567529838</v>
      </c>
      <c r="Z194" s="629">
        <f t="shared" si="101"/>
        <v>0.64648481379904577</v>
      </c>
      <c r="AA194" s="629">
        <f t="shared" si="101"/>
        <v>0.6533351610343261</v>
      </c>
      <c r="AB194" s="629">
        <f t="shared" si="101"/>
        <v>0.66007402919404512</v>
      </c>
      <c r="AC194" s="629">
        <f t="shared" si="101"/>
        <v>0.66669864259768818</v>
      </c>
      <c r="AD194" s="629">
        <f t="shared" si="101"/>
        <v>0.67320415994203153</v>
      </c>
      <c r="AE194" s="629">
        <f t="shared" si="101"/>
        <v>0.67958774099585062</v>
      </c>
      <c r="AF194" s="629">
        <f t="shared" si="101"/>
        <v>0.68584393122418019</v>
      </c>
      <c r="AG194" s="629">
        <f t="shared" si="101"/>
        <v>0.69197056817824731</v>
      </c>
      <c r="AH194" s="629">
        <f t="shared" si="101"/>
        <v>0.69796361743869872</v>
      </c>
      <c r="AI194" s="629">
        <f t="shared" si="101"/>
        <v>0.70382027104966483</v>
      </c>
      <c r="AJ194" s="629">
        <f t="shared" si="101"/>
        <v>0.7095397866779849</v>
      </c>
      <c r="AK194" s="629">
        <f t="shared" si="101"/>
        <v>0.71512019552701445</v>
      </c>
      <c r="AL194" s="629">
        <f t="shared" si="101"/>
        <v>0.72055804413378732</v>
      </c>
      <c r="AM194" s="629">
        <f t="shared" si="101"/>
        <v>0.72585262244049753</v>
      </c>
      <c r="AN194" s="629">
        <f t="shared" si="101"/>
        <v>0.73100047698417892</v>
      </c>
      <c r="AO194" s="629">
        <f t="shared" si="101"/>
        <v>0.7360007363302512</v>
      </c>
      <c r="AP194" s="629">
        <f t="shared" si="101"/>
        <v>0.74085420736258512</v>
      </c>
      <c r="AQ194" s="629">
        <f t="shared" si="101"/>
        <v>0.74555672656040828</v>
      </c>
      <c r="AR194" s="629">
        <f t="shared" si="101"/>
        <v>0.75010955266255874</v>
      </c>
      <c r="AS194" s="629">
        <f t="shared" si="101"/>
        <v>0.75451426716142267</v>
      </c>
      <c r="AT194" s="629">
        <f t="shared" si="101"/>
        <v>0.75876789963000801</v>
      </c>
      <c r="AU194" s="629">
        <f t="shared" si="101"/>
        <v>0.76286756779629394</v>
      </c>
      <c r="AV194" s="629">
        <f t="shared" si="101"/>
        <v>0.76681048078533653</v>
      </c>
      <c r="AW194" s="629">
        <f t="shared" si="101"/>
        <v>0.7705939422739978</v>
      </c>
      <c r="AX194" s="629">
        <f t="shared" si="101"/>
        <v>0.77421535355333071</v>
      </c>
      <c r="AY194" s="629">
        <f t="shared" si="101"/>
        <v>0.77767221649376728</v>
      </c>
      <c r="AZ194" s="629">
        <f t="shared" si="101"/>
        <v>0.78096213640838963</v>
      </c>
      <c r="BA194" s="629">
        <f t="shared" si="101"/>
        <v>0.78408282480970404</v>
      </c>
      <c r="BB194" s="629">
        <f t="shared" si="101"/>
        <v>0.78703210205548846</v>
      </c>
      <c r="BC194" s="629">
        <f t="shared" si="101"/>
        <v>0.78980789987944477</v>
      </c>
      <c r="BD194" s="629">
        <f t="shared" si="101"/>
        <v>0.79240826380255081</v>
      </c>
      <c r="BE194" s="629">
        <f t="shared" si="101"/>
        <v>0.79483135542118899</v>
      </c>
      <c r="BF194" s="629">
        <f t="shared" si="101"/>
        <v>0.79707545456830864</v>
      </c>
      <c r="BG194" s="629">
        <f t="shared" si="101"/>
        <v>0.79913896134407536</v>
      </c>
      <c r="BH194" s="629">
        <f t="shared" si="101"/>
        <v>0.80102039801265745</v>
      </c>
      <c r="BI194" s="629">
        <f t="shared" si="101"/>
        <v>0.80271841076201089</v>
      </c>
      <c r="BJ194" s="629">
        <f t="shared" si="101"/>
        <v>0.80423177132373169</v>
      </c>
      <c r="BK194" s="629">
        <f t="shared" si="101"/>
        <v>0.80555937845027248</v>
      </c>
      <c r="BL194" s="629">
        <f t="shared" si="101"/>
        <v>0.80670025924703914</v>
      </c>
      <c r="BM194" s="629">
        <f t="shared" si="101"/>
        <v>0.80765357035711971</v>
      </c>
      <c r="BN194" s="238"/>
    </row>
    <row r="195" spans="1:66" ht="14.25" customHeight="1" x14ac:dyDescent="0.3">
      <c r="A195" s="1178"/>
      <c r="B195" s="944"/>
      <c r="C195" s="252"/>
      <c r="D195" s="234" t="s">
        <v>762</v>
      </c>
      <c r="E195" s="629">
        <f t="shared" si="100"/>
        <v>3.8756517117599993</v>
      </c>
      <c r="F195" s="629">
        <f t="shared" ref="F195:BM195" si="102">F187*25/1000</f>
        <v>3.9533840561399995</v>
      </c>
      <c r="G195" s="629">
        <f t="shared" si="102"/>
        <v>3.8623830348750006</v>
      </c>
      <c r="H195" s="629">
        <f t="shared" si="102"/>
        <v>3.7875573171450005</v>
      </c>
      <c r="I195" s="629">
        <f t="shared" si="102"/>
        <v>3.3969347288399994</v>
      </c>
      <c r="J195" s="629">
        <f t="shared" si="102"/>
        <v>3.0358852223924995</v>
      </c>
      <c r="K195" s="629">
        <f t="shared" si="102"/>
        <v>3.0448101891974999</v>
      </c>
      <c r="L195" s="629">
        <f t="shared" si="102"/>
        <v>3.0915080234475001</v>
      </c>
      <c r="M195" s="629">
        <f t="shared" si="102"/>
        <v>2.9927896871100002</v>
      </c>
      <c r="N195" s="629">
        <f t="shared" si="102"/>
        <v>3.1768130892899999</v>
      </c>
      <c r="O195" s="629">
        <f t="shared" si="102"/>
        <v>3.1987086930899995</v>
      </c>
      <c r="P195" s="629">
        <f t="shared" si="102"/>
        <v>3.0002657669249997</v>
      </c>
      <c r="Q195" s="629">
        <f t="shared" si="102"/>
        <v>3.0405991142830602</v>
      </c>
      <c r="R195" s="629">
        <f t="shared" si="102"/>
        <v>3.0805885122545114</v>
      </c>
      <c r="S195" s="629">
        <f t="shared" si="102"/>
        <v>3.1202101294567908</v>
      </c>
      <c r="T195" s="629">
        <f t="shared" si="102"/>
        <v>3.1594565291464045</v>
      </c>
      <c r="U195" s="629">
        <f t="shared" si="102"/>
        <v>3.1982837669299782</v>
      </c>
      <c r="V195" s="629">
        <f t="shared" si="102"/>
        <v>3.2366771383374209</v>
      </c>
      <c r="W195" s="629">
        <f t="shared" si="102"/>
        <v>3.2746090936144228</v>
      </c>
      <c r="X195" s="629">
        <f t="shared" si="102"/>
        <v>3.3120742242202623</v>
      </c>
      <c r="Y195" s="629">
        <f t="shared" si="102"/>
        <v>3.3490304449474366</v>
      </c>
      <c r="Z195" s="629">
        <f t="shared" si="102"/>
        <v>3.385457980818928</v>
      </c>
      <c r="AA195" s="629">
        <f t="shared" si="102"/>
        <v>3.4213313102831981</v>
      </c>
      <c r="AB195" s="629">
        <f t="shared" si="102"/>
        <v>3.4566208553831679</v>
      </c>
      <c r="AC195" s="629">
        <f t="shared" si="102"/>
        <v>3.4913120806656455</v>
      </c>
      <c r="AD195" s="629">
        <f t="shared" si="102"/>
        <v>3.5253796335959908</v>
      </c>
      <c r="AE195" s="629">
        <f t="shared" si="102"/>
        <v>3.5588086406872135</v>
      </c>
      <c r="AF195" s="629">
        <f t="shared" si="102"/>
        <v>3.591570538083622</v>
      </c>
      <c r="AG195" s="629">
        <f t="shared" si="102"/>
        <v>3.6236540016530752</v>
      </c>
      <c r="AH195" s="629">
        <f t="shared" si="102"/>
        <v>3.6550379042833745</v>
      </c>
      <c r="AI195" s="629">
        <f t="shared" si="102"/>
        <v>3.6857075415044291</v>
      </c>
      <c r="AJ195" s="629">
        <f t="shared" si="102"/>
        <v>3.7156590259275935</v>
      </c>
      <c r="AK195" s="629">
        <f t="shared" si="102"/>
        <v>3.7448820475221147</v>
      </c>
      <c r="AL195" s="629">
        <f t="shared" si="102"/>
        <v>3.7733585214799494</v>
      </c>
      <c r="AM195" s="629">
        <f t="shared" si="102"/>
        <v>3.8010847294293519</v>
      </c>
      <c r="AN195" s="629">
        <f t="shared" si="102"/>
        <v>3.8280425865622782</v>
      </c>
      <c r="AO195" s="629">
        <f t="shared" si="102"/>
        <v>3.8542275294224941</v>
      </c>
      <c r="AP195" s="629">
        <f t="shared" si="102"/>
        <v>3.8796437834324387</v>
      </c>
      <c r="AQ195" s="629">
        <f t="shared" si="102"/>
        <v>3.9042695454123213</v>
      </c>
      <c r="AR195" s="629">
        <f t="shared" si="102"/>
        <v>3.9281114070211491</v>
      </c>
      <c r="AS195" s="629">
        <f t="shared" si="102"/>
        <v>3.9511776500869056</v>
      </c>
      <c r="AT195" s="629">
        <f t="shared" si="102"/>
        <v>3.9734527193242131</v>
      </c>
      <c r="AU195" s="629">
        <f t="shared" si="102"/>
        <v>3.9949215210903377</v>
      </c>
      <c r="AV195" s="629">
        <f t="shared" si="102"/>
        <v>4.0155694403631612</v>
      </c>
      <c r="AW195" s="629">
        <f t="shared" si="102"/>
        <v>4.0353823572616099</v>
      </c>
      <c r="AX195" s="629">
        <f t="shared" si="102"/>
        <v>4.0543466630824989</v>
      </c>
      <c r="AY195" s="629">
        <f t="shared" si="102"/>
        <v>4.0724492758283812</v>
      </c>
      <c r="AZ195" s="629">
        <f t="shared" si="102"/>
        <v>4.089677655201692</v>
      </c>
      <c r="BA195" s="629">
        <f t="shared" si="102"/>
        <v>4.1060198170411839</v>
      </c>
      <c r="BB195" s="629">
        <f t="shared" si="102"/>
        <v>4.1214643471774979</v>
      </c>
      <c r="BC195" s="629">
        <f t="shared" si="102"/>
        <v>4.1360004146854559</v>
      </c>
      <c r="BD195" s="629">
        <f t="shared" si="102"/>
        <v>4.1496177845116407</v>
      </c>
      <c r="BE195" s="629">
        <f t="shared" si="102"/>
        <v>4.1623068294566687</v>
      </c>
      <c r="BF195" s="629">
        <f t="shared" si="102"/>
        <v>4.1740585414925935</v>
      </c>
      <c r="BG195" s="629">
        <f t="shared" si="102"/>
        <v>4.1848645423968396</v>
      </c>
      <c r="BH195" s="629">
        <f t="shared" si="102"/>
        <v>4.1947170936851297</v>
      </c>
      <c r="BI195" s="629">
        <f t="shared" si="102"/>
        <v>4.2036091058269918</v>
      </c>
      <c r="BJ195" s="629">
        <f t="shared" si="102"/>
        <v>4.211534146728459</v>
      </c>
      <c r="BK195" s="629">
        <f t="shared" si="102"/>
        <v>4.218486449467834</v>
      </c>
      <c r="BL195" s="629">
        <f t="shared" si="102"/>
        <v>4.2244609192715101</v>
      </c>
      <c r="BM195" s="629">
        <f t="shared" si="102"/>
        <v>4.2294531397180508</v>
      </c>
      <c r="BN195" s="238"/>
    </row>
    <row r="196" spans="1:66" ht="13.5" customHeight="1" x14ac:dyDescent="0.3">
      <c r="A196" s="1178"/>
      <c r="B196" s="944"/>
      <c r="C196" s="252"/>
      <c r="D196" s="234" t="s">
        <v>763</v>
      </c>
      <c r="E196" s="629">
        <f t="shared" si="100"/>
        <v>2.5454169950400001</v>
      </c>
      <c r="F196" s="629">
        <f t="shared" ref="F196:BM196" si="103">F188*25/1000</f>
        <v>2.59646937156</v>
      </c>
      <c r="G196" s="629">
        <f t="shared" si="103"/>
        <v>2.5367025082499999</v>
      </c>
      <c r="H196" s="629">
        <f t="shared" si="103"/>
        <v>2.4875591208299999</v>
      </c>
      <c r="I196" s="629">
        <f t="shared" si="103"/>
        <v>2.2310093973600003</v>
      </c>
      <c r="J196" s="629">
        <f t="shared" si="103"/>
        <v>1.9938824266950002</v>
      </c>
      <c r="K196" s="629">
        <f t="shared" si="103"/>
        <v>1.999744089165</v>
      </c>
      <c r="L196" s="629">
        <f t="shared" si="103"/>
        <v>2.0304138886650005</v>
      </c>
      <c r="M196" s="629">
        <f t="shared" si="103"/>
        <v>1.9655785139400002</v>
      </c>
      <c r="N196" s="629">
        <f t="shared" si="103"/>
        <v>2.0864398116600005</v>
      </c>
      <c r="O196" s="629">
        <f t="shared" si="103"/>
        <v>2.1008202168599999</v>
      </c>
      <c r="P196" s="629">
        <f t="shared" si="103"/>
        <v>1.9704885889500001</v>
      </c>
      <c r="Q196" s="629">
        <f t="shared" si="103"/>
        <v>1.9969783758213382</v>
      </c>
      <c r="R196" s="629">
        <f t="shared" si="103"/>
        <v>2.0232422665907501</v>
      </c>
      <c r="S196" s="629">
        <f t="shared" si="103"/>
        <v>2.0492646094890112</v>
      </c>
      <c r="T196" s="629">
        <f t="shared" si="103"/>
        <v>2.07504052027608</v>
      </c>
      <c r="U196" s="629">
        <f t="shared" si="103"/>
        <v>2.1005411375335288</v>
      </c>
      <c r="V196" s="629">
        <f t="shared" si="103"/>
        <v>2.1257568037867296</v>
      </c>
      <c r="W196" s="629">
        <f t="shared" si="103"/>
        <v>2.1506694251464364</v>
      </c>
      <c r="X196" s="629">
        <f t="shared" si="103"/>
        <v>2.1752754494380748</v>
      </c>
      <c r="Y196" s="629">
        <f t="shared" si="103"/>
        <v>2.1995472363032267</v>
      </c>
      <c r="Z196" s="629">
        <f t="shared" si="103"/>
        <v>2.2234717981035996</v>
      </c>
      <c r="AA196" s="629">
        <f t="shared" si="103"/>
        <v>2.2470323730154136</v>
      </c>
      <c r="AB196" s="629">
        <f t="shared" si="103"/>
        <v>2.2702095350839588</v>
      </c>
      <c r="AC196" s="629">
        <f t="shared" si="103"/>
        <v>2.2929937378400624</v>
      </c>
      <c r="AD196" s="629">
        <f t="shared" si="103"/>
        <v>2.3153683304654002</v>
      </c>
      <c r="AE196" s="629">
        <f t="shared" si="103"/>
        <v>2.3373235444798892</v>
      </c>
      <c r="AF196" s="629">
        <f t="shared" si="103"/>
        <v>2.3588406199615521</v>
      </c>
      <c r="AG196" s="629">
        <f t="shared" si="103"/>
        <v>2.3799121195448687</v>
      </c>
      <c r="AH196" s="629">
        <f t="shared" si="103"/>
        <v>2.4005241675479048</v>
      </c>
      <c r="AI196" s="629">
        <f t="shared" si="103"/>
        <v>2.4206671064960306</v>
      </c>
      <c r="AJ196" s="629">
        <f t="shared" si="103"/>
        <v>2.4403383832637711</v>
      </c>
      <c r="AK196" s="629">
        <f t="shared" si="103"/>
        <v>2.4595312265183411</v>
      </c>
      <c r="AL196" s="629">
        <f t="shared" si="103"/>
        <v>2.4782337586760028</v>
      </c>
      <c r="AM196" s="629">
        <f t="shared" si="103"/>
        <v>2.4964435376167353</v>
      </c>
      <c r="AN196" s="629">
        <f t="shared" si="103"/>
        <v>2.5141486857568016</v>
      </c>
      <c r="AO196" s="629">
        <f t="shared" si="103"/>
        <v>2.5313462059489025</v>
      </c>
      <c r="AP196" s="629">
        <f t="shared" si="103"/>
        <v>2.5480388733294261</v>
      </c>
      <c r="AQ196" s="629">
        <f t="shared" si="103"/>
        <v>2.5642123681946134</v>
      </c>
      <c r="AR196" s="629">
        <f t="shared" si="103"/>
        <v>2.5798710197572281</v>
      </c>
      <c r="AS196" s="629">
        <f t="shared" si="103"/>
        <v>2.5950202672845908</v>
      </c>
      <c r="AT196" s="629">
        <f t="shared" si="103"/>
        <v>2.6096498945109725</v>
      </c>
      <c r="AU196" s="629">
        <f t="shared" si="103"/>
        <v>2.6237499883643034</v>
      </c>
      <c r="AV196" s="629">
        <f t="shared" si="103"/>
        <v>2.637310950116821</v>
      </c>
      <c r="AW196" s="629">
        <f t="shared" si="103"/>
        <v>2.6503235062352157</v>
      </c>
      <c r="AX196" s="629">
        <f t="shared" si="103"/>
        <v>2.662778718913164</v>
      </c>
      <c r="AY196" s="629">
        <f t="shared" si="103"/>
        <v>2.6746679962695836</v>
      </c>
      <c r="AZ196" s="629">
        <f t="shared" si="103"/>
        <v>2.6859831021963503</v>
      </c>
      <c r="BA196" s="629">
        <f t="shared" si="103"/>
        <v>2.6967161658397418</v>
      </c>
      <c r="BB196" s="629">
        <f t="shared" si="103"/>
        <v>2.7068596907003721</v>
      </c>
      <c r="BC196" s="629">
        <f t="shared" si="103"/>
        <v>2.7164065633369239</v>
      </c>
      <c r="BD196" s="629">
        <f t="shared" si="103"/>
        <v>2.7253500616595772</v>
      </c>
      <c r="BE196" s="629">
        <f t="shared" si="103"/>
        <v>2.7336838627996261</v>
      </c>
      <c r="BF196" s="629">
        <f t="shared" si="103"/>
        <v>2.7414020505424244</v>
      </c>
      <c r="BG196" s="629">
        <f t="shared" si="103"/>
        <v>2.7484991223114439</v>
      </c>
      <c r="BH196" s="629">
        <f t="shared" si="103"/>
        <v>2.7549699956919449</v>
      </c>
      <c r="BI196" s="629">
        <f t="shared" si="103"/>
        <v>2.7608100144834475</v>
      </c>
      <c r="BJ196" s="629">
        <f t="shared" si="103"/>
        <v>2.766014954270934</v>
      </c>
      <c r="BK196" s="629">
        <f t="shared" si="103"/>
        <v>2.7705810275054752</v>
      </c>
      <c r="BL196" s="629">
        <f t="shared" si="103"/>
        <v>2.7745048880857444</v>
      </c>
      <c r="BM196" s="629">
        <f t="shared" si="103"/>
        <v>2.7777836354326881</v>
      </c>
      <c r="BN196" s="238"/>
    </row>
    <row r="197" spans="1:66" ht="14.25" customHeight="1" x14ac:dyDescent="0.3">
      <c r="A197" s="1178"/>
      <c r="B197" s="944"/>
      <c r="C197" s="252"/>
      <c r="D197" s="234" t="s">
        <v>764</v>
      </c>
      <c r="E197" s="629">
        <f t="shared" si="100"/>
        <v>3.7244025E-2</v>
      </c>
      <c r="F197" s="629">
        <f t="shared" ref="F197:BM197" si="104">F189*25/1000</f>
        <v>4.5776650000000002E-2</v>
      </c>
      <c r="G197" s="629">
        <f t="shared" si="104"/>
        <v>2.9048303352165111E-2</v>
      </c>
      <c r="H197" s="629">
        <f t="shared" si="104"/>
        <v>3.046343976529756E-2</v>
      </c>
      <c r="I197" s="629">
        <f t="shared" si="104"/>
        <v>4.8354048401874981E-2</v>
      </c>
      <c r="J197" s="629">
        <f t="shared" si="104"/>
        <v>4.0941540333873136E-2</v>
      </c>
      <c r="K197" s="629">
        <f t="shared" si="104"/>
        <v>2.8531095366435E-2</v>
      </c>
      <c r="L197" s="629">
        <f t="shared" si="104"/>
        <v>2.7886819934448692E-2</v>
      </c>
      <c r="M197" s="629">
        <f t="shared" si="104"/>
        <v>3.2083443800153613E-2</v>
      </c>
      <c r="N197" s="629">
        <f t="shared" si="104"/>
        <v>2.9067130885349585E-2</v>
      </c>
      <c r="O197" s="629">
        <f t="shared" si="104"/>
        <v>6.2395644499999785E-2</v>
      </c>
      <c r="P197" s="629">
        <f t="shared" si="104"/>
        <v>6.2130661424981797E-2</v>
      </c>
      <c r="Q197" s="629">
        <f t="shared" si="104"/>
        <v>6.2965899948337067E-2</v>
      </c>
      <c r="R197" s="629">
        <f t="shared" si="104"/>
        <v>6.379401583505051E-2</v>
      </c>
      <c r="S197" s="629">
        <f t="shared" si="104"/>
        <v>6.4614515575654521E-2</v>
      </c>
      <c r="T197" s="629">
        <f t="shared" si="104"/>
        <v>6.5427245167194698E-2</v>
      </c>
      <c r="U197" s="629">
        <f t="shared" si="104"/>
        <v>6.6231294592213108E-2</v>
      </c>
      <c r="V197" s="629">
        <f t="shared" si="104"/>
        <v>6.7026359344868044E-2</v>
      </c>
      <c r="W197" s="629">
        <f t="shared" si="104"/>
        <v>6.7811868914214771E-2</v>
      </c>
      <c r="X197" s="629">
        <f t="shared" si="104"/>
        <v>6.8587711298104592E-2</v>
      </c>
      <c r="Y197" s="629">
        <f t="shared" si="104"/>
        <v>6.9353014979818203E-2</v>
      </c>
      <c r="Z197" s="629">
        <f t="shared" si="104"/>
        <v>7.0107370451499493E-2</v>
      </c>
      <c r="AA197" s="629">
        <f t="shared" si="104"/>
        <v>7.0850249203009488E-2</v>
      </c>
      <c r="AB197" s="629">
        <f t="shared" si="104"/>
        <v>7.1581038722597634E-2</v>
      </c>
      <c r="AC197" s="629">
        <f t="shared" si="104"/>
        <v>7.2299438004489402E-2</v>
      </c>
      <c r="AD197" s="629">
        <f t="shared" si="104"/>
        <v>7.3004922038612904E-2</v>
      </c>
      <c r="AE197" s="629">
        <f t="shared" si="104"/>
        <v>7.3697182819059306E-2</v>
      </c>
      <c r="AF197" s="629">
        <f t="shared" si="104"/>
        <v>7.4375628834480956E-2</v>
      </c>
      <c r="AG197" s="629">
        <f t="shared" si="104"/>
        <v>7.5040025580379047E-2</v>
      </c>
      <c r="AH197" s="629">
        <f t="shared" si="104"/>
        <v>7.5689935548360385E-2</v>
      </c>
      <c r="AI197" s="629">
        <f t="shared" si="104"/>
        <v>7.6325054232583275E-2</v>
      </c>
      <c r="AJ197" s="629">
        <f t="shared" si="104"/>
        <v>7.6945301131503316E-2</v>
      </c>
      <c r="AK197" s="629">
        <f t="shared" si="104"/>
        <v>7.7550462741024659E-2</v>
      </c>
      <c r="AL197" s="629">
        <f t="shared" si="104"/>
        <v>7.8140164553962707E-2</v>
      </c>
      <c r="AM197" s="629">
        <f t="shared" si="104"/>
        <v>7.8714329568840183E-2</v>
      </c>
      <c r="AN197" s="629">
        <f t="shared" si="104"/>
        <v>7.9272583278472572E-2</v>
      </c>
      <c r="AO197" s="629">
        <f t="shared" si="104"/>
        <v>7.9814831181046861E-2</v>
      </c>
      <c r="AP197" s="629">
        <f t="shared" si="104"/>
        <v>8.0341160778241744E-2</v>
      </c>
      <c r="AQ197" s="629">
        <f t="shared" si="104"/>
        <v>8.0851120561395332E-2</v>
      </c>
      <c r="AR197" s="629">
        <f t="shared" si="104"/>
        <v>8.1344847033126402E-2</v>
      </c>
      <c r="AS197" s="629">
        <f t="shared" si="104"/>
        <v>8.1822511696725053E-2</v>
      </c>
      <c r="AT197" s="629">
        <f t="shared" si="104"/>
        <v>8.228379242733834E-2</v>
      </c>
      <c r="AU197" s="629">
        <f t="shared" si="104"/>
        <v>8.2728376659987266E-2</v>
      </c>
      <c r="AV197" s="629">
        <f t="shared" si="104"/>
        <v>8.3155961741153236E-2</v>
      </c>
      <c r="AW197" s="629">
        <f t="shared" si="104"/>
        <v>8.3566255270889594E-2</v>
      </c>
      <c r="AX197" s="629">
        <f t="shared" si="104"/>
        <v>8.3958975434918634E-2</v>
      </c>
      <c r="AY197" s="629">
        <f t="shared" si="104"/>
        <v>8.4333851326188328E-2</v>
      </c>
      <c r="AZ197" s="629">
        <f t="shared" si="104"/>
        <v>8.4690623255376893E-2</v>
      </c>
      <c r="BA197" s="629">
        <f t="shared" si="104"/>
        <v>8.502904304984811E-2</v>
      </c>
      <c r="BB197" s="629">
        <f t="shared" si="104"/>
        <v>8.5348874340577641E-2</v>
      </c>
      <c r="BC197" s="629">
        <f t="shared" si="104"/>
        <v>8.5649892836586847E-2</v>
      </c>
      <c r="BD197" s="629">
        <f t="shared" si="104"/>
        <v>8.5931886586439382E-2</v>
      </c>
      <c r="BE197" s="629">
        <f t="shared" si="104"/>
        <v>8.6194656226374955E-2</v>
      </c>
      <c r="BF197" s="629">
        <f t="shared" si="104"/>
        <v>8.6438015214674285E-2</v>
      </c>
      <c r="BG197" s="629">
        <f t="shared" si="104"/>
        <v>8.6661790051870718E-2</v>
      </c>
      <c r="BH197" s="629">
        <f t="shared" si="104"/>
        <v>8.6865820486445366E-2</v>
      </c>
      <c r="BI197" s="629">
        <f t="shared" si="104"/>
        <v>8.7049959705664967E-2</v>
      </c>
      <c r="BJ197" s="629">
        <f t="shared" si="104"/>
        <v>8.7214074511245271E-2</v>
      </c>
      <c r="BK197" s="629">
        <f t="shared" si="104"/>
        <v>8.735804547954612E-2</v>
      </c>
      <c r="BL197" s="629">
        <f t="shared" si="104"/>
        <v>8.748176710602934E-2</v>
      </c>
      <c r="BM197" s="629">
        <f t="shared" si="104"/>
        <v>8.7585147933735411E-2</v>
      </c>
      <c r="BN197" s="238"/>
    </row>
    <row r="198" spans="1:66" ht="14.25" customHeight="1" x14ac:dyDescent="0.3">
      <c r="A198" s="1178"/>
      <c r="B198" s="944"/>
      <c r="C198" s="252"/>
      <c r="D198" s="234" t="s">
        <v>765</v>
      </c>
      <c r="E198" s="629">
        <f t="shared" si="100"/>
        <v>9.9062249999999991E-2</v>
      </c>
      <c r="F198" s="629">
        <f t="shared" ref="F198:BM198" si="105">F190*25/1000</f>
        <v>9.2870375000000005E-2</v>
      </c>
      <c r="G198" s="629">
        <f t="shared" si="105"/>
        <v>8.896207107766857E-2</v>
      </c>
      <c r="H198" s="629">
        <f t="shared" si="105"/>
        <v>9.2434427716197684E-2</v>
      </c>
      <c r="I198" s="629">
        <f t="shared" si="105"/>
        <v>8.4299371745375218E-2</v>
      </c>
      <c r="J198" s="629">
        <f t="shared" si="105"/>
        <v>6.3337032649006794E-2</v>
      </c>
      <c r="K198" s="629">
        <f t="shared" si="105"/>
        <v>5.9810705854626688E-2</v>
      </c>
      <c r="L198" s="629">
        <f t="shared" si="105"/>
        <v>4.8764958380543101E-2</v>
      </c>
      <c r="M198" s="629">
        <f t="shared" si="105"/>
        <v>4.4487074786364052E-2</v>
      </c>
      <c r="N198" s="629">
        <f t="shared" si="105"/>
        <v>5.8080521243621758E-2</v>
      </c>
      <c r="O198" s="629">
        <f t="shared" si="105"/>
        <v>6.2066879391729259E-2</v>
      </c>
      <c r="P198" s="629">
        <f t="shared" si="105"/>
        <v>6.6103444896489019E-2</v>
      </c>
      <c r="Q198" s="629">
        <f t="shared" si="105"/>
        <v>6.6992090573804175E-2</v>
      </c>
      <c r="R198" s="629">
        <f t="shared" si="105"/>
        <v>6.7873158176011583E-2</v>
      </c>
      <c r="S198" s="629">
        <f t="shared" si="105"/>
        <v>6.8746122637464963E-2</v>
      </c>
      <c r="T198" s="629">
        <f t="shared" si="105"/>
        <v>6.9610820107891699E-2</v>
      </c>
      <c r="U198" s="629">
        <f t="shared" si="105"/>
        <v>7.0466282381135545E-2</v>
      </c>
      <c r="V198" s="629">
        <f t="shared" si="105"/>
        <v>7.1312185480521123E-2</v>
      </c>
      <c r="W198" s="629">
        <f t="shared" si="105"/>
        <v>7.2147922415265825E-2</v>
      </c>
      <c r="X198" s="629">
        <f t="shared" si="105"/>
        <v>7.2973374021535059E-2</v>
      </c>
      <c r="Y198" s="629">
        <f t="shared" si="105"/>
        <v>7.3787613055740719E-2</v>
      </c>
      <c r="Z198" s="629">
        <f t="shared" si="105"/>
        <v>7.4590203825112444E-2</v>
      </c>
      <c r="AA198" s="629">
        <f t="shared" si="105"/>
        <v>7.5380584025305647E-2</v>
      </c>
      <c r="AB198" s="629">
        <f t="shared" si="105"/>
        <v>7.6158101979099765E-2</v>
      </c>
      <c r="AC198" s="629">
        <f t="shared" si="105"/>
        <v>7.6922437433689261E-2</v>
      </c>
      <c r="AD198" s="629">
        <f t="shared" si="105"/>
        <v>7.7673031808599372E-2</v>
      </c>
      <c r="AE198" s="629">
        <f t="shared" si="105"/>
        <v>7.8409557403284869E-2</v>
      </c>
      <c r="AF198" s="629">
        <f t="shared" si="105"/>
        <v>7.9131384883744202E-2</v>
      </c>
      <c r="AG198" s="629">
        <f t="shared" si="105"/>
        <v>7.9838264750698648E-2</v>
      </c>
      <c r="AH198" s="629">
        <f t="shared" si="105"/>
        <v>8.0529731520419173E-2</v>
      </c>
      <c r="AI198" s="629">
        <f t="shared" si="105"/>
        <v>8.1205461216230471E-2</v>
      </c>
      <c r="AJ198" s="629">
        <f t="shared" si="105"/>
        <v>8.1865368189126389E-2</v>
      </c>
      <c r="AK198" s="629">
        <f t="shared" si="105"/>
        <v>8.2509225283047175E-2</v>
      </c>
      <c r="AL198" s="629">
        <f t="shared" si="105"/>
        <v>8.313663404392084E-2</v>
      </c>
      <c r="AM198" s="629">
        <f t="shared" si="105"/>
        <v>8.3747512546611058E-2</v>
      </c>
      <c r="AN198" s="629">
        <f t="shared" si="105"/>
        <v>8.4341462337045869E-2</v>
      </c>
      <c r="AO198" s="629">
        <f t="shared" si="105"/>
        <v>8.4918382870739786E-2</v>
      </c>
      <c r="AP198" s="629">
        <f t="shared" si="105"/>
        <v>8.5478367244438622E-2</v>
      </c>
      <c r="AQ198" s="629">
        <f t="shared" si="105"/>
        <v>8.6020935078934047E-2</v>
      </c>
      <c r="AR198" s="629">
        <f t="shared" si="105"/>
        <v>8.6546231605149501E-2</v>
      </c>
      <c r="AS198" s="629">
        <f t="shared" si="105"/>
        <v>8.7054439292706773E-2</v>
      </c>
      <c r="AT198" s="629">
        <f t="shared" si="105"/>
        <v>8.7545215419317382E-2</v>
      </c>
      <c r="AU198" s="629">
        <f t="shared" si="105"/>
        <v>8.8018227433848101E-2</v>
      </c>
      <c r="AV198" s="629">
        <f t="shared" si="105"/>
        <v>8.8473153330388632E-2</v>
      </c>
      <c r="AW198" s="629">
        <f t="shared" si="105"/>
        <v>8.8909682012238561E-2</v>
      </c>
      <c r="AX198" s="629">
        <f t="shared" si="105"/>
        <v>8.9327513645239595E-2</v>
      </c>
      <c r="AY198" s="629">
        <f t="shared" si="105"/>
        <v>8.9726359999893132E-2</v>
      </c>
      <c r="AZ198" s="629">
        <f t="shared" si="105"/>
        <v>9.0105944781719516E-2</v>
      </c>
      <c r="BA198" s="629">
        <f t="shared" si="105"/>
        <v>9.0466003949329063E-2</v>
      </c>
      <c r="BB198" s="629">
        <f t="shared" si="105"/>
        <v>9.0806286019695232E-2</v>
      </c>
      <c r="BC198" s="629">
        <f t="shared" si="105"/>
        <v>9.112655236013642E-2</v>
      </c>
      <c r="BD198" s="629">
        <f t="shared" si="105"/>
        <v>9.1426577466533154E-2</v>
      </c>
      <c r="BE198" s="629">
        <f t="shared" si="105"/>
        <v>9.1706149227328351E-2</v>
      </c>
      <c r="BF198" s="629">
        <f t="shared" si="105"/>
        <v>9.1965069172877834E-2</v>
      </c>
      <c r="BG198" s="629">
        <f t="shared" si="105"/>
        <v>9.2203152709743066E-2</v>
      </c>
      <c r="BH198" s="629">
        <f t="shared" si="105"/>
        <v>9.2420229339538737E-2</v>
      </c>
      <c r="BI198" s="629">
        <f t="shared" si="105"/>
        <v>9.2616142861973449E-2</v>
      </c>
      <c r="BJ198" s="629">
        <f t="shared" si="105"/>
        <v>9.2790751561745197E-2</v>
      </c>
      <c r="BK198" s="629">
        <f t="shared" si="105"/>
        <v>9.2943928378979968E-2</v>
      </c>
      <c r="BL198" s="629">
        <f t="shared" si="105"/>
        <v>9.3075561062926415E-2</v>
      </c>
      <c r="BM198" s="629">
        <f t="shared" si="105"/>
        <v>9.3185552308647709E-2</v>
      </c>
      <c r="BN198" s="238"/>
    </row>
    <row r="199" spans="1:66" ht="14.25" customHeight="1" x14ac:dyDescent="0.3">
      <c r="A199" s="1178"/>
      <c r="B199" s="944"/>
      <c r="C199" s="252"/>
      <c r="D199" s="234" t="s">
        <v>766</v>
      </c>
      <c r="E199" s="629">
        <f t="shared" si="100"/>
        <v>0.19161975000000001</v>
      </c>
      <c r="F199" s="629">
        <f t="shared" ref="F199:BM199" si="106">F191*25/1000</f>
        <v>4.410675E-2</v>
      </c>
      <c r="G199" s="629">
        <f t="shared" si="106"/>
        <v>0.17159450000000001</v>
      </c>
      <c r="H199" s="629">
        <f t="shared" si="106"/>
        <v>0.15951825</v>
      </c>
      <c r="I199" s="629">
        <f t="shared" si="106"/>
        <v>0.122945</v>
      </c>
      <c r="J199" s="629">
        <f t="shared" si="106"/>
        <v>9.94115E-2</v>
      </c>
      <c r="K199" s="629">
        <f t="shared" si="106"/>
        <v>9.6190250000000005E-2</v>
      </c>
      <c r="L199" s="629">
        <f t="shared" si="106"/>
        <v>9.4852999999999993E-2</v>
      </c>
      <c r="M199" s="629">
        <f t="shared" si="106"/>
        <v>8.3823499999999995E-2</v>
      </c>
      <c r="N199" s="629">
        <f t="shared" si="106"/>
        <v>9.235974999999999E-2</v>
      </c>
      <c r="O199" s="629">
        <f t="shared" si="106"/>
        <v>7.1401249999999999E-2</v>
      </c>
      <c r="P199" s="629">
        <f t="shared" si="106"/>
        <v>9.1529749999999993E-2</v>
      </c>
      <c r="Q199" s="629">
        <f t="shared" si="106"/>
        <v>9.2760208061763674E-2</v>
      </c>
      <c r="R199" s="629">
        <f t="shared" si="106"/>
        <v>9.3980173185962898E-2</v>
      </c>
      <c r="S199" s="629">
        <f t="shared" si="106"/>
        <v>9.5188918343508483E-2</v>
      </c>
      <c r="T199" s="629">
        <f t="shared" si="106"/>
        <v>9.6386216660074658E-2</v>
      </c>
      <c r="U199" s="629">
        <f t="shared" si="106"/>
        <v>9.757072751464585E-2</v>
      </c>
      <c r="V199" s="629">
        <f t="shared" si="106"/>
        <v>9.8742002314805302E-2</v>
      </c>
      <c r="W199" s="629">
        <f t="shared" si="106"/>
        <v>9.9899200594300894E-2</v>
      </c>
      <c r="X199" s="629">
        <f t="shared" si="106"/>
        <v>0.10104215735362307</v>
      </c>
      <c r="Y199" s="629">
        <f t="shared" si="106"/>
        <v>0.1021695886903376</v>
      </c>
      <c r="Z199" s="629">
        <f t="shared" si="106"/>
        <v>0.10328089132498749</v>
      </c>
      <c r="AA199" s="629">
        <f t="shared" si="106"/>
        <v>0.10437528666613675</v>
      </c>
      <c r="AB199" s="629">
        <f t="shared" si="106"/>
        <v>0.10545187237271718</v>
      </c>
      <c r="AC199" s="629">
        <f t="shared" si="106"/>
        <v>0.1065102050085467</v>
      </c>
      <c r="AD199" s="629">
        <f t="shared" si="106"/>
        <v>0.10754951113842401</v>
      </c>
      <c r="AE199" s="629">
        <f t="shared" si="106"/>
        <v>0.10856933701369766</v>
      </c>
      <c r="AF199" s="629">
        <f t="shared" si="106"/>
        <v>0.10956881123070754</v>
      </c>
      <c r="AG199" s="629">
        <f t="shared" si="106"/>
        <v>0.11054758832173034</v>
      </c>
      <c r="AH199" s="629">
        <f t="shared" si="106"/>
        <v>0.11150502375743167</v>
      </c>
      <c r="AI199" s="629">
        <f t="shared" si="106"/>
        <v>0.11244066894539477</v>
      </c>
      <c r="AJ199" s="629">
        <f t="shared" si="106"/>
        <v>0.1133544052922221</v>
      </c>
      <c r="AK199" s="629">
        <f t="shared" si="106"/>
        <v>0.11424591826759847</v>
      </c>
      <c r="AL199" s="629">
        <f t="shared" si="106"/>
        <v>0.11511465615441356</v>
      </c>
      <c r="AM199" s="629">
        <f t="shared" si="106"/>
        <v>0.1159605055155046</v>
      </c>
      <c r="AN199" s="629">
        <f t="shared" si="106"/>
        <v>0.11678291463376127</v>
      </c>
      <c r="AO199" s="629">
        <f t="shared" si="106"/>
        <v>0.11758174429084735</v>
      </c>
      <c r="AP199" s="629">
        <f t="shared" si="106"/>
        <v>0.11835712339262973</v>
      </c>
      <c r="AQ199" s="629">
        <f t="shared" si="106"/>
        <v>0.11910838678483529</v>
      </c>
      <c r="AR199" s="629">
        <f t="shared" si="106"/>
        <v>0.11983573556061629</v>
      </c>
      <c r="AS199" s="629">
        <f t="shared" si="106"/>
        <v>0.12053942237547192</v>
      </c>
      <c r="AT199" s="629">
        <f t="shared" si="106"/>
        <v>0.1212189726809814</v>
      </c>
      <c r="AU199" s="629">
        <f t="shared" si="106"/>
        <v>0.12187392601215481</v>
      </c>
      <c r="AV199" s="629">
        <f t="shared" si="106"/>
        <v>0.12250383650538377</v>
      </c>
      <c r="AW199" s="629">
        <f t="shared" si="106"/>
        <v>0.12310827340243387</v>
      </c>
      <c r="AX199" s="629">
        <f t="shared" si="106"/>
        <v>0.1236868215396839</v>
      </c>
      <c r="AY199" s="629">
        <f t="shared" si="106"/>
        <v>0.12423908182183736</v>
      </c>
      <c r="AZ199" s="629">
        <f t="shared" si="106"/>
        <v>0.124764671679352</v>
      </c>
      <c r="BA199" s="629">
        <f t="shared" si="106"/>
        <v>0.12526322550885541</v>
      </c>
      <c r="BB199" s="629">
        <f t="shared" si="106"/>
        <v>0.12573439509583939</v>
      </c>
      <c r="BC199" s="629">
        <f t="shared" si="106"/>
        <v>0.12617785001895115</v>
      </c>
      <c r="BD199" s="629">
        <f t="shared" si="106"/>
        <v>0.12659327803522508</v>
      </c>
      <c r="BE199" s="629">
        <f t="shared" si="106"/>
        <v>0.12698038544562873</v>
      </c>
      <c r="BF199" s="629">
        <f t="shared" si="106"/>
        <v>0.12733889744032537</v>
      </c>
      <c r="BG199" s="629">
        <f t="shared" si="106"/>
        <v>0.12766855842308522</v>
      </c>
      <c r="BH199" s="629">
        <f t="shared" si="106"/>
        <v>0.12796913231431215</v>
      </c>
      <c r="BI199" s="629">
        <f t="shared" si="106"/>
        <v>0.12824040283218222</v>
      </c>
      <c r="BJ199" s="629">
        <f t="shared" si="106"/>
        <v>0.12848217375142798</v>
      </c>
      <c r="BK199" s="629">
        <f t="shared" si="106"/>
        <v>0.12869426913933471</v>
      </c>
      <c r="BL199" s="629">
        <f t="shared" si="106"/>
        <v>0.12887653356855341</v>
      </c>
      <c r="BM199" s="629">
        <f t="shared" si="106"/>
        <v>0.12902883230636994</v>
      </c>
      <c r="BN199" s="238"/>
    </row>
    <row r="200" spans="1:66" s="359" customFormat="1" ht="14.25" customHeight="1" x14ac:dyDescent="0.3">
      <c r="A200" s="48"/>
      <c r="B200" s="49"/>
      <c r="C200" s="307"/>
      <c r="D200" s="228" t="s">
        <v>767</v>
      </c>
      <c r="E200" s="628">
        <f>SUM(E192:E196)</f>
        <v>10.208068682299999</v>
      </c>
      <c r="F200" s="628">
        <f t="shared" ref="F200:BM200" si="107">SUM(F192:F196)</f>
        <v>10.459432543449999</v>
      </c>
      <c r="G200" s="628">
        <f t="shared" si="107"/>
        <v>10.084071155125001</v>
      </c>
      <c r="H200" s="628">
        <f t="shared" si="107"/>
        <v>10.153768127475001</v>
      </c>
      <c r="I200" s="628">
        <f t="shared" si="107"/>
        <v>9.0721758174499989</v>
      </c>
      <c r="J200" s="628">
        <f t="shared" si="107"/>
        <v>8.0184725299624997</v>
      </c>
      <c r="K200" s="628">
        <f t="shared" si="107"/>
        <v>8.1336969179874998</v>
      </c>
      <c r="L200" s="628">
        <f t="shared" si="107"/>
        <v>8.1080351497374998</v>
      </c>
      <c r="M200" s="628">
        <f t="shared" si="107"/>
        <v>7.8594908135499999</v>
      </c>
      <c r="N200" s="628">
        <f t="shared" si="107"/>
        <v>8.6583595441999996</v>
      </c>
      <c r="O200" s="628">
        <f t="shared" si="107"/>
        <v>8.6037237934500013</v>
      </c>
      <c r="P200" s="628">
        <f t="shared" si="107"/>
        <v>7.9130033683750005</v>
      </c>
      <c r="Q200" s="628">
        <f t="shared" si="107"/>
        <v>8.0193799157530954</v>
      </c>
      <c r="R200" s="628">
        <f t="shared" si="107"/>
        <v>8.1248493192758708</v>
      </c>
      <c r="S200" s="628">
        <f t="shared" si="107"/>
        <v>8.2293487252413069</v>
      </c>
      <c r="T200" s="628">
        <f t="shared" si="107"/>
        <v>8.3328585197282141</v>
      </c>
      <c r="U200" s="628">
        <f t="shared" si="107"/>
        <v>8.4352628022931579</v>
      </c>
      <c r="V200" s="628">
        <f t="shared" si="107"/>
        <v>8.5365227908646837</v>
      </c>
      <c r="W200" s="628">
        <f t="shared" si="107"/>
        <v>8.636565824780174</v>
      </c>
      <c r="X200" s="628">
        <f t="shared" si="107"/>
        <v>8.7353776393696734</v>
      </c>
      <c r="Y200" s="628">
        <f t="shared" si="107"/>
        <v>8.8328472376700482</v>
      </c>
      <c r="Z200" s="628">
        <f t="shared" si="107"/>
        <v>8.9289224644817509</v>
      </c>
      <c r="AA200" s="628">
        <f t="shared" si="107"/>
        <v>9.0235360083934069</v>
      </c>
      <c r="AB200" s="628">
        <f t="shared" si="107"/>
        <v>9.1166098594911666</v>
      </c>
      <c r="AC200" s="628">
        <f t="shared" si="107"/>
        <v>9.2081056814745139</v>
      </c>
      <c r="AD200" s="628">
        <f t="shared" si="107"/>
        <v>9.2979566087030072</v>
      </c>
      <c r="AE200" s="628">
        <f t="shared" si="107"/>
        <v>9.3861234133342464</v>
      </c>
      <c r="AF200" s="628">
        <f t="shared" si="107"/>
        <v>9.4725307600800122</v>
      </c>
      <c r="AG200" s="628">
        <f t="shared" si="107"/>
        <v>9.5571487822875643</v>
      </c>
      <c r="AH200" s="628">
        <f t="shared" si="107"/>
        <v>9.6399217585898747</v>
      </c>
      <c r="AI200" s="628">
        <f t="shared" si="107"/>
        <v>9.7208109069154816</v>
      </c>
      <c r="AJ200" s="628">
        <f t="shared" si="107"/>
        <v>9.7998059745328554</v>
      </c>
      <c r="AK200" s="628">
        <f t="shared" si="107"/>
        <v>9.8768797694148809</v>
      </c>
      <c r="AL200" s="628">
        <f t="shared" si="107"/>
        <v>9.9519845940713783</v>
      </c>
      <c r="AM200" s="628">
        <f t="shared" si="107"/>
        <v>10.025110641541747</v>
      </c>
      <c r="AN200" s="628">
        <f t="shared" si="107"/>
        <v>10.096210214335811</v>
      </c>
      <c r="AO200" s="628">
        <f t="shared" si="107"/>
        <v>10.165271276638286</v>
      </c>
      <c r="AP200" s="628">
        <f t="shared" si="107"/>
        <v>10.232304972722583</v>
      </c>
      <c r="AQ200" s="628">
        <f t="shared" si="107"/>
        <v>10.297253798137916</v>
      </c>
      <c r="AR200" s="628">
        <f t="shared" si="107"/>
        <v>10.360135137950804</v>
      </c>
      <c r="AS200" s="628">
        <f t="shared" si="107"/>
        <v>10.420970834937126</v>
      </c>
      <c r="AT200" s="628">
        <f t="shared" si="107"/>
        <v>10.479719863056145</v>
      </c>
      <c r="AU200" s="628">
        <f t="shared" si="107"/>
        <v>10.536342413819185</v>
      </c>
      <c r="AV200" s="628">
        <f t="shared" si="107"/>
        <v>10.590799941067925</v>
      </c>
      <c r="AW200" s="628">
        <f t="shared" si="107"/>
        <v>10.643055204545949</v>
      </c>
      <c r="AX200" s="628">
        <f t="shared" si="107"/>
        <v>10.693072312194843</v>
      </c>
      <c r="AY200" s="628">
        <f t="shared" si="107"/>
        <v>10.740816761107908</v>
      </c>
      <c r="AZ200" s="628">
        <f t="shared" si="107"/>
        <v>10.786255477076182</v>
      </c>
      <c r="BA200" s="628">
        <f t="shared" si="107"/>
        <v>10.829356852663643</v>
      </c>
      <c r="BB200" s="628">
        <f t="shared" si="107"/>
        <v>10.870090783750314</v>
      </c>
      <c r="BC200" s="628">
        <f t="shared" si="107"/>
        <v>10.908428704484347</v>
      </c>
      <c r="BD200" s="628">
        <f t="shared" si="107"/>
        <v>10.944343620586409</v>
      </c>
      <c r="BE200" s="628">
        <f t="shared" si="107"/>
        <v>10.977810140952162</v>
      </c>
      <c r="BF200" s="628">
        <f t="shared" si="107"/>
        <v>11.008804507501148</v>
      </c>
      <c r="BG200" s="628">
        <f t="shared" si="107"/>
        <v>11.037304623223095</v>
      </c>
      <c r="BH200" s="628">
        <f t="shared" si="107"/>
        <v>11.06329007837537</v>
      </c>
      <c r="BI200" s="628">
        <f t="shared" si="107"/>
        <v>11.086742174788249</v>
      </c>
      <c r="BJ200" s="628">
        <f t="shared" si="107"/>
        <v>11.107643948237504</v>
      </c>
      <c r="BK200" s="628">
        <f t="shared" si="107"/>
        <v>11.125980188846954</v>
      </c>
      <c r="BL200" s="628">
        <f t="shared" si="107"/>
        <v>11.141737459486745</v>
      </c>
      <c r="BM200" s="628">
        <f t="shared" si="107"/>
        <v>11.154904112136201</v>
      </c>
      <c r="BN200" s="308"/>
    </row>
    <row r="201" spans="1:66" s="359" customFormat="1" ht="14.25" customHeight="1" x14ac:dyDescent="0.3">
      <c r="A201" s="48"/>
      <c r="B201" s="49"/>
      <c r="C201" s="307"/>
      <c r="D201" s="228" t="s">
        <v>688</v>
      </c>
      <c r="E201" s="628">
        <f>SUM(E193:E199)</f>
        <v>10.535994707299997</v>
      </c>
      <c r="F201" s="628">
        <f t="shared" ref="F201:BM201" si="108">SUM(F193:F199)</f>
        <v>10.642186318449999</v>
      </c>
      <c r="G201" s="628">
        <f t="shared" si="108"/>
        <v>10.373676029554833</v>
      </c>
      <c r="H201" s="628">
        <f t="shared" si="108"/>
        <v>10.436184244956495</v>
      </c>
      <c r="I201" s="628">
        <f t="shared" si="108"/>
        <v>9.3277742375972483</v>
      </c>
      <c r="J201" s="628">
        <f t="shared" si="108"/>
        <v>8.2221626029453798</v>
      </c>
      <c r="K201" s="628">
        <f t="shared" si="108"/>
        <v>8.3182289692085618</v>
      </c>
      <c r="L201" s="628">
        <f t="shared" si="108"/>
        <v>8.2795399280524915</v>
      </c>
      <c r="M201" s="628">
        <f t="shared" si="108"/>
        <v>8.0198848321365173</v>
      </c>
      <c r="N201" s="628">
        <f t="shared" si="108"/>
        <v>8.8378669463289707</v>
      </c>
      <c r="O201" s="628">
        <f t="shared" si="108"/>
        <v>8.7995875673417299</v>
      </c>
      <c r="P201" s="628">
        <f t="shared" si="108"/>
        <v>8.1327672246964706</v>
      </c>
      <c r="Q201" s="628">
        <f t="shared" si="108"/>
        <v>8.2420981143369989</v>
      </c>
      <c r="R201" s="628">
        <f t="shared" si="108"/>
        <v>8.3504966664728961</v>
      </c>
      <c r="S201" s="628">
        <f t="shared" si="108"/>
        <v>8.4578982817979345</v>
      </c>
      <c r="T201" s="628">
        <f t="shared" si="108"/>
        <v>8.5642828016633761</v>
      </c>
      <c r="U201" s="628">
        <f t="shared" si="108"/>
        <v>8.669531106781152</v>
      </c>
      <c r="V201" s="628">
        <f t="shared" si="108"/>
        <v>8.7736033380048788</v>
      </c>
      <c r="W201" s="628">
        <f t="shared" si="108"/>
        <v>8.8764248167039543</v>
      </c>
      <c r="X201" s="628">
        <f t="shared" si="108"/>
        <v>8.9779808820429352</v>
      </c>
      <c r="Y201" s="628">
        <f t="shared" si="108"/>
        <v>9.078157454395944</v>
      </c>
      <c r="Z201" s="628">
        <f t="shared" si="108"/>
        <v>9.1769009300833488</v>
      </c>
      <c r="AA201" s="628">
        <f t="shared" si="108"/>
        <v>9.2741421282878598</v>
      </c>
      <c r="AB201" s="628">
        <f t="shared" si="108"/>
        <v>9.3698008725655804</v>
      </c>
      <c r="AC201" s="628">
        <f t="shared" si="108"/>
        <v>9.4638377619212388</v>
      </c>
      <c r="AD201" s="628">
        <f t="shared" si="108"/>
        <v>9.5561840736886445</v>
      </c>
      <c r="AE201" s="628">
        <f t="shared" si="108"/>
        <v>9.6467994905702881</v>
      </c>
      <c r="AF201" s="628">
        <f t="shared" si="108"/>
        <v>9.735606585028945</v>
      </c>
      <c r="AG201" s="628">
        <f t="shared" si="108"/>
        <v>9.8225746609403704</v>
      </c>
      <c r="AH201" s="628">
        <f t="shared" si="108"/>
        <v>9.9076464494160863</v>
      </c>
      <c r="AI201" s="628">
        <f t="shared" si="108"/>
        <v>9.9907820913096899</v>
      </c>
      <c r="AJ201" s="628">
        <f t="shared" si="108"/>
        <v>10.071971049145708</v>
      </c>
      <c r="AK201" s="628">
        <f t="shared" si="108"/>
        <v>10.151185375706552</v>
      </c>
      <c r="AL201" s="628">
        <f t="shared" si="108"/>
        <v>10.228376048823675</v>
      </c>
      <c r="AM201" s="628">
        <f t="shared" si="108"/>
        <v>10.303532989172702</v>
      </c>
      <c r="AN201" s="628">
        <f t="shared" si="108"/>
        <v>10.376607174585089</v>
      </c>
      <c r="AO201" s="628">
        <f t="shared" si="108"/>
        <v>10.447586234980919</v>
      </c>
      <c r="AP201" s="628">
        <f t="shared" si="108"/>
        <v>10.516481624137892</v>
      </c>
      <c r="AQ201" s="628">
        <f t="shared" si="108"/>
        <v>10.583234240563081</v>
      </c>
      <c r="AR201" s="628">
        <f t="shared" si="108"/>
        <v>10.647861952149697</v>
      </c>
      <c r="AS201" s="628">
        <f t="shared" si="108"/>
        <v>10.710387208302031</v>
      </c>
      <c r="AT201" s="628">
        <f t="shared" si="108"/>
        <v>10.770767843583782</v>
      </c>
      <c r="AU201" s="628">
        <f t="shared" si="108"/>
        <v>10.828962943925175</v>
      </c>
      <c r="AV201" s="628">
        <f t="shared" si="108"/>
        <v>10.884932892644851</v>
      </c>
      <c r="AW201" s="628">
        <f t="shared" si="108"/>
        <v>10.93863941523151</v>
      </c>
      <c r="AX201" s="628">
        <f t="shared" si="108"/>
        <v>10.990045622814685</v>
      </c>
      <c r="AY201" s="628">
        <f t="shared" si="108"/>
        <v>11.039116054255828</v>
      </c>
      <c r="AZ201" s="628">
        <f t="shared" si="108"/>
        <v>11.085816716792628</v>
      </c>
      <c r="BA201" s="628">
        <f t="shared" si="108"/>
        <v>11.130115125171676</v>
      </c>
      <c r="BB201" s="628">
        <f t="shared" si="108"/>
        <v>11.171980339206428</v>
      </c>
      <c r="BC201" s="628">
        <f t="shared" si="108"/>
        <v>11.211382999700023</v>
      </c>
      <c r="BD201" s="628">
        <f t="shared" si="108"/>
        <v>11.248295362674607</v>
      </c>
      <c r="BE201" s="628">
        <f t="shared" si="108"/>
        <v>11.282691331851494</v>
      </c>
      <c r="BF201" s="628">
        <f t="shared" si="108"/>
        <v>11.314546489329025</v>
      </c>
      <c r="BG201" s="628">
        <f t="shared" si="108"/>
        <v>11.343838124407794</v>
      </c>
      <c r="BH201" s="628">
        <f t="shared" si="108"/>
        <v>11.370545260515666</v>
      </c>
      <c r="BI201" s="628">
        <f t="shared" si="108"/>
        <v>11.39464868018807</v>
      </c>
      <c r="BJ201" s="628">
        <f t="shared" si="108"/>
        <v>11.416130948061921</v>
      </c>
      <c r="BK201" s="628">
        <f t="shared" si="108"/>
        <v>11.434976431844815</v>
      </c>
      <c r="BL201" s="628">
        <f t="shared" si="108"/>
        <v>11.451171321224253</v>
      </c>
      <c r="BM201" s="628">
        <f t="shared" si="108"/>
        <v>11.464703644684953</v>
      </c>
      <c r="BN201" s="308"/>
    </row>
    <row r="202" spans="1:66" ht="15" customHeight="1" x14ac:dyDescent="0.35">
      <c r="A202" s="960"/>
      <c r="B202" s="26"/>
      <c r="C202" s="306"/>
      <c r="D202" s="250"/>
      <c r="E202" s="251"/>
      <c r="F202" s="251"/>
      <c r="G202" s="251"/>
      <c r="H202" s="251"/>
      <c r="I202" s="251"/>
      <c r="J202" s="251"/>
      <c r="K202" s="251"/>
      <c r="L202" s="251"/>
      <c r="M202" s="251"/>
      <c r="N202" s="251"/>
      <c r="O202" s="251"/>
      <c r="P202" s="251"/>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31"/>
    </row>
    <row r="203" spans="1:66" ht="14.25" customHeight="1" x14ac:dyDescent="0.3">
      <c r="A203" s="960"/>
      <c r="B203" s="944"/>
      <c r="C203" s="232"/>
      <c r="D203" s="227" t="s">
        <v>768</v>
      </c>
      <c r="E203" s="229"/>
      <c r="F203" s="229"/>
      <c r="G203" s="229"/>
      <c r="H203" s="229"/>
      <c r="I203" s="229"/>
      <c r="J203" s="229"/>
      <c r="K203" s="230"/>
      <c r="L203" s="230"/>
      <c r="M203" s="230"/>
      <c r="N203" s="230"/>
      <c r="O203" s="230"/>
      <c r="P203" s="230"/>
      <c r="Q203" s="234"/>
      <c r="R203" s="234"/>
      <c r="S203" s="234"/>
      <c r="T203" s="234"/>
      <c r="U203" s="234"/>
      <c r="V203" s="234"/>
      <c r="W203" s="234"/>
      <c r="X203" s="234"/>
      <c r="Y203" s="234"/>
      <c r="Z203" s="234"/>
      <c r="AA203" s="234"/>
      <c r="AB203" s="234"/>
      <c r="AC203" s="234"/>
      <c r="AD203" s="234"/>
      <c r="AE203" s="234"/>
      <c r="AF203" s="234"/>
      <c r="AG203" s="234"/>
      <c r="AH203" s="234"/>
      <c r="AI203" s="234"/>
      <c r="AJ203" s="234"/>
      <c r="AK203" s="234"/>
      <c r="AL203" s="234"/>
      <c r="AM203" s="234"/>
      <c r="AN203" s="234"/>
      <c r="AO203" s="234"/>
      <c r="AP203" s="234"/>
      <c r="AQ203" s="234"/>
      <c r="AR203" s="234"/>
      <c r="AS203" s="234"/>
      <c r="AT203" s="234"/>
      <c r="AU203" s="234"/>
      <c r="AV203" s="234"/>
      <c r="AW203" s="234"/>
      <c r="AX203" s="234"/>
      <c r="AY203" s="234"/>
      <c r="AZ203" s="234"/>
      <c r="BA203" s="234"/>
      <c r="BB203" s="234"/>
      <c r="BC203" s="234"/>
      <c r="BD203" s="234"/>
      <c r="BE203" s="234"/>
      <c r="BF203" s="234"/>
      <c r="BG203" s="234"/>
      <c r="BH203" s="234"/>
      <c r="BI203" s="234"/>
      <c r="BJ203" s="234"/>
      <c r="BK203" s="234"/>
      <c r="BL203" s="234"/>
      <c r="BM203" s="234"/>
      <c r="BN203" s="231"/>
    </row>
    <row r="204" spans="1:66" ht="14.25" customHeight="1" x14ac:dyDescent="0.3">
      <c r="A204" s="960"/>
      <c r="B204" s="944"/>
      <c r="C204" s="232"/>
      <c r="D204" s="233" t="s">
        <v>769</v>
      </c>
      <c r="E204" s="229"/>
      <c r="F204" s="229"/>
      <c r="G204" s="229"/>
      <c r="H204" s="229"/>
      <c r="I204" s="229"/>
      <c r="J204" s="229"/>
      <c r="K204" s="230"/>
      <c r="L204" s="230"/>
      <c r="M204" s="230"/>
      <c r="N204" s="230"/>
      <c r="O204" s="230"/>
      <c r="P204" s="230"/>
      <c r="Q204" s="234"/>
      <c r="R204" s="234"/>
      <c r="S204" s="234"/>
      <c r="T204" s="234"/>
      <c r="U204" s="234"/>
      <c r="V204" s="234"/>
      <c r="W204" s="234"/>
      <c r="X204" s="234"/>
      <c r="Y204" s="234"/>
      <c r="Z204" s="234"/>
      <c r="AA204" s="234"/>
      <c r="AB204" s="234"/>
      <c r="AC204" s="234"/>
      <c r="AD204" s="234"/>
      <c r="AE204" s="234"/>
      <c r="AF204" s="234"/>
      <c r="AG204" s="234"/>
      <c r="AH204" s="234"/>
      <c r="AI204" s="234"/>
      <c r="AJ204" s="234"/>
      <c r="AK204" s="234"/>
      <c r="AL204" s="234"/>
      <c r="AM204" s="234"/>
      <c r="AN204" s="234"/>
      <c r="AO204" s="234"/>
      <c r="AP204" s="234"/>
      <c r="AQ204" s="234"/>
      <c r="AR204" s="234"/>
      <c r="AS204" s="234"/>
      <c r="AT204" s="234"/>
      <c r="AU204" s="234"/>
      <c r="AV204" s="234"/>
      <c r="AW204" s="234"/>
      <c r="AX204" s="234"/>
      <c r="AY204" s="234"/>
      <c r="AZ204" s="234"/>
      <c r="BA204" s="234"/>
      <c r="BB204" s="234"/>
      <c r="BC204" s="234"/>
      <c r="BD204" s="234"/>
      <c r="BE204" s="234"/>
      <c r="BF204" s="234"/>
      <c r="BG204" s="234"/>
      <c r="BH204" s="234"/>
      <c r="BI204" s="234"/>
      <c r="BJ204" s="234"/>
      <c r="BK204" s="234"/>
      <c r="BL204" s="234"/>
      <c r="BM204" s="234"/>
      <c r="BN204" s="231"/>
    </row>
    <row r="205" spans="1:66" ht="14.25" customHeight="1" x14ac:dyDescent="0.3">
      <c r="A205" s="1199" t="s">
        <v>750</v>
      </c>
      <c r="B205" s="944"/>
      <c r="C205" s="252"/>
      <c r="D205" s="234" t="s">
        <v>751</v>
      </c>
      <c r="E205" s="891">
        <f>'Calibración-BAU_Agricultura '!G318*1.33/1000000</f>
        <v>1.4481864600000001</v>
      </c>
      <c r="F205" s="891">
        <f>'Calibración-BAU_Agricultura '!H318*1.33/1000000</f>
        <v>1.4993927900000001</v>
      </c>
      <c r="G205" s="891">
        <f>'Calibración-BAU_Agricultura '!I318*1.33/1000000</f>
        <v>1.4009036300000002</v>
      </c>
      <c r="H205" s="891">
        <f>'Calibración-BAU_Agricultura '!J318*1.33/1000000</f>
        <v>1.4997439100000001</v>
      </c>
      <c r="I205" s="891">
        <f>'Calibración-BAU_Agricultura '!K318*1.33/1000000</f>
        <v>1.32871921</v>
      </c>
      <c r="J205" s="891">
        <f>'Calibración-BAU_Agricultura '!L318*1.33/1000000</f>
        <v>1.1449783800000002</v>
      </c>
      <c r="K205" s="891">
        <f>'Calibración-BAU_Agricultura '!M318*1.33/1000000</f>
        <v>1.1919061000000002</v>
      </c>
      <c r="L205" s="891">
        <f>'Calibración-BAU_Agricultura '!N318*1.33/1000000</f>
        <v>1.1386981200000001</v>
      </c>
      <c r="M205" s="891">
        <f>'Calibración-BAU_Agricultura '!O318*1.33/1000000</f>
        <v>1.1072622400000001</v>
      </c>
      <c r="N205" s="891">
        <f>'Calibración-BAU_Agricultura '!P318*1.33/1000000</f>
        <v>1.3253489899999999</v>
      </c>
      <c r="O205" s="891">
        <f>'Calibración-BAU_Agricultura '!Q318*1.33/1000000</f>
        <v>1.2801516000000002</v>
      </c>
      <c r="P205" s="891">
        <f>'Calibración-BAU_Agricultura '!R318*1.33/1000000</f>
        <v>1.1261309499999999</v>
      </c>
      <c r="Q205" s="891">
        <f>'Calibración-BAU_Agricultura '!S318*1.33/1000000</f>
        <v>1.141269819122106</v>
      </c>
      <c r="R205" s="891">
        <f>'Calibración-BAU_Agricultura '!T318*1.33/1000000</f>
        <v>1.1562795889978172</v>
      </c>
      <c r="S205" s="891">
        <f>'Calibración-BAU_Agricultura '!U318*1.33/1000000</f>
        <v>1.1711513146670633</v>
      </c>
      <c r="T205" s="891">
        <f>'Calibración-BAU_Agricultura '!V318*1.33/1000000</f>
        <v>1.1858822047947879</v>
      </c>
      <c r="U205" s="891">
        <f>'Calibración-BAU_Agricultura '!W318*1.33/1000000</f>
        <v>1.2004557651283796</v>
      </c>
      <c r="V205" s="891">
        <f>'Calibración-BAU_Agricultura '!X318*1.33/1000000</f>
        <v>1.2148664764371577</v>
      </c>
      <c r="W205" s="891">
        <f>'Calibración-BAU_Agricultura '!Y318*1.33/1000000</f>
        <v>1.2291039980935232</v>
      </c>
      <c r="X205" s="891">
        <f>'Calibración-BAU_Agricultura '!Z318*1.33/1000000</f>
        <v>1.2431663000356175</v>
      </c>
      <c r="Y205" s="891">
        <f>'Calibración-BAU_Agricultura '!AA318*1.33/1000000</f>
        <v>1.2570375858445937</v>
      </c>
      <c r="Z205" s="891">
        <f>'Calibración-BAU_Agricultura '!AB318*1.33/1000000</f>
        <v>1.2707104331067762</v>
      </c>
      <c r="AA205" s="891">
        <f>'Calibración-BAU_Agricultura '!AC318*1.33/1000000</f>
        <v>1.2841752624677651</v>
      </c>
      <c r="AB205" s="891">
        <f>'Calibración-BAU_Agricultura '!AD318*1.33/1000000</f>
        <v>1.2974209720267647</v>
      </c>
      <c r="AC205" s="891">
        <f>'Calibración-BAU_Agricultura '!AE318*1.33/1000000</f>
        <v>1.3104421059925266</v>
      </c>
      <c r="AD205" s="891">
        <f>'Calibración-BAU_Agricultura '!AF318*1.33/1000000</f>
        <v>1.3232291484500835</v>
      </c>
      <c r="AE205" s="891">
        <f>'Calibración-BAU_Agricultura '!AG318*1.33/1000000</f>
        <v>1.3357765167293207</v>
      </c>
      <c r="AF205" s="891">
        <f>'Calibración-BAU_Agricultura '!AH318*1.33/1000000</f>
        <v>1.3480734895660411</v>
      </c>
      <c r="AG205" s="891">
        <f>'Calibración-BAU_Agricultura '!AI318*1.33/1000000</f>
        <v>1.3601158165182261</v>
      </c>
      <c r="AH205" s="891">
        <f>'Calibración-BAU_Agricultura '!AJ318*1.33/1000000</f>
        <v>1.3718955676567359</v>
      </c>
      <c r="AI205" s="891">
        <f>'Calibración-BAU_Agricultura '!AK318*1.33/1000000</f>
        <v>1.3834072237508888</v>
      </c>
      <c r="AJ205" s="891">
        <f>'Calibración-BAU_Agricultura '!AL318*1.33/1000000</f>
        <v>1.3946493256937238</v>
      </c>
      <c r="AK205" s="891">
        <f>'Calibración-BAU_Agricultura '!AM318*1.33/1000000</f>
        <v>1.40561800367982</v>
      </c>
      <c r="AL205" s="891">
        <f>'Calibración-BAU_Agricultura '!AN318*1.33/1000000</f>
        <v>1.4163064696898342</v>
      </c>
      <c r="AM205" s="891">
        <f>'Calibración-BAU_Agricultura '!AO318*1.33/1000000</f>
        <v>1.4267133280562379</v>
      </c>
      <c r="AN205" s="891">
        <f>'Calibración-BAU_Agricultura '!AP318*1.33/1000000</f>
        <v>1.4368317907596873</v>
      </c>
      <c r="AO205" s="891">
        <f>'Calibración-BAU_Agricultura '!AQ318*1.33/1000000</f>
        <v>1.4466601449354886</v>
      </c>
      <c r="AP205" s="891">
        <f>'Calibración-BAU_Agricultura '!AR318*1.33/1000000</f>
        <v>1.4561999765694691</v>
      </c>
      <c r="AQ205" s="891">
        <f>'Calibración-BAU_Agricultura '!AS318*1.33/1000000</f>
        <v>1.4654431019747567</v>
      </c>
      <c r="AR205" s="891">
        <f>'Calibración-BAU_Agricultura '!AT318*1.33/1000000</f>
        <v>1.474391995289243</v>
      </c>
      <c r="AS205" s="891">
        <f>'Calibración-BAU_Agricultura '!AU318*1.33/1000000</f>
        <v>1.4830497650451513</v>
      </c>
      <c r="AT205" s="891">
        <f>'Calibración-BAU_Agricultura '!AV318*1.33/1000000</f>
        <v>1.4914105726636164</v>
      </c>
      <c r="AU205" s="891">
        <f>'Calibración-BAU_Agricultura '!AW318*1.33/1000000</f>
        <v>1.4994687528404436</v>
      </c>
      <c r="AV205" s="891">
        <f>'Calibración-BAU_Agricultura '!AX318*1.33/1000000</f>
        <v>1.5072188199186876</v>
      </c>
      <c r="AW205" s="891">
        <f>'Calibración-BAU_Agricultura '!AY318*1.33/1000000</f>
        <v>1.5146554740894906</v>
      </c>
      <c r="AX205" s="891">
        <f>'Calibración-BAU_Agricultura '!AZ318*1.33/1000000</f>
        <v>1.5217736074114119</v>
      </c>
      <c r="AY205" s="891">
        <f>'Calibración-BAU_Agricultura '!BA318*1.33/1000000</f>
        <v>1.528568309638707</v>
      </c>
      <c r="AZ205" s="891">
        <f>'Calibración-BAU_Agricultura '!BB318*1.33/1000000</f>
        <v>1.5350348738492869</v>
      </c>
      <c r="BA205" s="891">
        <f>'Calibración-BAU_Agricultura '!BC318*1.33/1000000</f>
        <v>1.5411688018633454</v>
      </c>
      <c r="BB205" s="891">
        <f>'Calibración-BAU_Agricultura '!BD318*1.33/1000000</f>
        <v>1.546965809443956</v>
      </c>
      <c r="BC205" s="891">
        <f>'Calibración-BAU_Agricultura '!BE318*1.33/1000000</f>
        <v>1.5524218312712419</v>
      </c>
      <c r="BD205" s="891">
        <f>'Calibración-BAU_Agricultura '!BF318*1.33/1000000</f>
        <v>1.5575330256820552</v>
      </c>
      <c r="BE205" s="891">
        <f>'Calibración-BAU_Agricultura '!BG318*1.33/1000000</f>
        <v>1.5622957791674514</v>
      </c>
      <c r="BF205" s="891">
        <f>'Calibración-BAU_Agricultura '!BH318*1.33/1000000</f>
        <v>1.566706710620603</v>
      </c>
      <c r="BG205" s="891">
        <f>'Calibración-BAU_Agricultura '!BI318*1.33/1000000</f>
        <v>1.5707626753281803</v>
      </c>
      <c r="BH205" s="891">
        <f>'Calibración-BAU_Agricultura '!BJ318*1.33/1000000</f>
        <v>1.574460768698615</v>
      </c>
      <c r="BI205" s="891">
        <f>'Calibración-BAU_Agricultura '!BK318*1.33/1000000</f>
        <v>1.5777983297210807</v>
      </c>
      <c r="BJ205" s="891">
        <f>'Calibración-BAU_Agricultura '!BL318*1.33/1000000</f>
        <v>1.5807729441494229</v>
      </c>
      <c r="BK205" s="891">
        <f>'Calibración-BAU_Agricultura '!BM318*1.33/1000000</f>
        <v>1.5833824474057308</v>
      </c>
      <c r="BL205" s="891">
        <f>'Calibración-BAU_Agricultura '!BN318*1.33/1000000</f>
        <v>1.5856249271986642</v>
      </c>
      <c r="BM205" s="891">
        <f>'Calibración-BAU_Agricultura '!BO318*1.33/1000000</f>
        <v>1.5874987258521198</v>
      </c>
      <c r="BN205" s="238"/>
    </row>
    <row r="206" spans="1:66" ht="14.25" customHeight="1" x14ac:dyDescent="0.3">
      <c r="A206" s="982"/>
      <c r="B206" s="944"/>
      <c r="C206" s="252"/>
      <c r="D206" s="234" t="s">
        <v>752</v>
      </c>
      <c r="E206" s="891">
        <f>'Calibración-BAU_Agricultura '!G319*1/1000000</f>
        <v>0.36774751999999999</v>
      </c>
      <c r="F206" s="891">
        <f>'Calibración-BAU_Agricultura '!H319*1/1000000</f>
        <v>0.37512328</v>
      </c>
      <c r="G206" s="891">
        <f>'Calibración-BAU_Agricultura '!I319*1/1000000</f>
        <v>0.36648850000000005</v>
      </c>
      <c r="H206" s="891">
        <f>'Calibración-BAU_Agricultura '!J319*1/1000000</f>
        <v>0.35938854000000003</v>
      </c>
      <c r="I206" s="891">
        <f>'Calibración-BAU_Agricultura '!K319*1/1000000</f>
        <v>0.32232368000000006</v>
      </c>
      <c r="J206" s="891">
        <f>'Calibración-BAU_Agricultura '!L319*1/1000000</f>
        <v>0.28806491000000001</v>
      </c>
      <c r="K206" s="891">
        <f>'Calibración-BAU_Agricultura '!M319*1/1000000</f>
        <v>0.28891177000000001</v>
      </c>
      <c r="L206" s="891">
        <f>'Calibración-BAU_Agricultura '!N319*1/1000000</f>
        <v>0.29334277000000003</v>
      </c>
      <c r="M206" s="891">
        <f>'Calibración-BAU_Agricultura '!O319*1/1000000</f>
        <v>0.28397572000000004</v>
      </c>
      <c r="N206" s="891">
        <f>'Calibración-BAU_Agricultura '!P319*1/1000000</f>
        <v>0.30143708000000002</v>
      </c>
      <c r="O206" s="891">
        <f>'Calibración-BAU_Agricultura '!Q319*1/1000000</f>
        <v>0.30351468000000004</v>
      </c>
      <c r="P206" s="891">
        <f>'Calibración-BAU_Agricultura '!R319*1/1000000</f>
        <v>0.28468510000000002</v>
      </c>
      <c r="Q206" s="891">
        <f>'Calibración-BAU_Agricultura '!S319*1/1000000</f>
        <v>0.28851219530353794</v>
      </c>
      <c r="R206" s="891">
        <f>'Calibración-BAU_Agricultura '!T319*1/1000000</f>
        <v>0.29230665440977582</v>
      </c>
      <c r="S206" s="891">
        <f>'Calibración-BAU_Agricultura '!U319*1/1000000</f>
        <v>0.29606621603919547</v>
      </c>
      <c r="T206" s="891">
        <f>'Calibración-BAU_Agricultura '!V319*1/1000000</f>
        <v>0.29979017454428786</v>
      </c>
      <c r="U206" s="891">
        <f>'Calibración-BAU_Agricultura '!W319*1/1000000</f>
        <v>0.30347436018977125</v>
      </c>
      <c r="V206" s="891">
        <f>'Calibración-BAU_Agricultura '!X319*1/1000000</f>
        <v>0.30711737771807079</v>
      </c>
      <c r="W206" s="891">
        <f>'Calibración-BAU_Agricultura '!Y319*1/1000000</f>
        <v>0.31071661302591369</v>
      </c>
      <c r="X206" s="891">
        <f>'Calibración-BAU_Agricultura '!Z319*1/1000000</f>
        <v>0.31427155291511161</v>
      </c>
      <c r="Y206" s="891">
        <f>'Calibración-BAU_Agricultura '!AA319*1/1000000</f>
        <v>0.31777820406226004</v>
      </c>
      <c r="Z206" s="891">
        <f>'Calibración-BAU_Agricultura '!AB319*1/1000000</f>
        <v>0.32123469008648237</v>
      </c>
      <c r="AA206" s="891">
        <f>'Calibración-BAU_Agricultura '!AC319*1/1000000</f>
        <v>0.32463858933382661</v>
      </c>
      <c r="AB206" s="891">
        <f>'Calibración-BAU_Agricultura '!AD319*1/1000000</f>
        <v>0.32798709525169945</v>
      </c>
      <c r="AC206" s="891">
        <f>'Calibración-BAU_Agricultura '!AE319*1/1000000</f>
        <v>0.33127882861996927</v>
      </c>
      <c r="AD206" s="891">
        <f>'Calibración-BAU_Agricultura '!AF319*1/1000000</f>
        <v>0.33451138382212742</v>
      </c>
      <c r="AE206" s="891">
        <f>'Calibración-BAU_Agricultura '!AG319*1/1000000</f>
        <v>0.33768334956315554</v>
      </c>
      <c r="AF206" s="891">
        <f>'Calibración-BAU_Agricultura '!AH319*1/1000000</f>
        <v>0.34079201551512056</v>
      </c>
      <c r="AG206" s="891">
        <f>'Calibración-BAU_Agricultura '!AI319*1/1000000</f>
        <v>0.3438363071693154</v>
      </c>
      <c r="AH206" s="891">
        <f>'Calibración-BAU_Agricultura '!AJ319*1/1000000</f>
        <v>0.34681421984531613</v>
      </c>
      <c r="AI206" s="891">
        <f>'Calibración-BAU_Agricultura '!AK319*1/1000000</f>
        <v>0.34972435828554777</v>
      </c>
      <c r="AJ206" s="891">
        <f>'Calibración-BAU_Agricultura '!AL319*1/1000000</f>
        <v>0.35256635362881233</v>
      </c>
      <c r="AK206" s="891">
        <f>'Calibración-BAU_Agricultura '!AM319*1/1000000</f>
        <v>0.35533922759106307</v>
      </c>
      <c r="AL206" s="891">
        <f>'Calibración-BAU_Agricultura '!AN319*1/1000000</f>
        <v>0.35804126416585708</v>
      </c>
      <c r="AM206" s="891">
        <f>'Calibración-BAU_Agricultura '!AO319*1/1000000</f>
        <v>0.36067211052943976</v>
      </c>
      <c r="AN206" s="891">
        <f>'Calibración-BAU_Agricultura '!AP319*1/1000000</f>
        <v>0.3632300506753684</v>
      </c>
      <c r="AO206" s="891">
        <f>'Calibración-BAU_Agricultura '!AQ319*1/1000000</f>
        <v>0.36571465159267147</v>
      </c>
      <c r="AP206" s="891">
        <f>'Calibración-BAU_Agricultura '!AR319*1/1000000</f>
        <v>0.36812631421743364</v>
      </c>
      <c r="AQ206" s="891">
        <f>'Calibración-BAU_Agricultura '!AS319*1/1000000</f>
        <v>0.37046296971945752</v>
      </c>
      <c r="AR206" s="891">
        <f>'Calibración-BAU_Agricultura '!AT319*1/1000000</f>
        <v>0.37272524355903536</v>
      </c>
      <c r="AS206" s="891">
        <f>'Calibración-BAU_Agricultura '!AU319*1/1000000</f>
        <v>0.37491392157089332</v>
      </c>
      <c r="AT206" s="891">
        <f>'Calibración-BAU_Agricultura '!AV319*1/1000000</f>
        <v>0.37702752776646359</v>
      </c>
      <c r="AU206" s="891">
        <f>'Calibración-BAU_Agricultura '!AW319*1/1000000</f>
        <v>0.37906462996089141</v>
      </c>
      <c r="AV206" s="891">
        <f>'Calibración-BAU_Agricultura '!AX319*1/1000000</f>
        <v>0.38102384138401812</v>
      </c>
      <c r="AW206" s="891">
        <f>'Calibración-BAU_Agricultura '!AY319*1/1000000</f>
        <v>0.38290382224794922</v>
      </c>
      <c r="AX206" s="891">
        <f>'Calibración-BAU_Agricultura '!AZ319*1/1000000</f>
        <v>0.38470328126873576</v>
      </c>
      <c r="AY206" s="891">
        <f>'Calibración-BAU_Agricultura '!BA319*1/1000000</f>
        <v>0.38642097713976015</v>
      </c>
      <c r="AZ206" s="891">
        <f>'Calibración-BAU_Agricultura '!BB319*1/1000000</f>
        <v>0.38805571995447929</v>
      </c>
      <c r="BA206" s="891">
        <f>'Calibración-BAU_Agricultura '!BC319*1/1000000</f>
        <v>0.38960637257625041</v>
      </c>
      <c r="BB206" s="891">
        <f>'Calibración-BAU_Agricultura '!BD319*1/1000000</f>
        <v>0.39107185195303773</v>
      </c>
      <c r="BC206" s="891">
        <f>'Calibración-BAU_Agricultura '!BE319*1/1000000</f>
        <v>0.39245113037487939</v>
      </c>
      <c r="BD206" s="891">
        <f>'Calibración-BAU_Agricultura '!BF319*1/1000000</f>
        <v>0.39374323667207495</v>
      </c>
      <c r="BE206" s="891">
        <f>'Calibración-BAU_Agricultura '!BG319*1/1000000</f>
        <v>0.39494725735214359</v>
      </c>
      <c r="BF206" s="891">
        <f>'Calibración-BAU_Agricultura '!BH319*1/1000000</f>
        <v>0.3960623376736937</v>
      </c>
      <c r="BG206" s="891">
        <f>'Calibración-BAU_Agricultura '!BI319*1/1000000</f>
        <v>0.39708768265544114</v>
      </c>
      <c r="BH206" s="891">
        <f>'Calibración-BAU_Agricultura '!BJ319*1/1000000</f>
        <v>0.39802255801871178</v>
      </c>
      <c r="BI206" s="891">
        <f>'Calibración-BAU_Agricultura '!BK319*1/1000000</f>
        <v>0.39886629106186877</v>
      </c>
      <c r="BJ206" s="891">
        <f>'Calibración-BAU_Agricultura '!BL319*1/1000000</f>
        <v>0.39961827146520829</v>
      </c>
      <c r="BK206" s="891">
        <f>'Calibración-BAU_Agricultura '!BM319*1/1000000</f>
        <v>0.40027795202498012</v>
      </c>
      <c r="BL206" s="891">
        <f>'Calibración-BAU_Agricultura '!BN319*1/1000000</f>
        <v>0.40084484931529896</v>
      </c>
      <c r="BM206" s="891">
        <f>'Calibración-BAU_Agricultura '!BO319*1/1000000</f>
        <v>0.40131854427682967</v>
      </c>
      <c r="BN206" s="238"/>
    </row>
    <row r="207" spans="1:66" ht="14.25" customHeight="1" x14ac:dyDescent="0.3">
      <c r="A207" s="982"/>
      <c r="B207" s="944"/>
      <c r="C207" s="252"/>
      <c r="D207" s="234" t="s">
        <v>753</v>
      </c>
      <c r="E207" s="891">
        <f>'Calibración-BAU_Agricultura '!G320*1/1000000</f>
        <v>1.6285961599999998</v>
      </c>
      <c r="F207" s="891">
        <f>'Calibración-BAU_Agricultura '!H320*1/1000000</f>
        <v>1.6612602400000001</v>
      </c>
      <c r="G207" s="891">
        <f>'Calibración-BAU_Agricultura '!I320*1/1000000</f>
        <v>1.6230205</v>
      </c>
      <c r="H207" s="891">
        <f>'Calibración-BAU_Agricultura '!J320*1/1000000</f>
        <v>1.5915778200000001</v>
      </c>
      <c r="I207" s="891">
        <f>'Calibración-BAU_Agricultura '!K320*1/1000000</f>
        <v>1.4274334399999999</v>
      </c>
      <c r="J207" s="891">
        <f>'Calibración-BAU_Agricultura '!L320*1/1000000</f>
        <v>1.2757160300000001</v>
      </c>
      <c r="K207" s="891">
        <f>'Calibración-BAU_Agricultura '!M320*1/1000000</f>
        <v>1.2794664099999999</v>
      </c>
      <c r="L207" s="891">
        <f>'Calibración-BAU_Agricultura '!N320*1/1000000</f>
        <v>1.2990894099999999</v>
      </c>
      <c r="M207" s="891">
        <f>'Calibración-BAU_Agricultura '!O320*1/1000000</f>
        <v>1.25760676</v>
      </c>
      <c r="N207" s="891">
        <f>'Calibración-BAU_Agricultura '!P320*1/1000000</f>
        <v>1.3349356399999999</v>
      </c>
      <c r="O207" s="891">
        <f>'Calibración-BAU_Agricultura '!Q320*1/1000000</f>
        <v>1.34413644</v>
      </c>
      <c r="P207" s="891">
        <f>'Calibración-BAU_Agricultura '!R320*1/1000000</f>
        <v>1.2607483000000002</v>
      </c>
      <c r="Q207" s="891">
        <f>'Calibración-BAU_Agricultura '!S320*1/1000000</f>
        <v>1.2776968649156677</v>
      </c>
      <c r="R207" s="891">
        <f>'Calibración-BAU_Agricultura '!T320*1/1000000</f>
        <v>1.2945008981004356</v>
      </c>
      <c r="S207" s="891">
        <f>'Calibración-BAU_Agricultura '!U320*1/1000000</f>
        <v>1.3111503853164368</v>
      </c>
      <c r="T207" s="891">
        <f>'Calibración-BAU_Agricultura '!V320*1/1000000</f>
        <v>1.3276422015532745</v>
      </c>
      <c r="U207" s="891">
        <f>'Calibración-BAU_Agricultura '!W320*1/1000000</f>
        <v>1.3439578808404153</v>
      </c>
      <c r="V207" s="891">
        <f>'Calibración-BAU_Agricultura '!X320*1/1000000</f>
        <v>1.3600912441800277</v>
      </c>
      <c r="W207" s="891">
        <f>'Calibración-BAU_Agricultura '!Y320*1/1000000</f>
        <v>1.3760307148290463</v>
      </c>
      <c r="X207" s="891">
        <f>'Calibración-BAU_Agricultura '!Z320*1/1000000</f>
        <v>1.3917740200526367</v>
      </c>
      <c r="Y207" s="891">
        <f>'Calibración-BAU_Agricultura '!AA320*1/1000000</f>
        <v>1.4073034751328657</v>
      </c>
      <c r="Z207" s="891">
        <f>'Calibración-BAU_Agricultura '!AB320*1/1000000</f>
        <v>1.4226107703829931</v>
      </c>
      <c r="AA207" s="891">
        <f>'Calibración-BAU_Agricultura '!AC320*1/1000000</f>
        <v>1.4376851813355176</v>
      </c>
      <c r="AB207" s="891">
        <f>'Calibración-BAU_Agricultura '!AD320*1/1000000</f>
        <v>1.4525142789718115</v>
      </c>
      <c r="AC207" s="891">
        <f>'Calibración-BAU_Agricultura '!AE320*1/1000000</f>
        <v>1.4670919553170065</v>
      </c>
      <c r="AD207" s="891">
        <f>'Calibración-BAU_Agricultura '!AF320*1/1000000</f>
        <v>1.4814075569265641</v>
      </c>
      <c r="AE207" s="891">
        <f>'Calibración-BAU_Agricultura '!AG320*1/1000000</f>
        <v>1.4954548337796887</v>
      </c>
      <c r="AF207" s="891">
        <f>'Calibración-BAU_Agricultura '!AH320*1/1000000</f>
        <v>1.5092217829955339</v>
      </c>
      <c r="AG207" s="891">
        <f>'Calibración-BAU_Agricultura '!AI320*1/1000000</f>
        <v>1.5227036460355396</v>
      </c>
      <c r="AH207" s="891">
        <f>'Calibración-BAU_Agricultura '!AJ320*1/1000000</f>
        <v>1.5358915450292572</v>
      </c>
      <c r="AI207" s="891">
        <f>'Calibración-BAU_Agricultura '!AK320*1/1000000</f>
        <v>1.5487793009788546</v>
      </c>
      <c r="AJ207" s="891">
        <f>'Calibración-BAU_Agricultura '!AL320*1/1000000</f>
        <v>1.5613652803561693</v>
      </c>
      <c r="AK207" s="891">
        <f>'Calibración-BAU_Agricultura '!AM320*1/1000000</f>
        <v>1.5736451507604223</v>
      </c>
      <c r="AL207" s="891">
        <f>'Calibración-BAU_Agricultura '!AN320*1/1000000</f>
        <v>1.5856113127345097</v>
      </c>
      <c r="AM207" s="891">
        <f>'Calibración-BAU_Agricultura '!AO320*1/1000000</f>
        <v>1.5972622037732334</v>
      </c>
      <c r="AN207" s="891">
        <f>'Calibración-BAU_Agricultura '!AP320*1/1000000</f>
        <v>1.6085902244194887</v>
      </c>
      <c r="AO207" s="891">
        <f>'Calibración-BAU_Agricultura '!AQ320*1/1000000</f>
        <v>1.6195934570532595</v>
      </c>
      <c r="AP207" s="891">
        <f>'Calibración-BAU_Agricultura '!AR320*1/1000000</f>
        <v>1.6302736772486348</v>
      </c>
      <c r="AQ207" s="891">
        <f>'Calibración-BAU_Agricultura '!AS320*1/1000000</f>
        <v>1.6406217230433118</v>
      </c>
      <c r="AR207" s="891">
        <f>'Calibración-BAU_Agricultura '!AT320*1/1000000</f>
        <v>1.6506403643328709</v>
      </c>
      <c r="AS207" s="891">
        <f>'Calibración-BAU_Agricultura '!AU320*1/1000000</f>
        <v>1.6603330812425277</v>
      </c>
      <c r="AT207" s="891">
        <f>'Calibración-BAU_Agricultura '!AV320*1/1000000</f>
        <v>1.6696933372514815</v>
      </c>
      <c r="AU207" s="891">
        <f>'Calibración-BAU_Agricultura '!AW320*1/1000000</f>
        <v>1.6787147898268044</v>
      </c>
      <c r="AV207" s="891">
        <f>'Calibración-BAU_Agricultura '!AX320*1/1000000</f>
        <v>1.6873912975577945</v>
      </c>
      <c r="AW207" s="891">
        <f>'Calibración-BAU_Agricultura '!AY320*1/1000000</f>
        <v>1.6957169270980608</v>
      </c>
      <c r="AX207" s="891">
        <f>'Calibración-BAU_Agricultura '!AZ320*1/1000000</f>
        <v>1.7036859599044014</v>
      </c>
      <c r="AY207" s="891">
        <f>'Calibración-BAU_Agricultura '!BA320*1/1000000</f>
        <v>1.7112928987617948</v>
      </c>
      <c r="AZ207" s="891">
        <f>'Calibración-BAU_Agricultura '!BB320*1/1000000</f>
        <v>1.7185324740841228</v>
      </c>
      <c r="BA207" s="891">
        <f>'Calibración-BAU_Agricultura '!BC320*1/1000000</f>
        <v>1.7253996499805375</v>
      </c>
      <c r="BB207" s="891">
        <f>'Calibración-BAU_Agricultura '!BD320*1/1000000</f>
        <v>1.7318896300777384</v>
      </c>
      <c r="BC207" s="891">
        <f>'Calibración-BAU_Agricultura '!BE320*1/1000000</f>
        <v>1.7379978630887516</v>
      </c>
      <c r="BD207" s="891">
        <f>'Calibración-BAU_Agricultura '!BF320*1/1000000</f>
        <v>1.7437200481191892</v>
      </c>
      <c r="BE207" s="891">
        <f>'Calibración-BAU_Agricultura '!BG320*1/1000000</f>
        <v>1.7490521397023504</v>
      </c>
      <c r="BF207" s="891">
        <f>'Calibración-BAU_Agricultura '!BH320*1/1000000</f>
        <v>1.7539903525549296</v>
      </c>
      <c r="BG207" s="891">
        <f>'Calibración-BAU_Agricultura '!BI320*1/1000000</f>
        <v>1.7585311660455254</v>
      </c>
      <c r="BH207" s="891">
        <f>'Calibración-BAU_Agricultura '!BJ320*1/1000000</f>
        <v>1.7626713283685809</v>
      </c>
      <c r="BI207" s="891">
        <f>'Calibración-BAU_Agricultura '!BK320*1/1000000</f>
        <v>1.7664078604168476</v>
      </c>
      <c r="BJ207" s="891">
        <f>'Calibración-BAU_Agricultura '!BL320*1/1000000</f>
        <v>1.7697380593459224</v>
      </c>
      <c r="BK207" s="891">
        <f>'Calibración-BAU_Agricultura '!BM320*1/1000000</f>
        <v>1.7726595018249118</v>
      </c>
      <c r="BL207" s="891">
        <f>'Calibración-BAU_Agricultura '!BN320*1/1000000</f>
        <v>1.7751700469677527</v>
      </c>
      <c r="BM207" s="891">
        <f>'Calibración-BAU_Agricultura '!BO320*1/1000000</f>
        <v>1.7772678389402461</v>
      </c>
      <c r="BN207" s="238"/>
    </row>
    <row r="208" spans="1:66" ht="14.25" customHeight="1" x14ac:dyDescent="0.3">
      <c r="A208" s="982"/>
      <c r="B208" s="944"/>
      <c r="C208" s="252"/>
      <c r="D208" s="234" t="s">
        <v>754</v>
      </c>
      <c r="E208" s="891">
        <f>'Calibración-BAU_Agricultura '!G321*1/1000000</f>
        <v>1.94380832</v>
      </c>
      <c r="F208" s="891">
        <f>'Calibración-BAU_Agricultura '!H321*1/1000000</f>
        <v>1.9827944799999999</v>
      </c>
      <c r="G208" s="891">
        <f>'Calibración-BAU_Agricultura '!I321*1/1000000</f>
        <v>1.9371535</v>
      </c>
      <c r="H208" s="891">
        <f>'Calibración-BAU_Agricultura '!J321*1/1000000</f>
        <v>1.8996251399999999</v>
      </c>
      <c r="I208" s="891">
        <f>'Calibración-BAU_Agricultura '!K321*1/1000000</f>
        <v>1.7037108799999998</v>
      </c>
      <c r="J208" s="891">
        <f>'Calibración-BAU_Agricultura '!L321*1/1000000</f>
        <v>1.5226288100000001</v>
      </c>
      <c r="K208" s="891">
        <f>'Calibración-BAU_Agricultura '!M321*1/1000000</f>
        <v>1.5271050700000002</v>
      </c>
      <c r="L208" s="891">
        <f>'Calibración-BAU_Agricultura '!N321*1/1000000</f>
        <v>1.5505260700000001</v>
      </c>
      <c r="M208" s="891">
        <f>'Calibración-BAU_Agricultura '!O321*1/1000000</f>
        <v>1.50101452</v>
      </c>
      <c r="N208" s="891">
        <f>'Calibración-BAU_Agricultura '!P321*1/1000000</f>
        <v>1.5933102800000001</v>
      </c>
      <c r="O208" s="891">
        <f>'Calibración-BAU_Agricultura '!Q321*1/1000000</f>
        <v>1.6042918799999999</v>
      </c>
      <c r="P208" s="891">
        <f>'Calibración-BAU_Agricultura '!R321*1/1000000</f>
        <v>1.5047641</v>
      </c>
      <c r="Q208" s="891">
        <f>'Calibración-BAU_Agricultura '!S321*1/1000000</f>
        <v>1.5249930323187004</v>
      </c>
      <c r="R208" s="891">
        <f>'Calibración-BAU_Agricultura '!T321*1/1000000</f>
        <v>1.5450494590231003</v>
      </c>
      <c r="S208" s="891">
        <f>'Calibración-BAU_Agricultura '!U321*1/1000000</f>
        <v>1.5649214276357473</v>
      </c>
      <c r="T208" s="891">
        <f>'Calibración-BAU_Agricultura '!V321*1/1000000</f>
        <v>1.5846052083055211</v>
      </c>
      <c r="U208" s="891">
        <f>'Calibración-BAU_Agricultura '!W321*1/1000000</f>
        <v>1.6040787610030762</v>
      </c>
      <c r="V208" s="891">
        <f>'Calibración-BAU_Agricultura '!X321*1/1000000</f>
        <v>1.6233347107955167</v>
      </c>
      <c r="W208" s="891">
        <f>'Calibración-BAU_Agricultura '!Y321*1/1000000</f>
        <v>1.642359240279829</v>
      </c>
      <c r="X208" s="891">
        <f>'Calibración-BAU_Agricultura '!Z321*1/1000000</f>
        <v>1.6611496368370178</v>
      </c>
      <c r="Y208" s="891">
        <f>'Calibración-BAU_Agricultura '!AA321*1/1000000</f>
        <v>1.6796847929005168</v>
      </c>
      <c r="Z208" s="891">
        <f>'Calibración-BAU_Agricultura '!AB321*1/1000000</f>
        <v>1.6979547904571206</v>
      </c>
      <c r="AA208" s="891">
        <f>'Calibración-BAU_Agricultura '!AC321*1/1000000</f>
        <v>1.7159468293359403</v>
      </c>
      <c r="AB208" s="891">
        <f>'Calibración-BAU_Agricultura '!AD321*1/1000000</f>
        <v>1.7336460749018394</v>
      </c>
      <c r="AC208" s="891">
        <f>'Calibración-BAU_Agricultura '!AE321*1/1000000</f>
        <v>1.7510452369912655</v>
      </c>
      <c r="AD208" s="891">
        <f>'Calibración-BAU_Agricultura '!AF321*1/1000000</f>
        <v>1.7681316002026728</v>
      </c>
      <c r="AE208" s="891">
        <f>'Calibración-BAU_Agricultura '!AG321*1/1000000</f>
        <v>1.7848977048338217</v>
      </c>
      <c r="AF208" s="891">
        <f>'Calibración-BAU_Agricultura '!AH321*1/1000000</f>
        <v>1.801329224865637</v>
      </c>
      <c r="AG208" s="891">
        <f>'Calibración-BAU_Agricultura '!AI321*1/1000000</f>
        <v>1.8174204807520953</v>
      </c>
      <c r="AH208" s="891">
        <f>'Calibración-BAU_Agricultura '!AJ321*1/1000000</f>
        <v>1.8331608763252421</v>
      </c>
      <c r="AI208" s="891">
        <f>'Calibración-BAU_Agricultura '!AK321*1/1000000</f>
        <v>1.8485430366521807</v>
      </c>
      <c r="AJ208" s="891">
        <f>'Calibración-BAU_Agricultura '!AL321*1/1000000</f>
        <v>1.8635650120380076</v>
      </c>
      <c r="AK208" s="891">
        <f>'Calibración-BAU_Agricultura '!AM321*1/1000000</f>
        <v>1.8782216315527613</v>
      </c>
      <c r="AL208" s="891">
        <f>'Calibración-BAU_Agricultura '!AN321*1/1000000</f>
        <v>1.8925038248766726</v>
      </c>
      <c r="AM208" s="891">
        <f>'Calibración-BAU_Agricultura '!AO321*1/1000000</f>
        <v>1.9064097270841813</v>
      </c>
      <c r="AN208" s="891">
        <f>'Calibración-BAU_Agricultura '!AP321*1/1000000</f>
        <v>1.9199302678555186</v>
      </c>
      <c r="AO208" s="891">
        <f>'Calibración-BAU_Agricultura '!AQ321*1/1000000</f>
        <v>1.9330631584184059</v>
      </c>
      <c r="AP208" s="891">
        <f>'Calibración-BAU_Agricultura '!AR321*1/1000000</f>
        <v>1.9458105180064347</v>
      </c>
      <c r="AQ208" s="891">
        <f>'Calibración-BAU_Agricultura '!AS321*1/1000000</f>
        <v>1.9581614113742751</v>
      </c>
      <c r="AR208" s="891">
        <f>'Calibración-BAU_Agricultura '!AT321*1/1000000</f>
        <v>1.9701191445263293</v>
      </c>
      <c r="AS208" s="891">
        <f>'Calibración-BAU_Agricultura '!AU321*1/1000000</f>
        <v>1.9816878711604358</v>
      </c>
      <c r="AT208" s="891">
        <f>'Calibración-BAU_Agricultura '!AV321*1/1000000</f>
        <v>1.9928597896227358</v>
      </c>
      <c r="AU208" s="891">
        <f>'Calibración-BAU_Agricultura '!AW321*1/1000000</f>
        <v>2.0036273297932827</v>
      </c>
      <c r="AV208" s="891">
        <f>'Calibración-BAU_Agricultura '!AX321*1/1000000</f>
        <v>2.0139831616012382</v>
      </c>
      <c r="AW208" s="891">
        <f>'Calibración-BAU_Agricultura '!AY321*1/1000000</f>
        <v>2.0239202033105883</v>
      </c>
      <c r="AX208" s="891">
        <f>'Calibración-BAU_Agricultura '!AZ321*1/1000000</f>
        <v>2.0334316295633172</v>
      </c>
      <c r="AY208" s="891">
        <f>'Calibración-BAU_Agricultura '!BA321*1/1000000</f>
        <v>2.042510879167303</v>
      </c>
      <c r="AZ208" s="891">
        <f>'Calibración-BAU_Agricultura '!BB321*1/1000000</f>
        <v>2.0511516626165331</v>
      </c>
      <c r="BA208" s="891">
        <f>'Calibración-BAU_Agricultura '!BC321*1/1000000</f>
        <v>2.059347969331609</v>
      </c>
      <c r="BB208" s="891">
        <f>'Calibración-BAU_Agricultura '!BD321*1/1000000</f>
        <v>2.0670940746089133</v>
      </c>
      <c r="BC208" s="891">
        <f>'Calibración-BAU_Agricultura '!BE321*1/1000000</f>
        <v>2.0743845462672192</v>
      </c>
      <c r="BD208" s="891">
        <f>'Calibración-BAU_Agricultura '!BF321*1/1000000</f>
        <v>2.0812142509809672</v>
      </c>
      <c r="BE208" s="891">
        <f>'Calibración-BAU_Agricultura '!BG321*1/1000000</f>
        <v>2.0875783602899016</v>
      </c>
      <c r="BF208" s="891">
        <f>'Calibración-BAU_Agricultura '!BH321*1/1000000</f>
        <v>2.093472356275238</v>
      </c>
      <c r="BG208" s="891">
        <f>'Calibración-BAU_Agricultura '!BI321*1/1000000</f>
        <v>2.0988920368930462</v>
      </c>
      <c r="BH208" s="891">
        <f>'Calibración-BAU_Agricultura '!BJ321*1/1000000</f>
        <v>2.1038335209560479</v>
      </c>
      <c r="BI208" s="891">
        <f>'Calibración-BAU_Agricultura '!BK321*1/1000000</f>
        <v>2.1082932527555918</v>
      </c>
      <c r="BJ208" s="891">
        <f>'Calibración-BAU_Agricultura '!BL321*1/1000000</f>
        <v>2.1122680063161008</v>
      </c>
      <c r="BK208" s="891">
        <f>'Calibración-BAU_Agricultura '!BM321*1/1000000</f>
        <v>2.1157548892748945</v>
      </c>
      <c r="BL208" s="891">
        <f>'Calibración-BAU_Agricultura '!BN321*1/1000000</f>
        <v>2.1187513463808663</v>
      </c>
      <c r="BM208" s="891">
        <f>'Calibración-BAU_Agricultura '!BO321*1/1000000</f>
        <v>2.1212551626061003</v>
      </c>
      <c r="BN208" s="238"/>
    </row>
    <row r="209" spans="1:69" ht="14.25" customHeight="1" x14ac:dyDescent="0.3">
      <c r="A209" s="1199" t="s">
        <v>755</v>
      </c>
      <c r="B209" s="944"/>
      <c r="C209" s="252"/>
      <c r="D209" s="234" t="s">
        <v>756</v>
      </c>
      <c r="E209" s="891">
        <f>'Calibración-BAU_Agricultura '!G334*1.28/1000000</f>
        <v>1.90689408</v>
      </c>
      <c r="F209" s="891">
        <f>'Calibración-BAU_Agricultura '!H334*1.28/1000000</f>
        <v>2.3437644799999999</v>
      </c>
      <c r="G209" s="891">
        <f>'Calibración-BAU_Agricultura '!I334*1.28/1000000</f>
        <v>1.4872731316308538</v>
      </c>
      <c r="H209" s="891">
        <f>'Calibración-BAU_Agricultura '!J334*1.28/1000000</f>
        <v>1.5597281159832352</v>
      </c>
      <c r="I209" s="891">
        <f>'Calibración-BAU_Agricultura '!K334*1.28/1000000</f>
        <v>2.4757272781759996</v>
      </c>
      <c r="J209" s="891">
        <f>'Calibración-BAU_Agricultura '!L334*1.28/1000000</f>
        <v>2.0962068650943046</v>
      </c>
      <c r="K209" s="891">
        <f>'Calibración-BAU_Agricultura '!M334*1.28/1000000</f>
        <v>1.4607920827614718</v>
      </c>
      <c r="L209" s="891">
        <f>'Calibración-BAU_Agricultura '!N334*1.28/1000000</f>
        <v>1.4278051806437733</v>
      </c>
      <c r="M209" s="891">
        <f>'Calibración-BAU_Agricultura '!O334*1.28/1000000</f>
        <v>1.642672322567865</v>
      </c>
      <c r="N209" s="891">
        <f>'Calibración-BAU_Agricultura '!P334*1.28/1000000</f>
        <v>1.4882371013298989</v>
      </c>
      <c r="O209" s="891">
        <f>'Calibración-BAU_Agricultura '!Q334*1.28/1000000</f>
        <v>3.1946569983999891</v>
      </c>
      <c r="P209" s="891">
        <f>'Calibración-BAU_Agricultura '!R334*1.28/1000000</f>
        <v>3.1810898649590675</v>
      </c>
      <c r="Q209" s="891">
        <f>'Calibración-BAU_Agricultura '!S334*1.28/1000000</f>
        <v>3.2238540773548583</v>
      </c>
      <c r="R209" s="891">
        <f>'Calibración-BAU_Agricultura '!T334*1.28/1000000</f>
        <v>3.2662536107545859</v>
      </c>
      <c r="S209" s="891">
        <f>'Calibración-BAU_Agricultura '!U334*1.28/1000000</f>
        <v>3.3082631974735111</v>
      </c>
      <c r="T209" s="891">
        <f>'Calibración-BAU_Agricultura '!V334*1.28/1000000</f>
        <v>3.3498749525603686</v>
      </c>
      <c r="U209" s="891">
        <f>'Calibración-BAU_Agricultura '!W334*1.28/1000000</f>
        <v>3.3910422831213105</v>
      </c>
      <c r="V209" s="891">
        <f>'Calibración-BAU_Agricultura '!X334*1.28/1000000</f>
        <v>3.4317495984572441</v>
      </c>
      <c r="W209" s="891">
        <f>'Calibración-BAU_Agricultura '!Y334*1.28/1000000</f>
        <v>3.4719676884077959</v>
      </c>
      <c r="X209" s="891">
        <f>'Calibración-BAU_Agricultura '!Z334*1.28/1000000</f>
        <v>3.5116908184629554</v>
      </c>
      <c r="Y209" s="891">
        <f>'Calibración-BAU_Agricultura '!AA334*1.28/1000000</f>
        <v>3.550874366966692</v>
      </c>
      <c r="Z209" s="891">
        <f>'Calibración-BAU_Agricultura '!AB334*1.28/1000000</f>
        <v>3.5894973671167745</v>
      </c>
      <c r="AA209" s="891">
        <f>'Calibración-BAU_Agricultura '!AC334*1.28/1000000</f>
        <v>3.6275327591940858</v>
      </c>
      <c r="AB209" s="891">
        <f>'Calibración-BAU_Agricultura '!AD334*1.28/1000000</f>
        <v>3.6649491825969989</v>
      </c>
      <c r="AC209" s="891">
        <f>'Calibración-BAU_Agricultura '!AE334*1.28/1000000</f>
        <v>3.701731225829858</v>
      </c>
      <c r="AD209" s="891">
        <f>'Calibración-BAU_Agricultura '!AF334*1.28/1000000</f>
        <v>3.7378520083769811</v>
      </c>
      <c r="AE209" s="891">
        <f>'Calibración-BAU_Agricultura '!AG334*1.28/1000000</f>
        <v>3.7732957603358366</v>
      </c>
      <c r="AF209" s="891">
        <f>'Calibración-BAU_Agricultura '!AH334*1.28/1000000</f>
        <v>3.8080321963254247</v>
      </c>
      <c r="AG209" s="891">
        <f>'Calibración-BAU_Agricultura '!AI334*1.28/1000000</f>
        <v>3.8420493097154074</v>
      </c>
      <c r="AH209" s="891">
        <f>'Calibración-BAU_Agricultura '!AJ334*1.28/1000000</f>
        <v>3.8753247000760518</v>
      </c>
      <c r="AI209" s="891">
        <f>'Calibración-BAU_Agricultura '!AK334*1.28/1000000</f>
        <v>3.9078427767082635</v>
      </c>
      <c r="AJ209" s="891">
        <f>'Calibración-BAU_Agricultura '!AL334*1.28/1000000</f>
        <v>3.9395994179329699</v>
      </c>
      <c r="AK209" s="891">
        <f>'Calibración-BAU_Agricultura '!AM334*1.28/1000000</f>
        <v>3.9705836923404632</v>
      </c>
      <c r="AL209" s="891">
        <f>'Calibración-BAU_Agricultura '!AN334*1.28/1000000</f>
        <v>4.0007764251628899</v>
      </c>
      <c r="AM209" s="891">
        <f>'Calibración-BAU_Agricultura '!AO334*1.28/1000000</f>
        <v>4.0301736739246179</v>
      </c>
      <c r="AN209" s="891">
        <f>'Calibración-BAU_Agricultura '!AP334*1.28/1000000</f>
        <v>4.058756263857795</v>
      </c>
      <c r="AO209" s="891">
        <f>'Calibración-BAU_Agricultura '!AQ334*1.28/1000000</f>
        <v>4.0865193564695987</v>
      </c>
      <c r="AP209" s="891">
        <f>'Calibración-BAU_Agricultura '!AR334*1.28/1000000</f>
        <v>4.1134674318459767</v>
      </c>
      <c r="AQ209" s="891">
        <f>'Calibración-BAU_Agricultura '!AS334*1.28/1000000</f>
        <v>4.1395773727434415</v>
      </c>
      <c r="AR209" s="891">
        <f>'Calibración-BAU_Agricultura '!AT334*1.28/1000000</f>
        <v>4.1648561680960716</v>
      </c>
      <c r="AS209" s="891">
        <f>'Calibración-BAU_Agricultura '!AU334*1.28/1000000</f>
        <v>4.1893125988723225</v>
      </c>
      <c r="AT209" s="891">
        <f>'Calibración-BAU_Agricultura '!AV334*1.28/1000000</f>
        <v>4.212930172279723</v>
      </c>
      <c r="AU209" s="891">
        <f>'Calibración-BAU_Agricultura '!AW334*1.28/1000000</f>
        <v>4.235692884991348</v>
      </c>
      <c r="AV209" s="891">
        <f>'Calibración-BAU_Agricultura '!AX334*1.28/1000000</f>
        <v>4.2575852411470461</v>
      </c>
      <c r="AW209" s="891">
        <f>'Calibración-BAU_Agricultura '!AY334*1.28/1000000</f>
        <v>4.2785922698695478</v>
      </c>
      <c r="AX209" s="891">
        <f>'Calibración-BAU_Agricultura '!AZ334*1.28/1000000</f>
        <v>4.2986995422678342</v>
      </c>
      <c r="AY209" s="891">
        <f>'Calibración-BAU_Agricultura '!BA334*1.28/1000000</f>
        <v>4.3178931879008422</v>
      </c>
      <c r="AZ209" s="891">
        <f>'Calibración-BAU_Agricultura '!BB334*1.28/1000000</f>
        <v>4.3361599106752964</v>
      </c>
      <c r="BA209" s="891">
        <f>'Calibración-BAU_Agricultura '!BC334*1.28/1000000</f>
        <v>4.3534870041522238</v>
      </c>
      <c r="BB209" s="891">
        <f>'Calibración-BAU_Agricultura '!BD334*1.28/1000000</f>
        <v>4.3698623662375748</v>
      </c>
      <c r="BC209" s="891">
        <f>'Calibración-BAU_Agricultura '!BE334*1.28/1000000</f>
        <v>4.385274513233246</v>
      </c>
      <c r="BD209" s="891">
        <f>'Calibración-BAU_Agricultura '!BF334*1.28/1000000</f>
        <v>4.3997125932256962</v>
      </c>
      <c r="BE209" s="891">
        <f>'Calibración-BAU_Agricultura '!BG334*1.28/1000000</f>
        <v>4.4131663987903975</v>
      </c>
      <c r="BF209" s="891">
        <f>'Calibración-BAU_Agricultura '!BH334*1.28/1000000</f>
        <v>4.4256263789913239</v>
      </c>
      <c r="BG209" s="891">
        <f>'Calibración-BAU_Agricultura '!BI334*1.28/1000000</f>
        <v>4.4370836506557811</v>
      </c>
      <c r="BH209" s="891">
        <f>'Calibración-BAU_Agricultura '!BJ334*1.28/1000000</f>
        <v>4.4475300089060035</v>
      </c>
      <c r="BI209" s="891">
        <f>'Calibración-BAU_Agricultura '!BK334*1.28/1000000</f>
        <v>4.4569579369300465</v>
      </c>
      <c r="BJ209" s="891">
        <f>'Calibración-BAU_Agricultura '!BL334*1.28/1000000</f>
        <v>4.4653606149757579</v>
      </c>
      <c r="BK209" s="891">
        <f>'Calibración-BAU_Agricultura '!BM334*1.28/1000000</f>
        <v>4.4727319285527605</v>
      </c>
      <c r="BL209" s="891">
        <f>'Calibración-BAU_Agricultura '!BN334*1.28/1000000</f>
        <v>4.4790664758287022</v>
      </c>
      <c r="BM209" s="891">
        <f>'Calibración-BAU_Agricultura '!BO334*1.28/1000000</f>
        <v>4.4843595742072537</v>
      </c>
      <c r="BN209" s="238"/>
    </row>
    <row r="210" spans="1:69" ht="14.25" customHeight="1" x14ac:dyDescent="0.3">
      <c r="A210" s="982"/>
      <c r="B210" s="944"/>
      <c r="C210" s="252"/>
      <c r="D210" s="234" t="s">
        <v>757</v>
      </c>
      <c r="E210" s="891">
        <f>'Calibración-BAU_Agricultura '!G335*0.13/1000000</f>
        <v>0.10302474</v>
      </c>
      <c r="F210" s="891">
        <f>'Calibración-BAU_Agricultura '!H335*0.13/1000000</f>
        <v>9.6585190000000001E-2</v>
      </c>
      <c r="G210" s="891">
        <f>'Calibración-BAU_Agricultura '!I335*0.13/1000000</f>
        <v>9.2520553920775322E-2</v>
      </c>
      <c r="H210" s="891">
        <f>'Calibración-BAU_Agricultura '!J335*0.13/1000000</f>
        <v>9.613180482484561E-2</v>
      </c>
      <c r="I210" s="891">
        <f>'Calibración-BAU_Agricultura '!K335*0.13/1000000</f>
        <v>8.7671346615190229E-2</v>
      </c>
      <c r="J210" s="891">
        <f>'Calibración-BAU_Agricultura '!L335*0.13/1000000</f>
        <v>6.5870513954967069E-2</v>
      </c>
      <c r="K210" s="891">
        <f>'Calibración-BAU_Agricultura '!M335*0.13/1000000</f>
        <v>6.2203134088811757E-2</v>
      </c>
      <c r="L210" s="891">
        <f>'Calibración-BAU_Agricultura '!N335*0.13/1000000</f>
        <v>5.0715556715764817E-2</v>
      </c>
      <c r="M210" s="891">
        <f>'Calibración-BAU_Agricultura '!O335*0.13/1000000</f>
        <v>4.6266557777818622E-2</v>
      </c>
      <c r="N210" s="891">
        <f>'Calibración-BAU_Agricultura '!P335*0.13/1000000</f>
        <v>6.040374209336663E-2</v>
      </c>
      <c r="O210" s="891">
        <f>'Calibración-BAU_Agricultura '!Q335*0.13/1000000</f>
        <v>6.4549554567398429E-2</v>
      </c>
      <c r="P210" s="891">
        <f>'Calibración-BAU_Agricultura '!R335*0.13/1000000</f>
        <v>6.8747582692348597E-2</v>
      </c>
      <c r="Q210" s="891">
        <f>'Calibración-BAU_Agricultura '!S335*0.13/1000000</f>
        <v>6.9671774196756353E-2</v>
      </c>
      <c r="R210" s="891">
        <f>'Calibración-BAU_Agricultura '!T335*0.13/1000000</f>
        <v>7.058808450305204E-2</v>
      </c>
      <c r="S210" s="891">
        <f>'Calibración-BAU_Agricultura '!U335*0.13/1000000</f>
        <v>7.1495967542963557E-2</v>
      </c>
      <c r="T210" s="891">
        <f>'Calibración-BAU_Agricultura '!V335*0.13/1000000</f>
        <v>7.2395252912207372E-2</v>
      </c>
      <c r="U210" s="891">
        <f>'Calibración-BAU_Agricultura '!W335*0.13/1000000</f>
        <v>7.3284933676380976E-2</v>
      </c>
      <c r="V210" s="891">
        <f>'Calibración-BAU_Agricultura '!X335*0.13/1000000</f>
        <v>7.4164672899741976E-2</v>
      </c>
      <c r="W210" s="891">
        <f>'Calibración-BAU_Agricultura '!Y335*0.13/1000000</f>
        <v>7.503383931187646E-2</v>
      </c>
      <c r="X210" s="891">
        <f>'Calibración-BAU_Agricultura '!Z335*0.13/1000000</f>
        <v>7.5892308982396475E-2</v>
      </c>
      <c r="Y210" s="891">
        <f>'Calibración-BAU_Agricultura '!AA335*0.13/1000000</f>
        <v>7.6739117577970348E-2</v>
      </c>
      <c r="Z210" s="891">
        <f>'Calibración-BAU_Agricultura '!AB335*0.13/1000000</f>
        <v>7.7573811978116955E-2</v>
      </c>
      <c r="AA210" s="891">
        <f>'Calibración-BAU_Agricultura '!AC335*0.13/1000000</f>
        <v>7.8395807386317892E-2</v>
      </c>
      <c r="AB210" s="891">
        <f>'Calibración-BAU_Agricultura '!AD335*0.13/1000000</f>
        <v>7.9204426058263763E-2</v>
      </c>
      <c r="AC210" s="891">
        <f>'Calibración-BAU_Agricultura '!AE335*0.13/1000000</f>
        <v>7.9999334931036836E-2</v>
      </c>
      <c r="AD210" s="891">
        <f>'Calibración-BAU_Agricultura '!AF335*0.13/1000000</f>
        <v>8.0779953080943337E-2</v>
      </c>
      <c r="AE210" s="891">
        <f>'Calibración-BAU_Agricultura '!AG335*0.13/1000000</f>
        <v>8.1545939699416273E-2</v>
      </c>
      <c r="AF210" s="891">
        <f>'Calibración-BAU_Agricultura '!AH335*0.13/1000000</f>
        <v>8.2296640279093974E-2</v>
      </c>
      <c r="AG210" s="891">
        <f>'Calibración-BAU_Agricultura '!AI335*0.13/1000000</f>
        <v>8.3031795340726591E-2</v>
      </c>
      <c r="AH210" s="891">
        <f>'Calibración-BAU_Agricultura '!AJ335*0.13/1000000</f>
        <v>8.3750920781235957E-2</v>
      </c>
      <c r="AI210" s="891">
        <f>'Calibración-BAU_Agricultura '!AK335*0.13/1000000</f>
        <v>8.4453679664879683E-2</v>
      </c>
      <c r="AJ210" s="891">
        <f>'Calibración-BAU_Agricultura '!AL335*0.13/1000000</f>
        <v>8.5139982916691448E-2</v>
      </c>
      <c r="AK210" s="891">
        <f>'Calibración-BAU_Agricultura '!AM335*0.13/1000000</f>
        <v>8.580959429436906E-2</v>
      </c>
      <c r="AL210" s="891">
        <f>'Calibración-BAU_Agricultura '!AN335*0.13/1000000</f>
        <v>8.6462099405677673E-2</v>
      </c>
      <c r="AM210" s="891">
        <f>'Calibración-BAU_Agricultura '!AO335*0.13/1000000</f>
        <v>8.70974130484755E-2</v>
      </c>
      <c r="AN210" s="891">
        <f>'Calibración-BAU_Agricultura '!AP335*0.13/1000000</f>
        <v>8.771512083052771E-2</v>
      </c>
      <c r="AO210" s="891">
        <f>'Calibración-BAU_Agricultura '!AQ335*0.13/1000000</f>
        <v>8.8315118185569391E-2</v>
      </c>
      <c r="AP210" s="891">
        <f>'Calibración-BAU_Agricultura '!AR335*0.13/1000000</f>
        <v>8.8897501934216167E-2</v>
      </c>
      <c r="AQ210" s="891">
        <f>'Calibración-BAU_Agricultura '!AS335*0.13/1000000</f>
        <v>8.9461772482091403E-2</v>
      </c>
      <c r="AR210" s="891">
        <f>'Calibración-BAU_Agricultura '!AT335*0.13/1000000</f>
        <v>9.0008080869355481E-2</v>
      </c>
      <c r="AS210" s="891">
        <f>'Calibración-BAU_Agricultura '!AU335*0.13/1000000</f>
        <v>9.053661686441504E-2</v>
      </c>
      <c r="AT210" s="891">
        <f>'Calibración-BAU_Agricultura '!AV335*0.13/1000000</f>
        <v>9.1047024036090093E-2</v>
      </c>
      <c r="AU210" s="891">
        <f>'Calibración-BAU_Agricultura '!AW335*0.13/1000000</f>
        <v>9.1538956531202018E-2</v>
      </c>
      <c r="AV210" s="891">
        <f>'Calibración-BAU_Agricultura '!AX335*0.13/1000000</f>
        <v>9.2012079463604166E-2</v>
      </c>
      <c r="AW210" s="891">
        <f>'Calibración-BAU_Agricultura '!AY335*0.13/1000000</f>
        <v>9.2466069292728117E-2</v>
      </c>
      <c r="AX210" s="891">
        <f>'Calibración-BAU_Agricultura '!AZ335*0.13/1000000</f>
        <v>9.2900614191049169E-2</v>
      </c>
      <c r="AY210" s="891">
        <f>'Calibración-BAU_Agricultura '!BA335*0.13/1000000</f>
        <v>9.3315414399888871E-2</v>
      </c>
      <c r="AZ210" s="891">
        <f>'Calibración-BAU_Agricultura '!BB335*0.13/1000000</f>
        <v>9.3710182572988299E-2</v>
      </c>
      <c r="BA210" s="891">
        <f>'Calibración-BAU_Agricultura '!BC335*0.13/1000000</f>
        <v>9.4084644107302232E-2</v>
      </c>
      <c r="BB210" s="891">
        <f>'Calibración-BAU_Agricultura '!BD335*0.13/1000000</f>
        <v>9.4438537460483057E-2</v>
      </c>
      <c r="BC210" s="891">
        <f>'Calibración-BAU_Agricultura '!BE335*0.13/1000000</f>
        <v>9.4771614454541867E-2</v>
      </c>
      <c r="BD210" s="891">
        <f>'Calibración-BAU_Agricultura '!BF335*0.13/1000000</f>
        <v>9.5083640565194499E-2</v>
      </c>
      <c r="BE210" s="891">
        <f>'Calibración-BAU_Agricultura '!BG335*0.13/1000000</f>
        <v>9.5374395196421491E-2</v>
      </c>
      <c r="BF210" s="891">
        <f>'Calibración-BAU_Agricultura '!BH335*0.13/1000000</f>
        <v>9.5643671939792951E-2</v>
      </c>
      <c r="BG210" s="891">
        <f>'Calibración-BAU_Agricultura '!BI335*0.13/1000000</f>
        <v>9.5891278818132794E-2</v>
      </c>
      <c r="BH210" s="891">
        <f>'Calibración-BAU_Agricultura '!BJ335*0.13/1000000</f>
        <v>9.6117038513120298E-2</v>
      </c>
      <c r="BI210" s="891">
        <f>'Calibración-BAU_Agricultura '!BK335*0.13/1000000</f>
        <v>9.6320788576452376E-2</v>
      </c>
      <c r="BJ210" s="891">
        <f>'Calibración-BAU_Agricultura '!BL335*0.13/1000000</f>
        <v>9.6502381624215011E-2</v>
      </c>
      <c r="BK210" s="891">
        <f>'Calibración-BAU_Agricultura '!BM335*0.13/1000000</f>
        <v>9.6661685514139173E-2</v>
      </c>
      <c r="BL210" s="891">
        <f>'Calibración-BAU_Agricultura '!BN335*0.13/1000000</f>
        <v>9.6798583505443472E-2</v>
      </c>
      <c r="BM210" s="891">
        <f>'Calibración-BAU_Agricultura '!BO335*0.13/1000000</f>
        <v>9.6912974400993612E-2</v>
      </c>
      <c r="BN210" s="238"/>
    </row>
    <row r="211" spans="1:69" ht="14.25" customHeight="1" x14ac:dyDescent="0.3">
      <c r="A211" s="982"/>
      <c r="B211" s="944"/>
      <c r="C211" s="252"/>
      <c r="D211" s="234" t="s">
        <v>758</v>
      </c>
      <c r="E211" s="891">
        <f>'Calibración-BAU_Agricultura '!G336*0.79/1000000</f>
        <v>0.60551841000000006</v>
      </c>
      <c r="F211" s="891">
        <f>'Calibración-BAU_Agricultura '!H336*0.79/1000000</f>
        <v>0.13937733000000002</v>
      </c>
      <c r="G211" s="891">
        <f>'Calibración-BAU_Agricultura '!I336*0.79/1000000</f>
        <v>0.54223862</v>
      </c>
      <c r="H211" s="891">
        <f>'Calibración-BAU_Agricultura '!J336*0.79/1000000</f>
        <v>0.50407767000000003</v>
      </c>
      <c r="I211" s="891">
        <f>'Calibración-BAU_Agricultura '!K336*0.79/1000000</f>
        <v>0.38850620000000002</v>
      </c>
      <c r="J211" s="891">
        <f>'Calibración-BAU_Agricultura '!L336*0.79/1000000</f>
        <v>0.31414034000000002</v>
      </c>
      <c r="K211" s="891">
        <f>'Calibración-BAU_Agricultura '!M336*0.79/1000000</f>
        <v>0.30396118999999999</v>
      </c>
      <c r="L211" s="891">
        <f>'Calibración-BAU_Agricultura '!N336*0.79/1000000</f>
        <v>0.29973548000000005</v>
      </c>
      <c r="M211" s="891">
        <f>'Calibración-BAU_Agricultura '!O336*0.79/1000000</f>
        <v>0.26488226000000004</v>
      </c>
      <c r="N211" s="891">
        <f>'Calibración-BAU_Agricultura '!P336*0.79/1000000</f>
        <v>0.29185681000000002</v>
      </c>
      <c r="O211" s="891">
        <f>'Calibración-BAU_Agricultura '!Q336*0.79/1000000</f>
        <v>0.22562795000000002</v>
      </c>
      <c r="P211" s="891">
        <f>'Calibración-BAU_Agricultura '!R336*0.79/1000000</f>
        <v>0.28923400999999999</v>
      </c>
      <c r="Q211" s="891">
        <f>'Calibración-BAU_Agricultura '!S336*0.79/1000000</f>
        <v>0.29312225747517323</v>
      </c>
      <c r="R211" s="891">
        <f>'Calibración-BAU_Agricultura '!T336*0.79/1000000</f>
        <v>0.2969773472676428</v>
      </c>
      <c r="S211" s="891">
        <f>'Calibración-BAU_Agricultura '!U336*0.79/1000000</f>
        <v>0.30079698196548676</v>
      </c>
      <c r="T211" s="891">
        <f>'Calibración-BAU_Agricultura '!V336*0.79/1000000</f>
        <v>0.30458044464583589</v>
      </c>
      <c r="U211" s="891">
        <f>'Calibración-BAU_Agricultura '!W336*0.79/1000000</f>
        <v>0.30832349894628092</v>
      </c>
      <c r="V211" s="891">
        <f>'Calibración-BAU_Agricultura '!X336*0.79/1000000</f>
        <v>0.31202472731478476</v>
      </c>
      <c r="W211" s="891">
        <f>'Calibración-BAU_Agricultura '!Y336*0.79/1000000</f>
        <v>0.31568147387799084</v>
      </c>
      <c r="X211" s="891">
        <f>'Calibración-BAU_Agricultura '!Z336*0.79/1000000</f>
        <v>0.31929321723744891</v>
      </c>
      <c r="Y211" s="891">
        <f>'Calibración-BAU_Agricultura '!AA336*0.79/1000000</f>
        <v>0.32285590026146688</v>
      </c>
      <c r="Z211" s="891">
        <f>'Calibración-BAU_Agricultura '!AB336*0.79/1000000</f>
        <v>0.32636761658696051</v>
      </c>
      <c r="AA211" s="891">
        <f>'Calibración-BAU_Agricultura '!AC336*0.79/1000000</f>
        <v>0.32982590586499211</v>
      </c>
      <c r="AB211" s="891">
        <f>'Calibración-BAU_Agricultura '!AD336*0.79/1000000</f>
        <v>0.33322791669778629</v>
      </c>
      <c r="AC211" s="891">
        <f>'Calibración-BAU_Agricultura '!AE336*0.79/1000000</f>
        <v>0.33657224782700762</v>
      </c>
      <c r="AD211" s="891">
        <f>'Calibración-BAU_Agricultura '!AF336*0.79/1000000</f>
        <v>0.33985645519741992</v>
      </c>
      <c r="AE211" s="891">
        <f>'Calibración-BAU_Agricultura '!AG336*0.79/1000000</f>
        <v>0.3430791049632847</v>
      </c>
      <c r="AF211" s="891">
        <f>'Calibración-BAU_Agricultura '!AH336*0.79/1000000</f>
        <v>0.34623744348903585</v>
      </c>
      <c r="AG211" s="891">
        <f>'Calibración-BAU_Agricultura '!AI336*0.79/1000000</f>
        <v>0.34933037909666792</v>
      </c>
      <c r="AH211" s="891">
        <f>'Calibración-BAU_Agricultura '!AJ336*0.79/1000000</f>
        <v>0.35235587507348415</v>
      </c>
      <c r="AI211" s="891">
        <f>'Calibración-BAU_Agricultura '!AK336*0.79/1000000</f>
        <v>0.3553125138674475</v>
      </c>
      <c r="AJ211" s="891">
        <f>'Calibración-BAU_Agricultura '!AL336*0.79/1000000</f>
        <v>0.35819992072342183</v>
      </c>
      <c r="AK211" s="891">
        <f>'Calibración-BAU_Agricultura '!AM336*0.79/1000000</f>
        <v>0.36101710172561113</v>
      </c>
      <c r="AL211" s="891">
        <f>'Calibración-BAU_Agricultura '!AN336*0.79/1000000</f>
        <v>0.36376231344794691</v>
      </c>
      <c r="AM211" s="891">
        <f>'Calibración-BAU_Agricultura '!AO336*0.79/1000000</f>
        <v>0.36643519742899455</v>
      </c>
      <c r="AN211" s="891">
        <f>'Calibración-BAU_Agricultura '!AP336*0.79/1000000</f>
        <v>0.36903401024268567</v>
      </c>
      <c r="AO211" s="891">
        <f>'Calibración-BAU_Agricultura '!AQ336*0.79/1000000</f>
        <v>0.37155831195907768</v>
      </c>
      <c r="AP211" s="891">
        <f>'Calibración-BAU_Agricultura '!AR336*0.79/1000000</f>
        <v>0.37400850992071</v>
      </c>
      <c r="AQ211" s="891">
        <f>'Calibración-BAU_Agricultura '!AS336*0.79/1000000</f>
        <v>0.37638250224007946</v>
      </c>
      <c r="AR211" s="891">
        <f>'Calibración-BAU_Agricultura '!AT336*0.79/1000000</f>
        <v>0.37868092437154749</v>
      </c>
      <c r="AS211" s="891">
        <f>'Calibración-BAU_Agricultura '!AU336*0.79/1000000</f>
        <v>0.38090457470649131</v>
      </c>
      <c r="AT211" s="891">
        <f>'Calibración-BAU_Agricultura '!AV336*0.79/1000000</f>
        <v>0.38305195367190131</v>
      </c>
      <c r="AU211" s="891">
        <f>'Calibración-BAU_Agricultura '!AW336*0.79/1000000</f>
        <v>0.38512160619840918</v>
      </c>
      <c r="AV211" s="891">
        <f>'Calibración-BAU_Agricultura '!AX336*0.79/1000000</f>
        <v>0.38711212335701267</v>
      </c>
      <c r="AW211" s="891">
        <f>'Calibración-BAU_Agricultura '!AY336*0.79/1000000</f>
        <v>0.38902214395169099</v>
      </c>
      <c r="AX211" s="891">
        <f>'Calibración-BAU_Agricultura '!AZ336*0.79/1000000</f>
        <v>0.39085035606540108</v>
      </c>
      <c r="AY211" s="891">
        <f>'Calibración-BAU_Agricultura '!BA336*0.79/1000000</f>
        <v>0.39259549855700615</v>
      </c>
      <c r="AZ211" s="891">
        <f>'Calibración-BAU_Agricultura '!BB336*0.79/1000000</f>
        <v>0.39425636250675239</v>
      </c>
      <c r="BA211" s="891">
        <f>'Calibración-BAU_Agricultura '!BC336*0.79/1000000</f>
        <v>0.39583179260798307</v>
      </c>
      <c r="BB211" s="891">
        <f>'Calibración-BAU_Agricultura '!BD336*0.79/1000000</f>
        <v>0.39732068850285251</v>
      </c>
      <c r="BC211" s="891">
        <f>'Calibración-BAU_Agricultura '!BE336*0.79/1000000</f>
        <v>0.39872200605988567</v>
      </c>
      <c r="BD211" s="891">
        <f>'Calibración-BAU_Agricultura '!BF336*0.79/1000000</f>
        <v>0.40003475859131116</v>
      </c>
      <c r="BE211" s="891">
        <f>'Calibración-BAU_Agricultura '!BG336*0.79/1000000</f>
        <v>0.40125801800818683</v>
      </c>
      <c r="BF211" s="891">
        <f>'Calibración-BAU_Agricultura '!BH336*0.79/1000000</f>
        <v>0.40239091591142812</v>
      </c>
      <c r="BG211" s="891">
        <f>'Calibración-BAU_Agricultura '!BI336*0.79/1000000</f>
        <v>0.40343264461694939</v>
      </c>
      <c r="BH211" s="891">
        <f>'Calibración-BAU_Agricultura '!BJ336*0.79/1000000</f>
        <v>0.40438245811322637</v>
      </c>
      <c r="BI211" s="891">
        <f>'Calibración-BAU_Agricultura '!BK336*0.79/1000000</f>
        <v>0.40523967294969582</v>
      </c>
      <c r="BJ211" s="891">
        <f>'Calibración-BAU_Agricultura '!BL336*0.79/1000000</f>
        <v>0.40600366905451241</v>
      </c>
      <c r="BK211" s="891">
        <f>'Calibración-BAU_Agricultura '!BM336*0.79/1000000</f>
        <v>0.40667389048029773</v>
      </c>
      <c r="BL211" s="891">
        <f>'Calibración-BAU_Agricultura '!BN336*0.79/1000000</f>
        <v>0.40724984607662879</v>
      </c>
      <c r="BM211" s="891">
        <f>'Calibración-BAU_Agricultura '!BO336*0.79/1000000</f>
        <v>0.40773111008812896</v>
      </c>
      <c r="BN211" s="238"/>
    </row>
    <row r="212" spans="1:69" ht="13.5" customHeight="1" x14ac:dyDescent="0.3">
      <c r="A212" s="960"/>
      <c r="B212" s="944"/>
      <c r="C212" s="232"/>
      <c r="D212" s="233" t="s">
        <v>770</v>
      </c>
      <c r="E212" s="229"/>
      <c r="F212" s="229"/>
      <c r="G212" s="229"/>
      <c r="H212" s="229"/>
      <c r="I212" s="229"/>
      <c r="J212" s="305"/>
      <c r="K212" s="891"/>
      <c r="L212" s="891"/>
      <c r="M212" s="891"/>
      <c r="N212" s="891"/>
      <c r="O212" s="891"/>
      <c r="P212" s="891"/>
      <c r="Q212" s="234"/>
      <c r="R212" s="234"/>
      <c r="S212" s="234"/>
      <c r="T212" s="234"/>
      <c r="U212" s="234"/>
      <c r="V212" s="234"/>
      <c r="W212" s="234"/>
      <c r="X212" s="234"/>
      <c r="Y212" s="234"/>
      <c r="Z212" s="234"/>
      <c r="AA212" s="234"/>
      <c r="AB212" s="234"/>
      <c r="AC212" s="234"/>
      <c r="AD212" s="234"/>
      <c r="AE212" s="234"/>
      <c r="AF212" s="234"/>
      <c r="AG212" s="234"/>
      <c r="AH212" s="234"/>
      <c r="AI212" s="234"/>
      <c r="AJ212" s="234"/>
      <c r="AK212" s="234"/>
      <c r="AL212" s="234"/>
      <c r="AM212" s="234"/>
      <c r="AN212" s="234"/>
      <c r="AO212" s="234"/>
      <c r="AP212" s="234"/>
      <c r="AQ212" s="234"/>
      <c r="AR212" s="234"/>
      <c r="AS212" s="234"/>
      <c r="AT212" s="234"/>
      <c r="AU212" s="234"/>
      <c r="AV212" s="234"/>
      <c r="AW212" s="234"/>
      <c r="AX212" s="234"/>
      <c r="AY212" s="234"/>
      <c r="AZ212" s="234"/>
      <c r="BA212" s="234"/>
      <c r="BB212" s="234"/>
      <c r="BC212" s="234"/>
      <c r="BD212" s="234"/>
      <c r="BE212" s="234"/>
      <c r="BF212" s="234"/>
      <c r="BG212" s="234"/>
      <c r="BH212" s="234"/>
      <c r="BI212" s="234"/>
      <c r="BJ212" s="234"/>
      <c r="BK212" s="234"/>
      <c r="BL212" s="234"/>
      <c r="BM212" s="234"/>
      <c r="BN212" s="231"/>
    </row>
    <row r="213" spans="1:69" ht="14.25" customHeight="1" x14ac:dyDescent="0.3">
      <c r="A213" s="1178" t="s">
        <v>700</v>
      </c>
      <c r="B213" s="944"/>
      <c r="C213" s="252"/>
      <c r="D213" s="234" t="s">
        <v>760</v>
      </c>
      <c r="E213" s="629">
        <f>E205*25/1000</f>
        <v>3.6204661499999999E-2</v>
      </c>
      <c r="F213" s="629">
        <f t="shared" ref="F213:BM213" si="109">F205*25/1000</f>
        <v>3.7484819750000009E-2</v>
      </c>
      <c r="G213" s="629">
        <f t="shared" si="109"/>
        <v>3.5022590750000006E-2</v>
      </c>
      <c r="H213" s="629">
        <f t="shared" si="109"/>
        <v>3.7493597749999996E-2</v>
      </c>
      <c r="I213" s="629">
        <f t="shared" si="109"/>
        <v>3.3217980250000001E-2</v>
      </c>
      <c r="J213" s="629">
        <f t="shared" si="109"/>
        <v>2.8624459500000005E-2</v>
      </c>
      <c r="K213" s="629">
        <f t="shared" si="109"/>
        <v>2.9797652500000004E-2</v>
      </c>
      <c r="L213" s="629">
        <f t="shared" si="109"/>
        <v>2.8467453000000004E-2</v>
      </c>
      <c r="M213" s="629">
        <f t="shared" si="109"/>
        <v>2.7681556E-2</v>
      </c>
      <c r="N213" s="629">
        <f t="shared" si="109"/>
        <v>3.3133724749999996E-2</v>
      </c>
      <c r="O213" s="629">
        <f t="shared" si="109"/>
        <v>3.2003790000000004E-2</v>
      </c>
      <c r="P213" s="629">
        <f t="shared" si="109"/>
        <v>2.8153273749999996E-2</v>
      </c>
      <c r="Q213" s="629">
        <f t="shared" si="109"/>
        <v>2.853174547805265E-2</v>
      </c>
      <c r="R213" s="629">
        <f t="shared" si="109"/>
        <v>2.8906989724945435E-2</v>
      </c>
      <c r="S213" s="629">
        <f t="shared" si="109"/>
        <v>2.9278782866676581E-2</v>
      </c>
      <c r="T213" s="629">
        <f t="shared" si="109"/>
        <v>2.96470551198697E-2</v>
      </c>
      <c r="U213" s="629">
        <f t="shared" si="109"/>
        <v>3.0011394128209488E-2</v>
      </c>
      <c r="V213" s="629">
        <f t="shared" si="109"/>
        <v>3.0371661910928941E-2</v>
      </c>
      <c r="W213" s="629">
        <f t="shared" si="109"/>
        <v>3.0727599952338081E-2</v>
      </c>
      <c r="X213" s="629">
        <f t="shared" si="109"/>
        <v>3.1079157500890436E-2</v>
      </c>
      <c r="Y213" s="629">
        <f t="shared" si="109"/>
        <v>3.1425939646114842E-2</v>
      </c>
      <c r="Z213" s="629">
        <f t="shared" si="109"/>
        <v>3.1767760827669404E-2</v>
      </c>
      <c r="AA213" s="629">
        <f t="shared" si="109"/>
        <v>3.2104381561694123E-2</v>
      </c>
      <c r="AB213" s="629">
        <f t="shared" si="109"/>
        <v>3.2435524300669115E-2</v>
      </c>
      <c r="AC213" s="629">
        <f t="shared" si="109"/>
        <v>3.2761052649813167E-2</v>
      </c>
      <c r="AD213" s="629">
        <f t="shared" si="109"/>
        <v>3.3080728711252089E-2</v>
      </c>
      <c r="AE213" s="629">
        <f t="shared" si="109"/>
        <v>3.3394412918233016E-2</v>
      </c>
      <c r="AF213" s="629">
        <f t="shared" si="109"/>
        <v>3.3701837239151024E-2</v>
      </c>
      <c r="AG213" s="629">
        <f t="shared" si="109"/>
        <v>3.4002895412955654E-2</v>
      </c>
      <c r="AH213" s="629">
        <f t="shared" si="109"/>
        <v>3.42973891914184E-2</v>
      </c>
      <c r="AI213" s="629">
        <f t="shared" si="109"/>
        <v>3.4585180593772219E-2</v>
      </c>
      <c r="AJ213" s="629">
        <f t="shared" si="109"/>
        <v>3.4866233142343092E-2</v>
      </c>
      <c r="AK213" s="629">
        <f t="shared" si="109"/>
        <v>3.5140450091995505E-2</v>
      </c>
      <c r="AL213" s="629">
        <f t="shared" si="109"/>
        <v>3.5407661742245855E-2</v>
      </c>
      <c r="AM213" s="629">
        <f t="shared" si="109"/>
        <v>3.566783320140595E-2</v>
      </c>
      <c r="AN213" s="629">
        <f t="shared" si="109"/>
        <v>3.5920794768992181E-2</v>
      </c>
      <c r="AO213" s="629">
        <f t="shared" si="109"/>
        <v>3.6166503623387213E-2</v>
      </c>
      <c r="AP213" s="629">
        <f t="shared" si="109"/>
        <v>3.6404999414236729E-2</v>
      </c>
      <c r="AQ213" s="629">
        <f t="shared" si="109"/>
        <v>3.6636077549368921E-2</v>
      </c>
      <c r="AR213" s="629">
        <f t="shared" si="109"/>
        <v>3.6859799882231072E-2</v>
      </c>
      <c r="AS213" s="629">
        <f t="shared" si="109"/>
        <v>3.7076244126128782E-2</v>
      </c>
      <c r="AT213" s="629">
        <f t="shared" si="109"/>
        <v>3.7285264316590412E-2</v>
      </c>
      <c r="AU213" s="629">
        <f t="shared" si="109"/>
        <v>3.7486718821011088E-2</v>
      </c>
      <c r="AV213" s="629">
        <f t="shared" si="109"/>
        <v>3.7680470497967196E-2</v>
      </c>
      <c r="AW213" s="629">
        <f t="shared" si="109"/>
        <v>3.7866386852237269E-2</v>
      </c>
      <c r="AX213" s="629">
        <f t="shared" si="109"/>
        <v>3.8044340185285297E-2</v>
      </c>
      <c r="AY213" s="629">
        <f t="shared" si="109"/>
        <v>3.8214207740967676E-2</v>
      </c>
      <c r="AZ213" s="629">
        <f t="shared" si="109"/>
        <v>3.8375871846232174E-2</v>
      </c>
      <c r="BA213" s="629">
        <f t="shared" si="109"/>
        <v>3.8529220046583629E-2</v>
      </c>
      <c r="BB213" s="629">
        <f t="shared" si="109"/>
        <v>3.8674145236098904E-2</v>
      </c>
      <c r="BC213" s="629">
        <f t="shared" si="109"/>
        <v>3.8810545781781045E-2</v>
      </c>
      <c r="BD213" s="629">
        <f t="shared" si="109"/>
        <v>3.893832564205138E-2</v>
      </c>
      <c r="BE213" s="629">
        <f t="shared" si="109"/>
        <v>3.9057394479186283E-2</v>
      </c>
      <c r="BF213" s="629">
        <f t="shared" si="109"/>
        <v>3.9167667765515078E-2</v>
      </c>
      <c r="BG213" s="629">
        <f t="shared" si="109"/>
        <v>3.9269066883204508E-2</v>
      </c>
      <c r="BH213" s="629">
        <f t="shared" si="109"/>
        <v>3.936151921746537E-2</v>
      </c>
      <c r="BI213" s="629">
        <f t="shared" si="109"/>
        <v>3.9444958243027017E-2</v>
      </c>
      <c r="BJ213" s="629">
        <f t="shared" si="109"/>
        <v>3.9519323603735571E-2</v>
      </c>
      <c r="BK213" s="629">
        <f t="shared" si="109"/>
        <v>3.9584561185143273E-2</v>
      </c>
      <c r="BL213" s="629">
        <f t="shared" si="109"/>
        <v>3.9640623179966604E-2</v>
      </c>
      <c r="BM213" s="629">
        <f t="shared" si="109"/>
        <v>3.9687468146302994E-2</v>
      </c>
      <c r="BN213" s="238"/>
    </row>
    <row r="214" spans="1:69" ht="14.25" customHeight="1" x14ac:dyDescent="0.3">
      <c r="A214" s="1178"/>
      <c r="B214" s="944"/>
      <c r="C214" s="252"/>
      <c r="D214" s="234" t="s">
        <v>761</v>
      </c>
      <c r="E214" s="629">
        <f>E206*25/1000</f>
        <v>9.1936880000000002E-3</v>
      </c>
      <c r="F214" s="629">
        <f t="shared" ref="F214:BM214" si="110">F206*25/1000</f>
        <v>9.3780820000000011E-3</v>
      </c>
      <c r="G214" s="629">
        <f t="shared" si="110"/>
        <v>9.1622125000000009E-3</v>
      </c>
      <c r="H214" s="629">
        <f t="shared" si="110"/>
        <v>8.9847135000000015E-3</v>
      </c>
      <c r="I214" s="629">
        <f t="shared" si="110"/>
        <v>8.0580920000000028E-3</v>
      </c>
      <c r="J214" s="629">
        <f t="shared" si="110"/>
        <v>7.20162275E-3</v>
      </c>
      <c r="K214" s="629">
        <f t="shared" si="110"/>
        <v>7.222794250000001E-3</v>
      </c>
      <c r="L214" s="629">
        <f t="shared" si="110"/>
        <v>7.3335692500000006E-3</v>
      </c>
      <c r="M214" s="629">
        <f t="shared" si="110"/>
        <v>7.0993930000000007E-3</v>
      </c>
      <c r="N214" s="629">
        <f t="shared" si="110"/>
        <v>7.5359270000000013E-3</v>
      </c>
      <c r="O214" s="629">
        <f t="shared" si="110"/>
        <v>7.5878670000000007E-3</v>
      </c>
      <c r="P214" s="629">
        <f t="shared" si="110"/>
        <v>7.1171275000000006E-3</v>
      </c>
      <c r="Q214" s="629">
        <f t="shared" si="110"/>
        <v>7.2128048825884491E-3</v>
      </c>
      <c r="R214" s="629">
        <f t="shared" si="110"/>
        <v>7.3076663602443951E-3</v>
      </c>
      <c r="S214" s="629">
        <f t="shared" si="110"/>
        <v>7.4016554009798865E-3</v>
      </c>
      <c r="T214" s="629">
        <f t="shared" si="110"/>
        <v>7.4947543636071966E-3</v>
      </c>
      <c r="U214" s="629">
        <f t="shared" si="110"/>
        <v>7.586859004744281E-3</v>
      </c>
      <c r="V214" s="629">
        <f t="shared" si="110"/>
        <v>7.6779344429517699E-3</v>
      </c>
      <c r="W214" s="629">
        <f t="shared" si="110"/>
        <v>7.7679153256478423E-3</v>
      </c>
      <c r="X214" s="629">
        <f t="shared" si="110"/>
        <v>7.8567888228777902E-3</v>
      </c>
      <c r="Y214" s="629">
        <f t="shared" si="110"/>
        <v>7.9444551015565006E-3</v>
      </c>
      <c r="Z214" s="629">
        <f t="shared" si="110"/>
        <v>8.0308672521620592E-3</v>
      </c>
      <c r="AA214" s="629">
        <f t="shared" si="110"/>
        <v>8.1159647333456653E-3</v>
      </c>
      <c r="AB214" s="629">
        <f t="shared" si="110"/>
        <v>8.1996773812924861E-3</v>
      </c>
      <c r="AC214" s="629">
        <f t="shared" si="110"/>
        <v>8.2819707154992307E-3</v>
      </c>
      <c r="AD214" s="629">
        <f t="shared" si="110"/>
        <v>8.3627845955531847E-3</v>
      </c>
      <c r="AE214" s="629">
        <f t="shared" si="110"/>
        <v>8.4420837390788896E-3</v>
      </c>
      <c r="AF214" s="629">
        <f t="shared" si="110"/>
        <v>8.5198003878780137E-3</v>
      </c>
      <c r="AG214" s="629">
        <f t="shared" si="110"/>
        <v>8.5959076792328851E-3</v>
      </c>
      <c r="AH214" s="629">
        <f t="shared" si="110"/>
        <v>8.6703554961329032E-3</v>
      </c>
      <c r="AI214" s="629">
        <f t="shared" si="110"/>
        <v>8.7431089571386941E-3</v>
      </c>
      <c r="AJ214" s="629">
        <f t="shared" si="110"/>
        <v>8.8141588407203084E-3</v>
      </c>
      <c r="AK214" s="629">
        <f t="shared" si="110"/>
        <v>8.8834806897765753E-3</v>
      </c>
      <c r="AL214" s="629">
        <f t="shared" si="110"/>
        <v>8.9510316041464272E-3</v>
      </c>
      <c r="AM214" s="629">
        <f t="shared" si="110"/>
        <v>9.0168027632359943E-3</v>
      </c>
      <c r="AN214" s="629">
        <f t="shared" si="110"/>
        <v>9.0807512668842107E-3</v>
      </c>
      <c r="AO214" s="629">
        <f t="shared" si="110"/>
        <v>9.1428662898167864E-3</v>
      </c>
      <c r="AP214" s="629">
        <f t="shared" si="110"/>
        <v>9.2031578554358402E-3</v>
      </c>
      <c r="AQ214" s="629">
        <f t="shared" si="110"/>
        <v>9.2615742429864381E-3</v>
      </c>
      <c r="AR214" s="629">
        <f t="shared" si="110"/>
        <v>9.3181310889758843E-3</v>
      </c>
      <c r="AS214" s="629">
        <f t="shared" si="110"/>
        <v>9.3728480392723315E-3</v>
      </c>
      <c r="AT214" s="629">
        <f t="shared" si="110"/>
        <v>9.4256881941615894E-3</v>
      </c>
      <c r="AU214" s="629">
        <f t="shared" si="110"/>
        <v>9.4766157490222842E-3</v>
      </c>
      <c r="AV214" s="629">
        <f t="shared" si="110"/>
        <v>9.5255960346004517E-3</v>
      </c>
      <c r="AW214" s="629">
        <f t="shared" si="110"/>
        <v>9.5725955561987309E-3</v>
      </c>
      <c r="AX214" s="629">
        <f t="shared" si="110"/>
        <v>9.6175820317183931E-3</v>
      </c>
      <c r="AY214" s="629">
        <f t="shared" si="110"/>
        <v>9.6605244284940044E-3</v>
      </c>
      <c r="AZ214" s="629">
        <f t="shared" si="110"/>
        <v>9.7013929988619824E-3</v>
      </c>
      <c r="BA214" s="629">
        <f t="shared" si="110"/>
        <v>9.7401593144062597E-3</v>
      </c>
      <c r="BB214" s="629">
        <f t="shared" si="110"/>
        <v>9.7767962988259422E-3</v>
      </c>
      <c r="BC214" s="629">
        <f t="shared" si="110"/>
        <v>9.8112782593719854E-3</v>
      </c>
      <c r="BD214" s="629">
        <f t="shared" si="110"/>
        <v>9.8435809168018733E-3</v>
      </c>
      <c r="BE214" s="629">
        <f t="shared" si="110"/>
        <v>9.873681433803589E-3</v>
      </c>
      <c r="BF214" s="629">
        <f t="shared" si="110"/>
        <v>9.9015584418423418E-3</v>
      </c>
      <c r="BG214" s="629">
        <f t="shared" si="110"/>
        <v>9.9271920663860282E-3</v>
      </c>
      <c r="BH214" s="629">
        <f t="shared" si="110"/>
        <v>9.9505639504677938E-3</v>
      </c>
      <c r="BI214" s="629">
        <f t="shared" si="110"/>
        <v>9.9716572765467179E-3</v>
      </c>
      <c r="BJ214" s="629">
        <f t="shared" si="110"/>
        <v>9.9904567866302071E-3</v>
      </c>
      <c r="BK214" s="629">
        <f t="shared" si="110"/>
        <v>1.0006948800624502E-2</v>
      </c>
      <c r="BL214" s="629">
        <f t="shared" si="110"/>
        <v>1.0021121232882473E-2</v>
      </c>
      <c r="BM214" s="629">
        <f t="shared" si="110"/>
        <v>1.0032963606920742E-2</v>
      </c>
      <c r="BN214" s="238"/>
    </row>
    <row r="215" spans="1:69" ht="14.25" customHeight="1" x14ac:dyDescent="0.3">
      <c r="A215" s="1178"/>
      <c r="B215" s="944"/>
      <c r="C215" s="252"/>
      <c r="D215" s="234" t="s">
        <v>762</v>
      </c>
      <c r="E215" s="629">
        <f>E207*25/1000</f>
        <v>4.0714903999999996E-2</v>
      </c>
      <c r="F215" s="629">
        <f t="shared" ref="F215:BM219" si="111">F207*25/1000</f>
        <v>4.1531506000000003E-2</v>
      </c>
      <c r="G215" s="629">
        <f t="shared" si="111"/>
        <v>4.0575512500000001E-2</v>
      </c>
      <c r="H215" s="629">
        <f t="shared" si="111"/>
        <v>3.9789445500000006E-2</v>
      </c>
      <c r="I215" s="629">
        <f t="shared" si="111"/>
        <v>3.5685835999999999E-2</v>
      </c>
      <c r="J215" s="629">
        <f t="shared" si="111"/>
        <v>3.1892900750000001E-2</v>
      </c>
      <c r="K215" s="629">
        <f t="shared" si="111"/>
        <v>3.198666025E-2</v>
      </c>
      <c r="L215" s="629">
        <f t="shared" si="111"/>
        <v>3.247723525E-2</v>
      </c>
      <c r="M215" s="629">
        <f t="shared" si="111"/>
        <v>3.1440169000000004E-2</v>
      </c>
      <c r="N215" s="629">
        <f t="shared" si="111"/>
        <v>3.3373390999999995E-2</v>
      </c>
      <c r="O215" s="629">
        <f t="shared" si="111"/>
        <v>3.3603411E-2</v>
      </c>
      <c r="P215" s="629">
        <f t="shared" si="111"/>
        <v>3.1518707500000007E-2</v>
      </c>
      <c r="Q215" s="629">
        <f t="shared" si="111"/>
        <v>3.1942421622891695E-2</v>
      </c>
      <c r="R215" s="629">
        <f t="shared" si="111"/>
        <v>3.2362522452510888E-2</v>
      </c>
      <c r="S215" s="629">
        <f t="shared" si="111"/>
        <v>3.2778759632910923E-2</v>
      </c>
      <c r="T215" s="629">
        <f t="shared" si="111"/>
        <v>3.3191055038831865E-2</v>
      </c>
      <c r="U215" s="629">
        <f t="shared" si="111"/>
        <v>3.3598947021010385E-2</v>
      </c>
      <c r="V215" s="629">
        <f t="shared" si="111"/>
        <v>3.4002281104500688E-2</v>
      </c>
      <c r="W215" s="629">
        <f t="shared" si="111"/>
        <v>3.4400767870726157E-2</v>
      </c>
      <c r="X215" s="629">
        <f t="shared" si="111"/>
        <v>3.4794350501315921E-2</v>
      </c>
      <c r="Y215" s="629">
        <f t="shared" si="111"/>
        <v>3.5182586878321646E-2</v>
      </c>
      <c r="Z215" s="629">
        <f t="shared" si="111"/>
        <v>3.5565269259574823E-2</v>
      </c>
      <c r="AA215" s="629">
        <f t="shared" si="111"/>
        <v>3.5942129533387941E-2</v>
      </c>
      <c r="AB215" s="629">
        <f t="shared" si="111"/>
        <v>3.6312856974295288E-2</v>
      </c>
      <c r="AC215" s="629">
        <f t="shared" si="111"/>
        <v>3.6677298882925168E-2</v>
      </c>
      <c r="AD215" s="629">
        <f t="shared" si="111"/>
        <v>3.7035188923164097E-2</v>
      </c>
      <c r="AE215" s="629">
        <f t="shared" si="111"/>
        <v>3.7386370844492221E-2</v>
      </c>
      <c r="AF215" s="629">
        <f t="shared" si="111"/>
        <v>3.773054457488835E-2</v>
      </c>
      <c r="AG215" s="629">
        <f t="shared" si="111"/>
        <v>3.8067591150888487E-2</v>
      </c>
      <c r="AH215" s="629">
        <f t="shared" si="111"/>
        <v>3.8397288625731427E-2</v>
      </c>
      <c r="AI215" s="629">
        <f t="shared" si="111"/>
        <v>3.8719482524471369E-2</v>
      </c>
      <c r="AJ215" s="629">
        <f t="shared" si="111"/>
        <v>3.9034132008904231E-2</v>
      </c>
      <c r="AK215" s="629">
        <f t="shared" si="111"/>
        <v>3.934112876901056E-2</v>
      </c>
      <c r="AL215" s="629">
        <f t="shared" si="111"/>
        <v>3.9640282818362745E-2</v>
      </c>
      <c r="AM215" s="629">
        <f t="shared" si="111"/>
        <v>3.9931555094330835E-2</v>
      </c>
      <c r="AN215" s="629">
        <f t="shared" si="111"/>
        <v>4.0214755610487214E-2</v>
      </c>
      <c r="AO215" s="629">
        <f t="shared" si="111"/>
        <v>4.0489836426331485E-2</v>
      </c>
      <c r="AP215" s="629">
        <f t="shared" si="111"/>
        <v>4.0756841931215877E-2</v>
      </c>
      <c r="AQ215" s="629">
        <f t="shared" si="111"/>
        <v>4.1015543076082794E-2</v>
      </c>
      <c r="AR215" s="629">
        <f t="shared" si="111"/>
        <v>4.1266009108321774E-2</v>
      </c>
      <c r="AS215" s="629">
        <f t="shared" si="111"/>
        <v>4.1508327031063191E-2</v>
      </c>
      <c r="AT215" s="629">
        <f t="shared" si="111"/>
        <v>4.1742333431287033E-2</v>
      </c>
      <c r="AU215" s="629">
        <f t="shared" si="111"/>
        <v>4.1967869745670114E-2</v>
      </c>
      <c r="AV215" s="629">
        <f t="shared" si="111"/>
        <v>4.2184782438944864E-2</v>
      </c>
      <c r="AW215" s="629">
        <f t="shared" si="111"/>
        <v>4.2392923177451525E-2</v>
      </c>
      <c r="AX215" s="629">
        <f t="shared" si="111"/>
        <v>4.259214899761004E-2</v>
      </c>
      <c r="AY215" s="629">
        <f t="shared" si="111"/>
        <v>4.278232246904487E-2</v>
      </c>
      <c r="AZ215" s="629">
        <f t="shared" si="111"/>
        <v>4.2963311852103066E-2</v>
      </c>
      <c r="BA215" s="629">
        <f t="shared" si="111"/>
        <v>4.3134991249513442E-2</v>
      </c>
      <c r="BB215" s="629">
        <f t="shared" si="111"/>
        <v>4.329724075194346E-2</v>
      </c>
      <c r="BC215" s="629">
        <f t="shared" si="111"/>
        <v>4.344994657721879E-2</v>
      </c>
      <c r="BD215" s="629">
        <f t="shared" si="111"/>
        <v>4.359300120297973E-2</v>
      </c>
      <c r="BE215" s="629">
        <f t="shared" si="111"/>
        <v>4.3726303492558766E-2</v>
      </c>
      <c r="BF215" s="629">
        <f t="shared" si="111"/>
        <v>4.3849758813873242E-2</v>
      </c>
      <c r="BG215" s="629">
        <f t="shared" si="111"/>
        <v>4.3963279151138138E-2</v>
      </c>
      <c r="BH215" s="629">
        <f t="shared" si="111"/>
        <v>4.4066783209214519E-2</v>
      </c>
      <c r="BI215" s="629">
        <f t="shared" si="111"/>
        <v>4.416019651042119E-2</v>
      </c>
      <c r="BJ215" s="629">
        <f t="shared" si="111"/>
        <v>4.4243451483648062E-2</v>
      </c>
      <c r="BK215" s="629">
        <f t="shared" si="111"/>
        <v>4.4316487545622799E-2</v>
      </c>
      <c r="BL215" s="629">
        <f t="shared" si="111"/>
        <v>4.4379251174193821E-2</v>
      </c>
      <c r="BM215" s="629">
        <f t="shared" si="111"/>
        <v>4.4431695973506151E-2</v>
      </c>
      <c r="BN215" s="238"/>
    </row>
    <row r="216" spans="1:69" ht="13.5" customHeight="1" x14ac:dyDescent="0.3">
      <c r="A216" s="1178"/>
      <c r="B216" s="944"/>
      <c r="C216" s="252"/>
      <c r="D216" s="234" t="s">
        <v>763</v>
      </c>
      <c r="E216" s="629">
        <f t="shared" ref="E216:T219" si="112">E208*25/1000</f>
        <v>4.8595208000000001E-2</v>
      </c>
      <c r="F216" s="629">
        <f t="shared" si="112"/>
        <v>4.9569861999999999E-2</v>
      </c>
      <c r="G216" s="629">
        <f t="shared" si="112"/>
        <v>4.8428837500000002E-2</v>
      </c>
      <c r="H216" s="629">
        <f t="shared" si="112"/>
        <v>4.74906285E-2</v>
      </c>
      <c r="I216" s="629">
        <f t="shared" si="112"/>
        <v>4.2592771999999994E-2</v>
      </c>
      <c r="J216" s="629">
        <f t="shared" si="112"/>
        <v>3.8065720249999997E-2</v>
      </c>
      <c r="K216" s="629">
        <f t="shared" si="112"/>
        <v>3.8177626749999999E-2</v>
      </c>
      <c r="L216" s="629">
        <f t="shared" si="112"/>
        <v>3.8763151750000009E-2</v>
      </c>
      <c r="M216" s="629">
        <f t="shared" si="112"/>
        <v>3.7525362999999999E-2</v>
      </c>
      <c r="N216" s="629">
        <f t="shared" si="112"/>
        <v>3.9832757000000003E-2</v>
      </c>
      <c r="O216" s="629">
        <f t="shared" si="112"/>
        <v>4.0107296999999993E-2</v>
      </c>
      <c r="P216" s="629">
        <f t="shared" si="112"/>
        <v>3.7619102500000001E-2</v>
      </c>
      <c r="Q216" s="629">
        <f t="shared" si="112"/>
        <v>3.8124825807967513E-2</v>
      </c>
      <c r="R216" s="629">
        <f t="shared" si="112"/>
        <v>3.8626236475577509E-2</v>
      </c>
      <c r="S216" s="629">
        <f t="shared" si="112"/>
        <v>3.9123035690893683E-2</v>
      </c>
      <c r="T216" s="629">
        <f t="shared" si="112"/>
        <v>3.9615130207638023E-2</v>
      </c>
      <c r="U216" s="629">
        <f t="shared" si="111"/>
        <v>4.0101969025076907E-2</v>
      </c>
      <c r="V216" s="629">
        <f t="shared" si="111"/>
        <v>4.0583367769887919E-2</v>
      </c>
      <c r="W216" s="629">
        <f t="shared" si="111"/>
        <v>4.1058981006995732E-2</v>
      </c>
      <c r="X216" s="629">
        <f t="shared" si="111"/>
        <v>4.1528740920925442E-2</v>
      </c>
      <c r="Y216" s="629">
        <f t="shared" si="111"/>
        <v>4.199211982251292E-2</v>
      </c>
      <c r="Z216" s="629">
        <f t="shared" si="111"/>
        <v>4.2448869761428011E-2</v>
      </c>
      <c r="AA216" s="629">
        <f t="shared" si="111"/>
        <v>4.2898670733398508E-2</v>
      </c>
      <c r="AB216" s="629">
        <f t="shared" si="111"/>
        <v>4.3341151872545988E-2</v>
      </c>
      <c r="AC216" s="629">
        <f t="shared" si="111"/>
        <v>4.3776130924781637E-2</v>
      </c>
      <c r="AD216" s="629">
        <f t="shared" si="111"/>
        <v>4.4203290005066821E-2</v>
      </c>
      <c r="AE216" s="629">
        <f t="shared" si="111"/>
        <v>4.462244262084554E-2</v>
      </c>
      <c r="AF216" s="629">
        <f t="shared" si="111"/>
        <v>4.5033230621640927E-2</v>
      </c>
      <c r="AG216" s="629">
        <f t="shared" si="111"/>
        <v>4.5435512018802388E-2</v>
      </c>
      <c r="AH216" s="629">
        <f t="shared" si="111"/>
        <v>4.5829021908131054E-2</v>
      </c>
      <c r="AI216" s="629">
        <f t="shared" si="111"/>
        <v>4.6213575916304511E-2</v>
      </c>
      <c r="AJ216" s="629">
        <f t="shared" si="111"/>
        <v>4.658912530095019E-2</v>
      </c>
      <c r="AK216" s="629">
        <f t="shared" si="111"/>
        <v>4.6955540788819035E-2</v>
      </c>
      <c r="AL216" s="629">
        <f t="shared" si="111"/>
        <v>4.7312595621916816E-2</v>
      </c>
      <c r="AM216" s="629">
        <f t="shared" si="111"/>
        <v>4.766024317710453E-2</v>
      </c>
      <c r="AN216" s="629">
        <f t="shared" si="111"/>
        <v>4.7998256696387964E-2</v>
      </c>
      <c r="AO216" s="629">
        <f t="shared" si="111"/>
        <v>4.8326578960460144E-2</v>
      </c>
      <c r="AP216" s="629">
        <f t="shared" si="111"/>
        <v>4.8645262950160868E-2</v>
      </c>
      <c r="AQ216" s="629">
        <f t="shared" si="111"/>
        <v>4.8954035284356878E-2</v>
      </c>
      <c r="AR216" s="629">
        <f t="shared" si="111"/>
        <v>4.9252978613158235E-2</v>
      </c>
      <c r="AS216" s="629">
        <f t="shared" si="111"/>
        <v>4.9542196779010894E-2</v>
      </c>
      <c r="AT216" s="629">
        <f t="shared" si="111"/>
        <v>4.9821494740568399E-2</v>
      </c>
      <c r="AU216" s="629">
        <f t="shared" si="111"/>
        <v>5.0090683244832068E-2</v>
      </c>
      <c r="AV216" s="629">
        <f t="shared" si="111"/>
        <v>5.0349579040030956E-2</v>
      </c>
      <c r="AW216" s="629">
        <f t="shared" si="111"/>
        <v>5.0598005082764706E-2</v>
      </c>
      <c r="AX216" s="629">
        <f t="shared" si="111"/>
        <v>5.0835790739082932E-2</v>
      </c>
      <c r="AY216" s="629">
        <f t="shared" si="111"/>
        <v>5.1062771979182575E-2</v>
      </c>
      <c r="AZ216" s="629">
        <f t="shared" si="111"/>
        <v>5.1278791565413331E-2</v>
      </c>
      <c r="BA216" s="629">
        <f t="shared" si="111"/>
        <v>5.1483699233290221E-2</v>
      </c>
      <c r="BB216" s="629">
        <f t="shared" si="111"/>
        <v>5.1677351865222834E-2</v>
      </c>
      <c r="BC216" s="629">
        <f t="shared" si="111"/>
        <v>5.185961365668048E-2</v>
      </c>
      <c r="BD216" s="629">
        <f t="shared" si="111"/>
        <v>5.2030356274524181E-2</v>
      </c>
      <c r="BE216" s="629">
        <f t="shared" si="111"/>
        <v>5.2189459007247543E-2</v>
      </c>
      <c r="BF216" s="629">
        <f t="shared" si="111"/>
        <v>5.2336808906880944E-2</v>
      </c>
      <c r="BG216" s="629">
        <f t="shared" si="111"/>
        <v>5.2472300922326152E-2</v>
      </c>
      <c r="BH216" s="629">
        <f t="shared" si="111"/>
        <v>5.2595838023901192E-2</v>
      </c>
      <c r="BI216" s="629">
        <f t="shared" si="111"/>
        <v>5.2707331318889793E-2</v>
      </c>
      <c r="BJ216" s="629">
        <f t="shared" si="111"/>
        <v>5.2806700157902516E-2</v>
      </c>
      <c r="BK216" s="629">
        <f t="shared" si="111"/>
        <v>5.2893872231872363E-2</v>
      </c>
      <c r="BL216" s="629">
        <f t="shared" si="111"/>
        <v>5.2968783659521658E-2</v>
      </c>
      <c r="BM216" s="629">
        <f t="shared" si="111"/>
        <v>5.3031379065152505E-2</v>
      </c>
      <c r="BN216" s="238"/>
    </row>
    <row r="217" spans="1:69" ht="14.25" customHeight="1" x14ac:dyDescent="0.3">
      <c r="A217" s="1178"/>
      <c r="B217" s="944"/>
      <c r="C217" s="252"/>
      <c r="D217" s="234" t="s">
        <v>764</v>
      </c>
      <c r="E217" s="629">
        <f t="shared" si="112"/>
        <v>4.7672352000000001E-2</v>
      </c>
      <c r="F217" s="629">
        <f t="shared" si="111"/>
        <v>5.8594111999999997E-2</v>
      </c>
      <c r="G217" s="629">
        <f t="shared" si="111"/>
        <v>3.7181828290771352E-2</v>
      </c>
      <c r="H217" s="629">
        <f t="shared" si="111"/>
        <v>3.899320289958088E-2</v>
      </c>
      <c r="I217" s="629">
        <f t="shared" si="111"/>
        <v>6.1893181954399995E-2</v>
      </c>
      <c r="J217" s="629">
        <f t="shared" si="111"/>
        <v>5.2405171627357618E-2</v>
      </c>
      <c r="K217" s="629">
        <f t="shared" si="111"/>
        <v>3.6519802069036794E-2</v>
      </c>
      <c r="L217" s="629">
        <f t="shared" si="111"/>
        <v>3.5695129516094333E-2</v>
      </c>
      <c r="M217" s="629">
        <f t="shared" si="111"/>
        <v>4.1066808064196623E-2</v>
      </c>
      <c r="N217" s="629">
        <f t="shared" si="111"/>
        <v>3.7205927533247474E-2</v>
      </c>
      <c r="O217" s="629">
        <f t="shared" si="111"/>
        <v>7.9866424959999738E-2</v>
      </c>
      <c r="P217" s="629">
        <f t="shared" si="111"/>
        <v>7.95272466239767E-2</v>
      </c>
      <c r="Q217" s="629">
        <f t="shared" si="111"/>
        <v>8.0596351933871463E-2</v>
      </c>
      <c r="R217" s="629">
        <f t="shared" si="111"/>
        <v>8.1656340268864647E-2</v>
      </c>
      <c r="S217" s="629">
        <f t="shared" si="111"/>
        <v>8.2706579936837776E-2</v>
      </c>
      <c r="T217" s="629">
        <f t="shared" si="111"/>
        <v>8.3746873814009221E-2</v>
      </c>
      <c r="U217" s="629">
        <f t="shared" si="111"/>
        <v>8.4776057078032763E-2</v>
      </c>
      <c r="V217" s="629">
        <f t="shared" si="111"/>
        <v>8.5793739961431095E-2</v>
      </c>
      <c r="W217" s="629">
        <f t="shared" si="111"/>
        <v>8.67991922101949E-2</v>
      </c>
      <c r="X217" s="629">
        <f t="shared" si="111"/>
        <v>8.7792270461573882E-2</v>
      </c>
      <c r="Y217" s="629">
        <f t="shared" si="111"/>
        <v>8.87718591741673E-2</v>
      </c>
      <c r="Z217" s="629">
        <f t="shared" si="111"/>
        <v>8.9737434177919365E-2</v>
      </c>
      <c r="AA217" s="629">
        <f t="shared" si="111"/>
        <v>9.0688318979852148E-2</v>
      </c>
      <c r="AB217" s="629">
        <f t="shared" si="111"/>
        <v>9.1623729564924969E-2</v>
      </c>
      <c r="AC217" s="629">
        <f t="shared" si="111"/>
        <v>9.2543280645746448E-2</v>
      </c>
      <c r="AD217" s="629">
        <f t="shared" si="111"/>
        <v>9.3446300209424515E-2</v>
      </c>
      <c r="AE217" s="629">
        <f t="shared" si="111"/>
        <v>9.4332394008395909E-2</v>
      </c>
      <c r="AF217" s="629">
        <f t="shared" si="111"/>
        <v>9.5200804908135622E-2</v>
      </c>
      <c r="AG217" s="629">
        <f t="shared" si="111"/>
        <v>9.6051232742885184E-2</v>
      </c>
      <c r="AH217" s="629">
        <f t="shared" si="111"/>
        <v>9.6883117501901289E-2</v>
      </c>
      <c r="AI217" s="629">
        <f t="shared" si="111"/>
        <v>9.7696069417706588E-2</v>
      </c>
      <c r="AJ217" s="629">
        <f t="shared" si="111"/>
        <v>9.8489985448324241E-2</v>
      </c>
      <c r="AK217" s="629">
        <f t="shared" si="111"/>
        <v>9.9264592308511576E-2</v>
      </c>
      <c r="AL217" s="629">
        <f t="shared" si="111"/>
        <v>0.10001941062907224</v>
      </c>
      <c r="AM217" s="629">
        <f t="shared" si="111"/>
        <v>0.10075434184811545</v>
      </c>
      <c r="AN217" s="629">
        <f t="shared" si="111"/>
        <v>0.10146890659644486</v>
      </c>
      <c r="AO217" s="629">
        <f t="shared" si="111"/>
        <v>0.10216298391173997</v>
      </c>
      <c r="AP217" s="629">
        <f t="shared" si="111"/>
        <v>0.10283668579614942</v>
      </c>
      <c r="AQ217" s="629">
        <f t="shared" si="111"/>
        <v>0.10348943431858604</v>
      </c>
      <c r="AR217" s="629">
        <f t="shared" si="111"/>
        <v>0.10412140420240179</v>
      </c>
      <c r="AS217" s="629">
        <f t="shared" si="111"/>
        <v>0.10473281497180807</v>
      </c>
      <c r="AT217" s="629">
        <f t="shared" si="111"/>
        <v>0.10532325430699307</v>
      </c>
      <c r="AU217" s="629">
        <f t="shared" si="111"/>
        <v>0.10589232212478371</v>
      </c>
      <c r="AV217" s="629">
        <f t="shared" si="111"/>
        <v>0.10643963102867615</v>
      </c>
      <c r="AW217" s="629">
        <f t="shared" si="111"/>
        <v>0.10696480674673869</v>
      </c>
      <c r="AX217" s="629">
        <f t="shared" si="111"/>
        <v>0.10746748855669586</v>
      </c>
      <c r="AY217" s="629">
        <f t="shared" si="111"/>
        <v>0.10794732969752105</v>
      </c>
      <c r="AZ217" s="629">
        <f t="shared" si="111"/>
        <v>0.10840399776688241</v>
      </c>
      <c r="BA217" s="629">
        <f t="shared" si="111"/>
        <v>0.1088371751038056</v>
      </c>
      <c r="BB217" s="629">
        <f t="shared" si="111"/>
        <v>0.10924655915593937</v>
      </c>
      <c r="BC217" s="629">
        <f t="shared" si="111"/>
        <v>0.10963186283083115</v>
      </c>
      <c r="BD217" s="629">
        <f t="shared" si="111"/>
        <v>0.1099928148306424</v>
      </c>
      <c r="BE217" s="629">
        <f t="shared" si="111"/>
        <v>0.11032915996975995</v>
      </c>
      <c r="BF217" s="629">
        <f t="shared" si="111"/>
        <v>0.11064065947478309</v>
      </c>
      <c r="BG217" s="629">
        <f t="shared" si="111"/>
        <v>0.11092709126639452</v>
      </c>
      <c r="BH217" s="629">
        <f t="shared" si="111"/>
        <v>0.11118825022265008</v>
      </c>
      <c r="BI217" s="629">
        <f t="shared" si="111"/>
        <v>0.11142394842325117</v>
      </c>
      <c r="BJ217" s="629">
        <f t="shared" si="111"/>
        <v>0.11163401537439395</v>
      </c>
      <c r="BK217" s="629">
        <f t="shared" si="111"/>
        <v>0.111818298213819</v>
      </c>
      <c r="BL217" s="629">
        <f t="shared" si="111"/>
        <v>0.11197666189571756</v>
      </c>
      <c r="BM217" s="629">
        <f t="shared" si="111"/>
        <v>0.11210898935518133</v>
      </c>
      <c r="BN217" s="238"/>
    </row>
    <row r="218" spans="1:69" ht="14.25" customHeight="1" x14ac:dyDescent="0.3">
      <c r="A218" s="1178"/>
      <c r="B218" s="944"/>
      <c r="C218" s="252"/>
      <c r="D218" s="234" t="s">
        <v>765</v>
      </c>
      <c r="E218" s="629">
        <f t="shared" si="112"/>
        <v>2.5756185000000002E-3</v>
      </c>
      <c r="F218" s="629">
        <f t="shared" si="111"/>
        <v>2.4146297500000002E-3</v>
      </c>
      <c r="G218" s="629">
        <f t="shared" si="111"/>
        <v>2.3130138480193831E-3</v>
      </c>
      <c r="H218" s="629">
        <f t="shared" si="111"/>
        <v>2.40329512062114E-3</v>
      </c>
      <c r="I218" s="629">
        <f t="shared" si="111"/>
        <v>2.1917836653797557E-3</v>
      </c>
      <c r="J218" s="629">
        <f t="shared" si="111"/>
        <v>1.6467628488741769E-3</v>
      </c>
      <c r="K218" s="629">
        <f t="shared" si="111"/>
        <v>1.555078352220294E-3</v>
      </c>
      <c r="L218" s="629">
        <f t="shared" si="111"/>
        <v>1.2678889178941203E-3</v>
      </c>
      <c r="M218" s="629">
        <f t="shared" si="111"/>
        <v>1.1566639444454657E-3</v>
      </c>
      <c r="N218" s="629">
        <f t="shared" si="111"/>
        <v>1.5100935523341659E-3</v>
      </c>
      <c r="O218" s="629">
        <f t="shared" si="111"/>
        <v>1.6137388641849608E-3</v>
      </c>
      <c r="P218" s="629">
        <f t="shared" si="111"/>
        <v>1.718689567308715E-3</v>
      </c>
      <c r="Q218" s="629">
        <f t="shared" si="111"/>
        <v>1.7417943549189088E-3</v>
      </c>
      <c r="R218" s="629">
        <f t="shared" si="111"/>
        <v>1.7647021125763009E-3</v>
      </c>
      <c r="S218" s="629">
        <f t="shared" si="111"/>
        <v>1.7873991885740889E-3</v>
      </c>
      <c r="T218" s="629">
        <f t="shared" si="111"/>
        <v>1.8098813228051842E-3</v>
      </c>
      <c r="U218" s="629">
        <f t="shared" si="111"/>
        <v>1.8321233419095245E-3</v>
      </c>
      <c r="V218" s="629">
        <f t="shared" si="111"/>
        <v>1.8541168224935495E-3</v>
      </c>
      <c r="W218" s="629">
        <f t="shared" si="111"/>
        <v>1.8758459827969115E-3</v>
      </c>
      <c r="X218" s="629">
        <f t="shared" si="111"/>
        <v>1.8973077245599118E-3</v>
      </c>
      <c r="Y218" s="629">
        <f t="shared" si="111"/>
        <v>1.9184779394492586E-3</v>
      </c>
      <c r="Z218" s="629">
        <f t="shared" si="111"/>
        <v>1.9393452994529239E-3</v>
      </c>
      <c r="AA218" s="629">
        <f t="shared" si="111"/>
        <v>1.9598951846579475E-3</v>
      </c>
      <c r="AB218" s="629">
        <f t="shared" si="111"/>
        <v>1.9801106514565942E-3</v>
      </c>
      <c r="AC218" s="629">
        <f t="shared" si="111"/>
        <v>1.9999833732759209E-3</v>
      </c>
      <c r="AD218" s="629">
        <f t="shared" si="111"/>
        <v>2.0194988270235835E-3</v>
      </c>
      <c r="AE218" s="629">
        <f t="shared" si="111"/>
        <v>2.0386484924854067E-3</v>
      </c>
      <c r="AF218" s="629">
        <f t="shared" si="111"/>
        <v>2.0574160069773491E-3</v>
      </c>
      <c r="AG218" s="629">
        <f t="shared" si="111"/>
        <v>2.075794883518165E-3</v>
      </c>
      <c r="AH218" s="629">
        <f t="shared" si="111"/>
        <v>2.0937730195308988E-3</v>
      </c>
      <c r="AI218" s="629">
        <f t="shared" si="111"/>
        <v>2.1113419916219921E-3</v>
      </c>
      <c r="AJ218" s="629">
        <f t="shared" si="111"/>
        <v>2.1284995729172864E-3</v>
      </c>
      <c r="AK218" s="629">
        <f t="shared" si="111"/>
        <v>2.1452398573592263E-3</v>
      </c>
      <c r="AL218" s="629">
        <f t="shared" si="111"/>
        <v>2.1615524851419416E-3</v>
      </c>
      <c r="AM218" s="629">
        <f t="shared" si="111"/>
        <v>2.1774353262118875E-3</v>
      </c>
      <c r="AN218" s="629">
        <f t="shared" si="111"/>
        <v>2.1928780207631929E-3</v>
      </c>
      <c r="AO218" s="629">
        <f t="shared" si="111"/>
        <v>2.2078779546392344E-3</v>
      </c>
      <c r="AP218" s="629">
        <f t="shared" si="111"/>
        <v>2.2224375483554039E-3</v>
      </c>
      <c r="AQ218" s="629">
        <f t="shared" si="111"/>
        <v>2.2365443120522851E-3</v>
      </c>
      <c r="AR218" s="629">
        <f t="shared" si="111"/>
        <v>2.250202021733887E-3</v>
      </c>
      <c r="AS218" s="629">
        <f t="shared" si="111"/>
        <v>2.2634154216103759E-3</v>
      </c>
      <c r="AT218" s="629">
        <f t="shared" si="111"/>
        <v>2.2761756009022521E-3</v>
      </c>
      <c r="AU218" s="629">
        <f t="shared" si="111"/>
        <v>2.2884739132800506E-3</v>
      </c>
      <c r="AV218" s="629">
        <f t="shared" si="111"/>
        <v>2.3003019865901041E-3</v>
      </c>
      <c r="AW218" s="629">
        <f t="shared" si="111"/>
        <v>2.3116517323182027E-3</v>
      </c>
      <c r="AX218" s="629">
        <f t="shared" si="111"/>
        <v>2.3225153547762295E-3</v>
      </c>
      <c r="AY218" s="629">
        <f t="shared" si="111"/>
        <v>2.332885359997222E-3</v>
      </c>
      <c r="AZ218" s="629">
        <f t="shared" si="111"/>
        <v>2.3427545643247075E-3</v>
      </c>
      <c r="BA218" s="629">
        <f t="shared" si="111"/>
        <v>2.3521161026825561E-3</v>
      </c>
      <c r="BB218" s="629">
        <f t="shared" si="111"/>
        <v>2.3609634365120767E-3</v>
      </c>
      <c r="BC218" s="629">
        <f t="shared" si="111"/>
        <v>2.3692903613635467E-3</v>
      </c>
      <c r="BD218" s="629">
        <f t="shared" si="111"/>
        <v>2.3770910141298627E-3</v>
      </c>
      <c r="BE218" s="629">
        <f t="shared" si="111"/>
        <v>2.3843598799105372E-3</v>
      </c>
      <c r="BF218" s="629">
        <f t="shared" si="111"/>
        <v>2.3910917984948238E-3</v>
      </c>
      <c r="BG218" s="629">
        <f t="shared" si="111"/>
        <v>2.3972819704533199E-3</v>
      </c>
      <c r="BH218" s="629">
        <f t="shared" si="111"/>
        <v>2.4029259628280072E-3</v>
      </c>
      <c r="BI218" s="629">
        <f t="shared" si="111"/>
        <v>2.4080197144113096E-3</v>
      </c>
      <c r="BJ218" s="629">
        <f t="shared" si="111"/>
        <v>2.4125595406053755E-3</v>
      </c>
      <c r="BK218" s="629">
        <f t="shared" si="111"/>
        <v>2.4165421378534793E-3</v>
      </c>
      <c r="BL218" s="629">
        <f t="shared" si="111"/>
        <v>2.4199645876360866E-3</v>
      </c>
      <c r="BM218" s="629">
        <f t="shared" si="111"/>
        <v>2.4228243600248403E-3</v>
      </c>
      <c r="BN218" s="238"/>
    </row>
    <row r="219" spans="1:69" ht="14.25" customHeight="1" x14ac:dyDescent="0.3">
      <c r="A219" s="1178"/>
      <c r="B219" s="944"/>
      <c r="C219" s="252"/>
      <c r="D219" s="234" t="s">
        <v>766</v>
      </c>
      <c r="E219" s="629">
        <f t="shared" si="112"/>
        <v>1.5137960250000001E-2</v>
      </c>
      <c r="F219" s="629">
        <f t="shared" si="111"/>
        <v>3.4844332500000002E-3</v>
      </c>
      <c r="G219" s="629">
        <f t="shared" si="111"/>
        <v>1.3555965499999999E-2</v>
      </c>
      <c r="H219" s="629">
        <f t="shared" si="111"/>
        <v>1.2601941750000002E-2</v>
      </c>
      <c r="I219" s="629">
        <f t="shared" si="111"/>
        <v>9.7126550000000006E-3</v>
      </c>
      <c r="J219" s="629">
        <f t="shared" si="111"/>
        <v>7.8535085000000001E-3</v>
      </c>
      <c r="K219" s="629">
        <f t="shared" si="111"/>
        <v>7.5990297499999998E-3</v>
      </c>
      <c r="L219" s="629">
        <f t="shared" si="111"/>
        <v>7.4933870000000015E-3</v>
      </c>
      <c r="M219" s="629">
        <f t="shared" si="111"/>
        <v>6.6220565000000009E-3</v>
      </c>
      <c r="N219" s="629">
        <f t="shared" si="111"/>
        <v>7.2964202500000004E-3</v>
      </c>
      <c r="O219" s="629">
        <f t="shared" si="111"/>
        <v>5.64069875E-3</v>
      </c>
      <c r="P219" s="629">
        <f t="shared" si="111"/>
        <v>7.2308502499999995E-3</v>
      </c>
      <c r="Q219" s="629">
        <f t="shared" si="111"/>
        <v>7.3280564368793308E-3</v>
      </c>
      <c r="R219" s="629">
        <f t="shared" si="111"/>
        <v>7.4244336816910702E-3</v>
      </c>
      <c r="S219" s="629">
        <f t="shared" si="111"/>
        <v>7.5199245491371688E-3</v>
      </c>
      <c r="T219" s="629">
        <f t="shared" si="111"/>
        <v>7.6145111161458976E-3</v>
      </c>
      <c r="U219" s="629">
        <f t="shared" si="111"/>
        <v>7.7080874736570231E-3</v>
      </c>
      <c r="V219" s="629">
        <f t="shared" si="111"/>
        <v>7.8006181828696192E-3</v>
      </c>
      <c r="W219" s="629">
        <f t="shared" si="111"/>
        <v>7.8920368469497706E-3</v>
      </c>
      <c r="X219" s="629">
        <f t="shared" si="111"/>
        <v>7.9823304309362235E-3</v>
      </c>
      <c r="Y219" s="629">
        <f t="shared" si="111"/>
        <v>8.0713975065366712E-3</v>
      </c>
      <c r="Z219" s="629">
        <f t="shared" si="111"/>
        <v>8.1591904146740123E-3</v>
      </c>
      <c r="AA219" s="629">
        <f t="shared" si="111"/>
        <v>8.2456476466248041E-3</v>
      </c>
      <c r="AB219" s="629">
        <f t="shared" si="111"/>
        <v>8.3306979174446582E-3</v>
      </c>
      <c r="AC219" s="629">
        <f t="shared" si="111"/>
        <v>8.4143061956751895E-3</v>
      </c>
      <c r="AD219" s="629">
        <f t="shared" si="111"/>
        <v>8.4964113799354986E-3</v>
      </c>
      <c r="AE219" s="629">
        <f t="shared" si="111"/>
        <v>8.5769776240821171E-3</v>
      </c>
      <c r="AF219" s="629">
        <f t="shared" si="111"/>
        <v>8.6559360872258961E-3</v>
      </c>
      <c r="AG219" s="629">
        <f t="shared" si="111"/>
        <v>8.7332594774166983E-3</v>
      </c>
      <c r="AH219" s="629">
        <f t="shared" si="111"/>
        <v>8.808896876837103E-3</v>
      </c>
      <c r="AI219" s="629">
        <f t="shared" si="111"/>
        <v>8.8828128466861868E-3</v>
      </c>
      <c r="AJ219" s="629">
        <f t="shared" ref="AJ219:BM219" si="113">AJ211*25/1000</f>
        <v>8.9549980180855457E-3</v>
      </c>
      <c r="AK219" s="629">
        <f t="shared" si="113"/>
        <v>9.0254275431402783E-3</v>
      </c>
      <c r="AL219" s="629">
        <f t="shared" si="113"/>
        <v>9.0940578361986719E-3</v>
      </c>
      <c r="AM219" s="629">
        <f t="shared" si="113"/>
        <v>9.1608799357248642E-3</v>
      </c>
      <c r="AN219" s="629">
        <f t="shared" si="113"/>
        <v>9.2258502560671422E-3</v>
      </c>
      <c r="AO219" s="629">
        <f t="shared" si="113"/>
        <v>9.2889577989769406E-3</v>
      </c>
      <c r="AP219" s="629">
        <f t="shared" si="113"/>
        <v>9.3502127480177503E-3</v>
      </c>
      <c r="AQ219" s="629">
        <f t="shared" si="113"/>
        <v>9.4095625560019873E-3</v>
      </c>
      <c r="AR219" s="629">
        <f t="shared" si="113"/>
        <v>9.4670231092886872E-3</v>
      </c>
      <c r="AS219" s="629">
        <f t="shared" si="113"/>
        <v>9.5226143676622813E-3</v>
      </c>
      <c r="AT219" s="629">
        <f t="shared" si="113"/>
        <v>9.5762988417975332E-3</v>
      </c>
      <c r="AU219" s="629">
        <f t="shared" si="113"/>
        <v>9.6280401549602296E-3</v>
      </c>
      <c r="AV219" s="629">
        <f t="shared" si="113"/>
        <v>9.6778030839253168E-3</v>
      </c>
      <c r="AW219" s="629">
        <f t="shared" si="113"/>
        <v>9.7255535987922741E-3</v>
      </c>
      <c r="AX219" s="629">
        <f t="shared" si="113"/>
        <v>9.7712589016350267E-3</v>
      </c>
      <c r="AY219" s="629">
        <f t="shared" si="113"/>
        <v>9.8148874639251531E-3</v>
      </c>
      <c r="AZ219" s="629">
        <f t="shared" si="113"/>
        <v>9.8564090626688094E-3</v>
      </c>
      <c r="BA219" s="629">
        <f t="shared" si="113"/>
        <v>9.8957948151995757E-3</v>
      </c>
      <c r="BB219" s="629">
        <f t="shared" si="113"/>
        <v>9.9330172125713136E-3</v>
      </c>
      <c r="BC219" s="629">
        <f t="shared" si="113"/>
        <v>9.9680501514971421E-3</v>
      </c>
      <c r="BD219" s="629">
        <f t="shared" si="113"/>
        <v>1.0000868964782779E-2</v>
      </c>
      <c r="BE219" s="629">
        <f t="shared" si="113"/>
        <v>1.0031450450204671E-2</v>
      </c>
      <c r="BF219" s="629">
        <f t="shared" si="113"/>
        <v>1.0059772897785703E-2</v>
      </c>
      <c r="BG219" s="629">
        <f t="shared" si="113"/>
        <v>1.0085816115423734E-2</v>
      </c>
      <c r="BH219" s="629">
        <f t="shared" si="113"/>
        <v>1.010956145283066E-2</v>
      </c>
      <c r="BI219" s="629">
        <f t="shared" si="113"/>
        <v>1.0130991823742394E-2</v>
      </c>
      <c r="BJ219" s="629">
        <f t="shared" si="113"/>
        <v>1.015009172636281E-2</v>
      </c>
      <c r="BK219" s="629">
        <f t="shared" si="113"/>
        <v>1.0166847262007443E-2</v>
      </c>
      <c r="BL219" s="629">
        <f t="shared" si="113"/>
        <v>1.0181246151915719E-2</v>
      </c>
      <c r="BM219" s="629">
        <f t="shared" si="113"/>
        <v>1.0193277752203224E-2</v>
      </c>
      <c r="BN219" s="238"/>
    </row>
    <row r="220" spans="1:69" s="359" customFormat="1" ht="14.25" customHeight="1" x14ac:dyDescent="0.3">
      <c r="A220" s="48"/>
      <c r="B220" s="49"/>
      <c r="C220" s="307"/>
      <c r="D220" s="228" t="s">
        <v>688</v>
      </c>
      <c r="E220" s="628">
        <f>SUM(E213:E219)</f>
        <v>0.20009439224999997</v>
      </c>
      <c r="F220" s="628">
        <f t="shared" ref="F220:BM220" si="114">SUM(F213:F219)</f>
        <v>0.20245744475000002</v>
      </c>
      <c r="G220" s="628">
        <f t="shared" si="114"/>
        <v>0.18623996088879075</v>
      </c>
      <c r="H220" s="628">
        <f t="shared" si="114"/>
        <v>0.18775682502020205</v>
      </c>
      <c r="I220" s="628">
        <f t="shared" si="114"/>
        <v>0.19335230086977973</v>
      </c>
      <c r="J220" s="628">
        <f t="shared" si="114"/>
        <v>0.1676901462262318</v>
      </c>
      <c r="K220" s="628">
        <f t="shared" si="114"/>
        <v>0.15285864392125709</v>
      </c>
      <c r="L220" s="628">
        <f t="shared" si="114"/>
        <v>0.15149781468398843</v>
      </c>
      <c r="M220" s="628">
        <f t="shared" si="114"/>
        <v>0.1525920095086421</v>
      </c>
      <c r="N220" s="628">
        <f t="shared" si="114"/>
        <v>0.15988824108558161</v>
      </c>
      <c r="O220" s="628">
        <f t="shared" si="114"/>
        <v>0.20042322757418468</v>
      </c>
      <c r="P220" s="628">
        <f t="shared" si="114"/>
        <v>0.19288499769128542</v>
      </c>
      <c r="Q220" s="628">
        <f t="shared" si="114"/>
        <v>0.19547800051717004</v>
      </c>
      <c r="R220" s="628">
        <f t="shared" si="114"/>
        <v>0.19804889107641024</v>
      </c>
      <c r="S220" s="628">
        <f t="shared" si="114"/>
        <v>0.20059613726601011</v>
      </c>
      <c r="T220" s="628">
        <f t="shared" si="114"/>
        <v>0.20311926098290708</v>
      </c>
      <c r="U220" s="628">
        <f t="shared" si="114"/>
        <v>0.20561543707264038</v>
      </c>
      <c r="V220" s="628">
        <f t="shared" si="114"/>
        <v>0.2080837201950636</v>
      </c>
      <c r="W220" s="628">
        <f t="shared" si="114"/>
        <v>0.21052233919564942</v>
      </c>
      <c r="X220" s="628">
        <f t="shared" si="114"/>
        <v>0.21293094636307958</v>
      </c>
      <c r="Y220" s="628">
        <f t="shared" si="114"/>
        <v>0.21530683606865916</v>
      </c>
      <c r="Z220" s="628">
        <f t="shared" si="114"/>
        <v>0.21764873699288059</v>
      </c>
      <c r="AA220" s="628">
        <f t="shared" si="114"/>
        <v>0.21995500837296114</v>
      </c>
      <c r="AB220" s="628">
        <f t="shared" si="114"/>
        <v>0.22222374866262909</v>
      </c>
      <c r="AC220" s="628">
        <f t="shared" si="114"/>
        <v>0.22445402338771675</v>
      </c>
      <c r="AD220" s="628">
        <f t="shared" si="114"/>
        <v>0.22664420265141982</v>
      </c>
      <c r="AE220" s="628">
        <f t="shared" si="114"/>
        <v>0.22879333024761311</v>
      </c>
      <c r="AF220" s="628">
        <f t="shared" si="114"/>
        <v>0.23089956982589718</v>
      </c>
      <c r="AG220" s="628">
        <f t="shared" si="114"/>
        <v>0.23296219336569948</v>
      </c>
      <c r="AH220" s="628">
        <f t="shared" si="114"/>
        <v>0.2349798426196831</v>
      </c>
      <c r="AI220" s="628">
        <f t="shared" si="114"/>
        <v>0.23695157224770155</v>
      </c>
      <c r="AJ220" s="628">
        <f t="shared" si="114"/>
        <v>0.23887713233224489</v>
      </c>
      <c r="AK220" s="628">
        <f t="shared" si="114"/>
        <v>0.24075586004861274</v>
      </c>
      <c r="AL220" s="628">
        <f t="shared" si="114"/>
        <v>0.24258659273708469</v>
      </c>
      <c r="AM220" s="628">
        <f t="shared" si="114"/>
        <v>0.24436909134612952</v>
      </c>
      <c r="AN220" s="628">
        <f t="shared" si="114"/>
        <v>0.24610219321602678</v>
      </c>
      <c r="AO220" s="628">
        <f t="shared" si="114"/>
        <v>0.24778560496535179</v>
      </c>
      <c r="AP220" s="628">
        <f t="shared" si="114"/>
        <v>0.24941959824357191</v>
      </c>
      <c r="AQ220" s="628">
        <f t="shared" si="114"/>
        <v>0.25100277133943533</v>
      </c>
      <c r="AR220" s="628">
        <f t="shared" si="114"/>
        <v>0.25253554802611133</v>
      </c>
      <c r="AS220" s="628">
        <f t="shared" si="114"/>
        <v>0.25401846073655593</v>
      </c>
      <c r="AT220" s="628">
        <f t="shared" si="114"/>
        <v>0.2554505094323003</v>
      </c>
      <c r="AU220" s="628">
        <f t="shared" si="114"/>
        <v>0.25683072375355953</v>
      </c>
      <c r="AV220" s="628">
        <f t="shared" si="114"/>
        <v>0.258158164110735</v>
      </c>
      <c r="AW220" s="628">
        <f t="shared" si="114"/>
        <v>0.2594319227465014</v>
      </c>
      <c r="AX220" s="628">
        <f t="shared" si="114"/>
        <v>0.2606511247668038</v>
      </c>
      <c r="AY220" s="628">
        <f t="shared" si="114"/>
        <v>0.26181492913913257</v>
      </c>
      <c r="AZ220" s="628">
        <f t="shared" si="114"/>
        <v>0.26292252965648649</v>
      </c>
      <c r="BA220" s="628">
        <f t="shared" si="114"/>
        <v>0.26397315586548126</v>
      </c>
      <c r="BB220" s="628">
        <f t="shared" si="114"/>
        <v>0.26496607395711397</v>
      </c>
      <c r="BC220" s="628">
        <f t="shared" si="114"/>
        <v>0.26590058761874419</v>
      </c>
      <c r="BD220" s="628">
        <f t="shared" si="114"/>
        <v>0.26677603884591222</v>
      </c>
      <c r="BE220" s="628">
        <f t="shared" si="114"/>
        <v>0.2675918087126713</v>
      </c>
      <c r="BF220" s="628">
        <f t="shared" si="114"/>
        <v>0.26834731809917522</v>
      </c>
      <c r="BG220" s="628">
        <f t="shared" si="114"/>
        <v>0.26904202837532637</v>
      </c>
      <c r="BH220" s="628">
        <f t="shared" si="114"/>
        <v>0.26967544203935762</v>
      </c>
      <c r="BI220" s="628">
        <f t="shared" si="114"/>
        <v>0.27024710331028956</v>
      </c>
      <c r="BJ220" s="628">
        <f t="shared" si="114"/>
        <v>0.2707565986732785</v>
      </c>
      <c r="BK220" s="628">
        <f t="shared" si="114"/>
        <v>0.27120355737694285</v>
      </c>
      <c r="BL220" s="628">
        <f t="shared" si="114"/>
        <v>0.27158765188183392</v>
      </c>
      <c r="BM220" s="628">
        <f t="shared" si="114"/>
        <v>0.27190859825929181</v>
      </c>
      <c r="BN220" s="308"/>
    </row>
    <row r="221" spans="1:69" ht="13.5" customHeight="1" x14ac:dyDescent="0.3">
      <c r="A221" s="960"/>
      <c r="B221" s="944"/>
      <c r="C221" s="252"/>
      <c r="D221" s="234"/>
      <c r="E221" s="629"/>
      <c r="F221" s="629"/>
      <c r="G221" s="629"/>
      <c r="H221" s="629"/>
      <c r="I221" s="629"/>
      <c r="J221" s="629"/>
      <c r="K221" s="629"/>
      <c r="L221" s="629"/>
      <c r="M221" s="629"/>
      <c r="N221" s="629"/>
      <c r="O221" s="629"/>
      <c r="P221" s="629"/>
      <c r="Q221" s="234"/>
      <c r="R221" s="234"/>
      <c r="S221" s="234"/>
      <c r="T221" s="234"/>
      <c r="U221" s="234"/>
      <c r="V221" s="234"/>
      <c r="W221" s="234"/>
      <c r="X221" s="234"/>
      <c r="Y221" s="234"/>
      <c r="Z221" s="234"/>
      <c r="AA221" s="234"/>
      <c r="AB221" s="234"/>
      <c r="AC221" s="234"/>
      <c r="AD221" s="234"/>
      <c r="AE221" s="234"/>
      <c r="AF221" s="234"/>
      <c r="AG221" s="234"/>
      <c r="AH221" s="234"/>
      <c r="AI221" s="234"/>
      <c r="AJ221" s="234"/>
      <c r="AK221" s="234"/>
      <c r="AL221" s="234"/>
      <c r="AM221" s="234"/>
      <c r="AN221" s="234"/>
      <c r="AO221" s="234"/>
      <c r="AP221" s="234"/>
      <c r="AQ221" s="234"/>
      <c r="AR221" s="234"/>
      <c r="AS221" s="234"/>
      <c r="AT221" s="234"/>
      <c r="AU221" s="234"/>
      <c r="AV221" s="234"/>
      <c r="AW221" s="234"/>
      <c r="AX221" s="234"/>
      <c r="AY221" s="234"/>
      <c r="AZ221" s="234"/>
      <c r="BA221" s="234"/>
      <c r="BB221" s="234"/>
      <c r="BC221" s="234"/>
      <c r="BD221" s="234"/>
      <c r="BE221" s="234"/>
      <c r="BF221" s="234"/>
      <c r="BG221" s="234"/>
      <c r="BH221" s="234"/>
      <c r="BI221" s="234"/>
      <c r="BJ221" s="234"/>
      <c r="BK221" s="234"/>
      <c r="BL221" s="234"/>
      <c r="BM221" s="234"/>
      <c r="BN221" s="238"/>
    </row>
    <row r="222" spans="1:69" ht="13.5" customHeight="1" x14ac:dyDescent="0.3">
      <c r="A222" s="48"/>
      <c r="B222" s="49"/>
      <c r="C222" s="307"/>
      <c r="D222" s="228" t="s">
        <v>771</v>
      </c>
      <c r="E222" s="628">
        <f>SUM(E193:E199)+SUM(E213:E219)</f>
        <v>10.736089099549996</v>
      </c>
      <c r="F222" s="628">
        <f t="shared" ref="F222:BM222" si="115">SUM(F193:F199)+SUM(F213:F219)</f>
        <v>10.844643763199999</v>
      </c>
      <c r="G222" s="628">
        <f t="shared" si="115"/>
        <v>10.559915990443624</v>
      </c>
      <c r="H222" s="628">
        <f t="shared" si="115"/>
        <v>10.623941069976697</v>
      </c>
      <c r="I222" s="628">
        <f t="shared" si="115"/>
        <v>9.5211265384670281</v>
      </c>
      <c r="J222" s="628">
        <f t="shared" si="115"/>
        <v>8.3898527491716113</v>
      </c>
      <c r="K222" s="628">
        <f t="shared" si="115"/>
        <v>8.4710876131298196</v>
      </c>
      <c r="L222" s="628">
        <f t="shared" si="115"/>
        <v>8.4310377427364802</v>
      </c>
      <c r="M222" s="628">
        <f t="shared" si="115"/>
        <v>8.1724768416451585</v>
      </c>
      <c r="N222" s="628">
        <f t="shared" si="115"/>
        <v>8.9977551874145529</v>
      </c>
      <c r="O222" s="628">
        <f t="shared" si="115"/>
        <v>9.000010794915914</v>
      </c>
      <c r="P222" s="628">
        <f t="shared" si="115"/>
        <v>8.325652222387756</v>
      </c>
      <c r="Q222" s="628">
        <f t="shared" si="115"/>
        <v>8.4375761148541688</v>
      </c>
      <c r="R222" s="628">
        <f t="shared" si="115"/>
        <v>8.548545557549307</v>
      </c>
      <c r="S222" s="628">
        <f t="shared" si="115"/>
        <v>8.6584944190639455</v>
      </c>
      <c r="T222" s="628">
        <f t="shared" si="115"/>
        <v>8.7674020626462834</v>
      </c>
      <c r="U222" s="628">
        <f t="shared" si="115"/>
        <v>8.8751465438537931</v>
      </c>
      <c r="V222" s="628">
        <f t="shared" si="115"/>
        <v>8.9816870581999417</v>
      </c>
      <c r="W222" s="628">
        <f t="shared" si="115"/>
        <v>9.0869471558996029</v>
      </c>
      <c r="X222" s="628">
        <f t="shared" si="115"/>
        <v>9.1909118284060156</v>
      </c>
      <c r="Y222" s="628">
        <f t="shared" si="115"/>
        <v>9.2934642904646036</v>
      </c>
      <c r="Z222" s="628">
        <f t="shared" si="115"/>
        <v>9.3945496670762303</v>
      </c>
      <c r="AA222" s="628">
        <f t="shared" si="115"/>
        <v>9.4940971366608213</v>
      </c>
      <c r="AB222" s="628">
        <f t="shared" si="115"/>
        <v>9.5920246212282088</v>
      </c>
      <c r="AC222" s="628">
        <f t="shared" si="115"/>
        <v>9.6882917853089552</v>
      </c>
      <c r="AD222" s="628">
        <f t="shared" si="115"/>
        <v>9.782828276340064</v>
      </c>
      <c r="AE222" s="628">
        <f t="shared" si="115"/>
        <v>9.8755928208179018</v>
      </c>
      <c r="AF222" s="628">
        <f t="shared" si="115"/>
        <v>9.9665061548548426</v>
      </c>
      <c r="AG222" s="628">
        <f t="shared" si="115"/>
        <v>10.055536854306069</v>
      </c>
      <c r="AH222" s="628">
        <f t="shared" si="115"/>
        <v>10.14262629203577</v>
      </c>
      <c r="AI222" s="628">
        <f t="shared" si="115"/>
        <v>10.227733663557391</v>
      </c>
      <c r="AJ222" s="628">
        <f t="shared" si="115"/>
        <v>10.310848181477953</v>
      </c>
      <c r="AK222" s="628">
        <f t="shared" si="115"/>
        <v>10.391941235755164</v>
      </c>
      <c r="AL222" s="628">
        <f t="shared" si="115"/>
        <v>10.47096264156076</v>
      </c>
      <c r="AM222" s="628">
        <f t="shared" si="115"/>
        <v>10.547902080518831</v>
      </c>
      <c r="AN222" s="628">
        <f t="shared" si="115"/>
        <v>10.622709367801116</v>
      </c>
      <c r="AO222" s="628">
        <f t="shared" si="115"/>
        <v>10.69537183994627</v>
      </c>
      <c r="AP222" s="628">
        <f t="shared" si="115"/>
        <v>10.765901222381464</v>
      </c>
      <c r="AQ222" s="628">
        <f t="shared" si="115"/>
        <v>10.834237011902516</v>
      </c>
      <c r="AR222" s="628">
        <f t="shared" si="115"/>
        <v>10.900397500175808</v>
      </c>
      <c r="AS222" s="628">
        <f t="shared" si="115"/>
        <v>10.964405669038587</v>
      </c>
      <c r="AT222" s="628">
        <f t="shared" si="115"/>
        <v>11.026218353016082</v>
      </c>
      <c r="AU222" s="628">
        <f t="shared" si="115"/>
        <v>11.085793667678734</v>
      </c>
      <c r="AV222" s="628">
        <f t="shared" si="115"/>
        <v>11.143091056755587</v>
      </c>
      <c r="AW222" s="628">
        <f t="shared" si="115"/>
        <v>11.198071337978011</v>
      </c>
      <c r="AX222" s="628">
        <f t="shared" si="115"/>
        <v>11.25069674758149</v>
      </c>
      <c r="AY222" s="628">
        <f t="shared" si="115"/>
        <v>11.300930983394961</v>
      </c>
      <c r="AZ222" s="628">
        <f t="shared" si="115"/>
        <v>11.348739246449115</v>
      </c>
      <c r="BA222" s="628">
        <f t="shared" si="115"/>
        <v>11.394088281037156</v>
      </c>
      <c r="BB222" s="628">
        <f t="shared" si="115"/>
        <v>11.436946413163541</v>
      </c>
      <c r="BC222" s="628">
        <f t="shared" si="115"/>
        <v>11.477283587318768</v>
      </c>
      <c r="BD222" s="628">
        <f t="shared" si="115"/>
        <v>11.515071401520519</v>
      </c>
      <c r="BE222" s="628">
        <f t="shared" si="115"/>
        <v>11.550283140564165</v>
      </c>
      <c r="BF222" s="628">
        <f t="shared" si="115"/>
        <v>11.582893807428201</v>
      </c>
      <c r="BG222" s="628">
        <f t="shared" si="115"/>
        <v>11.61288015278312</v>
      </c>
      <c r="BH222" s="628">
        <f t="shared" si="115"/>
        <v>11.640220702555023</v>
      </c>
      <c r="BI222" s="628">
        <f t="shared" si="115"/>
        <v>11.664895783498359</v>
      </c>
      <c r="BJ222" s="628">
        <f t="shared" si="115"/>
        <v>11.6868875467352</v>
      </c>
      <c r="BK222" s="628">
        <f t="shared" si="115"/>
        <v>11.706179989221758</v>
      </c>
      <c r="BL222" s="628">
        <f t="shared" si="115"/>
        <v>11.722758973106087</v>
      </c>
      <c r="BM222" s="628">
        <f t="shared" si="115"/>
        <v>11.736612242944245</v>
      </c>
      <c r="BN222" s="308"/>
      <c r="BO222" s="50"/>
      <c r="BP222" s="50"/>
      <c r="BQ222" s="50"/>
    </row>
    <row r="223" spans="1:69" ht="15" customHeight="1" thickBot="1" x14ac:dyDescent="0.4">
      <c r="A223" s="960"/>
      <c r="B223" s="26"/>
      <c r="C223" s="87"/>
      <c r="D223" s="247"/>
      <c r="E223" s="248"/>
      <c r="F223" s="248"/>
      <c r="G223" s="248"/>
      <c r="H223" s="248"/>
      <c r="I223" s="248"/>
      <c r="J223" s="248"/>
      <c r="K223" s="248"/>
      <c r="L223" s="248"/>
      <c r="M223" s="248"/>
      <c r="N223" s="249"/>
      <c r="O223" s="249"/>
      <c r="P223" s="249"/>
      <c r="Q223" s="309"/>
      <c r="R223" s="309"/>
      <c r="S223" s="309"/>
      <c r="T223" s="309"/>
      <c r="U223" s="309"/>
      <c r="V223" s="309"/>
      <c r="W223" s="309"/>
      <c r="X223" s="309"/>
      <c r="Y223" s="309"/>
      <c r="Z223" s="309"/>
      <c r="AA223" s="309"/>
      <c r="AB223" s="309"/>
      <c r="AC223" s="309"/>
      <c r="AD223" s="309"/>
      <c r="AE223" s="309"/>
      <c r="AF223" s="309"/>
      <c r="AG223" s="309"/>
      <c r="AH223" s="309"/>
      <c r="AI223" s="309"/>
      <c r="AJ223" s="309"/>
      <c r="AK223" s="309"/>
      <c r="AL223" s="309"/>
      <c r="AM223" s="309"/>
      <c r="AN223" s="309"/>
      <c r="AO223" s="309"/>
      <c r="AP223" s="309"/>
      <c r="AQ223" s="309"/>
      <c r="AR223" s="309"/>
      <c r="AS223" s="309"/>
      <c r="AT223" s="309"/>
      <c r="AU223" s="309"/>
      <c r="AV223" s="309"/>
      <c r="AW223" s="309"/>
      <c r="AX223" s="309"/>
      <c r="AY223" s="309"/>
      <c r="AZ223" s="309"/>
      <c r="BA223" s="309"/>
      <c r="BB223" s="309"/>
      <c r="BC223" s="309"/>
      <c r="BD223" s="309"/>
      <c r="BE223" s="309"/>
      <c r="BF223" s="309"/>
      <c r="BG223" s="309"/>
      <c r="BH223" s="309"/>
      <c r="BI223" s="309"/>
      <c r="BJ223" s="309"/>
      <c r="BK223" s="309"/>
      <c r="BL223" s="309"/>
      <c r="BM223" s="309"/>
      <c r="BN223" s="231"/>
    </row>
    <row r="224" spans="1:69" ht="14.25" customHeight="1" x14ac:dyDescent="0.3">
      <c r="A224" s="960"/>
      <c r="B224" s="944"/>
      <c r="C224" s="944"/>
      <c r="D224" s="45"/>
      <c r="E224" s="944"/>
      <c r="F224" s="944"/>
      <c r="G224" s="944"/>
      <c r="H224" s="944"/>
      <c r="I224" s="944"/>
      <c r="J224" s="944"/>
      <c r="K224" s="944"/>
      <c r="L224" s="944"/>
      <c r="M224" s="944"/>
      <c r="N224" s="944"/>
      <c r="O224" s="944"/>
      <c r="P224" s="944"/>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row>
    <row r="225" spans="1:69" ht="15.75" customHeight="1" x14ac:dyDescent="0.3">
      <c r="A225" s="960"/>
      <c r="B225" s="944"/>
      <c r="C225" s="44"/>
      <c r="D225" s="44" t="s">
        <v>772</v>
      </c>
      <c r="E225" s="941"/>
      <c r="F225" s="944"/>
      <c r="G225" s="944"/>
      <c r="H225" s="944"/>
      <c r="I225" s="944"/>
      <c r="J225" s="944"/>
      <c r="K225" s="944"/>
      <c r="L225" s="944"/>
      <c r="M225" s="944"/>
      <c r="N225" s="944"/>
      <c r="O225" s="944"/>
      <c r="P225" s="944"/>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row>
    <row r="226" spans="1:69" ht="15" customHeight="1" thickBot="1" x14ac:dyDescent="0.35">
      <c r="A226" s="960"/>
      <c r="B226" s="26"/>
      <c r="C226" s="45"/>
      <c r="D226" s="45"/>
      <c r="E226" s="944"/>
      <c r="F226" s="944"/>
      <c r="G226" s="944"/>
      <c r="H226" s="944"/>
      <c r="I226" s="944"/>
      <c r="J226" s="944"/>
      <c r="K226" s="944"/>
      <c r="L226" s="944"/>
      <c r="M226" s="944"/>
      <c r="N226" s="944"/>
      <c r="O226" s="944"/>
      <c r="P226" s="944"/>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row>
    <row r="227" spans="1:69" ht="15" customHeight="1" x14ac:dyDescent="0.3">
      <c r="A227" s="960"/>
      <c r="B227" s="26"/>
      <c r="C227" s="88"/>
      <c r="D227" s="310"/>
      <c r="E227" s="311"/>
      <c r="F227" s="311"/>
      <c r="G227" s="311"/>
      <c r="H227" s="311"/>
      <c r="I227" s="311"/>
      <c r="J227" s="311"/>
      <c r="K227" s="311"/>
      <c r="L227" s="311"/>
      <c r="M227" s="311"/>
      <c r="N227" s="311"/>
      <c r="O227" s="311"/>
      <c r="P227" s="311"/>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0"/>
      <c r="AM227" s="310"/>
      <c r="AN227" s="310"/>
      <c r="AO227" s="310"/>
      <c r="AP227" s="310"/>
      <c r="AQ227" s="310"/>
      <c r="AR227" s="310"/>
      <c r="AS227" s="310"/>
      <c r="AT227" s="310"/>
      <c r="AU227" s="310"/>
      <c r="AV227" s="310"/>
      <c r="AW227" s="310"/>
      <c r="AX227" s="310"/>
      <c r="AY227" s="310"/>
      <c r="AZ227" s="310"/>
      <c r="BA227" s="310"/>
      <c r="BB227" s="310"/>
      <c r="BC227" s="310"/>
      <c r="BD227" s="310"/>
      <c r="BE227" s="310"/>
      <c r="BF227" s="310"/>
      <c r="BG227" s="310"/>
      <c r="BH227" s="310"/>
      <c r="BI227" s="310"/>
      <c r="BJ227" s="310"/>
      <c r="BK227" s="310"/>
      <c r="BL227" s="310"/>
      <c r="BM227" s="310"/>
      <c r="BN227" s="89"/>
    </row>
    <row r="228" spans="1:69" ht="14.25" customHeight="1" x14ac:dyDescent="0.3">
      <c r="A228" s="960"/>
      <c r="B228" s="944"/>
      <c r="C228" s="312"/>
      <c r="D228" s="313" t="s">
        <v>773</v>
      </c>
      <c r="E228" s="314"/>
      <c r="F228" s="314"/>
      <c r="G228" s="314"/>
      <c r="H228" s="314"/>
      <c r="I228" s="314"/>
      <c r="J228" s="314"/>
      <c r="K228" s="315"/>
      <c r="L228" s="315"/>
      <c r="M228" s="315"/>
      <c r="N228" s="315"/>
      <c r="O228" s="315"/>
      <c r="P228" s="315"/>
      <c r="Q228" s="316"/>
      <c r="R228" s="316"/>
      <c r="S228" s="316"/>
      <c r="T228" s="316"/>
      <c r="U228" s="316"/>
      <c r="V228" s="316"/>
      <c r="W228" s="316"/>
      <c r="X228" s="316"/>
      <c r="Y228" s="316"/>
      <c r="Z228" s="316"/>
      <c r="AA228" s="316"/>
      <c r="AB228" s="316"/>
      <c r="AC228" s="316"/>
      <c r="AD228" s="316"/>
      <c r="AE228" s="316"/>
      <c r="AF228" s="316"/>
      <c r="AG228" s="316"/>
      <c r="AH228" s="316"/>
      <c r="AI228" s="316"/>
      <c r="AJ228" s="316"/>
      <c r="AK228" s="316"/>
      <c r="AL228" s="316"/>
      <c r="AM228" s="316"/>
      <c r="AN228" s="316"/>
      <c r="AO228" s="316"/>
      <c r="AP228" s="316"/>
      <c r="AQ228" s="316"/>
      <c r="AR228" s="316"/>
      <c r="AS228" s="316"/>
      <c r="AT228" s="316"/>
      <c r="AU228" s="316"/>
      <c r="AV228" s="316"/>
      <c r="AW228" s="316"/>
      <c r="AX228" s="316"/>
      <c r="AY228" s="316"/>
      <c r="AZ228" s="316"/>
      <c r="BA228" s="316"/>
      <c r="BB228" s="316"/>
      <c r="BC228" s="316"/>
      <c r="BD228" s="316"/>
      <c r="BE228" s="316"/>
      <c r="BF228" s="316"/>
      <c r="BG228" s="316"/>
      <c r="BH228" s="316"/>
      <c r="BI228" s="316"/>
      <c r="BJ228" s="316"/>
      <c r="BK228" s="316"/>
      <c r="BL228" s="316"/>
      <c r="BM228" s="316"/>
      <c r="BN228" s="317"/>
    </row>
    <row r="229" spans="1:69" ht="14.25" customHeight="1" x14ac:dyDescent="0.3">
      <c r="A229" s="960"/>
      <c r="B229" s="944"/>
      <c r="C229" s="312"/>
      <c r="D229" s="318" t="s">
        <v>774</v>
      </c>
      <c r="E229" s="314"/>
      <c r="F229" s="314"/>
      <c r="G229" s="314"/>
      <c r="H229" s="314"/>
      <c r="I229" s="314"/>
      <c r="J229" s="314"/>
      <c r="K229" s="315"/>
      <c r="L229" s="315"/>
      <c r="M229" s="315"/>
      <c r="N229" s="315"/>
      <c r="O229" s="315"/>
      <c r="P229" s="315"/>
      <c r="Q229" s="316"/>
      <c r="R229" s="316"/>
      <c r="S229" s="316"/>
      <c r="T229" s="316"/>
      <c r="U229" s="316"/>
      <c r="V229" s="316"/>
      <c r="W229" s="316"/>
      <c r="X229" s="316"/>
      <c r="Y229" s="316"/>
      <c r="Z229" s="316"/>
      <c r="AA229" s="316"/>
      <c r="AB229" s="316"/>
      <c r="AC229" s="316"/>
      <c r="AD229" s="316"/>
      <c r="AE229" s="316"/>
      <c r="AF229" s="316"/>
      <c r="AG229" s="316"/>
      <c r="AH229" s="316"/>
      <c r="AI229" s="316"/>
      <c r="AJ229" s="316"/>
      <c r="AK229" s="316"/>
      <c r="AL229" s="316"/>
      <c r="AM229" s="316"/>
      <c r="AN229" s="316"/>
      <c r="AO229" s="316"/>
      <c r="AP229" s="316"/>
      <c r="AQ229" s="316"/>
      <c r="AR229" s="316"/>
      <c r="AS229" s="316"/>
      <c r="AT229" s="316"/>
      <c r="AU229" s="316"/>
      <c r="AV229" s="316"/>
      <c r="AW229" s="316"/>
      <c r="AX229" s="316"/>
      <c r="AY229" s="316"/>
      <c r="AZ229" s="316"/>
      <c r="BA229" s="316"/>
      <c r="BB229" s="316"/>
      <c r="BC229" s="316"/>
      <c r="BD229" s="316"/>
      <c r="BE229" s="316"/>
      <c r="BF229" s="316"/>
      <c r="BG229" s="316"/>
      <c r="BH229" s="316"/>
      <c r="BI229" s="316"/>
      <c r="BJ229" s="316"/>
      <c r="BK229" s="316"/>
      <c r="BL229" s="316"/>
      <c r="BM229" s="316"/>
      <c r="BN229" s="317"/>
    </row>
    <row r="230" spans="1:69" ht="14.25" customHeight="1" x14ac:dyDescent="0.3">
      <c r="A230" s="960" t="s">
        <v>775</v>
      </c>
      <c r="B230" s="944"/>
      <c r="C230" s="312"/>
      <c r="D230" s="316" t="s">
        <v>776</v>
      </c>
      <c r="E230" s="319">
        <f>SUM('Calibración-BAU_Agricultura '!G395:G396)*0.02/1000000</f>
        <v>0.36585224</v>
      </c>
      <c r="F230" s="319">
        <f>SUM('Calibración-BAU_Agricultura '!H395:H396)*0.02/1000000</f>
        <v>0.2689897</v>
      </c>
      <c r="G230" s="319">
        <f>SUM('Calibración-BAU_Agricultura '!I395:I396)*0.02/1000000</f>
        <v>0.29802463304624827</v>
      </c>
      <c r="H230" s="319">
        <f>SUM('Calibración-BAU_Agricultura '!J395:J396)*0.02/1000000</f>
        <v>0.32745535999999997</v>
      </c>
      <c r="I230" s="319">
        <f>SUM('Calibración-BAU_Agricultura '!K395:K396)*0.02/1000000</f>
        <v>0.32459838000000002</v>
      </c>
      <c r="J230" s="319">
        <f>SUM('Calibración-BAU_Agricultura '!L395:L396)*0.02/1000000</f>
        <v>0.29783700000000002</v>
      </c>
      <c r="K230" s="319">
        <f>SUM('Calibración-BAU_Agricultura '!M395:M396)*0.02/1000000</f>
        <v>0.28613722000000003</v>
      </c>
      <c r="L230" s="319">
        <f>SUM('Calibración-BAU_Agricultura '!N395:N396)*0.02/1000000</f>
        <v>0.26812508000000002</v>
      </c>
      <c r="M230" s="319">
        <f>SUM('Calibración-BAU_Agricultura '!O395:O396)*0.02/1000000</f>
        <v>0.25910958000000001</v>
      </c>
      <c r="N230" s="319">
        <f>SUM('Calibración-BAU_Agricultura '!P395:P396)*0.02/1000000</f>
        <v>0.32224458</v>
      </c>
      <c r="O230" s="319">
        <f>SUM('Calibración-BAU_Agricultura '!Q395:Q396)*0.02/1000000</f>
        <v>0.35463600000000001</v>
      </c>
      <c r="P230" s="319">
        <f>SUM('Calibración-BAU_Agricultura '!R395:R396)*0.02/1000000</f>
        <v>0.42410428000000006</v>
      </c>
      <c r="Q230" s="319">
        <f>SUM('Calibración-BAU_Agricultura '!S395:S396)*0.02/1000000</f>
        <v>0.42980562333759764</v>
      </c>
      <c r="R230" s="319">
        <f>SUM('Calibración-BAU_Agricultura '!T395:T396)*0.02/1000000</f>
        <v>0.43545834751332879</v>
      </c>
      <c r="S230" s="319">
        <f>SUM('Calibración-BAU_Agricultura '!U395:U396)*0.02/1000000</f>
        <v>0.44105908382850884</v>
      </c>
      <c r="T230" s="319">
        <f>SUM('Calibración-BAU_Agricultura '!V395:V396)*0.02/1000000</f>
        <v>0.44660678105801643</v>
      </c>
      <c r="U230" s="319">
        <f>SUM('Calibración-BAU_Agricultura '!W395:W396)*0.02/1000000</f>
        <v>0.45209522741704289</v>
      </c>
      <c r="V230" s="319">
        <f>SUM('Calibración-BAU_Agricultura '!X395:X396)*0.02/1000000</f>
        <v>0.45752234434682548</v>
      </c>
      <c r="W230" s="319">
        <f>SUM('Calibración-BAU_Agricultura '!Y395:Y396)*0.02/1000000</f>
        <v>0.46288423753611885</v>
      </c>
      <c r="X230" s="319">
        <f>SUM('Calibración-BAU_Agricultura '!Z395:Z396)*0.02/1000000</f>
        <v>0.46818014245756201</v>
      </c>
      <c r="Y230" s="319">
        <f>SUM('Calibración-BAU_Agricultura '!AA395:AA396)*0.02/1000000</f>
        <v>0.47340411013262673</v>
      </c>
      <c r="Z230" s="319">
        <f>SUM('Calibración-BAU_Agricultura '!AB395:AB396)*0.02/1000000</f>
        <v>0.47855334525814919</v>
      </c>
      <c r="AA230" s="319">
        <f>SUM('Calibración-BAU_Agricultura '!AC395:AC396)*0.02/1000000</f>
        <v>0.4836242402206446</v>
      </c>
      <c r="AB230" s="319">
        <f>SUM('Calibración-BAU_Agricultura '!AD395:AD396)*0.02/1000000</f>
        <v>0.488612614011107</v>
      </c>
      <c r="AC230" s="319">
        <f>SUM('Calibración-BAU_Agricultura '!AE395:AE396)*0.02/1000000</f>
        <v>0.49351641196225393</v>
      </c>
      <c r="AD230" s="319">
        <f>SUM('Calibración-BAU_Agricultura '!AF395:AF396)*0.02/1000000</f>
        <v>0.49833205035208022</v>
      </c>
      <c r="AE230" s="319">
        <f>SUM('Calibración-BAU_Agricultura '!AG395:AG396)*0.02/1000000</f>
        <v>0.50305742673034315</v>
      </c>
      <c r="AF230" s="319">
        <f>SUM('Calibración-BAU_Agricultura '!AH395:AH396)*0.02/1000000</f>
        <v>0.50768850343691696</v>
      </c>
      <c r="AG230" s="319">
        <f>SUM('Calibración-BAU_Agricultura '!AI395:AI396)*0.02/1000000</f>
        <v>0.51222367974263971</v>
      </c>
      <c r="AH230" s="319">
        <f>SUM('Calibración-BAU_Agricultura '!AJ395:AJ396)*0.02/1000000</f>
        <v>0.51665996921250723</v>
      </c>
      <c r="AI230" s="319">
        <f>SUM('Calibración-BAU_Agricultura '!AK395:AK396)*0.02/1000000</f>
        <v>0.52099529328775651</v>
      </c>
      <c r="AJ230" s="319">
        <f>SUM('Calibración-BAU_Agricultura '!AL395:AL396)*0.02/1000000</f>
        <v>0.52522910246434706</v>
      </c>
      <c r="AK230" s="319">
        <f>SUM('Calibración-BAU_Agricultura '!AM395:AM396)*0.02/1000000</f>
        <v>0.52935993936199677</v>
      </c>
      <c r="AL230" s="319">
        <f>SUM('Calibración-BAU_Agricultura '!AN395:AN396)*0.02/1000000</f>
        <v>0.53338524759234207</v>
      </c>
      <c r="AM230" s="319">
        <f>SUM('Calibración-BAU_Agricultura '!AO395:AO396)*0.02/1000000</f>
        <v>0.53730450154282228</v>
      </c>
      <c r="AN230" s="319">
        <f>SUM('Calibración-BAU_Agricultura '!AP395:AP396)*0.02/1000000</f>
        <v>0.54111514482507406</v>
      </c>
      <c r="AO230" s="319">
        <f>SUM('Calibración-BAU_Agricultura '!AQ395:AQ396)*0.02/1000000</f>
        <v>0.5448165323691363</v>
      </c>
      <c r="AP230" s="319">
        <f>SUM('Calibración-BAU_Agricultura '!AR395:AR396)*0.02/1000000</f>
        <v>0.54840926146201019</v>
      </c>
      <c r="AQ230" s="319">
        <f>SUM('Calibración-BAU_Agricultura '!AS395:AS396)*0.02/1000000</f>
        <v>0.55189025010277093</v>
      </c>
      <c r="AR230" s="319">
        <f>SUM('Calibración-BAU_Agricultura '!AT395:AT396)*0.02/1000000</f>
        <v>0.55526043005914028</v>
      </c>
      <c r="AS230" s="319">
        <f>SUM('Calibración-BAU_Agricultura '!AU395:AU396)*0.02/1000000</f>
        <v>0.5585209720136397</v>
      </c>
      <c r="AT230" s="319">
        <f>SUM('Calibración-BAU_Agricultura '!AV395:AV396)*0.02/1000000</f>
        <v>0.56166967714002625</v>
      </c>
      <c r="AU230" s="319">
        <f>SUM('Calibración-BAU_Agricultura '!AW395:AW396)*0.02/1000000</f>
        <v>0.56470441186781573</v>
      </c>
      <c r="AV230" s="319">
        <f>SUM('Calibración-BAU_Agricultura '!AX395:AX396)*0.02/1000000</f>
        <v>0.56762311028221446</v>
      </c>
      <c r="AW230" s="319">
        <f>SUM('Calibración-BAU_Agricultura '!AY395:AY396)*0.02/1000000</f>
        <v>0.57042377645937392</v>
      </c>
      <c r="AX230" s="319">
        <f>SUM('Calibración-BAU_Agricultura '!AZ395:AZ396)*0.02/1000000</f>
        <v>0.57310448673328784</v>
      </c>
      <c r="AY230" s="319">
        <f>SUM('Calibración-BAU_Agricultura '!BA395:BA396)*0.02/1000000</f>
        <v>0.5756633918907399</v>
      </c>
      <c r="AZ230" s="319">
        <f>SUM('Calibración-BAU_Agricultura '!BB395:BB396)*0.02/1000000</f>
        <v>0.5780987192908098</v>
      </c>
      <c r="BA230" s="319">
        <f>SUM('Calibración-BAU_Agricultura '!BC395:BC396)*0.02/1000000</f>
        <v>0.58040877490554454</v>
      </c>
      <c r="BB230" s="319">
        <f>SUM('Calibración-BAU_Agricultura '!BD395:BD396)*0.02/1000000</f>
        <v>0.58259194527851899</v>
      </c>
      <c r="BC230" s="319">
        <f>SUM('Calibración-BAU_Agricultura '!BE395:BE396)*0.02/1000000</f>
        <v>0.5846466993981223</v>
      </c>
      <c r="BD230" s="319">
        <f>SUM('Calibración-BAU_Agricultura '!BF395:BF396)*0.02/1000000</f>
        <v>0.5865715904825366</v>
      </c>
      <c r="BE230" s="319">
        <f>SUM('Calibración-BAU_Agricultura '!BG395:BG396)*0.02/1000000</f>
        <v>0.58836525767349823</v>
      </c>
      <c r="BF230" s="319">
        <f>SUM('Calibración-BAU_Agricultura '!BH395:BH396)*0.02/1000000</f>
        <v>0.59002642763607505</v>
      </c>
      <c r="BG230" s="319">
        <f>SUM('Calibración-BAU_Agricultura '!BI395:BI396)*0.02/1000000</f>
        <v>0.59155391606183261</v>
      </c>
      <c r="BH230" s="319">
        <f>SUM('Calibración-BAU_Agricultura '!BJ395:BJ396)*0.02/1000000</f>
        <v>0.59294662907290918</v>
      </c>
      <c r="BI230" s="319">
        <f>SUM('Calibración-BAU_Agricultura '!BK395:BK396)*0.02/1000000</f>
        <v>0.59420356452467771</v>
      </c>
      <c r="BJ230" s="319">
        <f>SUM('Calibración-BAU_Agricultura '!BL395:BL396)*0.02/1000000</f>
        <v>0.5953238132048243</v>
      </c>
      <c r="BK230" s="319">
        <f>SUM('Calibración-BAU_Agricultura '!BM395:BM396)*0.02/1000000</f>
        <v>0.59630655992684123</v>
      </c>
      <c r="BL230" s="319">
        <f>SUM('Calibración-BAU_Agricultura '!BN395:BN396)*0.02/1000000</f>
        <v>0.59715108451609666</v>
      </c>
      <c r="BM230" s="319">
        <f>SUM('Calibración-BAU_Agricultura '!BO395:BO396)*0.02/1000000</f>
        <v>0.59785676268681787</v>
      </c>
      <c r="BN230" s="317"/>
    </row>
    <row r="231" spans="1:69" ht="15" customHeight="1" x14ac:dyDescent="0.3">
      <c r="A231" s="960" t="s">
        <v>700</v>
      </c>
      <c r="B231" s="26"/>
      <c r="C231" s="320"/>
      <c r="D231" s="316" t="s">
        <v>777</v>
      </c>
      <c r="E231" s="319">
        <f t="shared" ref="E231:N231" si="116">E230*25/1000</f>
        <v>9.1463059999999999E-3</v>
      </c>
      <c r="F231" s="319">
        <f t="shared" si="116"/>
        <v>6.7247424999999994E-3</v>
      </c>
      <c r="G231" s="319">
        <f t="shared" si="116"/>
        <v>7.4506158261562067E-3</v>
      </c>
      <c r="H231" s="319">
        <f t="shared" si="116"/>
        <v>8.1863839999999979E-3</v>
      </c>
      <c r="I231" s="319">
        <f t="shared" si="116"/>
        <v>8.1149595000000012E-3</v>
      </c>
      <c r="J231" s="319">
        <f t="shared" si="116"/>
        <v>7.4459250000000008E-3</v>
      </c>
      <c r="K231" s="319">
        <f t="shared" si="116"/>
        <v>7.1534305000000003E-3</v>
      </c>
      <c r="L231" s="319">
        <f t="shared" si="116"/>
        <v>6.7031270000000006E-3</v>
      </c>
      <c r="M231" s="319">
        <f t="shared" si="116"/>
        <v>6.4777395000000003E-3</v>
      </c>
      <c r="N231" s="319">
        <f t="shared" si="116"/>
        <v>8.0561144999999994E-3</v>
      </c>
      <c r="O231" s="319">
        <f t="shared" ref="O231:BM231" si="117">O230*25/1000</f>
        <v>8.8658999999999995E-3</v>
      </c>
      <c r="P231" s="319">
        <f t="shared" si="117"/>
        <v>1.0602607E-2</v>
      </c>
      <c r="Q231" s="319">
        <f t="shared" si="117"/>
        <v>1.0745140583439941E-2</v>
      </c>
      <c r="R231" s="319">
        <f t="shared" si="117"/>
        <v>1.0886458687833219E-2</v>
      </c>
      <c r="S231" s="319">
        <f t="shared" si="117"/>
        <v>1.1026477095712721E-2</v>
      </c>
      <c r="T231" s="319">
        <f t="shared" si="117"/>
        <v>1.116516952645041E-2</v>
      </c>
      <c r="U231" s="319">
        <f t="shared" si="117"/>
        <v>1.1302380685426073E-2</v>
      </c>
      <c r="V231" s="319">
        <f t="shared" si="117"/>
        <v>1.1438058608670637E-2</v>
      </c>
      <c r="W231" s="319">
        <f t="shared" si="117"/>
        <v>1.1572105938402973E-2</v>
      </c>
      <c r="X231" s="319">
        <f t="shared" si="117"/>
        <v>1.1704503561439051E-2</v>
      </c>
      <c r="Y231" s="319">
        <f t="shared" si="117"/>
        <v>1.1835102753315669E-2</v>
      </c>
      <c r="Z231" s="319">
        <f t="shared" si="117"/>
        <v>1.196383363145373E-2</v>
      </c>
      <c r="AA231" s="319">
        <f t="shared" si="117"/>
        <v>1.2090606005516116E-2</v>
      </c>
      <c r="AB231" s="319">
        <f t="shared" si="117"/>
        <v>1.2215315350277676E-2</v>
      </c>
      <c r="AC231" s="319">
        <f t="shared" si="117"/>
        <v>1.2337910299056348E-2</v>
      </c>
      <c r="AD231" s="319">
        <f t="shared" si="117"/>
        <v>1.2458301258802006E-2</v>
      </c>
      <c r="AE231" s="319">
        <f t="shared" si="117"/>
        <v>1.2576435668258579E-2</v>
      </c>
      <c r="AF231" s="319">
        <f t="shared" si="117"/>
        <v>1.2692212585922924E-2</v>
      </c>
      <c r="AG231" s="319">
        <f t="shared" si="117"/>
        <v>1.2805591993565993E-2</v>
      </c>
      <c r="AH231" s="319">
        <f t="shared" si="117"/>
        <v>1.291649923031268E-2</v>
      </c>
      <c r="AI231" s="319">
        <f t="shared" si="117"/>
        <v>1.3024882332193913E-2</v>
      </c>
      <c r="AJ231" s="319">
        <f t="shared" si="117"/>
        <v>1.3130727561608676E-2</v>
      </c>
      <c r="AK231" s="319">
        <f t="shared" si="117"/>
        <v>1.323399848404992E-2</v>
      </c>
      <c r="AL231" s="319">
        <f t="shared" si="117"/>
        <v>1.333463118980855E-2</v>
      </c>
      <c r="AM231" s="319">
        <f t="shared" si="117"/>
        <v>1.3432612538570558E-2</v>
      </c>
      <c r="AN231" s="319">
        <f t="shared" si="117"/>
        <v>1.352787862062685E-2</v>
      </c>
      <c r="AO231" s="319">
        <f t="shared" si="117"/>
        <v>1.3620413309228408E-2</v>
      </c>
      <c r="AP231" s="319">
        <f t="shared" si="117"/>
        <v>1.3710231536550255E-2</v>
      </c>
      <c r="AQ231" s="319">
        <f t="shared" si="117"/>
        <v>1.3797256252569274E-2</v>
      </c>
      <c r="AR231" s="319">
        <f t="shared" si="117"/>
        <v>1.3881510751478506E-2</v>
      </c>
      <c r="AS231" s="319">
        <f t="shared" si="117"/>
        <v>1.3963024300340993E-2</v>
      </c>
      <c r="AT231" s="319">
        <f t="shared" si="117"/>
        <v>1.4041741928500657E-2</v>
      </c>
      <c r="AU231" s="319">
        <f t="shared" si="117"/>
        <v>1.4117610296695393E-2</v>
      </c>
      <c r="AV231" s="319">
        <f t="shared" si="117"/>
        <v>1.4190577757055362E-2</v>
      </c>
      <c r="AW231" s="319">
        <f t="shared" si="117"/>
        <v>1.4260594411484348E-2</v>
      </c>
      <c r="AX231" s="319">
        <f t="shared" si="117"/>
        <v>1.4327612168332197E-2</v>
      </c>
      <c r="AY231" s="319">
        <f t="shared" si="117"/>
        <v>1.4391584797268497E-2</v>
      </c>
      <c r="AZ231" s="319">
        <f t="shared" si="117"/>
        <v>1.4452467982270246E-2</v>
      </c>
      <c r="BA231" s="319">
        <f t="shared" si="117"/>
        <v>1.4510219372638614E-2</v>
      </c>
      <c r="BB231" s="319">
        <f t="shared" si="117"/>
        <v>1.4564798631962974E-2</v>
      </c>
      <c r="BC231" s="319">
        <f t="shared" si="117"/>
        <v>1.4616167484953058E-2</v>
      </c>
      <c r="BD231" s="319">
        <f t="shared" si="117"/>
        <v>1.4664289762063415E-2</v>
      </c>
      <c r="BE231" s="319">
        <f t="shared" si="117"/>
        <v>1.4709131441837456E-2</v>
      </c>
      <c r="BF231" s="319">
        <f t="shared" si="117"/>
        <v>1.4750660690901876E-2</v>
      </c>
      <c r="BG231" s="319">
        <f t="shared" si="117"/>
        <v>1.4788847901545814E-2</v>
      </c>
      <c r="BH231" s="319">
        <f t="shared" si="117"/>
        <v>1.482366572682273E-2</v>
      </c>
      <c r="BI231" s="319">
        <f t="shared" si="117"/>
        <v>1.4855089113116943E-2</v>
      </c>
      <c r="BJ231" s="319">
        <f t="shared" si="117"/>
        <v>1.4883095330120607E-2</v>
      </c>
      <c r="BK231" s="319">
        <f t="shared" si="117"/>
        <v>1.4907663998171032E-2</v>
      </c>
      <c r="BL231" s="319">
        <f t="shared" si="117"/>
        <v>1.4928777112902417E-2</v>
      </c>
      <c r="BM231" s="319">
        <f t="shared" si="117"/>
        <v>1.4946419067170445E-2</v>
      </c>
      <c r="BN231" s="317"/>
    </row>
    <row r="232" spans="1:69" ht="15" customHeight="1" thickBot="1" x14ac:dyDescent="0.4">
      <c r="A232" s="960"/>
      <c r="B232" s="61"/>
      <c r="C232" s="90"/>
      <c r="D232" s="321"/>
      <c r="E232" s="322"/>
      <c r="F232" s="322"/>
      <c r="G232" s="322"/>
      <c r="H232" s="322"/>
      <c r="I232" s="322"/>
      <c r="J232" s="322"/>
      <c r="K232" s="322"/>
      <c r="L232" s="322"/>
      <c r="M232" s="322"/>
      <c r="N232" s="322"/>
      <c r="O232" s="322"/>
      <c r="P232" s="322"/>
      <c r="Q232" s="321"/>
      <c r="R232" s="321"/>
      <c r="S232" s="321"/>
      <c r="T232" s="321"/>
      <c r="U232" s="321"/>
      <c r="V232" s="321"/>
      <c r="W232" s="321"/>
      <c r="X232" s="321"/>
      <c r="Y232" s="321"/>
      <c r="Z232" s="321"/>
      <c r="AA232" s="321"/>
      <c r="AB232" s="321"/>
      <c r="AC232" s="321"/>
      <c r="AD232" s="321"/>
      <c r="AE232" s="321"/>
      <c r="AF232" s="321"/>
      <c r="AG232" s="321"/>
      <c r="AH232" s="321"/>
      <c r="AI232" s="321"/>
      <c r="AJ232" s="321"/>
      <c r="AK232" s="321"/>
      <c r="AL232" s="321"/>
      <c r="AM232" s="321"/>
      <c r="AN232" s="321"/>
      <c r="AO232" s="321"/>
      <c r="AP232" s="321"/>
      <c r="AQ232" s="321"/>
      <c r="AR232" s="321"/>
      <c r="AS232" s="321"/>
      <c r="AT232" s="321"/>
      <c r="AU232" s="321"/>
      <c r="AV232" s="321"/>
      <c r="AW232" s="321"/>
      <c r="AX232" s="321"/>
      <c r="AY232" s="321"/>
      <c r="AZ232" s="321"/>
      <c r="BA232" s="321"/>
      <c r="BB232" s="321"/>
      <c r="BC232" s="321"/>
      <c r="BD232" s="321"/>
      <c r="BE232" s="321"/>
      <c r="BF232" s="321"/>
      <c r="BG232" s="321"/>
      <c r="BH232" s="321"/>
      <c r="BI232" s="321"/>
      <c r="BJ232" s="321"/>
      <c r="BK232" s="321"/>
      <c r="BL232" s="321"/>
      <c r="BM232" s="321"/>
      <c r="BN232" s="91"/>
    </row>
    <row r="233" spans="1:69" ht="15" customHeight="1" x14ac:dyDescent="0.35">
      <c r="A233" s="960"/>
      <c r="B233" s="61"/>
      <c r="C233" s="45"/>
      <c r="D233" s="45"/>
      <c r="E233" s="944"/>
      <c r="F233" s="944"/>
      <c r="G233" s="944"/>
      <c r="H233" s="944"/>
      <c r="I233" s="944"/>
      <c r="J233" s="944"/>
      <c r="K233" s="944"/>
      <c r="L233" s="944"/>
      <c r="M233" s="944"/>
      <c r="N233" s="944"/>
      <c r="O233" s="944"/>
      <c r="P233" s="944"/>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row>
    <row r="234" spans="1:69" ht="15.75" customHeight="1" x14ac:dyDescent="0.3">
      <c r="A234" s="960"/>
      <c r="B234" s="944"/>
      <c r="C234" s="44"/>
      <c r="D234" s="44" t="s">
        <v>778</v>
      </c>
      <c r="E234" s="941"/>
      <c r="F234" s="944"/>
      <c r="G234" s="944"/>
      <c r="H234" s="944"/>
      <c r="I234" s="944"/>
      <c r="J234" s="944"/>
      <c r="K234" s="944"/>
      <c r="L234" s="944"/>
      <c r="M234" s="944"/>
      <c r="N234" s="944"/>
      <c r="O234" s="944"/>
      <c r="P234" s="944"/>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row>
    <row r="235" spans="1:69" ht="15" customHeight="1" thickBot="1" x14ac:dyDescent="0.35">
      <c r="A235" s="960"/>
      <c r="B235" s="26"/>
      <c r="D235" s="81"/>
      <c r="E235" s="82"/>
      <c r="F235" s="944"/>
      <c r="G235" s="944"/>
      <c r="H235" s="944"/>
      <c r="I235" s="944"/>
      <c r="J235" s="944"/>
      <c r="K235" s="944"/>
      <c r="L235" s="944"/>
      <c r="M235" s="944"/>
      <c r="N235" s="944"/>
      <c r="O235" s="944"/>
      <c r="P235" s="944"/>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row>
    <row r="236" spans="1:69" ht="15" customHeight="1" x14ac:dyDescent="0.3">
      <c r="A236" s="960"/>
      <c r="B236" s="26"/>
      <c r="C236" s="83"/>
      <c r="D236" s="175"/>
      <c r="E236" s="176"/>
      <c r="F236" s="176"/>
      <c r="G236" s="176"/>
      <c r="H236" s="176"/>
      <c r="I236" s="176"/>
      <c r="J236" s="176"/>
      <c r="K236" s="176"/>
      <c r="L236" s="176"/>
      <c r="M236" s="176"/>
      <c r="N236" s="176"/>
      <c r="O236" s="176"/>
      <c r="P236" s="176"/>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47"/>
    </row>
    <row r="237" spans="1:69" ht="14" customHeight="1" x14ac:dyDescent="0.3">
      <c r="A237" s="960"/>
      <c r="B237" s="944"/>
      <c r="C237" s="183"/>
      <c r="D237" s="178" t="s">
        <v>779</v>
      </c>
      <c r="E237" s="180"/>
      <c r="F237" s="180"/>
      <c r="G237" s="180"/>
      <c r="H237" s="180"/>
      <c r="I237" s="180"/>
      <c r="J237" s="180"/>
      <c r="K237" s="181"/>
      <c r="L237" s="181"/>
      <c r="M237" s="181"/>
      <c r="N237" s="181"/>
      <c r="O237" s="181"/>
      <c r="P237" s="181"/>
      <c r="Q237" s="185"/>
      <c r="R237" s="185"/>
      <c r="S237" s="185"/>
      <c r="T237" s="185"/>
      <c r="U237" s="185"/>
      <c r="V237" s="185"/>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c r="AX237" s="185"/>
      <c r="AY237" s="185"/>
      <c r="AZ237" s="185"/>
      <c r="BA237" s="185"/>
      <c r="BB237" s="185"/>
      <c r="BC237" s="185"/>
      <c r="BD237" s="185"/>
      <c r="BE237" s="185"/>
      <c r="BF237" s="185"/>
      <c r="BG237" s="185"/>
      <c r="BH237" s="185"/>
      <c r="BI237" s="185"/>
      <c r="BJ237" s="185"/>
      <c r="BK237" s="185"/>
      <c r="BL237" s="185"/>
      <c r="BM237" s="185"/>
      <c r="BN237" s="182"/>
    </row>
    <row r="238" spans="1:69" ht="14.25" hidden="1" customHeight="1" x14ac:dyDescent="0.3">
      <c r="A238" s="960"/>
      <c r="B238" s="944"/>
      <c r="C238" s="183"/>
      <c r="D238" s="184" t="s">
        <v>780</v>
      </c>
      <c r="E238" s="180"/>
      <c r="F238" s="180"/>
      <c r="G238" s="180"/>
      <c r="H238" s="180"/>
      <c r="I238" s="180"/>
      <c r="J238" s="180"/>
      <c r="K238" s="181"/>
      <c r="L238" s="181"/>
      <c r="M238" s="181"/>
      <c r="N238" s="181"/>
      <c r="O238" s="181"/>
      <c r="P238" s="181"/>
      <c r="Q238" s="185"/>
      <c r="R238" s="185"/>
      <c r="S238" s="185"/>
      <c r="T238" s="185"/>
      <c r="U238" s="185"/>
      <c r="V238" s="185"/>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c r="AX238" s="185"/>
      <c r="AY238" s="185"/>
      <c r="AZ238" s="185"/>
      <c r="BA238" s="185"/>
      <c r="BB238" s="185"/>
      <c r="BC238" s="185"/>
      <c r="BD238" s="185"/>
      <c r="BE238" s="185"/>
      <c r="BF238" s="185"/>
      <c r="BG238" s="185"/>
      <c r="BH238" s="185"/>
      <c r="BI238" s="185"/>
      <c r="BJ238" s="185"/>
      <c r="BK238" s="185"/>
      <c r="BL238" s="185"/>
      <c r="BM238" s="185"/>
      <c r="BN238" s="182"/>
    </row>
    <row r="239" spans="1:69" ht="14.25" hidden="1" customHeight="1" x14ac:dyDescent="0.3">
      <c r="A239" s="1199" t="s">
        <v>781</v>
      </c>
      <c r="B239" s="944"/>
      <c r="C239" s="183"/>
      <c r="D239" s="185" t="s">
        <v>782</v>
      </c>
      <c r="E239" s="187">
        <f>'Calibración-BAU_Agricultura '!G318*70.08*0.75</f>
        <v>57230586.719999999</v>
      </c>
      <c r="F239" s="187">
        <f>'Calibración-BAU_Agricultura '!H318*70.08*0.75</f>
        <v>59254199.279999994</v>
      </c>
      <c r="G239" s="187">
        <f>'Calibración-BAU_Agricultura '!I318*70.08*0.75</f>
        <v>55362026.159999996</v>
      </c>
      <c r="H239" s="187">
        <f>'Calibración-BAU_Agricultura '!J318*70.08*0.75</f>
        <v>59268075.119999997</v>
      </c>
      <c r="I239" s="187">
        <f>'Calibración-BAU_Agricultura '!K318*70.08*0.75</f>
        <v>52509384.719999999</v>
      </c>
      <c r="J239" s="187">
        <f>'Calibración-BAU_Agricultura '!L318*70.08*0.75</f>
        <v>45248168.159999996</v>
      </c>
      <c r="K239" s="187">
        <f>'Calibración-BAU_Agricultura '!M318*70.08*0.75</f>
        <v>47102695.200000003</v>
      </c>
      <c r="L239" s="187">
        <f>'Calibración-BAU_Agricultura '!N318*70.08*0.75</f>
        <v>44999979.839999996</v>
      </c>
      <c r="M239" s="187">
        <f>'Calibración-BAU_Agricultura '!O318*70.08*0.75</f>
        <v>43757671.68</v>
      </c>
      <c r="N239" s="187">
        <f>'Calibración-BAU_Agricultura '!P318*70.08*0.75</f>
        <v>52376197.679999992</v>
      </c>
      <c r="O239" s="187">
        <f>'Calibración-BAU_Agricultura '!Q318*70.08*0.75</f>
        <v>50590051.199999996</v>
      </c>
      <c r="P239" s="187">
        <f>'Calibración-BAU_Agricultura '!R318*70.08*0.75</f>
        <v>44503340.399999999</v>
      </c>
      <c r="Q239" s="187">
        <f>'Calibración-BAU_Agricultura '!S318*70.08*0.75</f>
        <v>45101610.295532249</v>
      </c>
      <c r="R239" s="187">
        <f>'Calibración-BAU_Agricultura '!T318*70.08*0.75</f>
        <v>45694778.344154336</v>
      </c>
      <c r="S239" s="187">
        <f>'Calibración-BAU_Agricultura '!U318*70.08*0.75</f>
        <v>46282491.051805146</v>
      </c>
      <c r="T239" s="187">
        <f>'Calibración-BAU_Agricultura '!V318*70.08*0.75</f>
        <v>46864638.10828124</v>
      </c>
      <c r="U239" s="187">
        <f>'Calibración-BAU_Agricultura '!W318*70.08*0.75</f>
        <v>47440567.680562124</v>
      </c>
      <c r="V239" s="187">
        <f>'Calibración-BAU_Agricultura '!X318*70.08*0.75</f>
        <v>48010061.655290976</v>
      </c>
      <c r="W239" s="187">
        <f>'Calibración-BAU_Agricultura '!Y318*70.08*0.75</f>
        <v>48572711.383304954</v>
      </c>
      <c r="X239" s="187">
        <f>'Calibración-BAU_Agricultura '!Z318*70.08*0.75</f>
        <v>49128436.639001541</v>
      </c>
      <c r="Y239" s="187">
        <f>'Calibración-BAU_Agricultura '!AA318*70.08*0.75</f>
        <v>49676613.166911155</v>
      </c>
      <c r="Z239" s="187">
        <f>'Calibración-BAU_Agricultura '!AB318*70.08*0.75</f>
        <v>50216947.642174557</v>
      </c>
      <c r="AA239" s="187">
        <f>'Calibración-BAU_Agricultura '!AC318*70.08*0.75</f>
        <v>50749061.500229873</v>
      </c>
      <c r="AB239" s="187">
        <f>'Calibración-BAU_Agricultura '!AD318*70.08*0.75</f>
        <v>51272516.007313341</v>
      </c>
      <c r="AC239" s="187">
        <f>'Calibración-BAU_Agricultura '!AE318*70.08*0.75</f>
        <v>51787095.557118192</v>
      </c>
      <c r="AD239" s="187">
        <f>'Calibración-BAU_Agricultura '!AF318*70.08*0.75</f>
        <v>52292424.092132613</v>
      </c>
      <c r="AE239" s="187">
        <f>'Calibración-BAU_Agricultura '!AG318*70.08*0.75</f>
        <v>52788280.991949692</v>
      </c>
      <c r="AF239" s="187">
        <f>'Calibración-BAU_Agricultura '!AH318*70.08*0.75</f>
        <v>53274242.565106109</v>
      </c>
      <c r="AG239" s="187">
        <f>'Calibración-BAU_Agricultura '!AI318*70.08*0.75</f>
        <v>53750140.839246586</v>
      </c>
      <c r="AH239" s="187">
        <f>'Calibración-BAU_Agricultura '!AJ318*70.08*0.75</f>
        <v>54215662.433111295</v>
      </c>
      <c r="AI239" s="187">
        <f>'Calibración-BAU_Agricultura '!AK318*70.08*0.75</f>
        <v>54670589.233343393</v>
      </c>
      <c r="AJ239" s="187">
        <f>'Calibración-BAU_Agricultura '!AL318*70.08*0.75</f>
        <v>55114863.577791065</v>
      </c>
      <c r="AK239" s="187">
        <f>'Calibración-BAU_Agricultura '!AM318*70.08*0.75</f>
        <v>55548332.536399506</v>
      </c>
      <c r="AL239" s="187">
        <f>'Calibración-BAU_Agricultura '!AN318*70.08*0.75</f>
        <v>55970727.85481029</v>
      </c>
      <c r="AM239" s="187">
        <f>'Calibración-BAU_Agricultura '!AO318*70.08*0.75</f>
        <v>56381994.3779217</v>
      </c>
      <c r="AN239" s="187">
        <f>'Calibración-BAU_Agricultura '!AP318*70.08*0.75</f>
        <v>56781863.851375297</v>
      </c>
      <c r="AO239" s="187">
        <f>'Calibración-BAU_Agricultura '!AQ318*70.08*0.75</f>
        <v>57170268.584818996</v>
      </c>
      <c r="AP239" s="187">
        <f>'Calibración-BAU_Agricultura '!AR318*70.08*0.75</f>
        <v>57547271.25450474</v>
      </c>
      <c r="AQ239" s="187">
        <f>'Calibración-BAU_Agricultura '!AS318*70.08*0.75</f>
        <v>57912548.450972334</v>
      </c>
      <c r="AR239" s="187">
        <f>'Calibración-BAU_Agricultura '!AT318*70.08*0.75</f>
        <v>58266197.949174896</v>
      </c>
      <c r="AS239" s="187">
        <f>'Calibración-BAU_Agricultura '!AU318*70.08*0.75</f>
        <v>58608342.594566278</v>
      </c>
      <c r="AT239" s="187">
        <f>'Calibración-BAU_Agricultura '!AV318*70.08*0.75</f>
        <v>58938751.653533593</v>
      </c>
      <c r="AU239" s="187">
        <f>'Calibración-BAU_Agricultura '!AW318*70.08*0.75</f>
        <v>59257201.240070455</v>
      </c>
      <c r="AV239" s="187">
        <f>'Calibración-BAU_Agricultura '!AX318*70.08*0.75</f>
        <v>59563474.567613684</v>
      </c>
      <c r="AW239" s="187">
        <f>'Calibración-BAU_Agricultura '!AY318*70.08*0.75</f>
        <v>59857362.194092944</v>
      </c>
      <c r="AX239" s="187">
        <f>'Calibración-BAU_Agricultura '!AZ318*70.08*0.75</f>
        <v>60138662.259807363</v>
      </c>
      <c r="AY239" s="187">
        <f>'Calibración-BAU_Agricultura '!BA318*70.08*0.75</f>
        <v>60407180.717752203</v>
      </c>
      <c r="AZ239" s="187">
        <f>'Calibración-BAU_Agricultura '!BB318*70.08*0.75</f>
        <v>60662731.556028955</v>
      </c>
      <c r="BA239" s="187">
        <f>'Calibración-BAU_Agricultura '!BC318*70.08*0.75</f>
        <v>60905137.011983037</v>
      </c>
      <c r="BB239" s="187">
        <f>'Calibración-BAU_Agricultura '!BD318*70.08*0.75</f>
        <v>61134227.777725048</v>
      </c>
      <c r="BC239" s="187">
        <f>'Calibración-BAU_Agricultura '!BE318*70.08*0.75</f>
        <v>61349843.196704119</v>
      </c>
      <c r="BD239" s="187">
        <f>'Calibración-BAU_Agricultura '!BF318*70.08*0.75</f>
        <v>61551831.451014146</v>
      </c>
      <c r="BE239" s="187">
        <f>'Calibración-BAU_Agricultura '!BG318*70.08*0.75</f>
        <v>61740049.739128754</v>
      </c>
      <c r="BF239" s="187">
        <f>'Calibración-BAU_Agricultura '!BH318*70.08*0.75</f>
        <v>61914364.443773597</v>
      </c>
      <c r="BG239" s="187">
        <f>'Calibración-BAU_Agricultura '!BI318*70.08*0.75</f>
        <v>62074651.289661013</v>
      </c>
      <c r="BH239" s="187">
        <f>'Calibración-BAU_Agricultura '!BJ318*70.08*0.75</f>
        <v>62220795.490826473</v>
      </c>
      <c r="BI239" s="187">
        <f>'Calibración-BAU_Agricultura '!BK318*70.08*0.75</f>
        <v>62352691.887323298</v>
      </c>
      <c r="BJ239" s="187">
        <f>'Calibración-BAU_Agricultura '!BL318*70.08*0.75</f>
        <v>62470245.071047872</v>
      </c>
      <c r="BK239" s="187">
        <f>'Calibración-BAU_Agricultura '!BM318*70.08*0.75</f>
        <v>62573369.500485122</v>
      </c>
      <c r="BL239" s="187">
        <f>'Calibración-BAU_Agricultura '!BN318*70.08*0.75</f>
        <v>62661989.604181796</v>
      </c>
      <c r="BM239" s="187">
        <f>'Calibración-BAU_Agricultura '!BO318*70.08*0.75</f>
        <v>62736039.872772485</v>
      </c>
      <c r="BN239" s="182"/>
    </row>
    <row r="240" spans="1:69" ht="14.25" hidden="1" customHeight="1" x14ac:dyDescent="0.3">
      <c r="A240" s="1199"/>
      <c r="B240" s="944"/>
      <c r="C240" s="183"/>
      <c r="D240" s="185" t="s">
        <v>783</v>
      </c>
      <c r="E240" s="187">
        <f>'Calibración-BAU_Agricultura '!G319*52.56*0.99</f>
        <v>19135521.554687999</v>
      </c>
      <c r="F240" s="187">
        <f>'Calibración-BAU_Agricultura '!H319*52.56*0.99</f>
        <v>19519314.800832003</v>
      </c>
      <c r="G240" s="187">
        <f>'Calibración-BAU_Agricultura '!I319*52.56*0.99</f>
        <v>19070009.204400003</v>
      </c>
      <c r="H240" s="187">
        <f>'Calibración-BAU_Agricultura '!J319*52.56*0.99</f>
        <v>18700567.045776002</v>
      </c>
      <c r="I240" s="187">
        <f>'Calibración-BAU_Agricultura '!K319*52.56*0.99</f>
        <v>16771919.294592002</v>
      </c>
      <c r="J240" s="187">
        <f>'Calibración-BAU_Agricultura '!L319*52.56*0.99</f>
        <v>14989284.752904002</v>
      </c>
      <c r="K240" s="187">
        <f>'Calibración-BAU_Agricultura '!M319*52.56*0.99</f>
        <v>15033350.604888001</v>
      </c>
      <c r="L240" s="187">
        <f>'Calibración-BAU_Agricultura '!N319*52.56*0.99</f>
        <v>15263915.031288002</v>
      </c>
      <c r="M240" s="187">
        <f>'Calibración-BAU_Agricultura '!O319*52.56*0.99</f>
        <v>14776506.204768002</v>
      </c>
      <c r="N240" s="187">
        <f>'Calibración-BAU_Agricultura '!P319*52.56*0.99</f>
        <v>15685097.595552001</v>
      </c>
      <c r="O240" s="187">
        <f>'Calibración-BAU_Agricultura '!Q319*52.56*0.99</f>
        <v>15793204.264992004</v>
      </c>
      <c r="P240" s="187">
        <f>'Calibración-BAU_Agricultura '!R319*52.56*0.99</f>
        <v>14813418.367440002</v>
      </c>
      <c r="Q240" s="187">
        <f>'Calibración-BAU_Agricultura '!S319*52.56*0.99</f>
        <v>15012558.975302415</v>
      </c>
      <c r="R240" s="187">
        <f>'Calibración-BAU_Agricultura '!T319*52.56*0.99</f>
        <v>15210001.378220038</v>
      </c>
      <c r="S240" s="187">
        <f>'Calibración-BAU_Agricultura '!U319*52.56*0.99</f>
        <v>15405627.911869915</v>
      </c>
      <c r="T240" s="187">
        <f>'Calibración-BAU_Agricultura '!V319*52.56*0.99</f>
        <v>15599401.858307293</v>
      </c>
      <c r="U240" s="187">
        <f>'Calibración-BAU_Agricultura '!W319*52.56*0.99</f>
        <v>15791106.247858636</v>
      </c>
      <c r="V240" s="187">
        <f>'Calibración-BAU_Agricultura '!X319*52.56*0.99</f>
        <v>15980668.479133185</v>
      </c>
      <c r="W240" s="187">
        <f>'Calibración-BAU_Agricultura '!Y319*52.56*0.99</f>
        <v>16167952.528835606</v>
      </c>
      <c r="X240" s="187">
        <f>'Calibración-BAU_Agricultura '!Z319*52.56*0.99</f>
        <v>16352931.693006082</v>
      </c>
      <c r="Y240" s="187">
        <f>'Calibración-BAU_Agricultura '!AA319*52.56*0.99</f>
        <v>16535398.181457264</v>
      </c>
      <c r="Z240" s="187">
        <f>'Calibración-BAU_Agricultura '!AB319*52.56*0.99</f>
        <v>16715254.357836058</v>
      </c>
      <c r="AA240" s="187">
        <f>'Calibración-BAU_Agricultura '!AC319*52.56*0.99</f>
        <v>16892374.212832067</v>
      </c>
      <c r="AB240" s="187">
        <f>'Calibración-BAU_Agricultura '!AD319*52.56*0.99</f>
        <v>17066611.709165033</v>
      </c>
      <c r="AC240" s="187">
        <f>'Calibración-BAU_Agricultura '!AE319*52.56*0.99</f>
        <v>17237895.079942927</v>
      </c>
      <c r="AD240" s="187">
        <f>'Calibración-BAU_Agricultura '!AF319*52.56*0.99</f>
        <v>17406099.15035411</v>
      </c>
      <c r="AE240" s="187">
        <f>'Calibración-BAU_Agricultura '!AG319*52.56*0.99</f>
        <v>17571150.484509062</v>
      </c>
      <c r="AF240" s="187">
        <f>'Calibración-BAU_Agricultura '!AH319*52.56*0.99</f>
        <v>17732908.052119989</v>
      </c>
      <c r="AG240" s="187">
        <f>'Calibración-BAU_Agricultura '!AI319*52.56*0.99</f>
        <v>17891315.941771027</v>
      </c>
      <c r="AH240" s="187">
        <f>'Calibración-BAU_Agricultura '!AJ319*52.56*0.99</f>
        <v>18046269.841119122</v>
      </c>
      <c r="AI240" s="187">
        <f>'Calibración-BAU_Agricultura '!AK319*52.56*0.99</f>
        <v>18197697.148773506</v>
      </c>
      <c r="AJ240" s="187">
        <f>'Calibración-BAU_Agricultura '!AL319*52.56*0.99</f>
        <v>18345578.671263073</v>
      </c>
      <c r="AK240" s="187">
        <f>'Calibración-BAU_Agricultura '!AM319*52.56*0.99</f>
        <v>18489863.504164413</v>
      </c>
      <c r="AL240" s="187">
        <f>'Calibración-BAU_Agricultura '!AN319*52.56*0.99</f>
        <v>18630462.356111873</v>
      </c>
      <c r="AM240" s="187">
        <f>'Calibración-BAU_Agricultura '!AO319*52.56*0.99</f>
        <v>18767356.868133079</v>
      </c>
      <c r="AN240" s="187">
        <f>'Calibración-BAU_Agricultura '!AP319*52.56*0.99</f>
        <v>18900457.748862389</v>
      </c>
      <c r="AO240" s="187">
        <f>'Calibración-BAU_Agricultura '!AQ319*52.56*0.99</f>
        <v>19029742.466833703</v>
      </c>
      <c r="AP240" s="187">
        <f>'Calibración-BAU_Agricultura '!AR319*52.56*0.99</f>
        <v>19155231.884515628</v>
      </c>
      <c r="AQ240" s="187">
        <f>'Calibración-BAU_Agricultura '!AS319*52.56*0.99</f>
        <v>19276818.351570141</v>
      </c>
      <c r="AR240" s="187">
        <f>'Calibración-BAU_Agricultura '!AT319*52.56*0.99</f>
        <v>19394534.41344827</v>
      </c>
      <c r="AS240" s="187">
        <f>'Calibración-BAU_Agricultura '!AU319*52.56*0.99</f>
        <v>19508420.960588492</v>
      </c>
      <c r="AT240" s="187">
        <f>'Calibración-BAU_Agricultura '!AV319*52.56*0.99</f>
        <v>19618401.190811273</v>
      </c>
      <c r="AU240" s="187">
        <f>'Calibración-BAU_Agricultura '!AW319*52.56*0.99</f>
        <v>19724400.581237011</v>
      </c>
      <c r="AV240" s="187">
        <f>'Calibración-BAU_Agricultura '!AX319*52.56*0.99</f>
        <v>19826346.972112555</v>
      </c>
      <c r="AW240" s="187">
        <f>'Calibración-BAU_Agricultura '!AY319*52.56*0.99</f>
        <v>19924170.648378689</v>
      </c>
      <c r="AX240" s="187">
        <f>'Calibración-BAU_Agricultura '!AZ319*52.56*0.99</f>
        <v>20017804.418849904</v>
      </c>
      <c r="AY240" s="187">
        <f>'Calibración-BAU_Agricultura '!BA319*52.56*0.99</f>
        <v>20107183.692881137</v>
      </c>
      <c r="AZ240" s="187">
        <f>'Calibración-BAU_Agricultura '!BB319*52.56*0.99</f>
        <v>20192246.55439936</v>
      </c>
      <c r="BA240" s="187">
        <f>'Calibración-BAU_Agricultura '!BC319*52.56*0.99</f>
        <v>20272933.833181646</v>
      </c>
      <c r="BB240" s="187">
        <f>'Calibración-BAU_Agricultura '!BD319*52.56*0.99</f>
        <v>20349189.173265148</v>
      </c>
      <c r="BC240" s="187">
        <f>'Calibración-BAU_Agricultura '!BE319*52.56*0.99</f>
        <v>20420959.098378628</v>
      </c>
      <c r="BD240" s="187">
        <f>'Calibración-BAU_Agricultura '!BF319*52.56*0.99</f>
        <v>20488193.074289415</v>
      </c>
      <c r="BE240" s="187">
        <f>'Calibración-BAU_Agricultura '!BG319*52.56*0.99</f>
        <v>20550843.567964379</v>
      </c>
      <c r="BF240" s="187">
        <f>'Calibración-BAU_Agricultura '!BH319*52.56*0.99</f>
        <v>20608866.103448052</v>
      </c>
      <c r="BG240" s="187">
        <f>'Calibración-BAU_Agricultura '!BI319*52.56*0.99</f>
        <v>20662219.314366288</v>
      </c>
      <c r="BH240" s="187">
        <f>'Calibración-BAU_Agricultura '!BJ319*52.56*0.99</f>
        <v>20710864.992968857</v>
      </c>
      <c r="BI240" s="187">
        <f>'Calibración-BAU_Agricultura '!BK319*52.56*0.99</f>
        <v>20754768.135629706</v>
      </c>
      <c r="BJ240" s="187">
        <f>'Calibración-BAU_Agricultura '!BL319*52.56*0.99</f>
        <v>20793896.984729234</v>
      </c>
      <c r="BK240" s="187">
        <f>'Calibración-BAU_Agricultura '!BM319*52.56*0.99</f>
        <v>20828223.066848624</v>
      </c>
      <c r="BL240" s="187">
        <f>'Calibración-BAU_Agricultura '!BN319*52.56*0.99</f>
        <v>20857721.227211989</v>
      </c>
      <c r="BM240" s="187">
        <f>'Calibración-BAU_Agricultura '!BO319*52.56*0.99</f>
        <v>20882369.66031827</v>
      </c>
      <c r="BN240" s="182"/>
    </row>
    <row r="241" spans="1:66" ht="14.25" hidden="1" customHeight="1" x14ac:dyDescent="0.3">
      <c r="A241" s="1199"/>
      <c r="B241" s="944"/>
      <c r="C241" s="183"/>
      <c r="D241" s="185" t="s">
        <v>784</v>
      </c>
      <c r="E241" s="187">
        <f>'Calibración-BAU_Agricultura '!G320*40.08*0.99</f>
        <v>64621392.751871988</v>
      </c>
      <c r="F241" s="187">
        <f>'Calibración-BAU_Agricultura '!H320*40.08*0.99</f>
        <v>65917477.315007992</v>
      </c>
      <c r="G241" s="187">
        <f>'Calibración-BAU_Agricultura '!I320*40.08*0.99</f>
        <v>64400155.023599997</v>
      </c>
      <c r="H241" s="187">
        <f>'Calibración-BAU_Agricultura '!J320*40.08*0.99</f>
        <v>63152534.635343999</v>
      </c>
      <c r="I241" s="187">
        <f>'Calibración-BAU_Agricultura '!K320*40.08*0.99</f>
        <v>56639416.952447996</v>
      </c>
      <c r="J241" s="187">
        <f>'Calibración-BAU_Agricultura '!L320*40.08*0.99</f>
        <v>50619391.497575998</v>
      </c>
      <c r="K241" s="187">
        <f>'Calibración-BAU_Agricultura '!M320*40.08*0.99</f>
        <v>50768203.575671993</v>
      </c>
      <c r="L241" s="187">
        <f>'Calibración-BAU_Agricultura '!N320*40.08*0.99</f>
        <v>51546828.517271996</v>
      </c>
      <c r="M241" s="187">
        <f>'Calibración-BAU_Agricultura '!O320*40.08*0.99</f>
        <v>49900830.151391998</v>
      </c>
      <c r="N241" s="187">
        <f>'Calibración-BAU_Agricultura '!P320*40.08*0.99</f>
        <v>52969178.246687993</v>
      </c>
      <c r="O241" s="187">
        <f>'Calibración-BAU_Agricultura '!Q320*40.08*0.99</f>
        <v>53334258.630047999</v>
      </c>
      <c r="P241" s="187">
        <f>'Calibración-BAU_Agricultura '!R320*40.08*0.99</f>
        <v>50025483.945359997</v>
      </c>
      <c r="Q241" s="187">
        <f>'Calibración-BAU_Agricultura '!S320*40.08*0.99</f>
        <v>50697989.442361765</v>
      </c>
      <c r="R241" s="187">
        <f>'Calibración-BAU_Agricultura '!T320*40.08*0.99</f>
        <v>51364760.035906792</v>
      </c>
      <c r="S241" s="187">
        <f>'Calibración-BAU_Agricultura '!U320*40.08*0.99</f>
        <v>52025398.369047955</v>
      </c>
      <c r="T241" s="187">
        <f>'Calibración-BAU_Agricultura '!V320*40.08*0.99</f>
        <v>52679780.443872683</v>
      </c>
      <c r="U241" s="187">
        <f>'Calibración-BAU_Agricultura '!W320*40.08*0.99</f>
        <v>53327173.545443013</v>
      </c>
      <c r="V241" s="187">
        <f>'Calibración-BAU_Agricultura '!X320*40.08*0.99</f>
        <v>53967332.49606815</v>
      </c>
      <c r="W241" s="187">
        <f>'Calibración-BAU_Agricultura '!Y320*40.08*0.99</f>
        <v>54599797.93984469</v>
      </c>
      <c r="X241" s="187">
        <f>'Calibración-BAU_Agricultura '!Z320*40.08*0.99</f>
        <v>55224479.696472585</v>
      </c>
      <c r="Y241" s="187">
        <f>'Calibración-BAU_Agricultura '!AA320*40.08*0.99</f>
        <v>55840676.050491996</v>
      </c>
      <c r="Z241" s="187">
        <f>'Calibración-BAU_Agricultura '!AB320*40.08*0.99</f>
        <v>56448057.280180864</v>
      </c>
      <c r="AA241" s="187">
        <f>'Calibración-BAU_Agricultura '!AC320*40.08*0.99</f>
        <v>57046197.847248271</v>
      </c>
      <c r="AB241" s="187">
        <f>'Calibración-BAU_Agricultura '!AD320*40.08*0.99</f>
        <v>57634604.578178301</v>
      </c>
      <c r="AC241" s="187">
        <f>'Calibración-BAU_Agricultura '!AE320*40.08*0.99</f>
        <v>58213035.113414563</v>
      </c>
      <c r="AD241" s="187">
        <f>'Calibración-BAU_Agricultura '!AF320*40.08*0.99</f>
        <v>58781066.732800521</v>
      </c>
      <c r="AE241" s="187">
        <f>'Calibración-BAU_Agricultura '!AG320*40.08*0.99</f>
        <v>59338451.440511025</v>
      </c>
      <c r="AF241" s="187">
        <f>'Calibración-BAU_Agricultura '!AH320*40.08*0.99</f>
        <v>59884712.971836388</v>
      </c>
      <c r="AG241" s="187">
        <f>'Calibración-BAU_Agricultura '!AI320*40.08*0.99</f>
        <v>60419662.511773385</v>
      </c>
      <c r="AH241" s="187">
        <f>'Calibración-BAU_Agricultura '!AJ320*40.08*0.99</f>
        <v>60942947.793524899</v>
      </c>
      <c r="AI241" s="187">
        <f>'Calibración-BAU_Agricultura '!AK320*40.08*0.99</f>
        <v>61454323.639400162</v>
      </c>
      <c r="AJ241" s="187">
        <f>'Calibración-BAU_Agricultura '!AL320*40.08*0.99</f>
        <v>61953725.232308507</v>
      </c>
      <c r="AK241" s="187">
        <f>'Calibración-BAU_Agricultura '!AM320*40.08*0.99</f>
        <v>62440980.666052945</v>
      </c>
      <c r="AL241" s="187">
        <f>'Calibración-BAU_Agricultura '!AN320*40.08*0.99</f>
        <v>62915788.400255166</v>
      </c>
      <c r="AM241" s="187">
        <f>'Calibración-BAU_Agricultura '!AO320*40.08*0.99</f>
        <v>63378086.435958877</v>
      </c>
      <c r="AN241" s="187">
        <f>'Calibración-BAU_Agricultura '!AP320*40.08*0.99</f>
        <v>63827573.232785776</v>
      </c>
      <c r="AO241" s="187">
        <f>'Calibración-BAU_Agricultura '!AQ320*40.08*0.99</f>
        <v>64264172.701107688</v>
      </c>
      <c r="AP241" s="187">
        <f>'Calibración-BAU_Agricultura '!AR320*40.08*0.99</f>
        <v>64687955.294284023</v>
      </c>
      <c r="AQ241" s="187">
        <f>'Calibración-BAU_Agricultura '!AS320*40.08*0.99</f>
        <v>65098557.472980179</v>
      </c>
      <c r="AR241" s="187">
        <f>'Calibración-BAU_Agricultura '!AT320*40.08*0.99</f>
        <v>65496089.144436844</v>
      </c>
      <c r="AS241" s="187">
        <f>'Calibración-BAU_Agricultura '!AU320*40.08*0.99</f>
        <v>65880688.397238493</v>
      </c>
      <c r="AT241" s="187">
        <f>'Calibración-BAU_Agricultura '!AV320*40.08*0.99</f>
        <v>66252095.867468983</v>
      </c>
      <c r="AU241" s="187">
        <f>'Calibración-BAU_Agricultura '!AW320*40.08*0.99</f>
        <v>66610059.888495736</v>
      </c>
      <c r="AV241" s="187">
        <f>'Calibración-BAU_Agricultura '!AX320*40.08*0.99</f>
        <v>66954336.774055228</v>
      </c>
      <c r="AW241" s="187">
        <f>'Calibración-BAU_Agricultura '!AY320*40.08*0.99</f>
        <v>67284691.093709365</v>
      </c>
      <c r="AX241" s="187">
        <f>'Calibración-BAU_Agricultura '!AZ320*40.08*0.99</f>
        <v>67600895.940238714</v>
      </c>
      <c r="AY241" s="187">
        <f>'Calibración-BAU_Agricultura '!BA320*40.08*0.99</f>
        <v>67902733.188549012</v>
      </c>
      <c r="AZ241" s="187">
        <f>'Calibración-BAU_Agricultura '!BB320*40.08*0.99</f>
        <v>68189993.745678723</v>
      </c>
      <c r="BA241" s="187">
        <f>'Calibración-BAU_Agricultura '!BC320*40.08*0.99</f>
        <v>68462477.791507736</v>
      </c>
      <c r="BB241" s="187">
        <f>'Calibración-BAU_Agricultura '!BD320*40.08*0.99</f>
        <v>68719995.009780601</v>
      </c>
      <c r="BC241" s="187">
        <f>'Calibración-BAU_Agricultura '!BE320*40.08*0.99</f>
        <v>68962364.809071183</v>
      </c>
      <c r="BD241" s="187">
        <f>'Calibración-BAU_Agricultura '!BF320*40.08*0.99</f>
        <v>69189416.533330932</v>
      </c>
      <c r="BE241" s="187">
        <f>'Calibración-BAU_Agricultura '!BG320*40.08*0.99</f>
        <v>69400989.66167751</v>
      </c>
      <c r="BF241" s="187">
        <f>'Calibración-BAU_Agricultura '!BH320*40.08*0.99</f>
        <v>69596933.997097567</v>
      </c>
      <c r="BG241" s="187">
        <f>'Calibración-BAU_Agricultura '!BI320*40.08*0.99</f>
        <v>69777109.843753606</v>
      </c>
      <c r="BH241" s="187">
        <f>'Calibración-BAU_Agricultura '!BJ320*40.08*0.99</f>
        <v>69941388.172602594</v>
      </c>
      <c r="BI241" s="187">
        <f>'Calibración-BAU_Agricultura '!BK320*40.08*0.99</f>
        <v>70089650.775052175</v>
      </c>
      <c r="BJ241" s="187">
        <f>'Calibración-BAU_Agricultura '!BL320*40.08*0.99</f>
        <v>70221790.404398724</v>
      </c>
      <c r="BK241" s="187">
        <f>'Calibración-BAU_Agricultura '!BM320*40.08*0.99</f>
        <v>70337710.90481104</v>
      </c>
      <c r="BL241" s="187">
        <f>'Calibración-BAU_Agricultura '!BN320*40.08*0.99</f>
        <v>70437327.327642858</v>
      </c>
      <c r="BM241" s="187">
        <f>'Calibración-BAU_Agricultura '!BO320*40.08*0.99</f>
        <v>70520566.034877807</v>
      </c>
      <c r="BN241" s="182"/>
    </row>
    <row r="242" spans="1:66" ht="14.25" hidden="1" customHeight="1" x14ac:dyDescent="0.3">
      <c r="A242" s="1199"/>
      <c r="B242" s="944"/>
      <c r="C242" s="183"/>
      <c r="D242" s="185" t="s">
        <v>785</v>
      </c>
      <c r="E242" s="187">
        <f>'Calibración-BAU_Agricultura '!G321*40.08*0.99</f>
        <v>77128759.090943992</v>
      </c>
      <c r="F242" s="187">
        <f>'Calibración-BAU_Agricultura '!H321*40.08*0.99</f>
        <v>78675698.730815992</v>
      </c>
      <c r="G242" s="187">
        <f>'Calibración-BAU_Agricultura '!I321*40.08*0.99</f>
        <v>76864701.157199994</v>
      </c>
      <c r="H242" s="187">
        <f>'Calibración-BAU_Agricultura '!J321*40.08*0.99</f>
        <v>75375605.855087996</v>
      </c>
      <c r="I242" s="187">
        <f>'Calibración-BAU_Agricultura '!K321*40.08*0.99</f>
        <v>67601884.749696001</v>
      </c>
      <c r="J242" s="187">
        <f>'Calibración-BAU_Agricultura '!L321*40.08*0.99</f>
        <v>60416693.077752002</v>
      </c>
      <c r="K242" s="187">
        <f>'Calibración-BAU_Agricultura '!M321*40.08*0.99</f>
        <v>60594307.493543997</v>
      </c>
      <c r="L242" s="187">
        <f>'Calibración-BAU_Agricultura '!N321*40.08*0.99</f>
        <v>61523634.036743999</v>
      </c>
      <c r="M242" s="187">
        <f>'Calibración-BAU_Agricultura '!O321*40.08*0.99</f>
        <v>59559055.341983996</v>
      </c>
      <c r="N242" s="187">
        <f>'Calibración-BAU_Agricultura '!P321*40.08*0.99</f>
        <v>63221277.262176</v>
      </c>
      <c r="O242" s="187">
        <f>'Calibración-BAU_Agricultura '!Q321*40.08*0.99</f>
        <v>63657018.364895999</v>
      </c>
      <c r="P242" s="187">
        <f>'Calibración-BAU_Agricultura '!R321*40.08*0.99</f>
        <v>59707835.676720001</v>
      </c>
      <c r="Q242" s="187">
        <f>'Calibración-BAU_Agricultura '!S321*40.08*0.99</f>
        <v>60510503.527980171</v>
      </c>
      <c r="R242" s="187">
        <f>'Calibración-BAU_Agricultura '!T321*40.08*0.99</f>
        <v>61306326.494469397</v>
      </c>
      <c r="S242" s="187">
        <f>'Calibración-BAU_Agricultura '!U321*40.08*0.99</f>
        <v>62094830.311444342</v>
      </c>
      <c r="T242" s="187">
        <f>'Calibración-BAU_Agricultura '!V321*40.08*0.99</f>
        <v>62875866.981396437</v>
      </c>
      <c r="U242" s="187">
        <f>'Calibración-BAU_Agricultura '!W321*40.08*0.99</f>
        <v>63648561.973593265</v>
      </c>
      <c r="V242" s="187">
        <f>'Calibración-BAU_Agricultura '!X321*40.08*0.99</f>
        <v>64412622.656597458</v>
      </c>
      <c r="W242" s="187">
        <f>'Calibración-BAU_Agricultura '!Y321*40.08*0.99</f>
        <v>65167500.766911395</v>
      </c>
      <c r="X242" s="187">
        <f>'Calibración-BAU_Agricultura '!Z321*40.08*0.99</f>
        <v>65913088.669983394</v>
      </c>
      <c r="Y242" s="187">
        <f>'Calibración-BAU_Agricultura '!AA321*40.08*0.99</f>
        <v>66648548.83445818</v>
      </c>
      <c r="Z242" s="187">
        <f>'Calibración-BAU_Agricultura '!AB321*40.08*0.99</f>
        <v>67373487.721506178</v>
      </c>
      <c r="AA242" s="187">
        <f>'Calibración-BAU_Agricultura '!AC321*40.08*0.99</f>
        <v>68087397.430586636</v>
      </c>
      <c r="AB242" s="187">
        <f>'Calibración-BAU_Agricultura '!AD321*40.08*0.99</f>
        <v>68789689.335245073</v>
      </c>
      <c r="AC242" s="187">
        <f>'Calibración-BAU_Agricultura '!AE321*40.08*0.99</f>
        <v>69480074.167623818</v>
      </c>
      <c r="AD242" s="187">
        <f>'Calibración-BAU_Agricultura '!AF321*40.08*0.99</f>
        <v>70158047.390761897</v>
      </c>
      <c r="AE242" s="187">
        <f>'Calibración-BAU_Agricultura '!AG321*40.08*0.99</f>
        <v>70823313.009642169</v>
      </c>
      <c r="AF242" s="187">
        <f>'Calibración-BAU_Agricultura '!AH321*40.08*0.99</f>
        <v>71475302.579288587</v>
      </c>
      <c r="AG242" s="187">
        <f>'Calibración-BAU_Agricultura '!AI321*40.08*0.99</f>
        <v>72113790.739858538</v>
      </c>
      <c r="AH242" s="187">
        <f>'Calibración-BAU_Agricultura '!AJ321*40.08*0.99</f>
        <v>72738357.043884546</v>
      </c>
      <c r="AI242" s="187">
        <f>'Calibración-BAU_Agricultura '!AK321*40.08*0.99</f>
        <v>73348708.859929204</v>
      </c>
      <c r="AJ242" s="187">
        <f>'Calibración-BAU_Agricultura '!AL321*40.08*0.99</f>
        <v>73944768.825658515</v>
      </c>
      <c r="AK242" s="187">
        <f>'Calibración-BAU_Agricultura '!AM321*40.08*0.99</f>
        <v>74526331.762708321</v>
      </c>
      <c r="AL242" s="187">
        <f>'Calibración-BAU_Agricultura '!AN321*40.08*0.99</f>
        <v>75093037.768046468</v>
      </c>
      <c r="AM242" s="187">
        <f>'Calibración-BAU_Agricultura '!AO321*40.08*0.99</f>
        <v>75644812.842918649</v>
      </c>
      <c r="AN242" s="187">
        <f>'Calibración-BAU_Agricultura '!AP321*40.08*0.99</f>
        <v>76181297.08429268</v>
      </c>
      <c r="AO242" s="187">
        <f>'Calibración-BAU_Agricultura '!AQ321*40.08*0.99</f>
        <v>76702399.675515607</v>
      </c>
      <c r="AP242" s="187">
        <f>'Calibración-BAU_Agricultura '!AR321*40.08*0.99</f>
        <v>77208204.706080914</v>
      </c>
      <c r="AQ242" s="187">
        <f>'Calibración-BAU_Agricultura '!AS321*40.08*0.99</f>
        <v>77698278.274202123</v>
      </c>
      <c r="AR242" s="187">
        <f>'Calibración-BAU_Agricultura '!AT321*40.08*0.99</f>
        <v>78172751.559489116</v>
      </c>
      <c r="AS242" s="187">
        <f>'Calibración-BAU_Agricultura '!AU321*40.08*0.99</f>
        <v>78631789.377349153</v>
      </c>
      <c r="AT242" s="187">
        <f>'Calibración-BAU_Agricultura '!AV321*40.08*0.99</f>
        <v>79075082.164398447</v>
      </c>
      <c r="AU242" s="187">
        <f>'Calibración-BAU_Agricultura '!AW321*40.08*0.99</f>
        <v>79502329.544333607</v>
      </c>
      <c r="AV242" s="187">
        <f>'Calibración-BAU_Agricultura '!AX321*40.08*0.99</f>
        <v>79913240.665807843</v>
      </c>
      <c r="AW242" s="187">
        <f>'Calibración-BAU_Agricultura '!AY321*40.08*0.99</f>
        <v>80307534.531201482</v>
      </c>
      <c r="AX242" s="187">
        <f>'Calibración-BAU_Agricultura '!AZ321*40.08*0.99</f>
        <v>80684940.315768763</v>
      </c>
      <c r="AY242" s="187">
        <f>'Calibración-BAU_Agricultura '!BA321*40.08*0.99</f>
        <v>81045197.676655263</v>
      </c>
      <c r="AZ242" s="187">
        <f>'Calibración-BAU_Agricultura '!BB321*40.08*0.99</f>
        <v>81388057.051293939</v>
      </c>
      <c r="BA242" s="187">
        <f>'Calibración-BAU_Agricultura '!BC321*40.08*0.99</f>
        <v>81713279.944702759</v>
      </c>
      <c r="BB242" s="187">
        <f>'Calibración-BAU_Agricultura '!BD321*40.08*0.99</f>
        <v>82020639.205221981</v>
      </c>
      <c r="BC242" s="187">
        <f>'Calibración-BAU_Agricultura '!BE321*40.08*0.99</f>
        <v>82309919.288246229</v>
      </c>
      <c r="BD242" s="187">
        <f>'Calibración-BAU_Agricultura '!BF321*40.08*0.99</f>
        <v>82580916.507523984</v>
      </c>
      <c r="BE242" s="187">
        <f>'Calibración-BAU_Agricultura '!BG321*40.08*0.99</f>
        <v>82833439.273615062</v>
      </c>
      <c r="BF242" s="187">
        <f>'Calibración-BAU_Agricultura '!BH321*40.08*0.99</f>
        <v>83067308.319116428</v>
      </c>
      <c r="BG242" s="187">
        <f>'Calibración-BAU_Agricultura '!BI321*40.08*0.99</f>
        <v>83282356.910286546</v>
      </c>
      <c r="BH242" s="187">
        <f>'Calibración-BAU_Agricultura '!BJ321*40.08*0.99</f>
        <v>83478431.044719219</v>
      </c>
      <c r="BI242" s="187">
        <f>'Calibración-BAU_Agricultura '!BK321*40.08*0.99</f>
        <v>83655389.634739667</v>
      </c>
      <c r="BJ242" s="187">
        <f>'Calibración-BAU_Agricultura '!BL321*40.08*0.99</f>
        <v>83813104.676217824</v>
      </c>
      <c r="BK242" s="187">
        <f>'Calibración-BAU_Agricultura '!BM321*40.08*0.99</f>
        <v>83951461.402516395</v>
      </c>
      <c r="BL242" s="187">
        <f>'Calibración-BAU_Agricultura '!BN321*40.08*0.99</f>
        <v>84070358.423315659</v>
      </c>
      <c r="BM242" s="187">
        <f>'Calibración-BAU_Agricultura '!BO321*40.08*0.99</f>
        <v>84169707.84807995</v>
      </c>
      <c r="BN242" s="182"/>
    </row>
    <row r="243" spans="1:66" ht="14.25" hidden="1" customHeight="1" x14ac:dyDescent="0.3">
      <c r="A243" s="1199"/>
      <c r="B243" s="944"/>
      <c r="C243" s="183"/>
      <c r="D243" s="185" t="s">
        <v>786</v>
      </c>
      <c r="E243" s="187">
        <f>'Calibración-BAU_Agricultura '!G334*15.02*0</f>
        <v>0</v>
      </c>
      <c r="F243" s="187">
        <f>'Calibración-BAU_Agricultura '!H334*15.02*0</f>
        <v>0</v>
      </c>
      <c r="G243" s="187">
        <f>'Calibración-BAU_Agricultura '!I334*15.02*0</f>
        <v>0</v>
      </c>
      <c r="H243" s="187">
        <f>'Calibración-BAU_Agricultura '!J334*15.02*0</f>
        <v>0</v>
      </c>
      <c r="I243" s="187">
        <f>'Calibración-BAU_Agricultura '!K334*15.02*0</f>
        <v>0</v>
      </c>
      <c r="J243" s="187">
        <f>'Calibración-BAU_Agricultura '!L334*15.02*0</f>
        <v>0</v>
      </c>
      <c r="K243" s="187">
        <f>'Calibración-BAU_Agricultura '!M334*15.02*0</f>
        <v>0</v>
      </c>
      <c r="L243" s="187">
        <f>'Calibración-BAU_Agricultura '!N334*15.02*0</f>
        <v>0</v>
      </c>
      <c r="M243" s="187">
        <f>'Calibración-BAU_Agricultura '!O334*15.02*0</f>
        <v>0</v>
      </c>
      <c r="N243" s="187">
        <f>'Calibración-BAU_Agricultura '!P334*15.02*0</f>
        <v>0</v>
      </c>
      <c r="O243" s="187">
        <f>'Calibración-BAU_Agricultura '!Q334*15.02*0</f>
        <v>0</v>
      </c>
      <c r="P243" s="187">
        <f>'Calibración-BAU_Agricultura '!R334*15.02*0</f>
        <v>0</v>
      </c>
      <c r="Q243" s="187">
        <f>'Calibración-BAU_Agricultura '!S334*15.02*0</f>
        <v>0</v>
      </c>
      <c r="R243" s="187">
        <f>'Calibración-BAU_Agricultura '!T334*15.02*0</f>
        <v>0</v>
      </c>
      <c r="S243" s="187">
        <f>'Calibración-BAU_Agricultura '!U334*15.02*0</f>
        <v>0</v>
      </c>
      <c r="T243" s="187">
        <f>'Calibración-BAU_Agricultura '!V334*15.02*0</f>
        <v>0</v>
      </c>
      <c r="U243" s="187">
        <f>'Calibración-BAU_Agricultura '!W334*15.02*0</f>
        <v>0</v>
      </c>
      <c r="V243" s="187">
        <f>'Calibración-BAU_Agricultura '!X334*15.02*0</f>
        <v>0</v>
      </c>
      <c r="W243" s="187">
        <f>'Calibración-BAU_Agricultura '!Y334*15.02*0</f>
        <v>0</v>
      </c>
      <c r="X243" s="187">
        <f>'Calibración-BAU_Agricultura '!Z334*15.02*0</f>
        <v>0</v>
      </c>
      <c r="Y243" s="187">
        <f>'Calibración-BAU_Agricultura '!AA334*15.02*0</f>
        <v>0</v>
      </c>
      <c r="Z243" s="187">
        <f>'Calibración-BAU_Agricultura '!AB334*15.02*0</f>
        <v>0</v>
      </c>
      <c r="AA243" s="187">
        <f>'Calibración-BAU_Agricultura '!AC334*15.02*0</f>
        <v>0</v>
      </c>
      <c r="AB243" s="187">
        <f>'Calibración-BAU_Agricultura '!AD334*15.02*0</f>
        <v>0</v>
      </c>
      <c r="AC243" s="187">
        <f>'Calibración-BAU_Agricultura '!AE334*15.02*0</f>
        <v>0</v>
      </c>
      <c r="AD243" s="187">
        <f>'Calibración-BAU_Agricultura '!AF334*15.02*0</f>
        <v>0</v>
      </c>
      <c r="AE243" s="187">
        <f>'Calibración-BAU_Agricultura '!AG334*15.02*0</f>
        <v>0</v>
      </c>
      <c r="AF243" s="187">
        <f>'Calibración-BAU_Agricultura '!AH334*15.02*0</f>
        <v>0</v>
      </c>
      <c r="AG243" s="187">
        <f>'Calibración-BAU_Agricultura '!AI334*15.02*0</f>
        <v>0</v>
      </c>
      <c r="AH243" s="187">
        <f>'Calibración-BAU_Agricultura '!AJ334*15.02*0</f>
        <v>0</v>
      </c>
      <c r="AI243" s="187">
        <f>'Calibración-BAU_Agricultura '!AK334*15.02*0</f>
        <v>0</v>
      </c>
      <c r="AJ243" s="187">
        <f>'Calibración-BAU_Agricultura '!AL334*15.02*0</f>
        <v>0</v>
      </c>
      <c r="AK243" s="187">
        <f>'Calibración-BAU_Agricultura '!AM334*15.02*0</f>
        <v>0</v>
      </c>
      <c r="AL243" s="187">
        <f>'Calibración-BAU_Agricultura '!AN334*15.02*0</f>
        <v>0</v>
      </c>
      <c r="AM243" s="187">
        <f>'Calibración-BAU_Agricultura '!AO334*15.02*0</f>
        <v>0</v>
      </c>
      <c r="AN243" s="187">
        <f>'Calibración-BAU_Agricultura '!AP334*15.02*0</f>
        <v>0</v>
      </c>
      <c r="AO243" s="187">
        <f>'Calibración-BAU_Agricultura '!AQ334*15.02*0</f>
        <v>0</v>
      </c>
      <c r="AP243" s="187">
        <f>'Calibración-BAU_Agricultura '!AR334*15.02*0</f>
        <v>0</v>
      </c>
      <c r="AQ243" s="187">
        <f>'Calibración-BAU_Agricultura '!AS334*15.02*0</f>
        <v>0</v>
      </c>
      <c r="AR243" s="187">
        <f>'Calibración-BAU_Agricultura '!AT334*15.02*0</f>
        <v>0</v>
      </c>
      <c r="AS243" s="187">
        <f>'Calibración-BAU_Agricultura '!AU334*15.02*0</f>
        <v>0</v>
      </c>
      <c r="AT243" s="187">
        <f>'Calibración-BAU_Agricultura '!AV334*15.02*0</f>
        <v>0</v>
      </c>
      <c r="AU243" s="187">
        <f>'Calibración-BAU_Agricultura '!AW334*15.02*0</f>
        <v>0</v>
      </c>
      <c r="AV243" s="187">
        <f>'Calibración-BAU_Agricultura '!AX334*15.02*0</f>
        <v>0</v>
      </c>
      <c r="AW243" s="187">
        <f>'Calibración-BAU_Agricultura '!AY334*15.02*0</f>
        <v>0</v>
      </c>
      <c r="AX243" s="187">
        <f>'Calibración-BAU_Agricultura '!AZ334*15.02*0</f>
        <v>0</v>
      </c>
      <c r="AY243" s="187">
        <f>'Calibración-BAU_Agricultura '!BA334*15.02*0</f>
        <v>0</v>
      </c>
      <c r="AZ243" s="187">
        <f>'Calibración-BAU_Agricultura '!BB334*15.02*0</f>
        <v>0</v>
      </c>
      <c r="BA243" s="187">
        <f>'Calibración-BAU_Agricultura '!BC334*15.02*0</f>
        <v>0</v>
      </c>
      <c r="BB243" s="187">
        <f>'Calibración-BAU_Agricultura '!BD334*15.02*0</f>
        <v>0</v>
      </c>
      <c r="BC243" s="187">
        <f>'Calibración-BAU_Agricultura '!BE334*15.02*0</f>
        <v>0</v>
      </c>
      <c r="BD243" s="187">
        <f>'Calibración-BAU_Agricultura '!BF334*15.02*0</f>
        <v>0</v>
      </c>
      <c r="BE243" s="187">
        <f>'Calibración-BAU_Agricultura '!BG334*15.02*0</f>
        <v>0</v>
      </c>
      <c r="BF243" s="187">
        <f>'Calibración-BAU_Agricultura '!BH334*15.02*0</f>
        <v>0</v>
      </c>
      <c r="BG243" s="187">
        <f>'Calibración-BAU_Agricultura '!BI334*15.02*0</f>
        <v>0</v>
      </c>
      <c r="BH243" s="187">
        <f>'Calibración-BAU_Agricultura '!BJ334*15.02*0</f>
        <v>0</v>
      </c>
      <c r="BI243" s="187">
        <f>'Calibración-BAU_Agricultura '!BK334*15.02*0</f>
        <v>0</v>
      </c>
      <c r="BJ243" s="187">
        <f>'Calibración-BAU_Agricultura '!BL334*15.02*0</f>
        <v>0</v>
      </c>
      <c r="BK243" s="187">
        <f>'Calibración-BAU_Agricultura '!BM334*15.02*0</f>
        <v>0</v>
      </c>
      <c r="BL243" s="187">
        <f>'Calibración-BAU_Agricultura '!BN334*15.02*0</f>
        <v>0</v>
      </c>
      <c r="BM243" s="187">
        <f>'Calibración-BAU_Agricultura '!BO334*15.02*0</f>
        <v>0</v>
      </c>
      <c r="BN243" s="182"/>
    </row>
    <row r="244" spans="1:66" ht="14.25" hidden="1" customHeight="1" x14ac:dyDescent="0.3">
      <c r="A244" s="1199"/>
      <c r="B244" s="944"/>
      <c r="C244" s="183"/>
      <c r="D244" s="185" t="s">
        <v>787</v>
      </c>
      <c r="E244" s="187">
        <f>'Calibración-BAU_Agricultura '!G335*11.96*1</f>
        <v>9478276.0800000001</v>
      </c>
      <c r="F244" s="187">
        <f>'Calibración-BAU_Agricultura '!H335*11.96*1</f>
        <v>8885837.4800000004</v>
      </c>
      <c r="G244" s="187">
        <f>'Calibración-BAU_Agricultura '!I335*11.96*1</f>
        <v>8511890.9607113302</v>
      </c>
      <c r="H244" s="187">
        <f>'Calibración-BAU_Agricultura '!J335*11.96*1</f>
        <v>8844126.0438857954</v>
      </c>
      <c r="I244" s="187">
        <f>'Calibración-BAU_Agricultura '!K335*11.96*1</f>
        <v>8065763.8885975014</v>
      </c>
      <c r="J244" s="187">
        <f>'Calibración-BAU_Agricultura '!L335*11.96*1</f>
        <v>6060087.2838569712</v>
      </c>
      <c r="K244" s="187">
        <f>'Calibración-BAU_Agricultura '!M335*11.96*1</f>
        <v>5722688.3361706818</v>
      </c>
      <c r="L244" s="187">
        <f>'Calibración-BAU_Agricultura '!N335*11.96*1</f>
        <v>4665831.2178503638</v>
      </c>
      <c r="M244" s="187">
        <f>'Calibración-BAU_Agricultura '!O335*11.96*1</f>
        <v>4256523.3155593136</v>
      </c>
      <c r="N244" s="187">
        <f>'Calibración-BAU_Agricultura '!P335*11.96*1</f>
        <v>5557144.2725897301</v>
      </c>
      <c r="O244" s="187">
        <f>'Calibración-BAU_Agricultura '!Q335*11.96*1</f>
        <v>5938559.0202006558</v>
      </c>
      <c r="P244" s="187">
        <f>'Calibración-BAU_Agricultura '!R335*11.96*1</f>
        <v>6324777.6076960713</v>
      </c>
      <c r="Q244" s="187">
        <f>'Calibración-BAU_Agricultura '!S335*11.96*1</f>
        <v>6409803.2261015838</v>
      </c>
      <c r="R244" s="187">
        <f>'Calibración-BAU_Agricultura '!T335*11.96*1</f>
        <v>6494103.7742807884</v>
      </c>
      <c r="S244" s="187">
        <f>'Calibración-BAU_Agricultura '!U335*11.96*1</f>
        <v>6577629.0139526473</v>
      </c>
      <c r="T244" s="187">
        <f>'Calibración-BAU_Agricultura '!V335*11.96*1</f>
        <v>6660363.2679230785</v>
      </c>
      <c r="U244" s="187">
        <f>'Calibración-BAU_Agricultura '!W335*11.96*1</f>
        <v>6742213.89822705</v>
      </c>
      <c r="V244" s="187">
        <f>'Calibración-BAU_Agricultura '!X335*11.96*1</f>
        <v>6823149.9067762615</v>
      </c>
      <c r="W244" s="187">
        <f>'Calibración-BAU_Agricultura '!Y335*11.96*1</f>
        <v>6903113.2166926349</v>
      </c>
      <c r="X244" s="187">
        <f>'Calibración-BAU_Agricultura '!Z335*11.96*1</f>
        <v>6982092.426380476</v>
      </c>
      <c r="Y244" s="187">
        <f>'Calibración-BAU_Agricultura '!AA335*11.96*1</f>
        <v>7059998.8171732724</v>
      </c>
      <c r="Z244" s="187">
        <f>'Calibración-BAU_Agricultura '!AB335*11.96*1</f>
        <v>7136790.701986759</v>
      </c>
      <c r="AA244" s="187">
        <f>'Calibración-BAU_Agricultura '!AC335*11.96*1</f>
        <v>7212414.2795412457</v>
      </c>
      <c r="AB244" s="187">
        <f>'Calibración-BAU_Agricultura '!AD335*11.96*1</f>
        <v>7286807.197360266</v>
      </c>
      <c r="AC244" s="187">
        <f>'Calibración-BAU_Agricultura '!AE335*11.96*1</f>
        <v>7359938.8136553895</v>
      </c>
      <c r="AD244" s="187">
        <f>'Calibración-BAU_Agricultura '!AF335*11.96*1</f>
        <v>7431755.6834467873</v>
      </c>
      <c r="AE244" s="187">
        <f>'Calibración-BAU_Agricultura '!AG335*11.96*1</f>
        <v>7502226.452346297</v>
      </c>
      <c r="AF244" s="187">
        <f>'Calibración-BAU_Agricultura '!AH335*11.96*1</f>
        <v>7571290.9056766462</v>
      </c>
      <c r="AG244" s="187">
        <f>'Calibración-BAU_Agricultura '!AI335*11.96*1</f>
        <v>7638925.171346846</v>
      </c>
      <c r="AH244" s="187">
        <f>'Calibración-BAU_Agricultura '!AJ335*11.96*1</f>
        <v>7705084.7118737083</v>
      </c>
      <c r="AI244" s="187">
        <f>'Calibración-BAU_Agricultura '!AK335*11.96*1</f>
        <v>7769738.5291689318</v>
      </c>
      <c r="AJ244" s="187">
        <f>'Calibración-BAU_Agricultura '!AL335*11.96*1</f>
        <v>7832878.4283356126</v>
      </c>
      <c r="AK244" s="187">
        <f>'Calibración-BAU_Agricultura '!AM335*11.96*1</f>
        <v>7894482.6750819534</v>
      </c>
      <c r="AL244" s="187">
        <f>'Calibración-BAU_Agricultura '!AN335*11.96*1</f>
        <v>7954513.1453223452</v>
      </c>
      <c r="AM244" s="187">
        <f>'Calibración-BAU_Agricultura '!AO335*11.96*1</f>
        <v>8012962.0004597474</v>
      </c>
      <c r="AN244" s="187">
        <f>'Calibración-BAU_Agricultura '!AP335*11.96*1</f>
        <v>8069791.1164085492</v>
      </c>
      <c r="AO244" s="187">
        <f>'Calibración-BAU_Agricultura '!AQ335*11.96*1</f>
        <v>8124990.8730723839</v>
      </c>
      <c r="AP244" s="187">
        <f>'Calibración-BAU_Agricultura '!AR335*11.96*1</f>
        <v>8178570.1779478872</v>
      </c>
      <c r="AQ244" s="187">
        <f>'Calibración-BAU_Agricultura '!AS335*11.96*1</f>
        <v>8230483.0683524096</v>
      </c>
      <c r="AR244" s="187">
        <f>'Calibración-BAU_Agricultura '!AT335*11.96*1</f>
        <v>8280743.4399807043</v>
      </c>
      <c r="AS244" s="187">
        <f>'Calibración-BAU_Agricultura '!AU335*11.96*1</f>
        <v>8329368.7515261844</v>
      </c>
      <c r="AT244" s="187">
        <f>'Calibración-BAU_Agricultura '!AV335*11.96*1</f>
        <v>8376326.2113202885</v>
      </c>
      <c r="AU244" s="187">
        <f>'Calibración-BAU_Agricultura '!AW335*11.96*1</f>
        <v>8421584.0008705854</v>
      </c>
      <c r="AV244" s="187">
        <f>'Calibración-BAU_Agricultura '!AX335*11.96*1</f>
        <v>8465111.3106515836</v>
      </c>
      <c r="AW244" s="187">
        <f>'Calibración-BAU_Agricultura '!AY335*11.96*1</f>
        <v>8506878.3749309871</v>
      </c>
      <c r="AX244" s="187">
        <f>'Calibración-BAU_Agricultura '!AZ335*11.96*1</f>
        <v>8546856.505576523</v>
      </c>
      <c r="AY244" s="187">
        <f>'Calibración-BAU_Agricultura '!BA335*11.96*1</f>
        <v>8585018.1247897763</v>
      </c>
      <c r="AZ244" s="187">
        <f>'Calibración-BAU_Agricultura '!BB335*11.96*1</f>
        <v>8621336.7967149243</v>
      </c>
      <c r="BA244" s="187">
        <f>'Calibración-BAU_Agricultura '!BC335*11.96*1</f>
        <v>8655787.2578718066</v>
      </c>
      <c r="BB244" s="187">
        <f>'Calibración-BAU_Agricultura '!BD335*11.96*1</f>
        <v>8688345.4463644419</v>
      </c>
      <c r="BC244" s="187">
        <f>'Calibración-BAU_Agricultura '!BE335*11.96*1</f>
        <v>8718988.5298178531</v>
      </c>
      <c r="BD244" s="187">
        <f>'Calibración-BAU_Agricultura '!BF335*11.96*1</f>
        <v>8747694.9319978952</v>
      </c>
      <c r="BE244" s="187">
        <f>'Calibración-BAU_Agricultura '!BG335*11.96*1</f>
        <v>8774444.3580707777</v>
      </c>
      <c r="BF244" s="187">
        <f>'Calibración-BAU_Agricultura '!BH335*11.96*1</f>
        <v>8799217.8184609525</v>
      </c>
      <c r="BG244" s="187">
        <f>'Calibración-BAU_Agricultura '!BI335*11.96*1</f>
        <v>8821997.6512682177</v>
      </c>
      <c r="BH244" s="187">
        <f>'Calibración-BAU_Agricultura '!BJ335*11.96*1</f>
        <v>8842767.543207068</v>
      </c>
      <c r="BI244" s="187">
        <f>'Calibración-BAU_Agricultura '!BK335*11.96*1</f>
        <v>8861512.5490336195</v>
      </c>
      <c r="BJ244" s="187">
        <f>'Calibración-BAU_Agricultura '!BL335*11.96*1</f>
        <v>8878219.1094277818</v>
      </c>
      <c r="BK244" s="187">
        <f>'Calibración-BAU_Agricultura '!BM335*11.96*1</f>
        <v>8892875.067300804</v>
      </c>
      <c r="BL244" s="187">
        <f>'Calibración-BAU_Agricultura '!BN335*11.96*1</f>
        <v>8905469.6825008001</v>
      </c>
      <c r="BM244" s="187">
        <f>'Calibración-BAU_Agricultura '!BO335*11.96*1</f>
        <v>8915993.6448914129</v>
      </c>
      <c r="BN244" s="182"/>
    </row>
    <row r="245" spans="1:66" ht="14.25" hidden="1" customHeight="1" x14ac:dyDescent="0.3">
      <c r="A245" s="1199"/>
      <c r="B245" s="944"/>
      <c r="C245" s="183"/>
      <c r="D245" s="185" t="s">
        <v>788</v>
      </c>
      <c r="E245" s="187">
        <f>'Calibración-BAU_Agricultura '!G336*35.21*0.99</f>
        <v>26717848.334100001</v>
      </c>
      <c r="F245" s="187">
        <f>'Calibración-BAU_Agricultura '!H336*35.21*0.99</f>
        <v>6149874.7232999997</v>
      </c>
      <c r="G245" s="187">
        <f>'Calibración-BAU_Agricultura '!I336*35.21*0.99</f>
        <v>23925695.6862</v>
      </c>
      <c r="H245" s="187">
        <f>'Calibración-BAU_Agricultura '!J336*35.21*0.99</f>
        <v>22241884.826700002</v>
      </c>
      <c r="I245" s="187">
        <f>'Calibración-BAU_Agricultura '!K336*35.21*0.99</f>
        <v>17142418.061999999</v>
      </c>
      <c r="J245" s="187">
        <f>'Calibración-BAU_Agricultura '!L336*35.21*0.99</f>
        <v>13861104.5034</v>
      </c>
      <c r="K245" s="187">
        <f>'Calibración-BAU_Agricultura '!M336*35.21*0.99</f>
        <v>13411960.4619</v>
      </c>
      <c r="L245" s="187">
        <f>'Calibración-BAU_Agricultura '!N336*35.21*0.99</f>
        <v>13225505.5548</v>
      </c>
      <c r="M245" s="187">
        <f>'Calibración-BAU_Agricultura '!O336*35.21*0.99</f>
        <v>11687644.7226</v>
      </c>
      <c r="N245" s="187">
        <f>'Calibración-BAU_Agricultura '!P336*35.21*0.99</f>
        <v>12877867.7181</v>
      </c>
      <c r="O245" s="187">
        <f>'Calibración-BAU_Agricultura '!Q336*35.21*0.99</f>
        <v>9955590.5295000002</v>
      </c>
      <c r="P245" s="187">
        <f>'Calibración-BAU_Agricultura '!R336*35.21*0.99</f>
        <v>12762139.4901</v>
      </c>
      <c r="Q245" s="187">
        <f>'Calibración-BAU_Agricultura '!S336*35.21*0.99</f>
        <v>12933704.226384606</v>
      </c>
      <c r="R245" s="187">
        <f>'Calibración-BAU_Agricultura '!T336*35.21*0.99</f>
        <v>13103805.915595906</v>
      </c>
      <c r="S245" s="187">
        <f>'Calibración-BAU_Agricultura '!U336*35.21*0.99</f>
        <v>13272343.186904736</v>
      </c>
      <c r="T245" s="187">
        <f>'Calibración-BAU_Agricultura '!V336*35.21*0.99</f>
        <v>13439284.406860866</v>
      </c>
      <c r="U245" s="187">
        <f>'Calibración-BAU_Agricultura '!W336*35.21*0.99</f>
        <v>13604442.650531096</v>
      </c>
      <c r="V245" s="187">
        <f>'Calibración-BAU_Agricultura '!X336*35.21*0.99</f>
        <v>13767755.369957007</v>
      </c>
      <c r="W245" s="187">
        <f>'Calibración-BAU_Agricultura '!Y336*35.21*0.99</f>
        <v>13929105.377584325</v>
      </c>
      <c r="X245" s="187">
        <f>'Calibración-BAU_Agricultura '!Z336*35.21*0.99</f>
        <v>14088469.667267431</v>
      </c>
      <c r="Y245" s="187">
        <f>'Calibración-BAU_Agricultura '!AA336*35.21*0.99</f>
        <v>14245669.222435677</v>
      </c>
      <c r="Z245" s="187">
        <f>'Calibración-BAU_Agricultura '!AB336*35.21*0.99</f>
        <v>14400619.926869126</v>
      </c>
      <c r="AA245" s="187">
        <f>'Calibración-BAU_Agricultura '!AC336*35.21*0.99</f>
        <v>14553213.220318113</v>
      </c>
      <c r="AB245" s="187">
        <f>'Calibración-BAU_Agricultura '!AD336*35.21*0.99</f>
        <v>14703323.287923751</v>
      </c>
      <c r="AC245" s="187">
        <f>'Calibración-BAU_Agricultura '!AE336*35.21*0.99</f>
        <v>14850888.300669681</v>
      </c>
      <c r="AD245" s="187">
        <f>'Calibración-BAU_Agricultura '!AF336*35.21*0.99</f>
        <v>14995800.417248283</v>
      </c>
      <c r="AE245" s="187">
        <f>'Calibración-BAU_Agricultura '!AG336*35.21*0.99</f>
        <v>15137996.370759089</v>
      </c>
      <c r="AF245" s="187">
        <f>'Calibración-BAU_Agricultura '!AH336*35.21*0.99</f>
        <v>15277354.65999552</v>
      </c>
      <c r="AG245" s="187">
        <f>'Calibración-BAU_Agricultura '!AI336*35.21*0.99</f>
        <v>15413827.115840178</v>
      </c>
      <c r="AH245" s="187">
        <f>'Calibración-BAU_Agricultura '!AJ336*35.21*0.99</f>
        <v>15547323.870536713</v>
      </c>
      <c r="AI245" s="187">
        <f>'Calibración-BAU_Agricultura '!AK336*35.21*0.99</f>
        <v>15677782.376126707</v>
      </c>
      <c r="AJ245" s="187">
        <f>'Calibración-BAU_Agricultura '!AL336*35.21*0.99</f>
        <v>15805186.096942997</v>
      </c>
      <c r="AK245" s="187">
        <f>'Calibración-BAU_Agricultura '!AM336*35.21*0.99</f>
        <v>15929491.177520482</v>
      </c>
      <c r="AL245" s="187">
        <f>'Calibración-BAU_Agricultura '!AN336*35.21*0.99</f>
        <v>16050620.691059733</v>
      </c>
      <c r="AM245" s="187">
        <f>'Calibración-BAU_Agricultura '!AO336*35.21*0.99</f>
        <v>16168558.820835631</v>
      </c>
      <c r="AN245" s="187">
        <f>'Calibración-BAU_Agricultura '!AP336*35.21*0.99</f>
        <v>16283228.640048748</v>
      </c>
      <c r="AO245" s="187">
        <f>'Calibración-BAU_Agricultura '!AQ336*35.21*0.99</f>
        <v>16394610.737263713</v>
      </c>
      <c r="AP245" s="187">
        <f>'Calibración-BAU_Agricultura '!AR336*35.21*0.99</f>
        <v>16502723.086031793</v>
      </c>
      <c r="AQ245" s="187">
        <f>'Calibración-BAU_Agricultura '!AS336*35.21*0.99</f>
        <v>16607472.942828437</v>
      </c>
      <c r="AR245" s="187">
        <f>'Calibración-BAU_Agricultura '!AT336*35.21*0.99</f>
        <v>16708888.346393626</v>
      </c>
      <c r="AS245" s="187">
        <f>'Calibración-BAU_Agricultura '!AU336*35.21*0.99</f>
        <v>16807004.524887852</v>
      </c>
      <c r="AT245" s="187">
        <f>'Calibración-BAU_Agricultura '!AV336*35.21*0.99</f>
        <v>16901755.311265528</v>
      </c>
      <c r="AU245" s="187">
        <f>'Calibración-BAU_Agricultura '!AW336*35.21*0.99</f>
        <v>16993076.502156366</v>
      </c>
      <c r="AV245" s="187">
        <f>'Calibración-BAU_Agricultura '!AX336*35.21*0.99</f>
        <v>17080905.930084068</v>
      </c>
      <c r="AW245" s="187">
        <f>'Calibración-BAU_Agricultura '!AY336*35.21*0.99</f>
        <v>17165183.533738796</v>
      </c>
      <c r="AX245" s="187">
        <f>'Calibración-BAU_Agricultura '!AZ336*35.21*0.99</f>
        <v>17245851.426192589</v>
      </c>
      <c r="AY245" s="187">
        <f>'Calibración-BAU_Agricultura '!BA336*35.21*0.99</f>
        <v>17322853.9609497</v>
      </c>
      <c r="AZ245" s="187">
        <f>'Calibración-BAU_Agricultura '!BB336*35.21*0.99</f>
        <v>17396137.795726739</v>
      </c>
      <c r="BA245" s="187">
        <f>'Calibración-BAU_Agricultura '!BC336*35.21*0.99</f>
        <v>17465651.953860525</v>
      </c>
      <c r="BB245" s="187">
        <f>'Calibración-BAU_Agricultura '!BD336*35.21*0.99</f>
        <v>17531347.88324504</v>
      </c>
      <c r="BC245" s="187">
        <f>'Calibración-BAU_Agricultura '!BE336*35.21*0.99</f>
        <v>17593179.512702391</v>
      </c>
      <c r="BD245" s="187">
        <f>'Calibración-BAU_Agricultura '!BF336*35.21*0.99</f>
        <v>17651103.305696286</v>
      </c>
      <c r="BE245" s="187">
        <f>'Calibración-BAU_Agricultura '!BG336*35.21*0.99</f>
        <v>17705078.311300728</v>
      </c>
      <c r="BF245" s="187">
        <f>'Calibración-BAU_Agricultura '!BH336*35.21*0.99</f>
        <v>17755066.21234047</v>
      </c>
      <c r="BG245" s="187">
        <f>'Calibración-BAU_Agricultura '!BI336*35.21*0.99</f>
        <v>17801031.370624252</v>
      </c>
      <c r="BH245" s="187">
        <f>'Calibración-BAU_Agricultura '!BJ336*35.21*0.99</f>
        <v>17842940.869196244</v>
      </c>
      <c r="BI245" s="187">
        <f>'Calibración-BAU_Agricultura '!BK336*35.21*0.99</f>
        <v>17880764.5515357</v>
      </c>
      <c r="BJ245" s="187">
        <f>'Calibración-BAU_Agricultura '!BL336*35.21*0.99</f>
        <v>17914475.057639606</v>
      </c>
      <c r="BK245" s="187">
        <f>'Calibración-BAU_Agricultura '!BM336*35.21*0.99</f>
        <v>17944047.856928065</v>
      </c>
      <c r="BL245" s="187">
        <f>'Calibración-BAU_Agricultura '!BN336*35.21*0.99</f>
        <v>17969461.277917113</v>
      </c>
      <c r="BM245" s="187">
        <f>'Calibración-BAU_Agricultura '!BO336*35.21*0.99</f>
        <v>17990696.534608848</v>
      </c>
      <c r="BN245" s="182"/>
    </row>
    <row r="246" spans="1:66" ht="14.25" hidden="1" customHeight="1" x14ac:dyDescent="0.3">
      <c r="A246" s="92"/>
      <c r="B246" s="944"/>
      <c r="C246" s="183"/>
      <c r="D246" s="184" t="s">
        <v>789</v>
      </c>
      <c r="E246" s="180"/>
      <c r="F246" s="180"/>
      <c r="G246" s="180"/>
      <c r="H246" s="180"/>
      <c r="I246" s="180"/>
      <c r="J246" s="180"/>
      <c r="K246" s="181"/>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c r="BF246" s="181"/>
      <c r="BG246" s="181"/>
      <c r="BH246" s="181"/>
      <c r="BI246" s="181"/>
      <c r="BJ246" s="181"/>
      <c r="BK246" s="181"/>
      <c r="BL246" s="181"/>
      <c r="BM246" s="181"/>
      <c r="BN246" s="182"/>
    </row>
    <row r="247" spans="1:66" ht="14.25" hidden="1" customHeight="1" x14ac:dyDescent="0.3">
      <c r="A247" s="1199" t="s">
        <v>781</v>
      </c>
      <c r="B247" s="944"/>
      <c r="C247" s="183"/>
      <c r="D247" s="185" t="s">
        <v>790</v>
      </c>
      <c r="E247" s="187">
        <f t="shared" ref="E247:P247" si="118">E239*0.3*0.0075</f>
        <v>128768.82011999999</v>
      </c>
      <c r="F247" s="187">
        <f t="shared" si="118"/>
        <v>133321.94837999999</v>
      </c>
      <c r="G247" s="187">
        <f t="shared" si="118"/>
        <v>124564.55885999998</v>
      </c>
      <c r="H247" s="187">
        <f t="shared" si="118"/>
        <v>133353.16901999997</v>
      </c>
      <c r="I247" s="187">
        <f t="shared" si="118"/>
        <v>118146.11562</v>
      </c>
      <c r="J247" s="187">
        <f t="shared" si="118"/>
        <v>101808.37835999999</v>
      </c>
      <c r="K247" s="187">
        <f t="shared" si="118"/>
        <v>105981.06419999999</v>
      </c>
      <c r="L247" s="187">
        <f t="shared" si="118"/>
        <v>101249.95463999998</v>
      </c>
      <c r="M247" s="187">
        <f t="shared" si="118"/>
        <v>98454.761279999992</v>
      </c>
      <c r="N247" s="187">
        <f t="shared" si="118"/>
        <v>117846.44477999998</v>
      </c>
      <c r="O247" s="187">
        <f t="shared" si="118"/>
        <v>113827.61519999997</v>
      </c>
      <c r="P247" s="187">
        <f t="shared" si="118"/>
        <v>100132.51589999998</v>
      </c>
      <c r="Q247" s="187">
        <f t="shared" ref="Q247:BM247" si="119">Q239*0.3*0.0075</f>
        <v>101478.62316494755</v>
      </c>
      <c r="R247" s="187">
        <f t="shared" si="119"/>
        <v>102813.25127434725</v>
      </c>
      <c r="S247" s="187">
        <f t="shared" si="119"/>
        <v>104135.60486656157</v>
      </c>
      <c r="T247" s="187">
        <f t="shared" si="119"/>
        <v>105445.43574363278</v>
      </c>
      <c r="U247" s="187">
        <f t="shared" si="119"/>
        <v>106741.27728126476</v>
      </c>
      <c r="V247" s="187">
        <f t="shared" si="119"/>
        <v>108022.63872440469</v>
      </c>
      <c r="W247" s="187">
        <f t="shared" si="119"/>
        <v>109288.60061243613</v>
      </c>
      <c r="X247" s="187">
        <f t="shared" si="119"/>
        <v>110538.98243775345</v>
      </c>
      <c r="Y247" s="187">
        <f t="shared" si="119"/>
        <v>111772.37962555009</v>
      </c>
      <c r="Z247" s="187">
        <f t="shared" si="119"/>
        <v>112988.13219489275</v>
      </c>
      <c r="AA247" s="187">
        <f t="shared" si="119"/>
        <v>114185.38837551721</v>
      </c>
      <c r="AB247" s="187">
        <f t="shared" si="119"/>
        <v>115363.16101645501</v>
      </c>
      <c r="AC247" s="187">
        <f t="shared" si="119"/>
        <v>116520.96500351591</v>
      </c>
      <c r="AD247" s="187">
        <f t="shared" si="119"/>
        <v>117657.95420729837</v>
      </c>
      <c r="AE247" s="187">
        <f t="shared" si="119"/>
        <v>118773.63223188679</v>
      </c>
      <c r="AF247" s="187">
        <f t="shared" si="119"/>
        <v>119867.04577148873</v>
      </c>
      <c r="AG247" s="187">
        <f t="shared" si="119"/>
        <v>120937.81688830482</v>
      </c>
      <c r="AH247" s="187">
        <f t="shared" si="119"/>
        <v>121985.2404745004</v>
      </c>
      <c r="AI247" s="187">
        <f t="shared" si="119"/>
        <v>123008.82577502262</v>
      </c>
      <c r="AJ247" s="187">
        <f t="shared" si="119"/>
        <v>124008.44305002988</v>
      </c>
      <c r="AK247" s="187">
        <f t="shared" si="119"/>
        <v>124983.74820689888</v>
      </c>
      <c r="AL247" s="187">
        <f t="shared" si="119"/>
        <v>125934.13767332313</v>
      </c>
      <c r="AM247" s="187">
        <f t="shared" si="119"/>
        <v>126859.48735032381</v>
      </c>
      <c r="AN247" s="187">
        <f t="shared" si="119"/>
        <v>127759.1936655944</v>
      </c>
      <c r="AO247" s="187">
        <f t="shared" si="119"/>
        <v>128633.10431584272</v>
      </c>
      <c r="AP247" s="187">
        <f t="shared" si="119"/>
        <v>129481.36032263565</v>
      </c>
      <c r="AQ247" s="187">
        <f t="shared" si="119"/>
        <v>130303.23401468772</v>
      </c>
      <c r="AR247" s="187">
        <f t="shared" si="119"/>
        <v>131098.94538564351</v>
      </c>
      <c r="AS247" s="187">
        <f t="shared" si="119"/>
        <v>131868.77083777409</v>
      </c>
      <c r="AT247" s="187">
        <f t="shared" si="119"/>
        <v>132612.19122045056</v>
      </c>
      <c r="AU247" s="187">
        <f t="shared" si="119"/>
        <v>133328.70279015851</v>
      </c>
      <c r="AV247" s="187">
        <f t="shared" si="119"/>
        <v>134017.81777713075</v>
      </c>
      <c r="AW247" s="187">
        <f t="shared" si="119"/>
        <v>134679.06493670912</v>
      </c>
      <c r="AX247" s="187">
        <f t="shared" si="119"/>
        <v>135311.99008456655</v>
      </c>
      <c r="AY247" s="187">
        <f t="shared" si="119"/>
        <v>135916.15661494245</v>
      </c>
      <c r="AZ247" s="187">
        <f t="shared" si="119"/>
        <v>136491.14600106512</v>
      </c>
      <c r="BA247" s="187">
        <f t="shared" si="119"/>
        <v>137036.55827696182</v>
      </c>
      <c r="BB247" s="187">
        <f t="shared" si="119"/>
        <v>137552.01249988136</v>
      </c>
      <c r="BC247" s="187">
        <f t="shared" si="119"/>
        <v>138037.14719258426</v>
      </c>
      <c r="BD247" s="187">
        <f t="shared" si="119"/>
        <v>138491.62076478181</v>
      </c>
      <c r="BE247" s="187">
        <f t="shared" si="119"/>
        <v>138915.11191303967</v>
      </c>
      <c r="BF247" s="187">
        <f t="shared" si="119"/>
        <v>139307.31999849057</v>
      </c>
      <c r="BG247" s="187">
        <f t="shared" si="119"/>
        <v>139667.96540173725</v>
      </c>
      <c r="BH247" s="187">
        <f t="shared" si="119"/>
        <v>139996.78985435955</v>
      </c>
      <c r="BI247" s="187">
        <f t="shared" si="119"/>
        <v>140293.55674647741</v>
      </c>
      <c r="BJ247" s="187">
        <f t="shared" si="119"/>
        <v>140558.0514098577</v>
      </c>
      <c r="BK247" s="187">
        <f t="shared" si="119"/>
        <v>140790.08137609152</v>
      </c>
      <c r="BL247" s="187">
        <f t="shared" si="119"/>
        <v>140989.47660940903</v>
      </c>
      <c r="BM247" s="187">
        <f t="shared" si="119"/>
        <v>141156.08971373807</v>
      </c>
      <c r="BN247" s="182"/>
    </row>
    <row r="248" spans="1:66" ht="14.25" hidden="1" customHeight="1" x14ac:dyDescent="0.3">
      <c r="A248" s="1199"/>
      <c r="B248" s="944"/>
      <c r="C248" s="183"/>
      <c r="D248" s="185" t="s">
        <v>791</v>
      </c>
      <c r="E248" s="187">
        <f t="shared" ref="E248:P248" si="120">E240*0.3*0.0075</f>
        <v>43054.923498047996</v>
      </c>
      <c r="F248" s="187">
        <f t="shared" si="120"/>
        <v>43918.458301872</v>
      </c>
      <c r="G248" s="187">
        <f t="shared" si="120"/>
        <v>42907.520709900004</v>
      </c>
      <c r="H248" s="187">
        <f t="shared" si="120"/>
        <v>42076.275852996005</v>
      </c>
      <c r="I248" s="187">
        <f t="shared" si="120"/>
        <v>37736.818412832006</v>
      </c>
      <c r="J248" s="187">
        <f t="shared" si="120"/>
        <v>33725.890694033995</v>
      </c>
      <c r="K248" s="187">
        <f t="shared" si="120"/>
        <v>33825.038860998</v>
      </c>
      <c r="L248" s="187">
        <f t="shared" si="120"/>
        <v>34343.808820398001</v>
      </c>
      <c r="M248" s="187">
        <f t="shared" si="120"/>
        <v>33247.138960728</v>
      </c>
      <c r="N248" s="187">
        <f t="shared" si="120"/>
        <v>35291.469589992004</v>
      </c>
      <c r="O248" s="187">
        <f t="shared" si="120"/>
        <v>35534.709596232009</v>
      </c>
      <c r="P248" s="187">
        <f t="shared" si="120"/>
        <v>33330.191326740001</v>
      </c>
      <c r="Q248" s="187">
        <f t="shared" ref="Q248:BM248" si="121">Q240*0.3*0.0075</f>
        <v>33778.257694430431</v>
      </c>
      <c r="R248" s="187">
        <f t="shared" si="121"/>
        <v>34222.503100995084</v>
      </c>
      <c r="S248" s="187">
        <f t="shared" si="121"/>
        <v>34662.662801707309</v>
      </c>
      <c r="T248" s="187">
        <f t="shared" si="121"/>
        <v>35098.654181191407</v>
      </c>
      <c r="U248" s="187">
        <f t="shared" si="121"/>
        <v>35529.989057681923</v>
      </c>
      <c r="V248" s="187">
        <f t="shared" si="121"/>
        <v>35956.504078049664</v>
      </c>
      <c r="W248" s="187">
        <f t="shared" si="121"/>
        <v>36377.893189880117</v>
      </c>
      <c r="X248" s="187">
        <f t="shared" si="121"/>
        <v>36794.096309263681</v>
      </c>
      <c r="Y248" s="187">
        <f t="shared" si="121"/>
        <v>37204.645908278842</v>
      </c>
      <c r="Z248" s="187">
        <f t="shared" si="121"/>
        <v>37609.322305131129</v>
      </c>
      <c r="AA248" s="187">
        <f t="shared" si="121"/>
        <v>38007.841978872144</v>
      </c>
      <c r="AB248" s="187">
        <f t="shared" si="121"/>
        <v>38399.87634562132</v>
      </c>
      <c r="AC248" s="187">
        <f t="shared" si="121"/>
        <v>38785.26392987158</v>
      </c>
      <c r="AD248" s="187">
        <f t="shared" si="121"/>
        <v>39163.723088296741</v>
      </c>
      <c r="AE248" s="187">
        <f t="shared" si="121"/>
        <v>39535.088590145388</v>
      </c>
      <c r="AF248" s="187">
        <f t="shared" si="121"/>
        <v>39899.043117269975</v>
      </c>
      <c r="AG248" s="187">
        <f t="shared" si="121"/>
        <v>40255.46086898481</v>
      </c>
      <c r="AH248" s="187">
        <f t="shared" si="121"/>
        <v>40604.107142518027</v>
      </c>
      <c r="AI248" s="187">
        <f t="shared" si="121"/>
        <v>40944.818584740387</v>
      </c>
      <c r="AJ248" s="187">
        <f t="shared" si="121"/>
        <v>41277.552010341911</v>
      </c>
      <c r="AK248" s="187">
        <f t="shared" si="121"/>
        <v>41602.192884369921</v>
      </c>
      <c r="AL248" s="187">
        <f t="shared" si="121"/>
        <v>41918.540301251713</v>
      </c>
      <c r="AM248" s="187">
        <f t="shared" si="121"/>
        <v>42226.552953299426</v>
      </c>
      <c r="AN248" s="187">
        <f t="shared" si="121"/>
        <v>42526.029934940379</v>
      </c>
      <c r="AO248" s="187">
        <f t="shared" si="121"/>
        <v>42816.920550375828</v>
      </c>
      <c r="AP248" s="187">
        <f t="shared" si="121"/>
        <v>43099.271740160162</v>
      </c>
      <c r="AQ248" s="187">
        <f t="shared" si="121"/>
        <v>43372.841291032819</v>
      </c>
      <c r="AR248" s="187">
        <f t="shared" si="121"/>
        <v>43637.702430258607</v>
      </c>
      <c r="AS248" s="187">
        <f t="shared" si="121"/>
        <v>43893.947161324104</v>
      </c>
      <c r="AT248" s="187">
        <f t="shared" si="121"/>
        <v>44141.402679325358</v>
      </c>
      <c r="AU248" s="187">
        <f t="shared" si="121"/>
        <v>44379.901307783271</v>
      </c>
      <c r="AV248" s="187">
        <f t="shared" si="121"/>
        <v>44609.280687253246</v>
      </c>
      <c r="AW248" s="187">
        <f t="shared" si="121"/>
        <v>44829.38395885205</v>
      </c>
      <c r="AX248" s="187">
        <f t="shared" si="121"/>
        <v>45040.059942412285</v>
      </c>
      <c r="AY248" s="187">
        <f t="shared" si="121"/>
        <v>45241.163308982555</v>
      </c>
      <c r="AZ248" s="187">
        <f t="shared" si="121"/>
        <v>45432.554747398557</v>
      </c>
      <c r="BA248" s="187">
        <f t="shared" si="121"/>
        <v>45614.1011246587</v>
      </c>
      <c r="BB248" s="187">
        <f t="shared" si="121"/>
        <v>45785.67563984658</v>
      </c>
      <c r="BC248" s="187">
        <f t="shared" si="121"/>
        <v>45947.15797135191</v>
      </c>
      <c r="BD248" s="187">
        <f t="shared" si="121"/>
        <v>46098.434417151184</v>
      </c>
      <c r="BE248" s="187">
        <f t="shared" si="121"/>
        <v>46239.398027919851</v>
      </c>
      <c r="BF248" s="187">
        <f t="shared" si="121"/>
        <v>46369.948732758116</v>
      </c>
      <c r="BG248" s="187">
        <f t="shared" si="121"/>
        <v>46489.993457324148</v>
      </c>
      <c r="BH248" s="187">
        <f t="shared" si="121"/>
        <v>46599.446234179923</v>
      </c>
      <c r="BI248" s="187">
        <f t="shared" si="121"/>
        <v>46698.228305166835</v>
      </c>
      <c r="BJ248" s="187">
        <f t="shared" si="121"/>
        <v>46786.268215640775</v>
      </c>
      <c r="BK248" s="187">
        <f t="shared" si="121"/>
        <v>46863.501900409407</v>
      </c>
      <c r="BL248" s="187">
        <f t="shared" si="121"/>
        <v>46929.872761226972</v>
      </c>
      <c r="BM248" s="187">
        <f t="shared" si="121"/>
        <v>46985.331735716107</v>
      </c>
      <c r="BN248" s="182"/>
    </row>
    <row r="249" spans="1:66" ht="13.5" hidden="1" customHeight="1" x14ac:dyDescent="0.3">
      <c r="A249" s="1199"/>
      <c r="B249" s="944"/>
      <c r="C249" s="183"/>
      <c r="D249" s="185" t="s">
        <v>792</v>
      </c>
      <c r="E249" s="187">
        <f t="shared" ref="E249:P249" si="122">E241*0.3*0.0075</f>
        <v>145398.13369171196</v>
      </c>
      <c r="F249" s="187">
        <f t="shared" si="122"/>
        <v>148314.32395876799</v>
      </c>
      <c r="G249" s="187">
        <f t="shared" si="122"/>
        <v>144900.3488031</v>
      </c>
      <c r="H249" s="187">
        <f t="shared" si="122"/>
        <v>142093.20292952398</v>
      </c>
      <c r="I249" s="187">
        <f t="shared" si="122"/>
        <v>127438.68814300798</v>
      </c>
      <c r="J249" s="187">
        <f t="shared" si="122"/>
        <v>113893.63086954599</v>
      </c>
      <c r="K249" s="187">
        <f t="shared" si="122"/>
        <v>114228.45804526198</v>
      </c>
      <c r="L249" s="187">
        <f t="shared" si="122"/>
        <v>115980.36416386199</v>
      </c>
      <c r="M249" s="187">
        <f t="shared" si="122"/>
        <v>112276.867840632</v>
      </c>
      <c r="N249" s="187">
        <f t="shared" si="122"/>
        <v>119180.65105504797</v>
      </c>
      <c r="O249" s="187">
        <f t="shared" si="122"/>
        <v>120002.081917608</v>
      </c>
      <c r="P249" s="187">
        <f t="shared" si="122"/>
        <v>112557.33887705998</v>
      </c>
      <c r="Q249" s="187">
        <f t="shared" ref="Q249:BM249" si="123">Q241*0.3*0.0075</f>
        <v>114070.47624531396</v>
      </c>
      <c r="R249" s="187">
        <f t="shared" si="123"/>
        <v>115570.71008079028</v>
      </c>
      <c r="S249" s="187">
        <f t="shared" si="123"/>
        <v>117057.14633035789</v>
      </c>
      <c r="T249" s="187">
        <f t="shared" si="123"/>
        <v>118529.50599871352</v>
      </c>
      <c r="U249" s="187">
        <f t="shared" si="123"/>
        <v>119986.14047724678</v>
      </c>
      <c r="V249" s="187">
        <f t="shared" si="123"/>
        <v>121426.49811615334</v>
      </c>
      <c r="W249" s="187">
        <f t="shared" si="123"/>
        <v>122849.54536465055</v>
      </c>
      <c r="X249" s="187">
        <f t="shared" si="123"/>
        <v>124255.07931706331</v>
      </c>
      <c r="Y249" s="187">
        <f t="shared" si="123"/>
        <v>125641.52111360697</v>
      </c>
      <c r="Z249" s="187">
        <f t="shared" si="123"/>
        <v>127008.12888040693</v>
      </c>
      <c r="AA249" s="187">
        <f t="shared" si="123"/>
        <v>128353.94515630859</v>
      </c>
      <c r="AB249" s="187">
        <f t="shared" si="123"/>
        <v>129677.86030090117</v>
      </c>
      <c r="AC249" s="187">
        <f t="shared" si="123"/>
        <v>130979.32900518276</v>
      </c>
      <c r="AD249" s="187">
        <f t="shared" si="123"/>
        <v>132257.40014880116</v>
      </c>
      <c r="AE249" s="187">
        <f t="shared" si="123"/>
        <v>133511.51574114981</v>
      </c>
      <c r="AF249" s="187">
        <f t="shared" si="123"/>
        <v>134740.60418663188</v>
      </c>
      <c r="AG249" s="187">
        <f t="shared" si="123"/>
        <v>135944.24065149011</v>
      </c>
      <c r="AH249" s="187">
        <f t="shared" si="123"/>
        <v>137121.63253543101</v>
      </c>
      <c r="AI249" s="187">
        <f t="shared" si="123"/>
        <v>138272.22818865033</v>
      </c>
      <c r="AJ249" s="187">
        <f t="shared" si="123"/>
        <v>139395.88177269415</v>
      </c>
      <c r="AK249" s="187">
        <f t="shared" si="123"/>
        <v>140492.20649861914</v>
      </c>
      <c r="AL249" s="187">
        <f t="shared" si="123"/>
        <v>141560.52390057413</v>
      </c>
      <c r="AM249" s="187">
        <f t="shared" si="123"/>
        <v>142600.69448090746</v>
      </c>
      <c r="AN249" s="187">
        <f t="shared" si="123"/>
        <v>143612.03977376799</v>
      </c>
      <c r="AO249" s="187">
        <f t="shared" si="123"/>
        <v>144594.3885774923</v>
      </c>
      <c r="AP249" s="187">
        <f t="shared" si="123"/>
        <v>145547.89941213906</v>
      </c>
      <c r="AQ249" s="187">
        <f t="shared" si="123"/>
        <v>146471.75431420538</v>
      </c>
      <c r="AR249" s="187">
        <f t="shared" si="123"/>
        <v>147366.20057498288</v>
      </c>
      <c r="AS249" s="187">
        <f t="shared" si="123"/>
        <v>148231.54889378659</v>
      </c>
      <c r="AT249" s="187">
        <f t="shared" si="123"/>
        <v>149067.21570180519</v>
      </c>
      <c r="AU249" s="187">
        <f t="shared" si="123"/>
        <v>149872.63474911539</v>
      </c>
      <c r="AV249" s="187">
        <f t="shared" si="123"/>
        <v>150647.25774162426</v>
      </c>
      <c r="AW249" s="187">
        <f t="shared" si="123"/>
        <v>151390.55496084606</v>
      </c>
      <c r="AX249" s="187">
        <f t="shared" si="123"/>
        <v>152102.01586553708</v>
      </c>
      <c r="AY249" s="187">
        <f t="shared" si="123"/>
        <v>152781.14967423526</v>
      </c>
      <c r="AZ249" s="187">
        <f t="shared" si="123"/>
        <v>153427.48592777713</v>
      </c>
      <c r="BA249" s="187">
        <f t="shared" si="123"/>
        <v>154040.57503089239</v>
      </c>
      <c r="BB249" s="187">
        <f t="shared" si="123"/>
        <v>154619.98877200636</v>
      </c>
      <c r="BC249" s="187">
        <f t="shared" si="123"/>
        <v>155165.32082041015</v>
      </c>
      <c r="BD249" s="187">
        <f t="shared" si="123"/>
        <v>155676.18719999457</v>
      </c>
      <c r="BE249" s="187">
        <f t="shared" si="123"/>
        <v>156152.22673877439</v>
      </c>
      <c r="BF249" s="187">
        <f t="shared" si="123"/>
        <v>156593.1014934695</v>
      </c>
      <c r="BG249" s="187">
        <f t="shared" si="123"/>
        <v>156998.4971484456</v>
      </c>
      <c r="BH249" s="187">
        <f t="shared" si="123"/>
        <v>157368.12338835583</v>
      </c>
      <c r="BI249" s="187">
        <f t="shared" si="123"/>
        <v>157701.71424386738</v>
      </c>
      <c r="BJ249" s="187">
        <f t="shared" si="123"/>
        <v>157999.02840989712</v>
      </c>
      <c r="BK249" s="187">
        <f t="shared" si="123"/>
        <v>158259.84953582482</v>
      </c>
      <c r="BL249" s="187">
        <f t="shared" si="123"/>
        <v>158483.98648719641</v>
      </c>
      <c r="BM249" s="187">
        <f t="shared" si="123"/>
        <v>158671.27357847505</v>
      </c>
      <c r="BN249" s="182"/>
    </row>
    <row r="250" spans="1:66" ht="14.25" hidden="1" customHeight="1" x14ac:dyDescent="0.3">
      <c r="A250" s="1199"/>
      <c r="B250" s="944"/>
      <c r="C250" s="183"/>
      <c r="D250" s="185" t="s">
        <v>793</v>
      </c>
      <c r="E250" s="187">
        <f t="shared" ref="E250:P250" si="124">E242*0.3*0.0075</f>
        <v>173539.70795462397</v>
      </c>
      <c r="F250" s="187">
        <f t="shared" si="124"/>
        <v>177020.32214433595</v>
      </c>
      <c r="G250" s="187">
        <f t="shared" si="124"/>
        <v>172945.57760369996</v>
      </c>
      <c r="H250" s="187">
        <f t="shared" si="124"/>
        <v>169595.11317394799</v>
      </c>
      <c r="I250" s="187">
        <f t="shared" si="124"/>
        <v>152104.24068681599</v>
      </c>
      <c r="J250" s="187">
        <f t="shared" si="124"/>
        <v>135937.55942494198</v>
      </c>
      <c r="K250" s="187">
        <f t="shared" si="124"/>
        <v>136337.19186047398</v>
      </c>
      <c r="L250" s="187">
        <f t="shared" si="124"/>
        <v>138428.176582674</v>
      </c>
      <c r="M250" s="187">
        <f t="shared" si="124"/>
        <v>134007.87451946398</v>
      </c>
      <c r="N250" s="187">
        <f t="shared" si="124"/>
        <v>142247.873839896</v>
      </c>
      <c r="O250" s="187">
        <f t="shared" si="124"/>
        <v>143228.29132101597</v>
      </c>
      <c r="P250" s="187">
        <f t="shared" si="124"/>
        <v>134342.63027261998</v>
      </c>
      <c r="Q250" s="187">
        <f t="shared" ref="Q250:BM250" si="125">Q242*0.3*0.0075</f>
        <v>136148.63293795538</v>
      </c>
      <c r="R250" s="187">
        <f t="shared" si="125"/>
        <v>137939.23461255615</v>
      </c>
      <c r="S250" s="187">
        <f t="shared" si="125"/>
        <v>139713.36820074977</v>
      </c>
      <c r="T250" s="187">
        <f t="shared" si="125"/>
        <v>141470.70070814199</v>
      </c>
      <c r="U250" s="187">
        <f t="shared" si="125"/>
        <v>143209.26444058484</v>
      </c>
      <c r="V250" s="187">
        <f t="shared" si="125"/>
        <v>144928.40097734428</v>
      </c>
      <c r="W250" s="187">
        <f t="shared" si="125"/>
        <v>146626.87672555062</v>
      </c>
      <c r="X250" s="187">
        <f t="shared" si="125"/>
        <v>148304.44950746265</v>
      </c>
      <c r="Y250" s="187">
        <f t="shared" si="125"/>
        <v>149959.23487753089</v>
      </c>
      <c r="Z250" s="187">
        <f t="shared" si="125"/>
        <v>151590.34737338888</v>
      </c>
      <c r="AA250" s="187">
        <f t="shared" si="125"/>
        <v>153196.64421881991</v>
      </c>
      <c r="AB250" s="187">
        <f t="shared" si="125"/>
        <v>154776.80100430141</v>
      </c>
      <c r="AC250" s="187">
        <f t="shared" si="125"/>
        <v>156330.16687715359</v>
      </c>
      <c r="AD250" s="187">
        <f t="shared" si="125"/>
        <v>157855.60662921425</v>
      </c>
      <c r="AE250" s="187">
        <f t="shared" si="125"/>
        <v>159352.45427169485</v>
      </c>
      <c r="AF250" s="187">
        <f t="shared" si="125"/>
        <v>160819.4308033993</v>
      </c>
      <c r="AG250" s="187">
        <f t="shared" si="125"/>
        <v>162256.02916468171</v>
      </c>
      <c r="AH250" s="187">
        <f t="shared" si="125"/>
        <v>163661.30334874021</v>
      </c>
      <c r="AI250" s="187">
        <f t="shared" si="125"/>
        <v>165034.59493484072</v>
      </c>
      <c r="AJ250" s="187">
        <f t="shared" si="125"/>
        <v>166375.72985773164</v>
      </c>
      <c r="AK250" s="187">
        <f t="shared" si="125"/>
        <v>167684.2464660937</v>
      </c>
      <c r="AL250" s="187">
        <f t="shared" si="125"/>
        <v>168959.33497810454</v>
      </c>
      <c r="AM250" s="187">
        <f t="shared" si="125"/>
        <v>170200.82889656696</v>
      </c>
      <c r="AN250" s="187">
        <f t="shared" si="125"/>
        <v>171407.91843965853</v>
      </c>
      <c r="AO250" s="187">
        <f t="shared" si="125"/>
        <v>172580.39926991009</v>
      </c>
      <c r="AP250" s="187">
        <f t="shared" si="125"/>
        <v>173718.46058868206</v>
      </c>
      <c r="AQ250" s="187">
        <f t="shared" si="125"/>
        <v>174821.12611695478</v>
      </c>
      <c r="AR250" s="187">
        <f t="shared" si="125"/>
        <v>175888.6910088505</v>
      </c>
      <c r="AS250" s="187">
        <f t="shared" si="125"/>
        <v>176921.5260990356</v>
      </c>
      <c r="AT250" s="187">
        <f t="shared" si="125"/>
        <v>177918.9348698965</v>
      </c>
      <c r="AU250" s="187">
        <f t="shared" si="125"/>
        <v>178880.2414747506</v>
      </c>
      <c r="AV250" s="187">
        <f t="shared" si="125"/>
        <v>179804.79149806761</v>
      </c>
      <c r="AW250" s="187">
        <f t="shared" si="125"/>
        <v>180691.95269520333</v>
      </c>
      <c r="AX250" s="187">
        <f t="shared" si="125"/>
        <v>181541.1157104797</v>
      </c>
      <c r="AY250" s="187">
        <f t="shared" si="125"/>
        <v>182351.69477247435</v>
      </c>
      <c r="AZ250" s="187">
        <f t="shared" si="125"/>
        <v>183123.12836541136</v>
      </c>
      <c r="BA250" s="187">
        <f t="shared" si="125"/>
        <v>183854.87987558119</v>
      </c>
      <c r="BB250" s="187">
        <f t="shared" si="125"/>
        <v>184546.43821174945</v>
      </c>
      <c r="BC250" s="187">
        <f t="shared" si="125"/>
        <v>185197.31839855399</v>
      </c>
      <c r="BD250" s="187">
        <f t="shared" si="125"/>
        <v>185807.06214192894</v>
      </c>
      <c r="BE250" s="187">
        <f t="shared" si="125"/>
        <v>186375.23836563388</v>
      </c>
      <c r="BF250" s="187">
        <f t="shared" si="125"/>
        <v>186901.44371801193</v>
      </c>
      <c r="BG250" s="187">
        <f t="shared" si="125"/>
        <v>187385.30304814473</v>
      </c>
      <c r="BH250" s="187">
        <f t="shared" si="125"/>
        <v>187826.46985061825</v>
      </c>
      <c r="BI250" s="187">
        <f t="shared" si="125"/>
        <v>188224.62667816426</v>
      </c>
      <c r="BJ250" s="187">
        <f t="shared" si="125"/>
        <v>188579.4855214901</v>
      </c>
      <c r="BK250" s="187">
        <f t="shared" si="125"/>
        <v>188890.78815566187</v>
      </c>
      <c r="BL250" s="187">
        <f t="shared" si="125"/>
        <v>189158.30645246024</v>
      </c>
      <c r="BM250" s="187">
        <f t="shared" si="125"/>
        <v>189381.84265817987</v>
      </c>
      <c r="BN250" s="182"/>
    </row>
    <row r="251" spans="1:66" ht="14.25" hidden="1" customHeight="1" x14ac:dyDescent="0.3">
      <c r="A251" s="1199"/>
      <c r="B251" s="944"/>
      <c r="C251" s="183"/>
      <c r="D251" s="185" t="s">
        <v>794</v>
      </c>
      <c r="E251" s="187">
        <f t="shared" ref="E251:P251" si="126">E243*0.3*0.0075</f>
        <v>0</v>
      </c>
      <c r="F251" s="187">
        <f t="shared" si="126"/>
        <v>0</v>
      </c>
      <c r="G251" s="187">
        <f t="shared" si="126"/>
        <v>0</v>
      </c>
      <c r="H251" s="187">
        <f t="shared" si="126"/>
        <v>0</v>
      </c>
      <c r="I251" s="187">
        <f t="shared" si="126"/>
        <v>0</v>
      </c>
      <c r="J251" s="187">
        <f t="shared" si="126"/>
        <v>0</v>
      </c>
      <c r="K251" s="187">
        <f t="shared" si="126"/>
        <v>0</v>
      </c>
      <c r="L251" s="187">
        <f t="shared" si="126"/>
        <v>0</v>
      </c>
      <c r="M251" s="187">
        <f t="shared" si="126"/>
        <v>0</v>
      </c>
      <c r="N251" s="187">
        <f t="shared" si="126"/>
        <v>0</v>
      </c>
      <c r="O251" s="187">
        <f t="shared" si="126"/>
        <v>0</v>
      </c>
      <c r="P251" s="187">
        <f t="shared" si="126"/>
        <v>0</v>
      </c>
      <c r="Q251" s="187">
        <f t="shared" ref="Q251:BM251" si="127">Q243*0.3*0.0075</f>
        <v>0</v>
      </c>
      <c r="R251" s="187">
        <f t="shared" si="127"/>
        <v>0</v>
      </c>
      <c r="S251" s="187">
        <f t="shared" si="127"/>
        <v>0</v>
      </c>
      <c r="T251" s="187">
        <f t="shared" si="127"/>
        <v>0</v>
      </c>
      <c r="U251" s="187">
        <f t="shared" si="127"/>
        <v>0</v>
      </c>
      <c r="V251" s="187">
        <f t="shared" si="127"/>
        <v>0</v>
      </c>
      <c r="W251" s="187">
        <f t="shared" si="127"/>
        <v>0</v>
      </c>
      <c r="X251" s="187">
        <f t="shared" si="127"/>
        <v>0</v>
      </c>
      <c r="Y251" s="187">
        <f t="shared" si="127"/>
        <v>0</v>
      </c>
      <c r="Z251" s="187">
        <f t="shared" si="127"/>
        <v>0</v>
      </c>
      <c r="AA251" s="187">
        <f t="shared" si="127"/>
        <v>0</v>
      </c>
      <c r="AB251" s="187">
        <f t="shared" si="127"/>
        <v>0</v>
      </c>
      <c r="AC251" s="187">
        <f t="shared" si="127"/>
        <v>0</v>
      </c>
      <c r="AD251" s="187">
        <f t="shared" si="127"/>
        <v>0</v>
      </c>
      <c r="AE251" s="187">
        <f t="shared" si="127"/>
        <v>0</v>
      </c>
      <c r="AF251" s="187">
        <f t="shared" si="127"/>
        <v>0</v>
      </c>
      <c r="AG251" s="187">
        <f t="shared" si="127"/>
        <v>0</v>
      </c>
      <c r="AH251" s="187">
        <f t="shared" si="127"/>
        <v>0</v>
      </c>
      <c r="AI251" s="187">
        <f t="shared" si="127"/>
        <v>0</v>
      </c>
      <c r="AJ251" s="187">
        <f t="shared" si="127"/>
        <v>0</v>
      </c>
      <c r="AK251" s="187">
        <f t="shared" si="127"/>
        <v>0</v>
      </c>
      <c r="AL251" s="187">
        <f t="shared" si="127"/>
        <v>0</v>
      </c>
      <c r="AM251" s="187">
        <f t="shared" si="127"/>
        <v>0</v>
      </c>
      <c r="AN251" s="187">
        <f t="shared" si="127"/>
        <v>0</v>
      </c>
      <c r="AO251" s="187">
        <f t="shared" si="127"/>
        <v>0</v>
      </c>
      <c r="AP251" s="187">
        <f t="shared" si="127"/>
        <v>0</v>
      </c>
      <c r="AQ251" s="187">
        <f t="shared" si="127"/>
        <v>0</v>
      </c>
      <c r="AR251" s="187">
        <f t="shared" si="127"/>
        <v>0</v>
      </c>
      <c r="AS251" s="187">
        <f t="shared" si="127"/>
        <v>0</v>
      </c>
      <c r="AT251" s="187">
        <f t="shared" si="127"/>
        <v>0</v>
      </c>
      <c r="AU251" s="187">
        <f t="shared" si="127"/>
        <v>0</v>
      </c>
      <c r="AV251" s="187">
        <f t="shared" si="127"/>
        <v>0</v>
      </c>
      <c r="AW251" s="187">
        <f t="shared" si="127"/>
        <v>0</v>
      </c>
      <c r="AX251" s="187">
        <f t="shared" si="127"/>
        <v>0</v>
      </c>
      <c r="AY251" s="187">
        <f t="shared" si="127"/>
        <v>0</v>
      </c>
      <c r="AZ251" s="187">
        <f t="shared" si="127"/>
        <v>0</v>
      </c>
      <c r="BA251" s="187">
        <f t="shared" si="127"/>
        <v>0</v>
      </c>
      <c r="BB251" s="187">
        <f t="shared" si="127"/>
        <v>0</v>
      </c>
      <c r="BC251" s="187">
        <f t="shared" si="127"/>
        <v>0</v>
      </c>
      <c r="BD251" s="187">
        <f t="shared" si="127"/>
        <v>0</v>
      </c>
      <c r="BE251" s="187">
        <f t="shared" si="127"/>
        <v>0</v>
      </c>
      <c r="BF251" s="187">
        <f t="shared" si="127"/>
        <v>0</v>
      </c>
      <c r="BG251" s="187">
        <f t="shared" si="127"/>
        <v>0</v>
      </c>
      <c r="BH251" s="187">
        <f t="shared" si="127"/>
        <v>0</v>
      </c>
      <c r="BI251" s="187">
        <f t="shared" si="127"/>
        <v>0</v>
      </c>
      <c r="BJ251" s="187">
        <f t="shared" si="127"/>
        <v>0</v>
      </c>
      <c r="BK251" s="187">
        <f t="shared" si="127"/>
        <v>0</v>
      </c>
      <c r="BL251" s="187">
        <f t="shared" si="127"/>
        <v>0</v>
      </c>
      <c r="BM251" s="187">
        <f t="shared" si="127"/>
        <v>0</v>
      </c>
      <c r="BN251" s="182"/>
    </row>
    <row r="252" spans="1:66" ht="14.25" hidden="1" customHeight="1" x14ac:dyDescent="0.3">
      <c r="A252" s="1199"/>
      <c r="B252" s="944"/>
      <c r="C252" s="183"/>
      <c r="D252" s="185" t="s">
        <v>795</v>
      </c>
      <c r="E252" s="187">
        <f t="shared" ref="E252:P252" si="128">E244*0.3*0.0075</f>
        <v>21326.121179999998</v>
      </c>
      <c r="F252" s="187">
        <f t="shared" si="128"/>
        <v>19993.134329999997</v>
      </c>
      <c r="G252" s="187">
        <f t="shared" si="128"/>
        <v>19151.754661600491</v>
      </c>
      <c r="H252" s="187">
        <f t="shared" si="128"/>
        <v>19899.283598743041</v>
      </c>
      <c r="I252" s="187">
        <f t="shared" si="128"/>
        <v>18147.968749344374</v>
      </c>
      <c r="J252" s="187">
        <f t="shared" si="128"/>
        <v>13635.196388678185</v>
      </c>
      <c r="K252" s="187">
        <f t="shared" si="128"/>
        <v>12876.048756384032</v>
      </c>
      <c r="L252" s="187">
        <f t="shared" si="128"/>
        <v>10498.120240163318</v>
      </c>
      <c r="M252" s="187">
        <f t="shared" si="128"/>
        <v>9577.1774600084555</v>
      </c>
      <c r="N252" s="187">
        <f t="shared" si="128"/>
        <v>12503.574613326893</v>
      </c>
      <c r="O252" s="187">
        <f t="shared" si="128"/>
        <v>13361.757795451475</v>
      </c>
      <c r="P252" s="187">
        <f t="shared" si="128"/>
        <v>14230.74961731616</v>
      </c>
      <c r="Q252" s="187">
        <f t="shared" ref="Q252:BM252" si="129">Q244*0.3*0.0075</f>
        <v>14422.057258728562</v>
      </c>
      <c r="R252" s="187">
        <f t="shared" si="129"/>
        <v>14611.733492131772</v>
      </c>
      <c r="S252" s="187">
        <f t="shared" si="129"/>
        <v>14799.665281393456</v>
      </c>
      <c r="T252" s="187">
        <f t="shared" si="129"/>
        <v>14985.817352826925</v>
      </c>
      <c r="U252" s="187">
        <f t="shared" si="129"/>
        <v>15169.98127101086</v>
      </c>
      <c r="V252" s="187">
        <f t="shared" si="129"/>
        <v>15352.087290246587</v>
      </c>
      <c r="W252" s="187">
        <f t="shared" si="129"/>
        <v>15532.004737558427</v>
      </c>
      <c r="X252" s="187">
        <f t="shared" si="129"/>
        <v>15709.70795935607</v>
      </c>
      <c r="Y252" s="187">
        <f t="shared" si="129"/>
        <v>15884.997338639861</v>
      </c>
      <c r="Z252" s="187">
        <f t="shared" si="129"/>
        <v>16057.779079470209</v>
      </c>
      <c r="AA252" s="187">
        <f t="shared" si="129"/>
        <v>16227.932128967803</v>
      </c>
      <c r="AB252" s="187">
        <f t="shared" si="129"/>
        <v>16395.316194060597</v>
      </c>
      <c r="AC252" s="187">
        <f t="shared" si="129"/>
        <v>16559.862330724623</v>
      </c>
      <c r="AD252" s="187">
        <f t="shared" si="129"/>
        <v>16721.45028775527</v>
      </c>
      <c r="AE252" s="187">
        <f t="shared" si="129"/>
        <v>16880.009517779166</v>
      </c>
      <c r="AF252" s="187">
        <f t="shared" si="129"/>
        <v>17035.404537772451</v>
      </c>
      <c r="AG252" s="187">
        <f t="shared" si="129"/>
        <v>17187.581635530401</v>
      </c>
      <c r="AH252" s="187">
        <f t="shared" si="129"/>
        <v>17336.440601715844</v>
      </c>
      <c r="AI252" s="187">
        <f t="shared" si="129"/>
        <v>17481.911690630095</v>
      </c>
      <c r="AJ252" s="187">
        <f t="shared" si="129"/>
        <v>17623.976463755127</v>
      </c>
      <c r="AK252" s="187">
        <f t="shared" si="129"/>
        <v>17762.586018934391</v>
      </c>
      <c r="AL252" s="187">
        <f t="shared" si="129"/>
        <v>17897.654576975274</v>
      </c>
      <c r="AM252" s="187">
        <f t="shared" si="129"/>
        <v>18029.164501034433</v>
      </c>
      <c r="AN252" s="187">
        <f t="shared" si="129"/>
        <v>18157.030011919236</v>
      </c>
      <c r="AO252" s="187">
        <f t="shared" si="129"/>
        <v>18281.229464412863</v>
      </c>
      <c r="AP252" s="187">
        <f t="shared" si="129"/>
        <v>18401.782900382743</v>
      </c>
      <c r="AQ252" s="187">
        <f t="shared" si="129"/>
        <v>18518.586903792922</v>
      </c>
      <c r="AR252" s="187">
        <f t="shared" si="129"/>
        <v>18631.672739956583</v>
      </c>
      <c r="AS252" s="187">
        <f t="shared" si="129"/>
        <v>18741.079690933915</v>
      </c>
      <c r="AT252" s="187">
        <f t="shared" si="129"/>
        <v>18846.733975470645</v>
      </c>
      <c r="AU252" s="187">
        <f t="shared" si="129"/>
        <v>18948.564001958817</v>
      </c>
      <c r="AV252" s="187">
        <f t="shared" si="129"/>
        <v>19046.500448966061</v>
      </c>
      <c r="AW252" s="187">
        <f t="shared" si="129"/>
        <v>19140.476343594721</v>
      </c>
      <c r="AX252" s="187">
        <f t="shared" si="129"/>
        <v>19230.427137547176</v>
      </c>
      <c r="AY252" s="187">
        <f t="shared" si="129"/>
        <v>19316.290780776995</v>
      </c>
      <c r="AZ252" s="187">
        <f t="shared" si="129"/>
        <v>19398.00779260858</v>
      </c>
      <c r="BA252" s="187">
        <f t="shared" si="129"/>
        <v>19475.521330211563</v>
      </c>
      <c r="BB252" s="187">
        <f t="shared" si="129"/>
        <v>19548.777254319994</v>
      </c>
      <c r="BC252" s="187">
        <f t="shared" si="129"/>
        <v>19617.724192090169</v>
      </c>
      <c r="BD252" s="187">
        <f t="shared" si="129"/>
        <v>19682.31359699526</v>
      </c>
      <c r="BE252" s="187">
        <f t="shared" si="129"/>
        <v>19742.499805659249</v>
      </c>
      <c r="BF252" s="187">
        <f t="shared" si="129"/>
        <v>19798.24009153714</v>
      </c>
      <c r="BG252" s="187">
        <f t="shared" si="129"/>
        <v>19849.494715353489</v>
      </c>
      <c r="BH252" s="187">
        <f t="shared" si="129"/>
        <v>19896.2269722159</v>
      </c>
      <c r="BI252" s="187">
        <f t="shared" si="129"/>
        <v>19938.403235325644</v>
      </c>
      <c r="BJ252" s="187">
        <f t="shared" si="129"/>
        <v>19975.992996212506</v>
      </c>
      <c r="BK252" s="187">
        <f t="shared" si="129"/>
        <v>20008.968901426808</v>
      </c>
      <c r="BL252" s="187">
        <f t="shared" si="129"/>
        <v>20037.306785626799</v>
      </c>
      <c r="BM252" s="187">
        <f t="shared" si="129"/>
        <v>20060.985701005677</v>
      </c>
      <c r="BN252" s="182"/>
    </row>
    <row r="253" spans="1:66" ht="14.25" hidden="1" customHeight="1" x14ac:dyDescent="0.3">
      <c r="A253" s="1199"/>
      <c r="B253" s="944"/>
      <c r="C253" s="183"/>
      <c r="D253" s="185" t="s">
        <v>796</v>
      </c>
      <c r="E253" s="187">
        <f t="shared" ref="E253:P253" si="130">E245*0.3*0.0075</f>
        <v>60115.158751724994</v>
      </c>
      <c r="F253" s="187">
        <f t="shared" si="130"/>
        <v>13837.218127424998</v>
      </c>
      <c r="G253" s="187">
        <f t="shared" si="130"/>
        <v>53832.81529395</v>
      </c>
      <c r="H253" s="187">
        <f t="shared" si="130"/>
        <v>50044.240860074999</v>
      </c>
      <c r="I253" s="187">
        <f t="shared" si="130"/>
        <v>38570.440639499997</v>
      </c>
      <c r="J253" s="187">
        <f t="shared" si="130"/>
        <v>31187.485132649999</v>
      </c>
      <c r="K253" s="187">
        <f t="shared" si="130"/>
        <v>30176.911039274994</v>
      </c>
      <c r="L253" s="187">
        <f t="shared" si="130"/>
        <v>29757.387498299999</v>
      </c>
      <c r="M253" s="187">
        <f t="shared" si="130"/>
        <v>26297.200625850001</v>
      </c>
      <c r="N253" s="187">
        <f t="shared" si="130"/>
        <v>28975.202365724999</v>
      </c>
      <c r="O253" s="187">
        <f t="shared" si="130"/>
        <v>22400.078691374998</v>
      </c>
      <c r="P253" s="187">
        <f t="shared" si="130"/>
        <v>28714.813852724998</v>
      </c>
      <c r="Q253" s="187">
        <f t="shared" ref="Q253:BM253" si="131">Q245*0.3*0.0075</f>
        <v>29100.834509365362</v>
      </c>
      <c r="R253" s="187">
        <f t="shared" si="131"/>
        <v>29483.563310090783</v>
      </c>
      <c r="S253" s="187">
        <f t="shared" si="131"/>
        <v>29862.772170535653</v>
      </c>
      <c r="T253" s="187">
        <f t="shared" si="131"/>
        <v>30238.389915436946</v>
      </c>
      <c r="U253" s="187">
        <f t="shared" si="131"/>
        <v>30609.995963694964</v>
      </c>
      <c r="V253" s="187">
        <f t="shared" si="131"/>
        <v>30977.449582403264</v>
      </c>
      <c r="W253" s="187">
        <f t="shared" si="131"/>
        <v>31340.487099564729</v>
      </c>
      <c r="X253" s="187">
        <f t="shared" si="131"/>
        <v>31699.056751351716</v>
      </c>
      <c r="Y253" s="187">
        <f t="shared" si="131"/>
        <v>32052.755750480275</v>
      </c>
      <c r="Z253" s="187">
        <f t="shared" si="131"/>
        <v>32401.394835455529</v>
      </c>
      <c r="AA253" s="187">
        <f t="shared" si="131"/>
        <v>32744.729745715751</v>
      </c>
      <c r="AB253" s="187">
        <f t="shared" si="131"/>
        <v>33082.477397828443</v>
      </c>
      <c r="AC253" s="187">
        <f t="shared" si="131"/>
        <v>33414.498676506781</v>
      </c>
      <c r="AD253" s="187">
        <f t="shared" si="131"/>
        <v>33740.550938808628</v>
      </c>
      <c r="AE253" s="187">
        <f t="shared" si="131"/>
        <v>34060.491834207947</v>
      </c>
      <c r="AF253" s="187">
        <f t="shared" si="131"/>
        <v>34374.04798498992</v>
      </c>
      <c r="AG253" s="187">
        <f t="shared" si="131"/>
        <v>34681.111010640394</v>
      </c>
      <c r="AH253" s="187">
        <f t="shared" si="131"/>
        <v>34981.478708707604</v>
      </c>
      <c r="AI253" s="187">
        <f t="shared" si="131"/>
        <v>35275.010346285089</v>
      </c>
      <c r="AJ253" s="187">
        <f t="shared" si="131"/>
        <v>35561.668718121742</v>
      </c>
      <c r="AK253" s="187">
        <f t="shared" si="131"/>
        <v>35841.355149421084</v>
      </c>
      <c r="AL253" s="187">
        <f t="shared" si="131"/>
        <v>36113.896554884392</v>
      </c>
      <c r="AM253" s="187">
        <f t="shared" si="131"/>
        <v>36379.257346880171</v>
      </c>
      <c r="AN253" s="187">
        <f t="shared" si="131"/>
        <v>36637.264440109677</v>
      </c>
      <c r="AO253" s="187">
        <f t="shared" si="131"/>
        <v>36887.874158843355</v>
      </c>
      <c r="AP253" s="187">
        <f t="shared" si="131"/>
        <v>37131.126943571537</v>
      </c>
      <c r="AQ253" s="187">
        <f t="shared" si="131"/>
        <v>37366.814121363983</v>
      </c>
      <c r="AR253" s="187">
        <f t="shared" si="131"/>
        <v>37594.998779385656</v>
      </c>
      <c r="AS253" s="187">
        <f t="shared" si="131"/>
        <v>37815.76018099767</v>
      </c>
      <c r="AT253" s="187">
        <f t="shared" si="131"/>
        <v>38028.949450347442</v>
      </c>
      <c r="AU253" s="187">
        <f t="shared" si="131"/>
        <v>38234.422129851824</v>
      </c>
      <c r="AV253" s="187">
        <f t="shared" si="131"/>
        <v>38432.038342689149</v>
      </c>
      <c r="AW253" s="187">
        <f t="shared" si="131"/>
        <v>38621.662950912287</v>
      </c>
      <c r="AX253" s="187">
        <f t="shared" si="131"/>
        <v>38803.165708933317</v>
      </c>
      <c r="AY253" s="187">
        <f t="shared" si="131"/>
        <v>38976.421412136828</v>
      </c>
      <c r="AZ253" s="187">
        <f t="shared" si="131"/>
        <v>39141.310040385157</v>
      </c>
      <c r="BA253" s="187">
        <f t="shared" si="131"/>
        <v>39297.716896186175</v>
      </c>
      <c r="BB253" s="187">
        <f t="shared" si="131"/>
        <v>39445.532737301335</v>
      </c>
      <c r="BC253" s="187">
        <f t="shared" si="131"/>
        <v>39584.65390358038</v>
      </c>
      <c r="BD253" s="187">
        <f t="shared" si="131"/>
        <v>39714.982437816645</v>
      </c>
      <c r="BE253" s="187">
        <f t="shared" si="131"/>
        <v>39836.426200426635</v>
      </c>
      <c r="BF253" s="187">
        <f t="shared" si="131"/>
        <v>39948.898977766054</v>
      </c>
      <c r="BG253" s="187">
        <f t="shared" si="131"/>
        <v>40052.320583904562</v>
      </c>
      <c r="BH253" s="187">
        <f t="shared" si="131"/>
        <v>40146.616955691548</v>
      </c>
      <c r="BI253" s="187">
        <f t="shared" si="131"/>
        <v>40231.720240955321</v>
      </c>
      <c r="BJ253" s="187">
        <f t="shared" si="131"/>
        <v>40307.568879689112</v>
      </c>
      <c r="BK253" s="187">
        <f t="shared" si="131"/>
        <v>40374.107678088141</v>
      </c>
      <c r="BL253" s="187">
        <f t="shared" si="131"/>
        <v>40431.287875313501</v>
      </c>
      <c r="BM253" s="187">
        <f t="shared" si="131"/>
        <v>40479.067202869905</v>
      </c>
      <c r="BN253" s="182"/>
    </row>
    <row r="254" spans="1:66" ht="14.25" customHeight="1" x14ac:dyDescent="0.3">
      <c r="A254" s="92"/>
      <c r="B254" s="944"/>
      <c r="C254" s="183"/>
      <c r="D254" s="184" t="s">
        <v>797</v>
      </c>
      <c r="E254" s="180"/>
      <c r="F254" s="180"/>
      <c r="G254" s="180"/>
      <c r="H254" s="180"/>
      <c r="I254" s="180"/>
      <c r="J254" s="180"/>
      <c r="K254" s="181"/>
      <c r="L254" s="181"/>
      <c r="M254" s="181"/>
      <c r="N254" s="181"/>
      <c r="O254" s="181"/>
      <c r="P254" s="181"/>
      <c r="Q254" s="185"/>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c r="AX254" s="185"/>
      <c r="AY254" s="185"/>
      <c r="AZ254" s="185"/>
      <c r="BA254" s="185"/>
      <c r="BB254" s="185"/>
      <c r="BC254" s="185"/>
      <c r="BD254" s="185"/>
      <c r="BE254" s="185"/>
      <c r="BF254" s="185"/>
      <c r="BG254" s="185"/>
      <c r="BH254" s="185"/>
      <c r="BI254" s="185"/>
      <c r="BJ254" s="185"/>
      <c r="BK254" s="185"/>
      <c r="BL254" s="185"/>
      <c r="BM254" s="185"/>
      <c r="BN254" s="182"/>
    </row>
    <row r="255" spans="1:66" ht="14.25" customHeight="1" x14ac:dyDescent="0.3">
      <c r="A255" s="1199" t="s">
        <v>798</v>
      </c>
      <c r="B255" s="944"/>
      <c r="C255" s="183"/>
      <c r="D255" s="185" t="s">
        <v>799</v>
      </c>
      <c r="E255" s="323">
        <f t="shared" ref="E255:P255" si="132">E247*298/1000000000</f>
        <v>3.8373108395759997E-2</v>
      </c>
      <c r="F255" s="323">
        <f t="shared" si="132"/>
        <v>3.9729940617239994E-2</v>
      </c>
      <c r="G255" s="323">
        <f t="shared" si="132"/>
        <v>3.7120238540279994E-2</v>
      </c>
      <c r="H255" s="323">
        <f t="shared" si="132"/>
        <v>3.9739244367959989E-2</v>
      </c>
      <c r="I255" s="323">
        <f t="shared" si="132"/>
        <v>3.5207542454760002E-2</v>
      </c>
      <c r="J255" s="323">
        <f t="shared" si="132"/>
        <v>3.0338896751279994E-2</v>
      </c>
      <c r="K255" s="323">
        <f t="shared" si="132"/>
        <v>3.1582357131599993E-2</v>
      </c>
      <c r="L255" s="323">
        <f t="shared" si="132"/>
        <v>3.0172486482719994E-2</v>
      </c>
      <c r="M255" s="323">
        <f t="shared" si="132"/>
        <v>2.9339518861439998E-2</v>
      </c>
      <c r="N255" s="323">
        <f t="shared" si="132"/>
        <v>3.5118240544439995E-2</v>
      </c>
      <c r="O255" s="323">
        <f t="shared" si="132"/>
        <v>3.3920629329599994E-2</v>
      </c>
      <c r="P255" s="323">
        <f t="shared" si="132"/>
        <v>2.9839489738199994E-2</v>
      </c>
      <c r="Q255" s="357">
        <f t="shared" ref="Q255:BM255" si="133">Q247*298/1000000000</f>
        <v>3.024062970315437E-2</v>
      </c>
      <c r="R255" s="357">
        <f t="shared" si="133"/>
        <v>3.063834887975548E-2</v>
      </c>
      <c r="S255" s="357">
        <f t="shared" si="133"/>
        <v>3.1032410250235346E-2</v>
      </c>
      <c r="T255" s="357">
        <f t="shared" si="133"/>
        <v>3.1422739851602571E-2</v>
      </c>
      <c r="U255" s="357">
        <f t="shared" si="133"/>
        <v>3.1808900629816894E-2</v>
      </c>
      <c r="V255" s="357">
        <f t="shared" si="133"/>
        <v>3.2190746339872602E-2</v>
      </c>
      <c r="W255" s="357">
        <f t="shared" si="133"/>
        <v>3.2568002982505964E-2</v>
      </c>
      <c r="X255" s="357">
        <f t="shared" si="133"/>
        <v>3.2940616766450527E-2</v>
      </c>
      <c r="Y255" s="357">
        <f t="shared" si="133"/>
        <v>3.3308169128413924E-2</v>
      </c>
      <c r="Z255" s="357">
        <f t="shared" si="133"/>
        <v>3.3670463394078039E-2</v>
      </c>
      <c r="AA255" s="357">
        <f t="shared" si="133"/>
        <v>3.4027245735904127E-2</v>
      </c>
      <c r="AB255" s="357">
        <f t="shared" si="133"/>
        <v>3.4378221982903592E-2</v>
      </c>
      <c r="AC255" s="357">
        <f t="shared" si="133"/>
        <v>3.4723247571047743E-2</v>
      </c>
      <c r="AD255" s="357">
        <f t="shared" si="133"/>
        <v>3.5062070353774913E-2</v>
      </c>
      <c r="AE255" s="357">
        <f t="shared" si="133"/>
        <v>3.5394542405102258E-2</v>
      </c>
      <c r="AF255" s="357">
        <f t="shared" si="133"/>
        <v>3.5720379639903641E-2</v>
      </c>
      <c r="AG255" s="357">
        <f t="shared" si="133"/>
        <v>3.6039469432714834E-2</v>
      </c>
      <c r="AH255" s="357">
        <f t="shared" si="133"/>
        <v>3.6351601661401126E-2</v>
      </c>
      <c r="AI255" s="357">
        <f t="shared" si="133"/>
        <v>3.6656630080956744E-2</v>
      </c>
      <c r="AJ255" s="357">
        <f t="shared" si="133"/>
        <v>3.6954516028908903E-2</v>
      </c>
      <c r="AK255" s="357">
        <f t="shared" si="133"/>
        <v>3.7245156965655862E-2</v>
      </c>
      <c r="AL255" s="357">
        <f t="shared" si="133"/>
        <v>3.7528373026650297E-2</v>
      </c>
      <c r="AM255" s="357">
        <f t="shared" si="133"/>
        <v>3.7804127230396493E-2</v>
      </c>
      <c r="AN255" s="357">
        <f t="shared" si="133"/>
        <v>3.8072239712347133E-2</v>
      </c>
      <c r="AO255" s="357">
        <f t="shared" si="133"/>
        <v>3.8332665086121126E-2</v>
      </c>
      <c r="AP255" s="357">
        <f t="shared" si="133"/>
        <v>3.8585445376145423E-2</v>
      </c>
      <c r="AQ255" s="357">
        <f t="shared" si="133"/>
        <v>3.8830363736376938E-2</v>
      </c>
      <c r="AR255" s="357">
        <f t="shared" si="133"/>
        <v>3.9067485724921767E-2</v>
      </c>
      <c r="AS255" s="357">
        <f t="shared" si="133"/>
        <v>3.929689370965668E-2</v>
      </c>
      <c r="AT255" s="357">
        <f t="shared" si="133"/>
        <v>3.9518432983694271E-2</v>
      </c>
      <c r="AU255" s="357">
        <f t="shared" si="133"/>
        <v>3.9731953431467237E-2</v>
      </c>
      <c r="AV255" s="357">
        <f t="shared" si="133"/>
        <v>3.9937309697584966E-2</v>
      </c>
      <c r="AW255" s="357">
        <f t="shared" si="133"/>
        <v>4.0134361351139319E-2</v>
      </c>
      <c r="AX255" s="357">
        <f t="shared" si="133"/>
        <v>4.0322973045200834E-2</v>
      </c>
      <c r="AY255" s="357">
        <f t="shared" si="133"/>
        <v>4.0503014671252849E-2</v>
      </c>
      <c r="AZ255" s="357">
        <f t="shared" si="133"/>
        <v>4.0674361508317401E-2</v>
      </c>
      <c r="BA255" s="357">
        <f t="shared" si="133"/>
        <v>4.0836894366534621E-2</v>
      </c>
      <c r="BB255" s="357">
        <f t="shared" si="133"/>
        <v>4.0990499724964644E-2</v>
      </c>
      <c r="BC255" s="357">
        <f t="shared" si="133"/>
        <v>4.1135069863390113E-2</v>
      </c>
      <c r="BD255" s="357">
        <f t="shared" si="133"/>
        <v>4.1270502987904981E-2</v>
      </c>
      <c r="BE255" s="357">
        <f t="shared" si="133"/>
        <v>4.1396703350085821E-2</v>
      </c>
      <c r="BF255" s="357">
        <f t="shared" si="133"/>
        <v>4.1513581359550182E-2</v>
      </c>
      <c r="BG255" s="357">
        <f t="shared" si="133"/>
        <v>4.1621053689717705E-2</v>
      </c>
      <c r="BH255" s="357">
        <f t="shared" si="133"/>
        <v>4.1719043376599145E-2</v>
      </c>
      <c r="BI255" s="357">
        <f t="shared" si="133"/>
        <v>4.1807479910450265E-2</v>
      </c>
      <c r="BJ255" s="357">
        <f t="shared" si="133"/>
        <v>4.1886299320137592E-2</v>
      </c>
      <c r="BK255" s="357">
        <f t="shared" si="133"/>
        <v>4.1955444250075274E-2</v>
      </c>
      <c r="BL255" s="357">
        <f t="shared" si="133"/>
        <v>4.2014864029603888E-2</v>
      </c>
      <c r="BM255" s="357">
        <f t="shared" si="133"/>
        <v>4.2064514734693942E-2</v>
      </c>
      <c r="BN255" s="182"/>
    </row>
    <row r="256" spans="1:66" ht="14.25" customHeight="1" x14ac:dyDescent="0.3">
      <c r="A256" s="1199"/>
      <c r="B256" s="944"/>
      <c r="C256" s="183"/>
      <c r="D256" s="185" t="s">
        <v>800</v>
      </c>
      <c r="E256" s="323">
        <f t="shared" ref="E256:P256" si="134">E248*298/1000000000</f>
        <v>1.2830367202418303E-2</v>
      </c>
      <c r="F256" s="323">
        <f t="shared" si="134"/>
        <v>1.3087700573957856E-2</v>
      </c>
      <c r="G256" s="323">
        <f t="shared" si="134"/>
        <v>1.2786441171550202E-2</v>
      </c>
      <c r="H256" s="323">
        <f t="shared" si="134"/>
        <v>1.253873020419281E-2</v>
      </c>
      <c r="I256" s="323">
        <f t="shared" si="134"/>
        <v>1.1245571887023936E-2</v>
      </c>
      <c r="J256" s="323">
        <f t="shared" si="134"/>
        <v>1.005031542682213E-2</v>
      </c>
      <c r="K256" s="323">
        <f t="shared" si="134"/>
        <v>1.0079861580577403E-2</v>
      </c>
      <c r="L256" s="323">
        <f t="shared" si="134"/>
        <v>1.0234455028478603E-2</v>
      </c>
      <c r="M256" s="323">
        <f t="shared" si="134"/>
        <v>9.9076474102969426E-3</v>
      </c>
      <c r="N256" s="323">
        <f t="shared" si="134"/>
        <v>1.0516857937817616E-2</v>
      </c>
      <c r="O256" s="323">
        <f t="shared" si="134"/>
        <v>1.0589343459677139E-2</v>
      </c>
      <c r="P256" s="323">
        <f t="shared" si="134"/>
        <v>9.9323970153685215E-3</v>
      </c>
      <c r="Q256" s="357">
        <f t="shared" ref="Q256:BM256" si="135">Q248*298/1000000000</f>
        <v>1.0065920792940268E-2</v>
      </c>
      <c r="R256" s="357">
        <f t="shared" si="135"/>
        <v>1.0198305924096533E-2</v>
      </c>
      <c r="S256" s="357">
        <f t="shared" si="135"/>
        <v>1.0329473514908778E-2</v>
      </c>
      <c r="T256" s="357">
        <f t="shared" si="135"/>
        <v>1.0459398945995039E-2</v>
      </c>
      <c r="U256" s="357">
        <f t="shared" si="135"/>
        <v>1.0587936739189212E-2</v>
      </c>
      <c r="V256" s="357">
        <f t="shared" si="135"/>
        <v>1.07150382152588E-2</v>
      </c>
      <c r="W256" s="357">
        <f t="shared" si="135"/>
        <v>1.0840612170584274E-2</v>
      </c>
      <c r="X256" s="357">
        <f t="shared" si="135"/>
        <v>1.0964640700160578E-2</v>
      </c>
      <c r="Y256" s="357">
        <f t="shared" si="135"/>
        <v>1.1086984480667096E-2</v>
      </c>
      <c r="Z256" s="357">
        <f t="shared" si="135"/>
        <v>1.1207578046929076E-2</v>
      </c>
      <c r="AA256" s="357">
        <f t="shared" si="135"/>
        <v>1.1326336909703898E-2</v>
      </c>
      <c r="AB256" s="357">
        <f t="shared" si="135"/>
        <v>1.1443163150995153E-2</v>
      </c>
      <c r="AC256" s="357">
        <f t="shared" si="135"/>
        <v>1.1558008651101731E-2</v>
      </c>
      <c r="AD256" s="357">
        <f t="shared" si="135"/>
        <v>1.167078948031243E-2</v>
      </c>
      <c r="AE256" s="357">
        <f t="shared" si="135"/>
        <v>1.1781456399863326E-2</v>
      </c>
      <c r="AF256" s="357">
        <f t="shared" si="135"/>
        <v>1.1889914848946453E-2</v>
      </c>
      <c r="AG256" s="357">
        <f t="shared" si="135"/>
        <v>1.1996127338957474E-2</v>
      </c>
      <c r="AH256" s="357">
        <f t="shared" si="135"/>
        <v>1.2100023928470371E-2</v>
      </c>
      <c r="AI256" s="357">
        <f t="shared" si="135"/>
        <v>1.2201555938252635E-2</v>
      </c>
      <c r="AJ256" s="357">
        <f t="shared" si="135"/>
        <v>1.230071049908189E-2</v>
      </c>
      <c r="AK256" s="357">
        <f t="shared" si="135"/>
        <v>1.2397453479542237E-2</v>
      </c>
      <c r="AL256" s="357">
        <f t="shared" si="135"/>
        <v>1.2491725009773011E-2</v>
      </c>
      <c r="AM256" s="357">
        <f t="shared" si="135"/>
        <v>1.258351278008323E-2</v>
      </c>
      <c r="AN256" s="357">
        <f t="shared" si="135"/>
        <v>1.2672756920612233E-2</v>
      </c>
      <c r="AO256" s="357">
        <f t="shared" si="135"/>
        <v>1.2759442324011997E-2</v>
      </c>
      <c r="AP256" s="357">
        <f t="shared" si="135"/>
        <v>1.284358297856773E-2</v>
      </c>
      <c r="AQ256" s="357">
        <f t="shared" si="135"/>
        <v>1.292510670472778E-2</v>
      </c>
      <c r="AR256" s="357">
        <f t="shared" si="135"/>
        <v>1.3004035324217064E-2</v>
      </c>
      <c r="AS256" s="357">
        <f t="shared" si="135"/>
        <v>1.3080396254074584E-2</v>
      </c>
      <c r="AT256" s="357">
        <f t="shared" si="135"/>
        <v>1.3154137998438956E-2</v>
      </c>
      <c r="AU256" s="357">
        <f t="shared" si="135"/>
        <v>1.3225210589719415E-2</v>
      </c>
      <c r="AV256" s="357">
        <f t="shared" si="135"/>
        <v>1.3293565644801468E-2</v>
      </c>
      <c r="AW256" s="357">
        <f t="shared" si="135"/>
        <v>1.3359156419737912E-2</v>
      </c>
      <c r="AX256" s="357">
        <f t="shared" si="135"/>
        <v>1.3421937862838861E-2</v>
      </c>
      <c r="AY256" s="357">
        <f t="shared" si="135"/>
        <v>1.3481866666076802E-2</v>
      </c>
      <c r="AZ256" s="357">
        <f t="shared" si="135"/>
        <v>1.353890131472477E-2</v>
      </c>
      <c r="BA256" s="357">
        <f t="shared" si="135"/>
        <v>1.3593002135148292E-2</v>
      </c>
      <c r="BB256" s="357">
        <f t="shared" si="135"/>
        <v>1.3644131340674281E-2</v>
      </c>
      <c r="BC256" s="357">
        <f t="shared" si="135"/>
        <v>1.3692253075462868E-2</v>
      </c>
      <c r="BD256" s="357">
        <f t="shared" si="135"/>
        <v>1.3737333456311052E-2</v>
      </c>
      <c r="BE256" s="357">
        <f t="shared" si="135"/>
        <v>1.3779340612320116E-2</v>
      </c>
      <c r="BF256" s="357">
        <f t="shared" si="135"/>
        <v>1.3818244722361919E-2</v>
      </c>
      <c r="BG256" s="357">
        <f t="shared" si="135"/>
        <v>1.3854018050282595E-2</v>
      </c>
      <c r="BH256" s="357">
        <f t="shared" si="135"/>
        <v>1.3886634977785616E-2</v>
      </c>
      <c r="BI256" s="357">
        <f t="shared" si="135"/>
        <v>1.3916072034939718E-2</v>
      </c>
      <c r="BJ256" s="357">
        <f t="shared" si="135"/>
        <v>1.394230792826095E-2</v>
      </c>
      <c r="BK256" s="357">
        <f t="shared" si="135"/>
        <v>1.3965323566322003E-2</v>
      </c>
      <c r="BL256" s="357">
        <f t="shared" si="135"/>
        <v>1.3985102082845638E-2</v>
      </c>
      <c r="BM256" s="357">
        <f t="shared" si="135"/>
        <v>1.40016288572434E-2</v>
      </c>
      <c r="BN256" s="182"/>
    </row>
    <row r="257" spans="1:69" ht="14.25" customHeight="1" x14ac:dyDescent="0.3">
      <c r="A257" s="1199"/>
      <c r="B257" s="944"/>
      <c r="C257" s="183"/>
      <c r="D257" s="185" t="s">
        <v>801</v>
      </c>
      <c r="E257" s="323">
        <f t="shared" ref="E257:P257" si="136">E249*298/1000000000</f>
        <v>4.3328643840130167E-2</v>
      </c>
      <c r="F257" s="323">
        <f t="shared" si="136"/>
        <v>4.419766853971286E-2</v>
      </c>
      <c r="G257" s="323">
        <f t="shared" si="136"/>
        <v>4.3180303943323797E-2</v>
      </c>
      <c r="H257" s="323">
        <f t="shared" si="136"/>
        <v>4.2343774472998141E-2</v>
      </c>
      <c r="I257" s="323">
        <f t="shared" si="136"/>
        <v>3.797672906661638E-2</v>
      </c>
      <c r="J257" s="323">
        <f t="shared" si="136"/>
        <v>3.3940301999124706E-2</v>
      </c>
      <c r="K257" s="323">
        <f t="shared" si="136"/>
        <v>3.4040080497488072E-2</v>
      </c>
      <c r="L257" s="323">
        <f t="shared" si="136"/>
        <v>3.4562148520830872E-2</v>
      </c>
      <c r="M257" s="323">
        <f t="shared" si="136"/>
        <v>3.3458506616508336E-2</v>
      </c>
      <c r="N257" s="323">
        <f t="shared" si="136"/>
        <v>3.55158340144043E-2</v>
      </c>
      <c r="O257" s="323">
        <f t="shared" si="136"/>
        <v>3.5760620411447182E-2</v>
      </c>
      <c r="P257" s="323">
        <f t="shared" si="136"/>
        <v>3.3542086985363873E-2</v>
      </c>
      <c r="Q257" s="357">
        <f t="shared" ref="Q257:BM257" si="137">Q249*298/1000000000</f>
        <v>3.3993001921103556E-2</v>
      </c>
      <c r="R257" s="357">
        <f t="shared" si="137"/>
        <v>3.4440071604075501E-2</v>
      </c>
      <c r="S257" s="357">
        <f t="shared" si="137"/>
        <v>3.4883029606446653E-2</v>
      </c>
      <c r="T257" s="357">
        <f t="shared" si="137"/>
        <v>3.5321792787616622E-2</v>
      </c>
      <c r="U257" s="357">
        <f t="shared" si="137"/>
        <v>3.5755869862219541E-2</v>
      </c>
      <c r="V257" s="357">
        <f t="shared" si="137"/>
        <v>3.6185096438613694E-2</v>
      </c>
      <c r="W257" s="357">
        <f t="shared" si="137"/>
        <v>3.6609164518665867E-2</v>
      </c>
      <c r="X257" s="357">
        <f t="shared" si="137"/>
        <v>3.702801363648487E-2</v>
      </c>
      <c r="Y257" s="357">
        <f t="shared" si="137"/>
        <v>3.7441173291854882E-2</v>
      </c>
      <c r="Z257" s="357">
        <f t="shared" si="137"/>
        <v>3.7848422406361264E-2</v>
      </c>
      <c r="AA257" s="357">
        <f t="shared" si="137"/>
        <v>3.8249475656579955E-2</v>
      </c>
      <c r="AB257" s="357">
        <f t="shared" si="137"/>
        <v>3.8644002369668549E-2</v>
      </c>
      <c r="AC257" s="357">
        <f t="shared" si="137"/>
        <v>3.9031840043544465E-2</v>
      </c>
      <c r="AD257" s="357">
        <f t="shared" si="137"/>
        <v>3.9412705244342747E-2</v>
      </c>
      <c r="AE257" s="357">
        <f t="shared" si="137"/>
        <v>3.9786431690862642E-2</v>
      </c>
      <c r="AF257" s="357">
        <f t="shared" si="137"/>
        <v>4.0152700047616306E-2</v>
      </c>
      <c r="AG257" s="357">
        <f t="shared" si="137"/>
        <v>4.0511383714144054E-2</v>
      </c>
      <c r="AH257" s="357">
        <f t="shared" si="137"/>
        <v>4.0862246495558439E-2</v>
      </c>
      <c r="AI257" s="357">
        <f t="shared" si="137"/>
        <v>4.1205124000217801E-2</v>
      </c>
      <c r="AJ257" s="357">
        <f t="shared" si="137"/>
        <v>4.1539972768262858E-2</v>
      </c>
      <c r="AK257" s="357">
        <f t="shared" si="137"/>
        <v>4.1866677536588508E-2</v>
      </c>
      <c r="AL257" s="357">
        <f t="shared" si="137"/>
        <v>4.2185036122371095E-2</v>
      </c>
      <c r="AM257" s="357">
        <f t="shared" si="137"/>
        <v>4.249500695531043E-2</v>
      </c>
      <c r="AN257" s="357">
        <f t="shared" si="137"/>
        <v>4.2796387852582857E-2</v>
      </c>
      <c r="AO257" s="357">
        <f t="shared" si="137"/>
        <v>4.3089127796092704E-2</v>
      </c>
      <c r="AP257" s="357">
        <f t="shared" si="137"/>
        <v>4.3373274024817436E-2</v>
      </c>
      <c r="AQ257" s="357">
        <f t="shared" si="137"/>
        <v>4.3648582785633196E-2</v>
      </c>
      <c r="AR257" s="357">
        <f t="shared" si="137"/>
        <v>4.3915127771344903E-2</v>
      </c>
      <c r="AS257" s="357">
        <f t="shared" si="137"/>
        <v>4.4173001570348404E-2</v>
      </c>
      <c r="AT257" s="357">
        <f t="shared" si="137"/>
        <v>4.442203027913795E-2</v>
      </c>
      <c r="AU257" s="357">
        <f t="shared" si="137"/>
        <v>4.4662045155236384E-2</v>
      </c>
      <c r="AV257" s="357">
        <f t="shared" si="137"/>
        <v>4.4892882807004028E-2</v>
      </c>
      <c r="AW257" s="357">
        <f t="shared" si="137"/>
        <v>4.5114385378332122E-2</v>
      </c>
      <c r="AX257" s="357">
        <f t="shared" si="137"/>
        <v>4.5326400727930045E-2</v>
      </c>
      <c r="AY257" s="357">
        <f t="shared" si="137"/>
        <v>4.5528782602922105E-2</v>
      </c>
      <c r="AZ257" s="357">
        <f t="shared" si="137"/>
        <v>4.5721390806477587E-2</v>
      </c>
      <c r="BA257" s="357">
        <f t="shared" si="137"/>
        <v>4.590409135920593E-2</v>
      </c>
      <c r="BB257" s="357">
        <f t="shared" si="137"/>
        <v>4.6076756654057895E-2</v>
      </c>
      <c r="BC257" s="357">
        <f t="shared" si="137"/>
        <v>4.6239265604482223E-2</v>
      </c>
      <c r="BD257" s="357">
        <f t="shared" si="137"/>
        <v>4.6391503785598386E-2</v>
      </c>
      <c r="BE257" s="357">
        <f t="shared" si="137"/>
        <v>4.6533363568154767E-2</v>
      </c>
      <c r="BF257" s="357">
        <f t="shared" si="137"/>
        <v>4.6664744245053909E-2</v>
      </c>
      <c r="BG257" s="357">
        <f t="shared" si="137"/>
        <v>4.6785552150236796E-2</v>
      </c>
      <c r="BH257" s="357">
        <f t="shared" si="137"/>
        <v>4.6895700769730042E-2</v>
      </c>
      <c r="BI257" s="357">
        <f t="shared" si="137"/>
        <v>4.6995110844672477E-2</v>
      </c>
      <c r="BJ257" s="357">
        <f t="shared" si="137"/>
        <v>4.7083710466149335E-2</v>
      </c>
      <c r="BK257" s="357">
        <f t="shared" si="137"/>
        <v>4.7161435161675799E-2</v>
      </c>
      <c r="BL257" s="357">
        <f t="shared" si="137"/>
        <v>4.7228227973184531E-2</v>
      </c>
      <c r="BM257" s="357">
        <f t="shared" si="137"/>
        <v>4.7284039526385567E-2</v>
      </c>
      <c r="BN257" s="182"/>
    </row>
    <row r="258" spans="1:69" ht="14.25" customHeight="1" x14ac:dyDescent="0.3">
      <c r="A258" s="1199"/>
      <c r="B258" s="944"/>
      <c r="C258" s="183"/>
      <c r="D258" s="185" t="s">
        <v>802</v>
      </c>
      <c r="E258" s="323">
        <f t="shared" ref="E258" si="138">E250*298/1000000000</f>
        <v>5.1714832970477943E-2</v>
      </c>
      <c r="F258" s="323">
        <f t="shared" ref="F258:P258" si="139">F250*298/1000000000</f>
        <v>5.2752055999012115E-2</v>
      </c>
      <c r="G258" s="323">
        <f t="shared" si="139"/>
        <v>5.1537782125902584E-2</v>
      </c>
      <c r="H258" s="323">
        <f t="shared" si="139"/>
        <v>5.0539343725836502E-2</v>
      </c>
      <c r="I258" s="323">
        <f t="shared" si="139"/>
        <v>4.5327063724671164E-2</v>
      </c>
      <c r="J258" s="323">
        <f t="shared" si="139"/>
        <v>4.0509392708632706E-2</v>
      </c>
      <c r="K258" s="323">
        <f t="shared" si="139"/>
        <v>4.0628483174421241E-2</v>
      </c>
      <c r="L258" s="323">
        <f t="shared" si="139"/>
        <v>4.1251596621636855E-2</v>
      </c>
      <c r="M258" s="323">
        <f t="shared" si="139"/>
        <v>3.9934346606800265E-2</v>
      </c>
      <c r="N258" s="323">
        <f t="shared" si="139"/>
        <v>4.238986640428901E-2</v>
      </c>
      <c r="O258" s="323">
        <f t="shared" si="139"/>
        <v>4.2682030813662758E-2</v>
      </c>
      <c r="P258" s="323">
        <f t="shared" si="139"/>
        <v>4.003410382124075E-2</v>
      </c>
      <c r="Q258" s="357">
        <f t="shared" ref="Q258:BM258" si="140">Q250*298/1000000000</f>
        <v>4.0572292615510701E-2</v>
      </c>
      <c r="R258" s="357">
        <f t="shared" si="140"/>
        <v>4.1105891914541726E-2</v>
      </c>
      <c r="S258" s="357">
        <f t="shared" si="140"/>
        <v>4.1634583723823428E-2</v>
      </c>
      <c r="T258" s="357">
        <f t="shared" si="140"/>
        <v>4.2158268811026314E-2</v>
      </c>
      <c r="U258" s="357">
        <f t="shared" si="140"/>
        <v>4.2676360803294289E-2</v>
      </c>
      <c r="V258" s="357">
        <f t="shared" si="140"/>
        <v>4.3188663491248593E-2</v>
      </c>
      <c r="W258" s="357">
        <f t="shared" si="140"/>
        <v>4.3694809264214082E-2</v>
      </c>
      <c r="X258" s="357">
        <f t="shared" si="140"/>
        <v>4.4194725953223872E-2</v>
      </c>
      <c r="Y258" s="357">
        <f t="shared" si="140"/>
        <v>4.4687851993504203E-2</v>
      </c>
      <c r="Z258" s="357">
        <f t="shared" si="140"/>
        <v>4.5173923517269884E-2</v>
      </c>
      <c r="AA258" s="357">
        <f t="shared" si="140"/>
        <v>4.565259997720833E-2</v>
      </c>
      <c r="AB258" s="357">
        <f t="shared" si="140"/>
        <v>4.6123486699281818E-2</v>
      </c>
      <c r="AC258" s="357">
        <f t="shared" si="140"/>
        <v>4.6586389729391768E-2</v>
      </c>
      <c r="AD258" s="357">
        <f t="shared" si="140"/>
        <v>4.7040970775505848E-2</v>
      </c>
      <c r="AE258" s="357">
        <f t="shared" si="140"/>
        <v>4.7487031372965068E-2</v>
      </c>
      <c r="AF258" s="357">
        <f t="shared" si="140"/>
        <v>4.7924190379412993E-2</v>
      </c>
      <c r="AG258" s="357">
        <f t="shared" si="140"/>
        <v>4.8352296691075144E-2</v>
      </c>
      <c r="AH258" s="357">
        <f t="shared" si="140"/>
        <v>4.877106839792459E-2</v>
      </c>
      <c r="AI258" s="357">
        <f t="shared" si="140"/>
        <v>4.9180309290582529E-2</v>
      </c>
      <c r="AJ258" s="357">
        <f t="shared" si="140"/>
        <v>4.957996749760403E-2</v>
      </c>
      <c r="AK258" s="357">
        <f t="shared" si="140"/>
        <v>4.9969905446895918E-2</v>
      </c>
      <c r="AL258" s="357">
        <f t="shared" si="140"/>
        <v>5.0349881823475155E-2</v>
      </c>
      <c r="AM258" s="357">
        <f t="shared" si="140"/>
        <v>5.0719847011176961E-2</v>
      </c>
      <c r="AN258" s="357">
        <f t="shared" si="140"/>
        <v>5.1079559695018241E-2</v>
      </c>
      <c r="AO258" s="357">
        <f t="shared" si="140"/>
        <v>5.1428958982433208E-2</v>
      </c>
      <c r="AP258" s="357">
        <f t="shared" si="140"/>
        <v>5.176810125542726E-2</v>
      </c>
      <c r="AQ258" s="357">
        <f t="shared" si="140"/>
        <v>5.2096695582852529E-2</v>
      </c>
      <c r="AR258" s="357">
        <f t="shared" si="140"/>
        <v>5.2414829920637451E-2</v>
      </c>
      <c r="AS258" s="357">
        <f t="shared" si="140"/>
        <v>5.2722614777512611E-2</v>
      </c>
      <c r="AT258" s="357">
        <f t="shared" si="140"/>
        <v>5.3019842591229153E-2</v>
      </c>
      <c r="AU258" s="357">
        <f t="shared" si="140"/>
        <v>5.3306311959475682E-2</v>
      </c>
      <c r="AV258" s="357">
        <f t="shared" si="140"/>
        <v>5.3581827866424153E-2</v>
      </c>
      <c r="AW258" s="357">
        <f t="shared" si="140"/>
        <v>5.384620190317059E-2</v>
      </c>
      <c r="AX258" s="357">
        <f t="shared" si="140"/>
        <v>5.4099252481722954E-2</v>
      </c>
      <c r="AY258" s="357">
        <f t="shared" si="140"/>
        <v>5.4340805042197356E-2</v>
      </c>
      <c r="AZ258" s="357">
        <f t="shared" si="140"/>
        <v>5.4570692252892586E-2</v>
      </c>
      <c r="BA258" s="357">
        <f t="shared" si="140"/>
        <v>5.4788754202923194E-2</v>
      </c>
      <c r="BB258" s="357">
        <f t="shared" si="140"/>
        <v>5.4994838587101337E-2</v>
      </c>
      <c r="BC258" s="357">
        <f t="shared" si="140"/>
        <v>5.518880088276909E-2</v>
      </c>
      <c r="BD258" s="357">
        <f t="shared" si="140"/>
        <v>5.5370504518294825E-2</v>
      </c>
      <c r="BE258" s="357">
        <f t="shared" si="140"/>
        <v>5.5539821032958896E-2</v>
      </c>
      <c r="BF258" s="357">
        <f t="shared" si="140"/>
        <v>5.5696630227967552E-2</v>
      </c>
      <c r="BG258" s="357">
        <f t="shared" si="140"/>
        <v>5.5840820308347125E-2</v>
      </c>
      <c r="BH258" s="357">
        <f t="shared" si="140"/>
        <v>5.5972288015484234E-2</v>
      </c>
      <c r="BI258" s="357">
        <f t="shared" si="140"/>
        <v>5.6090938750092953E-2</v>
      </c>
      <c r="BJ258" s="357">
        <f t="shared" si="140"/>
        <v>5.6196686685404049E-2</v>
      </c>
      <c r="BK258" s="357">
        <f t="shared" si="140"/>
        <v>5.6289454870387237E-2</v>
      </c>
      <c r="BL258" s="357">
        <f t="shared" si="140"/>
        <v>5.636917532283315E-2</v>
      </c>
      <c r="BM258" s="357">
        <f t="shared" si="140"/>
        <v>5.6435789112137598E-2</v>
      </c>
      <c r="BN258" s="182"/>
    </row>
    <row r="259" spans="1:69" ht="14.25" customHeight="1" x14ac:dyDescent="0.3">
      <c r="A259" s="1199"/>
      <c r="B259" s="944"/>
      <c r="C259" s="183"/>
      <c r="D259" s="185" t="s">
        <v>803</v>
      </c>
      <c r="E259" s="323">
        <f t="shared" ref="E259:P259" si="141">E251*298/1000000000</f>
        <v>0</v>
      </c>
      <c r="F259" s="323">
        <f t="shared" si="141"/>
        <v>0</v>
      </c>
      <c r="G259" s="323">
        <f t="shared" si="141"/>
        <v>0</v>
      </c>
      <c r="H259" s="323">
        <f t="shared" si="141"/>
        <v>0</v>
      </c>
      <c r="I259" s="323">
        <f t="shared" si="141"/>
        <v>0</v>
      </c>
      <c r="J259" s="323">
        <f t="shared" si="141"/>
        <v>0</v>
      </c>
      <c r="K259" s="323">
        <f t="shared" si="141"/>
        <v>0</v>
      </c>
      <c r="L259" s="323">
        <f t="shared" si="141"/>
        <v>0</v>
      </c>
      <c r="M259" s="323">
        <f t="shared" si="141"/>
        <v>0</v>
      </c>
      <c r="N259" s="323">
        <f t="shared" si="141"/>
        <v>0</v>
      </c>
      <c r="O259" s="323">
        <f t="shared" si="141"/>
        <v>0</v>
      </c>
      <c r="P259" s="323">
        <f t="shared" si="141"/>
        <v>0</v>
      </c>
      <c r="Q259" s="357">
        <f t="shared" ref="Q259:BM259" si="142">Q251*298/1000000000</f>
        <v>0</v>
      </c>
      <c r="R259" s="357">
        <f t="shared" si="142"/>
        <v>0</v>
      </c>
      <c r="S259" s="357">
        <f t="shared" si="142"/>
        <v>0</v>
      </c>
      <c r="T259" s="357">
        <f t="shared" si="142"/>
        <v>0</v>
      </c>
      <c r="U259" s="357">
        <f t="shared" si="142"/>
        <v>0</v>
      </c>
      <c r="V259" s="357">
        <f t="shared" si="142"/>
        <v>0</v>
      </c>
      <c r="W259" s="357">
        <f t="shared" si="142"/>
        <v>0</v>
      </c>
      <c r="X259" s="357">
        <f t="shared" si="142"/>
        <v>0</v>
      </c>
      <c r="Y259" s="357">
        <f t="shared" si="142"/>
        <v>0</v>
      </c>
      <c r="Z259" s="357">
        <f t="shared" si="142"/>
        <v>0</v>
      </c>
      <c r="AA259" s="357">
        <f t="shared" si="142"/>
        <v>0</v>
      </c>
      <c r="AB259" s="357">
        <f t="shared" si="142"/>
        <v>0</v>
      </c>
      <c r="AC259" s="357">
        <f t="shared" si="142"/>
        <v>0</v>
      </c>
      <c r="AD259" s="357">
        <f t="shared" si="142"/>
        <v>0</v>
      </c>
      <c r="AE259" s="357">
        <f t="shared" si="142"/>
        <v>0</v>
      </c>
      <c r="AF259" s="357">
        <f t="shared" si="142"/>
        <v>0</v>
      </c>
      <c r="AG259" s="357">
        <f t="shared" si="142"/>
        <v>0</v>
      </c>
      <c r="AH259" s="357">
        <f t="shared" si="142"/>
        <v>0</v>
      </c>
      <c r="AI259" s="357">
        <f t="shared" si="142"/>
        <v>0</v>
      </c>
      <c r="AJ259" s="357">
        <f t="shared" si="142"/>
        <v>0</v>
      </c>
      <c r="AK259" s="357">
        <f t="shared" si="142"/>
        <v>0</v>
      </c>
      <c r="AL259" s="357">
        <f t="shared" si="142"/>
        <v>0</v>
      </c>
      <c r="AM259" s="357">
        <f t="shared" si="142"/>
        <v>0</v>
      </c>
      <c r="AN259" s="357">
        <f t="shared" si="142"/>
        <v>0</v>
      </c>
      <c r="AO259" s="357">
        <f t="shared" si="142"/>
        <v>0</v>
      </c>
      <c r="AP259" s="357">
        <f t="shared" si="142"/>
        <v>0</v>
      </c>
      <c r="AQ259" s="357">
        <f t="shared" si="142"/>
        <v>0</v>
      </c>
      <c r="AR259" s="357">
        <f t="shared" si="142"/>
        <v>0</v>
      </c>
      <c r="AS259" s="357">
        <f t="shared" si="142"/>
        <v>0</v>
      </c>
      <c r="AT259" s="357">
        <f t="shared" si="142"/>
        <v>0</v>
      </c>
      <c r="AU259" s="357">
        <f t="shared" si="142"/>
        <v>0</v>
      </c>
      <c r="AV259" s="357">
        <f t="shared" si="142"/>
        <v>0</v>
      </c>
      <c r="AW259" s="357">
        <f t="shared" si="142"/>
        <v>0</v>
      </c>
      <c r="AX259" s="357">
        <f t="shared" si="142"/>
        <v>0</v>
      </c>
      <c r="AY259" s="357">
        <f t="shared" si="142"/>
        <v>0</v>
      </c>
      <c r="AZ259" s="357">
        <f t="shared" si="142"/>
        <v>0</v>
      </c>
      <c r="BA259" s="357">
        <f t="shared" si="142"/>
        <v>0</v>
      </c>
      <c r="BB259" s="357">
        <f t="shared" si="142"/>
        <v>0</v>
      </c>
      <c r="BC259" s="357">
        <f t="shared" si="142"/>
        <v>0</v>
      </c>
      <c r="BD259" s="357">
        <f t="shared" si="142"/>
        <v>0</v>
      </c>
      <c r="BE259" s="357">
        <f t="shared" si="142"/>
        <v>0</v>
      </c>
      <c r="BF259" s="357">
        <f t="shared" si="142"/>
        <v>0</v>
      </c>
      <c r="BG259" s="357">
        <f t="shared" si="142"/>
        <v>0</v>
      </c>
      <c r="BH259" s="357">
        <f t="shared" si="142"/>
        <v>0</v>
      </c>
      <c r="BI259" s="357">
        <f t="shared" si="142"/>
        <v>0</v>
      </c>
      <c r="BJ259" s="357">
        <f t="shared" si="142"/>
        <v>0</v>
      </c>
      <c r="BK259" s="357">
        <f t="shared" si="142"/>
        <v>0</v>
      </c>
      <c r="BL259" s="357">
        <f t="shared" si="142"/>
        <v>0</v>
      </c>
      <c r="BM259" s="357">
        <f t="shared" si="142"/>
        <v>0</v>
      </c>
      <c r="BN259" s="182"/>
    </row>
    <row r="260" spans="1:69" ht="14.25" customHeight="1" x14ac:dyDescent="0.3">
      <c r="A260" s="1199"/>
      <c r="B260" s="944"/>
      <c r="C260" s="183"/>
      <c r="D260" s="185" t="s">
        <v>804</v>
      </c>
      <c r="E260" s="323">
        <f t="shared" ref="E260:P260" si="143">E252*298/1000000000</f>
        <v>6.35518411164E-3</v>
      </c>
      <c r="F260" s="323">
        <f t="shared" si="143"/>
        <v>5.9579540303399993E-3</v>
      </c>
      <c r="G260" s="323">
        <f t="shared" si="143"/>
        <v>5.7072228891569456E-3</v>
      </c>
      <c r="H260" s="323">
        <f t="shared" si="143"/>
        <v>5.9299865124254267E-3</v>
      </c>
      <c r="I260" s="323">
        <f t="shared" si="143"/>
        <v>5.4080946873046234E-3</v>
      </c>
      <c r="J260" s="323">
        <f t="shared" si="143"/>
        <v>4.0632885238260988E-3</v>
      </c>
      <c r="K260" s="323">
        <f t="shared" si="143"/>
        <v>3.8370625294024416E-3</v>
      </c>
      <c r="L260" s="323">
        <f t="shared" si="143"/>
        <v>3.1284398315686687E-3</v>
      </c>
      <c r="M260" s="323">
        <f t="shared" si="143"/>
        <v>2.8539988830825198E-3</v>
      </c>
      <c r="N260" s="323">
        <f t="shared" si="143"/>
        <v>3.7260652347714143E-3</v>
      </c>
      <c r="O260" s="323">
        <f t="shared" si="143"/>
        <v>3.9818038230445395E-3</v>
      </c>
      <c r="P260" s="323">
        <f t="shared" si="143"/>
        <v>4.2407633859602159E-3</v>
      </c>
      <c r="Q260" s="357">
        <f t="shared" ref="Q260:BM260" si="144">Q252*298/1000000000</f>
        <v>4.2977730631011115E-3</v>
      </c>
      <c r="R260" s="357">
        <f t="shared" si="144"/>
        <v>4.3542965806552683E-3</v>
      </c>
      <c r="S260" s="357">
        <f t="shared" si="144"/>
        <v>4.41030025385525E-3</v>
      </c>
      <c r="T260" s="357">
        <f t="shared" si="144"/>
        <v>4.4657735711424243E-3</v>
      </c>
      <c r="U260" s="357">
        <f t="shared" si="144"/>
        <v>4.5206544187612364E-3</v>
      </c>
      <c r="V260" s="357">
        <f t="shared" si="144"/>
        <v>4.5749220124934832E-3</v>
      </c>
      <c r="W260" s="357">
        <f t="shared" si="144"/>
        <v>4.6285374117924112E-3</v>
      </c>
      <c r="X260" s="357">
        <f t="shared" si="144"/>
        <v>4.6814929718881088E-3</v>
      </c>
      <c r="Y260" s="357">
        <f t="shared" si="144"/>
        <v>4.7337292069146789E-3</v>
      </c>
      <c r="Z260" s="357">
        <f t="shared" si="144"/>
        <v>4.7852181656821225E-3</v>
      </c>
      <c r="AA260" s="357">
        <f t="shared" si="144"/>
        <v>4.8359237744324051E-3</v>
      </c>
      <c r="AB260" s="357">
        <f t="shared" si="144"/>
        <v>4.8858042258300574E-3</v>
      </c>
      <c r="AC260" s="357">
        <f t="shared" si="144"/>
        <v>4.9348389745559372E-3</v>
      </c>
      <c r="AD260" s="357">
        <f t="shared" si="144"/>
        <v>4.9829921857510702E-3</v>
      </c>
      <c r="AE260" s="357">
        <f t="shared" si="144"/>
        <v>5.030242836298192E-3</v>
      </c>
      <c r="AF260" s="357">
        <f t="shared" si="144"/>
        <v>5.0765505522561904E-3</v>
      </c>
      <c r="AG260" s="357">
        <f t="shared" si="144"/>
        <v>5.1218993273880594E-3</v>
      </c>
      <c r="AH260" s="357">
        <f t="shared" si="144"/>
        <v>5.1662592993113208E-3</v>
      </c>
      <c r="AI260" s="357">
        <f t="shared" si="144"/>
        <v>5.2096096838077678E-3</v>
      </c>
      <c r="AJ260" s="357">
        <f t="shared" si="144"/>
        <v>5.2519449861990275E-3</v>
      </c>
      <c r="AK260" s="357">
        <f t="shared" si="144"/>
        <v>5.2932506336424478E-3</v>
      </c>
      <c r="AL260" s="357">
        <f t="shared" si="144"/>
        <v>5.3335010639386313E-3</v>
      </c>
      <c r="AM260" s="357">
        <f t="shared" si="144"/>
        <v>5.3726910213082613E-3</v>
      </c>
      <c r="AN260" s="357">
        <f t="shared" si="144"/>
        <v>5.4107949435519328E-3</v>
      </c>
      <c r="AO260" s="357">
        <f t="shared" si="144"/>
        <v>5.4478063803950335E-3</v>
      </c>
      <c r="AP260" s="357">
        <f t="shared" si="144"/>
        <v>5.483731304314057E-3</v>
      </c>
      <c r="AQ260" s="357">
        <f t="shared" si="144"/>
        <v>5.5185388973302907E-3</v>
      </c>
      <c r="AR260" s="357">
        <f t="shared" si="144"/>
        <v>5.5522384765070614E-3</v>
      </c>
      <c r="AS260" s="357">
        <f t="shared" si="144"/>
        <v>5.5848417478983068E-3</v>
      </c>
      <c r="AT260" s="357">
        <f t="shared" si="144"/>
        <v>5.6163267246902519E-3</v>
      </c>
      <c r="AU260" s="357">
        <f t="shared" si="144"/>
        <v>5.6466720725837274E-3</v>
      </c>
      <c r="AV260" s="357">
        <f t="shared" si="144"/>
        <v>5.6758571337918859E-3</v>
      </c>
      <c r="AW260" s="357">
        <f t="shared" si="144"/>
        <v>5.7038619503912268E-3</v>
      </c>
      <c r="AX260" s="357">
        <f t="shared" si="144"/>
        <v>5.7306672869890584E-3</v>
      </c>
      <c r="AY260" s="357">
        <f t="shared" si="144"/>
        <v>5.756254652671545E-3</v>
      </c>
      <c r="AZ260" s="357">
        <f t="shared" si="144"/>
        <v>5.7806063221973571E-3</v>
      </c>
      <c r="BA260" s="357">
        <f t="shared" si="144"/>
        <v>5.8037053564030452E-3</v>
      </c>
      <c r="BB260" s="357">
        <f t="shared" si="144"/>
        <v>5.8255356217873583E-3</v>
      </c>
      <c r="BC260" s="357">
        <f t="shared" si="144"/>
        <v>5.846081809242871E-3</v>
      </c>
      <c r="BD260" s="357">
        <f t="shared" si="144"/>
        <v>5.8653294519045874E-3</v>
      </c>
      <c r="BE260" s="357">
        <f t="shared" si="144"/>
        <v>5.8832649420864566E-3</v>
      </c>
      <c r="BF260" s="357">
        <f t="shared" si="144"/>
        <v>5.8998755472780681E-3</v>
      </c>
      <c r="BG260" s="357">
        <f t="shared" si="144"/>
        <v>5.91514942517534E-3</v>
      </c>
      <c r="BH260" s="357">
        <f t="shared" si="144"/>
        <v>5.9290756377203381E-3</v>
      </c>
      <c r="BI260" s="357">
        <f t="shared" si="144"/>
        <v>5.9416441641270412E-3</v>
      </c>
      <c r="BJ260" s="357">
        <f t="shared" si="144"/>
        <v>5.9528459128713272E-3</v>
      </c>
      <c r="BK260" s="357">
        <f t="shared" si="144"/>
        <v>5.9626727326251884E-3</v>
      </c>
      <c r="BL260" s="357">
        <f t="shared" si="144"/>
        <v>5.9711174221167866E-3</v>
      </c>
      <c r="BM260" s="357">
        <f t="shared" si="144"/>
        <v>5.9781737388996921E-3</v>
      </c>
      <c r="BN260" s="182"/>
    </row>
    <row r="261" spans="1:69" ht="14.25" customHeight="1" x14ac:dyDescent="0.3">
      <c r="A261" s="1199"/>
      <c r="B261" s="944"/>
      <c r="C261" s="183"/>
      <c r="D261" s="185" t="s">
        <v>805</v>
      </c>
      <c r="E261" s="323">
        <f t="shared" ref="E261:P261" si="145">E253*298/1000000000</f>
        <v>1.7914317308014047E-2</v>
      </c>
      <c r="F261" s="323">
        <f t="shared" si="145"/>
        <v>4.1234910019726494E-3</v>
      </c>
      <c r="G261" s="323">
        <f t="shared" si="145"/>
        <v>1.60421789575971E-2</v>
      </c>
      <c r="H261" s="323">
        <f t="shared" si="145"/>
        <v>1.4913183776302349E-2</v>
      </c>
      <c r="I261" s="323">
        <f t="shared" si="145"/>
        <v>1.1493991310571E-2</v>
      </c>
      <c r="J261" s="323">
        <f t="shared" si="145"/>
        <v>9.2938705695296987E-3</v>
      </c>
      <c r="K261" s="323">
        <f t="shared" si="145"/>
        <v>8.9927194897039472E-3</v>
      </c>
      <c r="L261" s="323">
        <f t="shared" si="145"/>
        <v>8.8677014744933998E-3</v>
      </c>
      <c r="M261" s="323">
        <f t="shared" si="145"/>
        <v>7.8365657865033002E-3</v>
      </c>
      <c r="N261" s="323">
        <f t="shared" si="145"/>
        <v>8.6346103049860512E-3</v>
      </c>
      <c r="O261" s="323">
        <f t="shared" si="145"/>
        <v>6.6752234500297497E-3</v>
      </c>
      <c r="P261" s="323">
        <f t="shared" si="145"/>
        <v>8.5570145281120506E-3</v>
      </c>
      <c r="Q261" s="357">
        <f t="shared" ref="Q261:BM261" si="146">Q253*298/1000000000</f>
        <v>8.672048683790878E-3</v>
      </c>
      <c r="R261" s="357">
        <f t="shared" si="146"/>
        <v>8.786101866407053E-3</v>
      </c>
      <c r="S261" s="357">
        <f t="shared" si="146"/>
        <v>8.8991061068196247E-3</v>
      </c>
      <c r="T261" s="357">
        <f t="shared" si="146"/>
        <v>9.0110401948002086E-3</v>
      </c>
      <c r="U261" s="357">
        <f t="shared" si="146"/>
        <v>9.1217787971810994E-3</v>
      </c>
      <c r="V261" s="357">
        <f t="shared" si="146"/>
        <v>9.2312799755561725E-3</v>
      </c>
      <c r="W261" s="357">
        <f t="shared" si="146"/>
        <v>9.3394651556702891E-3</v>
      </c>
      <c r="X261" s="357">
        <f t="shared" si="146"/>
        <v>9.4463189119028106E-3</v>
      </c>
      <c r="Y261" s="357">
        <f t="shared" si="146"/>
        <v>9.5517212136431232E-3</v>
      </c>
      <c r="Z261" s="357">
        <f t="shared" si="146"/>
        <v>9.6556156609657485E-3</v>
      </c>
      <c r="AA261" s="357">
        <f t="shared" si="146"/>
        <v>9.7579294642232937E-3</v>
      </c>
      <c r="AB261" s="357">
        <f t="shared" si="146"/>
        <v>9.8585782645528759E-3</v>
      </c>
      <c r="AC261" s="357">
        <f t="shared" si="146"/>
        <v>9.9575206055990215E-3</v>
      </c>
      <c r="AD261" s="357">
        <f t="shared" si="146"/>
        <v>1.0054684179764972E-2</v>
      </c>
      <c r="AE261" s="357">
        <f t="shared" si="146"/>
        <v>1.0150026566593967E-2</v>
      </c>
      <c r="AF261" s="357">
        <f t="shared" si="146"/>
        <v>1.0243466299526997E-2</v>
      </c>
      <c r="AG261" s="357">
        <f t="shared" si="146"/>
        <v>1.0334971081170838E-2</v>
      </c>
      <c r="AH261" s="357">
        <f t="shared" si="146"/>
        <v>1.0424480655194865E-2</v>
      </c>
      <c r="AI261" s="357">
        <f t="shared" si="146"/>
        <v>1.0511953083192955E-2</v>
      </c>
      <c r="AJ261" s="357">
        <f t="shared" si="146"/>
        <v>1.0597377278000279E-2</v>
      </c>
      <c r="AK261" s="357">
        <f t="shared" si="146"/>
        <v>1.0680723834527483E-2</v>
      </c>
      <c r="AL261" s="357">
        <f t="shared" si="146"/>
        <v>1.0761941173355549E-2</v>
      </c>
      <c r="AM261" s="357">
        <f t="shared" si="146"/>
        <v>1.0841018689370291E-2</v>
      </c>
      <c r="AN261" s="357">
        <f t="shared" si="146"/>
        <v>1.0917904803152684E-2</v>
      </c>
      <c r="AO261" s="357">
        <f t="shared" si="146"/>
        <v>1.099258649933532E-2</v>
      </c>
      <c r="AP261" s="357">
        <f t="shared" si="146"/>
        <v>1.1065075829184317E-2</v>
      </c>
      <c r="AQ261" s="357">
        <f t="shared" si="146"/>
        <v>1.1135310608166468E-2</v>
      </c>
      <c r="AR261" s="357">
        <f t="shared" si="146"/>
        <v>1.1203309636256925E-2</v>
      </c>
      <c r="AS261" s="357">
        <f t="shared" si="146"/>
        <v>1.1269096533937305E-2</v>
      </c>
      <c r="AT261" s="357">
        <f t="shared" si="146"/>
        <v>1.1332626936203537E-2</v>
      </c>
      <c r="AU261" s="357">
        <f t="shared" si="146"/>
        <v>1.1393857794695842E-2</v>
      </c>
      <c r="AV261" s="357">
        <f t="shared" si="146"/>
        <v>1.1452747426121367E-2</v>
      </c>
      <c r="AW261" s="357">
        <f t="shared" si="146"/>
        <v>1.1509255559371861E-2</v>
      </c>
      <c r="AX261" s="357">
        <f t="shared" si="146"/>
        <v>1.156334338126213E-2</v>
      </c>
      <c r="AY261" s="357">
        <f t="shared" si="146"/>
        <v>1.1614973580816776E-2</v>
      </c>
      <c r="AZ261" s="357">
        <f t="shared" si="146"/>
        <v>1.1664110392034776E-2</v>
      </c>
      <c r="BA261" s="357">
        <f t="shared" si="146"/>
        <v>1.1710719635063481E-2</v>
      </c>
      <c r="BB261" s="357">
        <f t="shared" si="146"/>
        <v>1.1754768755715798E-2</v>
      </c>
      <c r="BC261" s="357">
        <f t="shared" si="146"/>
        <v>1.1796226863266953E-2</v>
      </c>
      <c r="BD261" s="357">
        <f t="shared" si="146"/>
        <v>1.183506476646936E-2</v>
      </c>
      <c r="BE261" s="357">
        <f t="shared" si="146"/>
        <v>1.1871255007727137E-2</v>
      </c>
      <c r="BF261" s="357">
        <f t="shared" si="146"/>
        <v>1.1904771895374283E-2</v>
      </c>
      <c r="BG261" s="357">
        <f t="shared" si="146"/>
        <v>1.1935591534003559E-2</v>
      </c>
      <c r="BH261" s="357">
        <f t="shared" si="146"/>
        <v>1.1963691852796082E-2</v>
      </c>
      <c r="BI261" s="357">
        <f t="shared" si="146"/>
        <v>1.1989052631804687E-2</v>
      </c>
      <c r="BJ261" s="357">
        <f t="shared" si="146"/>
        <v>1.2011655526147354E-2</v>
      </c>
      <c r="BK261" s="357">
        <f t="shared" si="146"/>
        <v>1.2031484088070267E-2</v>
      </c>
      <c r="BL261" s="357">
        <f t="shared" si="146"/>
        <v>1.2048523786843422E-2</v>
      </c>
      <c r="BM261" s="357">
        <f t="shared" si="146"/>
        <v>1.2062762026455232E-2</v>
      </c>
      <c r="BN261" s="182"/>
    </row>
    <row r="262" spans="1:69" ht="15" customHeight="1" x14ac:dyDescent="0.3">
      <c r="A262" s="48"/>
      <c r="B262" s="84"/>
      <c r="C262" s="194"/>
      <c r="D262" s="179" t="s">
        <v>688</v>
      </c>
      <c r="E262" s="358">
        <f>SUM(E255:E261)</f>
        <v>0.17051645382844044</v>
      </c>
      <c r="F262" s="358">
        <f t="shared" ref="F262:BM262" si="147">SUM(F255:F261)</f>
        <v>0.15984881076223548</v>
      </c>
      <c r="G262" s="358">
        <f t="shared" si="147"/>
        <v>0.16637416762781065</v>
      </c>
      <c r="H262" s="358">
        <f t="shared" si="147"/>
        <v>0.16600426305971522</v>
      </c>
      <c r="I262" s="358">
        <f t="shared" si="147"/>
        <v>0.1466589931309471</v>
      </c>
      <c r="J262" s="358">
        <f t="shared" si="147"/>
        <v>0.12819606597921535</v>
      </c>
      <c r="K262" s="358">
        <f t="shared" si="147"/>
        <v>0.1291605644031931</v>
      </c>
      <c r="L262" s="358">
        <f t="shared" si="147"/>
        <v>0.12821682795972841</v>
      </c>
      <c r="M262" s="358">
        <f t="shared" si="147"/>
        <v>0.12333058416463136</v>
      </c>
      <c r="N262" s="358">
        <f t="shared" si="147"/>
        <v>0.13590147444070841</v>
      </c>
      <c r="O262" s="358">
        <f t="shared" si="147"/>
        <v>0.13360965128746136</v>
      </c>
      <c r="P262" s="358">
        <f t="shared" si="147"/>
        <v>0.12614585547424542</v>
      </c>
      <c r="Q262" s="358">
        <f t="shared" si="147"/>
        <v>0.12784166677960088</v>
      </c>
      <c r="R262" s="358">
        <f t="shared" si="147"/>
        <v>0.12952301676953157</v>
      </c>
      <c r="S262" s="358">
        <f t="shared" si="147"/>
        <v>0.13118890345608908</v>
      </c>
      <c r="T262" s="358">
        <f t="shared" si="147"/>
        <v>0.13283901416218319</v>
      </c>
      <c r="U262" s="358">
        <f t="shared" si="147"/>
        <v>0.13447150125046228</v>
      </c>
      <c r="V262" s="358">
        <f t="shared" si="147"/>
        <v>0.13608574647304333</v>
      </c>
      <c r="W262" s="358">
        <f t="shared" si="147"/>
        <v>0.1376805915034329</v>
      </c>
      <c r="X262" s="358">
        <f t="shared" si="147"/>
        <v>0.13925580894011078</v>
      </c>
      <c r="Y262" s="358">
        <f t="shared" si="147"/>
        <v>0.14080962931499788</v>
      </c>
      <c r="Z262" s="358">
        <f t="shared" si="147"/>
        <v>0.14234122119128614</v>
      </c>
      <c r="AA262" s="358">
        <f t="shared" si="147"/>
        <v>0.143849511518052</v>
      </c>
      <c r="AB262" s="358">
        <f t="shared" si="147"/>
        <v>0.14533325669323208</v>
      </c>
      <c r="AC262" s="358">
        <f t="shared" si="147"/>
        <v>0.14679184557524066</v>
      </c>
      <c r="AD262" s="358">
        <f t="shared" si="147"/>
        <v>0.14822421221945198</v>
      </c>
      <c r="AE262" s="358">
        <f t="shared" si="147"/>
        <v>0.14962973127168544</v>
      </c>
      <c r="AF262" s="358">
        <f t="shared" si="147"/>
        <v>0.15100720176766258</v>
      </c>
      <c r="AG262" s="358">
        <f t="shared" si="147"/>
        <v>0.15235614758545038</v>
      </c>
      <c r="AH262" s="358">
        <f t="shared" si="147"/>
        <v>0.1536756804378607</v>
      </c>
      <c r="AI262" s="358">
        <f t="shared" si="147"/>
        <v>0.15496518207701043</v>
      </c>
      <c r="AJ262" s="358">
        <f t="shared" si="147"/>
        <v>0.156224489058057</v>
      </c>
      <c r="AK262" s="358">
        <f t="shared" si="147"/>
        <v>0.15745316789685246</v>
      </c>
      <c r="AL262" s="358">
        <f t="shared" si="147"/>
        <v>0.15865045821956372</v>
      </c>
      <c r="AM262" s="358">
        <f t="shared" si="147"/>
        <v>0.15981620368764568</v>
      </c>
      <c r="AN262" s="358">
        <f t="shared" si="147"/>
        <v>0.16094964392726507</v>
      </c>
      <c r="AO262" s="358">
        <f t="shared" si="147"/>
        <v>0.16205058706838937</v>
      </c>
      <c r="AP262" s="358">
        <f t="shared" si="147"/>
        <v>0.1631192107684562</v>
      </c>
      <c r="AQ262" s="358">
        <f t="shared" si="147"/>
        <v>0.16415459831508722</v>
      </c>
      <c r="AR262" s="358">
        <f t="shared" si="147"/>
        <v>0.1651570268538852</v>
      </c>
      <c r="AS262" s="358">
        <f t="shared" si="147"/>
        <v>0.16612684459342791</v>
      </c>
      <c r="AT262" s="358">
        <f t="shared" si="147"/>
        <v>0.16706339751339414</v>
      </c>
      <c r="AU262" s="358">
        <f t="shared" si="147"/>
        <v>0.1679660510031783</v>
      </c>
      <c r="AV262" s="358">
        <f t="shared" si="147"/>
        <v>0.16883419057572788</v>
      </c>
      <c r="AW262" s="358">
        <f t="shared" si="147"/>
        <v>0.16966722256214301</v>
      </c>
      <c r="AX262" s="358">
        <f t="shared" si="147"/>
        <v>0.1704645747859439</v>
      </c>
      <c r="AY262" s="358">
        <f t="shared" si="147"/>
        <v>0.17122569721593744</v>
      </c>
      <c r="AZ262" s="358">
        <f t="shared" si="147"/>
        <v>0.17195006259664444</v>
      </c>
      <c r="BA262" s="358">
        <f t="shared" si="147"/>
        <v>0.17263716705527857</v>
      </c>
      <c r="BB262" s="358">
        <f t="shared" si="147"/>
        <v>0.1732865306843013</v>
      </c>
      <c r="BC262" s="358">
        <f t="shared" si="147"/>
        <v>0.17389769809861411</v>
      </c>
      <c r="BD262" s="358">
        <f t="shared" si="147"/>
        <v>0.1744702389664832</v>
      </c>
      <c r="BE262" s="358">
        <f t="shared" si="147"/>
        <v>0.17500374851333322</v>
      </c>
      <c r="BF262" s="358">
        <f t="shared" si="147"/>
        <v>0.17549784799758592</v>
      </c>
      <c r="BG262" s="358">
        <f t="shared" si="147"/>
        <v>0.17595218515776315</v>
      </c>
      <c r="BH262" s="358">
        <f t="shared" si="147"/>
        <v>0.17636643463011545</v>
      </c>
      <c r="BI262" s="358">
        <f t="shared" si="147"/>
        <v>0.17674029833608715</v>
      </c>
      <c r="BJ262" s="358">
        <f t="shared" si="147"/>
        <v>0.17707350583897058</v>
      </c>
      <c r="BK262" s="358">
        <f t="shared" si="147"/>
        <v>0.17736581466915574</v>
      </c>
      <c r="BL262" s="358">
        <f t="shared" si="147"/>
        <v>0.17761701061742741</v>
      </c>
      <c r="BM262" s="358">
        <f t="shared" si="147"/>
        <v>0.17782690799581544</v>
      </c>
      <c r="BN262" s="197"/>
      <c r="BO262" s="50"/>
      <c r="BP262" s="50"/>
      <c r="BQ262" s="50"/>
    </row>
    <row r="263" spans="1:69" ht="15.65" customHeight="1" x14ac:dyDescent="0.3">
      <c r="A263" s="960"/>
      <c r="B263" s="944"/>
      <c r="C263" s="183"/>
      <c r="D263" s="178" t="s">
        <v>806</v>
      </c>
      <c r="E263" s="180"/>
      <c r="F263" s="180"/>
      <c r="G263" s="180"/>
      <c r="H263" s="180"/>
      <c r="I263" s="180"/>
      <c r="J263" s="180"/>
      <c r="K263" s="181"/>
      <c r="L263" s="181"/>
      <c r="M263" s="181"/>
      <c r="N263" s="181"/>
      <c r="O263" s="181"/>
      <c r="P263" s="181"/>
      <c r="Q263" s="185"/>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c r="AX263" s="185"/>
      <c r="AY263" s="185"/>
      <c r="AZ263" s="185"/>
      <c r="BA263" s="185"/>
      <c r="BB263" s="185"/>
      <c r="BC263" s="185"/>
      <c r="BD263" s="185"/>
      <c r="BE263" s="185"/>
      <c r="BF263" s="185"/>
      <c r="BG263" s="185"/>
      <c r="BH263" s="185"/>
      <c r="BI263" s="185"/>
      <c r="BJ263" s="185"/>
      <c r="BK263" s="185"/>
      <c r="BL263" s="185"/>
      <c r="BM263" s="185"/>
      <c r="BN263" s="182"/>
    </row>
    <row r="264" spans="1:69" ht="14.25" hidden="1" customHeight="1" x14ac:dyDescent="0.3">
      <c r="A264" s="960"/>
      <c r="B264" s="944"/>
      <c r="C264" s="183"/>
      <c r="D264" s="184" t="s">
        <v>620</v>
      </c>
      <c r="E264" s="180"/>
      <c r="F264" s="180"/>
      <c r="G264" s="180"/>
      <c r="H264" s="180"/>
      <c r="I264" s="180"/>
      <c r="J264" s="180"/>
      <c r="K264" s="181"/>
      <c r="L264" s="181"/>
      <c r="M264" s="181"/>
      <c r="N264" s="181"/>
      <c r="O264" s="181"/>
      <c r="P264" s="181"/>
      <c r="Q264" s="185"/>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c r="BK264" s="185"/>
      <c r="BL264" s="185"/>
      <c r="BM264" s="185"/>
      <c r="BN264" s="182"/>
    </row>
    <row r="265" spans="1:69" ht="14.25" hidden="1" customHeight="1" x14ac:dyDescent="0.3">
      <c r="A265" s="1198" t="s">
        <v>621</v>
      </c>
      <c r="B265" s="944"/>
      <c r="C265" s="183"/>
      <c r="D265" s="185" t="s">
        <v>622</v>
      </c>
      <c r="E265" s="1203" t="s">
        <v>623</v>
      </c>
      <c r="F265" s="977"/>
      <c r="G265" s="977"/>
      <c r="H265" s="977"/>
      <c r="I265" s="977"/>
      <c r="J265" s="977"/>
      <c r="K265" s="977"/>
      <c r="L265" s="290">
        <f t="shared" ref="L265:P265" si="148">296*(44/28)*0.01*L358/1000000000</f>
        <v>0</v>
      </c>
      <c r="M265" s="290">
        <f t="shared" si="148"/>
        <v>0</v>
      </c>
      <c r="N265" s="290">
        <f t="shared" si="148"/>
        <v>0</v>
      </c>
      <c r="O265" s="290">
        <f t="shared" si="148"/>
        <v>0</v>
      </c>
      <c r="P265" s="290">
        <f t="shared" si="148"/>
        <v>0</v>
      </c>
      <c r="Q265" s="291"/>
      <c r="R265" s="291"/>
      <c r="S265" s="291"/>
      <c r="T265" s="291"/>
      <c r="U265" s="291"/>
      <c r="V265" s="291"/>
      <c r="W265" s="291"/>
      <c r="X265" s="291"/>
      <c r="Y265" s="291"/>
      <c r="Z265" s="291"/>
      <c r="AA265" s="291"/>
      <c r="AB265" s="291"/>
      <c r="AC265" s="291"/>
      <c r="AD265" s="291"/>
      <c r="AE265" s="291"/>
      <c r="AF265" s="291"/>
      <c r="AG265" s="291"/>
      <c r="AH265" s="291"/>
      <c r="AI265" s="291"/>
      <c r="AJ265" s="291"/>
      <c r="AK265" s="291"/>
      <c r="AL265" s="291"/>
      <c r="AM265" s="291"/>
      <c r="AN265" s="291"/>
      <c r="AO265" s="291"/>
      <c r="AP265" s="291"/>
      <c r="AQ265" s="291"/>
      <c r="AR265" s="291"/>
      <c r="AS265" s="291"/>
      <c r="AT265" s="291"/>
      <c r="AU265" s="291"/>
      <c r="AV265" s="291"/>
      <c r="AW265" s="291"/>
      <c r="AX265" s="291"/>
      <c r="AY265" s="291"/>
      <c r="AZ265" s="291"/>
      <c r="BA265" s="291"/>
      <c r="BB265" s="291"/>
      <c r="BC265" s="291"/>
      <c r="BD265" s="291"/>
      <c r="BE265" s="291"/>
      <c r="BF265" s="291"/>
      <c r="BG265" s="291"/>
      <c r="BH265" s="291"/>
      <c r="BI265" s="291"/>
      <c r="BJ265" s="291"/>
      <c r="BK265" s="291"/>
      <c r="BL265" s="291"/>
      <c r="BM265" s="291"/>
      <c r="BN265" s="182"/>
    </row>
    <row r="266" spans="1:69" ht="14.25" hidden="1" customHeight="1" x14ac:dyDescent="0.3">
      <c r="A266" s="982"/>
      <c r="B266" s="944"/>
      <c r="C266" s="183"/>
      <c r="D266" s="185" t="s">
        <v>807</v>
      </c>
      <c r="E266" s="977"/>
      <c r="F266" s="982"/>
      <c r="G266" s="982"/>
      <c r="H266" s="982"/>
      <c r="I266" s="982"/>
      <c r="J266" s="982"/>
      <c r="K266" s="977"/>
      <c r="L266" s="290">
        <f t="shared" ref="L266:P266" si="149">296*(44/28)*0.01*L359/1000000000</f>
        <v>0</v>
      </c>
      <c r="M266" s="290">
        <f t="shared" si="149"/>
        <v>0</v>
      </c>
      <c r="N266" s="290">
        <f t="shared" si="149"/>
        <v>0</v>
      </c>
      <c r="O266" s="290">
        <f t="shared" si="149"/>
        <v>0</v>
      </c>
      <c r="P266" s="290">
        <f t="shared" si="149"/>
        <v>0</v>
      </c>
      <c r="Q266" s="291"/>
      <c r="R266" s="291"/>
      <c r="S266" s="291"/>
      <c r="T266" s="291"/>
      <c r="U266" s="291"/>
      <c r="V266" s="291"/>
      <c r="W266" s="291"/>
      <c r="X266" s="291"/>
      <c r="Y266" s="291"/>
      <c r="Z266" s="291"/>
      <c r="AA266" s="291"/>
      <c r="AB266" s="291"/>
      <c r="AC266" s="291"/>
      <c r="AD266" s="291"/>
      <c r="AE266" s="291"/>
      <c r="AF266" s="291"/>
      <c r="AG266" s="291"/>
      <c r="AH266" s="291"/>
      <c r="AI266" s="291"/>
      <c r="AJ266" s="291"/>
      <c r="AK266" s="291"/>
      <c r="AL266" s="291"/>
      <c r="AM266" s="291"/>
      <c r="AN266" s="291"/>
      <c r="AO266" s="291"/>
      <c r="AP266" s="291"/>
      <c r="AQ266" s="291"/>
      <c r="AR266" s="291"/>
      <c r="AS266" s="291"/>
      <c r="AT266" s="291"/>
      <c r="AU266" s="291"/>
      <c r="AV266" s="291"/>
      <c r="AW266" s="291"/>
      <c r="AX266" s="291"/>
      <c r="AY266" s="291"/>
      <c r="AZ266" s="291"/>
      <c r="BA266" s="291"/>
      <c r="BB266" s="291"/>
      <c r="BC266" s="291"/>
      <c r="BD266" s="291"/>
      <c r="BE266" s="291"/>
      <c r="BF266" s="291"/>
      <c r="BG266" s="291"/>
      <c r="BH266" s="291"/>
      <c r="BI266" s="291"/>
      <c r="BJ266" s="291"/>
      <c r="BK266" s="291"/>
      <c r="BL266" s="291"/>
      <c r="BM266" s="291"/>
      <c r="BN266" s="182"/>
    </row>
    <row r="267" spans="1:69" ht="14.25" hidden="1" customHeight="1" x14ac:dyDescent="0.3">
      <c r="A267" s="982"/>
      <c r="B267" s="944"/>
      <c r="C267" s="183"/>
      <c r="D267" s="185" t="s">
        <v>625</v>
      </c>
      <c r="E267" s="977"/>
      <c r="F267" s="982"/>
      <c r="G267" s="982"/>
      <c r="H267" s="982"/>
      <c r="I267" s="982"/>
      <c r="J267" s="982"/>
      <c r="K267" s="977"/>
      <c r="L267" s="290">
        <f t="shared" ref="L267:P267" si="150">296*(44/28)*0.01*L360/1000000000</f>
        <v>0</v>
      </c>
      <c r="M267" s="290">
        <f t="shared" si="150"/>
        <v>0</v>
      </c>
      <c r="N267" s="290">
        <f t="shared" si="150"/>
        <v>0</v>
      </c>
      <c r="O267" s="290">
        <f t="shared" si="150"/>
        <v>0</v>
      </c>
      <c r="P267" s="290">
        <f t="shared" si="150"/>
        <v>0</v>
      </c>
      <c r="Q267" s="291"/>
      <c r="R267" s="291"/>
      <c r="S267" s="291"/>
      <c r="T267" s="291"/>
      <c r="U267" s="291"/>
      <c r="V267" s="291"/>
      <c r="W267" s="291"/>
      <c r="X267" s="291"/>
      <c r="Y267" s="291"/>
      <c r="Z267" s="291"/>
      <c r="AA267" s="291"/>
      <c r="AB267" s="291"/>
      <c r="AC267" s="291"/>
      <c r="AD267" s="291"/>
      <c r="AE267" s="291"/>
      <c r="AF267" s="291"/>
      <c r="AG267" s="291"/>
      <c r="AH267" s="291"/>
      <c r="AI267" s="291"/>
      <c r="AJ267" s="291"/>
      <c r="AK267" s="291"/>
      <c r="AL267" s="291"/>
      <c r="AM267" s="291"/>
      <c r="AN267" s="291"/>
      <c r="AO267" s="291"/>
      <c r="AP267" s="291"/>
      <c r="AQ267" s="291"/>
      <c r="AR267" s="291"/>
      <c r="AS267" s="291"/>
      <c r="AT267" s="291"/>
      <c r="AU267" s="291"/>
      <c r="AV267" s="291"/>
      <c r="AW267" s="291"/>
      <c r="AX267" s="291"/>
      <c r="AY267" s="291"/>
      <c r="AZ267" s="291"/>
      <c r="BA267" s="291"/>
      <c r="BB267" s="291"/>
      <c r="BC267" s="291"/>
      <c r="BD267" s="291"/>
      <c r="BE267" s="291"/>
      <c r="BF267" s="291"/>
      <c r="BG267" s="291"/>
      <c r="BH267" s="291"/>
      <c r="BI267" s="291"/>
      <c r="BJ267" s="291"/>
      <c r="BK267" s="291"/>
      <c r="BL267" s="291"/>
      <c r="BM267" s="291"/>
      <c r="BN267" s="182"/>
    </row>
    <row r="268" spans="1:69" ht="14.25" hidden="1" customHeight="1" x14ac:dyDescent="0.3">
      <c r="A268" s="982"/>
      <c r="B268" s="944"/>
      <c r="C268" s="183"/>
      <c r="D268" s="185" t="s">
        <v>626</v>
      </c>
      <c r="E268" s="977"/>
      <c r="F268" s="982"/>
      <c r="G268" s="982"/>
      <c r="H268" s="982"/>
      <c r="I268" s="982"/>
      <c r="J268" s="982"/>
      <c r="K268" s="977"/>
      <c r="L268" s="290">
        <f t="shared" ref="L268:P268" si="151">296*(44/28)*0.01*L361/1000000000</f>
        <v>0</v>
      </c>
      <c r="M268" s="290">
        <f t="shared" si="151"/>
        <v>0</v>
      </c>
      <c r="N268" s="290">
        <f t="shared" si="151"/>
        <v>0</v>
      </c>
      <c r="O268" s="290">
        <f t="shared" si="151"/>
        <v>0</v>
      </c>
      <c r="P268" s="290">
        <f t="shared" si="151"/>
        <v>0</v>
      </c>
      <c r="Q268" s="291"/>
      <c r="R268" s="291"/>
      <c r="S268" s="291"/>
      <c r="T268" s="291"/>
      <c r="U268" s="291"/>
      <c r="V268" s="291"/>
      <c r="W268" s="291"/>
      <c r="X268" s="291"/>
      <c r="Y268" s="291"/>
      <c r="Z268" s="291"/>
      <c r="AA268" s="291"/>
      <c r="AB268" s="291"/>
      <c r="AC268" s="291"/>
      <c r="AD268" s="291"/>
      <c r="AE268" s="291"/>
      <c r="AF268" s="291"/>
      <c r="AG268" s="291"/>
      <c r="AH268" s="291"/>
      <c r="AI268" s="291"/>
      <c r="AJ268" s="291"/>
      <c r="AK268" s="291"/>
      <c r="AL268" s="291"/>
      <c r="AM268" s="291"/>
      <c r="AN268" s="291"/>
      <c r="AO268" s="291"/>
      <c r="AP268" s="291"/>
      <c r="AQ268" s="291"/>
      <c r="AR268" s="291"/>
      <c r="AS268" s="291"/>
      <c r="AT268" s="291"/>
      <c r="AU268" s="291"/>
      <c r="AV268" s="291"/>
      <c r="AW268" s="291"/>
      <c r="AX268" s="291"/>
      <c r="AY268" s="291"/>
      <c r="AZ268" s="291"/>
      <c r="BA268" s="291"/>
      <c r="BB268" s="291"/>
      <c r="BC268" s="291"/>
      <c r="BD268" s="291"/>
      <c r="BE268" s="291"/>
      <c r="BF268" s="291"/>
      <c r="BG268" s="291"/>
      <c r="BH268" s="291"/>
      <c r="BI268" s="291"/>
      <c r="BJ268" s="291"/>
      <c r="BK268" s="291"/>
      <c r="BL268" s="291"/>
      <c r="BM268" s="291"/>
      <c r="BN268" s="182"/>
    </row>
    <row r="269" spans="1:69" ht="14.25" hidden="1" customHeight="1" x14ac:dyDescent="0.3">
      <c r="A269" s="982"/>
      <c r="B269" s="944"/>
      <c r="C269" s="183"/>
      <c r="D269" s="185" t="s">
        <v>627</v>
      </c>
      <c r="E269" s="977"/>
      <c r="F269" s="982"/>
      <c r="G269" s="982"/>
      <c r="H269" s="982"/>
      <c r="I269" s="982"/>
      <c r="J269" s="982"/>
      <c r="K269" s="977"/>
      <c r="L269" s="290">
        <f t="shared" ref="L269:P269" si="152">296*(44/28)*0.01*L362/1000000000</f>
        <v>0</v>
      </c>
      <c r="M269" s="290">
        <f t="shared" si="152"/>
        <v>0</v>
      </c>
      <c r="N269" s="290">
        <f t="shared" si="152"/>
        <v>0</v>
      </c>
      <c r="O269" s="290">
        <f t="shared" si="152"/>
        <v>0</v>
      </c>
      <c r="P269" s="290">
        <f t="shared" si="152"/>
        <v>0</v>
      </c>
      <c r="Q269" s="291"/>
      <c r="R269" s="291"/>
      <c r="S269" s="291"/>
      <c r="T269" s="291"/>
      <c r="U269" s="291"/>
      <c r="V269" s="291"/>
      <c r="W269" s="291"/>
      <c r="X269" s="291"/>
      <c r="Y269" s="291"/>
      <c r="Z269" s="291"/>
      <c r="AA269" s="291"/>
      <c r="AB269" s="291"/>
      <c r="AC269" s="291"/>
      <c r="AD269" s="291"/>
      <c r="AE269" s="291"/>
      <c r="AF269" s="291"/>
      <c r="AG269" s="291"/>
      <c r="AH269" s="291"/>
      <c r="AI269" s="291"/>
      <c r="AJ269" s="291"/>
      <c r="AK269" s="291"/>
      <c r="AL269" s="291"/>
      <c r="AM269" s="291"/>
      <c r="AN269" s="291"/>
      <c r="AO269" s="291"/>
      <c r="AP269" s="291"/>
      <c r="AQ269" s="291"/>
      <c r="AR269" s="291"/>
      <c r="AS269" s="291"/>
      <c r="AT269" s="291"/>
      <c r="AU269" s="291"/>
      <c r="AV269" s="291"/>
      <c r="AW269" s="291"/>
      <c r="AX269" s="291"/>
      <c r="AY269" s="291"/>
      <c r="AZ269" s="291"/>
      <c r="BA269" s="291"/>
      <c r="BB269" s="291"/>
      <c r="BC269" s="291"/>
      <c r="BD269" s="291"/>
      <c r="BE269" s="291"/>
      <c r="BF269" s="291"/>
      <c r="BG269" s="291"/>
      <c r="BH269" s="291"/>
      <c r="BI269" s="291"/>
      <c r="BJ269" s="291"/>
      <c r="BK269" s="291"/>
      <c r="BL269" s="291"/>
      <c r="BM269" s="291"/>
      <c r="BN269" s="182"/>
    </row>
    <row r="270" spans="1:69" ht="14.25" hidden="1" customHeight="1" x14ac:dyDescent="0.3">
      <c r="A270" s="982"/>
      <c r="B270" s="944"/>
      <c r="C270" s="183"/>
      <c r="D270" s="185" t="s">
        <v>628</v>
      </c>
      <c r="E270" s="977"/>
      <c r="F270" s="982"/>
      <c r="G270" s="982"/>
      <c r="H270" s="982"/>
      <c r="I270" s="982"/>
      <c r="J270" s="982"/>
      <c r="K270" s="977"/>
      <c r="L270" s="290">
        <f t="shared" ref="L270:P270" si="153">296*(44/28)*0.01*L363/1000000000</f>
        <v>0</v>
      </c>
      <c r="M270" s="290">
        <f t="shared" si="153"/>
        <v>0</v>
      </c>
      <c r="N270" s="290">
        <f t="shared" si="153"/>
        <v>0</v>
      </c>
      <c r="O270" s="290">
        <f t="shared" si="153"/>
        <v>0</v>
      </c>
      <c r="P270" s="290">
        <f t="shared" si="153"/>
        <v>0</v>
      </c>
      <c r="Q270" s="291"/>
      <c r="R270" s="291"/>
      <c r="S270" s="291"/>
      <c r="T270" s="291"/>
      <c r="U270" s="291"/>
      <c r="V270" s="291"/>
      <c r="W270" s="291"/>
      <c r="X270" s="291"/>
      <c r="Y270" s="291"/>
      <c r="Z270" s="291"/>
      <c r="AA270" s="291"/>
      <c r="AB270" s="291"/>
      <c r="AC270" s="291"/>
      <c r="AD270" s="291"/>
      <c r="AE270" s="291"/>
      <c r="AF270" s="291"/>
      <c r="AG270" s="291"/>
      <c r="AH270" s="291"/>
      <c r="AI270" s="291"/>
      <c r="AJ270" s="291"/>
      <c r="AK270" s="291"/>
      <c r="AL270" s="291"/>
      <c r="AM270" s="291"/>
      <c r="AN270" s="291"/>
      <c r="AO270" s="291"/>
      <c r="AP270" s="291"/>
      <c r="AQ270" s="291"/>
      <c r="AR270" s="291"/>
      <c r="AS270" s="291"/>
      <c r="AT270" s="291"/>
      <c r="AU270" s="291"/>
      <c r="AV270" s="291"/>
      <c r="AW270" s="291"/>
      <c r="AX270" s="291"/>
      <c r="AY270" s="291"/>
      <c r="AZ270" s="291"/>
      <c r="BA270" s="291"/>
      <c r="BB270" s="291"/>
      <c r="BC270" s="291"/>
      <c r="BD270" s="291"/>
      <c r="BE270" s="291"/>
      <c r="BF270" s="291"/>
      <c r="BG270" s="291"/>
      <c r="BH270" s="291"/>
      <c r="BI270" s="291"/>
      <c r="BJ270" s="291"/>
      <c r="BK270" s="291"/>
      <c r="BL270" s="291"/>
      <c r="BM270" s="291"/>
      <c r="BN270" s="182"/>
    </row>
    <row r="271" spans="1:69" ht="13.5" hidden="1" customHeight="1" x14ac:dyDescent="0.3">
      <c r="A271" s="982"/>
      <c r="B271" s="944"/>
      <c r="C271" s="183"/>
      <c r="D271" s="185" t="s">
        <v>629</v>
      </c>
      <c r="E271" s="977"/>
      <c r="F271" s="982"/>
      <c r="G271" s="982"/>
      <c r="H271" s="982"/>
      <c r="I271" s="982"/>
      <c r="J271" s="982"/>
      <c r="K271" s="977"/>
      <c r="L271" s="290">
        <f t="shared" ref="L271:P271" si="154">296*(44/28)*0.01*L364/1000000000</f>
        <v>0</v>
      </c>
      <c r="M271" s="290">
        <f t="shared" si="154"/>
        <v>0</v>
      </c>
      <c r="N271" s="290">
        <f t="shared" si="154"/>
        <v>0</v>
      </c>
      <c r="O271" s="290">
        <f t="shared" si="154"/>
        <v>0</v>
      </c>
      <c r="P271" s="290">
        <f t="shared" si="154"/>
        <v>0</v>
      </c>
      <c r="Q271" s="291"/>
      <c r="R271" s="291"/>
      <c r="S271" s="291"/>
      <c r="T271" s="291"/>
      <c r="U271" s="291"/>
      <c r="V271" s="291"/>
      <c r="W271" s="291"/>
      <c r="X271" s="291"/>
      <c r="Y271" s="291"/>
      <c r="Z271" s="291"/>
      <c r="AA271" s="291"/>
      <c r="AB271" s="291"/>
      <c r="AC271" s="291"/>
      <c r="AD271" s="291"/>
      <c r="AE271" s="291"/>
      <c r="AF271" s="291"/>
      <c r="AG271" s="291"/>
      <c r="AH271" s="291"/>
      <c r="AI271" s="291"/>
      <c r="AJ271" s="291"/>
      <c r="AK271" s="291"/>
      <c r="AL271" s="291"/>
      <c r="AM271" s="291"/>
      <c r="AN271" s="291"/>
      <c r="AO271" s="291"/>
      <c r="AP271" s="291"/>
      <c r="AQ271" s="291"/>
      <c r="AR271" s="291"/>
      <c r="AS271" s="291"/>
      <c r="AT271" s="291"/>
      <c r="AU271" s="291"/>
      <c r="AV271" s="291"/>
      <c r="AW271" s="291"/>
      <c r="AX271" s="291"/>
      <c r="AY271" s="291"/>
      <c r="AZ271" s="291"/>
      <c r="BA271" s="291"/>
      <c r="BB271" s="291"/>
      <c r="BC271" s="291"/>
      <c r="BD271" s="291"/>
      <c r="BE271" s="291"/>
      <c r="BF271" s="291"/>
      <c r="BG271" s="291"/>
      <c r="BH271" s="291"/>
      <c r="BI271" s="291"/>
      <c r="BJ271" s="291"/>
      <c r="BK271" s="291"/>
      <c r="BL271" s="291"/>
      <c r="BM271" s="291"/>
      <c r="BN271" s="182"/>
    </row>
    <row r="272" spans="1:69" ht="14.25" hidden="1" customHeight="1" x14ac:dyDescent="0.3">
      <c r="A272" s="982"/>
      <c r="B272" s="944"/>
      <c r="C272" s="183"/>
      <c r="D272" s="185" t="s">
        <v>630</v>
      </c>
      <c r="E272" s="977"/>
      <c r="F272" s="982"/>
      <c r="G272" s="982"/>
      <c r="H272" s="982"/>
      <c r="I272" s="982"/>
      <c r="J272" s="982"/>
      <c r="K272" s="977"/>
      <c r="L272" s="290">
        <f t="shared" ref="L272:P272" si="155">296*(44/28)*0.01*L365/1000000000</f>
        <v>0</v>
      </c>
      <c r="M272" s="290">
        <f t="shared" si="155"/>
        <v>0</v>
      </c>
      <c r="N272" s="290">
        <f t="shared" si="155"/>
        <v>0</v>
      </c>
      <c r="O272" s="290">
        <f t="shared" si="155"/>
        <v>0</v>
      </c>
      <c r="P272" s="290">
        <f t="shared" si="155"/>
        <v>0</v>
      </c>
      <c r="Q272" s="291"/>
      <c r="R272" s="291"/>
      <c r="S272" s="291"/>
      <c r="T272" s="291"/>
      <c r="U272" s="291"/>
      <c r="V272" s="291"/>
      <c r="W272" s="291"/>
      <c r="X272" s="291"/>
      <c r="Y272" s="291"/>
      <c r="Z272" s="291"/>
      <c r="AA272" s="291"/>
      <c r="AB272" s="291"/>
      <c r="AC272" s="291"/>
      <c r="AD272" s="291"/>
      <c r="AE272" s="291"/>
      <c r="AF272" s="291"/>
      <c r="AG272" s="291"/>
      <c r="AH272" s="291"/>
      <c r="AI272" s="291"/>
      <c r="AJ272" s="291"/>
      <c r="AK272" s="291"/>
      <c r="AL272" s="291"/>
      <c r="AM272" s="291"/>
      <c r="AN272" s="291"/>
      <c r="AO272" s="291"/>
      <c r="AP272" s="291"/>
      <c r="AQ272" s="291"/>
      <c r="AR272" s="291"/>
      <c r="AS272" s="291"/>
      <c r="AT272" s="291"/>
      <c r="AU272" s="291"/>
      <c r="AV272" s="291"/>
      <c r="AW272" s="291"/>
      <c r="AX272" s="291"/>
      <c r="AY272" s="291"/>
      <c r="AZ272" s="291"/>
      <c r="BA272" s="291"/>
      <c r="BB272" s="291"/>
      <c r="BC272" s="291"/>
      <c r="BD272" s="291"/>
      <c r="BE272" s="291"/>
      <c r="BF272" s="291"/>
      <c r="BG272" s="291"/>
      <c r="BH272" s="291"/>
      <c r="BI272" s="291"/>
      <c r="BJ272" s="291"/>
      <c r="BK272" s="291"/>
      <c r="BL272" s="291"/>
      <c r="BM272" s="291"/>
      <c r="BN272" s="182"/>
    </row>
    <row r="273" spans="1:66" ht="14.25" hidden="1" customHeight="1" x14ac:dyDescent="0.3">
      <c r="A273" s="982"/>
      <c r="B273" s="944"/>
      <c r="C273" s="183"/>
      <c r="D273" s="185" t="s">
        <v>631</v>
      </c>
      <c r="E273" s="977"/>
      <c r="F273" s="982"/>
      <c r="G273" s="982"/>
      <c r="H273" s="982"/>
      <c r="I273" s="982"/>
      <c r="J273" s="982"/>
      <c r="K273" s="977"/>
      <c r="L273" s="290">
        <f t="shared" ref="L273:P273" si="156">296*(44/28)*0.01*L366/1000000000</f>
        <v>0</v>
      </c>
      <c r="M273" s="290">
        <f t="shared" si="156"/>
        <v>0</v>
      </c>
      <c r="N273" s="290">
        <f t="shared" si="156"/>
        <v>0</v>
      </c>
      <c r="O273" s="290">
        <f t="shared" si="156"/>
        <v>0</v>
      </c>
      <c r="P273" s="290">
        <f t="shared" si="156"/>
        <v>0</v>
      </c>
      <c r="Q273" s="291"/>
      <c r="R273" s="291"/>
      <c r="S273" s="291"/>
      <c r="T273" s="291"/>
      <c r="U273" s="291"/>
      <c r="V273" s="291"/>
      <c r="W273" s="291"/>
      <c r="X273" s="291"/>
      <c r="Y273" s="291"/>
      <c r="Z273" s="291"/>
      <c r="AA273" s="291"/>
      <c r="AB273" s="291"/>
      <c r="AC273" s="291"/>
      <c r="AD273" s="291"/>
      <c r="AE273" s="291"/>
      <c r="AF273" s="291"/>
      <c r="AG273" s="291"/>
      <c r="AH273" s="291"/>
      <c r="AI273" s="291"/>
      <c r="AJ273" s="291"/>
      <c r="AK273" s="291"/>
      <c r="AL273" s="291"/>
      <c r="AM273" s="291"/>
      <c r="AN273" s="291"/>
      <c r="AO273" s="291"/>
      <c r="AP273" s="291"/>
      <c r="AQ273" s="291"/>
      <c r="AR273" s="291"/>
      <c r="AS273" s="291"/>
      <c r="AT273" s="291"/>
      <c r="AU273" s="291"/>
      <c r="AV273" s="291"/>
      <c r="AW273" s="291"/>
      <c r="AX273" s="291"/>
      <c r="AY273" s="291"/>
      <c r="AZ273" s="291"/>
      <c r="BA273" s="291"/>
      <c r="BB273" s="291"/>
      <c r="BC273" s="291"/>
      <c r="BD273" s="291"/>
      <c r="BE273" s="291"/>
      <c r="BF273" s="291"/>
      <c r="BG273" s="291"/>
      <c r="BH273" s="291"/>
      <c r="BI273" s="291"/>
      <c r="BJ273" s="291"/>
      <c r="BK273" s="291"/>
      <c r="BL273" s="291"/>
      <c r="BM273" s="291"/>
      <c r="BN273" s="182"/>
    </row>
    <row r="274" spans="1:66" ht="14.25" hidden="1" customHeight="1" x14ac:dyDescent="0.3">
      <c r="A274" s="982"/>
      <c r="B274" s="944"/>
      <c r="C274" s="183"/>
      <c r="D274" s="185" t="s">
        <v>632</v>
      </c>
      <c r="E274" s="977"/>
      <c r="F274" s="982"/>
      <c r="G274" s="982"/>
      <c r="H274" s="982"/>
      <c r="I274" s="982"/>
      <c r="J274" s="982"/>
      <c r="K274" s="977"/>
      <c r="L274" s="290">
        <f t="shared" ref="L274:P274" si="157">296*(44/28)*0.01*L367/1000000000</f>
        <v>0</v>
      </c>
      <c r="M274" s="290">
        <f t="shared" si="157"/>
        <v>0</v>
      </c>
      <c r="N274" s="290">
        <f t="shared" si="157"/>
        <v>0</v>
      </c>
      <c r="O274" s="290">
        <f t="shared" si="157"/>
        <v>0</v>
      </c>
      <c r="P274" s="290">
        <f t="shared" si="157"/>
        <v>0</v>
      </c>
      <c r="Q274" s="291"/>
      <c r="R274" s="291"/>
      <c r="S274" s="291"/>
      <c r="T274" s="291"/>
      <c r="U274" s="291"/>
      <c r="V274" s="291"/>
      <c r="W274" s="291"/>
      <c r="X274" s="291"/>
      <c r="Y274" s="291"/>
      <c r="Z274" s="291"/>
      <c r="AA274" s="291"/>
      <c r="AB274" s="291"/>
      <c r="AC274" s="291"/>
      <c r="AD274" s="291"/>
      <c r="AE274" s="291"/>
      <c r="AF274" s="291"/>
      <c r="AG274" s="291"/>
      <c r="AH274" s="291"/>
      <c r="AI274" s="291"/>
      <c r="AJ274" s="291"/>
      <c r="AK274" s="291"/>
      <c r="AL274" s="291"/>
      <c r="AM274" s="291"/>
      <c r="AN274" s="291"/>
      <c r="AO274" s="291"/>
      <c r="AP274" s="291"/>
      <c r="AQ274" s="291"/>
      <c r="AR274" s="291"/>
      <c r="AS274" s="291"/>
      <c r="AT274" s="291"/>
      <c r="AU274" s="291"/>
      <c r="AV274" s="291"/>
      <c r="AW274" s="291"/>
      <c r="AX274" s="291"/>
      <c r="AY274" s="291"/>
      <c r="AZ274" s="291"/>
      <c r="BA274" s="291"/>
      <c r="BB274" s="291"/>
      <c r="BC274" s="291"/>
      <c r="BD274" s="291"/>
      <c r="BE274" s="291"/>
      <c r="BF274" s="291"/>
      <c r="BG274" s="291"/>
      <c r="BH274" s="291"/>
      <c r="BI274" s="291"/>
      <c r="BJ274" s="291"/>
      <c r="BK274" s="291"/>
      <c r="BL274" s="291"/>
      <c r="BM274" s="291"/>
      <c r="BN274" s="182"/>
    </row>
    <row r="275" spans="1:66" ht="14.25" hidden="1" customHeight="1" x14ac:dyDescent="0.3">
      <c r="A275" s="982"/>
      <c r="B275" s="944"/>
      <c r="C275" s="183"/>
      <c r="D275" s="185" t="s">
        <v>633</v>
      </c>
      <c r="E275" s="977"/>
      <c r="F275" s="982"/>
      <c r="G275" s="982"/>
      <c r="H275" s="982"/>
      <c r="I275" s="982"/>
      <c r="J275" s="982"/>
      <c r="K275" s="977"/>
      <c r="L275" s="290">
        <f t="shared" ref="L275:P275" si="158">296*(44/28)*0.01*L368/1000000000</f>
        <v>0</v>
      </c>
      <c r="M275" s="290">
        <f t="shared" si="158"/>
        <v>0</v>
      </c>
      <c r="N275" s="290">
        <f t="shared" si="158"/>
        <v>0</v>
      </c>
      <c r="O275" s="290">
        <f t="shared" si="158"/>
        <v>0</v>
      </c>
      <c r="P275" s="290">
        <f t="shared" si="158"/>
        <v>0</v>
      </c>
      <c r="Q275" s="291"/>
      <c r="R275" s="291"/>
      <c r="S275" s="291"/>
      <c r="T275" s="291"/>
      <c r="U275" s="291"/>
      <c r="V275" s="291"/>
      <c r="W275" s="291"/>
      <c r="X275" s="291"/>
      <c r="Y275" s="291"/>
      <c r="Z275" s="291"/>
      <c r="AA275" s="291"/>
      <c r="AB275" s="291"/>
      <c r="AC275" s="291"/>
      <c r="AD275" s="291"/>
      <c r="AE275" s="291"/>
      <c r="AF275" s="291"/>
      <c r="AG275" s="291"/>
      <c r="AH275" s="291"/>
      <c r="AI275" s="291"/>
      <c r="AJ275" s="291"/>
      <c r="AK275" s="291"/>
      <c r="AL275" s="291"/>
      <c r="AM275" s="291"/>
      <c r="AN275" s="291"/>
      <c r="AO275" s="291"/>
      <c r="AP275" s="291"/>
      <c r="AQ275" s="291"/>
      <c r="AR275" s="291"/>
      <c r="AS275" s="291"/>
      <c r="AT275" s="291"/>
      <c r="AU275" s="291"/>
      <c r="AV275" s="291"/>
      <c r="AW275" s="291"/>
      <c r="AX275" s="291"/>
      <c r="AY275" s="291"/>
      <c r="AZ275" s="291"/>
      <c r="BA275" s="291"/>
      <c r="BB275" s="291"/>
      <c r="BC275" s="291"/>
      <c r="BD275" s="291"/>
      <c r="BE275" s="291"/>
      <c r="BF275" s="291"/>
      <c r="BG275" s="291"/>
      <c r="BH275" s="291"/>
      <c r="BI275" s="291"/>
      <c r="BJ275" s="291"/>
      <c r="BK275" s="291"/>
      <c r="BL275" s="291"/>
      <c r="BM275" s="291"/>
      <c r="BN275" s="182"/>
    </row>
    <row r="276" spans="1:66" ht="14.25" hidden="1" customHeight="1" x14ac:dyDescent="0.3">
      <c r="A276" s="982"/>
      <c r="B276" s="944"/>
      <c r="C276" s="183"/>
      <c r="D276" s="185" t="s">
        <v>634</v>
      </c>
      <c r="E276" s="977"/>
      <c r="F276" s="982"/>
      <c r="G276" s="982"/>
      <c r="H276" s="982"/>
      <c r="I276" s="982"/>
      <c r="J276" s="982"/>
      <c r="K276" s="977"/>
      <c r="L276" s="290">
        <f t="shared" ref="L276:P276" si="159">296*(44/28)*0.01*L369/1000000000</f>
        <v>0</v>
      </c>
      <c r="M276" s="290">
        <f t="shared" si="159"/>
        <v>0</v>
      </c>
      <c r="N276" s="290">
        <f t="shared" si="159"/>
        <v>0</v>
      </c>
      <c r="O276" s="290">
        <f t="shared" si="159"/>
        <v>0</v>
      </c>
      <c r="P276" s="290">
        <f t="shared" si="159"/>
        <v>0</v>
      </c>
      <c r="Q276" s="291"/>
      <c r="R276" s="291"/>
      <c r="S276" s="291"/>
      <c r="T276" s="291"/>
      <c r="U276" s="291"/>
      <c r="V276" s="291"/>
      <c r="W276" s="291"/>
      <c r="X276" s="291"/>
      <c r="Y276" s="291"/>
      <c r="Z276" s="291"/>
      <c r="AA276" s="291"/>
      <c r="AB276" s="291"/>
      <c r="AC276" s="291"/>
      <c r="AD276" s="291"/>
      <c r="AE276" s="291"/>
      <c r="AF276" s="291"/>
      <c r="AG276" s="291"/>
      <c r="AH276" s="291"/>
      <c r="AI276" s="291"/>
      <c r="AJ276" s="291"/>
      <c r="AK276" s="291"/>
      <c r="AL276" s="291"/>
      <c r="AM276" s="291"/>
      <c r="AN276" s="291"/>
      <c r="AO276" s="291"/>
      <c r="AP276" s="291"/>
      <c r="AQ276" s="291"/>
      <c r="AR276" s="291"/>
      <c r="AS276" s="291"/>
      <c r="AT276" s="291"/>
      <c r="AU276" s="291"/>
      <c r="AV276" s="291"/>
      <c r="AW276" s="291"/>
      <c r="AX276" s="291"/>
      <c r="AY276" s="291"/>
      <c r="AZ276" s="291"/>
      <c r="BA276" s="291"/>
      <c r="BB276" s="291"/>
      <c r="BC276" s="291"/>
      <c r="BD276" s="291"/>
      <c r="BE276" s="291"/>
      <c r="BF276" s="291"/>
      <c r="BG276" s="291"/>
      <c r="BH276" s="291"/>
      <c r="BI276" s="291"/>
      <c r="BJ276" s="291"/>
      <c r="BK276" s="291"/>
      <c r="BL276" s="291"/>
      <c r="BM276" s="291"/>
      <c r="BN276" s="182"/>
    </row>
    <row r="277" spans="1:66" ht="14.25" hidden="1" customHeight="1" x14ac:dyDescent="0.3">
      <c r="A277" s="982"/>
      <c r="B277" s="944"/>
      <c r="C277" s="183"/>
      <c r="D277" s="185" t="s">
        <v>635</v>
      </c>
      <c r="E277" s="977"/>
      <c r="F277" s="982"/>
      <c r="G277" s="982"/>
      <c r="H277" s="982"/>
      <c r="I277" s="982"/>
      <c r="J277" s="982"/>
      <c r="K277" s="977"/>
      <c r="L277" s="290">
        <f t="shared" ref="L277:P277" si="160">296*(44/28)*0.01*L370/1000000000</f>
        <v>0</v>
      </c>
      <c r="M277" s="290">
        <f t="shared" si="160"/>
        <v>0</v>
      </c>
      <c r="N277" s="290">
        <f t="shared" si="160"/>
        <v>0</v>
      </c>
      <c r="O277" s="290">
        <f t="shared" si="160"/>
        <v>0</v>
      </c>
      <c r="P277" s="290">
        <f t="shared" si="160"/>
        <v>0</v>
      </c>
      <c r="Q277" s="291"/>
      <c r="R277" s="291"/>
      <c r="S277" s="291"/>
      <c r="T277" s="291"/>
      <c r="U277" s="291"/>
      <c r="V277" s="291"/>
      <c r="W277" s="291"/>
      <c r="X277" s="291"/>
      <c r="Y277" s="291"/>
      <c r="Z277" s="291"/>
      <c r="AA277" s="291"/>
      <c r="AB277" s="291"/>
      <c r="AC277" s="291"/>
      <c r="AD277" s="291"/>
      <c r="AE277" s="291"/>
      <c r="AF277" s="291"/>
      <c r="AG277" s="291"/>
      <c r="AH277" s="291"/>
      <c r="AI277" s="291"/>
      <c r="AJ277" s="291"/>
      <c r="AK277" s="291"/>
      <c r="AL277" s="291"/>
      <c r="AM277" s="291"/>
      <c r="AN277" s="291"/>
      <c r="AO277" s="291"/>
      <c r="AP277" s="291"/>
      <c r="AQ277" s="291"/>
      <c r="AR277" s="291"/>
      <c r="AS277" s="291"/>
      <c r="AT277" s="291"/>
      <c r="AU277" s="291"/>
      <c r="AV277" s="291"/>
      <c r="AW277" s="291"/>
      <c r="AX277" s="291"/>
      <c r="AY277" s="291"/>
      <c r="AZ277" s="291"/>
      <c r="BA277" s="291"/>
      <c r="BB277" s="291"/>
      <c r="BC277" s="291"/>
      <c r="BD277" s="291"/>
      <c r="BE277" s="291"/>
      <c r="BF277" s="291"/>
      <c r="BG277" s="291"/>
      <c r="BH277" s="291"/>
      <c r="BI277" s="291"/>
      <c r="BJ277" s="291"/>
      <c r="BK277" s="291"/>
      <c r="BL277" s="291"/>
      <c r="BM277" s="291"/>
      <c r="BN277" s="182"/>
    </row>
    <row r="278" spans="1:66" ht="14.25" hidden="1" customHeight="1" x14ac:dyDescent="0.3">
      <c r="A278" s="982"/>
      <c r="B278" s="944"/>
      <c r="C278" s="183"/>
      <c r="D278" s="185" t="s">
        <v>636</v>
      </c>
      <c r="E278" s="977"/>
      <c r="F278" s="982"/>
      <c r="G278" s="982"/>
      <c r="H278" s="982"/>
      <c r="I278" s="982"/>
      <c r="J278" s="982"/>
      <c r="K278" s="977"/>
      <c r="L278" s="290">
        <f t="shared" ref="L278:P278" si="161">296*(44/28)*0.01*L371/1000000000</f>
        <v>0</v>
      </c>
      <c r="M278" s="290">
        <f t="shared" si="161"/>
        <v>0</v>
      </c>
      <c r="N278" s="290">
        <f t="shared" si="161"/>
        <v>0</v>
      </c>
      <c r="O278" s="290">
        <f t="shared" si="161"/>
        <v>0</v>
      </c>
      <c r="P278" s="290">
        <f t="shared" si="161"/>
        <v>0</v>
      </c>
      <c r="Q278" s="291"/>
      <c r="R278" s="291"/>
      <c r="S278" s="291"/>
      <c r="T278" s="291"/>
      <c r="U278" s="291"/>
      <c r="V278" s="291"/>
      <c r="W278" s="291"/>
      <c r="X278" s="291"/>
      <c r="Y278" s="291"/>
      <c r="Z278" s="291"/>
      <c r="AA278" s="291"/>
      <c r="AB278" s="291"/>
      <c r="AC278" s="291"/>
      <c r="AD278" s="291"/>
      <c r="AE278" s="291"/>
      <c r="AF278" s="291"/>
      <c r="AG278" s="291"/>
      <c r="AH278" s="291"/>
      <c r="AI278" s="291"/>
      <c r="AJ278" s="291"/>
      <c r="AK278" s="291"/>
      <c r="AL278" s="291"/>
      <c r="AM278" s="291"/>
      <c r="AN278" s="291"/>
      <c r="AO278" s="291"/>
      <c r="AP278" s="291"/>
      <c r="AQ278" s="291"/>
      <c r="AR278" s="291"/>
      <c r="AS278" s="291"/>
      <c r="AT278" s="291"/>
      <c r="AU278" s="291"/>
      <c r="AV278" s="291"/>
      <c r="AW278" s="291"/>
      <c r="AX278" s="291"/>
      <c r="AY278" s="291"/>
      <c r="AZ278" s="291"/>
      <c r="BA278" s="291"/>
      <c r="BB278" s="291"/>
      <c r="BC278" s="291"/>
      <c r="BD278" s="291"/>
      <c r="BE278" s="291"/>
      <c r="BF278" s="291"/>
      <c r="BG278" s="291"/>
      <c r="BH278" s="291"/>
      <c r="BI278" s="291"/>
      <c r="BJ278" s="291"/>
      <c r="BK278" s="291"/>
      <c r="BL278" s="291"/>
      <c r="BM278" s="291"/>
      <c r="BN278" s="182"/>
    </row>
    <row r="279" spans="1:66" ht="14.25" hidden="1" customHeight="1" x14ac:dyDescent="0.3">
      <c r="A279" s="982"/>
      <c r="B279" s="944"/>
      <c r="C279" s="183"/>
      <c r="D279" s="185" t="s">
        <v>637</v>
      </c>
      <c r="E279" s="977"/>
      <c r="F279" s="977"/>
      <c r="G279" s="977"/>
      <c r="H279" s="977"/>
      <c r="I279" s="977"/>
      <c r="J279" s="977"/>
      <c r="K279" s="977"/>
      <c r="L279" s="290">
        <f t="shared" ref="L279:P279" si="162">296*(44/28)*0.01*L372/1000000000</f>
        <v>0</v>
      </c>
      <c r="M279" s="290">
        <f t="shared" si="162"/>
        <v>0</v>
      </c>
      <c r="N279" s="290">
        <f t="shared" si="162"/>
        <v>0</v>
      </c>
      <c r="O279" s="290">
        <f t="shared" si="162"/>
        <v>0</v>
      </c>
      <c r="P279" s="290">
        <f t="shared" si="162"/>
        <v>0</v>
      </c>
      <c r="Q279" s="291"/>
      <c r="R279" s="291"/>
      <c r="S279" s="291"/>
      <c r="T279" s="291"/>
      <c r="U279" s="291"/>
      <c r="V279" s="291"/>
      <c r="W279" s="291"/>
      <c r="X279" s="291"/>
      <c r="Y279" s="291"/>
      <c r="Z279" s="291"/>
      <c r="AA279" s="291"/>
      <c r="AB279" s="291"/>
      <c r="AC279" s="291"/>
      <c r="AD279" s="291"/>
      <c r="AE279" s="291"/>
      <c r="AF279" s="291"/>
      <c r="AG279" s="291"/>
      <c r="AH279" s="291"/>
      <c r="AI279" s="291"/>
      <c r="AJ279" s="291"/>
      <c r="AK279" s="291"/>
      <c r="AL279" s="291"/>
      <c r="AM279" s="291"/>
      <c r="AN279" s="291"/>
      <c r="AO279" s="291"/>
      <c r="AP279" s="291"/>
      <c r="AQ279" s="291"/>
      <c r="AR279" s="291"/>
      <c r="AS279" s="291"/>
      <c r="AT279" s="291"/>
      <c r="AU279" s="291"/>
      <c r="AV279" s="291"/>
      <c r="AW279" s="291"/>
      <c r="AX279" s="291"/>
      <c r="AY279" s="291"/>
      <c r="AZ279" s="291"/>
      <c r="BA279" s="291"/>
      <c r="BB279" s="291"/>
      <c r="BC279" s="291"/>
      <c r="BD279" s="291"/>
      <c r="BE279" s="291"/>
      <c r="BF279" s="291"/>
      <c r="BG279" s="291"/>
      <c r="BH279" s="291"/>
      <c r="BI279" s="291"/>
      <c r="BJ279" s="291"/>
      <c r="BK279" s="291"/>
      <c r="BL279" s="291"/>
      <c r="BM279" s="291"/>
      <c r="BN279" s="182"/>
    </row>
    <row r="280" spans="1:66" ht="14.25" hidden="1" customHeight="1" x14ac:dyDescent="0.3">
      <c r="A280" s="92"/>
      <c r="B280" s="944"/>
      <c r="C280" s="183"/>
      <c r="D280" s="184" t="s">
        <v>789</v>
      </c>
      <c r="E280" s="180"/>
      <c r="F280" s="180"/>
      <c r="G280" s="180"/>
      <c r="H280" s="180"/>
      <c r="I280" s="180"/>
      <c r="J280" s="180"/>
      <c r="K280" s="181"/>
      <c r="L280" s="187">
        <f>SUM(L281:L287)</f>
        <v>373222.32250411878</v>
      </c>
      <c r="M280" s="181"/>
      <c r="N280" s="181"/>
      <c r="O280" s="181"/>
      <c r="P280" s="181"/>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c r="BK280" s="185"/>
      <c r="BL280" s="185"/>
      <c r="BM280" s="185"/>
      <c r="BN280" s="182"/>
    </row>
    <row r="281" spans="1:66" ht="14.25" hidden="1" customHeight="1" x14ac:dyDescent="0.3">
      <c r="A281" s="1199" t="s">
        <v>781</v>
      </c>
      <c r="B281" s="944"/>
      <c r="C281" s="183"/>
      <c r="D281" s="185" t="s">
        <v>790</v>
      </c>
      <c r="E281" s="187">
        <f>'Calibración-BAU_Agricultura '!G317*70.08*(0.01*0.005*44/28+0.01*0.005*44/28)</f>
        <v>57854.940452571434</v>
      </c>
      <c r="F281" s="187">
        <f>'Calibración-BAU_Agricultura '!H317*70.08*(0.01*0.005*44/28+0.01*0.005*44/28)</f>
        <v>59015.313078857151</v>
      </c>
      <c r="G281" s="187">
        <f>'Calibración-BAU_Agricultura '!I317*70.08*(0.01*0.005*44/28+0.01*0.005*44/28)</f>
        <v>57656.868342857146</v>
      </c>
      <c r="H281" s="187">
        <f>'Calibración-BAU_Agricultura '!J317*70.08*(0.01*0.005*44/28+0.01*0.005*44/28)</f>
        <v>56539.885248000006</v>
      </c>
      <c r="I281" s="187">
        <f>'Calibración-BAU_Agricultura '!K317*70.08*(0.01*0.005*44/28+0.01*0.005*44/28)</f>
        <v>50708.750701714293</v>
      </c>
      <c r="J281" s="187">
        <f>'Calibración-BAU_Agricultura '!L317*70.08*(0.01*0.005*44/28+0.01*0.005*44/28)</f>
        <v>45319.077106285724</v>
      </c>
      <c r="K281" s="187">
        <f>'Calibración-BAU_Agricultura '!M317*70.08*(0.01*0.005*44/28+0.01*0.005*44/28)</f>
        <v>45452.307195428577</v>
      </c>
      <c r="L281" s="187">
        <f>'Calibración-BAU_Agricultura '!N317*70.08*(0.01*0.005*44/28+0.01*0.005*44/28)</f>
        <v>46149.402966857146</v>
      </c>
      <c r="M281" s="187">
        <f>'Calibración-BAU_Agricultura '!O317*70.08*(0.01*0.005*44/28+0.01*0.005*44/28)</f>
        <v>44675.755721142865</v>
      </c>
      <c r="N281" s="187">
        <f>'Calibración-BAU_Agricultura '!P317*70.08*(0.01*0.005*44/28+0.01*0.005*44/28)</f>
        <v>47422.819638857145</v>
      </c>
      <c r="O281" s="187">
        <f>'Calibración-BAU_Agricultura '!Q317*70.08*(0.01*0.005*44/28+0.01*0.005*44/28)</f>
        <v>47749.672758857152</v>
      </c>
      <c r="P281" s="187">
        <f>'Calibración-BAU_Agricultura '!R317*70.08*(0.01*0.005*44/28+0.01*0.005*44/28)</f>
        <v>44787.357120000001</v>
      </c>
      <c r="Q281" s="187">
        <f>'Calibración-BAU_Agricultura '!S317*70.08*(0.01*0.005*44/28+0.01*0.005*44/28)</f>
        <v>45389.445125630875</v>
      </c>
      <c r="R281" s="187">
        <f>'Calibración-BAU_Agricultura '!T317*70.08*(0.01*0.005*44/28+0.01*0.005*44/28)</f>
        <v>45986.398724777137</v>
      </c>
      <c r="S281" s="187">
        <f>'Calibración-BAU_Agricultura '!U317*70.08*(0.01*0.005*44/28+0.01*0.005*44/28)</f>
        <v>46577.86216740714</v>
      </c>
      <c r="T281" s="187">
        <f>'Calibración-BAU_Agricultura '!V317*70.08*(0.01*0.005*44/28+0.01*0.005*44/28)</f>
        <v>47163.724439326659</v>
      </c>
      <c r="U281" s="187">
        <f>'Calibración-BAU_Agricultura '!W317*70.08*(0.01*0.005*44/28+0.01*0.005*44/28)</f>
        <v>47743.329547569563</v>
      </c>
      <c r="V281" s="187">
        <f>'Calibración-BAU_Agricultura '!X317*70.08*(0.01*0.005*44/28+0.01*0.005*44/28)</f>
        <v>48316.457986797221</v>
      </c>
      <c r="W281" s="187">
        <f>'Calibración-BAU_Agricultura '!Y317*70.08*(0.01*0.005*44/28+0.01*0.005*44/28)</f>
        <v>48882.698499880877</v>
      </c>
      <c r="X281" s="187">
        <f>'Calibración-BAU_Agricultura '!Z317*70.08*(0.01*0.005*44/28+0.01*0.005*44/28)</f>
        <v>49441.970349224728</v>
      </c>
      <c r="Y281" s="187">
        <f>'Calibración-BAU_Agricultura '!AA317*70.08*(0.01*0.005*44/28+0.01*0.005*44/28)</f>
        <v>49993.645295411217</v>
      </c>
      <c r="Z281" s="187">
        <f>'Calibración-BAU_Agricultura '!AB317*70.08*(0.01*0.005*44/28+0.01*0.005*44/28)</f>
        <v>50537.428141605611</v>
      </c>
      <c r="AA281" s="187">
        <f>'Calibración-BAU_Agricultura '!AC317*70.08*(0.01*0.005*44/28+0.01*0.005*44/28)</f>
        <v>51072.937907277614</v>
      </c>
      <c r="AB281" s="187">
        <f>'Calibración-BAU_Agricultura '!AD317*70.08*(0.01*0.005*44/28+0.01*0.005*44/28)</f>
        <v>51599.733058700011</v>
      </c>
      <c r="AC281" s="187">
        <f>'Calibración-BAU_Agricultura '!AE317*70.08*(0.01*0.005*44/28+0.01*0.005*44/28)</f>
        <v>52117.59661358405</v>
      </c>
      <c r="AD281" s="187">
        <f>'Calibración-BAU_Agricultura '!AF317*70.08*(0.01*0.005*44/28+0.01*0.005*44/28)</f>
        <v>52626.150114449301</v>
      </c>
      <c r="AE281" s="187">
        <f>'Calibración-BAU_Agricultura '!AG317*70.08*(0.01*0.005*44/28+0.01*0.005*44/28)</f>
        <v>53125.17153290721</v>
      </c>
      <c r="AF281" s="187">
        <f>'Calibración-BAU_Agricultura '!AH317*70.08*(0.01*0.005*44/28+0.01*0.005*44/28)</f>
        <v>53614.234473529832</v>
      </c>
      <c r="AG281" s="187">
        <f>'Calibración-BAU_Agricultura '!AI317*70.08*(0.01*0.005*44/28+0.01*0.005*44/28)</f>
        <v>54093.169891975893</v>
      </c>
      <c r="AH281" s="187">
        <f>'Calibración-BAU_Agricultura '!AJ317*70.08*(0.01*0.005*44/28+0.01*0.005*44/28)</f>
        <v>54561.662407011703</v>
      </c>
      <c r="AI281" s="187">
        <f>'Calibración-BAU_Agricultura '!AK317*70.08*(0.01*0.005*44/28+0.01*0.005*44/28)</f>
        <v>55019.492513298588</v>
      </c>
      <c r="AJ281" s="187">
        <f>'Calibración-BAU_Agricultura '!AL317*70.08*(0.01*0.005*44/28+0.01*0.005*44/28)</f>
        <v>55466.602180689566</v>
      </c>
      <c r="AK281" s="187">
        <f>'Calibración-BAU_Agricultura '!AM317*70.08*(0.01*0.005*44/28+0.01*0.005*44/28)</f>
        <v>55902.837503142589</v>
      </c>
      <c r="AL281" s="187">
        <f>'Calibración-BAU_Agricultura '!AN317*70.08*(0.01*0.005*44/28+0.01*0.005*44/28)</f>
        <v>56327.928514321611</v>
      </c>
      <c r="AM281" s="187">
        <f>'Calibración-BAU_Agricultura '!AO317*70.08*(0.01*0.005*44/28+0.01*0.005*44/28)</f>
        <v>56741.8197071295</v>
      </c>
      <c r="AN281" s="187">
        <f>'Calibración-BAU_Agricultura '!AP317*70.08*(0.01*0.005*44/28+0.01*0.005*44/28)</f>
        <v>57144.241115230208</v>
      </c>
      <c r="AO281" s="187">
        <f>'Calibración-BAU_Agricultura '!AQ317*70.08*(0.01*0.005*44/28+0.01*0.005*44/28)</f>
        <v>57535.124616277273</v>
      </c>
      <c r="AP281" s="187">
        <f>'Calibración-BAU_Agricultura '!AR317*70.08*(0.01*0.005*44/28+0.01*0.005*44/28)</f>
        <v>57914.533286517406</v>
      </c>
      <c r="AQ281" s="187">
        <f>'Calibración-BAU_Agricultura '!AS317*70.08*(0.01*0.005*44/28+0.01*0.005*44/28)</f>
        <v>58282.141652517443</v>
      </c>
      <c r="AR281" s="187">
        <f>'Calibración-BAU_Agricultura '!AT317*70.08*(0.01*0.005*44/28+0.01*0.005*44/28)</f>
        <v>58638.048113222292</v>
      </c>
      <c r="AS281" s="187">
        <f>'Calibración-BAU_Agricultura '!AU317*70.08*(0.01*0.005*44/28+0.01*0.005*44/28)</f>
        <v>58982.376298075564</v>
      </c>
      <c r="AT281" s="187">
        <f>'Calibración-BAU_Agricultura '!AV317*70.08*(0.01*0.005*44/28+0.01*0.005*44/28)</f>
        <v>59314.894000941109</v>
      </c>
      <c r="AU281" s="187">
        <f>'Calibración-BAU_Agricultura '!AW317*70.08*(0.01*0.005*44/28+0.01*0.005*44/28)</f>
        <v>59635.375906990193</v>
      </c>
      <c r="AV281" s="187">
        <f>'Calibración-BAU_Agricultura '!AX317*70.08*(0.01*0.005*44/28+0.01*0.005*44/28)</f>
        <v>59943.603846145299</v>
      </c>
      <c r="AW281" s="187">
        <f>'Calibración-BAU_Agricultura '!AY317*70.08*(0.01*0.005*44/28+0.01*0.005*44/28)</f>
        <v>60239.367039693694</v>
      </c>
      <c r="AX281" s="187">
        <f>'Calibración-BAU_Agricultura '!AZ317*70.08*(0.01*0.005*44/28+0.01*0.005*44/28)</f>
        <v>60522.462339682257</v>
      </c>
      <c r="AY281" s="187">
        <f>'Calibración-BAU_Agricultura '!BA317*70.08*(0.01*0.005*44/28+0.01*0.005*44/28)</f>
        <v>60792.694460713938</v>
      </c>
      <c r="AZ281" s="187">
        <f>'Calibración-BAU_Agricultura '!BB317*70.08*(0.01*0.005*44/28+0.01*0.005*44/28)</f>
        <v>61049.876203777341</v>
      </c>
      <c r="BA281" s="187">
        <f>'Calibración-BAU_Agricultura '!BC317*70.08*(0.01*0.005*44/28+0.01*0.005*44/28)</f>
        <v>61293.828671750998</v>
      </c>
      <c r="BB281" s="187">
        <f>'Calibración-BAU_Agricultura '!BD317*70.08*(0.01*0.005*44/28+0.01*0.005*44/28)</f>
        <v>61524.381476236274</v>
      </c>
      <c r="BC281" s="187">
        <f>'Calibración-BAU_Agricultura '!BE317*70.08*(0.01*0.005*44/28+0.01*0.005*44/28)</f>
        <v>61741.372935385116</v>
      </c>
      <c r="BD281" s="187">
        <f>'Calibración-BAU_Agricultura '!BF317*70.08*(0.01*0.005*44/28+0.01*0.005*44/28)</f>
        <v>61944.650262401876</v>
      </c>
      <c r="BE281" s="187">
        <f>'Calibración-BAU_Agricultura '!BG317*70.08*(0.01*0.005*44/28+0.01*0.005*44/28)</f>
        <v>62134.069744412343</v>
      </c>
      <c r="BF281" s="187">
        <f>'Calibración-BAU_Agricultura '!BH317*70.08*(0.01*0.005*44/28+0.01*0.005*44/28)</f>
        <v>62309.496911407565</v>
      </c>
      <c r="BG281" s="187">
        <f>'Calibración-BAU_Agricultura '!BI317*70.08*(0.01*0.005*44/28+0.01*0.005*44/28)</f>
        <v>62470.806694985011</v>
      </c>
      <c r="BH281" s="187">
        <f>'Calibración-BAU_Agricultura '!BJ317*70.08*(0.01*0.005*44/28+0.01*0.005*44/28)</f>
        <v>62617.88357662542</v>
      </c>
      <c r="BI281" s="187">
        <f>'Calibración-BAU_Agricultura '!BK317*70.08*(0.01*0.005*44/28+0.01*0.005*44/28)</f>
        <v>62750.62172525988</v>
      </c>
      <c r="BJ281" s="187">
        <f>'Calibración-BAU_Agricultura '!BL317*70.08*(0.01*0.005*44/28+0.01*0.005*44/28)</f>
        <v>62868.92512389792</v>
      </c>
      <c r="BK281" s="187">
        <f>'Calibración-BAU_Agricultura '!BM317*70.08*(0.01*0.005*44/28+0.01*0.005*44/28)</f>
        <v>62972.707685105452</v>
      </c>
      <c r="BL281" s="187">
        <f>'Calibración-BAU_Agricultura '!BN317*70.08*(0.01*0.005*44/28+0.01*0.005*44/28)</f>
        <v>63061.893355138302</v>
      </c>
      <c r="BM281" s="187">
        <f>'Calibración-BAU_Agricultura '!BO317*70.08*(0.01*0.005*44/28+0.01*0.005*44/28)</f>
        <v>63136.416206555608</v>
      </c>
      <c r="BN281" s="182"/>
    </row>
    <row r="282" spans="1:66" ht="14.25" hidden="1" customHeight="1" x14ac:dyDescent="0.3">
      <c r="A282" s="1199"/>
      <c r="B282" s="944"/>
      <c r="C282" s="183"/>
      <c r="D282" s="185" t="s">
        <v>791</v>
      </c>
      <c r="E282" s="187">
        <v>0</v>
      </c>
      <c r="F282" s="187">
        <v>0</v>
      </c>
      <c r="G282" s="187">
        <v>0</v>
      </c>
      <c r="H282" s="187">
        <v>0</v>
      </c>
      <c r="I282" s="187">
        <v>0</v>
      </c>
      <c r="J282" s="187">
        <v>0</v>
      </c>
      <c r="K282" s="187">
        <v>0</v>
      </c>
      <c r="L282" s="187">
        <v>0</v>
      </c>
      <c r="M282" s="187">
        <v>0</v>
      </c>
      <c r="N282" s="187">
        <v>0</v>
      </c>
      <c r="O282" s="187">
        <v>0</v>
      </c>
      <c r="P282" s="187">
        <v>0</v>
      </c>
      <c r="Q282" s="187">
        <v>1</v>
      </c>
      <c r="R282" s="187">
        <v>2</v>
      </c>
      <c r="S282" s="187">
        <v>3</v>
      </c>
      <c r="T282" s="187">
        <v>4</v>
      </c>
      <c r="U282" s="187">
        <v>5</v>
      </c>
      <c r="V282" s="187">
        <v>6</v>
      </c>
      <c r="W282" s="187">
        <v>7</v>
      </c>
      <c r="X282" s="187">
        <v>8</v>
      </c>
      <c r="Y282" s="187">
        <v>9</v>
      </c>
      <c r="Z282" s="187">
        <v>10</v>
      </c>
      <c r="AA282" s="187">
        <v>11</v>
      </c>
      <c r="AB282" s="187">
        <v>12</v>
      </c>
      <c r="AC282" s="187">
        <v>13</v>
      </c>
      <c r="AD282" s="187">
        <v>14</v>
      </c>
      <c r="AE282" s="187">
        <v>15</v>
      </c>
      <c r="AF282" s="187">
        <v>16</v>
      </c>
      <c r="AG282" s="187">
        <v>17</v>
      </c>
      <c r="AH282" s="187">
        <v>18</v>
      </c>
      <c r="AI282" s="187">
        <v>19</v>
      </c>
      <c r="AJ282" s="187">
        <v>20</v>
      </c>
      <c r="AK282" s="187">
        <v>21</v>
      </c>
      <c r="AL282" s="187">
        <v>22</v>
      </c>
      <c r="AM282" s="187">
        <v>23</v>
      </c>
      <c r="AN282" s="187">
        <v>24</v>
      </c>
      <c r="AO282" s="187">
        <v>25</v>
      </c>
      <c r="AP282" s="187">
        <v>26</v>
      </c>
      <c r="AQ282" s="187">
        <v>27</v>
      </c>
      <c r="AR282" s="187">
        <v>28</v>
      </c>
      <c r="AS282" s="187">
        <v>29</v>
      </c>
      <c r="AT282" s="187">
        <v>30</v>
      </c>
      <c r="AU282" s="187">
        <v>31</v>
      </c>
      <c r="AV282" s="187">
        <v>32</v>
      </c>
      <c r="AW282" s="187">
        <v>33</v>
      </c>
      <c r="AX282" s="187">
        <v>34</v>
      </c>
      <c r="AY282" s="187">
        <v>35</v>
      </c>
      <c r="AZ282" s="187">
        <v>36</v>
      </c>
      <c r="BA282" s="187">
        <v>37</v>
      </c>
      <c r="BB282" s="187">
        <v>38</v>
      </c>
      <c r="BC282" s="187">
        <v>39</v>
      </c>
      <c r="BD282" s="187">
        <v>40</v>
      </c>
      <c r="BE282" s="187">
        <v>41</v>
      </c>
      <c r="BF282" s="187">
        <v>42</v>
      </c>
      <c r="BG282" s="187">
        <v>43</v>
      </c>
      <c r="BH282" s="187">
        <v>44</v>
      </c>
      <c r="BI282" s="187">
        <v>45</v>
      </c>
      <c r="BJ282" s="187">
        <v>46</v>
      </c>
      <c r="BK282" s="187">
        <v>47</v>
      </c>
      <c r="BL282" s="187">
        <v>48</v>
      </c>
      <c r="BM282" s="187">
        <v>49</v>
      </c>
      <c r="BN282" s="182"/>
    </row>
    <row r="283" spans="1:66" ht="13.5" hidden="1" customHeight="1" x14ac:dyDescent="0.3">
      <c r="A283" s="1199"/>
      <c r="B283" s="944"/>
      <c r="C283" s="183"/>
      <c r="D283" s="185" t="s">
        <v>792</v>
      </c>
      <c r="E283" s="187">
        <f>'Calibración-BAU_Agricultura '!G320*0.01*0.02*40.08*44/28</f>
        <v>20514.72785773714</v>
      </c>
      <c r="F283" s="187">
        <f>'Calibración-BAU_Agricultura '!H320*0.01*0.02*40.08*44/28</f>
        <v>20926.183274605715</v>
      </c>
      <c r="G283" s="187">
        <f>'Calibración-BAU_Agricultura '!I320*0.01*0.02*40.08*44/28</f>
        <v>20444.493658285712</v>
      </c>
      <c r="H283" s="187">
        <f>'Calibración-BAU_Agricultura '!J320*0.01*0.02*40.08*44/28</f>
        <v>20048.42369376</v>
      </c>
      <c r="I283" s="187">
        <f>'Calibración-BAU_Agricultura '!K320*0.01*0.02*40.08*44/28</f>
        <v>17980.767286491428</v>
      </c>
      <c r="J283" s="187">
        <f>'Calibración-BAU_Agricultura '!L320*0.01*0.02*40.08*44/28</f>
        <v>16069.648094468572</v>
      </c>
      <c r="K283" s="187">
        <f>'Calibración-BAU_Agricultura '!M320*0.01*0.02*40.08*44/28</f>
        <v>16116.890024022856</v>
      </c>
      <c r="L283" s="187">
        <f>'Calibración-BAU_Agricultura '!N320*0.01*0.02*40.08*44/28</f>
        <v>16364.072545165714</v>
      </c>
      <c r="M283" s="187">
        <f>'Calibración-BAU_Agricultura '!O320*0.01*0.02*40.08*44/28</f>
        <v>15841.533381394285</v>
      </c>
      <c r="N283" s="187">
        <f>'Calibración-BAU_Agricultura '!P320*0.01*0.02*40.08*44/28</f>
        <v>16815.612141805712</v>
      </c>
      <c r="O283" s="187">
        <f>'Calibración-BAU_Agricultura '!Q320*0.01*0.02*40.08*44/28</f>
        <v>16931.510676205715</v>
      </c>
      <c r="P283" s="187">
        <f>'Calibración-BAU_Agricultura '!R320*0.01*0.02*40.08*44/28</f>
        <v>15881.106014400002</v>
      </c>
      <c r="Q283" s="187">
        <f>'Calibración-BAU_Agricultura '!S320*0.01*0.02*40.08*44/28</f>
        <v>16094.599822971988</v>
      </c>
      <c r="R283" s="187">
        <f>'Calibración-BAU_Agricultura '!T320*0.01*0.02*40.08*44/28</f>
        <v>16306.273027271998</v>
      </c>
      <c r="S283" s="187">
        <f>'Calibración-BAU_Agricultura '!U320*0.01*0.02*40.08*44/28</f>
        <v>16515.99948223745</v>
      </c>
      <c r="T283" s="187">
        <f>'Calibración-BAU_Agricultura '!V320*0.01*0.02*40.08*44/28</f>
        <v>16723.739823451648</v>
      </c>
      <c r="U283" s="187">
        <f>'Calibración-BAU_Agricultura '!W320*0.01*0.02*40.08*44/28</f>
        <v>16929.261442997784</v>
      </c>
      <c r="V283" s="187">
        <f>'Calibración-BAU_Agricultura '!X320*0.01*0.02*40.08*44/28</f>
        <v>17132.486506688303</v>
      </c>
      <c r="W283" s="187">
        <f>'Calibración-BAU_Agricultura '!Y320*0.01*0.02*40.08*44/28</f>
        <v>17333.269187252281</v>
      </c>
      <c r="X283" s="187">
        <f>'Calibración-BAU_Agricultura '!Z320*0.01*0.02*40.08*44/28</f>
        <v>17531.580856023043</v>
      </c>
      <c r="Y283" s="187">
        <f>'Calibración-BAU_Agricultura '!AA320*0.01*0.02*40.08*44/28</f>
        <v>17727.198746187936</v>
      </c>
      <c r="Z283" s="187">
        <f>'Calibración-BAU_Agricultura '!AB320*0.01*0.02*40.08*44/28</f>
        <v>17920.018184184402</v>
      </c>
      <c r="AA283" s="187">
        <f>'Calibración-BAU_Agricultura '!AC320*0.01*0.02*40.08*44/28</f>
        <v>18109.904078491516</v>
      </c>
      <c r="AB283" s="187">
        <f>'Calibración-BAU_Agricultura '!AD320*0.01*0.02*40.08*44/28</f>
        <v>18296.699866088351</v>
      </c>
      <c r="AC283" s="187">
        <f>'Calibración-BAU_Agricultura '!AE320*0.01*0.02*40.08*44/28</f>
        <v>18480.328607433195</v>
      </c>
      <c r="AD283" s="187">
        <f>'Calibración-BAU_Agricultura '!AF320*0.01*0.02*40.08*44/28</f>
        <v>18660.65610565096</v>
      </c>
      <c r="AE283" s="187">
        <f>'Calibración-BAU_Agricultura '!AG320*0.01*0.02*40.08*44/28</f>
        <v>18837.60363190826</v>
      </c>
      <c r="AF283" s="187">
        <f>'Calibración-BAU_Agricultura '!AH320*0.01*0.02*40.08*44/28</f>
        <v>19011.019991059169</v>
      </c>
      <c r="AG283" s="187">
        <f>'Calibración-BAU_Agricultura '!AI320*0.01*0.02*40.08*44/28</f>
        <v>19180.84524183282</v>
      </c>
      <c r="AH283" s="187">
        <f>'Calibración-BAU_Agricultura '!AJ320*0.01*0.02*40.08*44/28</f>
        <v>19346.96755349997</v>
      </c>
      <c r="AI283" s="187">
        <f>'Calibración-BAU_Agricultura '!AK320*0.01*0.02*40.08*44/28</f>
        <v>19509.309091873067</v>
      </c>
      <c r="AJ283" s="187">
        <f>'Calibración-BAU_Agricultura '!AL320*0.01*0.02*40.08*44/28</f>
        <v>19667.849280097937</v>
      </c>
      <c r="AK283" s="187">
        <f>'Calibración-BAU_Agricultura '!AM320*0.01*0.02*40.08*44/28</f>
        <v>19822.533544778715</v>
      </c>
      <c r="AL283" s="187">
        <f>'Calibración-BAU_Agricultura '!AN320*0.01*0.02*40.08*44/28</f>
        <v>19973.266158811166</v>
      </c>
      <c r="AM283" s="187">
        <f>'Calibración-BAU_Agricultura '!AO320*0.01*0.02*40.08*44/28</f>
        <v>20120.027439986945</v>
      </c>
      <c r="AN283" s="187">
        <f>'Calibración-BAU_Agricultura '!AP320*0.01*0.02*40.08*44/28</f>
        <v>20262.721661201835</v>
      </c>
      <c r="AO283" s="187">
        <f>'Calibración-BAU_Agricultura '!AQ320*0.01*0.02*40.08*44/28</f>
        <v>20401.324667018318</v>
      </c>
      <c r="AP283" s="187">
        <f>'Calibración-BAU_Agricultura '!AR320*0.01*0.02*40.08*44/28</f>
        <v>20535.858823582232</v>
      </c>
      <c r="AQ283" s="187">
        <f>'Calibración-BAU_Agricultura '!AS320*0.01*0.02*40.08*44/28</f>
        <v>20666.208721581006</v>
      </c>
      <c r="AR283" s="187">
        <f>'Calibración-BAU_Agricultura '!AT320*0.01*0.02*40.08*44/28</f>
        <v>20792.409252202171</v>
      </c>
      <c r="AS283" s="187">
        <f>'Calibración-BAU_Agricultura '!AU320*0.01*0.02*40.08*44/28</f>
        <v>20914.504253091585</v>
      </c>
      <c r="AT283" s="187">
        <f>'Calibración-BAU_Agricultura '!AV320*0.01*0.02*40.08*44/28</f>
        <v>21032.411386498094</v>
      </c>
      <c r="AU283" s="187">
        <f>'Calibración-BAU_Agricultura '!AW320*0.01*0.02*40.08*44/28</f>
        <v>21146.050758252615</v>
      </c>
      <c r="AV283" s="187">
        <f>'Calibración-BAU_Agricultura '!AX320*0.01*0.02*40.08*44/28</f>
        <v>21255.345007636584</v>
      </c>
      <c r="AW283" s="187">
        <f>'Calibración-BAU_Agricultura '!AY320*0.01*0.02*40.08*44/28</f>
        <v>21360.219394828371</v>
      </c>
      <c r="AX283" s="187">
        <f>'Calibración-BAU_Agricultura '!AZ320*0.01*0.02*40.08*44/28</f>
        <v>21460.601885790071</v>
      </c>
      <c r="AY283" s="187">
        <f>'Calibración-BAU_Agricultura '!BA320*0.01*0.02*40.08*44/28</f>
        <v>21556.423234460006</v>
      </c>
      <c r="AZ283" s="187">
        <f>'Calibración-BAU_Agricultura '!BB320*0.01*0.02*40.08*44/28</f>
        <v>21647.617062120229</v>
      </c>
      <c r="BA283" s="187">
        <f>'Calibración-BAU_Agricultura '!BC320*0.01*0.02*40.08*44/28</f>
        <v>21734.11993381198</v>
      </c>
      <c r="BB283" s="187">
        <f>'Calibración-BAU_Agricultura '!BD320*0.01*0.02*40.08*44/28</f>
        <v>21815.87143167638</v>
      </c>
      <c r="BC283" s="187">
        <f>'Calibración-BAU_Agricultura '!BE320*0.01*0.02*40.08*44/28</f>
        <v>21892.814225101964</v>
      </c>
      <c r="BD283" s="187">
        <f>'Calibración-BAU_Agricultura '!BF320*0.01*0.02*40.08*44/28</f>
        <v>21964.894137565374</v>
      </c>
      <c r="BE283" s="187">
        <f>'Calibración-BAU_Agricultura '!BG320*0.01*0.02*40.08*44/28</f>
        <v>22032.060210056348</v>
      </c>
      <c r="BF283" s="187">
        <f>'Calibración-BAU_Agricultura '!BH320*0.01*0.02*40.08*44/28</f>
        <v>22094.264760983355</v>
      </c>
      <c r="BG283" s="187">
        <f>'Calibración-BAU_Agricultura '!BI320*0.01*0.02*40.08*44/28</f>
        <v>22151.46344246146</v>
      </c>
      <c r="BH283" s="187">
        <f>'Calibración-BAU_Agricultura '!BJ320*0.01*0.02*40.08*44/28</f>
        <v>22203.615292889714</v>
      </c>
      <c r="BI283" s="187">
        <f>'Calibración-BAU_Agricultura '!BK320*0.01*0.02*40.08*44/28</f>
        <v>22250.682785730849</v>
      </c>
      <c r="BJ283" s="187">
        <f>'Calibración-BAU_Agricultura '!BL320*0.01*0.02*40.08*44/28</f>
        <v>22292.631874412295</v>
      </c>
      <c r="BK283" s="187">
        <f>'Calibración-BAU_Agricultura '!BM320*0.01*0.02*40.08*44/28</f>
        <v>22329.432033273344</v>
      </c>
      <c r="BL283" s="187">
        <f>'Calibración-BAU_Agricultura '!BN320*0.01*0.02*40.08*44/28</f>
        <v>22361.056294489797</v>
      </c>
      <c r="BM283" s="187">
        <f>'Calibración-BAU_Agricultura '!BO320*0.01*0.02*40.08*44/28</f>
        <v>22387.481280913595</v>
      </c>
      <c r="BN283" s="182"/>
    </row>
    <row r="284" spans="1:66" ht="14.25" hidden="1" customHeight="1" x14ac:dyDescent="0.3">
      <c r="A284" s="1199"/>
      <c r="B284" s="944"/>
      <c r="C284" s="183"/>
      <c r="D284" s="185" t="s">
        <v>793</v>
      </c>
      <c r="E284" s="187">
        <f>'Calibración-BAU_Agricultura '!G321*40.08*0.01*0.02*44/28</f>
        <v>24485.320346331431</v>
      </c>
      <c r="F284" s="187">
        <f>'Calibración-BAU_Agricultura '!H321*40.08*0.01*0.02*44/28</f>
        <v>24976.412295497143</v>
      </c>
      <c r="G284" s="187">
        <f>'Calibración-BAU_Agricultura '!I321*40.08*0.01*0.02*44/28</f>
        <v>24401.492430857146</v>
      </c>
      <c r="H284" s="187">
        <f>'Calibración-BAU_Agricultura '!J321*40.08*0.01*0.02*44/28</f>
        <v>23928.763763519997</v>
      </c>
      <c r="I284" s="187">
        <f>'Calibración-BAU_Agricultura '!K321*40.08*0.01*0.02*44/28</f>
        <v>21460.915793554283</v>
      </c>
      <c r="J284" s="187">
        <f>'Calibración-BAU_Agricultura '!L321*40.08*0.01*0.02*44/28</f>
        <v>19179.902564365711</v>
      </c>
      <c r="K284" s="187">
        <f>'Calibración-BAU_Agricultura '!M321*40.08*0.01*0.02*44/28</f>
        <v>19236.288093188574</v>
      </c>
      <c r="L284" s="187">
        <f>'Calibración-BAU_Agricultura '!N321*40.08*0.01*0.02*44/28</f>
        <v>19531.312392617143</v>
      </c>
      <c r="M284" s="187">
        <f>'Calibración-BAU_Agricultura '!O321*40.08*0.01*0.02*44/28</f>
        <v>18907.636616502856</v>
      </c>
      <c r="N284" s="187">
        <f>'Calibración-BAU_Agricultura '!P321*40.08*0.01*0.02*44/28</f>
        <v>20070.246749897142</v>
      </c>
      <c r="O284" s="187">
        <f>'Calibración-BAU_Agricultura '!Q321*40.08*0.01*0.02*44/28</f>
        <v>20208.57725869714</v>
      </c>
      <c r="P284" s="187">
        <f>'Calibración-BAU_Agricultura '!R321*40.08*0.01*0.02*44/28</f>
        <v>18954.868468800003</v>
      </c>
      <c r="Q284" s="187">
        <f>'Calibración-BAU_Agricultura '!S321*40.08*0.01*0.02*44/28</f>
        <v>19209.683659676248</v>
      </c>
      <c r="R284" s="187">
        <f>'Calibración-BAU_Agricultura '!T321*40.08*0.01*0.02*44/28</f>
        <v>19462.325871260127</v>
      </c>
      <c r="S284" s="187">
        <f>'Calibración-BAU_Agricultura '!U321*40.08*0.01*0.02*44/28</f>
        <v>19712.644543315662</v>
      </c>
      <c r="T284" s="187">
        <f>'Calibración-BAU_Agricultura '!V321*40.08*0.01*0.02*44/28</f>
        <v>19960.592692506809</v>
      </c>
      <c r="U284" s="187">
        <f>'Calibración-BAU_Agricultura '!W321*40.08*0.01*0.02*44/28</f>
        <v>20205.89269002961</v>
      </c>
      <c r="V284" s="187">
        <f>'Calibración-BAU_Agricultura '!X321*40.08*0.01*0.02*44/28</f>
        <v>20448.451637015067</v>
      </c>
      <c r="W284" s="187">
        <f>'Calibración-BAU_Agricultura '!Y321*40.08*0.01*0.02*44/28</f>
        <v>20688.095481559172</v>
      </c>
      <c r="X284" s="187">
        <f>'Calibración-BAU_Agricultura '!Z321*40.08*0.01*0.02*44/28</f>
        <v>20924.790053962985</v>
      </c>
      <c r="Y284" s="187">
        <f>'Calibración-BAU_Agricultura '!AA321*40.08*0.01*0.02*44/28</f>
        <v>21158.269471256568</v>
      </c>
      <c r="Z284" s="187">
        <f>'Calibración-BAU_Agricultura '!AB321*40.08*0.01*0.02*44/28</f>
        <v>21388.408800478155</v>
      </c>
      <c r="AA284" s="187">
        <f>'Calibración-BAU_Agricultura '!AC321*40.08*0.01*0.02*44/28</f>
        <v>21615.046803360838</v>
      </c>
      <c r="AB284" s="187">
        <f>'Calibración-BAU_Agricultura '!AD321*40.08*0.01*0.02*44/28</f>
        <v>21837.996614363514</v>
      </c>
      <c r="AC284" s="187">
        <f>'Calibración-BAU_Agricultura '!AE321*40.08*0.01*0.02*44/28</f>
        <v>22057.166402420266</v>
      </c>
      <c r="AD284" s="187">
        <f>'Calibración-BAU_Agricultura '!AF321*40.08*0.01*0.02*44/28</f>
        <v>22272.395997067269</v>
      </c>
      <c r="AE284" s="187">
        <f>'Calibración-BAU_Agricultura '!AG321*40.08*0.01*0.02*44/28</f>
        <v>22483.591431632434</v>
      </c>
      <c r="AF284" s="187">
        <f>'Calibración-BAU_Agricultura '!AH321*40.08*0.01*0.02*44/28</f>
        <v>22690.572247393204</v>
      </c>
      <c r="AG284" s="187">
        <f>'Calibración-BAU_Agricultura '!AI321*40.08*0.01*0.02*44/28</f>
        <v>22893.266901542396</v>
      </c>
      <c r="AH284" s="187">
        <f>'Calibración-BAU_Agricultura '!AJ321*40.08*0.01*0.02*44/28</f>
        <v>23091.541918693507</v>
      </c>
      <c r="AI284" s="187">
        <f>'Calibración-BAU_Agricultura '!AK321*40.08*0.01*0.02*44/28</f>
        <v>23285.304399977525</v>
      </c>
      <c r="AJ284" s="187">
        <f>'Calibración-BAU_Agricultura '!AL321*40.08*0.01*0.02*44/28</f>
        <v>23474.52978592334</v>
      </c>
      <c r="AK284" s="187">
        <f>'Calibración-BAU_Agricultura '!AM321*40.08*0.01*0.02*44/28</f>
        <v>23659.152940542324</v>
      </c>
      <c r="AL284" s="187">
        <f>'Calibración-BAU_Agricultura '!AN321*40.08*0.01*0.02*44/28</f>
        <v>23839.059608903644</v>
      </c>
      <c r="AM284" s="187">
        <f>'Calibración-BAU_Agricultura '!AO321*40.08*0.01*0.02*44/28</f>
        <v>24014.226299339254</v>
      </c>
      <c r="AN284" s="187">
        <f>'Calibración-BAU_Agricultura '!AP321*40.08*0.01*0.02*44/28</f>
        <v>24184.538756918311</v>
      </c>
      <c r="AO284" s="187">
        <f>'Calibración-BAU_Agricultura '!AQ321*40.08*0.01*0.02*44/28</f>
        <v>24349.968150957338</v>
      </c>
      <c r="AP284" s="187">
        <f>'Calibración-BAU_Agricultura '!AR321*40.08*0.01*0.02*44/28</f>
        <v>24510.541176533628</v>
      </c>
      <c r="AQ284" s="187">
        <f>'Calibración-BAU_Agricultura '!AS321*40.08*0.01*0.02*44/28</f>
        <v>24666.120087048301</v>
      </c>
      <c r="AR284" s="187">
        <f>'Calibración-BAU_Agricultura '!AT321*40.08*0.01*0.02*44/28</f>
        <v>24816.746526821946</v>
      </c>
      <c r="AS284" s="187">
        <f>'Calibración-BAU_Agricultura '!AU321*40.08*0.01*0.02*44/28</f>
        <v>24962.472818206083</v>
      </c>
      <c r="AT284" s="187">
        <f>'Calibración-BAU_Agricultura '!AV321*40.08*0.01*0.02*44/28</f>
        <v>25103.200687110624</v>
      </c>
      <c r="AU284" s="187">
        <f>'Calibración-BAU_Agricultura '!AW321*40.08*0.01*0.02*44/28</f>
        <v>25238.834775978929</v>
      </c>
      <c r="AV284" s="187">
        <f>'Calibración-BAU_Agricultura '!AX321*40.08*0.01*0.02*44/28</f>
        <v>25369.282751050108</v>
      </c>
      <c r="AW284" s="187">
        <f>'Calibración-BAU_Agricultura '!AY321*40.08*0.01*0.02*44/28</f>
        <v>25494.455406730634</v>
      </c>
      <c r="AX284" s="187">
        <f>'Calibración-BAU_Agricultura '!AZ321*40.08*0.01*0.02*44/28</f>
        <v>25614.266766910721</v>
      </c>
      <c r="AY284" s="187">
        <f>'Calibración-BAU_Agricultura '!BA321*40.08*0.01*0.02*44/28</f>
        <v>25728.634183065158</v>
      </c>
      <c r="AZ284" s="187">
        <f>'Calibración-BAU_Agricultura '!BB321*40.08*0.01*0.02*44/28</f>
        <v>25837.478428982202</v>
      </c>
      <c r="BA284" s="187">
        <f>'Calibración-BAU_Agricultura '!BC321*40.08*0.01*0.02*44/28</f>
        <v>25940.723791969136</v>
      </c>
      <c r="BB284" s="187">
        <f>'Calibración-BAU_Agricultura '!BD321*40.08*0.01*0.02*44/28</f>
        <v>26038.298160387934</v>
      </c>
      <c r="BC284" s="187">
        <f>'Calibración-BAU_Agricultura '!BE321*40.08*0.01*0.02*44/28</f>
        <v>26130.133107379756</v>
      </c>
      <c r="BD284" s="187">
        <f>'Calibración-BAU_Agricultura '!BF321*40.08*0.01*0.02*44/28</f>
        <v>26216.163970642541</v>
      </c>
      <c r="BE284" s="187">
        <f>'Calibración-BAU_Agricultura '!BG321*40.08*0.01*0.02*44/28</f>
        <v>26296.32992813177</v>
      </c>
      <c r="BF284" s="187">
        <f>'Calibración-BAU_Agricultura '!BH321*40.08*0.01*0.02*44/28</f>
        <v>26370.574069560771</v>
      </c>
      <c r="BG284" s="187">
        <f>'Calibración-BAU_Agricultura '!BI321*40.08*0.01*0.02*44/28</f>
        <v>26438.843463583034</v>
      </c>
      <c r="BH284" s="187">
        <f>'Calibración-BAU_Agricultura '!BJ321*40.08*0.01*0.02*44/28</f>
        <v>26501.089220545786</v>
      </c>
      <c r="BI284" s="187">
        <f>'Calibración-BAU_Agricultura '!BK321*40.08*0.01*0.02*44/28</f>
        <v>26557.266550711003</v>
      </c>
      <c r="BJ284" s="187">
        <f>'Calibración-BAU_Agricultura '!BL321*40.08*0.01*0.02*44/28</f>
        <v>26607.334817846928</v>
      </c>
      <c r="BK284" s="187">
        <f>'Calibración-BAU_Agricultura '!BM321*40.08*0.01*0.02*44/28</f>
        <v>26651.257588100445</v>
      </c>
      <c r="BL284" s="187">
        <f>'Calibración-BAU_Agricultura '!BN321*40.08*0.01*0.02*44/28</f>
        <v>26689.002674068463</v>
      </c>
      <c r="BM284" s="187">
        <f>'Calibración-BAU_Agricultura '!BO321*40.08*0.01*0.02*44/28</f>
        <v>26720.542173993636</v>
      </c>
      <c r="BN284" s="182"/>
    </row>
    <row r="285" spans="1:66" ht="14.25" hidden="1" customHeight="1" x14ac:dyDescent="0.3">
      <c r="A285" s="1199"/>
      <c r="B285" s="944"/>
      <c r="C285" s="183"/>
      <c r="D285" s="185" t="s">
        <v>794</v>
      </c>
      <c r="E285" s="187">
        <f>'Calibración-BAU_Agricultura '!G334*15.02*44/28*(0.08*0.005+0.5*0.005+0.4*0.02)</f>
        <v>383272.51505399996</v>
      </c>
      <c r="F285" s="187">
        <f>'Calibración-BAU_Agricultura '!H334*15.02*44/28*(0.08*0.005+0.5*0.005+0.4*0.02)</f>
        <v>471080.44246685714</v>
      </c>
      <c r="G285" s="187">
        <f>'Calibración-BAU_Agricultura '!I334*15.02*44/28*(0.08*0.005+0.5*0.005+0.4*0.02)</f>
        <v>298931.6080588997</v>
      </c>
      <c r="H285" s="187">
        <f>'Calibración-BAU_Agricultura '!J334*15.02*44/28*(0.08*0.005+0.5*0.005+0.4*0.02)</f>
        <v>313494.55855111341</v>
      </c>
      <c r="I285" s="187">
        <f>'Calibración-BAU_Agricultura '!K334*15.02*44/28*(0.08*0.005+0.5*0.005+0.4*0.02)</f>
        <v>497604.05176479911</v>
      </c>
      <c r="J285" s="187">
        <f>'Calibración-BAU_Agricultura '!L334*15.02*44/28*(0.08*0.005+0.5*0.005+0.4*0.02)</f>
        <v>421323.07488109404</v>
      </c>
      <c r="K285" s="187">
        <f>'Calibración-BAU_Agricultura '!M334*15.02*44/28*(0.08*0.005+0.5*0.005+0.4*0.02)</f>
        <v>293609.10047555459</v>
      </c>
      <c r="L285" s="187">
        <f>'Calibración-BAU_Agricultura '!N334*15.02*44/28*(0.08*0.005+0.5*0.005+0.4*0.02)</f>
        <v>286978.96140747878</v>
      </c>
      <c r="M285" s="187">
        <f>'Calibración-BAU_Agricultura '!O334*15.02*44/28*(0.08*0.005+0.5*0.005+0.4*0.02)</f>
        <v>330165.77013033733</v>
      </c>
      <c r="N285" s="187">
        <f>'Calibración-BAU_Agricultura '!P334*15.02*44/28*(0.08*0.005+0.5*0.005+0.4*0.02)</f>
        <v>299125.35929808166</v>
      </c>
      <c r="O285" s="187">
        <f>'Calibración-BAU_Agricultura '!Q334*15.02*44/28*(0.08*0.005+0.5*0.005+0.4*0.02)</f>
        <v>642103.95079291775</v>
      </c>
      <c r="P285" s="187">
        <f>'Calibración-BAU_Agricultura '!R334*15.02*44/28*(0.08*0.005+0.5*0.005+0.4*0.02)</f>
        <v>639377.05085101072</v>
      </c>
      <c r="Q285" s="187">
        <f>'Calibración-BAU_Agricultura '!S334*15.02*44/28*(0.08*0.005+0.5*0.005+0.4*0.02)</f>
        <v>647972.3616294876</v>
      </c>
      <c r="R285" s="187">
        <f>'Calibración-BAU_Agricultura '!T334*15.02*44/28*(0.08*0.005+0.5*0.005+0.4*0.02)</f>
        <v>656494.37445320445</v>
      </c>
      <c r="S285" s="187">
        <f>'Calibración-BAU_Agricultura '!U334*15.02*44/28*(0.08*0.005+0.5*0.005+0.4*0.02)</f>
        <v>664938.01069237175</v>
      </c>
      <c r="T285" s="187">
        <f>'Calibración-BAU_Agricultura '!V334*15.02*44/28*(0.08*0.005+0.5*0.005+0.4*0.02)</f>
        <v>673301.68552634632</v>
      </c>
      <c r="U285" s="187">
        <f>'Calibración-BAU_Agricultura '!W334*15.02*44/28*(0.08*0.005+0.5*0.005+0.4*0.02)</f>
        <v>681576.03410587064</v>
      </c>
      <c r="V285" s="187">
        <f>'Calibración-BAU_Agricultura '!X334*15.02*44/28*(0.08*0.005+0.5*0.005+0.4*0.02)</f>
        <v>689757.92280830955</v>
      </c>
      <c r="W285" s="187">
        <f>'Calibración-BAU_Agricultura '!Y334*15.02*44/28*(0.08*0.005+0.5*0.005+0.4*0.02)</f>
        <v>697841.48059355165</v>
      </c>
      <c r="X285" s="187">
        <f>'Calibración-BAU_Agricultura '!Z334*15.02*44/28*(0.08*0.005+0.5*0.005+0.4*0.02)</f>
        <v>705825.55486476561</v>
      </c>
      <c r="Y285" s="187">
        <f>'Calibración-BAU_Agricultura '!AA334*15.02*44/28*(0.08*0.005+0.5*0.005+0.4*0.02)</f>
        <v>713701.17697785504</v>
      </c>
      <c r="Z285" s="187">
        <f>'Calibración-BAU_Agricultura '!AB334*15.02*44/28*(0.08*0.005+0.5*0.005+0.4*0.02)</f>
        <v>721464.13275065459</v>
      </c>
      <c r="AA285" s="187">
        <f>'Calibración-BAU_Agricultura '!AC334*15.02*44/28*(0.08*0.005+0.5*0.005+0.4*0.02)</f>
        <v>729108.98336686497</v>
      </c>
      <c r="AB285" s="187">
        <f>'Calibración-BAU_Agricultura '!AD334*15.02*44/28*(0.08*0.005+0.5*0.005+0.4*0.02)</f>
        <v>736629.42556256359</v>
      </c>
      <c r="AC285" s="187">
        <f>'Calibración-BAU_Agricultura '!AE334*15.02*44/28*(0.08*0.005+0.5*0.005+0.4*0.02)</f>
        <v>744022.36173376546</v>
      </c>
      <c r="AD285" s="187">
        <f>'Calibración-BAU_Agricultura '!AF334*15.02*44/28*(0.08*0.005+0.5*0.005+0.4*0.02)</f>
        <v>751282.38908282237</v>
      </c>
      <c r="AE285" s="187">
        <f>'Calibración-BAU_Agricultura '!AG334*15.02*44/28*(0.08*0.005+0.5*0.005+0.4*0.02)</f>
        <v>758406.33796844725</v>
      </c>
      <c r="AF285" s="187">
        <f>'Calibración-BAU_Agricultura '!AH334*15.02*44/28*(0.08*0.005+0.5*0.005+0.4*0.02)</f>
        <v>765388.12123862316</v>
      </c>
      <c r="AG285" s="187">
        <f>'Calibración-BAU_Agricultura '!AI334*15.02*44/28*(0.08*0.005+0.5*0.005+0.4*0.02)</f>
        <v>772225.32564373419</v>
      </c>
      <c r="AH285" s="187">
        <f>'Calibración-BAU_Agricultura '!AJ334*15.02*44/28*(0.08*0.005+0.5*0.005+0.4*0.02)</f>
        <v>778913.44885240635</v>
      </c>
      <c r="AI285" s="187">
        <f>'Calibración-BAU_Agricultura '!AK334*15.02*44/28*(0.08*0.005+0.5*0.005+0.4*0.02)</f>
        <v>785449.35724200425</v>
      </c>
      <c r="AJ285" s="187">
        <f>'Calibración-BAU_Agricultura '!AL334*15.02*44/28*(0.08*0.005+0.5*0.005+0.4*0.02)</f>
        <v>791832.22238355468</v>
      </c>
      <c r="AK285" s="187">
        <f>'Calibración-BAU_Agricultura '!AM334*15.02*44/28*(0.08*0.005+0.5*0.005+0.4*0.02)</f>
        <v>798059.84713934769</v>
      </c>
      <c r="AL285" s="187">
        <f>'Calibración-BAU_Agricultura '!AN334*15.02*44/28*(0.08*0.005+0.5*0.005+0.4*0.02)</f>
        <v>804128.37751372752</v>
      </c>
      <c r="AM285" s="187">
        <f>'Calibración-BAU_Agricultura '!AO334*15.02*44/28*(0.08*0.005+0.5*0.005+0.4*0.02)</f>
        <v>810037.02109637239</v>
      </c>
      <c r="AN285" s="187">
        <f>'Calibración-BAU_Agricultura '!AP334*15.02*44/28*(0.08*0.005+0.5*0.005+0.4*0.02)</f>
        <v>815781.92389162676</v>
      </c>
      <c r="AO285" s="187">
        <f>'Calibración-BAU_Agricultura '!AQ334*15.02*44/28*(0.08*0.005+0.5*0.005+0.4*0.02)</f>
        <v>821362.11339591385</v>
      </c>
      <c r="AP285" s="187">
        <f>'Calibración-BAU_Agricultura '!AR334*15.02*44/28*(0.08*0.005+0.5*0.005+0.4*0.02)</f>
        <v>826778.49007550837</v>
      </c>
      <c r="AQ285" s="187">
        <f>'Calibración-BAU_Agricultura '!AS334*15.02*44/28*(0.08*0.005+0.5*0.005+0.4*0.02)</f>
        <v>832026.40752443287</v>
      </c>
      <c r="AR285" s="187">
        <f>'Calibración-BAU_Agricultura '!AT334*15.02*44/28*(0.08*0.005+0.5*0.005+0.4*0.02)</f>
        <v>837107.27047007577</v>
      </c>
      <c r="AS285" s="187">
        <f>'Calibración-BAU_Agricultura '!AU334*15.02*44/28*(0.08*0.005+0.5*0.005+0.4*0.02)</f>
        <v>842022.84382633574</v>
      </c>
      <c r="AT285" s="187">
        <f>'Calibración-BAU_Agricultura '!AV334*15.02*44/28*(0.08*0.005+0.5*0.005+0.4*0.02)</f>
        <v>846769.81265605008</v>
      </c>
      <c r="AU285" s="187">
        <f>'Calibración-BAU_Agricultura '!AW334*15.02*44/28*(0.08*0.005+0.5*0.005+0.4*0.02)</f>
        <v>851344.96040124411</v>
      </c>
      <c r="AV285" s="187">
        <f>'Calibración-BAU_Agricultura '!AX334*15.02*44/28*(0.08*0.005+0.5*0.005+0.4*0.02)</f>
        <v>855745.17250125355</v>
      </c>
      <c r="AW285" s="187">
        <f>'Calibración-BAU_Agricultura '!AY334*15.02*44/28*(0.08*0.005+0.5*0.005+0.4*0.02)</f>
        <v>859967.43991334015</v>
      </c>
      <c r="AX285" s="187">
        <f>'Calibración-BAU_Agricultura '!AZ334*15.02*44/28*(0.08*0.005+0.5*0.005+0.4*0.02)</f>
        <v>864008.86253025185</v>
      </c>
      <c r="AY285" s="187">
        <f>'Calibración-BAU_Agricultura '!BA334*15.02*44/28*(0.08*0.005+0.5*0.005+0.4*0.02)</f>
        <v>867866.65248931362</v>
      </c>
      <c r="AZ285" s="187">
        <f>'Calibración-BAU_Agricultura '!BB334*15.02*44/28*(0.08*0.005+0.5*0.005+0.4*0.02)</f>
        <v>871538.13736778114</v>
      </c>
      <c r="BA285" s="187">
        <f>'Calibración-BAU_Agricultura '!BC334*15.02*44/28*(0.08*0.005+0.5*0.005+0.4*0.02)</f>
        <v>875020.76325934485</v>
      </c>
      <c r="BB285" s="187">
        <f>'Calibración-BAU_Agricultura '!BD334*15.02*44/28*(0.08*0.005+0.5*0.005+0.4*0.02)</f>
        <v>878312.09772684344</v>
      </c>
      <c r="BC285" s="187">
        <f>'Calibración-BAU_Agricultura '!BE334*15.02*44/28*(0.08*0.005+0.5*0.005+0.4*0.02)</f>
        <v>881409.83262642019</v>
      </c>
      <c r="BD285" s="187">
        <f>'Calibración-BAU_Agricultura '!BF334*15.02*44/28*(0.08*0.005+0.5*0.005+0.4*0.02)</f>
        <v>884311.78679854574</v>
      </c>
      <c r="BE285" s="187">
        <f>'Calibración-BAU_Agricultura '!BG334*15.02*44/28*(0.08*0.005+0.5*0.005+0.4*0.02)</f>
        <v>887015.90862152097</v>
      </c>
      <c r="BF285" s="187">
        <f>'Calibración-BAU_Agricultura '!BH334*15.02*44/28*(0.08*0.005+0.5*0.005+0.4*0.02)</f>
        <v>889520.27842329408</v>
      </c>
      <c r="BG285" s="187">
        <f>'Calibración-BAU_Agricultura '!BI334*15.02*44/28*(0.08*0.005+0.5*0.005+0.4*0.02)</f>
        <v>891823.11074762221</v>
      </c>
      <c r="BH285" s="187">
        <f>'Calibración-BAU_Agricultura '!BJ334*15.02*44/28*(0.08*0.005+0.5*0.005+0.4*0.02)</f>
        <v>893922.75647084846</v>
      </c>
      <c r="BI285" s="187">
        <f>'Calibración-BAU_Agricultura '!BK334*15.02*44/28*(0.08*0.005+0.5*0.005+0.4*0.02)</f>
        <v>895817.7047657863</v>
      </c>
      <c r="BJ285" s="187">
        <f>'Calibración-BAU_Agricultura '!BL334*15.02*44/28*(0.08*0.005+0.5*0.005+0.4*0.02)</f>
        <v>897506.58490944316</v>
      </c>
      <c r="BK285" s="187">
        <f>'Calibración-BAU_Agricultura '!BM334*15.02*44/28*(0.08*0.005+0.5*0.005+0.4*0.02)</f>
        <v>898988.16793156369</v>
      </c>
      <c r="BL285" s="187">
        <f>'Calibración-BAU_Agricultura '!BN334*15.02*44/28*(0.08*0.005+0.5*0.005+0.4*0.02)</f>
        <v>900261.36810122291</v>
      </c>
      <c r="BM285" s="187">
        <f>'Calibración-BAU_Agricultura '!BO334*15.02*44/28*(0.08*0.005+0.5*0.005+0.4*0.02)</f>
        <v>901325.24424896121</v>
      </c>
      <c r="BN285" s="182"/>
    </row>
    <row r="286" spans="1:66" ht="14.25" hidden="1" customHeight="1" x14ac:dyDescent="0.3">
      <c r="A286" s="1199"/>
      <c r="B286" s="944"/>
      <c r="C286" s="183"/>
      <c r="D286" s="185" t="s">
        <v>795</v>
      </c>
      <c r="E286" s="187">
        <v>0</v>
      </c>
      <c r="F286" s="187">
        <v>0</v>
      </c>
      <c r="G286" s="187">
        <v>0</v>
      </c>
      <c r="H286" s="187">
        <v>0</v>
      </c>
      <c r="I286" s="187">
        <v>0</v>
      </c>
      <c r="J286" s="187">
        <v>0</v>
      </c>
      <c r="K286" s="187">
        <v>0</v>
      </c>
      <c r="L286" s="187">
        <v>0</v>
      </c>
      <c r="M286" s="187">
        <v>0</v>
      </c>
      <c r="N286" s="187">
        <v>0</v>
      </c>
      <c r="O286" s="187">
        <v>0</v>
      </c>
      <c r="P286" s="187">
        <v>0</v>
      </c>
      <c r="Q286" s="187">
        <v>1</v>
      </c>
      <c r="R286" s="187">
        <v>2</v>
      </c>
      <c r="S286" s="187">
        <v>3</v>
      </c>
      <c r="T286" s="187">
        <v>4</v>
      </c>
      <c r="U286" s="187">
        <v>5</v>
      </c>
      <c r="V286" s="187">
        <v>6</v>
      </c>
      <c r="W286" s="187">
        <v>7</v>
      </c>
      <c r="X286" s="187">
        <v>8</v>
      </c>
      <c r="Y286" s="187">
        <v>9</v>
      </c>
      <c r="Z286" s="187">
        <v>10</v>
      </c>
      <c r="AA286" s="187">
        <v>11</v>
      </c>
      <c r="AB286" s="187">
        <v>12</v>
      </c>
      <c r="AC286" s="187">
        <v>13</v>
      </c>
      <c r="AD286" s="187">
        <v>14</v>
      </c>
      <c r="AE286" s="187">
        <v>15</v>
      </c>
      <c r="AF286" s="187">
        <v>16</v>
      </c>
      <c r="AG286" s="187">
        <v>17</v>
      </c>
      <c r="AH286" s="187">
        <v>18</v>
      </c>
      <c r="AI286" s="187">
        <v>19</v>
      </c>
      <c r="AJ286" s="187">
        <v>20</v>
      </c>
      <c r="AK286" s="187">
        <v>21</v>
      </c>
      <c r="AL286" s="187">
        <v>22</v>
      </c>
      <c r="AM286" s="187">
        <v>23</v>
      </c>
      <c r="AN286" s="187">
        <v>24</v>
      </c>
      <c r="AO286" s="187">
        <v>25</v>
      </c>
      <c r="AP286" s="187">
        <v>26</v>
      </c>
      <c r="AQ286" s="187">
        <v>27</v>
      </c>
      <c r="AR286" s="187">
        <v>28</v>
      </c>
      <c r="AS286" s="187">
        <v>29</v>
      </c>
      <c r="AT286" s="187">
        <v>30</v>
      </c>
      <c r="AU286" s="187">
        <v>31</v>
      </c>
      <c r="AV286" s="187">
        <v>32</v>
      </c>
      <c r="AW286" s="187">
        <v>33</v>
      </c>
      <c r="AX286" s="187">
        <v>34</v>
      </c>
      <c r="AY286" s="187">
        <v>35</v>
      </c>
      <c r="AZ286" s="187">
        <v>36</v>
      </c>
      <c r="BA286" s="187">
        <v>37</v>
      </c>
      <c r="BB286" s="187">
        <v>38</v>
      </c>
      <c r="BC286" s="187">
        <v>39</v>
      </c>
      <c r="BD286" s="187">
        <v>40</v>
      </c>
      <c r="BE286" s="187">
        <v>41</v>
      </c>
      <c r="BF286" s="187">
        <v>42</v>
      </c>
      <c r="BG286" s="187">
        <v>43</v>
      </c>
      <c r="BH286" s="187">
        <v>44</v>
      </c>
      <c r="BI286" s="187">
        <v>45</v>
      </c>
      <c r="BJ286" s="187">
        <v>46</v>
      </c>
      <c r="BK286" s="187">
        <v>47</v>
      </c>
      <c r="BL286" s="187">
        <v>48</v>
      </c>
      <c r="BM286" s="187">
        <v>49</v>
      </c>
      <c r="BN286" s="182"/>
    </row>
    <row r="287" spans="1:66" ht="14.25" hidden="1" customHeight="1" x14ac:dyDescent="0.3">
      <c r="A287" s="1199"/>
      <c r="B287" s="944"/>
      <c r="C287" s="183"/>
      <c r="D287" s="185" t="s">
        <v>796</v>
      </c>
      <c r="E287" s="187">
        <f>'Calibración-BAU_Agricultura '!G336*44/28*35.21*(0.01*0.02)</f>
        <v>8481.8566140000003</v>
      </c>
      <c r="F287" s="187">
        <f>'Calibración-BAU_Agricultura '!H336*44/28*35.21*(0.01*0.02)</f>
        <v>1952.3411820000001</v>
      </c>
      <c r="G287" s="187">
        <f>'Calibración-BAU_Agricultura '!I336*44/28*35.21*(0.01*0.02)</f>
        <v>7595.4589480000004</v>
      </c>
      <c r="H287" s="187">
        <f>'Calibración-BAU_Agricultura '!J336*44/28*35.21*(0.01*0.02)</f>
        <v>7060.9158180000013</v>
      </c>
      <c r="I287" s="187">
        <f>'Calibración-BAU_Agricultura '!K336*44/28*35.21*(0.01*0.02)</f>
        <v>5442.03748</v>
      </c>
      <c r="J287" s="187">
        <f>'Calibración-BAU_Agricultura '!L336*44/28*35.21*(0.01*0.02)</f>
        <v>4400.3506360000001</v>
      </c>
      <c r="K287" s="187">
        <f>'Calibración-BAU_Agricultura '!M336*44/28*35.21*(0.01*0.02)</f>
        <v>4257.7652260000004</v>
      </c>
      <c r="L287" s="187">
        <f>'Calibración-BAU_Agricultura '!N336*44/28*35.21*(0.01*0.02)</f>
        <v>4198.5731920000007</v>
      </c>
      <c r="M287" s="187">
        <f>'Calibración-BAU_Agricultura '!O336*44/28*35.21*(0.01*0.02)</f>
        <v>3710.3634040000006</v>
      </c>
      <c r="N287" s="187">
        <f>'Calibración-BAU_Agricultura '!P336*44/28*35.21*(0.01*0.02)</f>
        <v>4088.2119740000003</v>
      </c>
      <c r="O287" s="187">
        <f>'Calibración-BAU_Agricultura '!Q336*44/28*35.21*(0.01*0.02)</f>
        <v>3160.5049300000001</v>
      </c>
      <c r="P287" s="187">
        <f>'Calibración-BAU_Agricultura '!R336*44/28*35.21*(0.01*0.02)</f>
        <v>4051.4728540000001</v>
      </c>
      <c r="Q287" s="187">
        <f>'Calibración-BAU_Agricultura '!S336*44/28*35.21*(0.01*0.02)</f>
        <v>4105.9378496459076</v>
      </c>
      <c r="R287" s="187">
        <f>'Calibración-BAU_Agricultura '!T336*44/28*35.21*(0.01*0.02)</f>
        <v>4159.9383859034624</v>
      </c>
      <c r="S287" s="187">
        <f>'Calibración-BAU_Agricultura '!U336*44/28*35.21*(0.01*0.02)</f>
        <v>4213.4422815570597</v>
      </c>
      <c r="T287" s="187">
        <f>'Calibración-BAU_Agricultura '!V336*44/28*35.21*(0.01*0.02)</f>
        <v>4266.4394942415447</v>
      </c>
      <c r="U287" s="187">
        <f>'Calibración-BAU_Agricultura '!W336*44/28*35.21*(0.01*0.02)</f>
        <v>4318.8706827082842</v>
      </c>
      <c r="V287" s="187">
        <f>'Calibración-BAU_Agricultura '!X336*44/28*35.21*(0.01*0.02)</f>
        <v>4370.7159904625414</v>
      </c>
      <c r="W287" s="187">
        <f>'Calibración-BAU_Agricultura '!Y336*44/28*35.21*(0.01*0.02)</f>
        <v>4421.9382151061354</v>
      </c>
      <c r="X287" s="187">
        <f>'Calibración-BAU_Agricultura '!Z336*44/28*35.21*(0.01*0.02)</f>
        <v>4472.5300531007724</v>
      </c>
      <c r="Y287" s="187">
        <f>'Calibración-BAU_Agricultura '!AA336*44/28*35.21*(0.01*0.02)</f>
        <v>4522.4346737891037</v>
      </c>
      <c r="Z287" s="187">
        <f>'Calibración-BAU_Agricultura '!AB336*44/28*35.21*(0.01*0.02)</f>
        <v>4571.6253736092458</v>
      </c>
      <c r="AA287" s="187">
        <f>'Calibración-BAU_Agricultura '!AC336*44/28*35.21*(0.01*0.02)</f>
        <v>4620.0676889898768</v>
      </c>
      <c r="AB287" s="187">
        <f>'Calibración-BAU_Agricultura '!AD336*44/28*35.21*(0.01*0.02)</f>
        <v>4667.7216787059533</v>
      </c>
      <c r="AC287" s="187">
        <f>'Calibración-BAU_Agricultura '!AE336*44/28*35.21*(0.01*0.02)</f>
        <v>4714.567714498311</v>
      </c>
      <c r="AD287" s="187">
        <f>'Calibración-BAU_Agricultura '!AF336*44/28*35.21*(0.01*0.02)</f>
        <v>4760.5715610312009</v>
      </c>
      <c r="AE287" s="187">
        <f>'Calibración-BAU_Agricultura '!AG336*44/28*35.21*(0.01*0.02)</f>
        <v>4805.7131335743143</v>
      </c>
      <c r="AF287" s="187">
        <f>'Calibración-BAU_Agricultura '!AH336*44/28*35.21*(0.01*0.02)</f>
        <v>4849.953860316039</v>
      </c>
      <c r="AG287" s="187">
        <f>'Calibración-BAU_Agricultura '!AI336*44/28*35.21*(0.01*0.02)</f>
        <v>4893.2784494730731</v>
      </c>
      <c r="AH287" s="187">
        <f>'Calibración-BAU_Agricultura '!AJ336*44/28*35.21*(0.01*0.02)</f>
        <v>4935.6583715989564</v>
      </c>
      <c r="AI287" s="187">
        <f>'Calibración-BAU_Agricultura '!AK336*44/28*35.21*(0.01*0.02)</f>
        <v>4977.0737701989547</v>
      </c>
      <c r="AJ287" s="187">
        <f>'Calibración-BAU_Agricultura '!AL336*44/28*35.21*(0.01*0.02)</f>
        <v>5017.5193958549198</v>
      </c>
      <c r="AK287" s="187">
        <f>'Calibración-BAU_Agricultura '!AM336*44/28*35.21*(0.01*0.02)</f>
        <v>5056.9813261969784</v>
      </c>
      <c r="AL287" s="187">
        <f>'Calibración-BAU_Agricultura '!AN336*44/28*35.21*(0.01*0.02)</f>
        <v>5095.4351400189635</v>
      </c>
      <c r="AM287" s="187">
        <f>'Calibración-BAU_Agricultura '!AO336*44/28*35.21*(0.01*0.02)</f>
        <v>5132.8758161382966</v>
      </c>
      <c r="AN287" s="187">
        <f>'Calibración-BAU_Agricultura '!AP336*44/28*35.21*(0.01*0.02)</f>
        <v>5169.278933348809</v>
      </c>
      <c r="AO287" s="187">
        <f>'Calibración-BAU_Agricultura '!AQ336*44/28*35.21*(0.01*0.02)</f>
        <v>5204.6383292900673</v>
      </c>
      <c r="AP287" s="187">
        <f>'Calibración-BAU_Agricultura '!AR336*44/28*35.21*(0.01*0.02)</f>
        <v>5238.9597098513632</v>
      </c>
      <c r="AQ287" s="187">
        <f>'Calibración-BAU_Agricultura '!AS336*44/28*35.21*(0.01*0.02)</f>
        <v>5272.2136326439486</v>
      </c>
      <c r="AR287" s="187">
        <f>'Calibración-BAU_Agricultura '!AT336*44/28*35.21*(0.01*0.02)</f>
        <v>5304.4089988551195</v>
      </c>
      <c r="AS287" s="187">
        <f>'Calibración-BAU_Agricultura '!AU336*44/28*35.21*(0.01*0.02)</f>
        <v>5335.5569920278904</v>
      </c>
      <c r="AT287" s="187">
        <f>'Calibración-BAU_Agricultura '!AV336*44/28*35.21*(0.01*0.02)</f>
        <v>5365.6366067509616</v>
      </c>
      <c r="AU287" s="187">
        <f>'Calibración-BAU_Agricultura '!AW336*44/28*35.21*(0.01*0.02)</f>
        <v>5394.62746100202</v>
      </c>
      <c r="AV287" s="187">
        <f>'Calibración-BAU_Agricultura '!AX336*44/28*35.21*(0.01*0.02)</f>
        <v>5422.5098190743074</v>
      </c>
      <c r="AW287" s="187">
        <f>'Calibración-BAU_Agricultura '!AY336*44/28*35.21*(0.01*0.02)</f>
        <v>5449.2646138853333</v>
      </c>
      <c r="AX287" s="187">
        <f>'Calibración-BAU_Agricultura '!AZ336*44/28*35.21*(0.01*0.02)</f>
        <v>5474.8734686325688</v>
      </c>
      <c r="AY287" s="187">
        <f>'Calibración-BAU_Agricultura '!BA336*44/28*35.21*(0.01*0.02)</f>
        <v>5499.3187177618101</v>
      </c>
      <c r="AZ287" s="187">
        <f>'Calibración-BAU_Agricultura '!BB336*44/28*35.21*(0.01*0.02)</f>
        <v>5522.5834272148377</v>
      </c>
      <c r="BA287" s="187">
        <f>'Calibración-BAU_Agricultura '!BC336*44/28*35.21*(0.01*0.02)</f>
        <v>5544.6514139239753</v>
      </c>
      <c r="BB287" s="187">
        <f>'Calibración-BAU_Agricultura '!BD336*44/28*35.21*(0.01*0.02)</f>
        <v>5565.5072645222353</v>
      </c>
      <c r="BC287" s="187">
        <f>'Calibración-BAU_Agricultura '!BE336*44/28*35.21*(0.01*0.02)</f>
        <v>5585.1363532388541</v>
      </c>
      <c r="BD287" s="187">
        <f>'Calibración-BAU_Agricultura '!BF336*44/28*35.21*(0.01*0.02)</f>
        <v>5603.5248589512012</v>
      </c>
      <c r="BE287" s="187">
        <f>'Calibración-BAU_Agricultura '!BG336*44/28*35.21*(0.01*0.02)</f>
        <v>5620.6597813653107</v>
      </c>
      <c r="BF287" s="187">
        <f>'Calibración-BAU_Agricultura '!BH336*44/28*35.21*(0.01*0.02)</f>
        <v>5636.5289562985608</v>
      </c>
      <c r="BG287" s="187">
        <f>'Calibración-BAU_Agricultura '!BI336*44/28*35.21*(0.01*0.02)</f>
        <v>5651.1210700394458</v>
      </c>
      <c r="BH287" s="187">
        <f>'Calibración-BAU_Agricultura '!BJ336*44/28*35.21*(0.01*0.02)</f>
        <v>5664.4256727607126</v>
      </c>
      <c r="BI287" s="187">
        <f>'Calibración-BAU_Agricultura '!BK336*44/28*35.21*(0.01*0.02)</f>
        <v>5676.433190963714</v>
      </c>
      <c r="BJ287" s="187">
        <f>'Calibración-BAU_Agricultura '!BL336*44/28*35.21*(0.01*0.02)</f>
        <v>5687.1349389332072</v>
      </c>
      <c r="BK287" s="187">
        <f>'Calibración-BAU_Agricultura '!BM336*44/28*35.21*(0.01*0.02)</f>
        <v>5696.5231291835125</v>
      </c>
      <c r="BL287" s="187">
        <f>'Calibración-BAU_Agricultura '!BN336*44/28*35.21*(0.01*0.02)</f>
        <v>5704.5908818784492</v>
      </c>
      <c r="BM287" s="187">
        <f>'Calibración-BAU_Agricultura '!BO336*44/28*35.21*(0.01*0.02)</f>
        <v>5711.3322332091584</v>
      </c>
      <c r="BN287" s="182"/>
    </row>
    <row r="288" spans="1:66" ht="14.25" hidden="1" customHeight="1" x14ac:dyDescent="0.3">
      <c r="A288" s="964"/>
      <c r="B288" s="944"/>
      <c r="C288" s="183"/>
      <c r="D288" s="185" t="s">
        <v>808</v>
      </c>
      <c r="E288" s="187">
        <f>SUM('Calibración-BAU_Agricultura '!G395:G396)*44/28*0.54*(0.51*0.005+0.49*0.005)</f>
        <v>77612.939485714291</v>
      </c>
      <c r="F288" s="187">
        <f>SUM('Calibración-BAU_Agricultura '!H395:H396)*44/28*0.54*(0.51*0.005+0.49*0.005)</f>
        <v>57064.243500000004</v>
      </c>
      <c r="G288" s="187">
        <f>SUM('Calibración-BAU_Agricultura '!I395:I396)*44/28*0.54*(0.51*0.005+0.49*0.005)</f>
        <v>63223.797153382686</v>
      </c>
      <c r="H288" s="187">
        <f>SUM('Calibración-BAU_Agricultura '!J395:J396)*44/28*0.54*(0.51*0.005+0.49*0.005)</f>
        <v>69467.31565714287</v>
      </c>
      <c r="I288" s="187">
        <f>SUM('Calibración-BAU_Agricultura '!K395:K396)*44/28*0.54*(0.51*0.005+0.49*0.005)</f>
        <v>68861.227757142871</v>
      </c>
      <c r="J288" s="187">
        <f>SUM('Calibración-BAU_Agricultura '!L395:L396)*44/28*0.54*(0.51*0.005+0.49*0.005)</f>
        <v>63183.992142857147</v>
      </c>
      <c r="K288" s="187">
        <f>SUM('Calibración-BAU_Agricultura '!M395:M396)*44/28*0.54*(0.51*0.005+0.49*0.005)</f>
        <v>60701.967385714292</v>
      </c>
      <c r="L288" s="187">
        <f>SUM('Calibración-BAU_Agricultura '!N395:N396)*44/28*0.54*(0.51*0.005+0.49*0.005)</f>
        <v>56880.820542857145</v>
      </c>
      <c r="M288" s="187">
        <f>SUM('Calibración-BAU_Agricultura '!O395:O396)*44/28*0.54*(0.51*0.005+0.49*0.005)</f>
        <v>54968.246614285716</v>
      </c>
      <c r="N288" s="187">
        <f>SUM('Calibración-BAU_Agricultura '!P395:P396)*44/28*0.54*(0.51*0.005+0.49*0.005)</f>
        <v>68361.885900000008</v>
      </c>
      <c r="O288" s="187">
        <f>SUM('Calibración-BAU_Agricultura '!Q395:Q396)*44/28*0.54*(0.51*0.005+0.49*0.005)</f>
        <v>75233.494285714289</v>
      </c>
      <c r="P288" s="187">
        <f>SUM('Calibración-BAU_Agricultura '!R395:R396)*44/28*0.54*(0.51*0.005+0.49*0.005)</f>
        <v>89970.693685714286</v>
      </c>
      <c r="Q288" s="187">
        <f>SUM('Calibración-BAU_Agricultura '!S395:S396)*44/28*0.54*(0.51*0.005+0.49*0.005)</f>
        <v>91180.192950904646</v>
      </c>
      <c r="R288" s="187">
        <f>SUM('Calibración-BAU_Agricultura '!T395:T396)*44/28*0.54*(0.51*0.005+0.49*0.005)</f>
        <v>92379.378008184765</v>
      </c>
      <c r="S288" s="187">
        <f>SUM('Calibración-BAU_Agricultura '!U395:U396)*44/28*0.54*(0.51*0.005+0.49*0.005)</f>
        <v>93567.534212190803</v>
      </c>
      <c r="T288" s="187">
        <f>SUM('Calibración-BAU_Agricultura '!V395:V396)*44/28*0.54*(0.51*0.005+0.49*0.005)</f>
        <v>94744.438553022075</v>
      </c>
      <c r="U288" s="187">
        <f>SUM('Calibración-BAU_Agricultura '!W395:W396)*44/28*0.54*(0.51*0.005+0.49*0.005)</f>
        <v>95908.77324490124</v>
      </c>
      <c r="V288" s="187">
        <f>SUM('Calibración-BAU_Agricultura '!X395:X396)*44/28*0.54*(0.51*0.005+0.49*0.005)</f>
        <v>97060.097336433697</v>
      </c>
      <c r="W288" s="187">
        <f>SUM('Calibración-BAU_Agricultura '!Y395:Y396)*44/28*0.54*(0.51*0.005+0.49*0.005)</f>
        <v>98197.584677305218</v>
      </c>
      <c r="X288" s="187">
        <f>SUM('Calibración-BAU_Agricultura '!Z395:Z396)*44/28*0.54*(0.51*0.005+0.49*0.005)</f>
        <v>99321.073078497095</v>
      </c>
      <c r="Y288" s="187">
        <f>SUM('Calibración-BAU_Agricultura '!AA395:AA396)*44/28*0.54*(0.51*0.005+0.49*0.005)</f>
        <v>100429.30050670727</v>
      </c>
      <c r="Z288" s="187">
        <f>SUM('Calibración-BAU_Agricultura '!AB395:AB396)*44/28*0.54*(0.51*0.005+0.49*0.005)</f>
        <v>101521.67395833597</v>
      </c>
      <c r="AA288" s="187">
        <f>SUM('Calibración-BAU_Agricultura '!AC395:AC396)*44/28*0.54*(0.51*0.005+0.49*0.005)</f>
        <v>102597.42810395104</v>
      </c>
      <c r="AB288" s="187">
        <f>SUM('Calibración-BAU_Agricultura '!AD395:AD396)*44/28*0.54*(0.51*0.005+0.49*0.005)</f>
        <v>103655.6759723563</v>
      </c>
      <c r="AC288" s="187">
        <f>SUM('Calibración-BAU_Agricultura '!AE395:AE396)*44/28*0.54*(0.51*0.005+0.49*0.005)</f>
        <v>104695.98168056388</v>
      </c>
      <c r="AD288" s="187">
        <f>SUM('Calibración-BAU_Agricultura '!AF395:AF396)*44/28*0.54*(0.51*0.005+0.49*0.005)</f>
        <v>105717.58496754844</v>
      </c>
      <c r="AE288" s="187">
        <f>SUM('Calibración-BAU_Agricultura '!AG395:AG396)*44/28*0.54*(0.51*0.005+0.49*0.005)</f>
        <v>106720.03981350853</v>
      </c>
      <c r="AF288" s="187">
        <f>SUM('Calibración-BAU_Agricultura '!AH395:AH396)*44/28*0.54*(0.51*0.005+0.49*0.005)</f>
        <v>107702.48965768881</v>
      </c>
      <c r="AG288" s="187">
        <f>SUM('Calibración-BAU_Agricultura '!AI395:AI396)*44/28*0.54*(0.51*0.005+0.49*0.005)</f>
        <v>108664.59491683143</v>
      </c>
      <c r="AH288" s="187">
        <f>SUM('Calibración-BAU_Agricultura '!AJ395:AJ396)*44/28*0.54*(0.51*0.005+0.49*0.005)</f>
        <v>109605.72204008188</v>
      </c>
      <c r="AI288" s="187">
        <f>SUM('Calibración-BAU_Agricultura '!AK395:AK396)*44/28*0.54*(0.51*0.005+0.49*0.005)</f>
        <v>110525.43007604551</v>
      </c>
      <c r="AJ288" s="187">
        <f>SUM('Calibración-BAU_Agricultura '!AL395:AL396)*44/28*0.54*(0.51*0.005+0.49*0.005)</f>
        <v>111423.60245136505</v>
      </c>
      <c r="AK288" s="187">
        <f>SUM('Calibración-BAU_Agricultura '!AM395:AM396)*44/28*0.54*(0.51*0.005+0.49*0.005)</f>
        <v>112299.92999322363</v>
      </c>
      <c r="AL288" s="187">
        <f>SUM('Calibración-BAU_Agricultura '!AN395:AN396)*44/28*0.54*(0.51*0.005+0.49*0.005)</f>
        <v>113153.87038208971</v>
      </c>
      <c r="AM288" s="187">
        <f>SUM('Calibración-BAU_Agricultura '!AO395:AO396)*44/28*0.54*(0.51*0.005+0.49*0.005)</f>
        <v>113985.31211301303</v>
      </c>
      <c r="AN288" s="187">
        <f>SUM('Calibración-BAU_Agricultura '!AP395:AP396)*44/28*0.54*(0.51*0.005+0.49*0.005)</f>
        <v>114793.71286646216</v>
      </c>
      <c r="AO288" s="187">
        <f>SUM('Calibración-BAU_Agricultura '!AQ395:AQ396)*44/28*0.54*(0.51*0.005+0.49*0.005)</f>
        <v>115578.9357954525</v>
      </c>
      <c r="AP288" s="187">
        <f>SUM('Calibración-BAU_Agricultura '!AR395:AR396)*44/28*0.54*(0.51*0.005+0.49*0.005)</f>
        <v>116341.10761015501</v>
      </c>
      <c r="AQ288" s="187">
        <f>SUM('Calibración-BAU_Agricultura '!AS395:AS396)*44/28*0.54*(0.51*0.005+0.49*0.005)</f>
        <v>117079.57448608786</v>
      </c>
      <c r="AR288" s="187">
        <f>SUM('Calibración-BAU_Agricultura '!AT395:AT396)*44/28*0.54*(0.51*0.005+0.49*0.005)</f>
        <v>117794.53409111765</v>
      </c>
      <c r="AS288" s="187">
        <f>SUM('Calibración-BAU_Agricultura '!AU395:AU396)*44/28*0.54*(0.51*0.005+0.49*0.005)</f>
        <v>118486.23477717931</v>
      </c>
      <c r="AT288" s="187">
        <f>SUM('Calibración-BAU_Agricultura '!AV395:AV396)*44/28*0.54*(0.51*0.005+0.49*0.005)</f>
        <v>119154.21007899129</v>
      </c>
      <c r="AU288" s="187">
        <f>SUM('Calibración-BAU_Agricultura '!AW395:AW396)*44/28*0.54*(0.51*0.005+0.49*0.005)</f>
        <v>119798.00737481519</v>
      </c>
      <c r="AV288" s="187">
        <f>SUM('Calibración-BAU_Agricultura '!AX395:AX396)*44/28*0.54*(0.51*0.005+0.49*0.005)</f>
        <v>120417.18839558407</v>
      </c>
      <c r="AW288" s="187">
        <f>SUM('Calibración-BAU_Agricultura '!AY395:AY396)*44/28*0.54*(0.51*0.005+0.49*0.005)</f>
        <v>121011.32972031004</v>
      </c>
      <c r="AX288" s="187">
        <f>SUM('Calibración-BAU_Agricultura '!AZ395:AZ396)*44/28*0.54*(0.51*0.005+0.49*0.005)</f>
        <v>121580.02325699036</v>
      </c>
      <c r="AY288" s="187">
        <f>SUM('Calibración-BAU_Agricultura '!BA395:BA396)*44/28*0.54*(0.51*0.005+0.49*0.005)</f>
        <v>122122.87670824982</v>
      </c>
      <c r="AZ288" s="187">
        <f>SUM('Calibración-BAU_Agricultura '!BB395:BB396)*44/28*0.54*(0.51*0.005+0.49*0.005)</f>
        <v>122639.51402097894</v>
      </c>
      <c r="BA288" s="187">
        <f>SUM('Calibración-BAU_Agricultura '!BC395:BC396)*44/28*0.54*(0.51*0.005+0.49*0.005)</f>
        <v>123129.57581924771</v>
      </c>
      <c r="BB288" s="187">
        <f>SUM('Calibración-BAU_Agricultura '!BD395:BD396)*44/28*0.54*(0.51*0.005+0.49*0.005)</f>
        <v>123592.71981980011</v>
      </c>
      <c r="BC288" s="187">
        <f>SUM('Calibración-BAU_Agricultura '!BE395:BE396)*44/28*0.54*(0.51*0.005+0.49*0.005)</f>
        <v>124028.6212294588</v>
      </c>
      <c r="BD288" s="187">
        <f>SUM('Calibración-BAU_Agricultura '!BF395:BF396)*44/28*0.54*(0.51*0.005+0.49*0.005)</f>
        <v>124436.97312379529</v>
      </c>
      <c r="BE288" s="187">
        <f>SUM('Calibración-BAU_Agricultura '!BG395:BG396)*44/28*0.54*(0.51*0.005+0.49*0.005)</f>
        <v>124817.48680644929</v>
      </c>
      <c r="BF288" s="187">
        <f>SUM('Calibración-BAU_Agricultura '!BH395:BH396)*44/28*0.54*(0.51*0.005+0.49*0.005)</f>
        <v>125169.89214851023</v>
      </c>
      <c r="BG288" s="187">
        <f>SUM('Calibración-BAU_Agricultura '!BI395:BI396)*44/28*0.54*(0.51*0.005+0.49*0.005)</f>
        <v>125493.93790740307</v>
      </c>
      <c r="BH288" s="187">
        <f>SUM('Calibración-BAU_Agricultura '!BJ395:BJ396)*44/28*0.54*(0.51*0.005+0.49*0.005)</f>
        <v>125789.39202475286</v>
      </c>
      <c r="BI288" s="187">
        <f>SUM('Calibración-BAU_Agricultura '!BK395:BK396)*44/28*0.54*(0.51*0.005+0.49*0.005)</f>
        <v>126056.0419027352</v>
      </c>
      <c r="BJ288" s="187">
        <f>SUM('Calibración-BAU_Agricultura '!BL395:BL396)*44/28*0.54*(0.51*0.005+0.49*0.005)</f>
        <v>126293.69465845203</v>
      </c>
      <c r="BK288" s="187">
        <f>SUM('Calibración-BAU_Agricultura '!BM395:BM396)*44/28*0.54*(0.51*0.005+0.49*0.005)</f>
        <v>126502.17735590845</v>
      </c>
      <c r="BL288" s="187">
        <f>SUM('Calibración-BAU_Agricultura '!BN395:BN396)*44/28*0.54*(0.51*0.005+0.49*0.005)</f>
        <v>126681.33721520047</v>
      </c>
      <c r="BM288" s="187">
        <f>SUM('Calibración-BAU_Agricultura '!BO395:BO396)*44/28*0.54*(0.51*0.005+0.49*0.005)</f>
        <v>126831.04179856065</v>
      </c>
      <c r="BN288" s="182"/>
    </row>
    <row r="289" spans="1:69" ht="14" customHeight="1" x14ac:dyDescent="0.3">
      <c r="A289" s="92"/>
      <c r="B289" s="944"/>
      <c r="C289" s="183"/>
      <c r="D289" s="184" t="s">
        <v>797</v>
      </c>
      <c r="E289" s="180"/>
      <c r="F289" s="180"/>
      <c r="G289" s="180"/>
      <c r="H289" s="180"/>
      <c r="I289" s="180"/>
      <c r="J289" s="180"/>
      <c r="K289" s="181"/>
      <c r="L289" s="181"/>
      <c r="M289" s="181"/>
      <c r="N289" s="181"/>
      <c r="O289" s="181"/>
      <c r="P289" s="181"/>
      <c r="Q289" s="185"/>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c r="BK289" s="185"/>
      <c r="BL289" s="185"/>
      <c r="BM289" s="185"/>
      <c r="BN289" s="182"/>
    </row>
    <row r="290" spans="1:69" ht="14.25" customHeight="1" x14ac:dyDescent="0.3">
      <c r="A290" s="1199" t="s">
        <v>798</v>
      </c>
      <c r="B290" s="944"/>
      <c r="C290" s="183"/>
      <c r="D290" s="185" t="s">
        <v>799</v>
      </c>
      <c r="E290" s="323">
        <f t="shared" ref="E290" si="163">E281*298/1000000000</f>
        <v>1.7240772254866286E-2</v>
      </c>
      <c r="F290" s="323">
        <f t="shared" ref="F290:P290" si="164">F281*298/1000000000</f>
        <v>1.7586563297499431E-2</v>
      </c>
      <c r="G290" s="323">
        <f t="shared" si="164"/>
        <v>1.718174676617143E-2</v>
      </c>
      <c r="H290" s="323">
        <f t="shared" si="164"/>
        <v>1.6848885803904E-2</v>
      </c>
      <c r="I290" s="323">
        <f t="shared" si="164"/>
        <v>1.511120770911086E-2</v>
      </c>
      <c r="J290" s="323">
        <f t="shared" si="164"/>
        <v>1.3505084977673144E-2</v>
      </c>
      <c r="K290" s="323">
        <f t="shared" si="164"/>
        <v>1.3544787544237716E-2</v>
      </c>
      <c r="L290" s="323">
        <f t="shared" si="164"/>
        <v>1.3752522084123428E-2</v>
      </c>
      <c r="M290" s="323">
        <f>M281*298/1000000000</f>
        <v>1.3313375204900574E-2</v>
      </c>
      <c r="N290" s="323">
        <f t="shared" si="164"/>
        <v>1.4132000252379429E-2</v>
      </c>
      <c r="O290" s="323">
        <f t="shared" si="164"/>
        <v>1.4229402482139431E-2</v>
      </c>
      <c r="P290" s="323">
        <f t="shared" si="164"/>
        <v>1.3346632421760001E-2</v>
      </c>
      <c r="Q290" s="357">
        <f t="shared" ref="Q290:BM290" si="165">Q281*298/1000000000</f>
        <v>1.3526054647438002E-2</v>
      </c>
      <c r="R290" s="357">
        <f t="shared" si="165"/>
        <v>1.3703946819983586E-2</v>
      </c>
      <c r="S290" s="357">
        <f t="shared" si="165"/>
        <v>1.3880202925887328E-2</v>
      </c>
      <c r="T290" s="357">
        <f t="shared" si="165"/>
        <v>1.4054789882919345E-2</v>
      </c>
      <c r="U290" s="357">
        <f t="shared" si="165"/>
        <v>1.422751220517573E-2</v>
      </c>
      <c r="V290" s="357">
        <f t="shared" si="165"/>
        <v>1.4398304480065571E-2</v>
      </c>
      <c r="W290" s="357">
        <f t="shared" si="165"/>
        <v>1.45670441529645E-2</v>
      </c>
      <c r="X290" s="357">
        <f t="shared" si="165"/>
        <v>1.4733707164068969E-2</v>
      </c>
      <c r="Y290" s="357">
        <f t="shared" si="165"/>
        <v>1.4898106298032543E-2</v>
      </c>
      <c r="Z290" s="357">
        <f t="shared" si="165"/>
        <v>1.5060153586198471E-2</v>
      </c>
      <c r="AA290" s="357">
        <f t="shared" si="165"/>
        <v>1.5219735496368729E-2</v>
      </c>
      <c r="AB290" s="357">
        <f t="shared" si="165"/>
        <v>1.5376720451492604E-2</v>
      </c>
      <c r="AC290" s="357">
        <f t="shared" si="165"/>
        <v>1.5531043790848046E-2</v>
      </c>
      <c r="AD290" s="357">
        <f t="shared" si="165"/>
        <v>1.5682592734105893E-2</v>
      </c>
      <c r="AE290" s="357">
        <f t="shared" si="165"/>
        <v>1.5831301116806348E-2</v>
      </c>
      <c r="AF290" s="357">
        <f t="shared" si="165"/>
        <v>1.5977041873111889E-2</v>
      </c>
      <c r="AG290" s="357">
        <f t="shared" si="165"/>
        <v>1.6119764627808817E-2</v>
      </c>
      <c r="AH290" s="357">
        <f t="shared" si="165"/>
        <v>1.6259375397289489E-2</v>
      </c>
      <c r="AI290" s="357">
        <f t="shared" si="165"/>
        <v>1.6395808768962978E-2</v>
      </c>
      <c r="AJ290" s="357">
        <f t="shared" si="165"/>
        <v>1.6529047449845492E-2</v>
      </c>
      <c r="AK290" s="357">
        <f t="shared" si="165"/>
        <v>1.6659045575936494E-2</v>
      </c>
      <c r="AL290" s="357">
        <f t="shared" si="165"/>
        <v>1.678572269726784E-2</v>
      </c>
      <c r="AM290" s="357">
        <f t="shared" si="165"/>
        <v>1.6909062272724592E-2</v>
      </c>
      <c r="AN290" s="357">
        <f t="shared" si="165"/>
        <v>1.70289838523386E-2</v>
      </c>
      <c r="AO290" s="357">
        <f t="shared" si="165"/>
        <v>1.7145467135650627E-2</v>
      </c>
      <c r="AP290" s="357">
        <f t="shared" si="165"/>
        <v>1.725853091938219E-2</v>
      </c>
      <c r="AQ290" s="357">
        <f t="shared" si="165"/>
        <v>1.7368078212450198E-2</v>
      </c>
      <c r="AR290" s="357">
        <f t="shared" si="165"/>
        <v>1.7474138337740242E-2</v>
      </c>
      <c r="AS290" s="357">
        <f t="shared" si="165"/>
        <v>1.7576748136826519E-2</v>
      </c>
      <c r="AT290" s="357">
        <f t="shared" si="165"/>
        <v>1.7675838412280452E-2</v>
      </c>
      <c r="AU290" s="357">
        <f t="shared" si="165"/>
        <v>1.7771342020283076E-2</v>
      </c>
      <c r="AV290" s="357">
        <f t="shared" si="165"/>
        <v>1.7863193946151299E-2</v>
      </c>
      <c r="AW290" s="357">
        <f t="shared" si="165"/>
        <v>1.7951331377828721E-2</v>
      </c>
      <c r="AX290" s="357">
        <f t="shared" si="165"/>
        <v>1.803569377722531E-2</v>
      </c>
      <c r="AY290" s="357">
        <f t="shared" si="165"/>
        <v>1.8116222949292753E-2</v>
      </c>
      <c r="AZ290" s="357">
        <f t="shared" si="165"/>
        <v>1.819286310872565E-2</v>
      </c>
      <c r="BA290" s="357">
        <f t="shared" si="165"/>
        <v>1.8265560944181795E-2</v>
      </c>
      <c r="BB290" s="357">
        <f t="shared" si="165"/>
        <v>1.8334265679918409E-2</v>
      </c>
      <c r="BC290" s="357">
        <f t="shared" si="165"/>
        <v>1.8398929134744762E-2</v>
      </c>
      <c r="BD290" s="357">
        <f t="shared" si="165"/>
        <v>1.8459505778195759E-2</v>
      </c>
      <c r="BE290" s="357">
        <f t="shared" si="165"/>
        <v>1.8515952783834878E-2</v>
      </c>
      <c r="BF290" s="357">
        <f t="shared" si="165"/>
        <v>1.8568230079599454E-2</v>
      </c>
      <c r="BG290" s="357">
        <f t="shared" si="165"/>
        <v>1.8616300395105534E-2</v>
      </c>
      <c r="BH290" s="357">
        <f t="shared" si="165"/>
        <v>1.8660129305834376E-2</v>
      </c>
      <c r="BI290" s="357">
        <f t="shared" si="165"/>
        <v>1.8699685274127444E-2</v>
      </c>
      <c r="BJ290" s="357">
        <f t="shared" si="165"/>
        <v>1.8734939686921581E-2</v>
      </c>
      <c r="BK290" s="357">
        <f t="shared" si="165"/>
        <v>1.8765866890161426E-2</v>
      </c>
      <c r="BL290" s="357">
        <f t="shared" si="165"/>
        <v>1.8792444219831214E-2</v>
      </c>
      <c r="BM290" s="357">
        <f t="shared" si="165"/>
        <v>1.8814652029553569E-2</v>
      </c>
      <c r="BN290" s="182"/>
    </row>
    <row r="291" spans="1:69" ht="14.25" customHeight="1" x14ac:dyDescent="0.3">
      <c r="A291" s="1199"/>
      <c r="B291" s="944"/>
      <c r="C291" s="183"/>
      <c r="D291" s="185" t="s">
        <v>800</v>
      </c>
      <c r="E291" s="323">
        <f t="shared" ref="E291:P291" si="166">E282*298/1000000000</f>
        <v>0</v>
      </c>
      <c r="F291" s="323">
        <f t="shared" si="166"/>
        <v>0</v>
      </c>
      <c r="G291" s="323">
        <f t="shared" si="166"/>
        <v>0</v>
      </c>
      <c r="H291" s="323">
        <f t="shared" si="166"/>
        <v>0</v>
      </c>
      <c r="I291" s="323">
        <f t="shared" si="166"/>
        <v>0</v>
      </c>
      <c r="J291" s="323">
        <f t="shared" si="166"/>
        <v>0</v>
      </c>
      <c r="K291" s="323">
        <f t="shared" si="166"/>
        <v>0</v>
      </c>
      <c r="L291" s="323">
        <f t="shared" si="166"/>
        <v>0</v>
      </c>
      <c r="M291" s="323">
        <f t="shared" si="166"/>
        <v>0</v>
      </c>
      <c r="N291" s="323">
        <f t="shared" si="166"/>
        <v>0</v>
      </c>
      <c r="O291" s="323">
        <f t="shared" si="166"/>
        <v>0</v>
      </c>
      <c r="P291" s="323">
        <f t="shared" si="166"/>
        <v>0</v>
      </c>
      <c r="Q291" s="357">
        <f t="shared" ref="Q291:BM291" si="167">Q282*298/1000000000</f>
        <v>2.9799999999999999E-7</v>
      </c>
      <c r="R291" s="357">
        <f t="shared" si="167"/>
        <v>5.9599999999999999E-7</v>
      </c>
      <c r="S291" s="357">
        <f t="shared" si="167"/>
        <v>8.9400000000000004E-7</v>
      </c>
      <c r="T291" s="357">
        <f t="shared" si="167"/>
        <v>1.192E-6</v>
      </c>
      <c r="U291" s="357">
        <f t="shared" si="167"/>
        <v>1.4899999999999999E-6</v>
      </c>
      <c r="V291" s="357">
        <f t="shared" si="167"/>
        <v>1.7880000000000001E-6</v>
      </c>
      <c r="W291" s="357">
        <f t="shared" si="167"/>
        <v>2.086E-6</v>
      </c>
      <c r="X291" s="357">
        <f t="shared" si="167"/>
        <v>2.384E-6</v>
      </c>
      <c r="Y291" s="357">
        <f t="shared" si="167"/>
        <v>2.6819999999999999E-6</v>
      </c>
      <c r="Z291" s="357">
        <f t="shared" si="167"/>
        <v>2.9799999999999998E-6</v>
      </c>
      <c r="AA291" s="357">
        <f t="shared" si="167"/>
        <v>3.2780000000000002E-6</v>
      </c>
      <c r="AB291" s="357">
        <f t="shared" si="167"/>
        <v>3.5760000000000002E-6</v>
      </c>
      <c r="AC291" s="357">
        <f t="shared" si="167"/>
        <v>3.8739999999999997E-6</v>
      </c>
      <c r="AD291" s="357">
        <f t="shared" si="167"/>
        <v>4.172E-6</v>
      </c>
      <c r="AE291" s="357">
        <f t="shared" si="167"/>
        <v>4.4700000000000004E-6</v>
      </c>
      <c r="AF291" s="357">
        <f t="shared" si="167"/>
        <v>4.7679999999999999E-6</v>
      </c>
      <c r="AG291" s="357">
        <f t="shared" si="167"/>
        <v>5.0660000000000003E-6</v>
      </c>
      <c r="AH291" s="357">
        <f t="shared" si="167"/>
        <v>5.3639999999999998E-6</v>
      </c>
      <c r="AI291" s="357">
        <f t="shared" si="167"/>
        <v>5.6620000000000002E-6</v>
      </c>
      <c r="AJ291" s="357">
        <f t="shared" si="167"/>
        <v>5.9599999999999997E-6</v>
      </c>
      <c r="AK291" s="357">
        <f t="shared" si="167"/>
        <v>6.2580000000000001E-6</v>
      </c>
      <c r="AL291" s="357">
        <f t="shared" si="167"/>
        <v>6.5560000000000004E-6</v>
      </c>
      <c r="AM291" s="357">
        <f t="shared" si="167"/>
        <v>6.8539999999999999E-6</v>
      </c>
      <c r="AN291" s="357">
        <f t="shared" si="167"/>
        <v>7.1520000000000003E-6</v>
      </c>
      <c r="AO291" s="357">
        <f t="shared" si="167"/>
        <v>7.4499999999999998E-6</v>
      </c>
      <c r="AP291" s="357">
        <f t="shared" si="167"/>
        <v>7.7479999999999993E-6</v>
      </c>
      <c r="AQ291" s="357">
        <f t="shared" si="167"/>
        <v>8.0460000000000006E-6</v>
      </c>
      <c r="AR291" s="357">
        <f t="shared" si="167"/>
        <v>8.3440000000000001E-6</v>
      </c>
      <c r="AS291" s="357">
        <f t="shared" si="167"/>
        <v>8.6419999999999996E-6</v>
      </c>
      <c r="AT291" s="357">
        <f t="shared" si="167"/>
        <v>8.9400000000000008E-6</v>
      </c>
      <c r="AU291" s="357">
        <f t="shared" si="167"/>
        <v>9.2380000000000003E-6</v>
      </c>
      <c r="AV291" s="357">
        <f t="shared" si="167"/>
        <v>9.5359999999999998E-6</v>
      </c>
      <c r="AW291" s="357">
        <f t="shared" si="167"/>
        <v>9.8339999999999994E-6</v>
      </c>
      <c r="AX291" s="357">
        <f t="shared" si="167"/>
        <v>1.0132000000000001E-5</v>
      </c>
      <c r="AY291" s="357">
        <f t="shared" si="167"/>
        <v>1.043E-5</v>
      </c>
      <c r="AZ291" s="357">
        <f t="shared" si="167"/>
        <v>1.0728E-5</v>
      </c>
      <c r="BA291" s="357">
        <f t="shared" si="167"/>
        <v>1.1026000000000001E-5</v>
      </c>
      <c r="BB291" s="357">
        <f t="shared" si="167"/>
        <v>1.1324E-5</v>
      </c>
      <c r="BC291" s="357">
        <f t="shared" si="167"/>
        <v>1.1622E-5</v>
      </c>
      <c r="BD291" s="357">
        <f t="shared" si="167"/>
        <v>1.1919999999999999E-5</v>
      </c>
      <c r="BE291" s="357">
        <f t="shared" si="167"/>
        <v>1.2218000000000001E-5</v>
      </c>
      <c r="BF291" s="357">
        <f t="shared" si="167"/>
        <v>1.2516E-5</v>
      </c>
      <c r="BG291" s="357">
        <f t="shared" si="167"/>
        <v>1.2814E-5</v>
      </c>
      <c r="BH291" s="357">
        <f t="shared" si="167"/>
        <v>1.3112000000000001E-5</v>
      </c>
      <c r="BI291" s="357">
        <f t="shared" si="167"/>
        <v>1.341E-5</v>
      </c>
      <c r="BJ291" s="357">
        <f t="shared" si="167"/>
        <v>1.3708E-5</v>
      </c>
      <c r="BK291" s="357">
        <f t="shared" si="167"/>
        <v>1.4005999999999999E-5</v>
      </c>
      <c r="BL291" s="357">
        <f t="shared" si="167"/>
        <v>1.4304000000000001E-5</v>
      </c>
      <c r="BM291" s="357">
        <f t="shared" si="167"/>
        <v>1.4602E-5</v>
      </c>
      <c r="BN291" s="182"/>
    </row>
    <row r="292" spans="1:69" ht="14.25" customHeight="1" x14ac:dyDescent="0.3">
      <c r="A292" s="1199"/>
      <c r="B292" s="944"/>
      <c r="C292" s="183"/>
      <c r="D292" s="185" t="s">
        <v>801</v>
      </c>
      <c r="E292" s="323">
        <f t="shared" ref="E292:P292" si="168">E283*298/1000000000</f>
        <v>6.1133889016056677E-3</v>
      </c>
      <c r="F292" s="323">
        <f t="shared" si="168"/>
        <v>6.2360026158325031E-3</v>
      </c>
      <c r="G292" s="323">
        <f t="shared" si="168"/>
        <v>6.0924591101691426E-3</v>
      </c>
      <c r="H292" s="323">
        <f t="shared" si="168"/>
        <v>5.9744302607404806E-3</v>
      </c>
      <c r="I292" s="323">
        <f t="shared" si="168"/>
        <v>5.3582686513744451E-3</v>
      </c>
      <c r="J292" s="323">
        <f t="shared" si="168"/>
        <v>4.7887551321516347E-3</v>
      </c>
      <c r="K292" s="323">
        <f t="shared" si="168"/>
        <v>4.8028332271588111E-3</v>
      </c>
      <c r="L292" s="323">
        <f t="shared" si="168"/>
        <v>4.8764936184593826E-3</v>
      </c>
      <c r="M292" s="323">
        <f t="shared" si="168"/>
        <v>4.7207769476554969E-3</v>
      </c>
      <c r="N292" s="323">
        <f t="shared" si="168"/>
        <v>5.011052418258102E-3</v>
      </c>
      <c r="O292" s="323">
        <f t="shared" si="168"/>
        <v>5.0455901815093032E-3</v>
      </c>
      <c r="P292" s="323">
        <f t="shared" si="168"/>
        <v>4.7325695922912003E-3</v>
      </c>
      <c r="Q292" s="357">
        <f t="shared" ref="Q292:BM292" si="169">Q283*298/1000000000</f>
        <v>4.796190747245653E-3</v>
      </c>
      <c r="R292" s="357">
        <f t="shared" si="169"/>
        <v>4.8592693621270552E-3</v>
      </c>
      <c r="S292" s="357">
        <f t="shared" si="169"/>
        <v>4.9217678457067603E-3</v>
      </c>
      <c r="T292" s="357">
        <f t="shared" si="169"/>
        <v>4.9836744673885909E-3</v>
      </c>
      <c r="U292" s="357">
        <f t="shared" si="169"/>
        <v>5.0449199100133391E-3</v>
      </c>
      <c r="V292" s="357">
        <f t="shared" si="169"/>
        <v>5.1054809789931139E-3</v>
      </c>
      <c r="W292" s="357">
        <f t="shared" si="169"/>
        <v>5.1653142178011797E-3</v>
      </c>
      <c r="X292" s="357">
        <f t="shared" si="169"/>
        <v>5.2244110950948669E-3</v>
      </c>
      <c r="Y292" s="357">
        <f t="shared" si="169"/>
        <v>5.2827052263640052E-3</v>
      </c>
      <c r="Z292" s="357">
        <f t="shared" si="169"/>
        <v>5.3401654188869521E-3</v>
      </c>
      <c r="AA292" s="357">
        <f t="shared" si="169"/>
        <v>5.396751415390472E-3</v>
      </c>
      <c r="AB292" s="357">
        <f t="shared" si="169"/>
        <v>5.4524165600943284E-3</v>
      </c>
      <c r="AC292" s="357">
        <f t="shared" si="169"/>
        <v>5.5071379250150919E-3</v>
      </c>
      <c r="AD292" s="357">
        <f t="shared" si="169"/>
        <v>5.5608755194839861E-3</v>
      </c>
      <c r="AE292" s="357">
        <f t="shared" si="169"/>
        <v>5.6136058823086608E-3</v>
      </c>
      <c r="AF292" s="357">
        <f t="shared" si="169"/>
        <v>5.6652839573356319E-3</v>
      </c>
      <c r="AG292" s="357">
        <f t="shared" si="169"/>
        <v>5.7158918820661804E-3</v>
      </c>
      <c r="AH292" s="357">
        <f t="shared" si="169"/>
        <v>5.7653963309429908E-3</v>
      </c>
      <c r="AI292" s="357">
        <f t="shared" si="169"/>
        <v>5.8137741093781739E-3</v>
      </c>
      <c r="AJ292" s="357">
        <f t="shared" si="169"/>
        <v>5.861019085469185E-3</v>
      </c>
      <c r="AK292" s="357">
        <f t="shared" si="169"/>
        <v>5.9071149963440565E-3</v>
      </c>
      <c r="AL292" s="357">
        <f t="shared" si="169"/>
        <v>5.952033315325728E-3</v>
      </c>
      <c r="AM292" s="357">
        <f t="shared" si="169"/>
        <v>5.9957681771161103E-3</v>
      </c>
      <c r="AN292" s="357">
        <f t="shared" si="169"/>
        <v>6.0382910550381471E-3</v>
      </c>
      <c r="AO292" s="357">
        <f t="shared" si="169"/>
        <v>6.0795947507714596E-3</v>
      </c>
      <c r="AP292" s="357">
        <f t="shared" si="169"/>
        <v>6.1196859294275052E-3</v>
      </c>
      <c r="AQ292" s="357">
        <f t="shared" si="169"/>
        <v>6.1585301990311394E-3</v>
      </c>
      <c r="AR292" s="357">
        <f t="shared" si="169"/>
        <v>6.1961379571562466E-3</v>
      </c>
      <c r="AS292" s="357">
        <f t="shared" si="169"/>
        <v>6.2325222674212925E-3</v>
      </c>
      <c r="AT292" s="357">
        <f t="shared" si="169"/>
        <v>6.2676585931764322E-3</v>
      </c>
      <c r="AU292" s="357">
        <f t="shared" si="169"/>
        <v>6.3015231259592793E-3</v>
      </c>
      <c r="AV292" s="357">
        <f t="shared" si="169"/>
        <v>6.3340928122757019E-3</v>
      </c>
      <c r="AW292" s="357">
        <f t="shared" si="169"/>
        <v>6.3653453796588544E-3</v>
      </c>
      <c r="AX292" s="357">
        <f t="shared" si="169"/>
        <v>6.3952593619654415E-3</v>
      </c>
      <c r="AY292" s="357">
        <f t="shared" si="169"/>
        <v>6.4238141238690816E-3</v>
      </c>
      <c r="AZ292" s="357">
        <f t="shared" si="169"/>
        <v>6.4509898845118282E-3</v>
      </c>
      <c r="BA292" s="357">
        <f t="shared" si="169"/>
        <v>6.4767677402759695E-3</v>
      </c>
      <c r="BB292" s="357">
        <f t="shared" si="169"/>
        <v>6.5011296866395616E-3</v>
      </c>
      <c r="BC292" s="357">
        <f t="shared" si="169"/>
        <v>6.5240586390803851E-3</v>
      </c>
      <c r="BD292" s="357">
        <f t="shared" si="169"/>
        <v>6.5455384529944814E-3</v>
      </c>
      <c r="BE292" s="357">
        <f t="shared" si="169"/>
        <v>6.5655539425967923E-3</v>
      </c>
      <c r="BF292" s="357">
        <f t="shared" si="169"/>
        <v>6.5840908987730394E-3</v>
      </c>
      <c r="BG292" s="357">
        <f t="shared" si="169"/>
        <v>6.6011361058535148E-3</v>
      </c>
      <c r="BH292" s="357">
        <f t="shared" si="169"/>
        <v>6.6166773572811349E-3</v>
      </c>
      <c r="BI292" s="357">
        <f t="shared" si="169"/>
        <v>6.630703470147793E-3</v>
      </c>
      <c r="BJ292" s="357">
        <f t="shared" si="169"/>
        <v>6.6432042985748643E-3</v>
      </c>
      <c r="BK292" s="357">
        <f t="shared" si="169"/>
        <v>6.6541707459154571E-3</v>
      </c>
      <c r="BL292" s="357">
        <f t="shared" si="169"/>
        <v>6.6635947757579597E-3</v>
      </c>
      <c r="BM292" s="357">
        <f t="shared" si="169"/>
        <v>6.6714694217122512E-3</v>
      </c>
      <c r="BN292" s="182"/>
    </row>
    <row r="293" spans="1:69" ht="14.25" customHeight="1" x14ac:dyDescent="0.3">
      <c r="A293" s="1199"/>
      <c r="B293" s="944"/>
      <c r="C293" s="183"/>
      <c r="D293" s="185" t="s">
        <v>802</v>
      </c>
      <c r="E293" s="323">
        <f t="shared" ref="E293:P293" si="170">E284*298/1000000000</f>
        <v>7.2966254632067665E-3</v>
      </c>
      <c r="F293" s="323">
        <f t="shared" si="170"/>
        <v>7.4429708640581481E-3</v>
      </c>
      <c r="G293" s="323">
        <f t="shared" si="170"/>
        <v>7.2716447443954297E-3</v>
      </c>
      <c r="H293" s="323">
        <f t="shared" si="170"/>
        <v>7.1307716015289596E-3</v>
      </c>
      <c r="I293" s="323">
        <f t="shared" si="170"/>
        <v>6.3953529064791764E-3</v>
      </c>
      <c r="J293" s="323">
        <f t="shared" si="170"/>
        <v>5.7156109641809819E-3</v>
      </c>
      <c r="K293" s="323">
        <f t="shared" si="170"/>
        <v>5.7324138517701947E-3</v>
      </c>
      <c r="L293" s="323">
        <f t="shared" si="170"/>
        <v>5.8203310929999079E-3</v>
      </c>
      <c r="M293" s="323">
        <f t="shared" si="170"/>
        <v>5.6344757117178512E-3</v>
      </c>
      <c r="N293" s="323">
        <f t="shared" si="170"/>
        <v>5.9809335314693476E-3</v>
      </c>
      <c r="O293" s="323">
        <f t="shared" si="170"/>
        <v>6.0221560230917471E-3</v>
      </c>
      <c r="P293" s="323">
        <f t="shared" si="170"/>
        <v>5.6485508037024011E-3</v>
      </c>
      <c r="Q293" s="357">
        <f t="shared" ref="Q293:BM293" si="171">Q284*298/1000000000</f>
        <v>5.7244857305835213E-3</v>
      </c>
      <c r="R293" s="357">
        <f t="shared" si="171"/>
        <v>5.7997731096355179E-3</v>
      </c>
      <c r="S293" s="357">
        <f t="shared" si="171"/>
        <v>5.8743680739080676E-3</v>
      </c>
      <c r="T293" s="357">
        <f t="shared" si="171"/>
        <v>5.9482566223670293E-3</v>
      </c>
      <c r="U293" s="357">
        <f t="shared" si="171"/>
        <v>6.021356021628824E-3</v>
      </c>
      <c r="V293" s="357">
        <f t="shared" si="171"/>
        <v>6.0936385878304893E-3</v>
      </c>
      <c r="W293" s="357">
        <f t="shared" si="171"/>
        <v>6.165052453504633E-3</v>
      </c>
      <c r="X293" s="357">
        <f t="shared" si="171"/>
        <v>6.235587436080969E-3</v>
      </c>
      <c r="Y293" s="357">
        <f t="shared" si="171"/>
        <v>6.3051643024344571E-3</v>
      </c>
      <c r="Z293" s="357">
        <f t="shared" si="171"/>
        <v>6.3737458225424908E-3</v>
      </c>
      <c r="AA293" s="357">
        <f t="shared" si="171"/>
        <v>6.4412839474015295E-3</v>
      </c>
      <c r="AB293" s="357">
        <f t="shared" si="171"/>
        <v>6.5077229910803268E-3</v>
      </c>
      <c r="AC293" s="357">
        <f t="shared" si="171"/>
        <v>6.5730355879212391E-3</v>
      </c>
      <c r="AD293" s="357">
        <f t="shared" si="171"/>
        <v>6.6371740071260463E-3</v>
      </c>
      <c r="AE293" s="357">
        <f t="shared" si="171"/>
        <v>6.7001102466264654E-3</v>
      </c>
      <c r="AF293" s="357">
        <f t="shared" si="171"/>
        <v>6.7617905297231752E-3</v>
      </c>
      <c r="AG293" s="357">
        <f t="shared" si="171"/>
        <v>6.8221935366596341E-3</v>
      </c>
      <c r="AH293" s="357">
        <f t="shared" si="171"/>
        <v>6.8812794917706656E-3</v>
      </c>
      <c r="AI293" s="357">
        <f t="shared" si="171"/>
        <v>6.9390207111933028E-3</v>
      </c>
      <c r="AJ293" s="357">
        <f t="shared" si="171"/>
        <v>6.9954098762051555E-3</v>
      </c>
      <c r="AK293" s="357">
        <f t="shared" si="171"/>
        <v>7.0504275762816124E-3</v>
      </c>
      <c r="AL293" s="357">
        <f t="shared" si="171"/>
        <v>7.1040397634532862E-3</v>
      </c>
      <c r="AM293" s="357">
        <f t="shared" si="171"/>
        <v>7.1562394372030984E-3</v>
      </c>
      <c r="AN293" s="357">
        <f t="shared" si="171"/>
        <v>7.2069925495616572E-3</v>
      </c>
      <c r="AO293" s="357">
        <f t="shared" si="171"/>
        <v>7.2562905089852865E-3</v>
      </c>
      <c r="AP293" s="357">
        <f t="shared" si="171"/>
        <v>7.3041412706070213E-3</v>
      </c>
      <c r="AQ293" s="357">
        <f t="shared" si="171"/>
        <v>7.3505037859403939E-3</v>
      </c>
      <c r="AR293" s="357">
        <f t="shared" si="171"/>
        <v>7.3953904649929391E-3</v>
      </c>
      <c r="AS293" s="357">
        <f t="shared" si="171"/>
        <v>7.438816899825413E-3</v>
      </c>
      <c r="AT293" s="357">
        <f t="shared" si="171"/>
        <v>7.4807538047589658E-3</v>
      </c>
      <c r="AU293" s="357">
        <f t="shared" si="171"/>
        <v>7.5211727632417203E-3</v>
      </c>
      <c r="AV293" s="357">
        <f t="shared" si="171"/>
        <v>7.5600462598129324E-3</v>
      </c>
      <c r="AW293" s="357">
        <f t="shared" si="171"/>
        <v>7.5973477112057297E-3</v>
      </c>
      <c r="AX293" s="357">
        <f t="shared" si="171"/>
        <v>7.6330514965393956E-3</v>
      </c>
      <c r="AY293" s="357">
        <f t="shared" si="171"/>
        <v>7.6671329865534172E-3</v>
      </c>
      <c r="AZ293" s="357">
        <f t="shared" si="171"/>
        <v>7.6995685718366964E-3</v>
      </c>
      <c r="BA293" s="357">
        <f t="shared" si="171"/>
        <v>7.7303356900068031E-3</v>
      </c>
      <c r="BB293" s="357">
        <f t="shared" si="171"/>
        <v>7.7594128517956048E-3</v>
      </c>
      <c r="BC293" s="357">
        <f t="shared" si="171"/>
        <v>7.7867796659991679E-3</v>
      </c>
      <c r="BD293" s="357">
        <f t="shared" si="171"/>
        <v>7.8124168632514772E-3</v>
      </c>
      <c r="BE293" s="357">
        <f t="shared" si="171"/>
        <v>7.8363063185832669E-3</v>
      </c>
      <c r="BF293" s="357">
        <f t="shared" si="171"/>
        <v>7.85843107272911E-3</v>
      </c>
      <c r="BG293" s="357">
        <f t="shared" si="171"/>
        <v>7.8787753521477443E-3</v>
      </c>
      <c r="BH293" s="357">
        <f t="shared" si="171"/>
        <v>7.8973245877226438E-3</v>
      </c>
      <c r="BI293" s="357">
        <f t="shared" si="171"/>
        <v>7.9140654321118789E-3</v>
      </c>
      <c r="BJ293" s="357">
        <f t="shared" si="171"/>
        <v>7.9289857757183849E-3</v>
      </c>
      <c r="BK293" s="357">
        <f t="shared" si="171"/>
        <v>7.9420747612539318E-3</v>
      </c>
      <c r="BL293" s="357">
        <f t="shared" si="171"/>
        <v>7.9533227968724019E-3</v>
      </c>
      <c r="BM293" s="357">
        <f t="shared" si="171"/>
        <v>7.9627215678501027E-3</v>
      </c>
      <c r="BN293" s="182"/>
    </row>
    <row r="294" spans="1:69" ht="14.25" customHeight="1" x14ac:dyDescent="0.3">
      <c r="A294" s="1199"/>
      <c r="B294" s="944"/>
      <c r="C294" s="183"/>
      <c r="D294" s="185" t="s">
        <v>803</v>
      </c>
      <c r="E294" s="323">
        <f t="shared" ref="E294:P294" si="172">E285*298/1000000000</f>
        <v>0.11421520948609198</v>
      </c>
      <c r="F294" s="323">
        <f t="shared" si="172"/>
        <v>0.14038197185512344</v>
      </c>
      <c r="G294" s="323">
        <f t="shared" si="172"/>
        <v>8.9081619201552109E-2</v>
      </c>
      <c r="H294" s="323">
        <f t="shared" si="172"/>
        <v>9.3421378448231798E-2</v>
      </c>
      <c r="I294" s="323">
        <f t="shared" si="172"/>
        <v>0.14828600742591014</v>
      </c>
      <c r="J294" s="323">
        <f t="shared" si="172"/>
        <v>0.12555427631456603</v>
      </c>
      <c r="K294" s="323">
        <f t="shared" si="172"/>
        <v>8.7495511941715273E-2</v>
      </c>
      <c r="L294" s="323">
        <f t="shared" si="172"/>
        <v>8.5519730499428681E-2</v>
      </c>
      <c r="M294" s="323">
        <f t="shared" si="172"/>
        <v>9.8389399498840527E-2</v>
      </c>
      <c r="N294" s="323">
        <f t="shared" si="172"/>
        <v>8.9139357070828332E-2</v>
      </c>
      <c r="O294" s="323">
        <f t="shared" si="172"/>
        <v>0.1913469773362895</v>
      </c>
      <c r="P294" s="323">
        <f t="shared" si="172"/>
        <v>0.1905343611536012</v>
      </c>
      <c r="Q294" s="357">
        <f t="shared" ref="Q294:BM294" si="173">Q285*298/1000000000</f>
        <v>0.19309576376558729</v>
      </c>
      <c r="R294" s="357">
        <f t="shared" si="173"/>
        <v>0.19563532358705493</v>
      </c>
      <c r="S294" s="357">
        <f t="shared" si="173"/>
        <v>0.19815152718632678</v>
      </c>
      <c r="T294" s="357">
        <f t="shared" si="173"/>
        <v>0.20064390228685119</v>
      </c>
      <c r="U294" s="357">
        <f t="shared" si="173"/>
        <v>0.20310965816354945</v>
      </c>
      <c r="V294" s="357">
        <f t="shared" si="173"/>
        <v>0.20554786099687625</v>
      </c>
      <c r="W294" s="357">
        <f t="shared" si="173"/>
        <v>0.20795676121687839</v>
      </c>
      <c r="X294" s="357">
        <f t="shared" si="173"/>
        <v>0.21033601534970015</v>
      </c>
      <c r="Y294" s="357">
        <f t="shared" si="173"/>
        <v>0.2126829507394008</v>
      </c>
      <c r="Z294" s="357">
        <f t="shared" si="173"/>
        <v>0.21499631155969506</v>
      </c>
      <c r="AA294" s="357">
        <f t="shared" si="173"/>
        <v>0.21727447704332575</v>
      </c>
      <c r="AB294" s="357">
        <f t="shared" si="173"/>
        <v>0.21951556881764395</v>
      </c>
      <c r="AC294" s="357">
        <f t="shared" si="173"/>
        <v>0.22171866379666208</v>
      </c>
      <c r="AD294" s="357">
        <f t="shared" si="173"/>
        <v>0.22388215194668104</v>
      </c>
      <c r="AE294" s="357">
        <f t="shared" si="173"/>
        <v>0.22600508871459729</v>
      </c>
      <c r="AF294" s="357">
        <f t="shared" si="173"/>
        <v>0.22808566012910972</v>
      </c>
      <c r="AG294" s="357">
        <f t="shared" si="173"/>
        <v>0.23012314704183279</v>
      </c>
      <c r="AH294" s="357">
        <f t="shared" si="173"/>
        <v>0.23211620775801708</v>
      </c>
      <c r="AI294" s="357">
        <f t="shared" si="173"/>
        <v>0.23406390845811728</v>
      </c>
      <c r="AJ294" s="357">
        <f t="shared" si="173"/>
        <v>0.23596600227029929</v>
      </c>
      <c r="AK294" s="357">
        <f t="shared" si="173"/>
        <v>0.23782183444752561</v>
      </c>
      <c r="AL294" s="357">
        <f t="shared" si="173"/>
        <v>0.23963025649909078</v>
      </c>
      <c r="AM294" s="357">
        <f t="shared" si="173"/>
        <v>0.24139103228671896</v>
      </c>
      <c r="AN294" s="357">
        <f t="shared" si="173"/>
        <v>0.24310301331970477</v>
      </c>
      <c r="AO294" s="357">
        <f t="shared" si="173"/>
        <v>0.24476590979198232</v>
      </c>
      <c r="AP294" s="357">
        <f t="shared" si="173"/>
        <v>0.24637999004250147</v>
      </c>
      <c r="AQ294" s="357">
        <f t="shared" si="173"/>
        <v>0.247943869442281</v>
      </c>
      <c r="AR294" s="357">
        <f t="shared" si="173"/>
        <v>0.24945796660008257</v>
      </c>
      <c r="AS294" s="357">
        <f t="shared" si="173"/>
        <v>0.25092280746024803</v>
      </c>
      <c r="AT294" s="357">
        <f t="shared" si="173"/>
        <v>0.25233740417150291</v>
      </c>
      <c r="AU294" s="357">
        <f t="shared" si="173"/>
        <v>0.25370079819957075</v>
      </c>
      <c r="AV294" s="357">
        <f t="shared" si="173"/>
        <v>0.25501206140537352</v>
      </c>
      <c r="AW294" s="357">
        <f t="shared" si="173"/>
        <v>0.25627029709417537</v>
      </c>
      <c r="AX294" s="357">
        <f t="shared" si="173"/>
        <v>0.25747464103401507</v>
      </c>
      <c r="AY294" s="357">
        <f t="shared" si="173"/>
        <v>0.25862426244181547</v>
      </c>
      <c r="AZ294" s="357">
        <f t="shared" si="173"/>
        <v>0.2597183649355988</v>
      </c>
      <c r="BA294" s="357">
        <f t="shared" si="173"/>
        <v>0.26075618745128476</v>
      </c>
      <c r="BB294" s="357">
        <f t="shared" si="173"/>
        <v>0.26173700512259934</v>
      </c>
      <c r="BC294" s="357">
        <f t="shared" si="173"/>
        <v>0.2626601301226732</v>
      </c>
      <c r="BD294" s="357">
        <f t="shared" si="173"/>
        <v>0.26352491246596665</v>
      </c>
      <c r="BE294" s="357">
        <f t="shared" si="173"/>
        <v>0.26433074076921326</v>
      </c>
      <c r="BF294" s="357">
        <f t="shared" si="173"/>
        <v>0.26507704297014167</v>
      </c>
      <c r="BG294" s="357">
        <f t="shared" si="173"/>
        <v>0.26576328700279139</v>
      </c>
      <c r="BH294" s="357">
        <f t="shared" si="173"/>
        <v>0.26638898142831285</v>
      </c>
      <c r="BI294" s="357">
        <f t="shared" si="173"/>
        <v>0.26695367602020431</v>
      </c>
      <c r="BJ294" s="357">
        <f t="shared" si="173"/>
        <v>0.26745696230301408</v>
      </c>
      <c r="BK294" s="357">
        <f t="shared" si="173"/>
        <v>0.26789847404360601</v>
      </c>
      <c r="BL294" s="357">
        <f t="shared" si="173"/>
        <v>0.26827788769416444</v>
      </c>
      <c r="BM294" s="357">
        <f t="shared" si="173"/>
        <v>0.26859492278619046</v>
      </c>
      <c r="BN294" s="182"/>
    </row>
    <row r="295" spans="1:69" ht="14.25" customHeight="1" x14ac:dyDescent="0.3">
      <c r="A295" s="1199"/>
      <c r="B295" s="944"/>
      <c r="C295" s="183"/>
      <c r="D295" s="185" t="s">
        <v>804</v>
      </c>
      <c r="E295" s="323">
        <f t="shared" ref="E295:P295" si="174">E286*298/1000000000</f>
        <v>0</v>
      </c>
      <c r="F295" s="323">
        <f t="shared" si="174"/>
        <v>0</v>
      </c>
      <c r="G295" s="323">
        <f t="shared" si="174"/>
        <v>0</v>
      </c>
      <c r="H295" s="323">
        <f t="shared" si="174"/>
        <v>0</v>
      </c>
      <c r="I295" s="323">
        <f t="shared" si="174"/>
        <v>0</v>
      </c>
      <c r="J295" s="323">
        <f t="shared" si="174"/>
        <v>0</v>
      </c>
      <c r="K295" s="323">
        <f t="shared" si="174"/>
        <v>0</v>
      </c>
      <c r="L295" s="323">
        <f t="shared" si="174"/>
        <v>0</v>
      </c>
      <c r="M295" s="323">
        <f t="shared" si="174"/>
        <v>0</v>
      </c>
      <c r="N295" s="323">
        <f t="shared" si="174"/>
        <v>0</v>
      </c>
      <c r="O295" s="323">
        <f t="shared" si="174"/>
        <v>0</v>
      </c>
      <c r="P295" s="323">
        <f t="shared" si="174"/>
        <v>0</v>
      </c>
      <c r="Q295" s="357">
        <f t="shared" ref="Q295:BM295" si="175">Q286*298/1000000000</f>
        <v>2.9799999999999999E-7</v>
      </c>
      <c r="R295" s="357">
        <f t="shared" si="175"/>
        <v>5.9599999999999999E-7</v>
      </c>
      <c r="S295" s="357">
        <f t="shared" si="175"/>
        <v>8.9400000000000004E-7</v>
      </c>
      <c r="T295" s="357">
        <f t="shared" si="175"/>
        <v>1.192E-6</v>
      </c>
      <c r="U295" s="357">
        <f t="shared" si="175"/>
        <v>1.4899999999999999E-6</v>
      </c>
      <c r="V295" s="357">
        <f t="shared" si="175"/>
        <v>1.7880000000000001E-6</v>
      </c>
      <c r="W295" s="357">
        <f t="shared" si="175"/>
        <v>2.086E-6</v>
      </c>
      <c r="X295" s="357">
        <f t="shared" si="175"/>
        <v>2.384E-6</v>
      </c>
      <c r="Y295" s="357">
        <f t="shared" si="175"/>
        <v>2.6819999999999999E-6</v>
      </c>
      <c r="Z295" s="357">
        <f t="shared" si="175"/>
        <v>2.9799999999999998E-6</v>
      </c>
      <c r="AA295" s="357">
        <f t="shared" si="175"/>
        <v>3.2780000000000002E-6</v>
      </c>
      <c r="AB295" s="357">
        <f t="shared" si="175"/>
        <v>3.5760000000000002E-6</v>
      </c>
      <c r="AC295" s="357">
        <f t="shared" si="175"/>
        <v>3.8739999999999997E-6</v>
      </c>
      <c r="AD295" s="357">
        <f t="shared" si="175"/>
        <v>4.172E-6</v>
      </c>
      <c r="AE295" s="357">
        <f t="shared" si="175"/>
        <v>4.4700000000000004E-6</v>
      </c>
      <c r="AF295" s="357">
        <f t="shared" si="175"/>
        <v>4.7679999999999999E-6</v>
      </c>
      <c r="AG295" s="357">
        <f t="shared" si="175"/>
        <v>5.0660000000000003E-6</v>
      </c>
      <c r="AH295" s="357">
        <f t="shared" si="175"/>
        <v>5.3639999999999998E-6</v>
      </c>
      <c r="AI295" s="357">
        <f t="shared" si="175"/>
        <v>5.6620000000000002E-6</v>
      </c>
      <c r="AJ295" s="357">
        <f t="shared" si="175"/>
        <v>5.9599999999999997E-6</v>
      </c>
      <c r="AK295" s="357">
        <f t="shared" si="175"/>
        <v>6.2580000000000001E-6</v>
      </c>
      <c r="AL295" s="357">
        <f t="shared" si="175"/>
        <v>6.5560000000000004E-6</v>
      </c>
      <c r="AM295" s="357">
        <f t="shared" si="175"/>
        <v>6.8539999999999999E-6</v>
      </c>
      <c r="AN295" s="357">
        <f t="shared" si="175"/>
        <v>7.1520000000000003E-6</v>
      </c>
      <c r="AO295" s="357">
        <f t="shared" si="175"/>
        <v>7.4499999999999998E-6</v>
      </c>
      <c r="AP295" s="357">
        <f t="shared" si="175"/>
        <v>7.7479999999999993E-6</v>
      </c>
      <c r="AQ295" s="357">
        <f t="shared" si="175"/>
        <v>8.0460000000000006E-6</v>
      </c>
      <c r="AR295" s="357">
        <f t="shared" si="175"/>
        <v>8.3440000000000001E-6</v>
      </c>
      <c r="AS295" s="357">
        <f t="shared" si="175"/>
        <v>8.6419999999999996E-6</v>
      </c>
      <c r="AT295" s="357">
        <f t="shared" si="175"/>
        <v>8.9400000000000008E-6</v>
      </c>
      <c r="AU295" s="357">
        <f t="shared" si="175"/>
        <v>9.2380000000000003E-6</v>
      </c>
      <c r="AV295" s="357">
        <f t="shared" si="175"/>
        <v>9.5359999999999998E-6</v>
      </c>
      <c r="AW295" s="357">
        <f t="shared" si="175"/>
        <v>9.8339999999999994E-6</v>
      </c>
      <c r="AX295" s="357">
        <f t="shared" si="175"/>
        <v>1.0132000000000001E-5</v>
      </c>
      <c r="AY295" s="357">
        <f t="shared" si="175"/>
        <v>1.043E-5</v>
      </c>
      <c r="AZ295" s="357">
        <f t="shared" si="175"/>
        <v>1.0728E-5</v>
      </c>
      <c r="BA295" s="357">
        <f t="shared" si="175"/>
        <v>1.1026000000000001E-5</v>
      </c>
      <c r="BB295" s="357">
        <f t="shared" si="175"/>
        <v>1.1324E-5</v>
      </c>
      <c r="BC295" s="357">
        <f t="shared" si="175"/>
        <v>1.1622E-5</v>
      </c>
      <c r="BD295" s="357">
        <f t="shared" si="175"/>
        <v>1.1919999999999999E-5</v>
      </c>
      <c r="BE295" s="357">
        <f t="shared" si="175"/>
        <v>1.2218000000000001E-5</v>
      </c>
      <c r="BF295" s="357">
        <f t="shared" si="175"/>
        <v>1.2516E-5</v>
      </c>
      <c r="BG295" s="357">
        <f t="shared" si="175"/>
        <v>1.2814E-5</v>
      </c>
      <c r="BH295" s="357">
        <f t="shared" si="175"/>
        <v>1.3112000000000001E-5</v>
      </c>
      <c r="BI295" s="357">
        <f t="shared" si="175"/>
        <v>1.341E-5</v>
      </c>
      <c r="BJ295" s="357">
        <f t="shared" si="175"/>
        <v>1.3708E-5</v>
      </c>
      <c r="BK295" s="357">
        <f t="shared" si="175"/>
        <v>1.4005999999999999E-5</v>
      </c>
      <c r="BL295" s="357">
        <f t="shared" si="175"/>
        <v>1.4304000000000001E-5</v>
      </c>
      <c r="BM295" s="357">
        <f t="shared" si="175"/>
        <v>1.4602E-5</v>
      </c>
      <c r="BN295" s="182"/>
    </row>
    <row r="296" spans="1:69" ht="14.25" customHeight="1" x14ac:dyDescent="0.3">
      <c r="A296" s="1199"/>
      <c r="B296" s="944"/>
      <c r="C296" s="183"/>
      <c r="D296" s="185" t="s">
        <v>805</v>
      </c>
      <c r="E296" s="323">
        <f t="shared" ref="E296:E297" si="176">E287*298/1000000000</f>
        <v>2.5275932709719999E-3</v>
      </c>
      <c r="F296" s="323">
        <f t="shared" ref="F296:P296" si="177">F287*298/1000000000</f>
        <v>5.8179767223600005E-4</v>
      </c>
      <c r="G296" s="323">
        <f t="shared" si="177"/>
        <v>2.2634467665040001E-3</v>
      </c>
      <c r="H296" s="323">
        <f t="shared" si="177"/>
        <v>2.1041529137640004E-3</v>
      </c>
      <c r="I296" s="323">
        <f t="shared" si="177"/>
        <v>1.62172716904E-3</v>
      </c>
      <c r="J296" s="323">
        <f t="shared" si="177"/>
        <v>1.3113044895280001E-3</v>
      </c>
      <c r="K296" s="323">
        <f t="shared" si="177"/>
        <v>1.2688140373480002E-3</v>
      </c>
      <c r="L296" s="323">
        <f t="shared" si="177"/>
        <v>1.2511748112160003E-3</v>
      </c>
      <c r="M296" s="323">
        <f t="shared" si="177"/>
        <v>1.1056882943920002E-3</v>
      </c>
      <c r="N296" s="323">
        <f t="shared" si="177"/>
        <v>1.2182871682520002E-3</v>
      </c>
      <c r="O296" s="323">
        <f t="shared" si="177"/>
        <v>9.4183046914000001E-4</v>
      </c>
      <c r="P296" s="323">
        <f t="shared" si="177"/>
        <v>1.207338910492E-3</v>
      </c>
      <c r="Q296" s="357">
        <f t="shared" ref="Q296:BM296" si="178">Q287*298/1000000000</f>
        <v>1.2235694791944804E-3</v>
      </c>
      <c r="R296" s="357">
        <f t="shared" si="178"/>
        <v>1.2396616389992318E-3</v>
      </c>
      <c r="S296" s="357">
        <f t="shared" si="178"/>
        <v>1.2556057999040038E-3</v>
      </c>
      <c r="T296" s="357">
        <f t="shared" si="178"/>
        <v>1.2713989692839803E-3</v>
      </c>
      <c r="U296" s="357">
        <f t="shared" si="178"/>
        <v>1.2870234634470687E-3</v>
      </c>
      <c r="V296" s="357">
        <f t="shared" si="178"/>
        <v>1.3024733651578373E-3</v>
      </c>
      <c r="W296" s="357">
        <f t="shared" si="178"/>
        <v>1.3177375881016284E-3</v>
      </c>
      <c r="X296" s="357">
        <f t="shared" si="178"/>
        <v>1.3328139558240301E-3</v>
      </c>
      <c r="Y296" s="357">
        <f t="shared" si="178"/>
        <v>1.3476855327891528E-3</v>
      </c>
      <c r="Z296" s="357">
        <f t="shared" si="178"/>
        <v>1.3623443613355554E-3</v>
      </c>
      <c r="AA296" s="357">
        <f t="shared" si="178"/>
        <v>1.3767801713189833E-3</v>
      </c>
      <c r="AB296" s="357">
        <f t="shared" si="178"/>
        <v>1.3909810602543741E-3</v>
      </c>
      <c r="AC296" s="357">
        <f t="shared" si="178"/>
        <v>1.4049411789204967E-3</v>
      </c>
      <c r="AD296" s="357">
        <f t="shared" si="178"/>
        <v>1.4186503251872977E-3</v>
      </c>
      <c r="AE296" s="357">
        <f t="shared" si="178"/>
        <v>1.4321025138051455E-3</v>
      </c>
      <c r="AF296" s="357">
        <f t="shared" si="178"/>
        <v>1.4452862503741796E-3</v>
      </c>
      <c r="AG296" s="357">
        <f t="shared" si="178"/>
        <v>1.4581969779429757E-3</v>
      </c>
      <c r="AH296" s="357">
        <f t="shared" si="178"/>
        <v>1.470826194736489E-3</v>
      </c>
      <c r="AI296" s="357">
        <f t="shared" si="178"/>
        <v>1.4831679835192884E-3</v>
      </c>
      <c r="AJ296" s="357">
        <f t="shared" si="178"/>
        <v>1.495220779964766E-3</v>
      </c>
      <c r="AK296" s="357">
        <f t="shared" si="178"/>
        <v>1.5069804352066997E-3</v>
      </c>
      <c r="AL296" s="357">
        <f t="shared" si="178"/>
        <v>1.5184396717256509E-3</v>
      </c>
      <c r="AM296" s="357">
        <f t="shared" si="178"/>
        <v>1.5295969932092124E-3</v>
      </c>
      <c r="AN296" s="357">
        <f t="shared" si="178"/>
        <v>1.5404451221379453E-3</v>
      </c>
      <c r="AO296" s="357">
        <f t="shared" si="178"/>
        <v>1.5509822221284402E-3</v>
      </c>
      <c r="AP296" s="357">
        <f t="shared" si="178"/>
        <v>1.5612099935357062E-3</v>
      </c>
      <c r="AQ296" s="357">
        <f t="shared" si="178"/>
        <v>1.5711196625278966E-3</v>
      </c>
      <c r="AR296" s="357">
        <f t="shared" si="178"/>
        <v>1.5807138816588255E-3</v>
      </c>
      <c r="AS296" s="357">
        <f t="shared" si="178"/>
        <v>1.5899959836243114E-3</v>
      </c>
      <c r="AT296" s="357">
        <f t="shared" si="178"/>
        <v>1.5989597088117864E-3</v>
      </c>
      <c r="AU296" s="357">
        <f t="shared" si="178"/>
        <v>1.6075989833786019E-3</v>
      </c>
      <c r="AV296" s="357">
        <f t="shared" si="178"/>
        <v>1.6159079260841436E-3</v>
      </c>
      <c r="AW296" s="357">
        <f t="shared" si="178"/>
        <v>1.6238808549378294E-3</v>
      </c>
      <c r="AX296" s="357">
        <f t="shared" si="178"/>
        <v>1.6315122936525056E-3</v>
      </c>
      <c r="AY296" s="357">
        <f t="shared" si="178"/>
        <v>1.6387969778930193E-3</v>
      </c>
      <c r="AZ296" s="357">
        <f t="shared" si="178"/>
        <v>1.6457298613100216E-3</v>
      </c>
      <c r="BA296" s="357">
        <f t="shared" si="178"/>
        <v>1.6523061213493447E-3</v>
      </c>
      <c r="BB296" s="357">
        <f t="shared" si="178"/>
        <v>1.6585211648276262E-3</v>
      </c>
      <c r="BC296" s="357">
        <f t="shared" si="178"/>
        <v>1.6643706332651784E-3</v>
      </c>
      <c r="BD296" s="357">
        <f t="shared" si="178"/>
        <v>1.6698504079674581E-3</v>
      </c>
      <c r="BE296" s="357">
        <f t="shared" si="178"/>
        <v>1.6749566148468627E-3</v>
      </c>
      <c r="BF296" s="357">
        <f t="shared" si="178"/>
        <v>1.6796856289769712E-3</v>
      </c>
      <c r="BG296" s="357">
        <f t="shared" si="178"/>
        <v>1.6840340788717549E-3</v>
      </c>
      <c r="BH296" s="357">
        <f t="shared" si="178"/>
        <v>1.6879988504826923E-3</v>
      </c>
      <c r="BI296" s="357">
        <f t="shared" si="178"/>
        <v>1.6915770909071868E-3</v>
      </c>
      <c r="BJ296" s="357">
        <f t="shared" si="178"/>
        <v>1.6947662118020957E-3</v>
      </c>
      <c r="BK296" s="357">
        <f t="shared" si="178"/>
        <v>1.6975638924966866E-3</v>
      </c>
      <c r="BL296" s="357">
        <f t="shared" si="178"/>
        <v>1.6999680827997779E-3</v>
      </c>
      <c r="BM296" s="357">
        <f t="shared" si="178"/>
        <v>1.7019770054963292E-3</v>
      </c>
      <c r="BN296" s="182"/>
    </row>
    <row r="297" spans="1:69" ht="14.25" customHeight="1" x14ac:dyDescent="0.3">
      <c r="A297" s="964"/>
      <c r="B297" s="944"/>
      <c r="C297" s="183"/>
      <c r="D297" s="185" t="s">
        <v>808</v>
      </c>
      <c r="E297" s="323">
        <f t="shared" si="176"/>
        <v>2.3128655966742857E-2</v>
      </c>
      <c r="F297" s="323">
        <f t="shared" ref="F297:P297" si="179">F288*298/1000000000</f>
        <v>1.7005144563000001E-2</v>
      </c>
      <c r="G297" s="323">
        <f t="shared" si="179"/>
        <v>1.884069155170804E-2</v>
      </c>
      <c r="H297" s="323">
        <f t="shared" si="179"/>
        <v>2.0701260065828578E-2</v>
      </c>
      <c r="I297" s="323">
        <f t="shared" si="179"/>
        <v>2.0520645871628575E-2</v>
      </c>
      <c r="J297" s="323">
        <f t="shared" si="179"/>
        <v>1.8828829658571428E-2</v>
      </c>
      <c r="K297" s="323">
        <f t="shared" si="179"/>
        <v>1.8089186280942856E-2</v>
      </c>
      <c r="L297" s="323">
        <f t="shared" si="179"/>
        <v>1.695048452177143E-2</v>
      </c>
      <c r="M297" s="323">
        <f t="shared" si="179"/>
        <v>1.6380537491057143E-2</v>
      </c>
      <c r="N297" s="323">
        <f t="shared" si="179"/>
        <v>2.0371841998200003E-2</v>
      </c>
      <c r="O297" s="323">
        <f t="shared" si="179"/>
        <v>2.241958129714286E-2</v>
      </c>
      <c r="P297" s="323">
        <f t="shared" si="179"/>
        <v>2.6811266718342854E-2</v>
      </c>
      <c r="Q297" s="357">
        <f t="shared" ref="Q297:BM297" si="180">Q288*298/1000000000</f>
        <v>2.7171697499369585E-2</v>
      </c>
      <c r="R297" s="357">
        <f t="shared" si="180"/>
        <v>2.7529054646439059E-2</v>
      </c>
      <c r="S297" s="357">
        <f t="shared" si="180"/>
        <v>2.7883125195232859E-2</v>
      </c>
      <c r="T297" s="357">
        <f t="shared" si="180"/>
        <v>2.8233842688800578E-2</v>
      </c>
      <c r="U297" s="357">
        <f t="shared" si="180"/>
        <v>2.8580814426980568E-2</v>
      </c>
      <c r="V297" s="357">
        <f t="shared" si="180"/>
        <v>2.8923909006257242E-2</v>
      </c>
      <c r="W297" s="357">
        <f t="shared" si="180"/>
        <v>2.9262880233836955E-2</v>
      </c>
      <c r="X297" s="357">
        <f t="shared" si="180"/>
        <v>2.9597679777392135E-2</v>
      </c>
      <c r="Y297" s="357">
        <f t="shared" si="180"/>
        <v>2.9927931550998765E-2</v>
      </c>
      <c r="Z297" s="357">
        <f t="shared" si="180"/>
        <v>3.0253458839584118E-2</v>
      </c>
      <c r="AA297" s="357">
        <f t="shared" si="180"/>
        <v>3.057403357497741E-2</v>
      </c>
      <c r="AB297" s="357">
        <f t="shared" si="180"/>
        <v>3.088939143976218E-2</v>
      </c>
      <c r="AC297" s="357">
        <f t="shared" si="180"/>
        <v>3.1199402540808038E-2</v>
      </c>
      <c r="AD297" s="357">
        <f t="shared" si="180"/>
        <v>3.1503840320329435E-2</v>
      </c>
      <c r="AE297" s="357">
        <f t="shared" si="180"/>
        <v>3.180257186442554E-2</v>
      </c>
      <c r="AF297" s="357">
        <f t="shared" si="180"/>
        <v>3.2095341917991266E-2</v>
      </c>
      <c r="AG297" s="357">
        <f t="shared" si="180"/>
        <v>3.2382049285215764E-2</v>
      </c>
      <c r="AH297" s="357">
        <f t="shared" si="180"/>
        <v>3.2662505167944396E-2</v>
      </c>
      <c r="AI297" s="357">
        <f t="shared" si="180"/>
        <v>3.2936578162661559E-2</v>
      </c>
      <c r="AJ297" s="357">
        <f t="shared" si="180"/>
        <v>3.3204233530506784E-2</v>
      </c>
      <c r="AK297" s="357">
        <f t="shared" si="180"/>
        <v>3.3465379137980644E-2</v>
      </c>
      <c r="AL297" s="357">
        <f t="shared" si="180"/>
        <v>3.3719853373862733E-2</v>
      </c>
      <c r="AM297" s="357">
        <f t="shared" si="180"/>
        <v>3.3967623009677886E-2</v>
      </c>
      <c r="AN297" s="357">
        <f t="shared" si="180"/>
        <v>3.4208526434205723E-2</v>
      </c>
      <c r="AO297" s="357">
        <f t="shared" si="180"/>
        <v>3.4442522867044842E-2</v>
      </c>
      <c r="AP297" s="357">
        <f t="shared" si="180"/>
        <v>3.4669650067826199E-2</v>
      </c>
      <c r="AQ297" s="357">
        <f t="shared" si="180"/>
        <v>3.4889713196854182E-2</v>
      </c>
      <c r="AR297" s="357">
        <f t="shared" si="180"/>
        <v>3.5102771159153057E-2</v>
      </c>
      <c r="AS297" s="357">
        <f t="shared" si="180"/>
        <v>3.5308897963599435E-2</v>
      </c>
      <c r="AT297" s="357">
        <f t="shared" si="180"/>
        <v>3.5507954603539407E-2</v>
      </c>
      <c r="AU297" s="357">
        <f t="shared" si="180"/>
        <v>3.569980619769493E-2</v>
      </c>
      <c r="AV297" s="357">
        <f t="shared" si="180"/>
        <v>3.5884322141884049E-2</v>
      </c>
      <c r="AW297" s="357">
        <f t="shared" si="180"/>
        <v>3.6061376256652393E-2</v>
      </c>
      <c r="AX297" s="357">
        <f t="shared" si="180"/>
        <v>3.6230846930583128E-2</v>
      </c>
      <c r="AY297" s="357">
        <f t="shared" si="180"/>
        <v>3.6392617259058443E-2</v>
      </c>
      <c r="AZ297" s="357">
        <f t="shared" si="180"/>
        <v>3.6546575178251724E-2</v>
      </c>
      <c r="BA297" s="357">
        <f t="shared" si="180"/>
        <v>3.6692613594135816E-2</v>
      </c>
      <c r="BB297" s="357">
        <f t="shared" si="180"/>
        <v>3.6830630506300435E-2</v>
      </c>
      <c r="BC297" s="357">
        <f t="shared" si="180"/>
        <v>3.6960529126378726E-2</v>
      </c>
      <c r="BD297" s="357">
        <f t="shared" si="180"/>
        <v>3.7082217990890995E-2</v>
      </c>
      <c r="BE297" s="357">
        <f t="shared" si="180"/>
        <v>3.7195611068321893E-2</v>
      </c>
      <c r="BF297" s="357">
        <f t="shared" si="180"/>
        <v>3.7300627860256043E-2</v>
      </c>
      <c r="BG297" s="357">
        <f t="shared" si="180"/>
        <v>3.7397193496406113E-2</v>
      </c>
      <c r="BH297" s="357">
        <f t="shared" si="180"/>
        <v>3.748523882337635E-2</v>
      </c>
      <c r="BI297" s="357">
        <f t="shared" si="180"/>
        <v>3.7564700487015087E-2</v>
      </c>
      <c r="BJ297" s="357">
        <f t="shared" si="180"/>
        <v>3.7635521008218709E-2</v>
      </c>
      <c r="BK297" s="357">
        <f t="shared" si="180"/>
        <v>3.7697648852060721E-2</v>
      </c>
      <c r="BL297" s="357">
        <f t="shared" si="180"/>
        <v>3.7751038490129736E-2</v>
      </c>
      <c r="BM297" s="357">
        <f t="shared" si="180"/>
        <v>3.7795650455971067E-2</v>
      </c>
      <c r="BN297" s="182"/>
    </row>
    <row r="298" spans="1:69" ht="15" customHeight="1" x14ac:dyDescent="0.3">
      <c r="A298" s="48"/>
      <c r="B298" s="84"/>
      <c r="C298" s="194"/>
      <c r="D298" s="179" t="s">
        <v>688</v>
      </c>
      <c r="E298" s="358">
        <f>SUM(E290:E296)</f>
        <v>0.14739358937674268</v>
      </c>
      <c r="F298" s="358">
        <f t="shared" ref="F298" si="181">SUM(F290:F296)</f>
        <v>0.17222930630474953</v>
      </c>
      <c r="G298" s="358">
        <f t="shared" ref="G298" si="182">SUM(G290:G296)</f>
        <v>0.12189091658879211</v>
      </c>
      <c r="H298" s="358">
        <f t="shared" ref="H298" si="183">SUM(H290:H296)</f>
        <v>0.12547961902816923</v>
      </c>
      <c r="I298" s="358">
        <f t="shared" ref="I298" si="184">SUM(I290:I296)</f>
        <v>0.17677256386191462</v>
      </c>
      <c r="J298" s="358">
        <f t="shared" ref="J298" si="185">SUM(J290:J296)</f>
        <v>0.15087503187809978</v>
      </c>
      <c r="K298" s="358">
        <f t="shared" ref="K298" si="186">SUM(K290:K296)</f>
        <v>0.11284436060223001</v>
      </c>
      <c r="L298" s="358">
        <f t="shared" ref="L298" si="187">SUM(L290:L296)</f>
        <v>0.11122025210622741</v>
      </c>
      <c r="M298" s="358">
        <f>SUM(M290:M296)</f>
        <v>0.12316371565750645</v>
      </c>
      <c r="N298" s="358">
        <f t="shared" ref="N298" si="188">SUM(N290:N296)</f>
        <v>0.11548163044118721</v>
      </c>
      <c r="O298" s="358">
        <f t="shared" ref="O298" si="189">SUM(O290:O296)</f>
        <v>0.21758595649217</v>
      </c>
      <c r="P298" s="358">
        <f t="shared" ref="P298:BM298" si="190">SUM(P290:P296)</f>
        <v>0.2154694528818468</v>
      </c>
      <c r="Q298" s="358">
        <f t="shared" si="190"/>
        <v>0.21836666037004895</v>
      </c>
      <c r="R298" s="358">
        <f t="shared" si="190"/>
        <v>0.22123916651780032</v>
      </c>
      <c r="S298" s="358">
        <f t="shared" si="190"/>
        <v>0.22408525983173294</v>
      </c>
      <c r="T298" s="358">
        <f t="shared" si="190"/>
        <v>0.22690440622881017</v>
      </c>
      <c r="U298" s="358">
        <f t="shared" si="190"/>
        <v>0.22969344976381439</v>
      </c>
      <c r="V298" s="358">
        <f t="shared" si="190"/>
        <v>0.23245133440892327</v>
      </c>
      <c r="W298" s="358">
        <f t="shared" si="190"/>
        <v>0.23517608162925036</v>
      </c>
      <c r="X298" s="358">
        <f t="shared" si="190"/>
        <v>0.23786730300076897</v>
      </c>
      <c r="Y298" s="358">
        <f t="shared" si="190"/>
        <v>0.24052197609902098</v>
      </c>
      <c r="Z298" s="358">
        <f t="shared" si="190"/>
        <v>0.24313868074865855</v>
      </c>
      <c r="AA298" s="358">
        <f t="shared" si="190"/>
        <v>0.24571558407380545</v>
      </c>
      <c r="AB298" s="358">
        <f t="shared" si="190"/>
        <v>0.24825056188056557</v>
      </c>
      <c r="AC298" s="358">
        <f t="shared" si="190"/>
        <v>0.25074257027936692</v>
      </c>
      <c r="AD298" s="358">
        <f t="shared" si="190"/>
        <v>0.25318978853258428</v>
      </c>
      <c r="AE298" s="358">
        <f t="shared" si="190"/>
        <v>0.25559114847414388</v>
      </c>
      <c r="AF298" s="358">
        <f t="shared" si="190"/>
        <v>0.25794459873965458</v>
      </c>
      <c r="AG298" s="358">
        <f t="shared" si="190"/>
        <v>0.2602493260663104</v>
      </c>
      <c r="AH298" s="358">
        <f t="shared" si="190"/>
        <v>0.26250381317275673</v>
      </c>
      <c r="AI298" s="358">
        <f t="shared" si="190"/>
        <v>0.26470700403117103</v>
      </c>
      <c r="AJ298" s="358">
        <f t="shared" si="190"/>
        <v>0.26685861946178391</v>
      </c>
      <c r="AK298" s="358">
        <f t="shared" si="190"/>
        <v>0.26895791903129446</v>
      </c>
      <c r="AL298" s="358">
        <f t="shared" si="190"/>
        <v>0.27100360394686329</v>
      </c>
      <c r="AM298" s="358">
        <f t="shared" si="190"/>
        <v>0.27299540716697196</v>
      </c>
      <c r="AN298" s="358">
        <f t="shared" si="190"/>
        <v>0.27493202989878113</v>
      </c>
      <c r="AO298" s="358">
        <f t="shared" si="190"/>
        <v>0.27681314440951815</v>
      </c>
      <c r="AP298" s="358">
        <f t="shared" si="190"/>
        <v>0.27863905415545387</v>
      </c>
      <c r="AQ298" s="358">
        <f t="shared" si="190"/>
        <v>0.2804081933022306</v>
      </c>
      <c r="AR298" s="358">
        <f t="shared" si="190"/>
        <v>0.28212103524163079</v>
      </c>
      <c r="AS298" s="358">
        <f t="shared" si="190"/>
        <v>0.28377817474794559</v>
      </c>
      <c r="AT298" s="358">
        <f t="shared" si="190"/>
        <v>0.28537849469053056</v>
      </c>
      <c r="AU298" s="358">
        <f t="shared" si="190"/>
        <v>0.28692091109243345</v>
      </c>
      <c r="AV298" s="358">
        <f t="shared" si="190"/>
        <v>0.28840437434969757</v>
      </c>
      <c r="AW298" s="358">
        <f t="shared" si="190"/>
        <v>0.28982787041780644</v>
      </c>
      <c r="AX298" s="358">
        <f t="shared" si="190"/>
        <v>0.29119042196339773</v>
      </c>
      <c r="AY298" s="358">
        <f t="shared" si="190"/>
        <v>0.29249108947942376</v>
      </c>
      <c r="AZ298" s="358">
        <f t="shared" si="190"/>
        <v>0.29372897236198298</v>
      </c>
      <c r="BA298" s="358">
        <f t="shared" si="190"/>
        <v>0.29490320994709873</v>
      </c>
      <c r="BB298" s="358">
        <f t="shared" si="190"/>
        <v>0.29601298250578051</v>
      </c>
      <c r="BC298" s="358">
        <f t="shared" si="190"/>
        <v>0.29705751219576271</v>
      </c>
      <c r="BD298" s="358">
        <f t="shared" si="190"/>
        <v>0.29803606396837584</v>
      </c>
      <c r="BE298" s="358">
        <f t="shared" si="190"/>
        <v>0.29894794642907502</v>
      </c>
      <c r="BF298" s="358">
        <f t="shared" si="190"/>
        <v>0.29979251265022028</v>
      </c>
      <c r="BG298" s="358">
        <f t="shared" si="190"/>
        <v>0.30056916093476999</v>
      </c>
      <c r="BH298" s="358">
        <f t="shared" si="190"/>
        <v>0.30127733552963371</v>
      </c>
      <c r="BI298" s="358">
        <f t="shared" si="190"/>
        <v>0.30191652728749857</v>
      </c>
      <c r="BJ298" s="358">
        <f t="shared" si="190"/>
        <v>0.30248627427603103</v>
      </c>
      <c r="BK298" s="358">
        <f t="shared" si="190"/>
        <v>0.30298616233343351</v>
      </c>
      <c r="BL298" s="358">
        <f t="shared" si="190"/>
        <v>0.30341582556942581</v>
      </c>
      <c r="BM298" s="358">
        <f t="shared" si="190"/>
        <v>0.30377494681080269</v>
      </c>
      <c r="BN298" s="197"/>
      <c r="BO298" s="50"/>
      <c r="BP298" s="50"/>
      <c r="BQ298" s="50"/>
    </row>
    <row r="299" spans="1:69" ht="15" customHeight="1" x14ac:dyDescent="0.3">
      <c r="A299" s="48"/>
      <c r="B299" s="84"/>
      <c r="C299" s="194"/>
      <c r="D299" s="178" t="s">
        <v>809</v>
      </c>
      <c r="E299" s="358"/>
      <c r="F299" s="358"/>
      <c r="G299" s="358"/>
      <c r="H299" s="358"/>
      <c r="I299" s="358"/>
      <c r="J299" s="358"/>
      <c r="K299" s="358"/>
      <c r="L299" s="358"/>
      <c r="M299" s="358"/>
      <c r="N299" s="358"/>
      <c r="O299" s="358"/>
      <c r="P299" s="358"/>
      <c r="Q299" s="179"/>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c r="AW299" s="179"/>
      <c r="AX299" s="179"/>
      <c r="AY299" s="179"/>
      <c r="AZ299" s="179"/>
      <c r="BA299" s="179"/>
      <c r="BB299" s="179"/>
      <c r="BC299" s="179"/>
      <c r="BD299" s="179"/>
      <c r="BE299" s="179"/>
      <c r="BF299" s="179"/>
      <c r="BG299" s="179"/>
      <c r="BH299" s="179"/>
      <c r="BI299" s="179"/>
      <c r="BJ299" s="179"/>
      <c r="BK299" s="179"/>
      <c r="BL299" s="179"/>
      <c r="BM299" s="179"/>
      <c r="BN299" s="197"/>
      <c r="BO299" s="50"/>
      <c r="BP299" s="50"/>
      <c r="BQ299" s="50"/>
    </row>
    <row r="300" spans="1:69" ht="14.25" hidden="1" customHeight="1" x14ac:dyDescent="0.3">
      <c r="A300" s="48"/>
      <c r="B300" s="944"/>
      <c r="C300" s="183"/>
      <c r="D300" s="185" t="s">
        <v>810</v>
      </c>
      <c r="E300" s="323">
        <f>158382539.05*0.3*0.0075</f>
        <v>356360.71286249999</v>
      </c>
      <c r="F300" s="323"/>
      <c r="G300" s="323">
        <f>173654117.215*0.3*0.0075</f>
        <v>390721.76373374998</v>
      </c>
      <c r="H300" s="323"/>
      <c r="I300" s="323">
        <f>187931570.80615*0.3*0.0075</f>
        <v>422846.03431383747</v>
      </c>
      <c r="J300" s="323"/>
      <c r="K300" s="323">
        <f>166382860.918761*0.3*0.0075</f>
        <v>374361.43706721219</v>
      </c>
      <c r="L300" s="323"/>
      <c r="M300" s="323">
        <f>177687730.987589*0.3*0.0075</f>
        <v>399797.3947220752</v>
      </c>
      <c r="N300" s="357"/>
      <c r="O300" s="357"/>
      <c r="P300" s="357"/>
      <c r="Q300" s="291"/>
      <c r="R300" s="291"/>
      <c r="S300" s="291"/>
      <c r="T300" s="291"/>
      <c r="U300" s="291"/>
      <c r="V300" s="291"/>
      <c r="W300" s="291"/>
      <c r="X300" s="291"/>
      <c r="Y300" s="291"/>
      <c r="Z300" s="291"/>
      <c r="AA300" s="291"/>
      <c r="AB300" s="291"/>
      <c r="AC300" s="291"/>
      <c r="AD300" s="291"/>
      <c r="AE300" s="291"/>
      <c r="AF300" s="291"/>
      <c r="AG300" s="291"/>
      <c r="AH300" s="291"/>
      <c r="AI300" s="291"/>
      <c r="AJ300" s="291"/>
      <c r="AK300" s="291"/>
      <c r="AL300" s="291"/>
      <c r="AM300" s="291"/>
      <c r="AN300" s="291"/>
      <c r="AO300" s="291"/>
      <c r="AP300" s="291"/>
      <c r="AQ300" s="291"/>
      <c r="AR300" s="291"/>
      <c r="AS300" s="291"/>
      <c r="AT300" s="291"/>
      <c r="AU300" s="291"/>
      <c r="AV300" s="291"/>
      <c r="AW300" s="291"/>
      <c r="AX300" s="291"/>
      <c r="AY300" s="291"/>
      <c r="AZ300" s="291"/>
      <c r="BA300" s="291"/>
      <c r="BB300" s="291"/>
      <c r="BC300" s="291"/>
      <c r="BD300" s="291"/>
      <c r="BE300" s="291"/>
      <c r="BF300" s="291"/>
      <c r="BG300" s="291"/>
      <c r="BH300" s="291"/>
      <c r="BI300" s="291"/>
      <c r="BJ300" s="291"/>
      <c r="BK300" s="291"/>
      <c r="BL300" s="291"/>
      <c r="BM300" s="291"/>
      <c r="BN300" s="182"/>
    </row>
    <row r="301" spans="1:69" ht="14.25" hidden="1" customHeight="1" x14ac:dyDescent="0.3">
      <c r="A301" s="48"/>
      <c r="B301" s="944"/>
      <c r="C301" s="183"/>
      <c r="D301" s="185" t="s">
        <v>811</v>
      </c>
      <c r="E301" s="323">
        <f>114931157*0.3*0.0075</f>
        <v>258595.10325000001</v>
      </c>
      <c r="F301" s="323"/>
      <c r="G301" s="323">
        <f t="shared" ref="G301:M301" si="191">114931157*0.3*0.0075</f>
        <v>258595.10325000001</v>
      </c>
      <c r="H301" s="323"/>
      <c r="I301" s="323">
        <f t="shared" si="191"/>
        <v>258595.10325000001</v>
      </c>
      <c r="J301" s="323"/>
      <c r="K301" s="323">
        <f t="shared" si="191"/>
        <v>258595.10325000001</v>
      </c>
      <c r="L301" s="323"/>
      <c r="M301" s="323">
        <f t="shared" si="191"/>
        <v>258595.10325000001</v>
      </c>
      <c r="N301" s="357"/>
      <c r="O301" s="357"/>
      <c r="P301" s="357"/>
      <c r="Q301" s="291"/>
      <c r="R301" s="291"/>
      <c r="S301" s="291"/>
      <c r="T301" s="291"/>
      <c r="U301" s="291"/>
      <c r="V301" s="291"/>
      <c r="W301" s="291"/>
      <c r="X301" s="291"/>
      <c r="Y301" s="291"/>
      <c r="Z301" s="291"/>
      <c r="AA301" s="291"/>
      <c r="AB301" s="291"/>
      <c r="AC301" s="291"/>
      <c r="AD301" s="291"/>
      <c r="AE301" s="291"/>
      <c r="AF301" s="291"/>
      <c r="AG301" s="291"/>
      <c r="AH301" s="291"/>
      <c r="AI301" s="291"/>
      <c r="AJ301" s="291"/>
      <c r="AK301" s="291"/>
      <c r="AL301" s="291"/>
      <c r="AM301" s="291"/>
      <c r="AN301" s="291"/>
      <c r="AO301" s="291"/>
      <c r="AP301" s="291"/>
      <c r="AQ301" s="291"/>
      <c r="AR301" s="291"/>
      <c r="AS301" s="291"/>
      <c r="AT301" s="291"/>
      <c r="AU301" s="291"/>
      <c r="AV301" s="291"/>
      <c r="AW301" s="291"/>
      <c r="AX301" s="291"/>
      <c r="AY301" s="291"/>
      <c r="AZ301" s="291"/>
      <c r="BA301" s="291"/>
      <c r="BB301" s="291"/>
      <c r="BC301" s="291"/>
      <c r="BD301" s="291"/>
      <c r="BE301" s="291"/>
      <c r="BF301" s="291"/>
      <c r="BG301" s="291"/>
      <c r="BH301" s="291"/>
      <c r="BI301" s="291"/>
      <c r="BJ301" s="291"/>
      <c r="BK301" s="291"/>
      <c r="BL301" s="291"/>
      <c r="BM301" s="291"/>
      <c r="BN301" s="182"/>
    </row>
    <row r="302" spans="1:69" ht="14.25" hidden="1" customHeight="1" x14ac:dyDescent="0.3">
      <c r="A302" s="48"/>
      <c r="B302" s="944"/>
      <c r="C302" s="183"/>
      <c r="D302" s="185" t="s">
        <v>812</v>
      </c>
      <c r="E302" s="323">
        <f>0.3*0.0075*103153841</f>
        <v>232096.14224999998</v>
      </c>
      <c r="F302" s="323"/>
      <c r="G302" s="323">
        <f>0.3*0.0075*95820950.7057086</f>
        <v>215597.13908784432</v>
      </c>
      <c r="H302" s="323"/>
      <c r="I302" s="323">
        <f>0.3*0.0075*104297118.151713</f>
        <v>234668.51584135424</v>
      </c>
      <c r="J302" s="323"/>
      <c r="K302" s="323">
        <f>104837359.860873*0.3*0.0075</f>
        <v>235884.05968696423</v>
      </c>
      <c r="L302" s="323"/>
      <c r="M302" s="323">
        <f>93857060.2947535*0.3*0.0075</f>
        <v>211178.38566319537</v>
      </c>
      <c r="N302" s="357"/>
      <c r="O302" s="357"/>
      <c r="P302" s="357"/>
      <c r="Q302" s="291"/>
      <c r="R302" s="291"/>
      <c r="S302" s="291"/>
      <c r="T302" s="291"/>
      <c r="U302" s="291"/>
      <c r="V302" s="291"/>
      <c r="W302" s="291"/>
      <c r="X302" s="291"/>
      <c r="Y302" s="291"/>
      <c r="Z302" s="291"/>
      <c r="AA302" s="291"/>
      <c r="AB302" s="291"/>
      <c r="AC302" s="291"/>
      <c r="AD302" s="291"/>
      <c r="AE302" s="291"/>
      <c r="AF302" s="291"/>
      <c r="AG302" s="291"/>
      <c r="AH302" s="291"/>
      <c r="AI302" s="291"/>
      <c r="AJ302" s="291"/>
      <c r="AK302" s="291"/>
      <c r="AL302" s="291"/>
      <c r="AM302" s="291"/>
      <c r="AN302" s="291"/>
      <c r="AO302" s="291"/>
      <c r="AP302" s="291"/>
      <c r="AQ302" s="291"/>
      <c r="AR302" s="291"/>
      <c r="AS302" s="291"/>
      <c r="AT302" s="291"/>
      <c r="AU302" s="291"/>
      <c r="AV302" s="291"/>
      <c r="AW302" s="291"/>
      <c r="AX302" s="291"/>
      <c r="AY302" s="291"/>
      <c r="AZ302" s="291"/>
      <c r="BA302" s="291"/>
      <c r="BB302" s="291"/>
      <c r="BC302" s="291"/>
      <c r="BD302" s="291"/>
      <c r="BE302" s="291"/>
      <c r="BF302" s="291"/>
      <c r="BG302" s="291"/>
      <c r="BH302" s="291"/>
      <c r="BI302" s="291"/>
      <c r="BJ302" s="291"/>
      <c r="BK302" s="291"/>
      <c r="BL302" s="291"/>
      <c r="BM302" s="291"/>
      <c r="BN302" s="182"/>
    </row>
    <row r="303" spans="1:69" ht="14.25" customHeight="1" x14ac:dyDescent="0.3">
      <c r="A303" s="92"/>
      <c r="B303" s="944"/>
      <c r="C303" s="183"/>
      <c r="D303" s="184" t="s">
        <v>797</v>
      </c>
      <c r="E303" s="180"/>
      <c r="F303" s="180"/>
      <c r="G303" s="180"/>
      <c r="H303" s="180"/>
      <c r="I303" s="180"/>
      <c r="J303" s="180"/>
      <c r="K303" s="181"/>
      <c r="L303" s="181"/>
      <c r="M303" s="181"/>
      <c r="N303" s="181"/>
      <c r="O303" s="181"/>
      <c r="P303" s="181"/>
      <c r="Q303" s="185"/>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c r="AX303" s="185"/>
      <c r="AY303" s="185"/>
      <c r="AZ303" s="185"/>
      <c r="BA303" s="185"/>
      <c r="BB303" s="185"/>
      <c r="BC303" s="185"/>
      <c r="BD303" s="185"/>
      <c r="BE303" s="185"/>
      <c r="BF303" s="185"/>
      <c r="BG303" s="185"/>
      <c r="BH303" s="185"/>
      <c r="BI303" s="185"/>
      <c r="BJ303" s="185"/>
      <c r="BK303" s="185"/>
      <c r="BL303" s="185"/>
      <c r="BM303" s="185"/>
      <c r="BN303" s="182"/>
    </row>
    <row r="304" spans="1:69" ht="14.25" customHeight="1" x14ac:dyDescent="0.3">
      <c r="A304" s="48"/>
      <c r="B304" s="944"/>
      <c r="C304" s="183"/>
      <c r="D304" s="185" t="s">
        <v>813</v>
      </c>
      <c r="E304" s="323">
        <f>E300*298*44/28/1000000000</f>
        <v>0.16687863096618216</v>
      </c>
      <c r="F304" s="323"/>
      <c r="G304" s="323">
        <f t="shared" ref="G304:M304" si="192">G300*298*44/28/1000000000</f>
        <v>0.18296942021703322</v>
      </c>
      <c r="H304" s="323"/>
      <c r="I304" s="323">
        <f t="shared" si="192"/>
        <v>0.19801275721153702</v>
      </c>
      <c r="J304" s="323"/>
      <c r="K304" s="323">
        <f t="shared" si="192"/>
        <v>0.17530811295804594</v>
      </c>
      <c r="L304" s="323"/>
      <c r="M304" s="323">
        <f t="shared" si="192"/>
        <v>0.18721940855699465</v>
      </c>
      <c r="N304" s="625">
        <f>M304*(1+Driver_macroeconómicos_Agricult!E$8)</f>
        <v>0.18990921946360351</v>
      </c>
      <c r="O304" s="625">
        <f>N304*(1+Driver_macroeconómicos_Agricult!F$8)</f>
        <v>0.19257790366727262</v>
      </c>
      <c r="P304" s="625">
        <f>O304*(1+Driver_macroeconómicos_Agricult!G$8)</f>
        <v>0.19522433939616451</v>
      </c>
      <c r="Q304" s="625">
        <f>P304*(1+Driver_macroeconómicos_Agricult!H$8)</f>
        <v>0.19784879059659385</v>
      </c>
      <c r="R304" s="625">
        <f>Q304*(1+Driver_macroeconómicos_Agricult!I$8)</f>
        <v>0.2004508613490886</v>
      </c>
      <c r="S304" s="625">
        <f>R304*(1+Driver_macroeconómicos_Agricult!J$8)</f>
        <v>0.20302900096904983</v>
      </c>
      <c r="T304" s="625">
        <f>S304*(1+Driver_macroeconómicos_Agricult!K$8)</f>
        <v>0.20558272555490059</v>
      </c>
      <c r="U304" s="625">
        <f>T304*(1+Driver_macroeconómicos_Agricult!L$8)</f>
        <v>0.20810917568823153</v>
      </c>
      <c r="V304" s="625">
        <f>U304*(1+Driver_macroeconómicos_Agricult!M$8)</f>
        <v>0.21060739456365185</v>
      </c>
      <c r="W304" s="625">
        <f>V304*(1+Driver_macroeconómicos_Agricult!N$8)</f>
        <v>0.21307558954577413</v>
      </c>
      <c r="X304" s="625">
        <f>W304*(1+Driver_macroeconómicos_Agricult!O$8)</f>
        <v>0.21551340870617883</v>
      </c>
      <c r="Y304" s="625">
        <f>X304*(1+Driver_macroeconómicos_Agricult!P$8)</f>
        <v>0.21791811360185079</v>
      </c>
      <c r="Z304" s="625">
        <f>Y304*(1+Driver_macroeconómicos_Agricult!Q$8)</f>
        <v>0.22028841749450581</v>
      </c>
      <c r="AA304" s="625">
        <f>Z304*(1+Driver_macroeconómicos_Agricult!R$8)</f>
        <v>0.22262265972191386</v>
      </c>
      <c r="AB304" s="625">
        <f>AA304*(1+Driver_macroeconómicos_Agricult!S$8)</f>
        <v>0.22491891567553021</v>
      </c>
      <c r="AC304" s="625">
        <f>AB304*(1+Driver_macroeconómicos_Agricult!T$8)</f>
        <v>0.2271762395477272</v>
      </c>
      <c r="AD304" s="625">
        <f>AC304*(1+Driver_macroeconómicos_Agricult!U$8)</f>
        <v>0.22939298167403785</v>
      </c>
      <c r="AE304" s="625">
        <f>AD304*(1+Driver_macroeconómicos_Agricult!V$8)</f>
        <v>0.23156817425130824</v>
      </c>
      <c r="AF304" s="625">
        <f>AE304*(1+Driver_macroeconómicos_Agricult!W$8)</f>
        <v>0.23369995865757232</v>
      </c>
      <c r="AG304" s="625">
        <f>AF304*(1+Driver_macroeconómicos_Agricult!X$8)</f>
        <v>0.2357875980427015</v>
      </c>
      <c r="AH304" s="625">
        <f>AG304*(1+Driver_macroeconómicos_Agricult!Y$8)</f>
        <v>0.23782971768630667</v>
      </c>
      <c r="AI304" s="625">
        <f>AH304*(1+Driver_macroeconómicos_Agricult!Z$8)</f>
        <v>0.23982536078299704</v>
      </c>
      <c r="AJ304" s="625">
        <f>AI304*(1+Driver_macroeconómicos_Agricult!AA$8)</f>
        <v>0.241774274384221</v>
      </c>
      <c r="AK304" s="625">
        <f>AJ304*(1+Driver_macroeconómicos_Agricult!AB$8)</f>
        <v>0.24367578762642869</v>
      </c>
      <c r="AL304" s="625">
        <f>AK304*(1+Driver_macroeconómicos_Agricult!AC$8)</f>
        <v>0.245528723748967</v>
      </c>
      <c r="AM304" s="625">
        <f>AL304*(1+Driver_macroeconómicos_Agricult!AD$8)</f>
        <v>0.24733284080104748</v>
      </c>
      <c r="AN304" s="625">
        <f>AM304*(1+Driver_macroeconómicos_Agricult!AE$8)</f>
        <v>0.24908696202201708</v>
      </c>
      <c r="AO304" s="625">
        <f>AN304*(1+Driver_macroeconómicos_Agricult!AF$8)</f>
        <v>0.25079079047227171</v>
      </c>
      <c r="AP304" s="625">
        <f>AO304*(1+Driver_macroeconómicos_Agricult!AG$8)</f>
        <v>0.25244460109588923</v>
      </c>
      <c r="AQ304" s="625">
        <f>AP304*(1+Driver_macroeconómicos_Agricult!AH$8)</f>
        <v>0.25404697518142805</v>
      </c>
      <c r="AR304" s="625">
        <f>AQ304*(1+Driver_macroeconómicos_Agricult!AI$8)</f>
        <v>0.25559834164164957</v>
      </c>
      <c r="AS304" s="625">
        <f>AR304*(1+Driver_macroeconómicos_Agricult!AJ$8)</f>
        <v>0.25709923936694634</v>
      </c>
      <c r="AT304" s="625">
        <f>AS304*(1+Driver_macroeconómicos_Agricult!AK$8)</f>
        <v>0.25854865619021472</v>
      </c>
      <c r="AU304" s="625">
        <f>AT304*(1+Driver_macroeconómicos_Agricult!AL$8)</f>
        <v>0.25994560998298311</v>
      </c>
      <c r="AV304" s="625">
        <f>AU304*(1+Driver_macroeconómicos_Agricult!AM$8)</f>
        <v>0.26128914976015211</v>
      </c>
      <c r="AW304" s="625">
        <f>AV304*(1+Driver_macroeconómicos_Agricult!AN$8)</f>
        <v>0.26257835675496277</v>
      </c>
      <c r="AX304" s="625">
        <f>AW304*(1+Driver_macroeconómicos_Agricult!AO$8)</f>
        <v>0.26381234546249799</v>
      </c>
      <c r="AY304" s="625">
        <f>AX304*(1+Driver_macroeconómicos_Agricult!AP$8)</f>
        <v>0.26499026465006437</v>
      </c>
      <c r="AZ304" s="625">
        <f>AY304*(1+Driver_macroeconómicos_Agricult!AQ$8)</f>
        <v>0.26611129833284641</v>
      </c>
      <c r="BA304" s="625">
        <f>AZ304*(1+Driver_macroeconómicos_Agricult!AR$8)</f>
        <v>0.26717466671327161</v>
      </c>
      <c r="BB304" s="625">
        <f>BA304*(1+Driver_macroeconómicos_Agricult!AS$8)</f>
        <v>0.26817962708257792</v>
      </c>
      <c r="BC304" s="625">
        <f>BB304*(1+Driver_macroeconómicos_Agricult!AT$8)</f>
        <v>0.26912547468312825</v>
      </c>
      <c r="BD304" s="625">
        <f>BC304*(1+Driver_macroeconómicos_Agricult!AU$8)</f>
        <v>0.27001154353007395</v>
      </c>
      <c r="BE304" s="625">
        <f>BD304*(1+Driver_macroeconómicos_Agricult!AV$8)</f>
        <v>0.27083720719103033</v>
      </c>
      <c r="BF304" s="625">
        <f>BE304*(1+Driver_macroeconómicos_Agricult!AW$8)</f>
        <v>0.2716018795224881</v>
      </c>
      <c r="BG304" s="625">
        <f>BF304*(1+Driver_macroeconómicos_Agricult!AX$8)</f>
        <v>0.27230501536175333</v>
      </c>
      <c r="BH304" s="625">
        <f>BG304*(1+Driver_macroeconómicos_Agricult!AY$8)</f>
        <v>0.27294611117327372</v>
      </c>
      <c r="BI304" s="625">
        <f>BH304*(1+Driver_macroeconómicos_Agricult!AZ$8)</f>
        <v>0.27352470564828146</v>
      </c>
      <c r="BJ304" s="625">
        <f>BI304*(1+Driver_macroeconómicos_Agricult!BA$8)</f>
        <v>0.27404038025675526</v>
      </c>
      <c r="BK304" s="625">
        <f>BJ304*(1+Driver_macroeconómicos_Agricult!BB$8)</f>
        <v>0.27449275975077847</v>
      </c>
      <c r="BL304" s="625">
        <f>BK304*(1+Driver_macroeconómicos_Agricult!BC$8)</f>
        <v>0.27488151261844868</v>
      </c>
      <c r="BM304" s="625">
        <f>BL304*(1+Driver_macroeconómicos_Agricult!BD$8)</f>
        <v>0.27520635148757155</v>
      </c>
      <c r="BN304" s="182"/>
    </row>
    <row r="305" spans="1:69" ht="14.25" customHeight="1" x14ac:dyDescent="0.3">
      <c r="A305" s="48"/>
      <c r="B305" s="944"/>
      <c r="C305" s="183"/>
      <c r="D305" s="185" t="s">
        <v>814</v>
      </c>
      <c r="E305" s="323">
        <f>E301*298*44/28/1000000000</f>
        <v>0.12109639263621429</v>
      </c>
      <c r="F305" s="323"/>
      <c r="G305" s="323">
        <f>G301*298*44/28/1000000000</f>
        <v>0.12109639263621429</v>
      </c>
      <c r="H305" s="323"/>
      <c r="I305" s="323">
        <f>I301*298*44/28/1000000000</f>
        <v>0.12109639263621429</v>
      </c>
      <c r="J305" s="323"/>
      <c r="K305" s="323">
        <f>K301*298*44/28/1000000000</f>
        <v>0.12109639263621429</v>
      </c>
      <c r="L305" s="323"/>
      <c r="M305" s="323">
        <f>M301*298*44/28/1000000000</f>
        <v>0.12109639263621429</v>
      </c>
      <c r="N305" s="625">
        <f>M305*(1+Driver_macroeconómicos_Agricult!E$8)</f>
        <v>0.12283620369626642</v>
      </c>
      <c r="O305" s="625">
        <f>N305*(1+Driver_macroeconómicos_Agricult!F$8)</f>
        <v>0.12456234967995698</v>
      </c>
      <c r="P305" s="625">
        <f>O305*(1+Driver_macroeconómicos_Agricult!G$8)</f>
        <v>0.12627410500801015</v>
      </c>
      <c r="Q305" s="625">
        <f>P305*(1+Driver_macroeconómicos_Agricult!H$8)</f>
        <v>0.1279716404049614</v>
      </c>
      <c r="R305" s="625">
        <f>Q305*(1+Driver_macroeconómicos_Agricult!I$8)</f>
        <v>0.12965469978400751</v>
      </c>
      <c r="S305" s="625">
        <f>R305*(1+Driver_macroeconómicos_Agricult!J$8)</f>
        <v>0.13132228013850245</v>
      </c>
      <c r="T305" s="625">
        <f>S305*(1+Driver_macroeconómicos_Agricult!K$8)</f>
        <v>0.13297406847346449</v>
      </c>
      <c r="U305" s="625">
        <f>T305*(1+Driver_macroeconómicos_Agricult!L$8)</f>
        <v>0.1346082152730925</v>
      </c>
      <c r="V305" s="625">
        <f>U305*(1+Driver_macroeconómicos_Agricult!M$8)</f>
        <v>0.13622410166094531</v>
      </c>
      <c r="W305" s="625">
        <f>V305*(1+Driver_macroeconómicos_Agricult!N$8)</f>
        <v>0.13782056813288604</v>
      </c>
      <c r="X305" s="625">
        <f>W305*(1+Driver_macroeconómicos_Agricult!O$8)</f>
        <v>0.13939738705620072</v>
      </c>
      <c r="Y305" s="625">
        <f>X305*(1+Driver_macroeconómicos_Agricult!P$8)</f>
        <v>0.14095278716383364</v>
      </c>
      <c r="Z305" s="625">
        <f>Y305*(1+Driver_macroeconómicos_Agricult!Q$8)</f>
        <v>0.14248593617367425</v>
      </c>
      <c r="AA305" s="625">
        <f>Z305*(1+Driver_macroeconómicos_Agricult!R$8)</f>
        <v>0.14399575994385341</v>
      </c>
      <c r="AB305" s="625">
        <f>AA305*(1+Driver_macroeconómicos_Agricult!S$8)</f>
        <v>0.14548101360796656</v>
      </c>
      <c r="AC305" s="625">
        <f>AB305*(1+Driver_macroeconómicos_Agricult!T$8)</f>
        <v>0.14694108540309483</v>
      </c>
      <c r="AD305" s="625">
        <f>AC305*(1+Driver_macroeconómicos_Agricult!U$8)</f>
        <v>0.14837490830089142</v>
      </c>
      <c r="AE305" s="625">
        <f>AD305*(1+Driver_macroeconómicos_Agricult!V$8)</f>
        <v>0.14978185631139285</v>
      </c>
      <c r="AF305" s="625">
        <f>AE305*(1+Driver_macroeconómicos_Agricult!W$8)</f>
        <v>0.15116072724932836</v>
      </c>
      <c r="AG305" s="625">
        <f>AF305*(1+Driver_macroeconómicos_Agricult!X$8)</f>
        <v>0.15251104450870304</v>
      </c>
      <c r="AH305" s="625">
        <f>AG305*(1+Driver_macroeconómicos_Agricult!Y$8)</f>
        <v>0.15383191889922787</v>
      </c>
      <c r="AI305" s="625">
        <f>AH305*(1+Driver_macroeconómicos_Agricult!Z$8)</f>
        <v>0.15512273154446171</v>
      </c>
      <c r="AJ305" s="625">
        <f>AI305*(1+Driver_macroeconómicos_Agricult!AA$8)</f>
        <v>0.15638331883339138</v>
      </c>
      <c r="AK305" s="625">
        <f>AJ305*(1+Driver_macroeconómicos_Agricult!AB$8)</f>
        <v>0.15761324684115582</v>
      </c>
      <c r="AL305" s="625">
        <f>AK305*(1+Driver_macroeconómicos_Agricult!AC$8)</f>
        <v>0.15881175442086765</v>
      </c>
      <c r="AM305" s="625">
        <f>AL305*(1+Driver_macroeconómicos_Agricult!AD$8)</f>
        <v>0.15997868507503601</v>
      </c>
      <c r="AN305" s="625">
        <f>AM305*(1+Driver_macroeconómicos_Agricult!AE$8)</f>
        <v>0.16111327765677352</v>
      </c>
      <c r="AO305" s="625">
        <f>AN305*(1+Driver_macroeconómicos_Agricult!AF$8)</f>
        <v>0.16221534010097774</v>
      </c>
      <c r="AP305" s="625">
        <f>AO305*(1+Driver_macroeconómicos_Agricult!AG$8)</f>
        <v>0.16328505024570647</v>
      </c>
      <c r="AQ305" s="625">
        <f>AP305*(1+Driver_macroeconómicos_Agricult!AH$8)</f>
        <v>0.16432149044658143</v>
      </c>
      <c r="AR305" s="625">
        <f>AQ305*(1+Driver_macroeconómicos_Agricult!AI$8)</f>
        <v>0.16532493813097279</v>
      </c>
      <c r="AS305" s="625">
        <f>AR305*(1+Driver_macroeconómicos_Agricult!AJ$8)</f>
        <v>0.16629574186147389</v>
      </c>
      <c r="AT305" s="625">
        <f>AS305*(1+Driver_macroeconómicos_Agricult!AK$8)</f>
        <v>0.16723324695283631</v>
      </c>
      <c r="AU305" s="625">
        <f>AT305*(1+Driver_macroeconómicos_Agricult!AL$8)</f>
        <v>0.16813681814926079</v>
      </c>
      <c r="AV305" s="625">
        <f>AU305*(1+Driver_macroeconómicos_Agricult!AM$8)</f>
        <v>0.16900584033896021</v>
      </c>
      <c r="AW305" s="625">
        <f>AV305*(1+Driver_macroeconómicos_Agricult!AN$8)</f>
        <v>0.16983971924946548</v>
      </c>
      <c r="AX305" s="625">
        <f>AW305*(1+Driver_macroeconómicos_Agricult!AO$8)</f>
        <v>0.1706378821225783</v>
      </c>
      <c r="AY305" s="625">
        <f>AX305*(1+Driver_macroeconómicos_Agricult!AP$8)</f>
        <v>0.17139977836790185</v>
      </c>
      <c r="AZ305" s="625">
        <f>AY305*(1+Driver_macroeconómicos_Agricult!AQ$8)</f>
        <v>0.1721248801939087</v>
      </c>
      <c r="BA305" s="625">
        <f>AZ305*(1+Driver_macroeconómicos_Agricult!AR$8)</f>
        <v>0.17281268321553669</v>
      </c>
      <c r="BB305" s="625">
        <f>BA305*(1+Driver_macroeconómicos_Agricult!AS$8)</f>
        <v>0.17346270703733668</v>
      </c>
      <c r="BC305" s="625">
        <f>BB305*(1+Driver_macroeconómicos_Agricult!AT$8)</f>
        <v>0.17407449581123077</v>
      </c>
      <c r="BD305" s="625">
        <f>BC305*(1+Driver_macroeconómicos_Agricult!AU$8)</f>
        <v>0.17464761876797696</v>
      </c>
      <c r="BE305" s="625">
        <f>BD305*(1+Driver_macroeconómicos_Agricult!AV$8)</f>
        <v>0.17518167072147509</v>
      </c>
      <c r="BF305" s="625">
        <f>BE305*(1+Driver_macroeconómicos_Agricult!AW$8)</f>
        <v>0.17567627254508927</v>
      </c>
      <c r="BG305" s="625">
        <f>BF305*(1+Driver_macroeconómicos_Agricult!AX$8)</f>
        <v>0.17613107161920524</v>
      </c>
      <c r="BH305" s="625">
        <f>BG305*(1+Driver_macroeconómicos_Agricult!AY$8)</f>
        <v>0.17654574224928402</v>
      </c>
      <c r="BI305" s="625">
        <f>BH305*(1+Driver_macroeconómicos_Agricult!AZ$8)</f>
        <v>0.17691998605372031</v>
      </c>
      <c r="BJ305" s="625">
        <f>BI305*(1+Driver_macroeconómicos_Agricult!BA$8)</f>
        <v>0.17725353232085989</v>
      </c>
      <c r="BK305" s="625">
        <f>BJ305*(1+Driver_macroeconómicos_Agricult!BB$8)</f>
        <v>0.1775461383345795</v>
      </c>
      <c r="BL305" s="625">
        <f>BK305*(1+Driver_macroeconómicos_Agricult!BC$8)</f>
        <v>0.17779758966788245</v>
      </c>
      <c r="BM305" s="625">
        <f>BL305*(1+Driver_macroeconómicos_Agricult!BD$8)</f>
        <v>0.17800770044401404</v>
      </c>
      <c r="BN305" s="182"/>
    </row>
    <row r="306" spans="1:69" ht="14.25" customHeight="1" x14ac:dyDescent="0.3">
      <c r="A306" s="48"/>
      <c r="B306" s="944"/>
      <c r="C306" s="183"/>
      <c r="D306" s="185" t="s">
        <v>815</v>
      </c>
      <c r="E306" s="323">
        <f>44/28*E262</f>
        <v>0.26795442744469211</v>
      </c>
      <c r="F306" s="323"/>
      <c r="G306" s="323">
        <f t="shared" ref="G306:M306" si="193">44/28*G262</f>
        <v>0.26144512055798819</v>
      </c>
      <c r="H306" s="323"/>
      <c r="I306" s="323">
        <f t="shared" si="193"/>
        <v>0.23046413206291688</v>
      </c>
      <c r="J306" s="323"/>
      <c r="K306" s="323">
        <f t="shared" si="193"/>
        <v>0.20296660120501772</v>
      </c>
      <c r="L306" s="323"/>
      <c r="M306" s="323">
        <f t="shared" si="193"/>
        <v>0.19380520368727785</v>
      </c>
      <c r="N306" s="625">
        <f>M306*(1+Driver_macroeconómicos_Agricult!E$8)</f>
        <v>0.19658963375600599</v>
      </c>
      <c r="O306" s="625">
        <f>N306*(1+Driver_macroeconómicos_Agricult!F$8)</f>
        <v>0.19935219395024817</v>
      </c>
      <c r="P306" s="625">
        <f>O306*(1+Driver_macroeconómicos_Agricult!G$8)</f>
        <v>0.20209172303773082</v>
      </c>
      <c r="Q306" s="625">
        <f>P306*(1+Driver_macroeconómicos_Agricult!H$8)</f>
        <v>0.20480849424957709</v>
      </c>
      <c r="R306" s="625">
        <f>Q306*(1+Driver_macroeconómicos_Agricult!I$8)</f>
        <v>0.20750209773910225</v>
      </c>
      <c r="S306" s="625">
        <f>R306*(1+Driver_macroeconómicos_Agricult!J$8)</f>
        <v>0.21017092827345743</v>
      </c>
      <c r="T306" s="625">
        <f>S306*(1+Driver_macroeconómicos_Agricult!K$8)</f>
        <v>0.21281448492891683</v>
      </c>
      <c r="U306" s="625">
        <f>T306*(1+Driver_macroeconómicos_Agricult!L$8)</f>
        <v>0.21542980770164577</v>
      </c>
      <c r="V306" s="625">
        <f>U306*(1+Driver_macroeconómicos_Agricult!M$8)</f>
        <v>0.21801590612882268</v>
      </c>
      <c r="W306" s="625">
        <f>V306*(1+Driver_macroeconómicos_Agricult!N$8)</f>
        <v>0.22057092451573584</v>
      </c>
      <c r="X306" s="625">
        <f>W306*(1+Driver_macroeconómicos_Agricult!O$8)</f>
        <v>0.223094498554221</v>
      </c>
      <c r="Y306" s="625">
        <f>X306*(1+Driver_macroeconómicos_Agricult!P$8)</f>
        <v>0.22558379347137497</v>
      </c>
      <c r="Z306" s="625">
        <f>Y306*(1+Driver_macroeconómicos_Agricult!Q$8)</f>
        <v>0.22803747726547213</v>
      </c>
      <c r="AA306" s="625">
        <f>Z306*(1+Driver_macroeconómicos_Agricult!R$8)</f>
        <v>0.23045383085736237</v>
      </c>
      <c r="AB306" s="625">
        <f>AA306*(1+Driver_macroeconómicos_Agricult!S$8)</f>
        <v>0.23283086193677241</v>
      </c>
      <c r="AC306" s="625">
        <f>AB306*(1+Driver_macroeconómicos_Agricult!T$8)</f>
        <v>0.2351675914255108</v>
      </c>
      <c r="AD306" s="625">
        <f>AC306*(1+Driver_macroeconómicos_Agricult!U$8)</f>
        <v>0.23746231162905754</v>
      </c>
      <c r="AE306" s="625">
        <f>AD306*(1+Driver_macroeconómicos_Agricult!V$8)</f>
        <v>0.23971402069996089</v>
      </c>
      <c r="AF306" s="625">
        <f>AE306*(1+Driver_macroeconómicos_Agricult!W$8)</f>
        <v>0.24192079463572833</v>
      </c>
      <c r="AG306" s="625">
        <f>AF306*(1+Driver_macroeconómicos_Agricult!X$8)</f>
        <v>0.24408187066614093</v>
      </c>
      <c r="AH306" s="625">
        <f>AG306*(1+Driver_macroeconómicos_Agricult!Y$8)</f>
        <v>0.24619582571243204</v>
      </c>
      <c r="AI306" s="625">
        <f>AH306*(1+Driver_macroeconómicos_Agricult!Z$8)</f>
        <v>0.24826166931178004</v>
      </c>
      <c r="AJ306" s="625">
        <f>AI306*(1+Driver_macroeconómicos_Agricult!AA$8)</f>
        <v>0.25027913961769188</v>
      </c>
      <c r="AK306" s="625">
        <f>AJ306*(1+Driver_macroeconómicos_Agricult!AB$8)</f>
        <v>0.25224754216772949</v>
      </c>
      <c r="AL306" s="625">
        <f>AK306*(1+Driver_macroeconómicos_Agricult!AC$8)</f>
        <v>0.25416565880646852</v>
      </c>
      <c r="AM306" s="625">
        <f>AL306*(1+Driver_macroeconómicos_Agricult!AD$8)</f>
        <v>0.25603323907204611</v>
      </c>
      <c r="AN306" s="625">
        <f>AM306*(1+Driver_macroeconómicos_Agricult!AE$8)</f>
        <v>0.25784906480903796</v>
      </c>
      <c r="AO306" s="625">
        <f>AN306*(1+Driver_macroeconómicos_Agricult!AF$8)</f>
        <v>0.25961282863243057</v>
      </c>
      <c r="AP306" s="625">
        <f>AO306*(1+Driver_macroeconómicos_Agricult!AG$8)</f>
        <v>0.26132481515797717</v>
      </c>
      <c r="AQ306" s="625">
        <f>AP306*(1+Driver_macroeconómicos_Agricult!AH$8)</f>
        <v>0.26298355576839055</v>
      </c>
      <c r="AR306" s="625">
        <f>AQ306*(1+Driver_macroeconómicos_Agricult!AI$8)</f>
        <v>0.26458949446424596</v>
      </c>
      <c r="AS306" s="625">
        <f>AR306*(1+Driver_macroeconómicos_Agricult!AJ$8)</f>
        <v>0.26614318909241996</v>
      </c>
      <c r="AT306" s="625">
        <f>AS306*(1+Driver_macroeconómicos_Agricult!AK$8)</f>
        <v>0.26764359188092562</v>
      </c>
      <c r="AU306" s="625">
        <f>AT306*(1+Driver_macroeconómicos_Agricult!AL$8)</f>
        <v>0.26908968615307355</v>
      </c>
      <c r="AV306" s="625">
        <f>AU306*(1+Driver_macroeconómicos_Agricult!AM$8)</f>
        <v>0.27048048747107328</v>
      </c>
      <c r="AW306" s="625">
        <f>AV306*(1+Driver_macroeconómicos_Agricult!AN$8)</f>
        <v>0.27181504474881557</v>
      </c>
      <c r="AX306" s="625">
        <f>AW306*(1+Driver_macroeconómicos_Agricult!AO$8)</f>
        <v>0.27309244133208088</v>
      </c>
      <c r="AY306" s="625">
        <f>AX306*(1+Driver_macroeconómicos_Agricult!AP$8)</f>
        <v>0.27431179604446349</v>
      </c>
      <c r="AZ306" s="625">
        <f>AY306*(1+Driver_macroeconómicos_Agricult!AQ$8)</f>
        <v>0.27547226419734594</v>
      </c>
      <c r="BA306" s="625">
        <f>AZ306*(1+Driver_macroeconómicos_Agricult!AR$8)</f>
        <v>0.27657303856230808</v>
      </c>
      <c r="BB306" s="625">
        <f>BA306*(1+Driver_macroeconómicos_Agricult!AS$8)</f>
        <v>0.27761335030440915</v>
      </c>
      <c r="BC306" s="625">
        <f>BB306*(1+Driver_macroeconómicos_Agricult!AT$8)</f>
        <v>0.27859246987483538</v>
      </c>
      <c r="BD306" s="625">
        <f>BC306*(1+Driver_macroeconómicos_Agricult!AU$8)</f>
        <v>0.27950970786146745</v>
      </c>
      <c r="BE306" s="625">
        <f>BD306*(1+Driver_macroeconómicos_Agricult!AV$8)</f>
        <v>0.28036441579598226</v>
      </c>
      <c r="BF306" s="625">
        <f>BE306*(1+Driver_macroeconómicos_Agricult!AW$8)</f>
        <v>0.28115598691616922</v>
      </c>
      <c r="BG306" s="625">
        <f>BF306*(1+Driver_macroeconómicos_Agricult!AX$8)</f>
        <v>0.2818838568822104</v>
      </c>
      <c r="BH306" s="625">
        <f>BG306*(1+Driver_macroeconómicos_Agricult!AY$8)</f>
        <v>0.2825475044457425</v>
      </c>
      <c r="BI306" s="625">
        <f>BH306*(1+Driver_macroeconómicos_Agricult!AZ$8)</f>
        <v>0.28314645207059347</v>
      </c>
      <c r="BJ306" s="625">
        <f>BI306*(1+Driver_macroeconómicos_Agricult!BA$8)</f>
        <v>0.28368026650416056</v>
      </c>
      <c r="BK306" s="625">
        <f>BJ306*(1+Driver_macroeconómicos_Agricult!BB$8)</f>
        <v>0.28414855929847532</v>
      </c>
      <c r="BL306" s="625">
        <f>BK306*(1+Driver_macroeconómicos_Agricult!BC$8)</f>
        <v>0.2845509872800801</v>
      </c>
      <c r="BM306" s="625">
        <f>BL306*(1+Driver_macroeconómicos_Agricult!BD$8)</f>
        <v>0.28488725296792267</v>
      </c>
      <c r="BN306" s="182"/>
    </row>
    <row r="307" spans="1:69" ht="14.25" customHeight="1" x14ac:dyDescent="0.3">
      <c r="A307" s="48"/>
      <c r="B307" s="944"/>
      <c r="C307" s="183"/>
      <c r="D307" s="185" t="s">
        <v>812</v>
      </c>
      <c r="E307" s="323">
        <f t="shared" ref="E307:K307" si="194">E302*298*44/28/1000000000</f>
        <v>0.10868730775649998</v>
      </c>
      <c r="F307" s="323"/>
      <c r="G307" s="323">
        <f t="shared" si="194"/>
        <v>0.10096106027570767</v>
      </c>
      <c r="H307" s="323"/>
      <c r="I307" s="323">
        <f t="shared" si="194"/>
        <v>0.10989191356113703</v>
      </c>
      <c r="J307" s="323"/>
      <c r="K307" s="323">
        <f t="shared" si="194"/>
        <v>0.11046113537912412</v>
      </c>
      <c r="L307" s="323"/>
      <c r="M307" s="323">
        <f>M302*298*44/28/1000000000</f>
        <v>9.8891821171993494E-2</v>
      </c>
      <c r="N307" s="625">
        <f>M307*(1+Driver_macroeconómicos_Agricult!E$8)</f>
        <v>0.10031261563562874</v>
      </c>
      <c r="O307" s="625">
        <f>N307*(1+Driver_macroeconómicos_Agricult!F$8)</f>
        <v>0.10172225068932259</v>
      </c>
      <c r="P307" s="625">
        <f>O307*(1+Driver_macroeconómicos_Agricult!G$8)</f>
        <v>0.10312013379803393</v>
      </c>
      <c r="Q307" s="625">
        <f>P307*(1+Driver_macroeconómicos_Agricult!H$8)</f>
        <v>0.10450640438177244</v>
      </c>
      <c r="R307" s="625">
        <f>Q307*(1+Driver_macroeconómicos_Agricult!I$8)</f>
        <v>0.1058808533105236</v>
      </c>
      <c r="S307" s="625">
        <f>R307*(1+Driver_macroeconómicos_Agricult!J$8)</f>
        <v>0.10724266149173053</v>
      </c>
      <c r="T307" s="625">
        <f>S307*(1+Driver_macroeconómicos_Agricult!K$8)</f>
        <v>0.10859157332204217</v>
      </c>
      <c r="U307" s="625">
        <f>T307*(1+Driver_macroeconómicos_Agricult!L$8)</f>
        <v>0.10992607841802031</v>
      </c>
      <c r="V307" s="625">
        <f>U307*(1+Driver_macroeconómicos_Agricult!M$8)</f>
        <v>0.11124567138212987</v>
      </c>
      <c r="W307" s="625">
        <f>V307*(1+Driver_macroeconómicos_Agricult!N$8)</f>
        <v>0.11254940532013846</v>
      </c>
      <c r="X307" s="625">
        <f>W307*(1+Driver_macroeconómicos_Agricult!O$8)</f>
        <v>0.11383709433869985</v>
      </c>
      <c r="Y307" s="625">
        <f>X307*(1+Driver_macroeconómicos_Agricult!P$8)</f>
        <v>0.11510729195521359</v>
      </c>
      <c r="Z307" s="625">
        <f>Y307*(1+Driver_macroeconómicos_Agricult!Q$8)</f>
        <v>0.11635931849713252</v>
      </c>
      <c r="AA307" s="625">
        <f>Z307*(1+Driver_macroeconómicos_Agricult!R$8)</f>
        <v>0.11759229678022906</v>
      </c>
      <c r="AB307" s="625">
        <f>AA307*(1+Driver_macroeconómicos_Agricult!S$8)</f>
        <v>0.11880521020026598</v>
      </c>
      <c r="AC307" s="625">
        <f>AB307*(1+Driver_macroeconómicos_Agricult!T$8)</f>
        <v>0.11999755916887528</v>
      </c>
      <c r="AD307" s="625">
        <f>AC307*(1+Driver_macroeconómicos_Agricult!U$8)</f>
        <v>0.12116847231099645</v>
      </c>
      <c r="AE307" s="625">
        <f>AD307*(1+Driver_macroeconómicos_Agricult!V$8)</f>
        <v>0.12231743841992733</v>
      </c>
      <c r="AF307" s="625">
        <f>AE307*(1+Driver_macroeconómicos_Agricult!W$8)</f>
        <v>0.12344347574643311</v>
      </c>
      <c r="AG307" s="625">
        <f>AF307*(1+Driver_macroeconómicos_Agricult!X$8)</f>
        <v>0.12454619507632009</v>
      </c>
      <c r="AH307" s="625">
        <f>AG307*(1+Driver_macroeconómicos_Agricult!Y$8)</f>
        <v>0.12562487026370453</v>
      </c>
      <c r="AI307" s="625">
        <f>AH307*(1+Driver_macroeconómicos_Agricult!Z$8)</f>
        <v>0.12667899591105133</v>
      </c>
      <c r="AJ307" s="625">
        <f>AI307*(1+Driver_macroeconómicos_Agricult!AA$8)</f>
        <v>0.12770843840751789</v>
      </c>
      <c r="AK307" s="625">
        <f>AJ307*(1+Driver_macroeconómicos_Agricult!AB$8)</f>
        <v>0.12871284339391295</v>
      </c>
      <c r="AL307" s="625">
        <f>AK307*(1+Driver_macroeconómicos_Agricult!AC$8)</f>
        <v>0.12969158928936003</v>
      </c>
      <c r="AM307" s="625">
        <f>AL307*(1+Driver_macroeconómicos_Agricult!AD$8)</f>
        <v>0.13064454829218358</v>
      </c>
      <c r="AN307" s="625">
        <f>AM307*(1+Driver_macroeconómicos_Agricult!AE$8)</f>
        <v>0.13157109882150711</v>
      </c>
      <c r="AO307" s="625">
        <f>AN307*(1+Driver_macroeconómicos_Agricult!AF$8)</f>
        <v>0.13247108402981977</v>
      </c>
      <c r="AP307" s="625">
        <f>AO307*(1+Driver_macroeconómicos_Agricult!AG$8)</f>
        <v>0.13334464914629829</v>
      </c>
      <c r="AQ307" s="625">
        <f>AP307*(1+Driver_macroeconómicos_Agricult!AH$8)</f>
        <v>0.13419104478839058</v>
      </c>
      <c r="AR307" s="625">
        <f>AQ307*(1+Driver_macroeconómicos_Agricult!AI$8)</f>
        <v>0.13501049751361244</v>
      </c>
      <c r="AS307" s="625">
        <f>AR307*(1+Driver_macroeconómicos_Agricult!AJ$8)</f>
        <v>0.13580329197115029</v>
      </c>
      <c r="AT307" s="625">
        <f>AS307*(1+Driver_macroeconómicos_Agricult!AK$8)</f>
        <v>0.13656889352066434</v>
      </c>
      <c r="AU307" s="625">
        <f>AT307*(1+Driver_macroeconómicos_Agricult!AL$8)</f>
        <v>0.13730678338862604</v>
      </c>
      <c r="AV307" s="625">
        <f>AU307*(1+Driver_macroeconómicos_Agricult!AM$8)</f>
        <v>0.1380164592518569</v>
      </c>
      <c r="AW307" s="625">
        <f>AV307*(1+Driver_macroeconómicos_Agricult!AN$8)</f>
        <v>0.13869743580534113</v>
      </c>
      <c r="AX307" s="625">
        <f>AW307*(1+Driver_macroeconómicos_Agricult!AO$8)</f>
        <v>0.13934924531341722</v>
      </c>
      <c r="AY307" s="625">
        <f>AX307*(1+Driver_macroeconómicos_Agricult!AP$8)</f>
        <v>0.13997143814347529</v>
      </c>
      <c r="AZ307" s="625">
        <f>AY307*(1+Driver_macroeconómicos_Agricult!AQ$8)</f>
        <v>0.1405635832813108</v>
      </c>
      <c r="BA307" s="625">
        <f>AZ307*(1+Driver_macroeconómicos_Agricult!AR$8)</f>
        <v>0.14112526882730989</v>
      </c>
      <c r="BB307" s="625">
        <f>BA307*(1+Driver_macroeconómicos_Agricult!AS$8)</f>
        <v>0.14165610247266949</v>
      </c>
      <c r="BC307" s="625">
        <f>BB307*(1+Driver_macroeconómicos_Agricult!AT$8)</f>
        <v>0.14215571195488355</v>
      </c>
      <c r="BD307" s="625">
        <f>BC307*(1+Driver_macroeconómicos_Agricult!AU$8)</f>
        <v>0.14262374549175671</v>
      </c>
      <c r="BE307" s="625">
        <f>BD307*(1+Driver_macroeconómicos_Agricult!AV$8)</f>
        <v>0.14305987219323946</v>
      </c>
      <c r="BF307" s="625">
        <f>BE307*(1+Driver_macroeconómicos_Agricult!AW$8)</f>
        <v>0.14346378245041067</v>
      </c>
      <c r="BG307" s="625">
        <f>BF307*(1+Driver_macroeconómicos_Agricult!AX$8)</f>
        <v>0.14383518830096953</v>
      </c>
      <c r="BH307" s="625">
        <f>BG307*(1+Driver_macroeconómicos_Agricult!AY$8)</f>
        <v>0.14417382377063392</v>
      </c>
      <c r="BI307" s="625">
        <f>BH307*(1+Driver_macroeconómicos_Agricult!AZ$8)</f>
        <v>0.14447944518987985</v>
      </c>
      <c r="BJ307" s="625">
        <f>BI307*(1+Driver_macroeconómicos_Agricult!BA$8)</f>
        <v>0.14475183148549514</v>
      </c>
      <c r="BK307" s="625">
        <f>BJ307*(1+Driver_macroeconómicos_Agricult!BB$8)</f>
        <v>0.14499078444646019</v>
      </c>
      <c r="BL307" s="625">
        <f>BK307*(1+Driver_macroeconómicos_Agricult!BC$8)</f>
        <v>0.14519612896370898</v>
      </c>
      <c r="BM307" s="625">
        <f>BL307*(1+Driver_macroeconómicos_Agricult!BD$8)</f>
        <v>0.1453677132433657</v>
      </c>
      <c r="BN307" s="182"/>
    </row>
    <row r="308" spans="1:69" s="359" customFormat="1" ht="14.25" customHeight="1" x14ac:dyDescent="0.3">
      <c r="A308" s="48"/>
      <c r="B308" s="49"/>
      <c r="C308" s="194"/>
      <c r="D308" s="179" t="s">
        <v>816</v>
      </c>
      <c r="E308" s="479">
        <f>E262+SUM(E304:E306)</f>
        <v>0.72644590487552896</v>
      </c>
      <c r="F308" s="479"/>
      <c r="G308" s="479">
        <f>G262+SUM(G304:G306)</f>
        <v>0.73188510103904636</v>
      </c>
      <c r="H308" s="479"/>
      <c r="I308" s="479">
        <f>I262+SUM(I304:I306)</f>
        <v>0.69623227504161533</v>
      </c>
      <c r="J308" s="479"/>
      <c r="K308" s="479">
        <f>K262+SUM(K304:K306)</f>
        <v>0.62853167120247111</v>
      </c>
      <c r="L308" s="479"/>
      <c r="M308" s="479">
        <f>M262+SUM(M304:M307)</f>
        <v>0.72434341021711168</v>
      </c>
      <c r="N308" s="479">
        <f t="shared" ref="N308:BM308" si="195">N262+SUM(N304:N307)</f>
        <v>0.74554914699221309</v>
      </c>
      <c r="O308" s="479">
        <f t="shared" si="195"/>
        <v>0.75182434927426178</v>
      </c>
      <c r="P308" s="479">
        <f t="shared" si="195"/>
        <v>0.75285615671418482</v>
      </c>
      <c r="Q308" s="479">
        <f t="shared" si="195"/>
        <v>0.7629769964125056</v>
      </c>
      <c r="R308" s="479">
        <f t="shared" si="195"/>
        <v>0.77301152895225345</v>
      </c>
      <c r="S308" s="479">
        <f t="shared" si="195"/>
        <v>0.78295377432882929</v>
      </c>
      <c r="T308" s="479">
        <f t="shared" si="195"/>
        <v>0.7928018664415073</v>
      </c>
      <c r="U308" s="479">
        <f t="shared" si="195"/>
        <v>0.80254477833145232</v>
      </c>
      <c r="V308" s="479">
        <f t="shared" si="195"/>
        <v>0.81217882020859311</v>
      </c>
      <c r="W308" s="479">
        <f t="shared" si="195"/>
        <v>0.8216970790179674</v>
      </c>
      <c r="X308" s="479">
        <f t="shared" si="195"/>
        <v>0.83109819759541115</v>
      </c>
      <c r="Y308" s="479">
        <f t="shared" si="195"/>
        <v>0.84037161550727091</v>
      </c>
      <c r="Z308" s="479">
        <f t="shared" si="195"/>
        <v>0.84951237062207086</v>
      </c>
      <c r="AA308" s="479">
        <f t="shared" si="195"/>
        <v>0.85851405882141074</v>
      </c>
      <c r="AB308" s="479">
        <f t="shared" si="195"/>
        <v>0.86736925811376719</v>
      </c>
      <c r="AC308" s="479">
        <f t="shared" si="195"/>
        <v>0.8760743211204487</v>
      </c>
      <c r="AD308" s="479">
        <f t="shared" si="195"/>
        <v>0.88462288613443518</v>
      </c>
      <c r="AE308" s="479">
        <f t="shared" si="195"/>
        <v>0.89301122095427476</v>
      </c>
      <c r="AF308" s="479">
        <f t="shared" si="195"/>
        <v>0.90123215805672474</v>
      </c>
      <c r="AG308" s="479">
        <f t="shared" si="195"/>
        <v>0.9092828558793159</v>
      </c>
      <c r="AH308" s="479">
        <f t="shared" si="195"/>
        <v>0.91715801299953181</v>
      </c>
      <c r="AI308" s="479">
        <f t="shared" si="195"/>
        <v>0.92485393962730056</v>
      </c>
      <c r="AJ308" s="479">
        <f t="shared" si="195"/>
        <v>0.93236966030087909</v>
      </c>
      <c r="AK308" s="479">
        <f t="shared" si="195"/>
        <v>0.93970258792607952</v>
      </c>
      <c r="AL308" s="479">
        <f t="shared" si="195"/>
        <v>0.9468481844852269</v>
      </c>
      <c r="AM308" s="479">
        <f t="shared" si="195"/>
        <v>0.95380551692795901</v>
      </c>
      <c r="AN308" s="479">
        <f t="shared" si="195"/>
        <v>0.96057004723660078</v>
      </c>
      <c r="AO308" s="479">
        <f t="shared" si="195"/>
        <v>0.96714063030388908</v>
      </c>
      <c r="AP308" s="479">
        <f t="shared" si="195"/>
        <v>0.97351832641432723</v>
      </c>
      <c r="AQ308" s="479">
        <f t="shared" si="195"/>
        <v>0.97969766449987783</v>
      </c>
      <c r="AR308" s="479">
        <f t="shared" si="195"/>
        <v>0.9856802986043659</v>
      </c>
      <c r="AS308" s="479">
        <f t="shared" si="195"/>
        <v>0.99146830688541843</v>
      </c>
      <c r="AT308" s="479">
        <f t="shared" si="195"/>
        <v>0.99705778605803519</v>
      </c>
      <c r="AU308" s="479">
        <f t="shared" si="195"/>
        <v>1.0024449486771219</v>
      </c>
      <c r="AV308" s="479">
        <f t="shared" si="195"/>
        <v>1.0076261273977702</v>
      </c>
      <c r="AW308" s="479">
        <f t="shared" si="195"/>
        <v>1.0125977791207279</v>
      </c>
      <c r="AX308" s="479">
        <f t="shared" si="195"/>
        <v>1.0173564890165183</v>
      </c>
      <c r="AY308" s="479">
        <f t="shared" si="195"/>
        <v>1.0218989744218425</v>
      </c>
      <c r="AZ308" s="479">
        <f t="shared" si="195"/>
        <v>1.0262220886020563</v>
      </c>
      <c r="BA308" s="479">
        <f t="shared" si="195"/>
        <v>1.0303228243737048</v>
      </c>
      <c r="BB308" s="479">
        <f t="shared" si="195"/>
        <v>1.0341983175812945</v>
      </c>
      <c r="BC308" s="479">
        <f t="shared" si="195"/>
        <v>1.0378458504226922</v>
      </c>
      <c r="BD308" s="479">
        <f t="shared" si="195"/>
        <v>1.0412628546177582</v>
      </c>
      <c r="BE308" s="479">
        <f t="shared" si="195"/>
        <v>1.0444469144150603</v>
      </c>
      <c r="BF308" s="479">
        <f t="shared" si="195"/>
        <v>1.0473957694317431</v>
      </c>
      <c r="BG308" s="479">
        <f t="shared" si="195"/>
        <v>1.0501073173219018</v>
      </c>
      <c r="BH308" s="479">
        <f t="shared" si="195"/>
        <v>1.0525796162690495</v>
      </c>
      <c r="BI308" s="479">
        <f t="shared" si="195"/>
        <v>1.0548108872985622</v>
      </c>
      <c r="BJ308" s="479">
        <f t="shared" si="195"/>
        <v>1.0567995164062414</v>
      </c>
      <c r="BK308" s="479">
        <f t="shared" si="195"/>
        <v>1.0585440564994493</v>
      </c>
      <c r="BL308" s="479">
        <f t="shared" si="195"/>
        <v>1.0600432291475474</v>
      </c>
      <c r="BM308" s="479">
        <f t="shared" si="195"/>
        <v>1.0612959261386894</v>
      </c>
      <c r="BN308" s="197"/>
    </row>
    <row r="309" spans="1:69" ht="15" customHeight="1" thickBot="1" x14ac:dyDescent="0.35">
      <c r="A309" s="960"/>
      <c r="B309" s="26"/>
      <c r="C309" s="85"/>
      <c r="D309" s="200"/>
      <c r="E309" s="201"/>
      <c r="F309" s="201"/>
      <c r="G309" s="201"/>
      <c r="H309" s="201"/>
      <c r="I309" s="201"/>
      <c r="J309" s="201"/>
      <c r="K309" s="201"/>
      <c r="L309" s="201"/>
      <c r="M309" s="201"/>
      <c r="N309" s="201"/>
      <c r="O309" s="201"/>
      <c r="P309" s="201"/>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c r="AP309" s="200"/>
      <c r="AQ309" s="200"/>
      <c r="AR309" s="200"/>
      <c r="AS309" s="200"/>
      <c r="AT309" s="200"/>
      <c r="AU309" s="200"/>
      <c r="AV309" s="200"/>
      <c r="AW309" s="200"/>
      <c r="AX309" s="200"/>
      <c r="AY309" s="200"/>
      <c r="AZ309" s="200"/>
      <c r="BA309" s="200"/>
      <c r="BB309" s="200"/>
      <c r="BC309" s="200"/>
      <c r="BD309" s="200"/>
      <c r="BE309" s="200"/>
      <c r="BF309" s="200"/>
      <c r="BG309" s="200"/>
      <c r="BH309" s="200"/>
      <c r="BI309" s="200"/>
      <c r="BJ309" s="200"/>
      <c r="BK309" s="200"/>
      <c r="BL309" s="200"/>
      <c r="BM309" s="200"/>
      <c r="BN309" s="52"/>
    </row>
    <row r="310" spans="1:69" ht="15" customHeight="1" x14ac:dyDescent="0.35">
      <c r="A310" s="960"/>
      <c r="B310" s="61"/>
      <c r="E310" s="26"/>
      <c r="F310" s="61"/>
      <c r="G310" s="26"/>
      <c r="H310" s="26"/>
      <c r="I310" s="26"/>
      <c r="J310" s="26"/>
      <c r="K310" s="26"/>
      <c r="L310" s="26"/>
      <c r="M310" s="26"/>
      <c r="N310" s="26"/>
      <c r="O310" s="26"/>
      <c r="P310" s="26"/>
    </row>
    <row r="311" spans="1:69" ht="15.75" customHeight="1" x14ac:dyDescent="0.3">
      <c r="A311" s="960"/>
      <c r="B311" s="944"/>
      <c r="C311" s="44"/>
      <c r="D311" s="44" t="s">
        <v>611</v>
      </c>
      <c r="E311" s="941"/>
      <c r="F311" s="944"/>
      <c r="G311" s="944"/>
      <c r="H311" s="944"/>
      <c r="I311" s="944"/>
      <c r="J311" s="944"/>
      <c r="K311" s="944"/>
      <c r="L311" s="944"/>
      <c r="M311" s="944"/>
      <c r="N311" s="944"/>
      <c r="O311" s="944"/>
      <c r="P311" s="944"/>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c r="BN311" s="45"/>
      <c r="BO311" s="45"/>
      <c r="BP311" s="45"/>
      <c r="BQ311" s="45"/>
    </row>
    <row r="312" spans="1:69" ht="14.25" customHeight="1" x14ac:dyDescent="0.3">
      <c r="A312" s="960"/>
      <c r="B312" s="944"/>
      <c r="C312" s="944"/>
      <c r="D312" s="45"/>
      <c r="E312" s="944"/>
      <c r="F312" s="944"/>
      <c r="G312" s="944"/>
      <c r="H312" s="944"/>
      <c r="I312" s="944"/>
      <c r="J312" s="944"/>
      <c r="K312" s="944"/>
      <c r="L312" s="944"/>
      <c r="M312" s="944"/>
      <c r="N312" s="944"/>
      <c r="O312" s="944"/>
      <c r="P312" s="944"/>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c r="BN312" s="45"/>
    </row>
    <row r="313" spans="1:69" ht="14.25" customHeight="1" x14ac:dyDescent="0.3">
      <c r="A313" s="960"/>
      <c r="B313" s="944"/>
      <c r="C313" s="944"/>
      <c r="D313" s="73" t="s">
        <v>612</v>
      </c>
      <c r="E313" s="944"/>
      <c r="F313" s="944"/>
      <c r="G313" s="944"/>
      <c r="H313" s="944"/>
      <c r="I313" s="944"/>
      <c r="J313" s="944"/>
      <c r="K313" s="944"/>
      <c r="L313" s="944"/>
      <c r="M313" s="944"/>
      <c r="N313" s="944"/>
      <c r="O313" s="944"/>
      <c r="P313" s="944"/>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c r="BN313" s="45"/>
    </row>
    <row r="314" spans="1:69" ht="14.25" customHeight="1" x14ac:dyDescent="0.3">
      <c r="A314" s="960"/>
      <c r="B314" s="944"/>
      <c r="C314" s="944"/>
      <c r="D314" s="73" t="s">
        <v>613</v>
      </c>
      <c r="E314" s="944"/>
      <c r="F314" s="944"/>
      <c r="G314" s="944"/>
      <c r="H314" s="944"/>
      <c r="I314" s="944"/>
      <c r="J314" s="944"/>
      <c r="K314" s="944"/>
      <c r="L314" s="944"/>
      <c r="M314" s="944"/>
      <c r="N314" s="944"/>
      <c r="O314" s="944"/>
      <c r="P314" s="944"/>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c r="BN314" s="45"/>
    </row>
    <row r="315" spans="1:69" ht="14.25" customHeight="1" x14ac:dyDescent="0.3">
      <c r="A315" s="960"/>
      <c r="B315" s="944"/>
      <c r="C315" s="944"/>
      <c r="D315" s="45" t="s">
        <v>614</v>
      </c>
      <c r="E315" s="944"/>
      <c r="F315" s="944"/>
      <c r="G315" s="944"/>
      <c r="H315" s="944"/>
      <c r="I315" s="944"/>
      <c r="J315" s="944"/>
      <c r="K315" s="944"/>
      <c r="L315" s="944"/>
      <c r="M315" s="944"/>
      <c r="N315" s="944"/>
      <c r="O315" s="944"/>
      <c r="P315" s="944"/>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45"/>
      <c r="BJ315" s="45"/>
      <c r="BK315" s="45"/>
      <c r="BL315" s="45"/>
      <c r="BM315" s="45"/>
      <c r="BN315" s="45"/>
    </row>
    <row r="316" spans="1:69" ht="14.25" customHeight="1" x14ac:dyDescent="0.3">
      <c r="A316" s="960"/>
      <c r="B316" s="944"/>
      <c r="C316" s="944"/>
      <c r="D316" s="45" t="s">
        <v>817</v>
      </c>
      <c r="E316" s="944"/>
      <c r="F316" s="944"/>
      <c r="G316" s="944"/>
      <c r="H316" s="944"/>
      <c r="I316" s="944"/>
      <c r="J316" s="944"/>
      <c r="K316" s="944"/>
      <c r="L316" s="944"/>
      <c r="M316" s="944"/>
      <c r="N316" s="944"/>
      <c r="O316" s="944"/>
      <c r="P316" s="944"/>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45"/>
      <c r="BJ316" s="45"/>
      <c r="BK316" s="45"/>
      <c r="BL316" s="45"/>
      <c r="BM316" s="45"/>
      <c r="BN316" s="45"/>
    </row>
    <row r="317" spans="1:69" ht="14.25" customHeight="1" x14ac:dyDescent="0.3">
      <c r="A317" s="960"/>
      <c r="B317" s="944"/>
      <c r="C317" s="944"/>
      <c r="D317" s="45" t="s">
        <v>616</v>
      </c>
      <c r="E317" s="944"/>
      <c r="F317" s="944"/>
      <c r="G317" s="944"/>
      <c r="H317" s="944"/>
      <c r="I317" s="944"/>
      <c r="J317" s="944"/>
      <c r="K317" s="944"/>
      <c r="L317" s="944"/>
      <c r="M317" s="944"/>
      <c r="N317" s="944"/>
      <c r="O317" s="944"/>
      <c r="P317" s="944"/>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45"/>
      <c r="BJ317" s="45"/>
      <c r="BK317" s="45"/>
      <c r="BL317" s="45"/>
      <c r="BM317" s="45"/>
      <c r="BN317" s="45"/>
    </row>
    <row r="318" spans="1:69" ht="14.25" customHeight="1" x14ac:dyDescent="0.3">
      <c r="A318" s="960"/>
      <c r="B318" s="944"/>
      <c r="C318" s="26"/>
      <c r="D318" s="45" t="s">
        <v>617</v>
      </c>
      <c r="E318" s="944"/>
      <c r="F318" s="944"/>
      <c r="G318" s="944"/>
      <c r="H318" s="944"/>
      <c r="I318" s="944"/>
      <c r="J318" s="944"/>
      <c r="K318" s="944"/>
      <c r="L318" s="944"/>
      <c r="M318" s="944"/>
      <c r="N318" s="944"/>
      <c r="O318" s="944"/>
      <c r="P318" s="944"/>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45"/>
      <c r="BJ318" s="45"/>
      <c r="BK318" s="45"/>
      <c r="BL318" s="45"/>
      <c r="BM318" s="45"/>
      <c r="BN318" s="45"/>
    </row>
    <row r="319" spans="1:69" ht="14.25" customHeight="1" x14ac:dyDescent="0.3">
      <c r="A319" s="960"/>
      <c r="B319" s="944"/>
      <c r="C319" s="45"/>
      <c r="D319" s="45"/>
      <c r="E319" s="944"/>
      <c r="F319" s="944"/>
      <c r="G319" s="944"/>
      <c r="H319" s="944"/>
      <c r="I319" s="944"/>
      <c r="J319" s="944"/>
      <c r="K319" s="944"/>
      <c r="L319" s="944"/>
      <c r="M319" s="944"/>
      <c r="N319" s="944"/>
      <c r="O319" s="944"/>
      <c r="P319" s="944"/>
      <c r="Q319" s="45"/>
    </row>
    <row r="320" spans="1:69" ht="14.25" customHeight="1" x14ac:dyDescent="0.35">
      <c r="A320" s="960"/>
      <c r="B320" s="26"/>
      <c r="D320" s="93"/>
      <c r="E320" s="61"/>
      <c r="F320" s="61"/>
      <c r="G320" s="61"/>
      <c r="H320" s="61"/>
      <c r="I320" s="26"/>
      <c r="J320" s="26"/>
      <c r="K320" s="26"/>
      <c r="L320" s="26"/>
      <c r="M320" s="26"/>
      <c r="N320" s="26"/>
      <c r="O320" s="26"/>
      <c r="P320" s="26"/>
    </row>
    <row r="321" spans="1:16" ht="14.25" customHeight="1" x14ac:dyDescent="0.35">
      <c r="A321" s="960"/>
      <c r="B321" s="26"/>
      <c r="D321" s="93"/>
      <c r="E321" s="61"/>
      <c r="F321" s="61"/>
      <c r="G321" s="61"/>
      <c r="H321" s="61"/>
      <c r="I321" s="26"/>
      <c r="J321" s="26"/>
      <c r="K321" s="26"/>
      <c r="L321" s="26"/>
      <c r="M321" s="26"/>
      <c r="N321" s="26"/>
      <c r="O321" s="26"/>
      <c r="P321" s="26"/>
    </row>
    <row r="322" spans="1:16" ht="14.25" customHeight="1" x14ac:dyDescent="0.35">
      <c r="A322" s="960"/>
      <c r="B322" s="26"/>
      <c r="D322" s="93"/>
      <c r="E322" s="61"/>
      <c r="F322" s="61"/>
      <c r="G322" s="61"/>
      <c r="H322" s="61"/>
      <c r="I322" s="26"/>
      <c r="J322" s="26"/>
      <c r="K322" s="26"/>
      <c r="L322" s="26"/>
      <c r="M322" s="26"/>
      <c r="N322" s="26"/>
      <c r="O322" s="26"/>
      <c r="P322" s="26"/>
    </row>
    <row r="323" spans="1:16" ht="14.25" customHeight="1" x14ac:dyDescent="0.35">
      <c r="A323" s="960"/>
      <c r="B323" s="26"/>
      <c r="D323" s="93"/>
      <c r="E323" s="61"/>
      <c r="F323" s="61"/>
      <c r="G323" s="61"/>
      <c r="H323" s="61"/>
      <c r="I323" s="26"/>
      <c r="J323" s="26"/>
      <c r="K323" s="26"/>
      <c r="L323" s="26"/>
      <c r="M323" s="26"/>
      <c r="N323" s="26"/>
      <c r="O323" s="26"/>
      <c r="P323" s="26"/>
    </row>
    <row r="324" spans="1:16" ht="14.25" customHeight="1" x14ac:dyDescent="0.35">
      <c r="A324" s="960"/>
      <c r="B324" s="26"/>
      <c r="D324" s="93"/>
      <c r="E324" s="61"/>
      <c r="F324" s="61"/>
      <c r="G324" s="61"/>
      <c r="H324" s="61"/>
      <c r="I324" s="26"/>
      <c r="J324" s="26"/>
      <c r="K324" s="26"/>
      <c r="L324" s="26"/>
      <c r="M324" s="26"/>
      <c r="N324" s="26"/>
      <c r="O324" s="26"/>
      <c r="P324" s="26"/>
    </row>
    <row r="325" spans="1:16" ht="14.25" customHeight="1" x14ac:dyDescent="0.35">
      <c r="A325" s="960"/>
      <c r="B325" s="26"/>
      <c r="D325" s="93"/>
      <c r="E325" s="61"/>
      <c r="F325" s="61"/>
      <c r="G325" s="61"/>
      <c r="H325" s="61"/>
      <c r="I325" s="26"/>
      <c r="J325" s="26"/>
      <c r="K325" s="26"/>
      <c r="L325" s="26"/>
      <c r="M325" s="26"/>
      <c r="N325" s="26"/>
      <c r="O325" s="26"/>
      <c r="P325" s="26"/>
    </row>
    <row r="326" spans="1:16" ht="14.25" customHeight="1" x14ac:dyDescent="0.35">
      <c r="A326" s="960"/>
      <c r="B326" s="26"/>
      <c r="D326" s="93"/>
      <c r="E326" s="61"/>
      <c r="F326" s="61"/>
      <c r="G326" s="61"/>
      <c r="H326" s="61"/>
      <c r="I326" s="26"/>
      <c r="J326" s="26"/>
      <c r="K326" s="26"/>
      <c r="L326" s="26"/>
      <c r="M326" s="26"/>
      <c r="N326" s="26"/>
      <c r="O326" s="26"/>
      <c r="P326" s="26"/>
    </row>
    <row r="327" spans="1:16" ht="14.25" customHeight="1" x14ac:dyDescent="0.35">
      <c r="A327" s="960"/>
      <c r="B327" s="26"/>
      <c r="D327" s="93"/>
      <c r="E327" s="61"/>
      <c r="F327" s="61"/>
      <c r="G327" s="61"/>
      <c r="H327" s="61"/>
      <c r="I327" s="26"/>
      <c r="J327" s="26"/>
      <c r="K327" s="26"/>
      <c r="L327" s="26"/>
      <c r="M327" s="26"/>
      <c r="N327" s="26"/>
      <c r="O327" s="26"/>
      <c r="P327" s="26"/>
    </row>
    <row r="328" spans="1:16" ht="14.25" customHeight="1" x14ac:dyDescent="0.35">
      <c r="A328" s="960"/>
      <c r="B328" s="26"/>
      <c r="D328" s="93"/>
      <c r="E328" s="61"/>
      <c r="F328" s="61"/>
      <c r="G328" s="61"/>
      <c r="H328" s="61"/>
      <c r="I328" s="26"/>
      <c r="J328" s="26"/>
      <c r="K328" s="26"/>
      <c r="L328" s="26"/>
      <c r="M328" s="26"/>
      <c r="N328" s="26"/>
      <c r="O328" s="26"/>
      <c r="P328" s="26"/>
    </row>
    <row r="329" spans="1:16" ht="14.25" customHeight="1" x14ac:dyDescent="0.35">
      <c r="A329" s="960"/>
      <c r="B329" s="26"/>
      <c r="D329" s="93"/>
      <c r="E329" s="61"/>
      <c r="F329" s="61"/>
      <c r="G329" s="61"/>
      <c r="H329" s="61"/>
      <c r="I329" s="26"/>
      <c r="J329" s="26"/>
      <c r="K329" s="26"/>
      <c r="L329" s="26"/>
      <c r="M329" s="26"/>
      <c r="N329" s="26"/>
      <c r="O329" s="26"/>
      <c r="P329" s="26"/>
    </row>
    <row r="330" spans="1:16" ht="14.25" customHeight="1" x14ac:dyDescent="0.35">
      <c r="A330" s="960"/>
      <c r="B330" s="26"/>
      <c r="D330" s="93"/>
      <c r="E330" s="61"/>
      <c r="F330" s="61"/>
      <c r="G330" s="61"/>
      <c r="H330" s="61"/>
      <c r="I330" s="26"/>
      <c r="J330" s="26"/>
      <c r="K330" s="26"/>
      <c r="L330" s="26"/>
      <c r="M330" s="26"/>
      <c r="N330" s="26"/>
      <c r="O330" s="26"/>
      <c r="P330" s="26"/>
    </row>
    <row r="331" spans="1:16" ht="14.25" customHeight="1" x14ac:dyDescent="0.35">
      <c r="A331" s="960"/>
      <c r="B331" s="26"/>
      <c r="D331" s="93"/>
      <c r="E331" s="61"/>
      <c r="F331" s="61"/>
      <c r="G331" s="61"/>
      <c r="H331" s="61"/>
      <c r="I331" s="26"/>
      <c r="J331" s="26"/>
      <c r="K331" s="26"/>
      <c r="L331" s="26"/>
      <c r="M331" s="26"/>
      <c r="N331" s="26"/>
      <c r="O331" s="26"/>
      <c r="P331" s="26"/>
    </row>
    <row r="332" spans="1:16" ht="14.25" customHeight="1" x14ac:dyDescent="0.35">
      <c r="A332" s="960"/>
      <c r="B332" s="26"/>
      <c r="D332" s="93"/>
      <c r="E332" s="61"/>
      <c r="F332" s="61"/>
      <c r="G332" s="61"/>
      <c r="H332" s="61"/>
      <c r="I332" s="26"/>
      <c r="J332" s="26"/>
      <c r="K332" s="26"/>
      <c r="L332" s="26"/>
      <c r="M332" s="26"/>
      <c r="N332" s="26"/>
      <c r="O332" s="26"/>
      <c r="P332" s="26"/>
    </row>
    <row r="333" spans="1:16" ht="14.25" customHeight="1" x14ac:dyDescent="0.35">
      <c r="A333" s="960"/>
      <c r="B333" s="26"/>
      <c r="D333" s="93"/>
      <c r="E333" s="61"/>
      <c r="F333" s="61"/>
      <c r="G333" s="61"/>
      <c r="H333" s="61"/>
      <c r="I333" s="26"/>
      <c r="J333" s="26"/>
      <c r="K333" s="26"/>
      <c r="L333" s="26"/>
      <c r="M333" s="26"/>
      <c r="N333" s="26"/>
      <c r="O333" s="26"/>
      <c r="P333" s="26"/>
    </row>
    <row r="334" spans="1:16" ht="14.25" customHeight="1" x14ac:dyDescent="0.35">
      <c r="A334" s="960"/>
      <c r="B334" s="26"/>
      <c r="D334" s="93"/>
      <c r="E334" s="61"/>
      <c r="F334" s="61"/>
      <c r="G334" s="61"/>
      <c r="H334" s="61"/>
      <c r="I334" s="26"/>
      <c r="J334" s="26"/>
      <c r="K334" s="26"/>
      <c r="L334" s="26"/>
      <c r="M334" s="26"/>
      <c r="N334" s="26"/>
      <c r="O334" s="26"/>
      <c r="P334" s="26"/>
    </row>
    <row r="335" spans="1:16" ht="14.25" customHeight="1" x14ac:dyDescent="0.35">
      <c r="A335" s="960"/>
      <c r="B335" s="26"/>
      <c r="D335" s="93"/>
      <c r="E335" s="61"/>
      <c r="F335" s="61"/>
      <c r="G335" s="61"/>
      <c r="H335" s="61"/>
      <c r="I335" s="26"/>
      <c r="J335" s="26"/>
      <c r="K335" s="26"/>
      <c r="L335" s="26"/>
      <c r="M335" s="26"/>
      <c r="N335" s="26"/>
      <c r="O335" s="26"/>
      <c r="P335" s="26"/>
    </row>
    <row r="336" spans="1:16" ht="14.25" customHeight="1" x14ac:dyDescent="0.35">
      <c r="A336" s="960"/>
      <c r="B336" s="26"/>
      <c r="D336" s="93"/>
      <c r="E336" s="61"/>
      <c r="F336" s="61"/>
      <c r="G336" s="61"/>
      <c r="H336" s="61"/>
      <c r="I336" s="26"/>
      <c r="J336" s="26"/>
      <c r="K336" s="26"/>
      <c r="L336" s="26"/>
      <c r="M336" s="26"/>
      <c r="N336" s="26"/>
      <c r="O336" s="26"/>
      <c r="P336" s="26"/>
    </row>
    <row r="337" spans="1:16" ht="14.25" customHeight="1" x14ac:dyDescent="0.35">
      <c r="A337" s="960"/>
      <c r="B337" s="26"/>
      <c r="D337" s="93"/>
      <c r="E337" s="61"/>
      <c r="F337" s="61"/>
      <c r="G337" s="61"/>
      <c r="H337" s="61"/>
      <c r="I337" s="26"/>
      <c r="J337" s="26"/>
      <c r="K337" s="26"/>
      <c r="L337" s="26"/>
      <c r="M337" s="26"/>
      <c r="N337" s="26"/>
      <c r="O337" s="26"/>
      <c r="P337" s="26"/>
    </row>
    <row r="338" spans="1:16" ht="14.25" customHeight="1" x14ac:dyDescent="0.35">
      <c r="A338" s="960"/>
      <c r="B338" s="26"/>
      <c r="D338" s="93"/>
      <c r="E338" s="61"/>
      <c r="F338" s="61"/>
      <c r="G338" s="61"/>
      <c r="H338" s="61"/>
      <c r="I338" s="26"/>
      <c r="J338" s="26"/>
      <c r="K338" s="26"/>
      <c r="L338" s="26"/>
      <c r="M338" s="26"/>
      <c r="N338" s="26"/>
      <c r="O338" s="26"/>
      <c r="P338" s="26"/>
    </row>
    <row r="339" spans="1:16" ht="14.25" customHeight="1" x14ac:dyDescent="0.35">
      <c r="A339" s="960"/>
      <c r="B339" s="26"/>
      <c r="D339" s="93"/>
      <c r="E339" s="61"/>
      <c r="F339" s="61"/>
      <c r="G339" s="61"/>
      <c r="H339" s="61"/>
      <c r="I339" s="26"/>
      <c r="J339" s="26"/>
      <c r="K339" s="26"/>
      <c r="L339" s="26"/>
      <c r="M339" s="26"/>
      <c r="N339" s="26"/>
      <c r="O339" s="26"/>
      <c r="P339" s="26"/>
    </row>
    <row r="340" spans="1:16" ht="14.25" customHeight="1" x14ac:dyDescent="0.35">
      <c r="A340" s="960"/>
      <c r="B340" s="26"/>
      <c r="D340" s="93"/>
      <c r="E340" s="61"/>
      <c r="F340" s="61"/>
      <c r="G340" s="61"/>
      <c r="H340" s="61"/>
      <c r="I340" s="26"/>
      <c r="J340" s="26"/>
      <c r="K340" s="26"/>
      <c r="L340" s="26"/>
      <c r="M340" s="26"/>
      <c r="N340" s="26"/>
      <c r="O340" s="26"/>
      <c r="P340" s="26"/>
    </row>
    <row r="341" spans="1:16" ht="14.25" customHeight="1" x14ac:dyDescent="0.35">
      <c r="A341" s="960"/>
      <c r="B341" s="26"/>
      <c r="D341" s="93"/>
      <c r="E341" s="61"/>
      <c r="F341" s="61"/>
      <c r="G341" s="61"/>
      <c r="H341" s="61"/>
      <c r="I341" s="26"/>
      <c r="J341" s="26"/>
      <c r="K341" s="26"/>
      <c r="L341" s="26"/>
      <c r="M341" s="26"/>
      <c r="N341" s="26"/>
      <c r="O341" s="26"/>
      <c r="P341" s="26"/>
    </row>
    <row r="342" spans="1:16" ht="14.25" customHeight="1" x14ac:dyDescent="0.35">
      <c r="A342" s="960"/>
      <c r="B342" s="26"/>
      <c r="D342" s="93"/>
      <c r="E342" s="61"/>
      <c r="F342" s="61"/>
      <c r="G342" s="61"/>
      <c r="H342" s="61"/>
      <c r="I342" s="26"/>
      <c r="J342" s="26"/>
      <c r="K342" s="26"/>
      <c r="L342" s="26"/>
      <c r="M342" s="26"/>
      <c r="N342" s="26"/>
      <c r="O342" s="26"/>
      <c r="P342" s="26"/>
    </row>
    <row r="343" spans="1:16" ht="14.25" customHeight="1" x14ac:dyDescent="0.35">
      <c r="A343" s="960"/>
      <c r="B343" s="26"/>
      <c r="D343" s="93"/>
      <c r="E343" s="61"/>
      <c r="F343" s="61"/>
      <c r="G343" s="61"/>
      <c r="H343" s="61"/>
      <c r="I343" s="26"/>
      <c r="J343" s="26"/>
      <c r="K343" s="26"/>
      <c r="L343" s="26"/>
      <c r="M343" s="26"/>
      <c r="N343" s="26"/>
      <c r="O343" s="26"/>
      <c r="P343" s="26"/>
    </row>
    <row r="344" spans="1:16" ht="14.25" customHeight="1" x14ac:dyDescent="0.35">
      <c r="A344" s="960"/>
      <c r="B344" s="26"/>
      <c r="D344" s="93"/>
      <c r="E344" s="61"/>
      <c r="F344" s="61"/>
      <c r="G344" s="61"/>
      <c r="H344" s="61"/>
      <c r="I344" s="26"/>
      <c r="J344" s="26"/>
      <c r="K344" s="26"/>
      <c r="L344" s="26"/>
      <c r="M344" s="26"/>
      <c r="N344" s="26"/>
      <c r="O344" s="26"/>
      <c r="P344" s="26"/>
    </row>
    <row r="345" spans="1:16" ht="14.25" customHeight="1" x14ac:dyDescent="0.35">
      <c r="A345" s="960"/>
      <c r="B345" s="26"/>
      <c r="D345" s="93"/>
      <c r="E345" s="61"/>
      <c r="F345" s="61"/>
      <c r="G345" s="61"/>
      <c r="H345" s="61"/>
      <c r="I345" s="26"/>
      <c r="J345" s="26"/>
      <c r="K345" s="26"/>
      <c r="L345" s="26"/>
      <c r="M345" s="26"/>
      <c r="N345" s="26"/>
      <c r="O345" s="26"/>
      <c r="P345" s="26"/>
    </row>
    <row r="346" spans="1:16" ht="14.25" customHeight="1" x14ac:dyDescent="0.35">
      <c r="A346" s="960"/>
      <c r="B346" s="26"/>
      <c r="D346" s="93"/>
      <c r="E346" s="61"/>
      <c r="F346" s="61"/>
      <c r="G346" s="61"/>
      <c r="H346" s="61"/>
      <c r="I346" s="26"/>
      <c r="J346" s="26"/>
      <c r="K346" s="26"/>
      <c r="L346" s="26"/>
      <c r="M346" s="26"/>
      <c r="N346" s="26"/>
      <c r="O346" s="26"/>
      <c r="P346" s="26"/>
    </row>
    <row r="347" spans="1:16" ht="14.25" customHeight="1" x14ac:dyDescent="0.35">
      <c r="A347" s="960"/>
      <c r="B347" s="26"/>
      <c r="D347" s="93"/>
      <c r="E347" s="61"/>
      <c r="F347" s="61"/>
      <c r="G347" s="61"/>
      <c r="H347" s="61"/>
      <c r="I347" s="26"/>
      <c r="J347" s="26"/>
      <c r="K347" s="26"/>
      <c r="L347" s="26"/>
      <c r="M347" s="26"/>
      <c r="N347" s="26"/>
      <c r="O347" s="26"/>
      <c r="P347" s="26"/>
    </row>
    <row r="348" spans="1:16" ht="14.25" customHeight="1" x14ac:dyDescent="0.35">
      <c r="A348" s="960"/>
      <c r="B348" s="26"/>
      <c r="D348" s="93"/>
      <c r="E348" s="61"/>
      <c r="F348" s="61"/>
      <c r="G348" s="61"/>
      <c r="H348" s="61"/>
      <c r="I348" s="26"/>
      <c r="J348" s="26"/>
      <c r="K348" s="26"/>
      <c r="L348" s="26"/>
      <c r="M348" s="26"/>
      <c r="N348" s="26"/>
      <c r="O348" s="26"/>
      <c r="P348" s="26"/>
    </row>
    <row r="349" spans="1:16" ht="14.25" customHeight="1" x14ac:dyDescent="0.35">
      <c r="A349" s="960"/>
      <c r="B349" s="26"/>
      <c r="D349" s="93"/>
      <c r="E349" s="61"/>
      <c r="F349" s="61"/>
      <c r="G349" s="61"/>
      <c r="H349" s="61"/>
      <c r="I349" s="26"/>
      <c r="J349" s="26"/>
      <c r="K349" s="26"/>
      <c r="L349" s="26"/>
      <c r="M349" s="26"/>
      <c r="N349" s="26"/>
      <c r="O349" s="26"/>
      <c r="P349" s="26"/>
    </row>
    <row r="350" spans="1:16" ht="14.25" customHeight="1" x14ac:dyDescent="0.35">
      <c r="A350" s="960"/>
      <c r="B350" s="26"/>
      <c r="D350" s="93"/>
      <c r="E350" s="61"/>
      <c r="F350" s="61"/>
      <c r="G350" s="61"/>
      <c r="H350" s="61"/>
      <c r="I350" s="26"/>
      <c r="J350" s="26"/>
      <c r="K350" s="26"/>
      <c r="L350" s="26"/>
      <c r="M350" s="26"/>
      <c r="N350" s="26"/>
      <c r="O350" s="26"/>
      <c r="P350" s="26"/>
    </row>
    <row r="351" spans="1:16" ht="14.25" customHeight="1" x14ac:dyDescent="0.35">
      <c r="A351" s="960"/>
      <c r="B351" s="26"/>
      <c r="D351" s="93"/>
      <c r="E351" s="61"/>
      <c r="F351" s="61"/>
      <c r="G351" s="61"/>
      <c r="H351" s="61"/>
      <c r="I351" s="26"/>
      <c r="J351" s="26"/>
      <c r="K351" s="26"/>
      <c r="L351" s="26"/>
      <c r="M351" s="26"/>
      <c r="N351" s="26"/>
      <c r="O351" s="26"/>
      <c r="P351" s="26"/>
    </row>
    <row r="352" spans="1:16" ht="14.25" customHeight="1" x14ac:dyDescent="0.35">
      <c r="A352" s="960"/>
      <c r="B352" s="26"/>
      <c r="D352" s="93"/>
      <c r="E352" s="61"/>
      <c r="F352" s="61"/>
      <c r="G352" s="61"/>
      <c r="H352" s="61"/>
      <c r="I352" s="26"/>
      <c r="J352" s="26"/>
      <c r="K352" s="26"/>
      <c r="L352" s="26"/>
      <c r="M352" s="26"/>
      <c r="N352" s="26"/>
      <c r="O352" s="26"/>
      <c r="P352" s="26"/>
    </row>
    <row r="353" spans="1:16" ht="14.25" customHeight="1" x14ac:dyDescent="0.35">
      <c r="A353" s="960"/>
      <c r="B353" s="26"/>
      <c r="D353" s="93"/>
      <c r="E353" s="61"/>
      <c r="F353" s="61"/>
      <c r="G353" s="61"/>
      <c r="H353" s="61"/>
      <c r="I353" s="26"/>
      <c r="J353" s="26"/>
      <c r="K353" s="26"/>
      <c r="L353" s="26"/>
      <c r="M353" s="26"/>
      <c r="N353" s="26"/>
      <c r="O353" s="26"/>
      <c r="P353" s="26"/>
    </row>
    <row r="354" spans="1:16" ht="14.25" customHeight="1" x14ac:dyDescent="0.35">
      <c r="A354" s="960"/>
      <c r="B354" s="26"/>
      <c r="D354" s="93"/>
      <c r="E354" s="61"/>
      <c r="F354" s="61"/>
      <c r="G354" s="61"/>
      <c r="H354" s="61"/>
      <c r="I354" s="26"/>
      <c r="J354" s="26"/>
      <c r="K354" s="26"/>
      <c r="L354" s="26"/>
      <c r="M354" s="26"/>
      <c r="N354" s="26"/>
      <c r="O354" s="26"/>
      <c r="P354" s="26"/>
    </row>
    <row r="355" spans="1:16" ht="14.25" customHeight="1" x14ac:dyDescent="0.35">
      <c r="A355" s="960"/>
      <c r="B355" s="26"/>
      <c r="D355" s="93"/>
      <c r="E355" s="61"/>
      <c r="F355" s="61"/>
      <c r="G355" s="61"/>
      <c r="H355" s="61"/>
      <c r="I355" s="26"/>
      <c r="J355" s="26"/>
      <c r="K355" s="26"/>
      <c r="L355" s="26"/>
      <c r="M355" s="26"/>
      <c r="N355" s="26"/>
      <c r="O355" s="26"/>
      <c r="P355" s="26"/>
    </row>
    <row r="356" spans="1:16" ht="14.25" customHeight="1" x14ac:dyDescent="0.35">
      <c r="A356" s="960"/>
      <c r="B356" s="26"/>
      <c r="D356" s="93"/>
      <c r="E356" s="61"/>
      <c r="F356" s="61"/>
      <c r="G356" s="61"/>
      <c r="H356" s="61"/>
      <c r="I356" s="26"/>
      <c r="J356" s="26"/>
      <c r="K356" s="26"/>
      <c r="L356" s="26"/>
      <c r="M356" s="26"/>
      <c r="N356" s="26"/>
      <c r="O356" s="26"/>
      <c r="P356" s="26"/>
    </row>
    <row r="357" spans="1:16" ht="14.25" customHeight="1" x14ac:dyDescent="0.35">
      <c r="A357" s="960"/>
      <c r="B357" s="26"/>
      <c r="D357" s="93"/>
      <c r="E357" s="61"/>
      <c r="F357" s="61"/>
      <c r="G357" s="61"/>
      <c r="H357" s="61"/>
      <c r="I357" s="26"/>
      <c r="J357" s="26"/>
      <c r="K357" s="26"/>
      <c r="L357" s="26"/>
      <c r="M357" s="26"/>
      <c r="N357" s="26"/>
      <c r="O357" s="26"/>
      <c r="P357" s="26"/>
    </row>
    <row r="358" spans="1:16" ht="14.25" customHeight="1" x14ac:dyDescent="0.35">
      <c r="A358" s="960"/>
      <c r="B358" s="26"/>
      <c r="D358" s="93"/>
      <c r="E358" s="61"/>
      <c r="F358" s="61"/>
      <c r="G358" s="61"/>
      <c r="H358" s="61"/>
      <c r="I358" s="26"/>
      <c r="J358" s="26"/>
      <c r="K358" s="26"/>
      <c r="L358" s="26"/>
      <c r="M358" s="26"/>
      <c r="N358" s="26"/>
      <c r="O358" s="26"/>
      <c r="P358" s="26"/>
    </row>
    <row r="359" spans="1:16" ht="14.25" customHeight="1" x14ac:dyDescent="0.35">
      <c r="A359" s="960"/>
      <c r="B359" s="26"/>
      <c r="D359" s="93"/>
      <c r="E359" s="61"/>
      <c r="F359" s="61"/>
      <c r="G359" s="61"/>
      <c r="H359" s="61"/>
      <c r="I359" s="26"/>
      <c r="J359" s="26"/>
      <c r="K359" s="26"/>
      <c r="L359" s="26"/>
      <c r="M359" s="26"/>
      <c r="N359" s="26"/>
      <c r="O359" s="26"/>
      <c r="P359" s="26"/>
    </row>
    <row r="360" spans="1:16" ht="14.25" customHeight="1" x14ac:dyDescent="0.35">
      <c r="A360" s="960"/>
      <c r="B360" s="26"/>
      <c r="D360" s="93"/>
      <c r="E360" s="61"/>
      <c r="F360" s="61"/>
      <c r="G360" s="61"/>
      <c r="H360" s="61"/>
      <c r="I360" s="26"/>
      <c r="J360" s="26"/>
      <c r="K360" s="26"/>
      <c r="L360" s="26"/>
      <c r="M360" s="26"/>
      <c r="N360" s="26"/>
      <c r="O360" s="26"/>
      <c r="P360" s="26"/>
    </row>
    <row r="361" spans="1:16" ht="14.25" customHeight="1" x14ac:dyDescent="0.35">
      <c r="A361" s="960"/>
      <c r="B361" s="26"/>
      <c r="D361" s="93"/>
      <c r="E361" s="61"/>
      <c r="F361" s="61"/>
      <c r="G361" s="61"/>
      <c r="H361" s="61"/>
      <c r="I361" s="26"/>
      <c r="J361" s="26"/>
      <c r="K361" s="26"/>
      <c r="L361" s="26"/>
      <c r="M361" s="26"/>
      <c r="N361" s="26"/>
      <c r="O361" s="26"/>
      <c r="P361" s="26"/>
    </row>
    <row r="362" spans="1:16" ht="14.25" customHeight="1" x14ac:dyDescent="0.35">
      <c r="A362" s="960"/>
      <c r="B362" s="26"/>
      <c r="D362" s="93"/>
      <c r="E362" s="61"/>
      <c r="F362" s="61"/>
      <c r="G362" s="61"/>
      <c r="H362" s="61"/>
      <c r="I362" s="26"/>
      <c r="J362" s="26"/>
      <c r="K362" s="26"/>
      <c r="L362" s="26"/>
      <c r="M362" s="26"/>
      <c r="N362" s="26"/>
      <c r="O362" s="26"/>
      <c r="P362" s="26"/>
    </row>
    <row r="363" spans="1:16" ht="14.25" customHeight="1" x14ac:dyDescent="0.35">
      <c r="A363" s="960"/>
      <c r="B363" s="26"/>
      <c r="D363" s="93"/>
      <c r="E363" s="61"/>
      <c r="F363" s="61"/>
      <c r="G363" s="61"/>
      <c r="H363" s="61"/>
      <c r="I363" s="26"/>
      <c r="J363" s="26"/>
      <c r="K363" s="26"/>
      <c r="L363" s="26"/>
      <c r="M363" s="26"/>
      <c r="N363" s="26"/>
      <c r="O363" s="26"/>
      <c r="P363" s="26"/>
    </row>
    <row r="364" spans="1:16" ht="14.25" customHeight="1" x14ac:dyDescent="0.35">
      <c r="A364" s="960"/>
      <c r="B364" s="26"/>
      <c r="D364" s="93"/>
      <c r="E364" s="61"/>
      <c r="F364" s="61"/>
      <c r="G364" s="61"/>
      <c r="H364" s="61"/>
      <c r="I364" s="26"/>
      <c r="J364" s="26"/>
      <c r="K364" s="26"/>
      <c r="L364" s="26"/>
      <c r="M364" s="26"/>
      <c r="N364" s="26"/>
      <c r="O364" s="26"/>
      <c r="P364" s="26"/>
    </row>
    <row r="365" spans="1:16" ht="14.25" customHeight="1" x14ac:dyDescent="0.35">
      <c r="A365" s="960"/>
      <c r="B365" s="26"/>
      <c r="D365" s="93"/>
      <c r="E365" s="61"/>
      <c r="F365" s="61"/>
      <c r="G365" s="61"/>
      <c r="H365" s="61"/>
      <c r="I365" s="26"/>
      <c r="J365" s="26"/>
      <c r="K365" s="26"/>
      <c r="L365" s="26"/>
      <c r="M365" s="26"/>
      <c r="N365" s="26"/>
      <c r="O365" s="26"/>
      <c r="P365" s="26"/>
    </row>
    <row r="366" spans="1:16" ht="14.25" customHeight="1" x14ac:dyDescent="0.35">
      <c r="A366" s="960"/>
      <c r="B366" s="26"/>
      <c r="D366" s="93"/>
      <c r="E366" s="61"/>
      <c r="F366" s="61"/>
      <c r="G366" s="61"/>
      <c r="H366" s="61"/>
      <c r="I366" s="26"/>
      <c r="J366" s="26"/>
      <c r="K366" s="26"/>
      <c r="L366" s="26"/>
      <c r="M366" s="26"/>
      <c r="N366" s="26"/>
      <c r="O366" s="26"/>
      <c r="P366" s="26"/>
    </row>
    <row r="367" spans="1:16" ht="14.25" customHeight="1" x14ac:dyDescent="0.35">
      <c r="A367" s="960"/>
      <c r="B367" s="26"/>
      <c r="D367" s="93"/>
      <c r="E367" s="61"/>
      <c r="F367" s="61"/>
      <c r="G367" s="61"/>
      <c r="H367" s="61"/>
      <c r="I367" s="26"/>
      <c r="J367" s="26"/>
      <c r="K367" s="26"/>
      <c r="L367" s="26"/>
      <c r="M367" s="26"/>
      <c r="N367" s="26"/>
      <c r="O367" s="26"/>
      <c r="P367" s="26"/>
    </row>
    <row r="368" spans="1:16" ht="14.25" customHeight="1" x14ac:dyDescent="0.35">
      <c r="A368" s="960"/>
      <c r="B368" s="26"/>
      <c r="D368" s="93"/>
      <c r="E368" s="61"/>
      <c r="F368" s="61"/>
      <c r="G368" s="61"/>
      <c r="H368" s="61"/>
      <c r="I368" s="26"/>
      <c r="J368" s="26"/>
      <c r="K368" s="26"/>
      <c r="L368" s="26"/>
      <c r="M368" s="26"/>
      <c r="N368" s="26"/>
      <c r="O368" s="26"/>
      <c r="P368" s="26"/>
    </row>
    <row r="369" spans="1:16" ht="14.25" customHeight="1" x14ac:dyDescent="0.35">
      <c r="A369" s="960"/>
      <c r="B369" s="26"/>
      <c r="D369" s="93"/>
      <c r="E369" s="61"/>
      <c r="F369" s="61"/>
      <c r="G369" s="61"/>
      <c r="H369" s="61"/>
      <c r="I369" s="26"/>
      <c r="J369" s="26"/>
      <c r="K369" s="26"/>
      <c r="L369" s="26"/>
      <c r="M369" s="26"/>
      <c r="N369" s="26"/>
      <c r="O369" s="26"/>
      <c r="P369" s="26"/>
    </row>
    <row r="370" spans="1:16" ht="14.25" customHeight="1" x14ac:dyDescent="0.35">
      <c r="A370" s="960"/>
      <c r="B370" s="26"/>
      <c r="D370" s="93"/>
      <c r="E370" s="61"/>
      <c r="F370" s="61"/>
      <c r="G370" s="61"/>
      <c r="H370" s="61"/>
      <c r="I370" s="26"/>
      <c r="J370" s="26"/>
      <c r="K370" s="26"/>
      <c r="L370" s="26"/>
      <c r="M370" s="26"/>
      <c r="N370" s="26"/>
      <c r="O370" s="26"/>
      <c r="P370" s="26"/>
    </row>
    <row r="371" spans="1:16" ht="14.25" customHeight="1" x14ac:dyDescent="0.35">
      <c r="A371" s="960"/>
      <c r="B371" s="26"/>
      <c r="D371" s="93"/>
      <c r="E371" s="61"/>
      <c r="F371" s="61"/>
      <c r="G371" s="61"/>
      <c r="H371" s="61"/>
      <c r="I371" s="26"/>
      <c r="J371" s="26"/>
      <c r="K371" s="26"/>
      <c r="L371" s="26"/>
      <c r="M371" s="26"/>
      <c r="N371" s="26"/>
      <c r="O371" s="26"/>
      <c r="P371" s="26"/>
    </row>
    <row r="372" spans="1:16" ht="14.25" customHeight="1" x14ac:dyDescent="0.35">
      <c r="A372" s="960"/>
      <c r="B372" s="26"/>
      <c r="D372" s="93"/>
      <c r="E372" s="61"/>
      <c r="F372" s="61"/>
      <c r="G372" s="61"/>
      <c r="H372" s="61"/>
      <c r="I372" s="26"/>
      <c r="J372" s="26"/>
      <c r="K372" s="26"/>
      <c r="L372" s="26"/>
      <c r="M372" s="26"/>
      <c r="N372" s="26"/>
      <c r="O372" s="26"/>
      <c r="P372" s="26"/>
    </row>
    <row r="373" spans="1:16" ht="14.25" customHeight="1" x14ac:dyDescent="0.35">
      <c r="A373" s="960"/>
      <c r="B373" s="26"/>
      <c r="D373" s="93"/>
      <c r="E373" s="61"/>
      <c r="F373" s="61"/>
      <c r="G373" s="61"/>
      <c r="H373" s="61"/>
      <c r="I373" s="26"/>
      <c r="J373" s="26"/>
      <c r="K373" s="26"/>
      <c r="L373" s="26"/>
      <c r="M373" s="26"/>
      <c r="N373" s="26"/>
      <c r="O373" s="26"/>
      <c r="P373" s="26"/>
    </row>
    <row r="374" spans="1:16" ht="14.25" customHeight="1" x14ac:dyDescent="0.35">
      <c r="A374" s="960"/>
      <c r="B374" s="26"/>
      <c r="D374" s="93"/>
      <c r="E374" s="61"/>
      <c r="F374" s="61"/>
      <c r="G374" s="61"/>
      <c r="H374" s="61"/>
      <c r="I374" s="26"/>
      <c r="J374" s="26"/>
      <c r="K374" s="26"/>
      <c r="L374" s="26"/>
      <c r="M374" s="26"/>
      <c r="N374" s="26"/>
      <c r="O374" s="26"/>
      <c r="P374" s="26"/>
    </row>
    <row r="375" spans="1:16" ht="14.25" customHeight="1" x14ac:dyDescent="0.35">
      <c r="A375" s="960"/>
      <c r="B375" s="26"/>
      <c r="D375" s="93"/>
      <c r="E375" s="61"/>
      <c r="F375" s="61"/>
      <c r="G375" s="61"/>
      <c r="H375" s="61"/>
      <c r="I375" s="26"/>
      <c r="J375" s="26"/>
      <c r="K375" s="26"/>
      <c r="L375" s="26"/>
      <c r="M375" s="26"/>
      <c r="N375" s="26"/>
      <c r="O375" s="26"/>
      <c r="P375" s="26"/>
    </row>
    <row r="376" spans="1:16" ht="14.25" customHeight="1" x14ac:dyDescent="0.35">
      <c r="A376" s="960"/>
      <c r="B376" s="26"/>
      <c r="D376" s="93"/>
      <c r="E376" s="61"/>
      <c r="F376" s="61"/>
      <c r="G376" s="61"/>
      <c r="H376" s="61"/>
      <c r="I376" s="26"/>
      <c r="J376" s="26"/>
      <c r="K376" s="26"/>
      <c r="L376" s="26"/>
      <c r="M376" s="26"/>
      <c r="N376" s="26"/>
      <c r="O376" s="26"/>
      <c r="P376" s="26"/>
    </row>
    <row r="377" spans="1:16" ht="14.25" customHeight="1" x14ac:dyDescent="0.35">
      <c r="A377" s="960"/>
      <c r="B377" s="26"/>
      <c r="D377" s="93"/>
      <c r="E377" s="61"/>
      <c r="F377" s="61"/>
      <c r="G377" s="61"/>
      <c r="H377" s="61"/>
      <c r="I377" s="26"/>
      <c r="J377" s="26"/>
      <c r="K377" s="26"/>
      <c r="L377" s="26"/>
      <c r="M377" s="26"/>
      <c r="N377" s="26"/>
      <c r="O377" s="26"/>
      <c r="P377" s="26"/>
    </row>
    <row r="378" spans="1:16" ht="14.25" customHeight="1" x14ac:dyDescent="0.35">
      <c r="A378" s="960"/>
      <c r="B378" s="26"/>
      <c r="D378" s="93"/>
      <c r="E378" s="61"/>
      <c r="F378" s="61"/>
      <c r="G378" s="61"/>
      <c r="H378" s="61"/>
      <c r="I378" s="26"/>
      <c r="J378" s="26"/>
      <c r="K378" s="26"/>
      <c r="L378" s="26"/>
      <c r="M378" s="26"/>
      <c r="N378" s="26"/>
      <c r="O378" s="26"/>
      <c r="P378" s="26"/>
    </row>
    <row r="379" spans="1:16" ht="14.25" customHeight="1" x14ac:dyDescent="0.35">
      <c r="A379" s="960"/>
      <c r="B379" s="26"/>
      <c r="D379" s="93"/>
      <c r="E379" s="61"/>
      <c r="F379" s="61"/>
      <c r="G379" s="61"/>
      <c r="H379" s="61"/>
      <c r="I379" s="26"/>
      <c r="J379" s="26"/>
      <c r="K379" s="26"/>
      <c r="L379" s="26"/>
      <c r="M379" s="26"/>
      <c r="N379" s="26"/>
      <c r="O379" s="26"/>
      <c r="P379" s="26"/>
    </row>
    <row r="380" spans="1:16" ht="14.25" customHeight="1" x14ac:dyDescent="0.35">
      <c r="A380" s="960"/>
      <c r="B380" s="26"/>
      <c r="D380" s="93"/>
      <c r="E380" s="61"/>
      <c r="F380" s="61"/>
      <c r="G380" s="61"/>
      <c r="H380" s="61"/>
      <c r="I380" s="26"/>
      <c r="J380" s="26"/>
      <c r="K380" s="26"/>
      <c r="L380" s="26"/>
      <c r="M380" s="26"/>
      <c r="N380" s="26"/>
      <c r="O380" s="26"/>
      <c r="P380" s="26"/>
    </row>
    <row r="381" spans="1:16" ht="14.25" customHeight="1" x14ac:dyDescent="0.35">
      <c r="A381" s="960"/>
      <c r="B381" s="26"/>
      <c r="D381" s="93"/>
      <c r="E381" s="61"/>
      <c r="F381" s="61"/>
      <c r="G381" s="61"/>
      <c r="H381" s="61"/>
      <c r="I381" s="26"/>
      <c r="J381" s="26"/>
      <c r="K381" s="26"/>
      <c r="L381" s="26"/>
      <c r="M381" s="26"/>
      <c r="N381" s="26"/>
      <c r="O381" s="26"/>
      <c r="P381" s="26"/>
    </row>
    <row r="382" spans="1:16" ht="14.25" customHeight="1" x14ac:dyDescent="0.35">
      <c r="A382" s="960"/>
      <c r="B382" s="26"/>
      <c r="D382" s="93"/>
      <c r="E382" s="61"/>
      <c r="F382" s="61"/>
      <c r="G382" s="61"/>
      <c r="H382" s="61"/>
      <c r="I382" s="26"/>
      <c r="J382" s="26"/>
      <c r="K382" s="26"/>
      <c r="L382" s="26"/>
      <c r="M382" s="26"/>
      <c r="N382" s="26"/>
      <c r="O382" s="26"/>
      <c r="P382" s="26"/>
    </row>
    <row r="383" spans="1:16" ht="14.25" customHeight="1" x14ac:dyDescent="0.35">
      <c r="A383" s="960"/>
      <c r="B383" s="26"/>
      <c r="D383" s="93"/>
      <c r="E383" s="61"/>
      <c r="F383" s="61"/>
      <c r="G383" s="61"/>
      <c r="H383" s="61"/>
      <c r="I383" s="26"/>
      <c r="J383" s="26"/>
      <c r="K383" s="26"/>
      <c r="L383" s="26"/>
      <c r="M383" s="26"/>
      <c r="N383" s="26"/>
      <c r="O383" s="26"/>
      <c r="P383" s="26"/>
    </row>
    <row r="384" spans="1:16" ht="14.25" customHeight="1" x14ac:dyDescent="0.35">
      <c r="A384" s="960"/>
      <c r="B384" s="26"/>
      <c r="D384" s="93"/>
      <c r="E384" s="61"/>
      <c r="F384" s="61"/>
      <c r="G384" s="61"/>
      <c r="H384" s="61"/>
      <c r="I384" s="26"/>
      <c r="J384" s="26"/>
      <c r="K384" s="26"/>
      <c r="L384" s="26"/>
      <c r="M384" s="26"/>
      <c r="N384" s="26"/>
      <c r="O384" s="26"/>
      <c r="P384" s="26"/>
    </row>
    <row r="385" spans="1:16" ht="14.25" customHeight="1" x14ac:dyDescent="0.35">
      <c r="A385" s="960"/>
      <c r="B385" s="26"/>
      <c r="D385" s="93"/>
      <c r="E385" s="61"/>
      <c r="F385" s="61"/>
      <c r="G385" s="61"/>
      <c r="H385" s="61"/>
      <c r="I385" s="26"/>
      <c r="J385" s="26"/>
      <c r="K385" s="26"/>
      <c r="L385" s="26"/>
      <c r="M385" s="26"/>
      <c r="N385" s="26"/>
      <c r="O385" s="26"/>
      <c r="P385" s="26"/>
    </row>
    <row r="386" spans="1:16" ht="14.25" customHeight="1" x14ac:dyDescent="0.35">
      <c r="A386" s="960"/>
      <c r="B386" s="26"/>
      <c r="D386" s="93"/>
      <c r="E386" s="61"/>
      <c r="F386" s="61"/>
      <c r="G386" s="61"/>
      <c r="H386" s="61"/>
      <c r="I386" s="26"/>
      <c r="J386" s="26"/>
      <c r="K386" s="26"/>
      <c r="L386" s="26"/>
      <c r="M386" s="26"/>
      <c r="N386" s="26"/>
      <c r="O386" s="26"/>
      <c r="P386" s="26"/>
    </row>
    <row r="387" spans="1:16" ht="14.25" customHeight="1" x14ac:dyDescent="0.35">
      <c r="A387" s="960"/>
      <c r="B387" s="26"/>
      <c r="D387" s="93"/>
      <c r="E387" s="61"/>
      <c r="F387" s="61"/>
      <c r="G387" s="61"/>
      <c r="H387" s="61"/>
      <c r="I387" s="26"/>
      <c r="J387" s="26"/>
      <c r="K387" s="26"/>
      <c r="L387" s="26"/>
      <c r="M387" s="26"/>
      <c r="N387" s="26"/>
      <c r="O387" s="26"/>
      <c r="P387" s="26"/>
    </row>
    <row r="388" spans="1:16" ht="14.25" customHeight="1" x14ac:dyDescent="0.35">
      <c r="A388" s="960"/>
      <c r="B388" s="26"/>
      <c r="D388" s="93"/>
      <c r="E388" s="61"/>
      <c r="F388" s="61"/>
      <c r="G388" s="61"/>
      <c r="H388" s="61"/>
      <c r="I388" s="26"/>
      <c r="J388" s="26"/>
      <c r="K388" s="26"/>
      <c r="L388" s="26"/>
      <c r="M388" s="26"/>
      <c r="N388" s="26"/>
      <c r="O388" s="26"/>
      <c r="P388" s="26"/>
    </row>
    <row r="389" spans="1:16" ht="14.25" customHeight="1" x14ac:dyDescent="0.35">
      <c r="A389" s="960"/>
      <c r="B389" s="26"/>
      <c r="D389" s="93"/>
      <c r="E389" s="61"/>
      <c r="F389" s="61"/>
      <c r="G389" s="61"/>
      <c r="H389" s="61"/>
      <c r="I389" s="26"/>
      <c r="J389" s="26"/>
      <c r="K389" s="26"/>
      <c r="L389" s="26"/>
      <c r="M389" s="26"/>
      <c r="N389" s="26"/>
      <c r="O389" s="26"/>
      <c r="P389" s="26"/>
    </row>
    <row r="390" spans="1:16" ht="14.25" customHeight="1" x14ac:dyDescent="0.35">
      <c r="A390" s="960"/>
      <c r="B390" s="26"/>
      <c r="D390" s="93"/>
      <c r="E390" s="61"/>
      <c r="F390" s="61"/>
      <c r="G390" s="61"/>
      <c r="H390" s="61"/>
      <c r="I390" s="26"/>
      <c r="J390" s="26"/>
      <c r="K390" s="26"/>
      <c r="L390" s="26"/>
      <c r="M390" s="26"/>
      <c r="N390" s="26"/>
      <c r="O390" s="26"/>
      <c r="P390" s="26"/>
    </row>
    <row r="391" spans="1:16" ht="14.25" customHeight="1" x14ac:dyDescent="0.35">
      <c r="A391" s="960"/>
      <c r="B391" s="26"/>
      <c r="D391" s="93"/>
      <c r="E391" s="61"/>
      <c r="F391" s="61"/>
      <c r="G391" s="61"/>
      <c r="H391" s="61"/>
      <c r="I391" s="26"/>
      <c r="J391" s="26"/>
      <c r="K391" s="26"/>
      <c r="L391" s="26"/>
      <c r="M391" s="26"/>
      <c r="N391" s="26"/>
      <c r="O391" s="26"/>
      <c r="P391" s="26"/>
    </row>
    <row r="392" spans="1:16" ht="14.25" customHeight="1" x14ac:dyDescent="0.35">
      <c r="A392" s="960"/>
      <c r="B392" s="26"/>
      <c r="D392" s="93"/>
      <c r="E392" s="61"/>
      <c r="F392" s="61"/>
      <c r="G392" s="61"/>
      <c r="H392" s="61"/>
      <c r="I392" s="26"/>
      <c r="J392" s="26"/>
      <c r="K392" s="26"/>
      <c r="L392" s="26"/>
      <c r="M392" s="26"/>
      <c r="N392" s="26"/>
      <c r="O392" s="26"/>
      <c r="P392" s="26"/>
    </row>
    <row r="393" spans="1:16" ht="14.25" customHeight="1" x14ac:dyDescent="0.35">
      <c r="A393" s="960"/>
      <c r="B393" s="26"/>
      <c r="D393" s="93"/>
      <c r="E393" s="61"/>
      <c r="F393" s="61"/>
      <c r="G393" s="61"/>
      <c r="H393" s="61"/>
      <c r="I393" s="26"/>
      <c r="J393" s="26"/>
      <c r="K393" s="26"/>
      <c r="L393" s="26"/>
      <c r="M393" s="26"/>
      <c r="N393" s="26"/>
      <c r="O393" s="26"/>
      <c r="P393" s="26"/>
    </row>
    <row r="394" spans="1:16" ht="14.25" customHeight="1" x14ac:dyDescent="0.35">
      <c r="A394" s="960"/>
      <c r="B394" s="26"/>
      <c r="D394" s="93"/>
      <c r="E394" s="61"/>
      <c r="F394" s="61"/>
      <c r="G394" s="61"/>
      <c r="H394" s="61"/>
      <c r="I394" s="26"/>
      <c r="J394" s="26"/>
      <c r="K394" s="26"/>
      <c r="L394" s="26"/>
      <c r="M394" s="26"/>
      <c r="N394" s="26"/>
      <c r="O394" s="26"/>
      <c r="P394" s="26"/>
    </row>
    <row r="395" spans="1:16" ht="14.25" customHeight="1" x14ac:dyDescent="0.35">
      <c r="A395" s="960"/>
      <c r="B395" s="26"/>
      <c r="D395" s="93"/>
      <c r="E395" s="61"/>
      <c r="F395" s="61"/>
      <c r="G395" s="61"/>
      <c r="H395" s="61"/>
      <c r="I395" s="26"/>
      <c r="J395" s="26"/>
      <c r="K395" s="26"/>
      <c r="L395" s="26"/>
      <c r="M395" s="26"/>
      <c r="N395" s="26"/>
      <c r="O395" s="26"/>
      <c r="P395" s="26"/>
    </row>
    <row r="396" spans="1:16" ht="14.25" customHeight="1" x14ac:dyDescent="0.35">
      <c r="A396" s="960"/>
      <c r="B396" s="26"/>
      <c r="D396" s="93"/>
      <c r="E396" s="61"/>
      <c r="F396" s="61"/>
      <c r="G396" s="61"/>
      <c r="H396" s="61"/>
      <c r="I396" s="26"/>
      <c r="J396" s="26"/>
      <c r="K396" s="26"/>
      <c r="L396" s="26"/>
      <c r="M396" s="26"/>
      <c r="N396" s="26"/>
      <c r="O396" s="26"/>
      <c r="P396" s="26"/>
    </row>
    <row r="397" spans="1:16" ht="14.25" customHeight="1" x14ac:dyDescent="0.35">
      <c r="A397" s="960"/>
      <c r="B397" s="26"/>
      <c r="D397" s="93"/>
      <c r="E397" s="61"/>
      <c r="F397" s="61"/>
      <c r="G397" s="61"/>
      <c r="H397" s="61"/>
      <c r="I397" s="26"/>
      <c r="J397" s="26"/>
      <c r="K397" s="26"/>
      <c r="L397" s="26"/>
      <c r="M397" s="26"/>
      <c r="N397" s="26"/>
      <c r="O397" s="26"/>
      <c r="P397" s="26"/>
    </row>
    <row r="398" spans="1:16" ht="14.25" customHeight="1" x14ac:dyDescent="0.35">
      <c r="A398" s="960"/>
      <c r="B398" s="26"/>
      <c r="D398" s="93"/>
      <c r="E398" s="61"/>
      <c r="F398" s="61"/>
      <c r="G398" s="61"/>
      <c r="H398" s="61"/>
      <c r="I398" s="26"/>
      <c r="J398" s="26"/>
      <c r="K398" s="26"/>
      <c r="L398" s="26"/>
      <c r="M398" s="26"/>
      <c r="N398" s="26"/>
      <c r="O398" s="26"/>
      <c r="P398" s="26"/>
    </row>
    <row r="399" spans="1:16" ht="14.25" customHeight="1" x14ac:dyDescent="0.35">
      <c r="A399" s="960"/>
      <c r="B399" s="26"/>
      <c r="D399" s="93"/>
      <c r="E399" s="61"/>
      <c r="F399" s="61"/>
      <c r="G399" s="61"/>
      <c r="H399" s="61"/>
      <c r="I399" s="26"/>
      <c r="J399" s="26"/>
      <c r="K399" s="26"/>
      <c r="L399" s="26"/>
      <c r="M399" s="26"/>
      <c r="N399" s="26"/>
      <c r="O399" s="26"/>
      <c r="P399" s="26"/>
    </row>
    <row r="400" spans="1:16" ht="14.25" customHeight="1" x14ac:dyDescent="0.35">
      <c r="A400" s="960"/>
      <c r="B400" s="26"/>
      <c r="D400" s="93"/>
      <c r="E400" s="61"/>
      <c r="F400" s="61"/>
      <c r="G400" s="61"/>
      <c r="H400" s="61"/>
      <c r="I400" s="26"/>
      <c r="J400" s="26"/>
      <c r="K400" s="26"/>
      <c r="L400" s="26"/>
      <c r="M400" s="26"/>
      <c r="N400" s="26"/>
      <c r="O400" s="26"/>
      <c r="P400" s="26"/>
    </row>
    <row r="401" spans="1:16" ht="14.25" customHeight="1" x14ac:dyDescent="0.35">
      <c r="A401" s="960"/>
      <c r="B401" s="26"/>
      <c r="D401" s="93"/>
      <c r="E401" s="61"/>
      <c r="F401" s="61"/>
      <c r="G401" s="61"/>
      <c r="H401" s="61"/>
      <c r="I401" s="26"/>
      <c r="J401" s="26"/>
      <c r="K401" s="26"/>
      <c r="L401" s="26"/>
      <c r="M401" s="26"/>
      <c r="N401" s="26"/>
      <c r="O401" s="26"/>
      <c r="P401" s="26"/>
    </row>
    <row r="402" spans="1:16" ht="14.25" customHeight="1" x14ac:dyDescent="0.35">
      <c r="A402" s="960"/>
      <c r="B402" s="26"/>
      <c r="D402" s="93"/>
      <c r="E402" s="61"/>
      <c r="F402" s="61"/>
      <c r="G402" s="61"/>
      <c r="H402" s="61"/>
      <c r="I402" s="26"/>
      <c r="J402" s="26"/>
      <c r="K402" s="26"/>
      <c r="L402" s="26"/>
      <c r="M402" s="26"/>
      <c r="N402" s="26"/>
      <c r="O402" s="26"/>
      <c r="P402" s="26"/>
    </row>
    <row r="403" spans="1:16" ht="14.25" customHeight="1" x14ac:dyDescent="0.35">
      <c r="A403" s="960"/>
      <c r="B403" s="26"/>
      <c r="D403" s="93"/>
      <c r="E403" s="61"/>
      <c r="F403" s="61"/>
      <c r="G403" s="61"/>
      <c r="H403" s="61"/>
      <c r="I403" s="26"/>
      <c r="J403" s="26"/>
      <c r="K403" s="26"/>
      <c r="L403" s="26"/>
      <c r="M403" s="26"/>
      <c r="N403" s="26"/>
      <c r="O403" s="26"/>
      <c r="P403" s="26"/>
    </row>
    <row r="404" spans="1:16" ht="14.25" customHeight="1" x14ac:dyDescent="0.35">
      <c r="A404" s="960"/>
      <c r="B404" s="26"/>
      <c r="D404" s="93"/>
      <c r="E404" s="61"/>
      <c r="F404" s="61"/>
      <c r="G404" s="61"/>
      <c r="H404" s="61"/>
      <c r="I404" s="26"/>
      <c r="J404" s="26"/>
      <c r="K404" s="26"/>
      <c r="L404" s="26"/>
      <c r="M404" s="26"/>
      <c r="N404" s="26"/>
      <c r="O404" s="26"/>
      <c r="P404" s="26"/>
    </row>
    <row r="405" spans="1:16" ht="14.25" customHeight="1" x14ac:dyDescent="0.35">
      <c r="A405" s="960"/>
      <c r="B405" s="26"/>
      <c r="D405" s="93"/>
      <c r="E405" s="61"/>
      <c r="F405" s="61"/>
      <c r="G405" s="61"/>
      <c r="H405" s="61"/>
      <c r="I405" s="26"/>
      <c r="J405" s="26"/>
      <c r="K405" s="26"/>
      <c r="L405" s="26"/>
      <c r="M405" s="26"/>
      <c r="N405" s="26"/>
      <c r="O405" s="26"/>
      <c r="P405" s="26"/>
    </row>
    <row r="406" spans="1:16" ht="14.25" customHeight="1" x14ac:dyDescent="0.35">
      <c r="A406" s="960"/>
      <c r="B406" s="26"/>
      <c r="D406" s="93"/>
      <c r="E406" s="61"/>
      <c r="F406" s="61"/>
      <c r="G406" s="61"/>
      <c r="H406" s="61"/>
      <c r="I406" s="26"/>
      <c r="J406" s="26"/>
      <c r="K406" s="26"/>
      <c r="L406" s="26"/>
      <c r="M406" s="26"/>
      <c r="N406" s="26"/>
      <c r="O406" s="26"/>
      <c r="P406" s="26"/>
    </row>
    <row r="407" spans="1:16" ht="14.25" customHeight="1" x14ac:dyDescent="0.35">
      <c r="A407" s="960"/>
      <c r="B407" s="26"/>
      <c r="D407" s="93"/>
      <c r="E407" s="61"/>
      <c r="F407" s="61"/>
      <c r="G407" s="61"/>
      <c r="H407" s="61"/>
      <c r="I407" s="26"/>
      <c r="J407" s="26"/>
      <c r="K407" s="26"/>
      <c r="L407" s="26"/>
      <c r="M407" s="26"/>
      <c r="N407" s="26"/>
      <c r="O407" s="26"/>
      <c r="P407" s="26"/>
    </row>
    <row r="408" spans="1:16" ht="14.25" customHeight="1" x14ac:dyDescent="0.35">
      <c r="A408" s="960"/>
      <c r="B408" s="26"/>
      <c r="D408" s="93"/>
      <c r="E408" s="61"/>
      <c r="F408" s="61"/>
      <c r="G408" s="61"/>
      <c r="H408" s="61"/>
      <c r="I408" s="26"/>
      <c r="J408" s="26"/>
      <c r="K408" s="26"/>
      <c r="L408" s="26"/>
      <c r="M408" s="26"/>
      <c r="N408" s="26"/>
      <c r="O408" s="26"/>
      <c r="P408" s="26"/>
    </row>
    <row r="409" spans="1:16" ht="14.25" customHeight="1" x14ac:dyDescent="0.35">
      <c r="A409" s="960"/>
      <c r="B409" s="26"/>
      <c r="D409" s="93"/>
      <c r="E409" s="61"/>
      <c r="F409" s="61"/>
      <c r="G409" s="61"/>
      <c r="H409" s="61"/>
      <c r="I409" s="26"/>
      <c r="J409" s="26"/>
      <c r="K409" s="26"/>
      <c r="L409" s="26"/>
      <c r="M409" s="26"/>
      <c r="N409" s="26"/>
      <c r="O409" s="26"/>
      <c r="P409" s="26"/>
    </row>
    <row r="410" spans="1:16" ht="14.25" customHeight="1" x14ac:dyDescent="0.35">
      <c r="A410" s="960"/>
      <c r="B410" s="26"/>
      <c r="D410" s="93"/>
      <c r="E410" s="61"/>
      <c r="F410" s="61"/>
      <c r="G410" s="61"/>
      <c r="H410" s="61"/>
      <c r="I410" s="26"/>
      <c r="J410" s="26"/>
      <c r="K410" s="26"/>
      <c r="L410" s="26"/>
      <c r="M410" s="26"/>
      <c r="N410" s="26"/>
      <c r="O410" s="26"/>
      <c r="P410" s="26"/>
    </row>
    <row r="411" spans="1:16" ht="14.25" customHeight="1" x14ac:dyDescent="0.35">
      <c r="A411" s="960"/>
      <c r="B411" s="26"/>
      <c r="D411" s="93"/>
      <c r="E411" s="61"/>
      <c r="F411" s="61"/>
      <c r="G411" s="61"/>
      <c r="H411" s="61"/>
      <c r="I411" s="26"/>
      <c r="J411" s="26"/>
      <c r="K411" s="26"/>
      <c r="L411" s="26"/>
      <c r="M411" s="26"/>
      <c r="N411" s="26"/>
      <c r="O411" s="26"/>
      <c r="P411" s="26"/>
    </row>
    <row r="412" spans="1:16" ht="14.25" customHeight="1" x14ac:dyDescent="0.35">
      <c r="A412" s="960"/>
      <c r="B412" s="26"/>
      <c r="D412" s="93"/>
      <c r="E412" s="61"/>
      <c r="F412" s="61"/>
      <c r="G412" s="61"/>
      <c r="H412" s="61"/>
      <c r="I412" s="26"/>
      <c r="J412" s="26"/>
      <c r="K412" s="26"/>
      <c r="L412" s="26"/>
      <c r="M412" s="26"/>
      <c r="N412" s="26"/>
      <c r="O412" s="26"/>
      <c r="P412" s="26"/>
    </row>
    <row r="413" spans="1:16" ht="14.25" customHeight="1" x14ac:dyDescent="0.35">
      <c r="A413" s="960"/>
      <c r="B413" s="26"/>
      <c r="D413" s="93"/>
      <c r="E413" s="61"/>
      <c r="F413" s="61"/>
      <c r="G413" s="61"/>
      <c r="H413" s="61"/>
      <c r="I413" s="26"/>
      <c r="J413" s="26"/>
      <c r="K413" s="26"/>
      <c r="L413" s="26"/>
      <c r="M413" s="26"/>
      <c r="N413" s="26"/>
      <c r="O413" s="26"/>
      <c r="P413" s="26"/>
    </row>
    <row r="414" spans="1:16" ht="14.25" customHeight="1" x14ac:dyDescent="0.35">
      <c r="A414" s="960"/>
      <c r="B414" s="26"/>
      <c r="D414" s="93"/>
      <c r="E414" s="61"/>
      <c r="F414" s="61"/>
      <c r="G414" s="61"/>
      <c r="H414" s="61"/>
      <c r="I414" s="26"/>
      <c r="J414" s="26"/>
      <c r="K414" s="26"/>
      <c r="L414" s="26"/>
      <c r="M414" s="26"/>
      <c r="N414" s="26"/>
      <c r="O414" s="26"/>
      <c r="P414" s="26"/>
    </row>
    <row r="415" spans="1:16" ht="14.25" customHeight="1" x14ac:dyDescent="0.35">
      <c r="A415" s="960"/>
      <c r="B415" s="26"/>
      <c r="D415" s="93"/>
      <c r="E415" s="61"/>
      <c r="F415" s="61"/>
      <c r="G415" s="61"/>
      <c r="H415" s="61"/>
      <c r="I415" s="26"/>
      <c r="J415" s="26"/>
      <c r="K415" s="26"/>
      <c r="L415" s="26"/>
      <c r="M415" s="26"/>
      <c r="N415" s="26"/>
      <c r="O415" s="26"/>
      <c r="P415" s="26"/>
    </row>
    <row r="416" spans="1:16" ht="14.25" customHeight="1" x14ac:dyDescent="0.35">
      <c r="A416" s="960"/>
      <c r="B416" s="26"/>
      <c r="D416" s="93"/>
      <c r="E416" s="61"/>
      <c r="F416" s="61"/>
      <c r="G416" s="61"/>
      <c r="H416" s="61"/>
      <c r="I416" s="26"/>
      <c r="J416" s="26"/>
      <c r="K416" s="26"/>
      <c r="L416" s="26"/>
      <c r="M416" s="26"/>
      <c r="N416" s="26"/>
      <c r="O416" s="26"/>
      <c r="P416" s="26"/>
    </row>
    <row r="417" spans="1:16" ht="14.25" customHeight="1" x14ac:dyDescent="0.35">
      <c r="A417" s="960"/>
      <c r="B417" s="26"/>
      <c r="D417" s="93"/>
      <c r="E417" s="61"/>
      <c r="F417" s="61"/>
      <c r="G417" s="61"/>
      <c r="H417" s="61"/>
      <c r="I417" s="26"/>
      <c r="J417" s="26"/>
      <c r="K417" s="26"/>
      <c r="L417" s="26"/>
      <c r="M417" s="26"/>
      <c r="N417" s="26"/>
      <c r="O417" s="26"/>
      <c r="P417" s="26"/>
    </row>
    <row r="418" spans="1:16" ht="14.25" customHeight="1" x14ac:dyDescent="0.35">
      <c r="A418" s="960"/>
      <c r="B418" s="26"/>
      <c r="D418" s="93"/>
      <c r="E418" s="61"/>
      <c r="F418" s="61"/>
      <c r="G418" s="61"/>
      <c r="H418" s="61"/>
      <c r="I418" s="26"/>
      <c r="J418" s="26"/>
      <c r="K418" s="26"/>
      <c r="L418" s="26"/>
      <c r="M418" s="26"/>
      <c r="N418" s="26"/>
      <c r="O418" s="26"/>
      <c r="P418" s="26"/>
    </row>
    <row r="419" spans="1:16" ht="14.25" customHeight="1" x14ac:dyDescent="0.35">
      <c r="A419" s="960"/>
      <c r="B419" s="26"/>
      <c r="D419" s="93"/>
      <c r="E419" s="61"/>
      <c r="F419" s="61"/>
      <c r="G419" s="61"/>
      <c r="H419" s="61"/>
      <c r="I419" s="26"/>
      <c r="J419" s="26"/>
      <c r="K419" s="26"/>
      <c r="L419" s="26"/>
      <c r="M419" s="26"/>
      <c r="N419" s="26"/>
      <c r="O419" s="26"/>
      <c r="P419" s="26"/>
    </row>
    <row r="420" spans="1:16" ht="14.25" customHeight="1" x14ac:dyDescent="0.35">
      <c r="A420" s="960"/>
      <c r="B420" s="26"/>
      <c r="D420" s="93"/>
      <c r="E420" s="61"/>
      <c r="F420" s="61"/>
      <c r="G420" s="61"/>
      <c r="H420" s="61"/>
      <c r="I420" s="26"/>
      <c r="J420" s="26"/>
      <c r="K420" s="26"/>
      <c r="L420" s="26"/>
      <c r="M420" s="26"/>
      <c r="N420" s="26"/>
      <c r="O420" s="26"/>
      <c r="P420" s="26"/>
    </row>
    <row r="421" spans="1:16" ht="14.25" customHeight="1" x14ac:dyDescent="0.35">
      <c r="A421" s="960"/>
      <c r="B421" s="26"/>
      <c r="D421" s="93"/>
      <c r="E421" s="61"/>
      <c r="F421" s="61"/>
      <c r="G421" s="61"/>
      <c r="H421" s="61"/>
      <c r="I421" s="26"/>
      <c r="J421" s="26"/>
      <c r="K421" s="26"/>
      <c r="L421" s="26"/>
      <c r="M421" s="26"/>
      <c r="N421" s="26"/>
      <c r="O421" s="26"/>
      <c r="P421" s="26"/>
    </row>
    <row r="422" spans="1:16" ht="14.25" customHeight="1" x14ac:dyDescent="0.35">
      <c r="A422" s="960"/>
      <c r="B422" s="26"/>
      <c r="D422" s="93"/>
      <c r="E422" s="61"/>
      <c r="F422" s="61"/>
      <c r="G422" s="61"/>
      <c r="H422" s="61"/>
      <c r="I422" s="26"/>
      <c r="J422" s="26"/>
      <c r="K422" s="26"/>
      <c r="L422" s="26"/>
      <c r="M422" s="26"/>
      <c r="N422" s="26"/>
      <c r="O422" s="26"/>
      <c r="P422" s="26"/>
    </row>
    <row r="423" spans="1:16" ht="14.25" customHeight="1" x14ac:dyDescent="0.35">
      <c r="A423" s="960"/>
      <c r="B423" s="26"/>
      <c r="D423" s="93"/>
      <c r="E423" s="61"/>
      <c r="F423" s="61"/>
      <c r="G423" s="61"/>
      <c r="H423" s="61"/>
      <c r="I423" s="26"/>
      <c r="J423" s="26"/>
      <c r="K423" s="26"/>
      <c r="L423" s="26"/>
      <c r="M423" s="26"/>
      <c r="N423" s="26"/>
      <c r="O423" s="26"/>
      <c r="P423" s="26"/>
    </row>
    <row r="424" spans="1:16" ht="14.25" customHeight="1" x14ac:dyDescent="0.35">
      <c r="A424" s="960"/>
      <c r="B424" s="26"/>
      <c r="D424" s="93"/>
      <c r="E424" s="61"/>
      <c r="F424" s="61"/>
      <c r="G424" s="61"/>
      <c r="H424" s="61"/>
      <c r="I424" s="26"/>
      <c r="J424" s="26"/>
      <c r="K424" s="26"/>
      <c r="L424" s="26"/>
      <c r="M424" s="26"/>
      <c r="N424" s="26"/>
      <c r="O424" s="26"/>
      <c r="P424" s="26"/>
    </row>
    <row r="425" spans="1:16" ht="14.25" customHeight="1" x14ac:dyDescent="0.35">
      <c r="A425" s="960"/>
      <c r="B425" s="26"/>
      <c r="D425" s="93"/>
      <c r="E425" s="61"/>
      <c r="F425" s="61"/>
      <c r="G425" s="61"/>
      <c r="H425" s="61"/>
      <c r="I425" s="26"/>
      <c r="J425" s="26"/>
      <c r="K425" s="26"/>
      <c r="L425" s="26"/>
      <c r="M425" s="26"/>
      <c r="N425" s="26"/>
      <c r="O425" s="26"/>
      <c r="P425" s="26"/>
    </row>
    <row r="426" spans="1:16" ht="14.25" customHeight="1" x14ac:dyDescent="0.35">
      <c r="A426" s="960"/>
      <c r="B426" s="26"/>
      <c r="D426" s="93"/>
      <c r="E426" s="61"/>
      <c r="F426" s="61"/>
      <c r="G426" s="61"/>
      <c r="H426" s="61"/>
      <c r="I426" s="26"/>
      <c r="J426" s="26"/>
      <c r="K426" s="26"/>
      <c r="L426" s="26"/>
      <c r="M426" s="26"/>
      <c r="N426" s="26"/>
      <c r="O426" s="26"/>
      <c r="P426" s="26"/>
    </row>
    <row r="427" spans="1:16" ht="14.25" customHeight="1" x14ac:dyDescent="0.35">
      <c r="A427" s="960"/>
      <c r="B427" s="26"/>
      <c r="D427" s="93"/>
      <c r="E427" s="61"/>
      <c r="F427" s="61"/>
      <c r="G427" s="61"/>
      <c r="H427" s="61"/>
      <c r="I427" s="26"/>
      <c r="J427" s="26"/>
      <c r="K427" s="26"/>
      <c r="L427" s="26"/>
      <c r="M427" s="26"/>
      <c r="N427" s="26"/>
      <c r="O427" s="26"/>
      <c r="P427" s="26"/>
    </row>
    <row r="428" spans="1:16" ht="14.25" customHeight="1" x14ac:dyDescent="0.35">
      <c r="A428" s="960"/>
      <c r="B428" s="26"/>
      <c r="D428" s="93"/>
      <c r="E428" s="61"/>
      <c r="F428" s="61"/>
      <c r="G428" s="61"/>
      <c r="H428" s="61"/>
      <c r="I428" s="26"/>
      <c r="J428" s="26"/>
      <c r="K428" s="26"/>
      <c r="L428" s="26"/>
      <c r="M428" s="26"/>
      <c r="N428" s="26"/>
      <c r="O428" s="26"/>
      <c r="P428" s="26"/>
    </row>
    <row r="429" spans="1:16" ht="14.25" customHeight="1" x14ac:dyDescent="0.35">
      <c r="A429" s="960"/>
      <c r="B429" s="26"/>
      <c r="D429" s="93"/>
      <c r="E429" s="61"/>
      <c r="F429" s="61"/>
      <c r="G429" s="61"/>
      <c r="H429" s="61"/>
      <c r="I429" s="26"/>
      <c r="J429" s="26"/>
      <c r="K429" s="26"/>
      <c r="L429" s="26"/>
      <c r="M429" s="26"/>
      <c r="N429" s="26"/>
      <c r="O429" s="26"/>
      <c r="P429" s="26"/>
    </row>
    <row r="430" spans="1:16" ht="14.25" customHeight="1" x14ac:dyDescent="0.35">
      <c r="A430" s="960"/>
      <c r="B430" s="26"/>
      <c r="D430" s="93"/>
      <c r="E430" s="61"/>
      <c r="F430" s="61"/>
      <c r="G430" s="61"/>
      <c r="H430" s="61"/>
      <c r="I430" s="26"/>
      <c r="J430" s="26"/>
      <c r="K430" s="26"/>
      <c r="L430" s="26"/>
      <c r="M430" s="26"/>
      <c r="N430" s="26"/>
      <c r="O430" s="26"/>
      <c r="P430" s="26"/>
    </row>
    <row r="431" spans="1:16" ht="14.25" customHeight="1" x14ac:dyDescent="0.35">
      <c r="A431" s="960"/>
      <c r="B431" s="26"/>
      <c r="D431" s="93"/>
      <c r="E431" s="61"/>
      <c r="F431" s="61"/>
      <c r="G431" s="61"/>
      <c r="H431" s="61"/>
      <c r="I431" s="26"/>
      <c r="J431" s="26"/>
      <c r="K431" s="26"/>
      <c r="L431" s="26"/>
      <c r="M431" s="26"/>
      <c r="N431" s="26"/>
      <c r="O431" s="26"/>
      <c r="P431" s="26"/>
    </row>
    <row r="432" spans="1:16" ht="14.25" customHeight="1" x14ac:dyDescent="0.35">
      <c r="A432" s="960"/>
      <c r="B432" s="26"/>
      <c r="D432" s="93"/>
      <c r="E432" s="61"/>
      <c r="F432" s="61"/>
      <c r="G432" s="61"/>
      <c r="H432" s="61"/>
      <c r="I432" s="26"/>
      <c r="J432" s="26"/>
      <c r="K432" s="26"/>
      <c r="L432" s="26"/>
      <c r="M432" s="26"/>
      <c r="N432" s="26"/>
      <c r="O432" s="26"/>
      <c r="P432" s="26"/>
    </row>
    <row r="433" spans="1:16" ht="14.25" customHeight="1" x14ac:dyDescent="0.35">
      <c r="A433" s="960"/>
      <c r="B433" s="26"/>
      <c r="D433" s="93"/>
      <c r="E433" s="61"/>
      <c r="F433" s="61"/>
      <c r="G433" s="61"/>
      <c r="H433" s="61"/>
      <c r="I433" s="26"/>
      <c r="J433" s="26"/>
      <c r="K433" s="26"/>
      <c r="L433" s="26"/>
      <c r="M433" s="26"/>
      <c r="N433" s="26"/>
      <c r="O433" s="26"/>
      <c r="P433" s="26"/>
    </row>
    <row r="434" spans="1:16" ht="14.25" customHeight="1" x14ac:dyDescent="0.35">
      <c r="A434" s="960"/>
      <c r="B434" s="26"/>
      <c r="D434" s="93"/>
      <c r="E434" s="61"/>
      <c r="F434" s="61"/>
      <c r="G434" s="61"/>
      <c r="H434" s="61"/>
      <c r="I434" s="26"/>
      <c r="J434" s="26"/>
      <c r="K434" s="26"/>
      <c r="L434" s="26"/>
      <c r="M434" s="26"/>
      <c r="N434" s="26"/>
      <c r="O434" s="26"/>
      <c r="P434" s="26"/>
    </row>
    <row r="435" spans="1:16" ht="14.25" customHeight="1" x14ac:dyDescent="0.35">
      <c r="A435" s="960"/>
      <c r="B435" s="26"/>
      <c r="D435" s="93"/>
      <c r="E435" s="61"/>
      <c r="F435" s="61"/>
      <c r="G435" s="61"/>
      <c r="H435" s="61"/>
      <c r="I435" s="26"/>
      <c r="J435" s="26"/>
      <c r="K435" s="26"/>
      <c r="L435" s="26"/>
      <c r="M435" s="26"/>
      <c r="N435" s="26"/>
      <c r="O435" s="26"/>
      <c r="P435" s="26"/>
    </row>
    <row r="436" spans="1:16" ht="14.25" customHeight="1" x14ac:dyDescent="0.35">
      <c r="A436" s="960"/>
      <c r="B436" s="26"/>
      <c r="D436" s="93"/>
      <c r="E436" s="61"/>
      <c r="F436" s="61"/>
      <c r="G436" s="61"/>
      <c r="H436" s="61"/>
      <c r="I436" s="26"/>
      <c r="J436" s="26"/>
      <c r="K436" s="26"/>
      <c r="L436" s="26"/>
      <c r="M436" s="26"/>
      <c r="N436" s="26"/>
      <c r="O436" s="26"/>
      <c r="P436" s="26"/>
    </row>
    <row r="437" spans="1:16" ht="14.25" customHeight="1" x14ac:dyDescent="0.35">
      <c r="A437" s="960"/>
      <c r="B437" s="26"/>
      <c r="D437" s="93"/>
      <c r="E437" s="61"/>
      <c r="F437" s="61"/>
      <c r="G437" s="61"/>
      <c r="H437" s="61"/>
      <c r="I437" s="26"/>
      <c r="J437" s="26"/>
      <c r="K437" s="26"/>
      <c r="L437" s="26"/>
      <c r="M437" s="26"/>
      <c r="N437" s="26"/>
      <c r="O437" s="26"/>
      <c r="P437" s="26"/>
    </row>
    <row r="438" spans="1:16" ht="14.25" customHeight="1" x14ac:dyDescent="0.35">
      <c r="A438" s="960"/>
      <c r="B438" s="26"/>
      <c r="D438" s="93"/>
      <c r="E438" s="61"/>
      <c r="F438" s="61"/>
      <c r="G438" s="61"/>
      <c r="H438" s="61"/>
      <c r="I438" s="26"/>
      <c r="J438" s="26"/>
      <c r="K438" s="26"/>
      <c r="L438" s="26"/>
      <c r="M438" s="26"/>
      <c r="N438" s="26"/>
      <c r="O438" s="26"/>
      <c r="P438" s="26"/>
    </row>
    <row r="439" spans="1:16" ht="14.25" customHeight="1" x14ac:dyDescent="0.35">
      <c r="A439" s="960"/>
      <c r="B439" s="26"/>
      <c r="D439" s="93"/>
      <c r="E439" s="61"/>
      <c r="F439" s="61"/>
      <c r="G439" s="61"/>
      <c r="H439" s="61"/>
      <c r="I439" s="26"/>
      <c r="J439" s="26"/>
      <c r="K439" s="26"/>
      <c r="L439" s="26"/>
      <c r="M439" s="26"/>
      <c r="N439" s="26"/>
      <c r="O439" s="26"/>
      <c r="P439" s="26"/>
    </row>
    <row r="440" spans="1:16" ht="14.25" customHeight="1" x14ac:dyDescent="0.35">
      <c r="A440" s="960"/>
      <c r="B440" s="26"/>
      <c r="D440" s="93"/>
      <c r="E440" s="61"/>
      <c r="F440" s="61"/>
      <c r="G440" s="61"/>
      <c r="H440" s="61"/>
      <c r="I440" s="26"/>
      <c r="J440" s="26"/>
      <c r="K440" s="26"/>
      <c r="L440" s="26"/>
      <c r="M440" s="26"/>
      <c r="N440" s="26"/>
      <c r="O440" s="26"/>
      <c r="P440" s="26"/>
    </row>
    <row r="441" spans="1:16" ht="14.25" customHeight="1" x14ac:dyDescent="0.35">
      <c r="A441" s="960"/>
      <c r="B441" s="26"/>
      <c r="D441" s="93"/>
      <c r="E441" s="61"/>
      <c r="F441" s="61"/>
      <c r="G441" s="61"/>
      <c r="H441" s="61"/>
      <c r="I441" s="26"/>
      <c r="J441" s="26"/>
      <c r="K441" s="26"/>
      <c r="L441" s="26"/>
      <c r="M441" s="26"/>
      <c r="N441" s="26"/>
      <c r="O441" s="26"/>
      <c r="P441" s="26"/>
    </row>
    <row r="442" spans="1:16" ht="14.25" customHeight="1" x14ac:dyDescent="0.35">
      <c r="A442" s="960"/>
      <c r="B442" s="26"/>
      <c r="D442" s="93"/>
      <c r="E442" s="61"/>
      <c r="F442" s="61"/>
      <c r="G442" s="61"/>
      <c r="H442" s="61"/>
      <c r="I442" s="26"/>
      <c r="J442" s="26"/>
      <c r="K442" s="26"/>
      <c r="L442" s="26"/>
      <c r="M442" s="26"/>
      <c r="N442" s="26"/>
      <c r="O442" s="26"/>
      <c r="P442" s="26"/>
    </row>
    <row r="443" spans="1:16" ht="14.25" customHeight="1" x14ac:dyDescent="0.35">
      <c r="A443" s="960"/>
      <c r="B443" s="26"/>
      <c r="D443" s="93"/>
      <c r="E443" s="61"/>
      <c r="F443" s="61"/>
      <c r="G443" s="61"/>
      <c r="H443" s="61"/>
      <c r="I443" s="26"/>
      <c r="J443" s="26"/>
      <c r="K443" s="26"/>
      <c r="L443" s="26"/>
      <c r="M443" s="26"/>
      <c r="N443" s="26"/>
      <c r="O443" s="26"/>
      <c r="P443" s="26"/>
    </row>
    <row r="444" spans="1:16" ht="14.25" customHeight="1" x14ac:dyDescent="0.35">
      <c r="A444" s="960"/>
      <c r="B444" s="26"/>
      <c r="D444" s="93"/>
      <c r="E444" s="61"/>
      <c r="F444" s="61"/>
      <c r="G444" s="61"/>
      <c r="H444" s="61"/>
      <c r="I444" s="26"/>
      <c r="J444" s="26"/>
      <c r="K444" s="26"/>
      <c r="L444" s="26"/>
      <c r="M444" s="26"/>
      <c r="N444" s="26"/>
      <c r="O444" s="26"/>
      <c r="P444" s="26"/>
    </row>
    <row r="445" spans="1:16" ht="14.25" customHeight="1" x14ac:dyDescent="0.35">
      <c r="A445" s="960"/>
      <c r="B445" s="26"/>
      <c r="D445" s="93"/>
      <c r="E445" s="61"/>
      <c r="F445" s="61"/>
      <c r="G445" s="61"/>
      <c r="H445" s="61"/>
      <c r="I445" s="26"/>
      <c r="J445" s="26"/>
      <c r="K445" s="26"/>
      <c r="L445" s="26"/>
      <c r="M445" s="26"/>
      <c r="N445" s="26"/>
      <c r="O445" s="26"/>
      <c r="P445" s="26"/>
    </row>
    <row r="446" spans="1:16" ht="14.25" customHeight="1" x14ac:dyDescent="0.35">
      <c r="A446" s="960"/>
      <c r="B446" s="26"/>
      <c r="D446" s="93"/>
      <c r="E446" s="61"/>
      <c r="F446" s="61"/>
      <c r="G446" s="61"/>
      <c r="H446" s="61"/>
      <c r="I446" s="26"/>
      <c r="J446" s="26"/>
      <c r="K446" s="26"/>
      <c r="L446" s="26"/>
      <c r="M446" s="26"/>
      <c r="N446" s="26"/>
      <c r="O446" s="26"/>
      <c r="P446" s="26"/>
    </row>
    <row r="447" spans="1:16" ht="14.25" customHeight="1" x14ac:dyDescent="0.35">
      <c r="A447" s="960"/>
      <c r="B447" s="26"/>
      <c r="D447" s="93"/>
      <c r="E447" s="61"/>
      <c r="F447" s="61"/>
      <c r="G447" s="61"/>
      <c r="H447" s="61"/>
      <c r="I447" s="26"/>
      <c r="J447" s="26"/>
      <c r="K447" s="26"/>
      <c r="L447" s="26"/>
      <c r="M447" s="26"/>
      <c r="N447" s="26"/>
      <c r="O447" s="26"/>
      <c r="P447" s="26"/>
    </row>
    <row r="448" spans="1:16" ht="14.25" customHeight="1" x14ac:dyDescent="0.35">
      <c r="A448" s="960"/>
      <c r="B448" s="26"/>
      <c r="D448" s="93"/>
      <c r="E448" s="61"/>
      <c r="F448" s="61"/>
      <c r="G448" s="61"/>
      <c r="H448" s="61"/>
      <c r="I448" s="26"/>
      <c r="J448" s="26"/>
      <c r="K448" s="26"/>
      <c r="L448" s="26"/>
      <c r="M448" s="26"/>
      <c r="N448" s="26"/>
      <c r="O448" s="26"/>
      <c r="P448" s="26"/>
    </row>
    <row r="449" spans="1:16" ht="14.25" customHeight="1" x14ac:dyDescent="0.35">
      <c r="A449" s="960"/>
      <c r="B449" s="26"/>
      <c r="D449" s="93"/>
      <c r="E449" s="61"/>
      <c r="F449" s="61"/>
      <c r="G449" s="61"/>
      <c r="H449" s="61"/>
      <c r="I449" s="26"/>
      <c r="J449" s="26"/>
      <c r="K449" s="26"/>
      <c r="L449" s="26"/>
      <c r="M449" s="26"/>
      <c r="N449" s="26"/>
      <c r="O449" s="26"/>
      <c r="P449" s="26"/>
    </row>
    <row r="450" spans="1:16" ht="14.25" customHeight="1" x14ac:dyDescent="0.35">
      <c r="A450" s="960"/>
      <c r="B450" s="26"/>
      <c r="D450" s="93"/>
      <c r="E450" s="61"/>
      <c r="F450" s="61"/>
      <c r="G450" s="61"/>
      <c r="H450" s="61"/>
      <c r="I450" s="26"/>
      <c r="J450" s="26"/>
      <c r="K450" s="26"/>
      <c r="L450" s="26"/>
      <c r="M450" s="26"/>
      <c r="N450" s="26"/>
      <c r="O450" s="26"/>
      <c r="P450" s="26"/>
    </row>
    <row r="451" spans="1:16" ht="14.25" customHeight="1" x14ac:dyDescent="0.35">
      <c r="A451" s="960"/>
      <c r="B451" s="26"/>
      <c r="D451" s="93"/>
      <c r="E451" s="61"/>
      <c r="F451" s="61"/>
      <c r="G451" s="61"/>
      <c r="H451" s="61"/>
      <c r="I451" s="26"/>
      <c r="J451" s="26"/>
      <c r="K451" s="26"/>
      <c r="L451" s="26"/>
      <c r="M451" s="26"/>
      <c r="N451" s="26"/>
      <c r="O451" s="26"/>
      <c r="P451" s="26"/>
    </row>
    <row r="452" spans="1:16" ht="14.25" customHeight="1" x14ac:dyDescent="0.35">
      <c r="A452" s="960"/>
      <c r="B452" s="26"/>
      <c r="D452" s="93"/>
      <c r="E452" s="61"/>
      <c r="F452" s="61"/>
      <c r="G452" s="61"/>
      <c r="H452" s="61"/>
      <c r="I452" s="26"/>
      <c r="J452" s="26"/>
      <c r="K452" s="26"/>
      <c r="L452" s="26"/>
      <c r="M452" s="26"/>
      <c r="N452" s="26"/>
      <c r="O452" s="26"/>
      <c r="P452" s="26"/>
    </row>
    <row r="453" spans="1:16" ht="14.25" customHeight="1" x14ac:dyDescent="0.35">
      <c r="A453" s="960"/>
      <c r="B453" s="26"/>
      <c r="D453" s="93"/>
      <c r="E453" s="61"/>
      <c r="F453" s="61"/>
      <c r="G453" s="61"/>
      <c r="H453" s="61"/>
      <c r="I453" s="26"/>
      <c r="J453" s="26"/>
      <c r="K453" s="26"/>
      <c r="L453" s="26"/>
      <c r="M453" s="26"/>
      <c r="N453" s="26"/>
      <c r="O453" s="26"/>
      <c r="P453" s="26"/>
    </row>
    <row r="454" spans="1:16" ht="14.25" customHeight="1" x14ac:dyDescent="0.35">
      <c r="A454" s="960"/>
      <c r="B454" s="26"/>
      <c r="D454" s="93"/>
      <c r="E454" s="61"/>
      <c r="F454" s="61"/>
      <c r="G454" s="61"/>
      <c r="H454" s="61"/>
      <c r="I454" s="26"/>
      <c r="J454" s="26"/>
      <c r="K454" s="26"/>
      <c r="L454" s="26"/>
      <c r="M454" s="26"/>
      <c r="N454" s="26"/>
      <c r="O454" s="26"/>
      <c r="P454" s="26"/>
    </row>
    <row r="455" spans="1:16" ht="14.25" customHeight="1" x14ac:dyDescent="0.35">
      <c r="A455" s="960"/>
      <c r="B455" s="26"/>
      <c r="D455" s="93"/>
      <c r="E455" s="61"/>
      <c r="F455" s="61"/>
      <c r="G455" s="61"/>
      <c r="H455" s="61"/>
      <c r="I455" s="26"/>
      <c r="J455" s="26"/>
      <c r="K455" s="26"/>
      <c r="L455" s="26"/>
      <c r="M455" s="26"/>
      <c r="N455" s="26"/>
      <c r="O455" s="26"/>
      <c r="P455" s="26"/>
    </row>
    <row r="456" spans="1:16" ht="14.25" customHeight="1" x14ac:dyDescent="0.35">
      <c r="A456" s="960"/>
      <c r="B456" s="26"/>
      <c r="D456" s="93"/>
      <c r="E456" s="61"/>
      <c r="F456" s="61"/>
      <c r="G456" s="61"/>
      <c r="H456" s="61"/>
      <c r="I456" s="26"/>
      <c r="J456" s="26"/>
      <c r="K456" s="26"/>
      <c r="L456" s="26"/>
      <c r="M456" s="26"/>
      <c r="N456" s="26"/>
      <c r="O456" s="26"/>
      <c r="P456" s="26"/>
    </row>
    <row r="457" spans="1:16" ht="14.25" customHeight="1" x14ac:dyDescent="0.35">
      <c r="A457" s="960"/>
      <c r="B457" s="26"/>
      <c r="D457" s="93"/>
      <c r="E457" s="61"/>
      <c r="F457" s="61"/>
      <c r="G457" s="61"/>
      <c r="H457" s="61"/>
      <c r="I457" s="26"/>
      <c r="J457" s="26"/>
      <c r="K457" s="26"/>
      <c r="L457" s="26"/>
      <c r="M457" s="26"/>
      <c r="N457" s="26"/>
      <c r="O457" s="26"/>
      <c r="P457" s="26"/>
    </row>
    <row r="458" spans="1:16" ht="14.25" customHeight="1" x14ac:dyDescent="0.35">
      <c r="A458" s="960"/>
      <c r="B458" s="26"/>
      <c r="D458" s="93"/>
      <c r="E458" s="61"/>
      <c r="F458" s="61"/>
      <c r="G458" s="61"/>
      <c r="H458" s="61"/>
      <c r="I458" s="26"/>
      <c r="J458" s="26"/>
      <c r="K458" s="26"/>
      <c r="L458" s="26"/>
      <c r="M458" s="26"/>
      <c r="N458" s="26"/>
      <c r="O458" s="26"/>
      <c r="P458" s="26"/>
    </row>
    <row r="459" spans="1:16" ht="14.25" customHeight="1" x14ac:dyDescent="0.35">
      <c r="A459" s="960"/>
      <c r="B459" s="26"/>
      <c r="D459" s="93"/>
      <c r="E459" s="61"/>
      <c r="F459" s="61"/>
      <c r="G459" s="61"/>
      <c r="H459" s="61"/>
      <c r="I459" s="26"/>
      <c r="J459" s="26"/>
      <c r="K459" s="26"/>
      <c r="L459" s="26"/>
      <c r="M459" s="26"/>
      <c r="N459" s="26"/>
      <c r="O459" s="26"/>
      <c r="P459" s="26"/>
    </row>
    <row r="460" spans="1:16" ht="14.25" customHeight="1" x14ac:dyDescent="0.35">
      <c r="A460" s="960"/>
      <c r="B460" s="26"/>
      <c r="D460" s="93"/>
      <c r="E460" s="61"/>
      <c r="F460" s="61"/>
      <c r="G460" s="61"/>
      <c r="H460" s="61"/>
      <c r="I460" s="26"/>
      <c r="J460" s="26"/>
      <c r="K460" s="26"/>
      <c r="L460" s="26"/>
      <c r="M460" s="26"/>
      <c r="N460" s="26"/>
      <c r="O460" s="26"/>
      <c r="P460" s="26"/>
    </row>
    <row r="461" spans="1:16" ht="14.25" customHeight="1" x14ac:dyDescent="0.35">
      <c r="A461" s="960"/>
      <c r="B461" s="26"/>
      <c r="D461" s="93"/>
      <c r="E461" s="61"/>
      <c r="F461" s="61"/>
      <c r="G461" s="61"/>
      <c r="H461" s="61"/>
      <c r="I461" s="26"/>
      <c r="J461" s="26"/>
      <c r="K461" s="26"/>
      <c r="L461" s="26"/>
      <c r="M461" s="26"/>
      <c r="N461" s="26"/>
      <c r="O461" s="26"/>
      <c r="P461" s="26"/>
    </row>
    <row r="462" spans="1:16" ht="14.25" customHeight="1" x14ac:dyDescent="0.35">
      <c r="A462" s="960"/>
      <c r="B462" s="26"/>
      <c r="D462" s="93"/>
      <c r="E462" s="61"/>
      <c r="F462" s="61"/>
      <c r="G462" s="61"/>
      <c r="H462" s="61"/>
      <c r="I462" s="26"/>
      <c r="J462" s="26"/>
      <c r="K462" s="26"/>
      <c r="L462" s="26"/>
      <c r="M462" s="26"/>
      <c r="N462" s="26"/>
      <c r="O462" s="26"/>
      <c r="P462" s="26"/>
    </row>
    <row r="463" spans="1:16" ht="14.25" customHeight="1" x14ac:dyDescent="0.35">
      <c r="A463" s="960"/>
      <c r="B463" s="26"/>
      <c r="D463" s="93"/>
      <c r="E463" s="61"/>
      <c r="F463" s="61"/>
      <c r="G463" s="61"/>
      <c r="H463" s="61"/>
      <c r="I463" s="26"/>
      <c r="J463" s="26"/>
      <c r="K463" s="26"/>
      <c r="L463" s="26"/>
      <c r="M463" s="26"/>
      <c r="N463" s="26"/>
      <c r="O463" s="26"/>
      <c r="P463" s="26"/>
    </row>
    <row r="464" spans="1:16" ht="14.25" customHeight="1" x14ac:dyDescent="0.35">
      <c r="A464" s="960"/>
      <c r="B464" s="26"/>
      <c r="D464" s="93"/>
      <c r="E464" s="61"/>
      <c r="F464" s="61"/>
      <c r="G464" s="61"/>
      <c r="H464" s="61"/>
      <c r="I464" s="26"/>
      <c r="J464" s="26"/>
      <c r="K464" s="26"/>
      <c r="L464" s="26"/>
      <c r="M464" s="26"/>
      <c r="N464" s="26"/>
      <c r="O464" s="26"/>
      <c r="P464" s="26"/>
    </row>
    <row r="465" spans="1:16" ht="14.25" customHeight="1" x14ac:dyDescent="0.35">
      <c r="A465" s="960"/>
      <c r="B465" s="26"/>
      <c r="D465" s="93"/>
      <c r="E465" s="61"/>
      <c r="F465" s="61"/>
      <c r="G465" s="61"/>
      <c r="H465" s="61"/>
      <c r="I465" s="26"/>
      <c r="J465" s="26"/>
      <c r="K465" s="26"/>
      <c r="L465" s="26"/>
      <c r="M465" s="26"/>
      <c r="N465" s="26"/>
      <c r="O465" s="26"/>
      <c r="P465" s="26"/>
    </row>
    <row r="466" spans="1:16" ht="14.25" customHeight="1" x14ac:dyDescent="0.35">
      <c r="A466" s="960"/>
      <c r="B466" s="26"/>
      <c r="D466" s="93"/>
      <c r="E466" s="61"/>
      <c r="F466" s="61"/>
      <c r="G466" s="61"/>
      <c r="H466" s="61"/>
      <c r="I466" s="26"/>
      <c r="J466" s="26"/>
      <c r="K466" s="26"/>
      <c r="L466" s="26"/>
      <c r="M466" s="26"/>
      <c r="N466" s="26"/>
      <c r="O466" s="26"/>
      <c r="P466" s="26"/>
    </row>
    <row r="467" spans="1:16" ht="14.25" customHeight="1" x14ac:dyDescent="0.35">
      <c r="A467" s="960"/>
      <c r="B467" s="26"/>
      <c r="D467" s="93"/>
      <c r="E467" s="61"/>
      <c r="F467" s="61"/>
      <c r="G467" s="61"/>
      <c r="H467" s="61"/>
      <c r="I467" s="26"/>
      <c r="J467" s="26"/>
      <c r="K467" s="26"/>
      <c r="L467" s="26"/>
      <c r="M467" s="26"/>
      <c r="N467" s="26"/>
      <c r="O467" s="26"/>
      <c r="P467" s="26"/>
    </row>
    <row r="468" spans="1:16" ht="14.25" customHeight="1" x14ac:dyDescent="0.35">
      <c r="A468" s="960"/>
      <c r="B468" s="26"/>
      <c r="D468" s="93"/>
      <c r="E468" s="61"/>
      <c r="F468" s="61"/>
      <c r="G468" s="61"/>
      <c r="H468" s="61"/>
      <c r="I468" s="26"/>
      <c r="J468" s="26"/>
      <c r="K468" s="26"/>
      <c r="L468" s="26"/>
      <c r="M468" s="26"/>
      <c r="N468" s="26"/>
      <c r="O468" s="26"/>
      <c r="P468" s="26"/>
    </row>
    <row r="469" spans="1:16" ht="14.25" customHeight="1" x14ac:dyDescent="0.35">
      <c r="A469" s="960"/>
      <c r="B469" s="26"/>
      <c r="D469" s="93"/>
      <c r="E469" s="61"/>
      <c r="F469" s="61"/>
      <c r="G469" s="61"/>
      <c r="H469" s="61"/>
      <c r="I469" s="26"/>
      <c r="J469" s="26"/>
      <c r="K469" s="26"/>
      <c r="L469" s="26"/>
      <c r="M469" s="26"/>
      <c r="N469" s="26"/>
      <c r="O469" s="26"/>
      <c r="P469" s="26"/>
    </row>
    <row r="470" spans="1:16" ht="14.25" customHeight="1" x14ac:dyDescent="0.35">
      <c r="A470" s="960"/>
      <c r="B470" s="26"/>
      <c r="D470" s="93"/>
      <c r="E470" s="61"/>
      <c r="F470" s="61"/>
      <c r="G470" s="61"/>
      <c r="H470" s="61"/>
      <c r="I470" s="26"/>
      <c r="J470" s="26"/>
      <c r="K470" s="26"/>
      <c r="L470" s="26"/>
      <c r="M470" s="26"/>
      <c r="N470" s="26"/>
      <c r="O470" s="26"/>
      <c r="P470" s="26"/>
    </row>
    <row r="471" spans="1:16" ht="14.25" customHeight="1" x14ac:dyDescent="0.35">
      <c r="A471" s="960"/>
      <c r="B471" s="26"/>
      <c r="D471" s="93"/>
      <c r="E471" s="61"/>
      <c r="F471" s="61"/>
      <c r="G471" s="61"/>
      <c r="H471" s="61"/>
      <c r="I471" s="26"/>
      <c r="J471" s="26"/>
      <c r="K471" s="26"/>
      <c r="L471" s="26"/>
      <c r="M471" s="26"/>
      <c r="N471" s="26"/>
      <c r="O471" s="26"/>
      <c r="P471" s="26"/>
    </row>
    <row r="472" spans="1:16" ht="14.25" customHeight="1" x14ac:dyDescent="0.35">
      <c r="A472" s="960"/>
      <c r="B472" s="26"/>
      <c r="D472" s="93"/>
      <c r="E472" s="61"/>
      <c r="F472" s="61"/>
      <c r="G472" s="61"/>
      <c r="H472" s="61"/>
      <c r="I472" s="26"/>
      <c r="J472" s="26"/>
      <c r="K472" s="26"/>
      <c r="L472" s="26"/>
      <c r="M472" s="26"/>
      <c r="N472" s="26"/>
      <c r="O472" s="26"/>
      <c r="P472" s="26"/>
    </row>
    <row r="473" spans="1:16" ht="14.25" customHeight="1" x14ac:dyDescent="0.35">
      <c r="A473" s="960"/>
      <c r="B473" s="26"/>
      <c r="D473" s="93"/>
      <c r="E473" s="61"/>
      <c r="F473" s="61"/>
      <c r="G473" s="61"/>
      <c r="H473" s="61"/>
      <c r="I473" s="26"/>
      <c r="J473" s="26"/>
      <c r="K473" s="26"/>
      <c r="L473" s="26"/>
      <c r="M473" s="26"/>
      <c r="N473" s="26"/>
      <c r="O473" s="26"/>
      <c r="P473" s="26"/>
    </row>
    <row r="474" spans="1:16" ht="14.25" customHeight="1" x14ac:dyDescent="0.35">
      <c r="A474" s="960"/>
      <c r="B474" s="26"/>
      <c r="D474" s="93"/>
      <c r="E474" s="61"/>
      <c r="F474" s="61"/>
      <c r="G474" s="61"/>
      <c r="H474" s="61"/>
      <c r="I474" s="26"/>
      <c r="J474" s="26"/>
      <c r="K474" s="26"/>
      <c r="L474" s="26"/>
      <c r="M474" s="26"/>
      <c r="N474" s="26"/>
      <c r="O474" s="26"/>
      <c r="P474" s="26"/>
    </row>
    <row r="475" spans="1:16" ht="14.25" customHeight="1" x14ac:dyDescent="0.35">
      <c r="A475" s="960"/>
      <c r="B475" s="26"/>
      <c r="D475" s="93"/>
      <c r="E475" s="61"/>
      <c r="F475" s="61"/>
      <c r="G475" s="61"/>
      <c r="H475" s="61"/>
      <c r="I475" s="26"/>
      <c r="J475" s="26"/>
      <c r="K475" s="26"/>
      <c r="L475" s="26"/>
      <c r="M475" s="26"/>
      <c r="N475" s="26"/>
      <c r="O475" s="26"/>
      <c r="P475" s="26"/>
    </row>
    <row r="476" spans="1:16" ht="14.25" customHeight="1" x14ac:dyDescent="0.35">
      <c r="A476" s="960"/>
      <c r="B476" s="26"/>
      <c r="D476" s="93"/>
      <c r="E476" s="61"/>
      <c r="F476" s="61"/>
      <c r="G476" s="61"/>
      <c r="H476" s="61"/>
      <c r="I476" s="26"/>
      <c r="J476" s="26"/>
      <c r="K476" s="26"/>
      <c r="L476" s="26"/>
      <c r="M476" s="26"/>
      <c r="N476" s="26"/>
      <c r="O476" s="26"/>
      <c r="P476" s="26"/>
    </row>
    <row r="477" spans="1:16" ht="14.25" customHeight="1" x14ac:dyDescent="0.35">
      <c r="A477" s="960"/>
      <c r="B477" s="26"/>
      <c r="D477" s="93"/>
      <c r="E477" s="61"/>
      <c r="F477" s="61"/>
      <c r="G477" s="61"/>
      <c r="H477" s="61"/>
      <c r="I477" s="26"/>
      <c r="J477" s="26"/>
      <c r="K477" s="26"/>
      <c r="L477" s="26"/>
      <c r="M477" s="26"/>
      <c r="N477" s="26"/>
      <c r="O477" s="26"/>
      <c r="P477" s="26"/>
    </row>
    <row r="478" spans="1:16" ht="14.25" customHeight="1" x14ac:dyDescent="0.35">
      <c r="A478" s="960"/>
      <c r="B478" s="26"/>
      <c r="D478" s="93"/>
      <c r="E478" s="61"/>
      <c r="F478" s="61"/>
      <c r="G478" s="61"/>
      <c r="H478" s="61"/>
      <c r="I478" s="26"/>
      <c r="J478" s="26"/>
      <c r="K478" s="26"/>
      <c r="L478" s="26"/>
      <c r="M478" s="26"/>
      <c r="N478" s="26"/>
      <c r="O478" s="26"/>
      <c r="P478" s="26"/>
    </row>
    <row r="479" spans="1:16" ht="14.25" customHeight="1" x14ac:dyDescent="0.35">
      <c r="A479" s="960"/>
      <c r="B479" s="26"/>
      <c r="D479" s="93"/>
      <c r="E479" s="61"/>
      <c r="F479" s="61"/>
      <c r="G479" s="61"/>
      <c r="H479" s="61"/>
      <c r="I479" s="26"/>
      <c r="J479" s="26"/>
      <c r="K479" s="26"/>
      <c r="L479" s="26"/>
      <c r="M479" s="26"/>
      <c r="N479" s="26"/>
      <c r="O479" s="26"/>
      <c r="P479" s="26"/>
    </row>
    <row r="480" spans="1:16" ht="14.25" customHeight="1" x14ac:dyDescent="0.35">
      <c r="A480" s="960"/>
      <c r="B480" s="26"/>
      <c r="D480" s="93"/>
      <c r="E480" s="61"/>
      <c r="F480" s="61"/>
      <c r="G480" s="61"/>
      <c r="H480" s="61"/>
      <c r="I480" s="26"/>
      <c r="J480" s="26"/>
      <c r="K480" s="26"/>
      <c r="L480" s="26"/>
      <c r="M480" s="26"/>
      <c r="N480" s="26"/>
      <c r="O480" s="26"/>
      <c r="P480" s="26"/>
    </row>
    <row r="481" spans="1:16" ht="14.25" customHeight="1" x14ac:dyDescent="0.35">
      <c r="A481" s="960"/>
      <c r="B481" s="26"/>
      <c r="D481" s="93"/>
      <c r="E481" s="61"/>
      <c r="F481" s="61"/>
      <c r="G481" s="61"/>
      <c r="H481" s="61"/>
      <c r="I481" s="26"/>
      <c r="J481" s="26"/>
      <c r="K481" s="26"/>
      <c r="L481" s="26"/>
      <c r="M481" s="26"/>
      <c r="N481" s="26"/>
      <c r="O481" s="26"/>
      <c r="P481" s="26"/>
    </row>
    <row r="482" spans="1:16" ht="14.25" customHeight="1" x14ac:dyDescent="0.35">
      <c r="A482" s="960"/>
      <c r="B482" s="26"/>
      <c r="D482" s="93"/>
      <c r="E482" s="61"/>
      <c r="F482" s="61"/>
      <c r="G482" s="61"/>
      <c r="H482" s="61"/>
      <c r="I482" s="26"/>
      <c r="J482" s="26"/>
      <c r="K482" s="26"/>
      <c r="L482" s="26"/>
      <c r="M482" s="26"/>
      <c r="N482" s="26"/>
      <c r="O482" s="26"/>
      <c r="P482" s="26"/>
    </row>
    <row r="483" spans="1:16" ht="14.25" customHeight="1" x14ac:dyDescent="0.35">
      <c r="A483" s="960"/>
      <c r="B483" s="26"/>
      <c r="D483" s="93"/>
      <c r="E483" s="61"/>
      <c r="F483" s="61"/>
      <c r="G483" s="61"/>
      <c r="H483" s="61"/>
      <c r="I483" s="26"/>
      <c r="J483" s="26"/>
      <c r="K483" s="26"/>
      <c r="L483" s="26"/>
      <c r="M483" s="26"/>
      <c r="N483" s="26"/>
      <c r="O483" s="26"/>
      <c r="P483" s="26"/>
    </row>
    <row r="484" spans="1:16" ht="14.25" customHeight="1" x14ac:dyDescent="0.35">
      <c r="A484" s="960"/>
      <c r="B484" s="26"/>
      <c r="D484" s="93"/>
      <c r="E484" s="61"/>
      <c r="F484" s="61"/>
      <c r="G484" s="61"/>
      <c r="H484" s="61"/>
      <c r="I484" s="26"/>
      <c r="J484" s="26"/>
      <c r="K484" s="26"/>
      <c r="L484" s="26"/>
      <c r="M484" s="26"/>
      <c r="N484" s="26"/>
      <c r="O484" s="26"/>
      <c r="P484" s="26"/>
    </row>
    <row r="485" spans="1:16" ht="14.25" customHeight="1" x14ac:dyDescent="0.35">
      <c r="A485" s="960"/>
      <c r="B485" s="26"/>
      <c r="D485" s="93"/>
      <c r="E485" s="61"/>
      <c r="F485" s="61"/>
      <c r="G485" s="61"/>
      <c r="H485" s="61"/>
      <c r="I485" s="26"/>
      <c r="J485" s="26"/>
      <c r="K485" s="26"/>
      <c r="L485" s="26"/>
      <c r="M485" s="26"/>
      <c r="N485" s="26"/>
      <c r="O485" s="26"/>
      <c r="P485" s="26"/>
    </row>
    <row r="486" spans="1:16" ht="14.25" customHeight="1" x14ac:dyDescent="0.35">
      <c r="A486" s="960"/>
      <c r="B486" s="26"/>
      <c r="D486" s="93"/>
      <c r="E486" s="61"/>
      <c r="F486" s="61"/>
      <c r="G486" s="61"/>
      <c r="H486" s="61"/>
      <c r="I486" s="26"/>
      <c r="J486" s="26"/>
      <c r="K486" s="26"/>
      <c r="L486" s="26"/>
      <c r="M486" s="26"/>
      <c r="N486" s="26"/>
      <c r="O486" s="26"/>
      <c r="P486" s="26"/>
    </row>
    <row r="487" spans="1:16" ht="14.25" customHeight="1" x14ac:dyDescent="0.35">
      <c r="A487" s="960"/>
      <c r="B487" s="26"/>
      <c r="D487" s="93"/>
      <c r="E487" s="61"/>
      <c r="F487" s="61"/>
      <c r="G487" s="61"/>
      <c r="H487" s="61"/>
      <c r="I487" s="26"/>
      <c r="J487" s="26"/>
      <c r="K487" s="26"/>
      <c r="L487" s="26"/>
      <c r="M487" s="26"/>
      <c r="N487" s="26"/>
      <c r="O487" s="26"/>
      <c r="P487" s="26"/>
    </row>
    <row r="488" spans="1:16" ht="14.25" customHeight="1" x14ac:dyDescent="0.35">
      <c r="A488" s="960"/>
      <c r="B488" s="26"/>
      <c r="D488" s="93"/>
      <c r="E488" s="61"/>
      <c r="F488" s="61"/>
      <c r="G488" s="61"/>
      <c r="H488" s="61"/>
      <c r="I488" s="26"/>
      <c r="J488" s="26"/>
      <c r="K488" s="26"/>
      <c r="L488" s="26"/>
      <c r="M488" s="26"/>
      <c r="N488" s="26"/>
      <c r="O488" s="26"/>
      <c r="P488" s="26"/>
    </row>
    <row r="489" spans="1:16" ht="14.25" customHeight="1" x14ac:dyDescent="0.35">
      <c r="A489" s="960"/>
      <c r="B489" s="26"/>
      <c r="D489" s="93"/>
      <c r="E489" s="61"/>
      <c r="F489" s="61"/>
      <c r="G489" s="61"/>
      <c r="H489" s="61"/>
      <c r="I489" s="26"/>
      <c r="J489" s="26"/>
      <c r="K489" s="26"/>
      <c r="L489" s="26"/>
      <c r="M489" s="26"/>
      <c r="N489" s="26"/>
      <c r="O489" s="26"/>
      <c r="P489" s="26"/>
    </row>
    <row r="490" spans="1:16" ht="14.25" customHeight="1" x14ac:dyDescent="0.35">
      <c r="A490" s="960"/>
      <c r="B490" s="26"/>
      <c r="D490" s="93"/>
      <c r="E490" s="61"/>
      <c r="F490" s="61"/>
      <c r="G490" s="61"/>
      <c r="H490" s="61"/>
      <c r="I490" s="26"/>
      <c r="J490" s="26"/>
      <c r="K490" s="26"/>
      <c r="L490" s="26"/>
      <c r="M490" s="26"/>
      <c r="N490" s="26"/>
      <c r="O490" s="26"/>
      <c r="P490" s="26"/>
    </row>
    <row r="491" spans="1:16" ht="14.25" customHeight="1" x14ac:dyDescent="0.35">
      <c r="A491" s="960"/>
      <c r="B491" s="26"/>
      <c r="D491" s="93"/>
      <c r="E491" s="61"/>
      <c r="F491" s="61"/>
      <c r="G491" s="61"/>
      <c r="H491" s="61"/>
      <c r="I491" s="26"/>
      <c r="J491" s="26"/>
      <c r="K491" s="26"/>
      <c r="L491" s="26"/>
      <c r="M491" s="26"/>
      <c r="N491" s="26"/>
      <c r="O491" s="26"/>
      <c r="P491" s="26"/>
    </row>
    <row r="492" spans="1:16" ht="14.25" customHeight="1" x14ac:dyDescent="0.35">
      <c r="A492" s="960"/>
      <c r="B492" s="26"/>
      <c r="D492" s="93"/>
      <c r="E492" s="61"/>
      <c r="F492" s="61"/>
      <c r="G492" s="61"/>
      <c r="H492" s="61"/>
      <c r="I492" s="26"/>
      <c r="J492" s="26"/>
      <c r="K492" s="26"/>
      <c r="L492" s="26"/>
      <c r="M492" s="26"/>
      <c r="N492" s="26"/>
      <c r="O492" s="26"/>
      <c r="P492" s="26"/>
    </row>
    <row r="493" spans="1:16" ht="14.25" customHeight="1" x14ac:dyDescent="0.35">
      <c r="A493" s="960"/>
      <c r="B493" s="26"/>
      <c r="D493" s="93"/>
      <c r="E493" s="61"/>
      <c r="F493" s="61"/>
      <c r="G493" s="61"/>
      <c r="H493" s="61"/>
      <c r="I493" s="26"/>
      <c r="J493" s="26"/>
      <c r="K493" s="26"/>
      <c r="L493" s="26"/>
      <c r="M493" s="26"/>
      <c r="N493" s="26"/>
      <c r="O493" s="26"/>
      <c r="P493" s="26"/>
    </row>
    <row r="494" spans="1:16" ht="14.25" customHeight="1" x14ac:dyDescent="0.35">
      <c r="A494" s="960"/>
      <c r="B494" s="26"/>
      <c r="D494" s="93"/>
      <c r="E494" s="61"/>
      <c r="F494" s="61"/>
      <c r="G494" s="61"/>
      <c r="H494" s="61"/>
      <c r="I494" s="26"/>
      <c r="J494" s="26"/>
      <c r="K494" s="26"/>
      <c r="L494" s="26"/>
      <c r="M494" s="26"/>
      <c r="N494" s="26"/>
      <c r="O494" s="26"/>
      <c r="P494" s="26"/>
    </row>
    <row r="495" spans="1:16" ht="14.25" customHeight="1" x14ac:dyDescent="0.35">
      <c r="A495" s="960"/>
      <c r="B495" s="26"/>
      <c r="D495" s="93"/>
      <c r="E495" s="61"/>
      <c r="F495" s="61"/>
      <c r="G495" s="61"/>
      <c r="H495" s="61"/>
      <c r="I495" s="26"/>
      <c r="J495" s="26"/>
      <c r="K495" s="26"/>
      <c r="L495" s="26"/>
      <c r="M495" s="26"/>
      <c r="N495" s="26"/>
      <c r="O495" s="26"/>
      <c r="P495" s="26"/>
    </row>
    <row r="496" spans="1:16" ht="14.25" customHeight="1" x14ac:dyDescent="0.35">
      <c r="A496" s="960"/>
      <c r="B496" s="26"/>
      <c r="D496" s="93"/>
      <c r="E496" s="61"/>
      <c r="F496" s="61"/>
      <c r="G496" s="61"/>
      <c r="H496" s="61"/>
      <c r="I496" s="26"/>
      <c r="J496" s="26"/>
      <c r="K496" s="26"/>
      <c r="L496" s="26"/>
      <c r="M496" s="26"/>
      <c r="N496" s="26"/>
      <c r="O496" s="26"/>
      <c r="P496" s="26"/>
    </row>
    <row r="497" spans="1:16" ht="14.25" customHeight="1" x14ac:dyDescent="0.35">
      <c r="A497" s="960"/>
      <c r="B497" s="26"/>
      <c r="D497" s="93"/>
      <c r="E497" s="61"/>
      <c r="F497" s="61"/>
      <c r="G497" s="61"/>
      <c r="H497" s="61"/>
      <c r="I497" s="26"/>
      <c r="J497" s="26"/>
      <c r="K497" s="26"/>
      <c r="L497" s="26"/>
      <c r="M497" s="26"/>
      <c r="N497" s="26"/>
      <c r="O497" s="26"/>
      <c r="P497" s="26"/>
    </row>
    <row r="498" spans="1:16" ht="14.25" customHeight="1" x14ac:dyDescent="0.35">
      <c r="A498" s="960"/>
      <c r="B498" s="26"/>
      <c r="D498" s="93"/>
      <c r="E498" s="61"/>
      <c r="F498" s="61"/>
      <c r="G498" s="61"/>
      <c r="H498" s="61"/>
      <c r="I498" s="26"/>
      <c r="J498" s="26"/>
      <c r="K498" s="26"/>
      <c r="L498" s="26"/>
      <c r="M498" s="26"/>
      <c r="N498" s="26"/>
      <c r="O498" s="26"/>
      <c r="P498" s="26"/>
    </row>
    <row r="499" spans="1:16" ht="14.25" customHeight="1" x14ac:dyDescent="0.35">
      <c r="A499" s="960"/>
      <c r="B499" s="26"/>
      <c r="D499" s="93"/>
      <c r="E499" s="61"/>
      <c r="F499" s="61"/>
      <c r="G499" s="61"/>
      <c r="H499" s="61"/>
      <c r="I499" s="26"/>
      <c r="J499" s="26"/>
      <c r="K499" s="26"/>
      <c r="L499" s="26"/>
      <c r="M499" s="26"/>
      <c r="N499" s="26"/>
      <c r="O499" s="26"/>
      <c r="P499" s="26"/>
    </row>
    <row r="500" spans="1:16" ht="14.25" customHeight="1" x14ac:dyDescent="0.35">
      <c r="A500" s="960"/>
      <c r="B500" s="26"/>
      <c r="D500" s="93"/>
      <c r="E500" s="61"/>
      <c r="F500" s="61"/>
      <c r="G500" s="61"/>
      <c r="H500" s="61"/>
      <c r="I500" s="26"/>
      <c r="J500" s="26"/>
      <c r="K500" s="26"/>
      <c r="L500" s="26"/>
      <c r="M500" s="26"/>
      <c r="N500" s="26"/>
      <c r="O500" s="26"/>
      <c r="P500" s="26"/>
    </row>
    <row r="501" spans="1:16" ht="14.25" customHeight="1" x14ac:dyDescent="0.35">
      <c r="A501" s="960"/>
      <c r="B501" s="26"/>
      <c r="D501" s="93"/>
      <c r="E501" s="61"/>
      <c r="F501" s="61"/>
      <c r="G501" s="61"/>
      <c r="H501" s="61"/>
      <c r="I501" s="26"/>
      <c r="J501" s="26"/>
      <c r="K501" s="26"/>
      <c r="L501" s="26"/>
      <c r="M501" s="26"/>
      <c r="N501" s="26"/>
      <c r="O501" s="26"/>
      <c r="P501" s="26"/>
    </row>
    <row r="502" spans="1:16" ht="14.25" customHeight="1" x14ac:dyDescent="0.35">
      <c r="A502" s="960"/>
      <c r="B502" s="26"/>
      <c r="D502" s="93"/>
      <c r="E502" s="61"/>
      <c r="F502" s="61"/>
      <c r="G502" s="61"/>
      <c r="H502" s="61"/>
      <c r="I502" s="26"/>
      <c r="J502" s="26"/>
      <c r="K502" s="26"/>
      <c r="L502" s="26"/>
      <c r="M502" s="26"/>
      <c r="N502" s="26"/>
      <c r="O502" s="26"/>
      <c r="P502" s="26"/>
    </row>
    <row r="503" spans="1:16" ht="14.25" customHeight="1" x14ac:dyDescent="0.35">
      <c r="A503" s="960"/>
      <c r="B503" s="26"/>
      <c r="D503" s="93"/>
      <c r="E503" s="61"/>
      <c r="F503" s="61"/>
      <c r="G503" s="61"/>
      <c r="H503" s="61"/>
      <c r="I503" s="26"/>
      <c r="J503" s="26"/>
      <c r="K503" s="26"/>
      <c r="L503" s="26"/>
      <c r="M503" s="26"/>
      <c r="N503" s="26"/>
      <c r="O503" s="26"/>
      <c r="P503" s="26"/>
    </row>
    <row r="504" spans="1:16" ht="14.25" customHeight="1" x14ac:dyDescent="0.35">
      <c r="A504" s="960"/>
      <c r="B504" s="26"/>
      <c r="D504" s="93"/>
      <c r="E504" s="61"/>
      <c r="F504" s="61"/>
      <c r="G504" s="61"/>
      <c r="H504" s="61"/>
      <c r="I504" s="26"/>
      <c r="J504" s="26"/>
      <c r="K504" s="26"/>
      <c r="L504" s="26"/>
      <c r="M504" s="26"/>
      <c r="N504" s="26"/>
      <c r="O504" s="26"/>
      <c r="P504" s="26"/>
    </row>
    <row r="505" spans="1:16" ht="14.25" customHeight="1" x14ac:dyDescent="0.35">
      <c r="A505" s="960"/>
      <c r="B505" s="26"/>
      <c r="D505" s="93"/>
      <c r="E505" s="61"/>
      <c r="F505" s="61"/>
      <c r="G505" s="61"/>
      <c r="H505" s="61"/>
      <c r="I505" s="26"/>
      <c r="J505" s="26"/>
      <c r="K505" s="26"/>
      <c r="L505" s="26"/>
      <c r="M505" s="26"/>
      <c r="N505" s="26"/>
      <c r="O505" s="26"/>
      <c r="P505" s="26"/>
    </row>
    <row r="506" spans="1:16" ht="14.25" customHeight="1" x14ac:dyDescent="0.35">
      <c r="A506" s="960"/>
      <c r="B506" s="26"/>
      <c r="D506" s="93"/>
      <c r="E506" s="61"/>
      <c r="F506" s="61"/>
      <c r="G506" s="61"/>
      <c r="H506" s="61"/>
      <c r="I506" s="26"/>
      <c r="J506" s="26"/>
      <c r="K506" s="26"/>
      <c r="L506" s="26"/>
      <c r="M506" s="26"/>
      <c r="N506" s="26"/>
      <c r="O506" s="26"/>
      <c r="P506" s="26"/>
    </row>
    <row r="507" spans="1:16" ht="14.25" customHeight="1" x14ac:dyDescent="0.35">
      <c r="A507" s="960"/>
      <c r="B507" s="26"/>
      <c r="D507" s="93"/>
      <c r="E507" s="61"/>
      <c r="F507" s="61"/>
      <c r="G507" s="61"/>
      <c r="H507" s="61"/>
      <c r="I507" s="26"/>
      <c r="J507" s="26"/>
      <c r="K507" s="26"/>
      <c r="L507" s="26"/>
      <c r="M507" s="26"/>
      <c r="N507" s="26"/>
      <c r="O507" s="26"/>
      <c r="P507" s="26"/>
    </row>
    <row r="508" spans="1:16" ht="14.25" customHeight="1" x14ac:dyDescent="0.35">
      <c r="A508" s="960"/>
      <c r="B508" s="26"/>
      <c r="D508" s="93"/>
      <c r="E508" s="61"/>
      <c r="F508" s="61"/>
      <c r="G508" s="61"/>
      <c r="H508" s="61"/>
      <c r="I508" s="26"/>
      <c r="J508" s="26"/>
      <c r="K508" s="26"/>
      <c r="L508" s="26"/>
      <c r="M508" s="26"/>
      <c r="N508" s="26"/>
      <c r="O508" s="26"/>
      <c r="P508" s="26"/>
    </row>
    <row r="509" spans="1:16" ht="14.25" customHeight="1" x14ac:dyDescent="0.35">
      <c r="A509" s="960"/>
      <c r="B509" s="26"/>
      <c r="D509" s="93"/>
      <c r="E509" s="61"/>
      <c r="F509" s="61"/>
      <c r="G509" s="61"/>
      <c r="H509" s="61"/>
      <c r="I509" s="26"/>
      <c r="J509" s="26"/>
      <c r="K509" s="26"/>
      <c r="L509" s="26"/>
      <c r="M509" s="26"/>
      <c r="N509" s="26"/>
      <c r="O509" s="26"/>
      <c r="P509" s="26"/>
    </row>
    <row r="510" spans="1:16" ht="14.25" customHeight="1" x14ac:dyDescent="0.35">
      <c r="A510" s="960"/>
      <c r="B510" s="26"/>
      <c r="D510" s="93"/>
      <c r="E510" s="61"/>
      <c r="F510" s="61"/>
      <c r="G510" s="61"/>
      <c r="H510" s="61"/>
      <c r="I510" s="26"/>
      <c r="J510" s="26"/>
      <c r="K510" s="26"/>
      <c r="L510" s="26"/>
      <c r="M510" s="26"/>
      <c r="N510" s="26"/>
      <c r="O510" s="26"/>
      <c r="P510" s="26"/>
    </row>
    <row r="511" spans="1:16" ht="14.25" customHeight="1" x14ac:dyDescent="0.35">
      <c r="A511" s="960"/>
      <c r="B511" s="26"/>
      <c r="D511" s="93"/>
      <c r="E511" s="61"/>
      <c r="F511" s="61"/>
      <c r="G511" s="61"/>
      <c r="H511" s="61"/>
      <c r="I511" s="26"/>
      <c r="J511" s="26"/>
      <c r="K511" s="26"/>
      <c r="L511" s="26"/>
      <c r="M511" s="26"/>
      <c r="N511" s="26"/>
      <c r="O511" s="26"/>
      <c r="P511" s="26"/>
    </row>
    <row r="512" spans="1:16" ht="14.25" customHeight="1" x14ac:dyDescent="0.35">
      <c r="A512" s="960"/>
      <c r="B512" s="26"/>
      <c r="D512" s="93"/>
      <c r="E512" s="61"/>
      <c r="F512" s="61"/>
      <c r="G512" s="61"/>
      <c r="H512" s="61"/>
      <c r="I512" s="26"/>
      <c r="J512" s="26"/>
      <c r="K512" s="26"/>
      <c r="L512" s="26"/>
      <c r="M512" s="26"/>
      <c r="N512" s="26"/>
      <c r="O512" s="26"/>
      <c r="P512" s="26"/>
    </row>
    <row r="513" spans="1:16" ht="14.25" customHeight="1" x14ac:dyDescent="0.35">
      <c r="A513" s="960"/>
      <c r="B513" s="26"/>
      <c r="D513" s="93"/>
      <c r="E513" s="61"/>
      <c r="F513" s="61"/>
      <c r="G513" s="61"/>
      <c r="H513" s="61"/>
      <c r="I513" s="26"/>
      <c r="J513" s="26"/>
      <c r="K513" s="26"/>
      <c r="L513" s="26"/>
      <c r="M513" s="26"/>
      <c r="N513" s="26"/>
      <c r="O513" s="26"/>
      <c r="P513" s="26"/>
    </row>
    <row r="514" spans="1:16" ht="14.25" customHeight="1" x14ac:dyDescent="0.35">
      <c r="A514" s="960"/>
      <c r="B514" s="26"/>
      <c r="D514" s="93"/>
      <c r="E514" s="61"/>
      <c r="F514" s="61"/>
      <c r="G514" s="61"/>
      <c r="H514" s="61"/>
      <c r="I514" s="26"/>
      <c r="J514" s="26"/>
      <c r="K514" s="26"/>
      <c r="L514" s="26"/>
      <c r="M514" s="26"/>
      <c r="N514" s="26"/>
      <c r="O514" s="26"/>
      <c r="P514" s="26"/>
    </row>
    <row r="515" spans="1:16" ht="14.25" customHeight="1" x14ac:dyDescent="0.35">
      <c r="A515" s="960"/>
      <c r="B515" s="26"/>
      <c r="D515" s="93"/>
      <c r="E515" s="61"/>
      <c r="F515" s="61"/>
      <c r="G515" s="61"/>
      <c r="H515" s="61"/>
      <c r="I515" s="26"/>
      <c r="J515" s="26"/>
      <c r="K515" s="26"/>
      <c r="L515" s="26"/>
      <c r="M515" s="26"/>
      <c r="N515" s="26"/>
      <c r="O515" s="26"/>
      <c r="P515" s="26"/>
    </row>
    <row r="516" spans="1:16" ht="14.25" customHeight="1" x14ac:dyDescent="0.35">
      <c r="A516" s="960"/>
      <c r="B516" s="26"/>
      <c r="D516" s="93"/>
      <c r="E516" s="61"/>
      <c r="F516" s="61"/>
      <c r="G516" s="61"/>
      <c r="H516" s="61"/>
      <c r="I516" s="26"/>
      <c r="J516" s="26"/>
      <c r="K516" s="26"/>
      <c r="L516" s="26"/>
      <c r="M516" s="26"/>
      <c r="N516" s="26"/>
      <c r="O516" s="26"/>
      <c r="P516" s="26"/>
    </row>
    <row r="517" spans="1:16" ht="14.25" customHeight="1" x14ac:dyDescent="0.35">
      <c r="A517" s="960"/>
      <c r="B517" s="26"/>
      <c r="D517" s="93"/>
      <c r="E517" s="61"/>
      <c r="F517" s="61"/>
      <c r="G517" s="61"/>
      <c r="H517" s="61"/>
      <c r="I517" s="26"/>
      <c r="J517" s="26"/>
      <c r="K517" s="26"/>
      <c r="L517" s="26"/>
      <c r="M517" s="26"/>
      <c r="N517" s="26"/>
      <c r="O517" s="26"/>
      <c r="P517" s="26"/>
    </row>
    <row r="518" spans="1:16" ht="14.25" customHeight="1" x14ac:dyDescent="0.35">
      <c r="A518" s="960"/>
      <c r="B518" s="26"/>
      <c r="D518" s="93"/>
      <c r="E518" s="61"/>
      <c r="F518" s="61"/>
      <c r="G518" s="61"/>
      <c r="H518" s="61"/>
      <c r="I518" s="26"/>
      <c r="J518" s="26"/>
      <c r="K518" s="26"/>
      <c r="L518" s="26"/>
      <c r="M518" s="26"/>
      <c r="N518" s="26"/>
      <c r="O518" s="26"/>
      <c r="P518" s="26"/>
    </row>
    <row r="519" spans="1:16" ht="15.75" customHeight="1" x14ac:dyDescent="0.35">
      <c r="A519" s="960"/>
      <c r="B519" s="26"/>
      <c r="E519" s="26"/>
      <c r="F519" s="61"/>
      <c r="G519" s="26"/>
      <c r="H519" s="26"/>
      <c r="I519" s="26"/>
      <c r="J519" s="26"/>
      <c r="K519" s="26"/>
      <c r="L519" s="26"/>
      <c r="M519" s="26"/>
      <c r="N519" s="26"/>
      <c r="O519" s="26"/>
      <c r="P519" s="26"/>
    </row>
    <row r="520" spans="1:16" ht="15.75" customHeight="1" x14ac:dyDescent="0.35">
      <c r="A520" s="960"/>
      <c r="B520" s="26"/>
      <c r="E520" s="26"/>
      <c r="F520" s="61"/>
      <c r="G520" s="26"/>
      <c r="H520" s="26"/>
      <c r="I520" s="26"/>
      <c r="J520" s="26"/>
      <c r="K520" s="26"/>
      <c r="L520" s="26"/>
      <c r="M520" s="26"/>
      <c r="N520" s="26"/>
      <c r="O520" s="26"/>
      <c r="P520" s="26"/>
    </row>
    <row r="521" spans="1:16" ht="15.75" customHeight="1" x14ac:dyDescent="0.35">
      <c r="A521" s="960"/>
      <c r="B521" s="26"/>
      <c r="E521" s="26"/>
      <c r="F521" s="61"/>
      <c r="G521" s="26"/>
      <c r="H521" s="26"/>
      <c r="I521" s="26"/>
      <c r="J521" s="26"/>
      <c r="K521" s="26"/>
      <c r="L521" s="26"/>
      <c r="M521" s="26"/>
      <c r="N521" s="26"/>
      <c r="O521" s="26"/>
      <c r="P521" s="26"/>
    </row>
    <row r="522" spans="1:16" ht="15.75" customHeight="1" x14ac:dyDescent="0.35">
      <c r="A522" s="960"/>
      <c r="B522" s="26"/>
      <c r="E522" s="26"/>
      <c r="F522" s="61"/>
      <c r="G522" s="26"/>
      <c r="H522" s="26"/>
      <c r="I522" s="26"/>
      <c r="J522" s="26"/>
      <c r="K522" s="26"/>
      <c r="L522" s="26"/>
      <c r="M522" s="26"/>
      <c r="N522" s="26"/>
      <c r="O522" s="26"/>
      <c r="P522" s="26"/>
    </row>
    <row r="523" spans="1:16" ht="15.75" customHeight="1" x14ac:dyDescent="0.35">
      <c r="A523" s="960"/>
      <c r="B523" s="26"/>
      <c r="E523" s="26"/>
      <c r="F523" s="61"/>
      <c r="G523" s="26"/>
      <c r="H523" s="26"/>
      <c r="I523" s="26"/>
      <c r="J523" s="26"/>
      <c r="K523" s="26"/>
      <c r="L523" s="26"/>
      <c r="M523" s="26"/>
      <c r="N523" s="26"/>
      <c r="O523" s="26"/>
      <c r="P523" s="26"/>
    </row>
    <row r="524" spans="1:16" ht="15.75" customHeight="1" x14ac:dyDescent="0.35">
      <c r="A524" s="960"/>
      <c r="B524" s="26"/>
      <c r="E524" s="26"/>
      <c r="F524" s="61"/>
      <c r="G524" s="26"/>
      <c r="H524" s="26"/>
      <c r="I524" s="26"/>
      <c r="J524" s="26"/>
      <c r="K524" s="26"/>
      <c r="L524" s="26"/>
      <c r="M524" s="26"/>
      <c r="N524" s="26"/>
      <c r="O524" s="26"/>
      <c r="P524" s="26"/>
    </row>
    <row r="525" spans="1:16" ht="15.75" customHeight="1" x14ac:dyDescent="0.35">
      <c r="A525" s="960"/>
      <c r="B525" s="26"/>
      <c r="E525" s="26"/>
      <c r="F525" s="61"/>
      <c r="G525" s="26"/>
      <c r="H525" s="26"/>
      <c r="I525" s="26"/>
      <c r="J525" s="26"/>
      <c r="K525" s="26"/>
      <c r="L525" s="26"/>
      <c r="M525" s="26"/>
      <c r="N525" s="26"/>
      <c r="O525" s="26"/>
      <c r="P525" s="26"/>
    </row>
    <row r="526" spans="1:16" ht="15.75" customHeight="1" x14ac:dyDescent="0.35">
      <c r="A526" s="960"/>
      <c r="B526" s="26"/>
      <c r="E526" s="26"/>
      <c r="F526" s="61"/>
      <c r="G526" s="26"/>
      <c r="H526" s="26"/>
      <c r="I526" s="26"/>
      <c r="J526" s="26"/>
      <c r="K526" s="26"/>
      <c r="L526" s="26"/>
      <c r="M526" s="26"/>
      <c r="N526" s="26"/>
      <c r="O526" s="26"/>
      <c r="P526" s="26"/>
    </row>
    <row r="527" spans="1:16" ht="15.75" customHeight="1" x14ac:dyDescent="0.35">
      <c r="A527" s="960"/>
      <c r="B527" s="26"/>
      <c r="E527" s="26"/>
      <c r="F527" s="61"/>
      <c r="G527" s="26"/>
      <c r="H527" s="26"/>
      <c r="I527" s="26"/>
      <c r="J527" s="26"/>
      <c r="K527" s="26"/>
      <c r="L527" s="26"/>
      <c r="M527" s="26"/>
      <c r="N527" s="26"/>
      <c r="O527" s="26"/>
      <c r="P527" s="26"/>
    </row>
    <row r="528" spans="1:16" ht="15.75" customHeight="1" x14ac:dyDescent="0.35">
      <c r="A528" s="960"/>
      <c r="B528" s="26"/>
      <c r="E528" s="26"/>
      <c r="F528" s="61"/>
      <c r="G528" s="26"/>
      <c r="H528" s="26"/>
      <c r="I528" s="26"/>
      <c r="J528" s="26"/>
      <c r="K528" s="26"/>
      <c r="L528" s="26"/>
      <c r="M528" s="26"/>
      <c r="N528" s="26"/>
      <c r="O528" s="26"/>
      <c r="P528" s="26"/>
    </row>
    <row r="529" spans="1:16" ht="15.75" customHeight="1" x14ac:dyDescent="0.35">
      <c r="A529" s="960"/>
      <c r="B529" s="26"/>
      <c r="E529" s="26"/>
      <c r="F529" s="61"/>
      <c r="G529" s="26"/>
      <c r="H529" s="26"/>
      <c r="I529" s="26"/>
      <c r="J529" s="26"/>
      <c r="K529" s="26"/>
      <c r="L529" s="26"/>
      <c r="M529" s="26"/>
      <c r="N529" s="26"/>
      <c r="O529" s="26"/>
      <c r="P529" s="26"/>
    </row>
    <row r="530" spans="1:16" ht="15.75" customHeight="1" x14ac:dyDescent="0.35">
      <c r="A530" s="960"/>
      <c r="B530" s="26"/>
      <c r="E530" s="26"/>
      <c r="F530" s="61"/>
      <c r="G530" s="26"/>
      <c r="H530" s="26"/>
      <c r="I530" s="26"/>
      <c r="J530" s="26"/>
      <c r="K530" s="26"/>
      <c r="L530" s="26"/>
      <c r="M530" s="26"/>
      <c r="N530" s="26"/>
      <c r="O530" s="26"/>
      <c r="P530" s="26"/>
    </row>
    <row r="531" spans="1:16" ht="15.75" customHeight="1" x14ac:dyDescent="0.35">
      <c r="A531" s="960"/>
      <c r="B531" s="26"/>
      <c r="E531" s="26"/>
      <c r="F531" s="61"/>
      <c r="G531" s="26"/>
      <c r="H531" s="26"/>
      <c r="I531" s="26"/>
      <c r="J531" s="26"/>
      <c r="K531" s="26"/>
      <c r="L531" s="26"/>
      <c r="M531" s="26"/>
      <c r="N531" s="26"/>
      <c r="O531" s="26"/>
      <c r="P531" s="26"/>
    </row>
    <row r="532" spans="1:16" ht="15.75" customHeight="1" x14ac:dyDescent="0.35">
      <c r="A532" s="960"/>
      <c r="B532" s="26"/>
      <c r="E532" s="26"/>
      <c r="F532" s="61"/>
      <c r="G532" s="26"/>
      <c r="H532" s="26"/>
      <c r="I532" s="26"/>
      <c r="J532" s="26"/>
      <c r="K532" s="26"/>
      <c r="L532" s="26"/>
      <c r="M532" s="26"/>
      <c r="N532" s="26"/>
      <c r="O532" s="26"/>
      <c r="P532" s="26"/>
    </row>
    <row r="533" spans="1:16" ht="15.75" customHeight="1" x14ac:dyDescent="0.35">
      <c r="A533" s="960"/>
      <c r="B533" s="26"/>
      <c r="E533" s="26"/>
      <c r="F533" s="61"/>
      <c r="G533" s="26"/>
      <c r="H533" s="26"/>
      <c r="I533" s="26"/>
      <c r="J533" s="26"/>
      <c r="K533" s="26"/>
      <c r="L533" s="26"/>
      <c r="M533" s="26"/>
      <c r="N533" s="26"/>
      <c r="O533" s="26"/>
      <c r="P533" s="26"/>
    </row>
    <row r="534" spans="1:16" ht="15.75" customHeight="1" x14ac:dyDescent="0.35">
      <c r="A534" s="960"/>
      <c r="B534" s="26"/>
      <c r="E534" s="26"/>
      <c r="F534" s="61"/>
      <c r="G534" s="26"/>
      <c r="H534" s="26"/>
      <c r="I534" s="26"/>
      <c r="J534" s="26"/>
      <c r="K534" s="26"/>
      <c r="L534" s="26"/>
      <c r="M534" s="26"/>
      <c r="N534" s="26"/>
      <c r="O534" s="26"/>
      <c r="P534" s="26"/>
    </row>
    <row r="535" spans="1:16" ht="15.75" customHeight="1" x14ac:dyDescent="0.35">
      <c r="A535" s="960"/>
      <c r="B535" s="26"/>
      <c r="E535" s="26"/>
      <c r="F535" s="61"/>
      <c r="G535" s="26"/>
      <c r="H535" s="26"/>
      <c r="I535" s="26"/>
      <c r="J535" s="26"/>
      <c r="K535" s="26"/>
      <c r="L535" s="26"/>
      <c r="M535" s="26"/>
      <c r="N535" s="26"/>
      <c r="O535" s="26"/>
      <c r="P535" s="26"/>
    </row>
    <row r="536" spans="1:16" ht="15.75" customHeight="1" x14ac:dyDescent="0.35">
      <c r="A536" s="960"/>
      <c r="B536" s="26"/>
      <c r="E536" s="26"/>
      <c r="F536" s="61"/>
      <c r="G536" s="26"/>
      <c r="H536" s="26"/>
      <c r="I536" s="26"/>
      <c r="J536" s="26"/>
      <c r="K536" s="26"/>
      <c r="L536" s="26"/>
      <c r="M536" s="26"/>
      <c r="N536" s="26"/>
      <c r="O536" s="26"/>
      <c r="P536" s="26"/>
    </row>
    <row r="537" spans="1:16" ht="15.75" customHeight="1" x14ac:dyDescent="0.35">
      <c r="A537" s="960"/>
      <c r="B537" s="26"/>
      <c r="E537" s="26"/>
      <c r="F537" s="61"/>
      <c r="G537" s="26"/>
      <c r="H537" s="26"/>
      <c r="I537" s="26"/>
      <c r="J537" s="26"/>
      <c r="K537" s="26"/>
      <c r="L537" s="26"/>
      <c r="M537" s="26"/>
      <c r="N537" s="26"/>
      <c r="O537" s="26"/>
      <c r="P537" s="26"/>
    </row>
    <row r="538" spans="1:16" ht="15.75" customHeight="1" x14ac:dyDescent="0.35">
      <c r="A538" s="960"/>
      <c r="B538" s="26"/>
      <c r="E538" s="26"/>
      <c r="F538" s="61"/>
      <c r="G538" s="26"/>
      <c r="H538" s="26"/>
      <c r="I538" s="26"/>
      <c r="J538" s="26"/>
      <c r="K538" s="26"/>
      <c r="L538" s="26"/>
      <c r="M538" s="26"/>
      <c r="N538" s="26"/>
      <c r="O538" s="26"/>
      <c r="P538" s="26"/>
    </row>
    <row r="539" spans="1:16" ht="15.75" customHeight="1" x14ac:dyDescent="0.35">
      <c r="A539" s="960"/>
      <c r="B539" s="26"/>
      <c r="E539" s="26"/>
      <c r="F539" s="61"/>
      <c r="G539" s="26"/>
      <c r="H539" s="26"/>
      <c r="I539" s="26"/>
      <c r="J539" s="26"/>
      <c r="K539" s="26"/>
      <c r="L539" s="26"/>
      <c r="M539" s="26"/>
      <c r="N539" s="26"/>
      <c r="O539" s="26"/>
      <c r="P539" s="26"/>
    </row>
    <row r="540" spans="1:16" ht="15.75" customHeight="1" x14ac:dyDescent="0.35">
      <c r="A540" s="960"/>
      <c r="B540" s="26"/>
      <c r="E540" s="26"/>
      <c r="F540" s="61"/>
      <c r="G540" s="26"/>
      <c r="H540" s="26"/>
      <c r="I540" s="26"/>
      <c r="J540" s="26"/>
      <c r="K540" s="26"/>
      <c r="L540" s="26"/>
      <c r="M540" s="26"/>
      <c r="N540" s="26"/>
      <c r="O540" s="26"/>
      <c r="P540" s="26"/>
    </row>
    <row r="541" spans="1:16" ht="15.75" customHeight="1" x14ac:dyDescent="0.35">
      <c r="A541" s="960"/>
      <c r="B541" s="26"/>
      <c r="E541" s="26"/>
      <c r="F541" s="61"/>
      <c r="G541" s="26"/>
      <c r="H541" s="26"/>
      <c r="I541" s="26"/>
      <c r="J541" s="26"/>
      <c r="K541" s="26"/>
      <c r="L541" s="26"/>
      <c r="M541" s="26"/>
      <c r="N541" s="26"/>
      <c r="O541" s="26"/>
      <c r="P541" s="26"/>
    </row>
    <row r="542" spans="1:16" ht="15.75" customHeight="1" x14ac:dyDescent="0.35">
      <c r="A542" s="960"/>
      <c r="B542" s="26"/>
      <c r="E542" s="26"/>
      <c r="F542" s="61"/>
      <c r="G542" s="26"/>
      <c r="H542" s="26"/>
      <c r="I542" s="26"/>
      <c r="J542" s="26"/>
      <c r="K542" s="26"/>
      <c r="L542" s="26"/>
      <c r="M542" s="26"/>
      <c r="N542" s="26"/>
      <c r="O542" s="26"/>
      <c r="P542" s="26"/>
    </row>
    <row r="543" spans="1:16" ht="15.75" customHeight="1" x14ac:dyDescent="0.35">
      <c r="A543" s="960"/>
      <c r="B543" s="26"/>
      <c r="E543" s="26"/>
      <c r="F543" s="61"/>
      <c r="G543" s="26"/>
      <c r="H543" s="26"/>
      <c r="I543" s="26"/>
      <c r="J543" s="26"/>
      <c r="K543" s="26"/>
      <c r="L543" s="26"/>
      <c r="M543" s="26"/>
      <c r="N543" s="26"/>
      <c r="O543" s="26"/>
      <c r="P543" s="26"/>
    </row>
    <row r="544" spans="1:16" ht="15.75" customHeight="1" x14ac:dyDescent="0.35">
      <c r="A544" s="960"/>
      <c r="B544" s="26"/>
      <c r="E544" s="26"/>
      <c r="F544" s="61"/>
      <c r="G544" s="26"/>
      <c r="H544" s="26"/>
      <c r="I544" s="26"/>
      <c r="J544" s="26"/>
      <c r="K544" s="26"/>
      <c r="L544" s="26"/>
      <c r="M544" s="26"/>
      <c r="N544" s="26"/>
      <c r="O544" s="26"/>
      <c r="P544" s="26"/>
    </row>
    <row r="545" spans="1:16" ht="15.75" customHeight="1" x14ac:dyDescent="0.35">
      <c r="A545" s="960"/>
      <c r="B545" s="26"/>
      <c r="E545" s="26"/>
      <c r="F545" s="61"/>
      <c r="G545" s="26"/>
      <c r="H545" s="26"/>
      <c r="I545" s="26"/>
      <c r="J545" s="26"/>
      <c r="K545" s="26"/>
      <c r="L545" s="26"/>
      <c r="M545" s="26"/>
      <c r="N545" s="26"/>
      <c r="O545" s="26"/>
      <c r="P545" s="26"/>
    </row>
    <row r="546" spans="1:16" ht="15.75" customHeight="1" x14ac:dyDescent="0.35">
      <c r="A546" s="960"/>
      <c r="B546" s="26"/>
      <c r="E546" s="26"/>
      <c r="F546" s="61"/>
      <c r="G546" s="26"/>
      <c r="H546" s="26"/>
      <c r="I546" s="26"/>
      <c r="J546" s="26"/>
      <c r="K546" s="26"/>
      <c r="L546" s="26"/>
      <c r="M546" s="26"/>
      <c r="N546" s="26"/>
      <c r="O546" s="26"/>
      <c r="P546" s="26"/>
    </row>
    <row r="547" spans="1:16" ht="15.75" customHeight="1" x14ac:dyDescent="0.35">
      <c r="A547" s="960"/>
      <c r="B547" s="26"/>
      <c r="E547" s="26"/>
      <c r="F547" s="61"/>
      <c r="G547" s="26"/>
      <c r="H547" s="26"/>
      <c r="I547" s="26"/>
      <c r="J547" s="26"/>
      <c r="K547" s="26"/>
      <c r="L547" s="26"/>
      <c r="M547" s="26"/>
      <c r="N547" s="26"/>
      <c r="O547" s="26"/>
      <c r="P547" s="26"/>
    </row>
    <row r="548" spans="1:16" ht="15.75" customHeight="1" x14ac:dyDescent="0.35">
      <c r="A548" s="960"/>
      <c r="B548" s="26"/>
      <c r="E548" s="26"/>
      <c r="F548" s="61"/>
      <c r="G548" s="26"/>
      <c r="H548" s="26"/>
      <c r="I548" s="26"/>
      <c r="J548" s="26"/>
      <c r="K548" s="26"/>
      <c r="L548" s="26"/>
      <c r="M548" s="26"/>
      <c r="N548" s="26"/>
      <c r="O548" s="26"/>
      <c r="P548" s="26"/>
    </row>
    <row r="549" spans="1:16" ht="15.75" customHeight="1" x14ac:dyDescent="0.35">
      <c r="A549" s="960"/>
      <c r="B549" s="26"/>
      <c r="E549" s="26"/>
      <c r="F549" s="61"/>
      <c r="G549" s="26"/>
      <c r="H549" s="26"/>
      <c r="I549" s="26"/>
      <c r="J549" s="26"/>
      <c r="K549" s="26"/>
      <c r="L549" s="26"/>
      <c r="M549" s="26"/>
      <c r="N549" s="26"/>
      <c r="O549" s="26"/>
      <c r="P549" s="26"/>
    </row>
    <row r="550" spans="1:16" ht="15.75" customHeight="1" x14ac:dyDescent="0.35">
      <c r="A550" s="960"/>
      <c r="B550" s="26"/>
      <c r="E550" s="26"/>
      <c r="F550" s="61"/>
      <c r="G550" s="26"/>
      <c r="H550" s="26"/>
      <c r="I550" s="26"/>
      <c r="J550" s="26"/>
      <c r="K550" s="26"/>
      <c r="L550" s="26"/>
      <c r="M550" s="26"/>
      <c r="N550" s="26"/>
      <c r="O550" s="26"/>
      <c r="P550" s="26"/>
    </row>
    <row r="551" spans="1:16" ht="15.75" customHeight="1" x14ac:dyDescent="0.35">
      <c r="A551" s="960"/>
      <c r="B551" s="26"/>
      <c r="E551" s="26"/>
      <c r="F551" s="61"/>
      <c r="G551" s="26"/>
      <c r="H551" s="26"/>
      <c r="I551" s="26"/>
      <c r="J551" s="26"/>
      <c r="K551" s="26"/>
      <c r="L551" s="26"/>
      <c r="M551" s="26"/>
      <c r="N551" s="26"/>
      <c r="O551" s="26"/>
      <c r="P551" s="26"/>
    </row>
    <row r="552" spans="1:16" ht="15.75" customHeight="1" x14ac:dyDescent="0.35">
      <c r="A552" s="960"/>
      <c r="B552" s="26"/>
      <c r="E552" s="26"/>
      <c r="F552" s="61"/>
      <c r="G552" s="26"/>
      <c r="H552" s="26"/>
      <c r="I552" s="26"/>
      <c r="J552" s="26"/>
      <c r="K552" s="26"/>
      <c r="L552" s="26"/>
      <c r="M552" s="26"/>
      <c r="N552" s="26"/>
      <c r="O552" s="26"/>
      <c r="P552" s="26"/>
    </row>
    <row r="553" spans="1:16" ht="15.75" customHeight="1" x14ac:dyDescent="0.35">
      <c r="A553" s="960"/>
      <c r="B553" s="26"/>
      <c r="E553" s="26"/>
      <c r="F553" s="61"/>
      <c r="G553" s="26"/>
      <c r="H553" s="26"/>
      <c r="I553" s="26"/>
      <c r="J553" s="26"/>
      <c r="K553" s="26"/>
      <c r="L553" s="26"/>
      <c r="M553" s="26"/>
      <c r="N553" s="26"/>
      <c r="O553" s="26"/>
      <c r="P553" s="26"/>
    </row>
    <row r="554" spans="1:16" ht="15.75" customHeight="1" x14ac:dyDescent="0.35">
      <c r="A554" s="960"/>
      <c r="B554" s="26"/>
      <c r="E554" s="26"/>
      <c r="F554" s="61"/>
      <c r="G554" s="26"/>
      <c r="H554" s="26"/>
      <c r="I554" s="26"/>
      <c r="J554" s="26"/>
      <c r="K554" s="26"/>
      <c r="L554" s="26"/>
      <c r="M554" s="26"/>
      <c r="N554" s="26"/>
      <c r="O554" s="26"/>
      <c r="P554" s="26"/>
    </row>
    <row r="555" spans="1:16" ht="15.75" customHeight="1" x14ac:dyDescent="0.35">
      <c r="A555" s="960"/>
      <c r="B555" s="26"/>
      <c r="E555" s="26"/>
      <c r="F555" s="61"/>
      <c r="G555" s="26"/>
      <c r="H555" s="26"/>
      <c r="I555" s="26"/>
      <c r="J555" s="26"/>
      <c r="K555" s="26"/>
      <c r="L555" s="26"/>
      <c r="M555" s="26"/>
      <c r="N555" s="26"/>
      <c r="O555" s="26"/>
      <c r="P555" s="26"/>
    </row>
    <row r="556" spans="1:16" ht="15.75" customHeight="1" x14ac:dyDescent="0.35">
      <c r="A556" s="960"/>
      <c r="B556" s="26"/>
      <c r="E556" s="26"/>
      <c r="F556" s="61"/>
      <c r="G556" s="26"/>
      <c r="H556" s="26"/>
      <c r="I556" s="26"/>
      <c r="J556" s="26"/>
      <c r="K556" s="26"/>
      <c r="L556" s="26"/>
      <c r="M556" s="26"/>
      <c r="N556" s="26"/>
      <c r="O556" s="26"/>
      <c r="P556" s="26"/>
    </row>
    <row r="557" spans="1:16" ht="15.75" customHeight="1" x14ac:dyDescent="0.35">
      <c r="A557" s="960"/>
      <c r="B557" s="26"/>
      <c r="E557" s="26"/>
      <c r="F557" s="61"/>
      <c r="G557" s="26"/>
      <c r="H557" s="26"/>
      <c r="I557" s="26"/>
      <c r="J557" s="26"/>
      <c r="K557" s="26"/>
      <c r="L557" s="26"/>
      <c r="M557" s="26"/>
      <c r="N557" s="26"/>
      <c r="O557" s="26"/>
      <c r="P557" s="26"/>
    </row>
    <row r="558" spans="1:16" ht="15.75" customHeight="1" x14ac:dyDescent="0.35">
      <c r="A558" s="960"/>
      <c r="B558" s="26"/>
      <c r="E558" s="26"/>
      <c r="F558" s="61"/>
      <c r="G558" s="26"/>
      <c r="H558" s="26"/>
      <c r="I558" s="26"/>
      <c r="J558" s="26"/>
      <c r="K558" s="26"/>
      <c r="L558" s="26"/>
      <c r="M558" s="26"/>
      <c r="N558" s="26"/>
      <c r="O558" s="26"/>
      <c r="P558" s="26"/>
    </row>
    <row r="559" spans="1:16" ht="15.75" customHeight="1" x14ac:dyDescent="0.35">
      <c r="A559" s="960"/>
      <c r="B559" s="26"/>
      <c r="E559" s="26"/>
      <c r="F559" s="61"/>
      <c r="G559" s="26"/>
      <c r="H559" s="26"/>
      <c r="I559" s="26"/>
      <c r="J559" s="26"/>
      <c r="K559" s="26"/>
      <c r="L559" s="26"/>
      <c r="M559" s="26"/>
      <c r="N559" s="26"/>
      <c r="O559" s="26"/>
      <c r="P559" s="26"/>
    </row>
    <row r="560" spans="1:16" ht="15.75" customHeight="1" x14ac:dyDescent="0.35">
      <c r="A560" s="960"/>
      <c r="B560" s="26"/>
      <c r="E560" s="26"/>
      <c r="F560" s="61"/>
      <c r="G560" s="26"/>
      <c r="H560" s="26"/>
      <c r="I560" s="26"/>
      <c r="J560" s="26"/>
      <c r="K560" s="26"/>
      <c r="L560" s="26"/>
      <c r="M560" s="26"/>
      <c r="N560" s="26"/>
      <c r="O560" s="26"/>
      <c r="P560" s="26"/>
    </row>
    <row r="561" spans="1:16" ht="15.75" customHeight="1" x14ac:dyDescent="0.35">
      <c r="A561" s="960"/>
      <c r="B561" s="26"/>
      <c r="E561" s="26"/>
      <c r="F561" s="61"/>
      <c r="G561" s="26"/>
      <c r="H561" s="26"/>
      <c r="I561" s="26"/>
      <c r="J561" s="26"/>
      <c r="K561" s="26"/>
      <c r="L561" s="26"/>
      <c r="M561" s="26"/>
      <c r="N561" s="26"/>
      <c r="O561" s="26"/>
      <c r="P561" s="26"/>
    </row>
    <row r="562" spans="1:16" ht="15.75" customHeight="1" x14ac:dyDescent="0.35">
      <c r="A562" s="960"/>
      <c r="B562" s="26"/>
      <c r="E562" s="26"/>
      <c r="F562" s="61"/>
      <c r="G562" s="26"/>
      <c r="H562" s="26"/>
      <c r="I562" s="26"/>
      <c r="J562" s="26"/>
      <c r="K562" s="26"/>
      <c r="L562" s="26"/>
      <c r="M562" s="26"/>
      <c r="N562" s="26"/>
      <c r="O562" s="26"/>
      <c r="P562" s="26"/>
    </row>
    <row r="563" spans="1:16" ht="15.75" customHeight="1" x14ac:dyDescent="0.35">
      <c r="A563" s="960"/>
      <c r="B563" s="26"/>
      <c r="E563" s="26"/>
      <c r="F563" s="61"/>
      <c r="G563" s="26"/>
      <c r="H563" s="26"/>
      <c r="I563" s="26"/>
      <c r="J563" s="26"/>
      <c r="K563" s="26"/>
      <c r="L563" s="26"/>
      <c r="M563" s="26"/>
      <c r="N563" s="26"/>
      <c r="O563" s="26"/>
      <c r="P563" s="26"/>
    </row>
    <row r="564" spans="1:16" ht="15.75" customHeight="1" x14ac:dyDescent="0.35">
      <c r="A564" s="960"/>
      <c r="B564" s="26"/>
      <c r="E564" s="26"/>
      <c r="F564" s="61"/>
      <c r="G564" s="26"/>
      <c r="H564" s="26"/>
      <c r="I564" s="26"/>
      <c r="J564" s="26"/>
      <c r="K564" s="26"/>
      <c r="L564" s="26"/>
      <c r="M564" s="26"/>
      <c r="N564" s="26"/>
      <c r="O564" s="26"/>
      <c r="P564" s="26"/>
    </row>
    <row r="565" spans="1:16" ht="15.75" customHeight="1" x14ac:dyDescent="0.35">
      <c r="A565" s="960"/>
      <c r="B565" s="26"/>
      <c r="E565" s="26"/>
      <c r="F565" s="61"/>
      <c r="G565" s="26"/>
      <c r="H565" s="26"/>
      <c r="I565" s="26"/>
      <c r="J565" s="26"/>
      <c r="K565" s="26"/>
      <c r="L565" s="26"/>
      <c r="M565" s="26"/>
      <c r="N565" s="26"/>
      <c r="O565" s="26"/>
      <c r="P565" s="26"/>
    </row>
    <row r="566" spans="1:16" ht="15.75" customHeight="1" x14ac:dyDescent="0.35">
      <c r="A566" s="960"/>
      <c r="B566" s="26"/>
      <c r="E566" s="26"/>
      <c r="F566" s="61"/>
      <c r="G566" s="26"/>
      <c r="H566" s="26"/>
      <c r="I566" s="26"/>
      <c r="J566" s="26"/>
      <c r="K566" s="26"/>
      <c r="L566" s="26"/>
      <c r="M566" s="26"/>
      <c r="N566" s="26"/>
      <c r="O566" s="26"/>
      <c r="P566" s="26"/>
    </row>
    <row r="567" spans="1:16" ht="15.75" customHeight="1" x14ac:dyDescent="0.35">
      <c r="A567" s="960"/>
      <c r="B567" s="26"/>
      <c r="E567" s="26"/>
      <c r="F567" s="61"/>
      <c r="G567" s="26"/>
      <c r="H567" s="26"/>
      <c r="I567" s="26"/>
      <c r="J567" s="26"/>
      <c r="K567" s="26"/>
      <c r="L567" s="26"/>
      <c r="M567" s="26"/>
      <c r="N567" s="26"/>
      <c r="O567" s="26"/>
      <c r="P567" s="26"/>
    </row>
    <row r="568" spans="1:16" ht="15.75" customHeight="1" x14ac:dyDescent="0.35">
      <c r="A568" s="960"/>
      <c r="B568" s="26"/>
      <c r="E568" s="26"/>
      <c r="F568" s="61"/>
      <c r="G568" s="26"/>
      <c r="H568" s="26"/>
      <c r="I568" s="26"/>
      <c r="J568" s="26"/>
      <c r="K568" s="26"/>
      <c r="L568" s="26"/>
      <c r="M568" s="26"/>
      <c r="N568" s="26"/>
      <c r="O568" s="26"/>
      <c r="P568" s="26"/>
    </row>
    <row r="569" spans="1:16" ht="15.75" customHeight="1" x14ac:dyDescent="0.35">
      <c r="A569" s="960"/>
      <c r="B569" s="26"/>
      <c r="E569" s="26"/>
      <c r="F569" s="61"/>
      <c r="G569" s="26"/>
      <c r="H569" s="26"/>
      <c r="I569" s="26"/>
      <c r="J569" s="26"/>
      <c r="K569" s="26"/>
      <c r="L569" s="26"/>
      <c r="M569" s="26"/>
      <c r="N569" s="26"/>
      <c r="O569" s="26"/>
      <c r="P569" s="26"/>
    </row>
    <row r="570" spans="1:16" ht="15.75" customHeight="1" x14ac:dyDescent="0.35">
      <c r="A570" s="960"/>
      <c r="B570" s="26"/>
      <c r="E570" s="26"/>
      <c r="F570" s="61"/>
      <c r="G570" s="26"/>
      <c r="H570" s="26"/>
      <c r="I570" s="26"/>
      <c r="J570" s="26"/>
      <c r="K570" s="26"/>
      <c r="L570" s="26"/>
      <c r="M570" s="26"/>
      <c r="N570" s="26"/>
      <c r="O570" s="26"/>
      <c r="P570" s="26"/>
    </row>
    <row r="571" spans="1:16" ht="15.75" customHeight="1" x14ac:dyDescent="0.35">
      <c r="A571" s="960"/>
      <c r="B571" s="26"/>
      <c r="E571" s="26"/>
      <c r="F571" s="61"/>
      <c r="G571" s="26"/>
      <c r="H571" s="26"/>
      <c r="I571" s="26"/>
      <c r="J571" s="26"/>
      <c r="K571" s="26"/>
      <c r="L571" s="26"/>
      <c r="M571" s="26"/>
      <c r="N571" s="26"/>
      <c r="O571" s="26"/>
      <c r="P571" s="26"/>
    </row>
    <row r="572" spans="1:16" ht="15.75" customHeight="1" x14ac:dyDescent="0.35">
      <c r="A572" s="960"/>
      <c r="B572" s="26"/>
      <c r="E572" s="26"/>
      <c r="F572" s="61"/>
      <c r="G572" s="26"/>
      <c r="H572" s="26"/>
      <c r="I572" s="26"/>
      <c r="J572" s="26"/>
      <c r="K572" s="26"/>
      <c r="L572" s="26"/>
      <c r="M572" s="26"/>
      <c r="N572" s="26"/>
      <c r="O572" s="26"/>
      <c r="P572" s="26"/>
    </row>
    <row r="573" spans="1:16" ht="15.75" customHeight="1" x14ac:dyDescent="0.35">
      <c r="A573" s="960"/>
      <c r="B573" s="26"/>
      <c r="E573" s="26"/>
      <c r="F573" s="61"/>
      <c r="G573" s="26"/>
      <c r="H573" s="26"/>
      <c r="I573" s="26"/>
      <c r="J573" s="26"/>
      <c r="K573" s="26"/>
      <c r="L573" s="26"/>
      <c r="M573" s="26"/>
      <c r="N573" s="26"/>
      <c r="O573" s="26"/>
      <c r="P573" s="26"/>
    </row>
    <row r="574" spans="1:16" ht="15.75" customHeight="1" x14ac:dyDescent="0.35">
      <c r="A574" s="960"/>
      <c r="B574" s="26"/>
      <c r="E574" s="26"/>
      <c r="F574" s="61"/>
      <c r="G574" s="26"/>
      <c r="H574" s="26"/>
      <c r="I574" s="26"/>
      <c r="J574" s="26"/>
      <c r="K574" s="26"/>
      <c r="L574" s="26"/>
      <c r="M574" s="26"/>
      <c r="N574" s="26"/>
      <c r="O574" s="26"/>
      <c r="P574" s="26"/>
    </row>
    <row r="575" spans="1:16" ht="15.75" customHeight="1" x14ac:dyDescent="0.35">
      <c r="A575" s="960"/>
      <c r="B575" s="26"/>
      <c r="E575" s="26"/>
      <c r="F575" s="61"/>
      <c r="G575" s="26"/>
      <c r="H575" s="26"/>
      <c r="I575" s="26"/>
      <c r="J575" s="26"/>
      <c r="K575" s="26"/>
      <c r="L575" s="26"/>
      <c r="M575" s="26"/>
      <c r="N575" s="26"/>
      <c r="O575" s="26"/>
      <c r="P575" s="26"/>
    </row>
    <row r="576" spans="1:16" ht="15.75" customHeight="1" x14ac:dyDescent="0.35">
      <c r="A576" s="960"/>
      <c r="B576" s="26"/>
      <c r="E576" s="26"/>
      <c r="F576" s="61"/>
      <c r="G576" s="26"/>
      <c r="H576" s="26"/>
      <c r="I576" s="26"/>
      <c r="J576" s="26"/>
      <c r="K576" s="26"/>
      <c r="L576" s="26"/>
      <c r="M576" s="26"/>
      <c r="N576" s="26"/>
      <c r="O576" s="26"/>
      <c r="P576" s="26"/>
    </row>
    <row r="577" spans="1:16" ht="15.75" customHeight="1" x14ac:dyDescent="0.35">
      <c r="A577" s="960"/>
      <c r="B577" s="26"/>
      <c r="E577" s="26"/>
      <c r="F577" s="61"/>
      <c r="G577" s="26"/>
      <c r="H577" s="26"/>
      <c r="I577" s="26"/>
      <c r="J577" s="26"/>
      <c r="K577" s="26"/>
      <c r="L577" s="26"/>
      <c r="M577" s="26"/>
      <c r="N577" s="26"/>
      <c r="O577" s="26"/>
      <c r="P577" s="26"/>
    </row>
    <row r="578" spans="1:16" ht="15.75" customHeight="1" x14ac:dyDescent="0.35">
      <c r="A578" s="960"/>
      <c r="B578" s="26"/>
      <c r="E578" s="26"/>
      <c r="F578" s="61"/>
      <c r="G578" s="26"/>
      <c r="H578" s="26"/>
      <c r="I578" s="26"/>
      <c r="J578" s="26"/>
      <c r="K578" s="26"/>
      <c r="L578" s="26"/>
      <c r="M578" s="26"/>
      <c r="N578" s="26"/>
      <c r="O578" s="26"/>
      <c r="P578" s="26"/>
    </row>
    <row r="579" spans="1:16" ht="15.75" customHeight="1" x14ac:dyDescent="0.35">
      <c r="A579" s="960"/>
      <c r="B579" s="26"/>
      <c r="E579" s="26"/>
      <c r="F579" s="61"/>
      <c r="G579" s="26"/>
      <c r="H579" s="26"/>
      <c r="I579" s="26"/>
      <c r="J579" s="26"/>
      <c r="K579" s="26"/>
      <c r="L579" s="26"/>
      <c r="M579" s="26"/>
      <c r="N579" s="26"/>
      <c r="O579" s="26"/>
      <c r="P579" s="26"/>
    </row>
    <row r="580" spans="1:16" ht="15.75" customHeight="1" x14ac:dyDescent="0.35">
      <c r="A580" s="960"/>
      <c r="B580" s="26"/>
      <c r="E580" s="26"/>
      <c r="F580" s="61"/>
      <c r="G580" s="26"/>
      <c r="H580" s="26"/>
      <c r="I580" s="26"/>
      <c r="J580" s="26"/>
      <c r="K580" s="26"/>
      <c r="L580" s="26"/>
      <c r="M580" s="26"/>
      <c r="N580" s="26"/>
      <c r="O580" s="26"/>
      <c r="P580" s="26"/>
    </row>
    <row r="581" spans="1:16" ht="15.75" customHeight="1" x14ac:dyDescent="0.35">
      <c r="A581" s="960"/>
      <c r="B581" s="26"/>
      <c r="E581" s="26"/>
      <c r="F581" s="61"/>
      <c r="G581" s="26"/>
      <c r="H581" s="26"/>
      <c r="I581" s="26"/>
      <c r="J581" s="26"/>
      <c r="K581" s="26"/>
      <c r="L581" s="26"/>
      <c r="M581" s="26"/>
      <c r="N581" s="26"/>
      <c r="O581" s="26"/>
      <c r="P581" s="26"/>
    </row>
    <row r="582" spans="1:16" ht="15.75" customHeight="1" x14ac:dyDescent="0.35">
      <c r="A582" s="960"/>
      <c r="B582" s="26"/>
      <c r="E582" s="26"/>
      <c r="F582" s="61"/>
      <c r="G582" s="26"/>
      <c r="H582" s="26"/>
      <c r="I582" s="26"/>
      <c r="J582" s="26"/>
      <c r="K582" s="26"/>
      <c r="L582" s="26"/>
      <c r="M582" s="26"/>
      <c r="N582" s="26"/>
      <c r="O582" s="26"/>
      <c r="P582" s="26"/>
    </row>
    <row r="583" spans="1:16" ht="15.75" customHeight="1" x14ac:dyDescent="0.35">
      <c r="A583" s="960"/>
      <c r="B583" s="26"/>
      <c r="E583" s="26"/>
      <c r="F583" s="61"/>
      <c r="G583" s="26"/>
      <c r="H583" s="26"/>
      <c r="I583" s="26"/>
      <c r="J583" s="26"/>
      <c r="K583" s="26"/>
      <c r="L583" s="26"/>
      <c r="M583" s="26"/>
      <c r="N583" s="26"/>
      <c r="O583" s="26"/>
      <c r="P583" s="26"/>
    </row>
    <row r="584" spans="1:16" ht="15.75" customHeight="1" x14ac:dyDescent="0.35">
      <c r="A584" s="960"/>
      <c r="B584" s="26"/>
      <c r="E584" s="26"/>
      <c r="F584" s="61"/>
      <c r="G584" s="26"/>
      <c r="H584" s="26"/>
      <c r="I584" s="26"/>
      <c r="J584" s="26"/>
      <c r="K584" s="26"/>
      <c r="L584" s="26"/>
      <c r="M584" s="26"/>
      <c r="N584" s="26"/>
      <c r="O584" s="26"/>
      <c r="P584" s="26"/>
    </row>
    <row r="585" spans="1:16" ht="15.75" customHeight="1" x14ac:dyDescent="0.35">
      <c r="A585" s="960"/>
      <c r="B585" s="26"/>
      <c r="E585" s="26"/>
      <c r="F585" s="61"/>
      <c r="G585" s="26"/>
      <c r="H585" s="26"/>
      <c r="I585" s="26"/>
      <c r="J585" s="26"/>
      <c r="K585" s="26"/>
      <c r="L585" s="26"/>
      <c r="M585" s="26"/>
      <c r="N585" s="26"/>
      <c r="O585" s="26"/>
      <c r="P585" s="26"/>
    </row>
    <row r="586" spans="1:16" ht="15.75" customHeight="1" x14ac:dyDescent="0.35">
      <c r="A586" s="960"/>
      <c r="B586" s="26"/>
      <c r="E586" s="26"/>
      <c r="F586" s="61"/>
      <c r="G586" s="26"/>
      <c r="H586" s="26"/>
      <c r="I586" s="26"/>
      <c r="J586" s="26"/>
      <c r="K586" s="26"/>
      <c r="L586" s="26"/>
      <c r="M586" s="26"/>
      <c r="N586" s="26"/>
      <c r="O586" s="26"/>
      <c r="P586" s="26"/>
    </row>
    <row r="587" spans="1:16" ht="15.75" customHeight="1" x14ac:dyDescent="0.35">
      <c r="A587" s="960"/>
      <c r="B587" s="26"/>
      <c r="E587" s="26"/>
      <c r="F587" s="61"/>
      <c r="G587" s="26"/>
      <c r="H587" s="26"/>
      <c r="I587" s="26"/>
      <c r="J587" s="26"/>
      <c r="K587" s="26"/>
      <c r="L587" s="26"/>
      <c r="M587" s="26"/>
      <c r="N587" s="26"/>
      <c r="O587" s="26"/>
      <c r="P587" s="26"/>
    </row>
    <row r="588" spans="1:16" ht="15.75" customHeight="1" x14ac:dyDescent="0.35">
      <c r="A588" s="960"/>
      <c r="B588" s="26"/>
      <c r="E588" s="26"/>
      <c r="F588" s="61"/>
      <c r="G588" s="26"/>
      <c r="H588" s="26"/>
      <c r="I588" s="26"/>
      <c r="J588" s="26"/>
      <c r="K588" s="26"/>
      <c r="L588" s="26"/>
      <c r="M588" s="26"/>
      <c r="N588" s="26"/>
      <c r="O588" s="26"/>
      <c r="P588" s="26"/>
    </row>
    <row r="589" spans="1:16" ht="15.75" customHeight="1" x14ac:dyDescent="0.35">
      <c r="A589" s="960"/>
      <c r="B589" s="26"/>
      <c r="E589" s="26"/>
      <c r="F589" s="61"/>
      <c r="G589" s="26"/>
      <c r="H589" s="26"/>
      <c r="I589" s="26"/>
      <c r="J589" s="26"/>
      <c r="K589" s="26"/>
      <c r="L589" s="26"/>
      <c r="M589" s="26"/>
      <c r="N589" s="26"/>
      <c r="O589" s="26"/>
      <c r="P589" s="26"/>
    </row>
    <row r="590" spans="1:16" ht="15.75" customHeight="1" x14ac:dyDescent="0.35">
      <c r="A590" s="960"/>
      <c r="B590" s="26"/>
      <c r="E590" s="26"/>
      <c r="F590" s="61"/>
      <c r="G590" s="26"/>
      <c r="H590" s="26"/>
      <c r="I590" s="26"/>
      <c r="J590" s="26"/>
      <c r="K590" s="26"/>
      <c r="L590" s="26"/>
      <c r="M590" s="26"/>
      <c r="N590" s="26"/>
      <c r="O590" s="26"/>
      <c r="P590" s="26"/>
    </row>
    <row r="591" spans="1:16" ht="15.75" customHeight="1" x14ac:dyDescent="0.35">
      <c r="A591" s="960"/>
      <c r="B591" s="26"/>
      <c r="E591" s="26"/>
      <c r="F591" s="61"/>
      <c r="G591" s="26"/>
      <c r="H591" s="26"/>
      <c r="I591" s="26"/>
      <c r="J591" s="26"/>
      <c r="K591" s="26"/>
      <c r="L591" s="26"/>
      <c r="M591" s="26"/>
      <c r="N591" s="26"/>
      <c r="O591" s="26"/>
      <c r="P591" s="26"/>
    </row>
    <row r="592" spans="1:16" ht="15.75" customHeight="1" x14ac:dyDescent="0.35">
      <c r="A592" s="960"/>
      <c r="B592" s="26"/>
      <c r="E592" s="26"/>
      <c r="F592" s="61"/>
      <c r="G592" s="26"/>
      <c r="H592" s="26"/>
      <c r="I592" s="26"/>
      <c r="J592" s="26"/>
      <c r="K592" s="26"/>
      <c r="L592" s="26"/>
      <c r="M592" s="26"/>
      <c r="N592" s="26"/>
      <c r="O592" s="26"/>
      <c r="P592" s="26"/>
    </row>
    <row r="593" spans="1:16" ht="15.75" customHeight="1" x14ac:dyDescent="0.35">
      <c r="A593" s="960"/>
      <c r="B593" s="26"/>
      <c r="E593" s="26"/>
      <c r="F593" s="61"/>
      <c r="G593" s="26"/>
      <c r="H593" s="26"/>
      <c r="I593" s="26"/>
      <c r="J593" s="26"/>
      <c r="K593" s="26"/>
      <c r="L593" s="26"/>
      <c r="M593" s="26"/>
      <c r="N593" s="26"/>
      <c r="O593" s="26"/>
      <c r="P593" s="26"/>
    </row>
    <row r="594" spans="1:16" ht="15.75" customHeight="1" x14ac:dyDescent="0.35">
      <c r="A594" s="960"/>
      <c r="B594" s="26"/>
      <c r="E594" s="26"/>
      <c r="F594" s="61"/>
      <c r="G594" s="26"/>
      <c r="H594" s="26"/>
      <c r="I594" s="26"/>
      <c r="J594" s="26"/>
      <c r="K594" s="26"/>
      <c r="L594" s="26"/>
      <c r="M594" s="26"/>
      <c r="N594" s="26"/>
      <c r="O594" s="26"/>
      <c r="P594" s="26"/>
    </row>
    <row r="595" spans="1:16" ht="15.75" customHeight="1" x14ac:dyDescent="0.35">
      <c r="A595" s="960"/>
      <c r="B595" s="26"/>
      <c r="E595" s="26"/>
      <c r="F595" s="61"/>
      <c r="G595" s="26"/>
      <c r="H595" s="26"/>
      <c r="I595" s="26"/>
      <c r="J595" s="26"/>
      <c r="K595" s="26"/>
      <c r="L595" s="26"/>
      <c r="M595" s="26"/>
      <c r="N595" s="26"/>
      <c r="O595" s="26"/>
      <c r="P595" s="26"/>
    </row>
    <row r="596" spans="1:16" ht="15.75" customHeight="1" x14ac:dyDescent="0.35">
      <c r="A596" s="960"/>
      <c r="B596" s="26"/>
      <c r="E596" s="26"/>
      <c r="F596" s="61"/>
      <c r="G596" s="26"/>
      <c r="H596" s="26"/>
      <c r="I596" s="26"/>
      <c r="J596" s="26"/>
      <c r="K596" s="26"/>
      <c r="L596" s="26"/>
      <c r="M596" s="26"/>
      <c r="N596" s="26"/>
      <c r="O596" s="26"/>
      <c r="P596" s="26"/>
    </row>
    <row r="597" spans="1:16" ht="15.75" customHeight="1" x14ac:dyDescent="0.35">
      <c r="A597" s="960"/>
      <c r="B597" s="26"/>
      <c r="E597" s="26"/>
      <c r="F597" s="61"/>
      <c r="G597" s="26"/>
      <c r="H597" s="26"/>
      <c r="I597" s="26"/>
      <c r="J597" s="26"/>
      <c r="K597" s="26"/>
      <c r="L597" s="26"/>
      <c r="M597" s="26"/>
      <c r="N597" s="26"/>
      <c r="O597" s="26"/>
      <c r="P597" s="26"/>
    </row>
    <row r="598" spans="1:16" ht="15.75" customHeight="1" x14ac:dyDescent="0.35">
      <c r="A598" s="960"/>
      <c r="B598" s="26"/>
      <c r="E598" s="26"/>
      <c r="F598" s="61"/>
      <c r="G598" s="26"/>
      <c r="H598" s="26"/>
      <c r="I598" s="26"/>
      <c r="J598" s="26"/>
      <c r="K598" s="26"/>
      <c r="L598" s="26"/>
      <c r="M598" s="26"/>
      <c r="N598" s="26"/>
      <c r="O598" s="26"/>
      <c r="P598" s="26"/>
    </row>
    <row r="599" spans="1:16" ht="15.75" customHeight="1" x14ac:dyDescent="0.35">
      <c r="A599" s="960"/>
      <c r="B599" s="26"/>
      <c r="E599" s="26"/>
      <c r="F599" s="61"/>
      <c r="G599" s="26"/>
      <c r="H599" s="26"/>
      <c r="I599" s="26"/>
      <c r="J599" s="26"/>
      <c r="K599" s="26"/>
      <c r="L599" s="26"/>
      <c r="M599" s="26"/>
      <c r="N599" s="26"/>
      <c r="O599" s="26"/>
      <c r="P599" s="26"/>
    </row>
    <row r="600" spans="1:16" ht="15.75" customHeight="1" x14ac:dyDescent="0.35">
      <c r="A600" s="960"/>
      <c r="B600" s="26"/>
      <c r="E600" s="26"/>
      <c r="F600" s="61"/>
      <c r="G600" s="26"/>
      <c r="H600" s="26"/>
      <c r="I600" s="26"/>
      <c r="J600" s="26"/>
      <c r="K600" s="26"/>
      <c r="L600" s="26"/>
      <c r="M600" s="26"/>
      <c r="N600" s="26"/>
      <c r="O600" s="26"/>
      <c r="P600" s="26"/>
    </row>
    <row r="601" spans="1:16" ht="15.75" customHeight="1" x14ac:dyDescent="0.35">
      <c r="A601" s="960"/>
      <c r="B601" s="26"/>
      <c r="E601" s="26"/>
      <c r="F601" s="61"/>
      <c r="G601" s="26"/>
      <c r="H601" s="26"/>
      <c r="I601" s="26"/>
      <c r="J601" s="26"/>
      <c r="K601" s="26"/>
      <c r="L601" s="26"/>
      <c r="M601" s="26"/>
      <c r="N601" s="26"/>
      <c r="O601" s="26"/>
      <c r="P601" s="26"/>
    </row>
    <row r="602" spans="1:16" ht="15.75" customHeight="1" x14ac:dyDescent="0.35">
      <c r="A602" s="960"/>
      <c r="B602" s="26"/>
      <c r="E602" s="26"/>
      <c r="F602" s="61"/>
      <c r="G602" s="26"/>
      <c r="H602" s="26"/>
      <c r="I602" s="26"/>
      <c r="J602" s="26"/>
      <c r="K602" s="26"/>
      <c r="L602" s="26"/>
      <c r="M602" s="26"/>
      <c r="N602" s="26"/>
      <c r="O602" s="26"/>
      <c r="P602" s="26"/>
    </row>
    <row r="603" spans="1:16" ht="15.75" customHeight="1" x14ac:dyDescent="0.35">
      <c r="A603" s="960"/>
      <c r="B603" s="26"/>
      <c r="E603" s="26"/>
      <c r="F603" s="61"/>
      <c r="G603" s="26"/>
      <c r="H603" s="26"/>
      <c r="I603" s="26"/>
      <c r="J603" s="26"/>
      <c r="K603" s="26"/>
      <c r="L603" s="26"/>
      <c r="M603" s="26"/>
      <c r="N603" s="26"/>
      <c r="O603" s="26"/>
      <c r="P603" s="26"/>
    </row>
    <row r="604" spans="1:16" ht="15.75" customHeight="1" x14ac:dyDescent="0.35">
      <c r="A604" s="960"/>
      <c r="B604" s="26"/>
      <c r="E604" s="26"/>
      <c r="F604" s="61"/>
      <c r="G604" s="26"/>
      <c r="H604" s="26"/>
      <c r="I604" s="26"/>
      <c r="J604" s="26"/>
      <c r="K604" s="26"/>
      <c r="L604" s="26"/>
      <c r="M604" s="26"/>
      <c r="N604" s="26"/>
      <c r="O604" s="26"/>
      <c r="P604" s="26"/>
    </row>
    <row r="605" spans="1:16" ht="15.75" customHeight="1" x14ac:dyDescent="0.35">
      <c r="A605" s="960"/>
      <c r="B605" s="26"/>
      <c r="E605" s="26"/>
      <c r="F605" s="61"/>
      <c r="G605" s="26"/>
      <c r="H605" s="26"/>
      <c r="I605" s="26"/>
      <c r="J605" s="26"/>
      <c r="K605" s="26"/>
      <c r="L605" s="26"/>
      <c r="M605" s="26"/>
      <c r="N605" s="26"/>
      <c r="O605" s="26"/>
      <c r="P605" s="26"/>
    </row>
    <row r="606" spans="1:16" ht="15.75" customHeight="1" x14ac:dyDescent="0.35">
      <c r="A606" s="960"/>
      <c r="B606" s="26"/>
      <c r="E606" s="26"/>
      <c r="F606" s="61"/>
      <c r="G606" s="26"/>
      <c r="H606" s="26"/>
      <c r="I606" s="26"/>
      <c r="J606" s="26"/>
      <c r="K606" s="26"/>
      <c r="L606" s="26"/>
      <c r="M606" s="26"/>
      <c r="N606" s="26"/>
      <c r="O606" s="26"/>
      <c r="P606" s="26"/>
    </row>
    <row r="607" spans="1:16" ht="15.75" customHeight="1" x14ac:dyDescent="0.35">
      <c r="A607" s="960"/>
      <c r="B607" s="26"/>
      <c r="E607" s="26"/>
      <c r="F607" s="61"/>
      <c r="G607" s="26"/>
      <c r="H607" s="26"/>
      <c r="I607" s="26"/>
      <c r="J607" s="26"/>
      <c r="K607" s="26"/>
      <c r="L607" s="26"/>
      <c r="M607" s="26"/>
      <c r="N607" s="26"/>
      <c r="O607" s="26"/>
      <c r="P607" s="26"/>
    </row>
    <row r="608" spans="1:16" ht="15.75" customHeight="1" x14ac:dyDescent="0.35">
      <c r="A608" s="960"/>
      <c r="B608" s="26"/>
      <c r="E608" s="26"/>
      <c r="F608" s="61"/>
      <c r="G608" s="26"/>
      <c r="H608" s="26"/>
      <c r="I608" s="26"/>
      <c r="J608" s="26"/>
      <c r="K608" s="26"/>
      <c r="L608" s="26"/>
      <c r="M608" s="26"/>
      <c r="N608" s="26"/>
      <c r="O608" s="26"/>
      <c r="P608" s="26"/>
    </row>
    <row r="609" spans="1:16" ht="15.75" customHeight="1" x14ac:dyDescent="0.35">
      <c r="A609" s="960"/>
      <c r="B609" s="26"/>
      <c r="E609" s="26"/>
      <c r="F609" s="61"/>
      <c r="G609" s="26"/>
      <c r="H609" s="26"/>
      <c r="I609" s="26"/>
      <c r="J609" s="26"/>
      <c r="K609" s="26"/>
      <c r="L609" s="26"/>
      <c r="M609" s="26"/>
      <c r="N609" s="26"/>
      <c r="O609" s="26"/>
      <c r="P609" s="26"/>
    </row>
    <row r="610" spans="1:16" ht="15.75" customHeight="1" x14ac:dyDescent="0.35">
      <c r="A610" s="960"/>
      <c r="B610" s="26"/>
      <c r="E610" s="26"/>
      <c r="F610" s="61"/>
      <c r="G610" s="26"/>
      <c r="H610" s="26"/>
      <c r="I610" s="26"/>
      <c r="J610" s="26"/>
      <c r="K610" s="26"/>
      <c r="L610" s="26"/>
      <c r="M610" s="26"/>
      <c r="N610" s="26"/>
      <c r="O610" s="26"/>
      <c r="P610" s="26"/>
    </row>
    <row r="611" spans="1:16" ht="15.75" customHeight="1" x14ac:dyDescent="0.35">
      <c r="A611" s="960"/>
      <c r="B611" s="26"/>
      <c r="E611" s="26"/>
      <c r="F611" s="61"/>
      <c r="G611" s="26"/>
      <c r="H611" s="26"/>
      <c r="I611" s="26"/>
      <c r="J611" s="26"/>
      <c r="K611" s="26"/>
      <c r="L611" s="26"/>
      <c r="M611" s="26"/>
      <c r="N611" s="26"/>
      <c r="O611" s="26"/>
      <c r="P611" s="26"/>
    </row>
    <row r="612" spans="1:16" ht="15.75" customHeight="1" x14ac:dyDescent="0.35">
      <c r="A612" s="960"/>
      <c r="B612" s="26"/>
      <c r="E612" s="26"/>
      <c r="F612" s="61"/>
      <c r="G612" s="26"/>
      <c r="H612" s="26"/>
      <c r="I612" s="26"/>
      <c r="J612" s="26"/>
      <c r="K612" s="26"/>
      <c r="L612" s="26"/>
      <c r="M612" s="26"/>
      <c r="N612" s="26"/>
      <c r="O612" s="26"/>
      <c r="P612" s="26"/>
    </row>
    <row r="613" spans="1:16" ht="15.75" customHeight="1" x14ac:dyDescent="0.35">
      <c r="A613" s="960"/>
      <c r="B613" s="26"/>
      <c r="E613" s="26"/>
      <c r="F613" s="61"/>
      <c r="G613" s="26"/>
      <c r="H613" s="26"/>
      <c r="I613" s="26"/>
      <c r="J613" s="26"/>
      <c r="K613" s="26"/>
      <c r="L613" s="26"/>
      <c r="M613" s="26"/>
      <c r="N613" s="26"/>
      <c r="O613" s="26"/>
      <c r="P613" s="26"/>
    </row>
    <row r="614" spans="1:16" ht="15.75" customHeight="1" x14ac:dyDescent="0.35">
      <c r="A614" s="960"/>
      <c r="B614" s="26"/>
      <c r="E614" s="26"/>
      <c r="F614" s="61"/>
      <c r="G614" s="26"/>
      <c r="H614" s="26"/>
      <c r="I614" s="26"/>
      <c r="J614" s="26"/>
      <c r="K614" s="26"/>
      <c r="L614" s="26"/>
      <c r="M614" s="26"/>
      <c r="N614" s="26"/>
      <c r="O614" s="26"/>
      <c r="P614" s="26"/>
    </row>
    <row r="615" spans="1:16" ht="15.75" customHeight="1" x14ac:dyDescent="0.35">
      <c r="A615" s="960"/>
      <c r="B615" s="26"/>
      <c r="E615" s="26"/>
      <c r="F615" s="61"/>
      <c r="G615" s="26"/>
      <c r="H615" s="26"/>
      <c r="I615" s="26"/>
      <c r="J615" s="26"/>
      <c r="K615" s="26"/>
      <c r="L615" s="26"/>
      <c r="M615" s="26"/>
      <c r="N615" s="26"/>
      <c r="O615" s="26"/>
      <c r="P615" s="26"/>
    </row>
    <row r="616" spans="1:16" ht="15.75" customHeight="1" x14ac:dyDescent="0.35">
      <c r="A616" s="960"/>
      <c r="B616" s="26"/>
      <c r="E616" s="26"/>
      <c r="F616" s="61"/>
      <c r="G616" s="26"/>
      <c r="H616" s="26"/>
      <c r="I616" s="26"/>
      <c r="J616" s="26"/>
      <c r="K616" s="26"/>
      <c r="L616" s="26"/>
      <c r="M616" s="26"/>
      <c r="N616" s="26"/>
      <c r="O616" s="26"/>
      <c r="P616" s="26"/>
    </row>
    <row r="617" spans="1:16" ht="15.75" customHeight="1" x14ac:dyDescent="0.35">
      <c r="A617" s="960"/>
      <c r="B617" s="26"/>
      <c r="E617" s="26"/>
      <c r="F617" s="61"/>
      <c r="G617" s="26"/>
      <c r="H617" s="26"/>
      <c r="I617" s="26"/>
      <c r="J617" s="26"/>
      <c r="K617" s="26"/>
      <c r="L617" s="26"/>
      <c r="M617" s="26"/>
      <c r="N617" s="26"/>
      <c r="O617" s="26"/>
      <c r="P617" s="26"/>
    </row>
    <row r="618" spans="1:16" ht="15.75" customHeight="1" x14ac:dyDescent="0.35">
      <c r="A618" s="960"/>
      <c r="B618" s="26"/>
      <c r="E618" s="26"/>
      <c r="F618" s="61"/>
      <c r="G618" s="26"/>
      <c r="H618" s="26"/>
      <c r="I618" s="26"/>
      <c r="J618" s="26"/>
      <c r="K618" s="26"/>
      <c r="L618" s="26"/>
      <c r="M618" s="26"/>
      <c r="N618" s="26"/>
      <c r="O618" s="26"/>
      <c r="P618" s="26"/>
    </row>
    <row r="619" spans="1:16" ht="15.75" customHeight="1" x14ac:dyDescent="0.35">
      <c r="A619" s="960"/>
      <c r="B619" s="26"/>
      <c r="E619" s="26"/>
      <c r="F619" s="61"/>
      <c r="G619" s="26"/>
      <c r="H619" s="26"/>
      <c r="I619" s="26"/>
      <c r="J619" s="26"/>
      <c r="K619" s="26"/>
      <c r="L619" s="26"/>
      <c r="M619" s="26"/>
      <c r="N619" s="26"/>
      <c r="O619" s="26"/>
      <c r="P619" s="26"/>
    </row>
    <row r="620" spans="1:16" ht="15.75" customHeight="1" x14ac:dyDescent="0.35">
      <c r="A620" s="960"/>
      <c r="B620" s="26"/>
      <c r="E620" s="26"/>
      <c r="F620" s="61"/>
      <c r="G620" s="26"/>
      <c r="H620" s="26"/>
      <c r="I620" s="26"/>
      <c r="J620" s="26"/>
      <c r="K620" s="26"/>
      <c r="L620" s="26"/>
      <c r="M620" s="26"/>
      <c r="N620" s="26"/>
      <c r="O620" s="26"/>
      <c r="P620" s="26"/>
    </row>
    <row r="621" spans="1:16" ht="15.75" customHeight="1" x14ac:dyDescent="0.35">
      <c r="A621" s="960"/>
      <c r="B621" s="26"/>
      <c r="E621" s="26"/>
      <c r="F621" s="61"/>
      <c r="G621" s="26"/>
      <c r="H621" s="26"/>
      <c r="I621" s="26"/>
      <c r="J621" s="26"/>
      <c r="K621" s="26"/>
      <c r="L621" s="26"/>
      <c r="M621" s="26"/>
      <c r="N621" s="26"/>
      <c r="O621" s="26"/>
      <c r="P621" s="26"/>
    </row>
    <row r="622" spans="1:16" ht="15.75" customHeight="1" x14ac:dyDescent="0.35">
      <c r="A622" s="960"/>
      <c r="B622" s="26"/>
      <c r="E622" s="26"/>
      <c r="F622" s="61"/>
      <c r="G622" s="26"/>
      <c r="H622" s="26"/>
      <c r="I622" s="26"/>
      <c r="J622" s="26"/>
      <c r="K622" s="26"/>
      <c r="L622" s="26"/>
      <c r="M622" s="26"/>
      <c r="N622" s="26"/>
      <c r="O622" s="26"/>
      <c r="P622" s="26"/>
    </row>
    <row r="623" spans="1:16" ht="15.75" customHeight="1" x14ac:dyDescent="0.35">
      <c r="A623" s="960"/>
      <c r="B623" s="26"/>
      <c r="E623" s="26"/>
      <c r="F623" s="61"/>
      <c r="G623" s="26"/>
      <c r="H623" s="26"/>
      <c r="I623" s="26"/>
      <c r="J623" s="26"/>
      <c r="K623" s="26"/>
      <c r="L623" s="26"/>
      <c r="M623" s="26"/>
      <c r="N623" s="26"/>
      <c r="O623" s="26"/>
      <c r="P623" s="26"/>
    </row>
    <row r="624" spans="1:16" ht="15.75" customHeight="1" x14ac:dyDescent="0.35">
      <c r="A624" s="960"/>
      <c r="B624" s="26"/>
      <c r="E624" s="26"/>
      <c r="F624" s="61"/>
      <c r="G624" s="26"/>
      <c r="H624" s="26"/>
      <c r="I624" s="26"/>
      <c r="J624" s="26"/>
      <c r="K624" s="26"/>
      <c r="L624" s="26"/>
      <c r="M624" s="26"/>
      <c r="N624" s="26"/>
      <c r="O624" s="26"/>
      <c r="P624" s="26"/>
    </row>
    <row r="625" spans="1:16" ht="15.75" customHeight="1" x14ac:dyDescent="0.35">
      <c r="A625" s="960"/>
      <c r="B625" s="26"/>
      <c r="E625" s="26"/>
      <c r="F625" s="61"/>
      <c r="G625" s="26"/>
      <c r="H625" s="26"/>
      <c r="I625" s="26"/>
      <c r="J625" s="26"/>
      <c r="K625" s="26"/>
      <c r="L625" s="26"/>
      <c r="M625" s="26"/>
      <c r="N625" s="26"/>
      <c r="O625" s="26"/>
      <c r="P625" s="26"/>
    </row>
    <row r="626" spans="1:16" ht="15.75" customHeight="1" x14ac:dyDescent="0.35">
      <c r="A626" s="960"/>
      <c r="B626" s="26"/>
      <c r="E626" s="26"/>
      <c r="F626" s="61"/>
      <c r="G626" s="26"/>
      <c r="H626" s="26"/>
      <c r="I626" s="26"/>
      <c r="J626" s="26"/>
      <c r="K626" s="26"/>
      <c r="L626" s="26"/>
      <c r="M626" s="26"/>
      <c r="N626" s="26"/>
      <c r="O626" s="26"/>
      <c r="P626" s="26"/>
    </row>
    <row r="627" spans="1:16" ht="15.75" customHeight="1" x14ac:dyDescent="0.35">
      <c r="A627" s="960"/>
      <c r="B627" s="26"/>
      <c r="E627" s="26"/>
      <c r="F627" s="61"/>
      <c r="G627" s="26"/>
      <c r="H627" s="26"/>
      <c r="I627" s="26"/>
      <c r="J627" s="26"/>
      <c r="K627" s="26"/>
      <c r="L627" s="26"/>
      <c r="M627" s="26"/>
      <c r="N627" s="26"/>
      <c r="O627" s="26"/>
      <c r="P627" s="26"/>
    </row>
    <row r="628" spans="1:16" ht="15.75" customHeight="1" x14ac:dyDescent="0.35">
      <c r="A628" s="960"/>
      <c r="B628" s="26"/>
      <c r="E628" s="26"/>
      <c r="F628" s="61"/>
      <c r="G628" s="26"/>
      <c r="H628" s="26"/>
      <c r="I628" s="26"/>
      <c r="J628" s="26"/>
      <c r="K628" s="26"/>
      <c r="L628" s="26"/>
      <c r="M628" s="26"/>
      <c r="N628" s="26"/>
      <c r="O628" s="26"/>
      <c r="P628" s="26"/>
    </row>
    <row r="629" spans="1:16" ht="15.75" customHeight="1" x14ac:dyDescent="0.35">
      <c r="A629" s="960"/>
      <c r="B629" s="26"/>
      <c r="E629" s="26"/>
      <c r="F629" s="61"/>
      <c r="G629" s="26"/>
      <c r="H629" s="26"/>
      <c r="I629" s="26"/>
      <c r="J629" s="26"/>
      <c r="K629" s="26"/>
      <c r="L629" s="26"/>
      <c r="M629" s="26"/>
      <c r="N629" s="26"/>
      <c r="O629" s="26"/>
      <c r="P629" s="26"/>
    </row>
    <row r="630" spans="1:16" ht="15.75" customHeight="1" x14ac:dyDescent="0.35">
      <c r="A630" s="960"/>
      <c r="B630" s="26"/>
      <c r="E630" s="26"/>
      <c r="F630" s="61"/>
      <c r="G630" s="26"/>
      <c r="H630" s="26"/>
      <c r="I630" s="26"/>
      <c r="J630" s="26"/>
      <c r="K630" s="26"/>
      <c r="L630" s="26"/>
      <c r="M630" s="26"/>
      <c r="N630" s="26"/>
      <c r="O630" s="26"/>
      <c r="P630" s="26"/>
    </row>
    <row r="631" spans="1:16" ht="15.75" customHeight="1" x14ac:dyDescent="0.35">
      <c r="A631" s="960"/>
      <c r="B631" s="26"/>
      <c r="E631" s="26"/>
      <c r="F631" s="61"/>
      <c r="G631" s="26"/>
      <c r="H631" s="26"/>
      <c r="I631" s="26"/>
      <c r="J631" s="26"/>
      <c r="K631" s="26"/>
      <c r="L631" s="26"/>
      <c r="M631" s="26"/>
      <c r="N631" s="26"/>
      <c r="O631" s="26"/>
      <c r="P631" s="26"/>
    </row>
    <row r="632" spans="1:16" ht="15.75" customHeight="1" x14ac:dyDescent="0.35">
      <c r="A632" s="960"/>
      <c r="B632" s="26"/>
      <c r="E632" s="26"/>
      <c r="F632" s="61"/>
      <c r="G632" s="26"/>
      <c r="H632" s="26"/>
      <c r="I632" s="26"/>
      <c r="J632" s="26"/>
      <c r="K632" s="26"/>
      <c r="L632" s="26"/>
      <c r="M632" s="26"/>
      <c r="N632" s="26"/>
      <c r="O632" s="26"/>
      <c r="P632" s="26"/>
    </row>
    <row r="633" spans="1:16" ht="15.75" customHeight="1" x14ac:dyDescent="0.35">
      <c r="A633" s="960"/>
      <c r="B633" s="26"/>
      <c r="E633" s="26"/>
      <c r="F633" s="61"/>
      <c r="G633" s="26"/>
      <c r="H633" s="26"/>
      <c r="I633" s="26"/>
      <c r="J633" s="26"/>
      <c r="K633" s="26"/>
      <c r="L633" s="26"/>
      <c r="M633" s="26"/>
      <c r="N633" s="26"/>
      <c r="O633" s="26"/>
      <c r="P633" s="26"/>
    </row>
    <row r="634" spans="1:16" ht="15.75" customHeight="1" x14ac:dyDescent="0.35">
      <c r="A634" s="960"/>
      <c r="B634" s="26"/>
      <c r="E634" s="26"/>
      <c r="F634" s="61"/>
      <c r="G634" s="26"/>
      <c r="H634" s="26"/>
      <c r="I634" s="26"/>
      <c r="J634" s="26"/>
      <c r="K634" s="26"/>
      <c r="L634" s="26"/>
      <c r="M634" s="26"/>
      <c r="N634" s="26"/>
      <c r="O634" s="26"/>
      <c r="P634" s="26"/>
    </row>
    <row r="635" spans="1:16" ht="15.75" customHeight="1" x14ac:dyDescent="0.35">
      <c r="A635" s="960"/>
      <c r="B635" s="26"/>
      <c r="E635" s="26"/>
      <c r="F635" s="61"/>
      <c r="G635" s="26"/>
      <c r="H635" s="26"/>
      <c r="I635" s="26"/>
      <c r="J635" s="26"/>
      <c r="K635" s="26"/>
      <c r="L635" s="26"/>
      <c r="M635" s="26"/>
      <c r="N635" s="26"/>
      <c r="O635" s="26"/>
      <c r="P635" s="26"/>
    </row>
    <row r="636" spans="1:16" ht="15.75" customHeight="1" x14ac:dyDescent="0.35">
      <c r="A636" s="960"/>
      <c r="B636" s="26"/>
      <c r="E636" s="26"/>
      <c r="F636" s="61"/>
      <c r="G636" s="26"/>
      <c r="H636" s="26"/>
      <c r="I636" s="26"/>
      <c r="J636" s="26"/>
      <c r="K636" s="26"/>
      <c r="L636" s="26"/>
      <c r="M636" s="26"/>
      <c r="N636" s="26"/>
      <c r="O636" s="26"/>
      <c r="P636" s="26"/>
    </row>
    <row r="637" spans="1:16" ht="15.75" customHeight="1" x14ac:dyDescent="0.35">
      <c r="A637" s="960"/>
      <c r="B637" s="26"/>
      <c r="E637" s="26"/>
      <c r="F637" s="61"/>
      <c r="G637" s="26"/>
      <c r="H637" s="26"/>
      <c r="I637" s="26"/>
      <c r="J637" s="26"/>
      <c r="K637" s="26"/>
      <c r="L637" s="26"/>
      <c r="M637" s="26"/>
      <c r="N637" s="26"/>
      <c r="O637" s="26"/>
      <c r="P637" s="26"/>
    </row>
    <row r="638" spans="1:16" ht="15.75" customHeight="1" x14ac:dyDescent="0.35">
      <c r="A638" s="960"/>
      <c r="B638" s="26"/>
      <c r="E638" s="26"/>
      <c r="F638" s="61"/>
      <c r="G638" s="26"/>
      <c r="H638" s="26"/>
      <c r="I638" s="26"/>
      <c r="J638" s="26"/>
      <c r="K638" s="26"/>
      <c r="L638" s="26"/>
      <c r="M638" s="26"/>
      <c r="N638" s="26"/>
      <c r="O638" s="26"/>
      <c r="P638" s="26"/>
    </row>
    <row r="639" spans="1:16" ht="15.75" customHeight="1" x14ac:dyDescent="0.35">
      <c r="A639" s="960"/>
      <c r="B639" s="26"/>
      <c r="E639" s="26"/>
      <c r="F639" s="61"/>
      <c r="G639" s="26"/>
      <c r="H639" s="26"/>
      <c r="I639" s="26"/>
      <c r="J639" s="26"/>
      <c r="K639" s="26"/>
      <c r="L639" s="26"/>
      <c r="M639" s="26"/>
      <c r="N639" s="26"/>
      <c r="O639" s="26"/>
      <c r="P639" s="26"/>
    </row>
    <row r="640" spans="1:16" ht="15.75" customHeight="1" x14ac:dyDescent="0.35">
      <c r="A640" s="960"/>
      <c r="B640" s="26"/>
      <c r="E640" s="26"/>
      <c r="F640" s="61"/>
      <c r="G640" s="26"/>
      <c r="H640" s="26"/>
      <c r="I640" s="26"/>
      <c r="J640" s="26"/>
      <c r="K640" s="26"/>
      <c r="L640" s="26"/>
      <c r="M640" s="26"/>
      <c r="N640" s="26"/>
      <c r="O640" s="26"/>
      <c r="P640" s="26"/>
    </row>
    <row r="641" spans="1:16" ht="15.75" customHeight="1" x14ac:dyDescent="0.35">
      <c r="A641" s="960"/>
      <c r="B641" s="26"/>
      <c r="E641" s="26"/>
      <c r="F641" s="61"/>
      <c r="G641" s="26"/>
      <c r="H641" s="26"/>
      <c r="I641" s="26"/>
      <c r="J641" s="26"/>
      <c r="K641" s="26"/>
      <c r="L641" s="26"/>
      <c r="M641" s="26"/>
      <c r="N641" s="26"/>
      <c r="O641" s="26"/>
      <c r="P641" s="26"/>
    </row>
    <row r="642" spans="1:16" ht="15.75" customHeight="1" x14ac:dyDescent="0.35">
      <c r="A642" s="960"/>
      <c r="B642" s="26"/>
      <c r="E642" s="26"/>
      <c r="F642" s="61"/>
      <c r="G642" s="26"/>
      <c r="H642" s="26"/>
      <c r="I642" s="26"/>
      <c r="J642" s="26"/>
      <c r="K642" s="26"/>
      <c r="L642" s="26"/>
      <c r="M642" s="26"/>
      <c r="N642" s="26"/>
      <c r="O642" s="26"/>
      <c r="P642" s="26"/>
    </row>
    <row r="643" spans="1:16" ht="15.75" customHeight="1" x14ac:dyDescent="0.35">
      <c r="A643" s="960"/>
      <c r="B643" s="26"/>
      <c r="E643" s="26"/>
      <c r="F643" s="61"/>
      <c r="G643" s="26"/>
      <c r="H643" s="26"/>
      <c r="I643" s="26"/>
      <c r="J643" s="26"/>
      <c r="K643" s="26"/>
      <c r="L643" s="26"/>
      <c r="M643" s="26"/>
      <c r="N643" s="26"/>
      <c r="O643" s="26"/>
      <c r="P643" s="26"/>
    </row>
    <row r="644" spans="1:16" ht="15.75" customHeight="1" x14ac:dyDescent="0.35">
      <c r="A644" s="960"/>
      <c r="B644" s="26"/>
      <c r="E644" s="26"/>
      <c r="F644" s="61"/>
      <c r="G644" s="26"/>
      <c r="H644" s="26"/>
      <c r="I644" s="26"/>
      <c r="J644" s="26"/>
      <c r="K644" s="26"/>
      <c r="L644" s="26"/>
      <c r="M644" s="26"/>
      <c r="N644" s="26"/>
      <c r="O644" s="26"/>
      <c r="P644" s="26"/>
    </row>
    <row r="645" spans="1:16" ht="15.75" customHeight="1" x14ac:dyDescent="0.35">
      <c r="A645" s="960"/>
      <c r="B645" s="26"/>
      <c r="E645" s="26"/>
      <c r="F645" s="61"/>
      <c r="G645" s="26"/>
      <c r="H645" s="26"/>
      <c r="I645" s="26"/>
      <c r="J645" s="26"/>
      <c r="K645" s="26"/>
      <c r="L645" s="26"/>
      <c r="M645" s="26"/>
      <c r="N645" s="26"/>
      <c r="O645" s="26"/>
      <c r="P645" s="26"/>
    </row>
    <row r="646" spans="1:16" ht="15.75" customHeight="1" x14ac:dyDescent="0.35">
      <c r="A646" s="960"/>
      <c r="B646" s="26"/>
      <c r="E646" s="26"/>
      <c r="F646" s="61"/>
      <c r="G646" s="26"/>
      <c r="H646" s="26"/>
      <c r="I646" s="26"/>
      <c r="J646" s="26"/>
      <c r="K646" s="26"/>
      <c r="L646" s="26"/>
      <c r="M646" s="26"/>
      <c r="N646" s="26"/>
      <c r="O646" s="26"/>
      <c r="P646" s="26"/>
    </row>
    <row r="647" spans="1:16" ht="15.75" customHeight="1" x14ac:dyDescent="0.35">
      <c r="A647" s="960"/>
      <c r="B647" s="26"/>
      <c r="E647" s="26"/>
      <c r="F647" s="61"/>
      <c r="G647" s="26"/>
      <c r="H647" s="26"/>
      <c r="I647" s="26"/>
      <c r="J647" s="26"/>
      <c r="K647" s="26"/>
      <c r="L647" s="26"/>
      <c r="M647" s="26"/>
      <c r="N647" s="26"/>
      <c r="O647" s="26"/>
      <c r="P647" s="26"/>
    </row>
    <row r="648" spans="1:16" ht="15.75" customHeight="1" x14ac:dyDescent="0.35">
      <c r="A648" s="960"/>
      <c r="B648" s="26"/>
      <c r="E648" s="26"/>
      <c r="F648" s="61"/>
      <c r="G648" s="26"/>
      <c r="H648" s="26"/>
      <c r="I648" s="26"/>
      <c r="J648" s="26"/>
      <c r="K648" s="26"/>
      <c r="L648" s="26"/>
      <c r="M648" s="26"/>
      <c r="N648" s="26"/>
      <c r="O648" s="26"/>
      <c r="P648" s="26"/>
    </row>
    <row r="649" spans="1:16" ht="15.75" customHeight="1" x14ac:dyDescent="0.35">
      <c r="A649" s="960"/>
      <c r="B649" s="26"/>
      <c r="E649" s="26"/>
      <c r="F649" s="61"/>
      <c r="G649" s="26"/>
      <c r="H649" s="26"/>
      <c r="I649" s="26"/>
      <c r="J649" s="26"/>
      <c r="K649" s="26"/>
      <c r="L649" s="26"/>
      <c r="M649" s="26"/>
      <c r="N649" s="26"/>
      <c r="O649" s="26"/>
      <c r="P649" s="26"/>
    </row>
    <row r="650" spans="1:16" ht="15.75" customHeight="1" x14ac:dyDescent="0.35">
      <c r="A650" s="960"/>
      <c r="B650" s="26"/>
      <c r="E650" s="26"/>
      <c r="F650" s="61"/>
      <c r="G650" s="26"/>
      <c r="H650" s="26"/>
      <c r="I650" s="26"/>
      <c r="J650" s="26"/>
      <c r="K650" s="26"/>
      <c r="L650" s="26"/>
      <c r="M650" s="26"/>
      <c r="N650" s="26"/>
      <c r="O650" s="26"/>
      <c r="P650" s="26"/>
    </row>
    <row r="651" spans="1:16" ht="15.75" customHeight="1" x14ac:dyDescent="0.35">
      <c r="A651" s="960"/>
      <c r="B651" s="26"/>
      <c r="E651" s="26"/>
      <c r="F651" s="61"/>
      <c r="G651" s="26"/>
      <c r="H651" s="26"/>
      <c r="I651" s="26"/>
      <c r="J651" s="26"/>
      <c r="K651" s="26"/>
      <c r="L651" s="26"/>
      <c r="M651" s="26"/>
      <c r="N651" s="26"/>
      <c r="O651" s="26"/>
      <c r="P651" s="26"/>
    </row>
    <row r="652" spans="1:16" ht="15.75" customHeight="1" x14ac:dyDescent="0.35">
      <c r="A652" s="960"/>
      <c r="B652" s="26"/>
      <c r="E652" s="26"/>
      <c r="F652" s="61"/>
      <c r="G652" s="26"/>
      <c r="H652" s="26"/>
      <c r="I652" s="26"/>
      <c r="J652" s="26"/>
      <c r="K652" s="26"/>
      <c r="L652" s="26"/>
      <c r="M652" s="26"/>
      <c r="N652" s="26"/>
      <c r="O652" s="26"/>
      <c r="P652" s="26"/>
    </row>
    <row r="653" spans="1:16" ht="15.75" customHeight="1" x14ac:dyDescent="0.35">
      <c r="A653" s="960"/>
      <c r="B653" s="26"/>
      <c r="E653" s="26"/>
      <c r="F653" s="61"/>
      <c r="G653" s="26"/>
      <c r="H653" s="26"/>
      <c r="I653" s="26"/>
      <c r="J653" s="26"/>
      <c r="K653" s="26"/>
      <c r="L653" s="26"/>
      <c r="M653" s="26"/>
      <c r="N653" s="26"/>
      <c r="O653" s="26"/>
      <c r="P653" s="26"/>
    </row>
    <row r="654" spans="1:16" ht="15.75" customHeight="1" x14ac:dyDescent="0.35">
      <c r="A654" s="960"/>
      <c r="B654" s="26"/>
      <c r="E654" s="26"/>
      <c r="F654" s="61"/>
      <c r="G654" s="26"/>
      <c r="H654" s="26"/>
      <c r="I654" s="26"/>
      <c r="J654" s="26"/>
      <c r="K654" s="26"/>
      <c r="L654" s="26"/>
      <c r="M654" s="26"/>
      <c r="N654" s="26"/>
      <c r="O654" s="26"/>
      <c r="P654" s="26"/>
    </row>
    <row r="655" spans="1:16" ht="15.75" customHeight="1" x14ac:dyDescent="0.35">
      <c r="A655" s="960"/>
      <c r="B655" s="26"/>
      <c r="E655" s="26"/>
      <c r="F655" s="61"/>
      <c r="G655" s="26"/>
      <c r="H655" s="26"/>
      <c r="I655" s="26"/>
      <c r="J655" s="26"/>
      <c r="K655" s="26"/>
      <c r="L655" s="26"/>
      <c r="M655" s="26"/>
      <c r="N655" s="26"/>
      <c r="O655" s="26"/>
      <c r="P655" s="26"/>
    </row>
    <row r="656" spans="1:16" ht="15.75" customHeight="1" x14ac:dyDescent="0.35">
      <c r="A656" s="960"/>
      <c r="B656" s="26"/>
      <c r="E656" s="26"/>
      <c r="F656" s="61"/>
      <c r="G656" s="26"/>
      <c r="H656" s="26"/>
      <c r="I656" s="26"/>
      <c r="J656" s="26"/>
      <c r="K656" s="26"/>
      <c r="L656" s="26"/>
      <c r="M656" s="26"/>
      <c r="N656" s="26"/>
      <c r="O656" s="26"/>
      <c r="P656" s="26"/>
    </row>
    <row r="657" spans="1:16" ht="15.75" customHeight="1" x14ac:dyDescent="0.35">
      <c r="A657" s="960"/>
      <c r="B657" s="26"/>
      <c r="E657" s="26"/>
      <c r="F657" s="61"/>
      <c r="G657" s="26"/>
      <c r="H657" s="26"/>
      <c r="I657" s="26"/>
      <c r="J657" s="26"/>
      <c r="K657" s="26"/>
      <c r="L657" s="26"/>
      <c r="M657" s="26"/>
      <c r="N657" s="26"/>
      <c r="O657" s="26"/>
      <c r="P657" s="26"/>
    </row>
    <row r="658" spans="1:16" ht="15.75" customHeight="1" x14ac:dyDescent="0.35">
      <c r="A658" s="960"/>
      <c r="B658" s="26"/>
      <c r="E658" s="26"/>
      <c r="F658" s="61"/>
      <c r="G658" s="26"/>
      <c r="H658" s="26"/>
      <c r="I658" s="26"/>
      <c r="J658" s="26"/>
      <c r="K658" s="26"/>
      <c r="L658" s="26"/>
      <c r="M658" s="26"/>
      <c r="N658" s="26"/>
      <c r="O658" s="26"/>
      <c r="P658" s="26"/>
    </row>
    <row r="659" spans="1:16" ht="15.75" customHeight="1" x14ac:dyDescent="0.35">
      <c r="A659" s="960"/>
      <c r="B659" s="26"/>
      <c r="E659" s="26"/>
      <c r="F659" s="61"/>
      <c r="G659" s="26"/>
      <c r="H659" s="26"/>
      <c r="I659" s="26"/>
      <c r="J659" s="26"/>
      <c r="K659" s="26"/>
      <c r="L659" s="26"/>
      <c r="M659" s="26"/>
      <c r="N659" s="26"/>
      <c r="O659" s="26"/>
      <c r="P659" s="26"/>
    </row>
    <row r="660" spans="1:16" ht="15.75" customHeight="1" x14ac:dyDescent="0.35">
      <c r="A660" s="960"/>
      <c r="B660" s="26"/>
      <c r="E660" s="26"/>
      <c r="F660" s="61"/>
      <c r="G660" s="26"/>
      <c r="H660" s="26"/>
      <c r="I660" s="26"/>
      <c r="J660" s="26"/>
      <c r="K660" s="26"/>
      <c r="L660" s="26"/>
      <c r="M660" s="26"/>
      <c r="N660" s="26"/>
      <c r="O660" s="26"/>
      <c r="P660" s="26"/>
    </row>
    <row r="661" spans="1:16" ht="15.75" customHeight="1" x14ac:dyDescent="0.35">
      <c r="A661" s="960"/>
      <c r="B661" s="26"/>
      <c r="E661" s="26"/>
      <c r="F661" s="61"/>
      <c r="G661" s="26"/>
      <c r="H661" s="26"/>
      <c r="I661" s="26"/>
      <c r="J661" s="26"/>
      <c r="K661" s="26"/>
      <c r="L661" s="26"/>
      <c r="M661" s="26"/>
      <c r="N661" s="26"/>
      <c r="O661" s="26"/>
      <c r="P661" s="26"/>
    </row>
    <row r="662" spans="1:16" ht="15.75" customHeight="1" x14ac:dyDescent="0.35">
      <c r="A662" s="960"/>
      <c r="B662" s="26"/>
      <c r="E662" s="26"/>
      <c r="F662" s="61"/>
      <c r="G662" s="26"/>
      <c r="H662" s="26"/>
      <c r="I662" s="26"/>
      <c r="J662" s="26"/>
      <c r="K662" s="26"/>
      <c r="L662" s="26"/>
      <c r="M662" s="26"/>
      <c r="N662" s="26"/>
      <c r="O662" s="26"/>
      <c r="P662" s="26"/>
    </row>
    <row r="663" spans="1:16" ht="15.75" customHeight="1" x14ac:dyDescent="0.35">
      <c r="A663" s="960"/>
      <c r="B663" s="26"/>
      <c r="E663" s="26"/>
      <c r="F663" s="61"/>
      <c r="G663" s="26"/>
      <c r="H663" s="26"/>
      <c r="I663" s="26"/>
      <c r="J663" s="26"/>
      <c r="K663" s="26"/>
      <c r="L663" s="26"/>
      <c r="M663" s="26"/>
      <c r="N663" s="26"/>
      <c r="O663" s="26"/>
      <c r="P663" s="26"/>
    </row>
    <row r="664" spans="1:16" ht="15.75" customHeight="1" x14ac:dyDescent="0.35">
      <c r="A664" s="960"/>
      <c r="B664" s="26"/>
      <c r="E664" s="26"/>
      <c r="F664" s="61"/>
      <c r="G664" s="26"/>
      <c r="H664" s="26"/>
      <c r="I664" s="26"/>
      <c r="J664" s="26"/>
      <c r="K664" s="26"/>
      <c r="L664" s="26"/>
      <c r="M664" s="26"/>
      <c r="N664" s="26"/>
      <c r="O664" s="26"/>
      <c r="P664" s="26"/>
    </row>
    <row r="665" spans="1:16" ht="15.75" customHeight="1" x14ac:dyDescent="0.35">
      <c r="A665" s="960"/>
      <c r="B665" s="26"/>
      <c r="E665" s="26"/>
      <c r="F665" s="61"/>
      <c r="G665" s="26"/>
      <c r="H665" s="26"/>
      <c r="I665" s="26"/>
      <c r="J665" s="26"/>
      <c r="K665" s="26"/>
      <c r="L665" s="26"/>
      <c r="M665" s="26"/>
      <c r="N665" s="26"/>
      <c r="O665" s="26"/>
      <c r="P665" s="26"/>
    </row>
    <row r="666" spans="1:16" ht="15.75" customHeight="1" x14ac:dyDescent="0.35">
      <c r="A666" s="960"/>
      <c r="B666" s="26"/>
      <c r="E666" s="26"/>
      <c r="F666" s="61"/>
      <c r="G666" s="26"/>
      <c r="H666" s="26"/>
      <c r="I666" s="26"/>
      <c r="J666" s="26"/>
      <c r="K666" s="26"/>
      <c r="L666" s="26"/>
      <c r="M666" s="26"/>
      <c r="N666" s="26"/>
      <c r="O666" s="26"/>
      <c r="P666" s="26"/>
    </row>
    <row r="667" spans="1:16" ht="15.75" customHeight="1" x14ac:dyDescent="0.35">
      <c r="A667" s="960"/>
      <c r="B667" s="26"/>
      <c r="E667" s="26"/>
      <c r="F667" s="61"/>
      <c r="G667" s="26"/>
      <c r="H667" s="26"/>
      <c r="I667" s="26"/>
      <c r="J667" s="26"/>
      <c r="K667" s="26"/>
      <c r="L667" s="26"/>
      <c r="M667" s="26"/>
      <c r="N667" s="26"/>
      <c r="O667" s="26"/>
      <c r="P667" s="26"/>
    </row>
    <row r="668" spans="1:16" ht="15.75" customHeight="1" x14ac:dyDescent="0.35">
      <c r="A668" s="960"/>
      <c r="B668" s="26"/>
      <c r="E668" s="26"/>
      <c r="F668" s="61"/>
      <c r="G668" s="26"/>
      <c r="H668" s="26"/>
      <c r="I668" s="26"/>
      <c r="J668" s="26"/>
      <c r="K668" s="26"/>
      <c r="L668" s="26"/>
      <c r="M668" s="26"/>
      <c r="N668" s="26"/>
      <c r="O668" s="26"/>
      <c r="P668" s="26"/>
    </row>
    <row r="669" spans="1:16" ht="15.75" customHeight="1" x14ac:dyDescent="0.35">
      <c r="A669" s="960"/>
      <c r="B669" s="26"/>
      <c r="E669" s="26"/>
      <c r="F669" s="61"/>
      <c r="G669" s="26"/>
      <c r="H669" s="26"/>
      <c r="I669" s="26"/>
      <c r="J669" s="26"/>
      <c r="K669" s="26"/>
      <c r="L669" s="26"/>
      <c r="M669" s="26"/>
      <c r="N669" s="26"/>
      <c r="O669" s="26"/>
      <c r="P669" s="26"/>
    </row>
    <row r="670" spans="1:16" ht="15.75" customHeight="1" x14ac:dyDescent="0.35">
      <c r="A670" s="960"/>
      <c r="B670" s="26"/>
      <c r="E670" s="26"/>
      <c r="F670" s="61"/>
      <c r="G670" s="26"/>
      <c r="H670" s="26"/>
      <c r="I670" s="26"/>
      <c r="J670" s="26"/>
      <c r="K670" s="26"/>
      <c r="L670" s="26"/>
      <c r="M670" s="26"/>
      <c r="N670" s="26"/>
      <c r="O670" s="26"/>
      <c r="P670" s="26"/>
    </row>
    <row r="671" spans="1:16" ht="15.75" customHeight="1" x14ac:dyDescent="0.35">
      <c r="A671" s="960"/>
      <c r="B671" s="26"/>
      <c r="E671" s="26"/>
      <c r="F671" s="61"/>
      <c r="G671" s="26"/>
      <c r="H671" s="26"/>
      <c r="I671" s="26"/>
      <c r="J671" s="26"/>
      <c r="K671" s="26"/>
      <c r="L671" s="26"/>
      <c r="M671" s="26"/>
      <c r="N671" s="26"/>
      <c r="O671" s="26"/>
      <c r="P671" s="26"/>
    </row>
    <row r="672" spans="1:16" ht="15.75" customHeight="1" x14ac:dyDescent="0.35">
      <c r="A672" s="960"/>
      <c r="B672" s="26"/>
      <c r="E672" s="26"/>
      <c r="F672" s="61"/>
      <c r="G672" s="26"/>
      <c r="H672" s="26"/>
      <c r="I672" s="26"/>
      <c r="J672" s="26"/>
      <c r="K672" s="26"/>
      <c r="L672" s="26"/>
      <c r="M672" s="26"/>
      <c r="N672" s="26"/>
      <c r="O672" s="26"/>
      <c r="P672" s="26"/>
    </row>
    <row r="673" spans="1:16" ht="15.75" customHeight="1" x14ac:dyDescent="0.35">
      <c r="A673" s="960"/>
      <c r="B673" s="26"/>
      <c r="E673" s="26"/>
      <c r="F673" s="61"/>
      <c r="G673" s="26"/>
      <c r="H673" s="26"/>
      <c r="I673" s="26"/>
      <c r="J673" s="26"/>
      <c r="K673" s="26"/>
      <c r="L673" s="26"/>
      <c r="M673" s="26"/>
      <c r="N673" s="26"/>
      <c r="O673" s="26"/>
      <c r="P673" s="26"/>
    </row>
    <row r="674" spans="1:16" ht="15.75" customHeight="1" x14ac:dyDescent="0.35">
      <c r="A674" s="960"/>
      <c r="B674" s="26"/>
      <c r="E674" s="26"/>
      <c r="F674" s="61"/>
      <c r="G674" s="26"/>
      <c r="H674" s="26"/>
      <c r="I674" s="26"/>
      <c r="J674" s="26"/>
      <c r="K674" s="26"/>
      <c r="L674" s="26"/>
      <c r="M674" s="26"/>
      <c r="N674" s="26"/>
      <c r="O674" s="26"/>
      <c r="P674" s="26"/>
    </row>
    <row r="675" spans="1:16" ht="15.75" customHeight="1" x14ac:dyDescent="0.35">
      <c r="A675" s="960"/>
      <c r="B675" s="26"/>
      <c r="E675" s="26"/>
      <c r="F675" s="61"/>
      <c r="G675" s="26"/>
      <c r="H675" s="26"/>
      <c r="I675" s="26"/>
      <c r="J675" s="26"/>
      <c r="K675" s="26"/>
      <c r="L675" s="26"/>
      <c r="M675" s="26"/>
      <c r="N675" s="26"/>
      <c r="O675" s="26"/>
      <c r="P675" s="26"/>
    </row>
    <row r="676" spans="1:16" ht="15.75" customHeight="1" x14ac:dyDescent="0.35">
      <c r="A676" s="960"/>
      <c r="B676" s="26"/>
      <c r="E676" s="26"/>
      <c r="F676" s="61"/>
      <c r="G676" s="26"/>
      <c r="H676" s="26"/>
      <c r="I676" s="26"/>
      <c r="J676" s="26"/>
      <c r="K676" s="26"/>
      <c r="L676" s="26"/>
      <c r="M676" s="26"/>
      <c r="N676" s="26"/>
      <c r="O676" s="26"/>
      <c r="P676" s="26"/>
    </row>
    <row r="677" spans="1:16" ht="15.75" customHeight="1" x14ac:dyDescent="0.35">
      <c r="A677" s="960"/>
      <c r="B677" s="26"/>
      <c r="E677" s="26"/>
      <c r="F677" s="61"/>
      <c r="G677" s="26"/>
      <c r="H677" s="26"/>
      <c r="I677" s="26"/>
      <c r="J677" s="26"/>
      <c r="K677" s="26"/>
      <c r="L677" s="26"/>
      <c r="M677" s="26"/>
      <c r="N677" s="26"/>
      <c r="O677" s="26"/>
      <c r="P677" s="26"/>
    </row>
    <row r="678" spans="1:16" ht="15.75" customHeight="1" x14ac:dyDescent="0.35">
      <c r="A678" s="960"/>
      <c r="B678" s="26"/>
      <c r="E678" s="26"/>
      <c r="F678" s="61"/>
      <c r="G678" s="26"/>
      <c r="H678" s="26"/>
      <c r="I678" s="26"/>
      <c r="J678" s="26"/>
      <c r="K678" s="26"/>
      <c r="L678" s="26"/>
      <c r="M678" s="26"/>
      <c r="N678" s="26"/>
      <c r="O678" s="26"/>
      <c r="P678" s="26"/>
    </row>
    <row r="679" spans="1:16" ht="15.75" customHeight="1" x14ac:dyDescent="0.35">
      <c r="A679" s="960"/>
      <c r="B679" s="26"/>
      <c r="E679" s="26"/>
      <c r="F679" s="61"/>
      <c r="G679" s="26"/>
      <c r="H679" s="26"/>
      <c r="I679" s="26"/>
      <c r="J679" s="26"/>
      <c r="K679" s="26"/>
      <c r="L679" s="26"/>
      <c r="M679" s="26"/>
      <c r="N679" s="26"/>
      <c r="O679" s="26"/>
      <c r="P679" s="26"/>
    </row>
    <row r="680" spans="1:16" ht="15.75" customHeight="1" x14ac:dyDescent="0.35">
      <c r="A680" s="960"/>
      <c r="B680" s="26"/>
      <c r="E680" s="26"/>
      <c r="F680" s="61"/>
      <c r="G680" s="26"/>
      <c r="H680" s="26"/>
      <c r="I680" s="26"/>
      <c r="J680" s="26"/>
      <c r="K680" s="26"/>
      <c r="L680" s="26"/>
      <c r="M680" s="26"/>
      <c r="N680" s="26"/>
      <c r="O680" s="26"/>
      <c r="P680" s="26"/>
    </row>
    <row r="681" spans="1:16" ht="15.75" customHeight="1" x14ac:dyDescent="0.35">
      <c r="A681" s="960"/>
      <c r="B681" s="26"/>
      <c r="E681" s="26"/>
      <c r="F681" s="61"/>
      <c r="G681" s="26"/>
      <c r="H681" s="26"/>
      <c r="I681" s="26"/>
      <c r="J681" s="26"/>
      <c r="K681" s="26"/>
      <c r="L681" s="26"/>
      <c r="M681" s="26"/>
      <c r="N681" s="26"/>
      <c r="O681" s="26"/>
      <c r="P681" s="26"/>
    </row>
    <row r="682" spans="1:16" ht="15.75" customHeight="1" x14ac:dyDescent="0.35">
      <c r="A682" s="960"/>
      <c r="B682" s="26"/>
      <c r="E682" s="26"/>
      <c r="F682" s="61"/>
      <c r="G682" s="26"/>
      <c r="H682" s="26"/>
      <c r="I682" s="26"/>
      <c r="J682" s="26"/>
      <c r="K682" s="26"/>
      <c r="L682" s="26"/>
      <c r="M682" s="26"/>
      <c r="N682" s="26"/>
      <c r="O682" s="26"/>
      <c r="P682" s="26"/>
    </row>
    <row r="683" spans="1:16" ht="15.75" customHeight="1" x14ac:dyDescent="0.35">
      <c r="A683" s="960"/>
      <c r="B683" s="26"/>
      <c r="E683" s="26"/>
      <c r="F683" s="61"/>
      <c r="G683" s="26"/>
      <c r="H683" s="26"/>
      <c r="I683" s="26"/>
      <c r="J683" s="26"/>
      <c r="K683" s="26"/>
      <c r="L683" s="26"/>
      <c r="M683" s="26"/>
      <c r="N683" s="26"/>
      <c r="O683" s="26"/>
      <c r="P683" s="26"/>
    </row>
    <row r="684" spans="1:16" ht="15.75" customHeight="1" x14ac:dyDescent="0.35">
      <c r="A684" s="960"/>
      <c r="B684" s="26"/>
      <c r="E684" s="26"/>
      <c r="F684" s="61"/>
      <c r="G684" s="26"/>
      <c r="H684" s="26"/>
      <c r="I684" s="26"/>
      <c r="J684" s="26"/>
      <c r="K684" s="26"/>
      <c r="L684" s="26"/>
      <c r="M684" s="26"/>
      <c r="N684" s="26"/>
      <c r="O684" s="26"/>
      <c r="P684" s="26"/>
    </row>
    <row r="685" spans="1:16" ht="15.75" customHeight="1" x14ac:dyDescent="0.35">
      <c r="A685" s="960"/>
      <c r="B685" s="26"/>
      <c r="E685" s="26"/>
      <c r="F685" s="61"/>
      <c r="G685" s="26"/>
      <c r="H685" s="26"/>
      <c r="I685" s="26"/>
      <c r="J685" s="26"/>
      <c r="K685" s="26"/>
      <c r="L685" s="26"/>
      <c r="M685" s="26"/>
      <c r="N685" s="26"/>
      <c r="O685" s="26"/>
      <c r="P685" s="26"/>
    </row>
    <row r="686" spans="1:16" ht="15.75" customHeight="1" x14ac:dyDescent="0.35">
      <c r="A686" s="960"/>
      <c r="B686" s="26"/>
      <c r="E686" s="26"/>
      <c r="F686" s="61"/>
      <c r="G686" s="26"/>
      <c r="H686" s="26"/>
      <c r="I686" s="26"/>
      <c r="J686" s="26"/>
      <c r="K686" s="26"/>
      <c r="L686" s="26"/>
      <c r="M686" s="26"/>
      <c r="N686" s="26"/>
      <c r="O686" s="26"/>
      <c r="P686" s="26"/>
    </row>
    <row r="687" spans="1:16" ht="15.75" customHeight="1" x14ac:dyDescent="0.35">
      <c r="A687" s="960"/>
      <c r="B687" s="26"/>
      <c r="E687" s="26"/>
      <c r="F687" s="61"/>
      <c r="G687" s="26"/>
      <c r="H687" s="26"/>
      <c r="I687" s="26"/>
      <c r="J687" s="26"/>
      <c r="K687" s="26"/>
      <c r="L687" s="26"/>
      <c r="M687" s="26"/>
      <c r="N687" s="26"/>
      <c r="O687" s="26"/>
      <c r="P687" s="26"/>
    </row>
    <row r="688" spans="1:16" ht="15.75" customHeight="1" x14ac:dyDescent="0.35">
      <c r="A688" s="960"/>
      <c r="B688" s="26"/>
      <c r="E688" s="26"/>
      <c r="F688" s="61"/>
      <c r="G688" s="26"/>
      <c r="H688" s="26"/>
      <c r="I688" s="26"/>
      <c r="J688" s="26"/>
      <c r="K688" s="26"/>
      <c r="L688" s="26"/>
      <c r="M688" s="26"/>
      <c r="N688" s="26"/>
      <c r="O688" s="26"/>
      <c r="P688" s="26"/>
    </row>
    <row r="689" spans="1:16" ht="15.75" customHeight="1" x14ac:dyDescent="0.35">
      <c r="A689" s="960"/>
      <c r="B689" s="26"/>
      <c r="E689" s="26"/>
      <c r="F689" s="61"/>
      <c r="G689" s="26"/>
      <c r="H689" s="26"/>
      <c r="I689" s="26"/>
      <c r="J689" s="26"/>
      <c r="K689" s="26"/>
      <c r="L689" s="26"/>
      <c r="M689" s="26"/>
      <c r="N689" s="26"/>
      <c r="O689" s="26"/>
      <c r="P689" s="26"/>
    </row>
    <row r="690" spans="1:16" ht="15.75" customHeight="1" x14ac:dyDescent="0.35">
      <c r="A690" s="960"/>
      <c r="B690" s="26"/>
      <c r="E690" s="26"/>
      <c r="F690" s="61"/>
      <c r="G690" s="26"/>
      <c r="H690" s="26"/>
      <c r="I690" s="26"/>
      <c r="J690" s="26"/>
      <c r="K690" s="26"/>
      <c r="L690" s="26"/>
      <c r="M690" s="26"/>
      <c r="N690" s="26"/>
      <c r="O690" s="26"/>
      <c r="P690" s="26"/>
    </row>
    <row r="691" spans="1:16" ht="15.75" customHeight="1" x14ac:dyDescent="0.35">
      <c r="A691" s="960"/>
      <c r="B691" s="26"/>
      <c r="E691" s="26"/>
      <c r="F691" s="61"/>
      <c r="G691" s="26"/>
      <c r="H691" s="26"/>
      <c r="I691" s="26"/>
      <c r="J691" s="26"/>
      <c r="K691" s="26"/>
      <c r="L691" s="26"/>
      <c r="M691" s="26"/>
      <c r="N691" s="26"/>
      <c r="O691" s="26"/>
      <c r="P691" s="26"/>
    </row>
    <row r="692" spans="1:16" ht="15.75" customHeight="1" x14ac:dyDescent="0.35">
      <c r="A692" s="960"/>
      <c r="B692" s="26"/>
      <c r="E692" s="26"/>
      <c r="F692" s="61"/>
      <c r="G692" s="26"/>
      <c r="H692" s="26"/>
      <c r="I692" s="26"/>
      <c r="J692" s="26"/>
      <c r="K692" s="26"/>
      <c r="L692" s="26"/>
      <c r="M692" s="26"/>
      <c r="N692" s="26"/>
      <c r="O692" s="26"/>
      <c r="P692" s="26"/>
    </row>
    <row r="693" spans="1:16" ht="15.75" customHeight="1" x14ac:dyDescent="0.35">
      <c r="A693" s="960"/>
      <c r="B693" s="26"/>
      <c r="E693" s="26"/>
      <c r="F693" s="61"/>
      <c r="G693" s="26"/>
      <c r="H693" s="26"/>
      <c r="I693" s="26"/>
      <c r="J693" s="26"/>
      <c r="K693" s="26"/>
      <c r="L693" s="26"/>
      <c r="M693" s="26"/>
      <c r="N693" s="26"/>
      <c r="O693" s="26"/>
      <c r="P693" s="26"/>
    </row>
    <row r="694" spans="1:16" ht="15.75" customHeight="1" x14ac:dyDescent="0.35">
      <c r="A694" s="960"/>
      <c r="B694" s="26"/>
      <c r="E694" s="26"/>
      <c r="F694" s="61"/>
      <c r="G694" s="26"/>
      <c r="H694" s="26"/>
      <c r="I694" s="26"/>
      <c r="J694" s="26"/>
      <c r="K694" s="26"/>
      <c r="L694" s="26"/>
      <c r="M694" s="26"/>
      <c r="N694" s="26"/>
      <c r="O694" s="26"/>
      <c r="P694" s="26"/>
    </row>
    <row r="695" spans="1:16" ht="15.75" customHeight="1" x14ac:dyDescent="0.35">
      <c r="A695" s="960"/>
      <c r="B695" s="26"/>
      <c r="E695" s="26"/>
      <c r="F695" s="61"/>
      <c r="G695" s="26"/>
      <c r="H695" s="26"/>
      <c r="I695" s="26"/>
      <c r="J695" s="26"/>
      <c r="K695" s="26"/>
      <c r="L695" s="26"/>
      <c r="M695" s="26"/>
      <c r="N695" s="26"/>
      <c r="O695" s="26"/>
      <c r="P695" s="26"/>
    </row>
    <row r="696" spans="1:16" ht="15.75" customHeight="1" x14ac:dyDescent="0.35">
      <c r="A696" s="960"/>
      <c r="B696" s="26"/>
      <c r="E696" s="26"/>
      <c r="F696" s="61"/>
      <c r="G696" s="26"/>
      <c r="H696" s="26"/>
      <c r="I696" s="26"/>
      <c r="J696" s="26"/>
      <c r="K696" s="26"/>
      <c r="L696" s="26"/>
      <c r="M696" s="26"/>
      <c r="N696" s="26"/>
      <c r="O696" s="26"/>
      <c r="P696" s="26"/>
    </row>
    <row r="697" spans="1:16" ht="15.75" customHeight="1" x14ac:dyDescent="0.35">
      <c r="A697" s="960"/>
      <c r="B697" s="26"/>
      <c r="E697" s="26"/>
      <c r="F697" s="61"/>
      <c r="G697" s="26"/>
      <c r="H697" s="26"/>
      <c r="I697" s="26"/>
      <c r="J697" s="26"/>
      <c r="K697" s="26"/>
      <c r="L697" s="26"/>
      <c r="M697" s="26"/>
      <c r="N697" s="26"/>
      <c r="O697" s="26"/>
      <c r="P697" s="26"/>
    </row>
    <row r="698" spans="1:16" ht="15.75" customHeight="1" x14ac:dyDescent="0.35">
      <c r="A698" s="960"/>
      <c r="B698" s="26"/>
      <c r="E698" s="26"/>
      <c r="F698" s="61"/>
      <c r="G698" s="26"/>
      <c r="H698" s="26"/>
      <c r="I698" s="26"/>
      <c r="J698" s="26"/>
      <c r="K698" s="26"/>
      <c r="L698" s="26"/>
      <c r="M698" s="26"/>
      <c r="N698" s="26"/>
      <c r="O698" s="26"/>
      <c r="P698" s="26"/>
    </row>
    <row r="699" spans="1:16" ht="15.75" customHeight="1" x14ac:dyDescent="0.35">
      <c r="A699" s="960"/>
      <c r="B699" s="26"/>
      <c r="E699" s="26"/>
      <c r="F699" s="61"/>
      <c r="G699" s="26"/>
      <c r="H699" s="26"/>
      <c r="I699" s="26"/>
      <c r="J699" s="26"/>
      <c r="K699" s="26"/>
      <c r="L699" s="26"/>
      <c r="M699" s="26"/>
      <c r="N699" s="26"/>
      <c r="O699" s="26"/>
      <c r="P699" s="26"/>
    </row>
    <row r="700" spans="1:16" ht="15.75" customHeight="1" x14ac:dyDescent="0.35">
      <c r="A700" s="960"/>
      <c r="B700" s="26"/>
      <c r="E700" s="26"/>
      <c r="F700" s="61"/>
      <c r="G700" s="26"/>
      <c r="H700" s="26"/>
      <c r="I700" s="26"/>
      <c r="J700" s="26"/>
      <c r="K700" s="26"/>
      <c r="L700" s="26"/>
      <c r="M700" s="26"/>
      <c r="N700" s="26"/>
      <c r="O700" s="26"/>
      <c r="P700" s="26"/>
    </row>
    <row r="701" spans="1:16" ht="15.75" customHeight="1" x14ac:dyDescent="0.35">
      <c r="A701" s="960"/>
      <c r="B701" s="26"/>
      <c r="E701" s="26"/>
      <c r="F701" s="61"/>
      <c r="G701" s="26"/>
      <c r="H701" s="26"/>
      <c r="I701" s="26"/>
      <c r="J701" s="26"/>
      <c r="K701" s="26"/>
      <c r="L701" s="26"/>
      <c r="M701" s="26"/>
      <c r="N701" s="26"/>
      <c r="O701" s="26"/>
      <c r="P701" s="26"/>
    </row>
    <row r="702" spans="1:16" ht="15.75" customHeight="1" x14ac:dyDescent="0.35">
      <c r="A702" s="960"/>
      <c r="B702" s="26"/>
      <c r="E702" s="26"/>
      <c r="F702" s="61"/>
      <c r="G702" s="26"/>
      <c r="H702" s="26"/>
      <c r="I702" s="26"/>
      <c r="J702" s="26"/>
      <c r="K702" s="26"/>
      <c r="L702" s="26"/>
      <c r="M702" s="26"/>
      <c r="N702" s="26"/>
      <c r="O702" s="26"/>
      <c r="P702" s="26"/>
    </row>
    <row r="703" spans="1:16" ht="15.75" customHeight="1" x14ac:dyDescent="0.35">
      <c r="A703" s="960"/>
      <c r="B703" s="26"/>
      <c r="E703" s="26"/>
      <c r="F703" s="61"/>
      <c r="G703" s="26"/>
      <c r="H703" s="26"/>
      <c r="I703" s="26"/>
      <c r="J703" s="26"/>
      <c r="K703" s="26"/>
      <c r="L703" s="26"/>
      <c r="M703" s="26"/>
      <c r="N703" s="26"/>
      <c r="O703" s="26"/>
      <c r="P703" s="26"/>
    </row>
    <row r="704" spans="1:16" ht="15.75" customHeight="1" x14ac:dyDescent="0.35">
      <c r="A704" s="960"/>
      <c r="B704" s="26"/>
      <c r="E704" s="26"/>
      <c r="F704" s="61"/>
      <c r="G704" s="26"/>
      <c r="H704" s="26"/>
      <c r="I704" s="26"/>
      <c r="J704" s="26"/>
      <c r="K704" s="26"/>
      <c r="L704" s="26"/>
      <c r="M704" s="26"/>
      <c r="N704" s="26"/>
      <c r="O704" s="26"/>
      <c r="P704" s="26"/>
    </row>
    <row r="705" spans="1:16" ht="15.75" customHeight="1" x14ac:dyDescent="0.35">
      <c r="A705" s="960"/>
      <c r="B705" s="26"/>
      <c r="E705" s="26"/>
      <c r="F705" s="61"/>
      <c r="G705" s="26"/>
      <c r="H705" s="26"/>
      <c r="I705" s="26"/>
      <c r="J705" s="26"/>
      <c r="K705" s="26"/>
      <c r="L705" s="26"/>
      <c r="M705" s="26"/>
      <c r="N705" s="26"/>
      <c r="O705" s="26"/>
      <c r="P705" s="26"/>
    </row>
    <row r="706" spans="1:16" ht="15.75" customHeight="1" x14ac:dyDescent="0.35">
      <c r="A706" s="960"/>
      <c r="B706" s="26"/>
      <c r="E706" s="26"/>
      <c r="F706" s="61"/>
      <c r="G706" s="26"/>
      <c r="H706" s="26"/>
      <c r="I706" s="26"/>
      <c r="J706" s="26"/>
      <c r="K706" s="26"/>
      <c r="L706" s="26"/>
      <c r="M706" s="26"/>
      <c r="N706" s="26"/>
      <c r="O706" s="26"/>
      <c r="P706" s="26"/>
    </row>
    <row r="707" spans="1:16" ht="15.75" customHeight="1" x14ac:dyDescent="0.35">
      <c r="A707" s="960"/>
      <c r="B707" s="26"/>
      <c r="E707" s="26"/>
      <c r="F707" s="61"/>
      <c r="G707" s="26"/>
      <c r="H707" s="26"/>
      <c r="I707" s="26"/>
      <c r="J707" s="26"/>
      <c r="K707" s="26"/>
      <c r="L707" s="26"/>
      <c r="M707" s="26"/>
      <c r="N707" s="26"/>
      <c r="O707" s="26"/>
      <c r="P707" s="26"/>
    </row>
    <row r="708" spans="1:16" ht="15.75" customHeight="1" x14ac:dyDescent="0.35">
      <c r="A708" s="960"/>
      <c r="B708" s="26"/>
      <c r="E708" s="26"/>
      <c r="F708" s="61"/>
      <c r="G708" s="26"/>
      <c r="H708" s="26"/>
      <c r="I708" s="26"/>
      <c r="J708" s="26"/>
      <c r="K708" s="26"/>
      <c r="L708" s="26"/>
      <c r="M708" s="26"/>
      <c r="N708" s="26"/>
      <c r="O708" s="26"/>
      <c r="P708" s="26"/>
    </row>
    <row r="709" spans="1:16" ht="15.75" customHeight="1" x14ac:dyDescent="0.35">
      <c r="A709" s="960"/>
      <c r="B709" s="26"/>
      <c r="E709" s="26"/>
      <c r="F709" s="61"/>
      <c r="G709" s="26"/>
      <c r="H709" s="26"/>
      <c r="I709" s="26"/>
      <c r="J709" s="26"/>
      <c r="K709" s="26"/>
      <c r="L709" s="26"/>
      <c r="M709" s="26"/>
      <c r="N709" s="26"/>
      <c r="O709" s="26"/>
      <c r="P709" s="26"/>
    </row>
    <row r="710" spans="1:16" ht="15.75" customHeight="1" x14ac:dyDescent="0.35">
      <c r="A710" s="960"/>
      <c r="B710" s="26"/>
      <c r="E710" s="26"/>
      <c r="F710" s="61"/>
      <c r="G710" s="26"/>
      <c r="H710" s="26"/>
      <c r="I710" s="26"/>
      <c r="J710" s="26"/>
      <c r="K710" s="26"/>
      <c r="L710" s="26"/>
      <c r="M710" s="26"/>
      <c r="N710" s="26"/>
      <c r="O710" s="26"/>
      <c r="P710" s="26"/>
    </row>
    <row r="711" spans="1:16" ht="15.75" customHeight="1" x14ac:dyDescent="0.35">
      <c r="A711" s="960"/>
      <c r="B711" s="26"/>
      <c r="E711" s="26"/>
      <c r="F711" s="61"/>
      <c r="G711" s="26"/>
      <c r="H711" s="26"/>
      <c r="I711" s="26"/>
      <c r="J711" s="26"/>
      <c r="K711" s="26"/>
      <c r="L711" s="26"/>
      <c r="M711" s="26"/>
      <c r="N711" s="26"/>
      <c r="O711" s="26"/>
      <c r="P711" s="26"/>
    </row>
    <row r="712" spans="1:16" ht="15.75" customHeight="1" x14ac:dyDescent="0.35">
      <c r="A712" s="960"/>
      <c r="B712" s="26"/>
      <c r="E712" s="26"/>
      <c r="F712" s="61"/>
      <c r="G712" s="26"/>
      <c r="H712" s="26"/>
      <c r="I712" s="26"/>
      <c r="J712" s="26"/>
      <c r="K712" s="26"/>
      <c r="L712" s="26"/>
      <c r="M712" s="26"/>
      <c r="N712" s="26"/>
      <c r="O712" s="26"/>
      <c r="P712" s="26"/>
    </row>
    <row r="713" spans="1:16" ht="15.75" customHeight="1" x14ac:dyDescent="0.35">
      <c r="A713" s="960"/>
      <c r="B713" s="26"/>
      <c r="E713" s="26"/>
      <c r="F713" s="61"/>
      <c r="G713" s="26"/>
      <c r="H713" s="26"/>
      <c r="I713" s="26"/>
      <c r="J713" s="26"/>
      <c r="K713" s="26"/>
      <c r="L713" s="26"/>
      <c r="M713" s="26"/>
      <c r="N713" s="26"/>
      <c r="O713" s="26"/>
      <c r="P713" s="26"/>
    </row>
    <row r="714" spans="1:16" ht="15.75" customHeight="1" x14ac:dyDescent="0.35">
      <c r="A714" s="960"/>
      <c r="B714" s="26"/>
      <c r="E714" s="26"/>
      <c r="F714" s="61"/>
      <c r="G714" s="26"/>
      <c r="H714" s="26"/>
      <c r="I714" s="26"/>
      <c r="J714" s="26"/>
      <c r="K714" s="26"/>
      <c r="L714" s="26"/>
      <c r="M714" s="26"/>
      <c r="N714" s="26"/>
      <c r="O714" s="26"/>
      <c r="P714" s="26"/>
    </row>
    <row r="715" spans="1:16" ht="15.75" customHeight="1" x14ac:dyDescent="0.35">
      <c r="A715" s="960"/>
      <c r="B715" s="26"/>
      <c r="E715" s="26"/>
      <c r="F715" s="61"/>
      <c r="G715" s="26"/>
      <c r="H715" s="26"/>
      <c r="I715" s="26"/>
      <c r="J715" s="26"/>
      <c r="K715" s="26"/>
      <c r="L715" s="26"/>
      <c r="M715" s="26"/>
      <c r="N715" s="26"/>
      <c r="O715" s="26"/>
      <c r="P715" s="26"/>
    </row>
    <row r="716" spans="1:16" ht="15.75" customHeight="1" x14ac:dyDescent="0.35">
      <c r="A716" s="960"/>
      <c r="B716" s="26"/>
      <c r="E716" s="26"/>
      <c r="F716" s="61"/>
      <c r="G716" s="26"/>
      <c r="H716" s="26"/>
      <c r="I716" s="26"/>
      <c r="J716" s="26"/>
      <c r="K716" s="26"/>
      <c r="L716" s="26"/>
      <c r="M716" s="26"/>
      <c r="N716" s="26"/>
      <c r="O716" s="26"/>
      <c r="P716" s="26"/>
    </row>
    <row r="717" spans="1:16" ht="15.75" customHeight="1" x14ac:dyDescent="0.35">
      <c r="A717" s="960"/>
      <c r="B717" s="26"/>
      <c r="E717" s="26"/>
      <c r="F717" s="61"/>
      <c r="G717" s="26"/>
      <c r="H717" s="26"/>
      <c r="I717" s="26"/>
      <c r="J717" s="26"/>
      <c r="K717" s="26"/>
      <c r="L717" s="26"/>
      <c r="M717" s="26"/>
      <c r="N717" s="26"/>
      <c r="O717" s="26"/>
      <c r="P717" s="26"/>
    </row>
    <row r="718" spans="1:16" ht="15.75" customHeight="1" x14ac:dyDescent="0.35">
      <c r="A718" s="960"/>
      <c r="B718" s="26"/>
      <c r="E718" s="26"/>
      <c r="F718" s="61"/>
      <c r="G718" s="26"/>
      <c r="H718" s="26"/>
      <c r="I718" s="26"/>
      <c r="J718" s="26"/>
      <c r="K718" s="26"/>
      <c r="L718" s="26"/>
      <c r="M718" s="26"/>
      <c r="N718" s="26"/>
      <c r="O718" s="26"/>
      <c r="P718" s="26"/>
    </row>
    <row r="719" spans="1:16" ht="15.75" customHeight="1" x14ac:dyDescent="0.35">
      <c r="A719" s="960"/>
      <c r="B719" s="26"/>
      <c r="E719" s="26"/>
      <c r="F719" s="61"/>
      <c r="G719" s="26"/>
      <c r="H719" s="26"/>
      <c r="I719" s="26"/>
      <c r="J719" s="26"/>
      <c r="K719" s="26"/>
      <c r="L719" s="26"/>
      <c r="M719" s="26"/>
      <c r="N719" s="26"/>
      <c r="O719" s="26"/>
      <c r="P719" s="26"/>
    </row>
    <row r="720" spans="1:16" ht="15.75" customHeight="1" x14ac:dyDescent="0.35">
      <c r="A720" s="960"/>
      <c r="B720" s="26"/>
      <c r="E720" s="26"/>
      <c r="F720" s="61"/>
      <c r="G720" s="26"/>
      <c r="H720" s="26"/>
      <c r="I720" s="26"/>
      <c r="J720" s="26"/>
      <c r="K720" s="26"/>
      <c r="L720" s="26"/>
      <c r="M720" s="26"/>
      <c r="N720" s="26"/>
      <c r="O720" s="26"/>
      <c r="P720" s="26"/>
    </row>
    <row r="721" spans="1:16" ht="15.75" customHeight="1" x14ac:dyDescent="0.35">
      <c r="A721" s="960"/>
      <c r="B721" s="26"/>
      <c r="E721" s="26"/>
      <c r="F721" s="61"/>
      <c r="G721" s="26"/>
      <c r="H721" s="26"/>
      <c r="I721" s="26"/>
      <c r="J721" s="26"/>
      <c r="K721" s="26"/>
      <c r="L721" s="26"/>
      <c r="M721" s="26"/>
      <c r="N721" s="26"/>
      <c r="O721" s="26"/>
      <c r="P721" s="26"/>
    </row>
    <row r="722" spans="1:16" ht="15.75" customHeight="1" x14ac:dyDescent="0.35">
      <c r="A722" s="960"/>
      <c r="B722" s="26"/>
      <c r="E722" s="26"/>
      <c r="F722" s="61"/>
      <c r="G722" s="26"/>
      <c r="H722" s="26"/>
      <c r="I722" s="26"/>
      <c r="J722" s="26"/>
      <c r="K722" s="26"/>
      <c r="L722" s="26"/>
      <c r="M722" s="26"/>
      <c r="N722" s="26"/>
      <c r="O722" s="26"/>
      <c r="P722" s="26"/>
    </row>
    <row r="723" spans="1:16" ht="15.75" customHeight="1" x14ac:dyDescent="0.35">
      <c r="A723" s="960"/>
      <c r="B723" s="26"/>
      <c r="E723" s="26"/>
      <c r="F723" s="61"/>
      <c r="G723" s="26"/>
      <c r="H723" s="26"/>
      <c r="I723" s="26"/>
      <c r="J723" s="26"/>
      <c r="K723" s="26"/>
      <c r="L723" s="26"/>
      <c r="M723" s="26"/>
      <c r="N723" s="26"/>
      <c r="O723" s="26"/>
      <c r="P723" s="26"/>
    </row>
    <row r="724" spans="1:16" ht="15.75" customHeight="1" x14ac:dyDescent="0.35">
      <c r="A724" s="960"/>
      <c r="B724" s="26"/>
      <c r="E724" s="26"/>
      <c r="F724" s="61"/>
      <c r="G724" s="26"/>
      <c r="H724" s="26"/>
      <c r="I724" s="26"/>
      <c r="J724" s="26"/>
      <c r="K724" s="26"/>
      <c r="L724" s="26"/>
      <c r="M724" s="26"/>
      <c r="N724" s="26"/>
      <c r="O724" s="26"/>
      <c r="P724" s="26"/>
    </row>
    <row r="725" spans="1:16" ht="15.75" customHeight="1" x14ac:dyDescent="0.35">
      <c r="A725" s="960"/>
      <c r="B725" s="26"/>
      <c r="E725" s="26"/>
      <c r="F725" s="61"/>
      <c r="G725" s="26"/>
      <c r="H725" s="26"/>
      <c r="I725" s="26"/>
      <c r="J725" s="26"/>
      <c r="K725" s="26"/>
      <c r="L725" s="26"/>
      <c r="M725" s="26"/>
      <c r="N725" s="26"/>
      <c r="O725" s="26"/>
      <c r="P725" s="26"/>
    </row>
    <row r="726" spans="1:16" ht="15.75" customHeight="1" x14ac:dyDescent="0.35">
      <c r="A726" s="960"/>
      <c r="B726" s="26"/>
      <c r="E726" s="26"/>
      <c r="F726" s="61"/>
      <c r="G726" s="26"/>
      <c r="H726" s="26"/>
      <c r="I726" s="26"/>
      <c r="J726" s="26"/>
      <c r="K726" s="26"/>
      <c r="L726" s="26"/>
      <c r="M726" s="26"/>
      <c r="N726" s="26"/>
      <c r="O726" s="26"/>
      <c r="P726" s="26"/>
    </row>
    <row r="727" spans="1:16" ht="15.75" customHeight="1" x14ac:dyDescent="0.35">
      <c r="A727" s="960"/>
      <c r="B727" s="26"/>
      <c r="E727" s="26"/>
      <c r="F727" s="61"/>
      <c r="G727" s="26"/>
      <c r="H727" s="26"/>
      <c r="I727" s="26"/>
      <c r="J727" s="26"/>
      <c r="K727" s="26"/>
      <c r="L727" s="26"/>
      <c r="M727" s="26"/>
      <c r="N727" s="26"/>
      <c r="O727" s="26"/>
      <c r="P727" s="26"/>
    </row>
    <row r="728" spans="1:16" ht="15.75" customHeight="1" x14ac:dyDescent="0.35">
      <c r="A728" s="960"/>
      <c r="B728" s="26"/>
      <c r="E728" s="26"/>
      <c r="F728" s="61"/>
      <c r="G728" s="26"/>
      <c r="H728" s="26"/>
      <c r="I728" s="26"/>
      <c r="J728" s="26"/>
      <c r="K728" s="26"/>
      <c r="L728" s="26"/>
      <c r="M728" s="26"/>
      <c r="N728" s="26"/>
      <c r="O728" s="26"/>
      <c r="P728" s="26"/>
    </row>
    <row r="729" spans="1:16" ht="15.75" customHeight="1" x14ac:dyDescent="0.35">
      <c r="A729" s="960"/>
      <c r="B729" s="26"/>
      <c r="E729" s="26"/>
      <c r="F729" s="61"/>
      <c r="G729" s="26"/>
      <c r="H729" s="26"/>
      <c r="I729" s="26"/>
      <c r="J729" s="26"/>
      <c r="K729" s="26"/>
      <c r="L729" s="26"/>
      <c r="M729" s="26"/>
      <c r="N729" s="26"/>
      <c r="O729" s="26"/>
      <c r="P729" s="26"/>
    </row>
    <row r="730" spans="1:16" ht="15.75" customHeight="1" x14ac:dyDescent="0.35">
      <c r="A730" s="960"/>
      <c r="B730" s="26"/>
      <c r="E730" s="26"/>
      <c r="F730" s="61"/>
      <c r="G730" s="26"/>
      <c r="H730" s="26"/>
      <c r="I730" s="26"/>
      <c r="J730" s="26"/>
      <c r="K730" s="26"/>
      <c r="L730" s="26"/>
      <c r="M730" s="26"/>
      <c r="N730" s="26"/>
      <c r="O730" s="26"/>
      <c r="P730" s="26"/>
    </row>
    <row r="731" spans="1:16" ht="15.75" customHeight="1" x14ac:dyDescent="0.35">
      <c r="A731" s="960"/>
      <c r="B731" s="26"/>
      <c r="E731" s="26"/>
      <c r="F731" s="61"/>
      <c r="G731" s="26"/>
      <c r="H731" s="26"/>
      <c r="I731" s="26"/>
      <c r="J731" s="26"/>
      <c r="K731" s="26"/>
      <c r="L731" s="26"/>
      <c r="M731" s="26"/>
      <c r="N731" s="26"/>
      <c r="O731" s="26"/>
      <c r="P731" s="26"/>
    </row>
    <row r="732" spans="1:16" ht="15.75" customHeight="1" x14ac:dyDescent="0.35">
      <c r="A732" s="960"/>
      <c r="B732" s="26"/>
      <c r="E732" s="26"/>
      <c r="F732" s="61"/>
      <c r="G732" s="26"/>
      <c r="H732" s="26"/>
      <c r="I732" s="26"/>
      <c r="J732" s="26"/>
      <c r="K732" s="26"/>
      <c r="L732" s="26"/>
      <c r="M732" s="26"/>
      <c r="N732" s="26"/>
      <c r="O732" s="26"/>
      <c r="P732" s="26"/>
    </row>
    <row r="733" spans="1:16" ht="15.75" customHeight="1" x14ac:dyDescent="0.35">
      <c r="A733" s="960"/>
      <c r="B733" s="26"/>
      <c r="E733" s="26"/>
      <c r="F733" s="61"/>
      <c r="G733" s="26"/>
      <c r="H733" s="26"/>
      <c r="I733" s="26"/>
      <c r="J733" s="26"/>
      <c r="K733" s="26"/>
      <c r="L733" s="26"/>
      <c r="M733" s="26"/>
      <c r="N733" s="26"/>
      <c r="O733" s="26"/>
      <c r="P733" s="26"/>
    </row>
    <row r="734" spans="1:16" ht="15.75" customHeight="1" x14ac:dyDescent="0.35">
      <c r="A734" s="960"/>
      <c r="B734" s="26"/>
      <c r="E734" s="26"/>
      <c r="F734" s="61"/>
      <c r="G734" s="26"/>
      <c r="H734" s="26"/>
      <c r="I734" s="26"/>
      <c r="J734" s="26"/>
      <c r="K734" s="26"/>
      <c r="L734" s="26"/>
      <c r="M734" s="26"/>
      <c r="N734" s="26"/>
      <c r="O734" s="26"/>
      <c r="P734" s="26"/>
    </row>
    <row r="735" spans="1:16" ht="15.75" customHeight="1" x14ac:dyDescent="0.35">
      <c r="A735" s="960"/>
      <c r="B735" s="26"/>
      <c r="E735" s="26"/>
      <c r="F735" s="61"/>
      <c r="G735" s="26"/>
      <c r="H735" s="26"/>
      <c r="I735" s="26"/>
      <c r="J735" s="26"/>
      <c r="K735" s="26"/>
      <c r="L735" s="26"/>
      <c r="M735" s="26"/>
      <c r="N735" s="26"/>
      <c r="O735" s="26"/>
      <c r="P735" s="26"/>
    </row>
    <row r="736" spans="1:16" ht="15.75" customHeight="1" x14ac:dyDescent="0.35">
      <c r="A736" s="960"/>
      <c r="B736" s="26"/>
      <c r="E736" s="26"/>
      <c r="F736" s="61"/>
      <c r="G736" s="26"/>
      <c r="H736" s="26"/>
      <c r="I736" s="26"/>
      <c r="J736" s="26"/>
      <c r="K736" s="26"/>
      <c r="L736" s="26"/>
      <c r="M736" s="26"/>
      <c r="N736" s="26"/>
      <c r="O736" s="26"/>
      <c r="P736" s="26"/>
    </row>
    <row r="737" spans="1:16" ht="15.75" customHeight="1" x14ac:dyDescent="0.35">
      <c r="A737" s="960"/>
      <c r="B737" s="26"/>
      <c r="E737" s="26"/>
      <c r="F737" s="61"/>
      <c r="G737" s="26"/>
      <c r="H737" s="26"/>
      <c r="I737" s="26"/>
      <c r="J737" s="26"/>
      <c r="K737" s="26"/>
      <c r="L737" s="26"/>
      <c r="M737" s="26"/>
      <c r="N737" s="26"/>
      <c r="O737" s="26"/>
      <c r="P737" s="26"/>
    </row>
    <row r="738" spans="1:16" ht="15.75" customHeight="1" x14ac:dyDescent="0.35">
      <c r="A738" s="960"/>
      <c r="B738" s="26"/>
      <c r="E738" s="26"/>
      <c r="F738" s="61"/>
      <c r="G738" s="26"/>
      <c r="H738" s="26"/>
      <c r="I738" s="26"/>
      <c r="J738" s="26"/>
      <c r="K738" s="26"/>
      <c r="L738" s="26"/>
      <c r="M738" s="26"/>
      <c r="N738" s="26"/>
      <c r="O738" s="26"/>
      <c r="P738" s="26"/>
    </row>
    <row r="739" spans="1:16" ht="15.75" customHeight="1" x14ac:dyDescent="0.35">
      <c r="A739" s="960"/>
      <c r="B739" s="26"/>
      <c r="E739" s="26"/>
      <c r="F739" s="61"/>
      <c r="G739" s="26"/>
      <c r="H739" s="26"/>
      <c r="I739" s="26"/>
      <c r="J739" s="26"/>
      <c r="K739" s="26"/>
      <c r="L739" s="26"/>
      <c r="M739" s="26"/>
      <c r="N739" s="26"/>
      <c r="O739" s="26"/>
      <c r="P739" s="26"/>
    </row>
    <row r="740" spans="1:16" ht="15.75" customHeight="1" x14ac:dyDescent="0.35">
      <c r="A740" s="960"/>
      <c r="B740" s="26"/>
      <c r="E740" s="26"/>
      <c r="F740" s="61"/>
      <c r="G740" s="26"/>
      <c r="H740" s="26"/>
      <c r="I740" s="26"/>
      <c r="J740" s="26"/>
      <c r="K740" s="26"/>
      <c r="L740" s="26"/>
      <c r="M740" s="26"/>
      <c r="N740" s="26"/>
      <c r="O740" s="26"/>
      <c r="P740" s="26"/>
    </row>
    <row r="741" spans="1:16" ht="15.75" customHeight="1" x14ac:dyDescent="0.35">
      <c r="A741" s="960"/>
      <c r="B741" s="26"/>
      <c r="E741" s="26"/>
      <c r="F741" s="61"/>
      <c r="G741" s="26"/>
      <c r="H741" s="26"/>
      <c r="I741" s="26"/>
      <c r="J741" s="26"/>
      <c r="K741" s="26"/>
      <c r="L741" s="26"/>
      <c r="M741" s="26"/>
      <c r="N741" s="26"/>
      <c r="O741" s="26"/>
      <c r="P741" s="26"/>
    </row>
    <row r="742" spans="1:16" ht="15.75" customHeight="1" x14ac:dyDescent="0.35">
      <c r="A742" s="960"/>
      <c r="B742" s="26"/>
      <c r="E742" s="26"/>
      <c r="F742" s="61"/>
      <c r="G742" s="26"/>
      <c r="H742" s="26"/>
      <c r="I742" s="26"/>
      <c r="J742" s="26"/>
      <c r="K742" s="26"/>
      <c r="L742" s="26"/>
      <c r="M742" s="26"/>
      <c r="N742" s="26"/>
      <c r="O742" s="26"/>
      <c r="P742" s="26"/>
    </row>
    <row r="743" spans="1:16" ht="15.75" customHeight="1" x14ac:dyDescent="0.35">
      <c r="A743" s="960"/>
      <c r="B743" s="26"/>
      <c r="E743" s="26"/>
      <c r="F743" s="61"/>
      <c r="G743" s="26"/>
      <c r="H743" s="26"/>
      <c r="I743" s="26"/>
      <c r="J743" s="26"/>
      <c r="K743" s="26"/>
      <c r="L743" s="26"/>
      <c r="M743" s="26"/>
      <c r="N743" s="26"/>
      <c r="O743" s="26"/>
      <c r="P743" s="26"/>
    </row>
    <row r="744" spans="1:16" ht="15.75" customHeight="1" x14ac:dyDescent="0.35">
      <c r="A744" s="960"/>
      <c r="B744" s="26"/>
      <c r="E744" s="26"/>
      <c r="F744" s="61"/>
      <c r="G744" s="26"/>
      <c r="H744" s="26"/>
      <c r="I744" s="26"/>
      <c r="J744" s="26"/>
      <c r="K744" s="26"/>
      <c r="L744" s="26"/>
      <c r="M744" s="26"/>
      <c r="N744" s="26"/>
      <c r="O744" s="26"/>
      <c r="P744" s="26"/>
    </row>
    <row r="745" spans="1:16" ht="15.75" customHeight="1" x14ac:dyDescent="0.35">
      <c r="A745" s="960"/>
      <c r="B745" s="26"/>
      <c r="E745" s="26"/>
      <c r="F745" s="61"/>
      <c r="G745" s="26"/>
      <c r="H745" s="26"/>
      <c r="I745" s="26"/>
      <c r="J745" s="26"/>
      <c r="K745" s="26"/>
      <c r="L745" s="26"/>
      <c r="M745" s="26"/>
      <c r="N745" s="26"/>
      <c r="O745" s="26"/>
      <c r="P745" s="26"/>
    </row>
    <row r="746" spans="1:16" ht="15.75" customHeight="1" x14ac:dyDescent="0.35">
      <c r="A746" s="960"/>
      <c r="B746" s="26"/>
      <c r="E746" s="26"/>
      <c r="F746" s="61"/>
      <c r="G746" s="26"/>
      <c r="H746" s="26"/>
      <c r="I746" s="26"/>
      <c r="J746" s="26"/>
      <c r="K746" s="26"/>
      <c r="L746" s="26"/>
      <c r="M746" s="26"/>
      <c r="N746" s="26"/>
      <c r="O746" s="26"/>
      <c r="P746" s="26"/>
    </row>
    <row r="747" spans="1:16" ht="15.75" customHeight="1" x14ac:dyDescent="0.35">
      <c r="A747" s="960"/>
      <c r="B747" s="26"/>
      <c r="E747" s="26"/>
      <c r="F747" s="61"/>
      <c r="G747" s="26"/>
      <c r="H747" s="26"/>
      <c r="I747" s="26"/>
      <c r="J747" s="26"/>
      <c r="K747" s="26"/>
      <c r="L747" s="26"/>
      <c r="M747" s="26"/>
      <c r="N747" s="26"/>
      <c r="O747" s="26"/>
      <c r="P747" s="26"/>
    </row>
    <row r="748" spans="1:16" ht="15.75" customHeight="1" x14ac:dyDescent="0.35">
      <c r="A748" s="960"/>
      <c r="B748" s="26"/>
      <c r="E748" s="26"/>
      <c r="F748" s="61"/>
      <c r="G748" s="26"/>
      <c r="H748" s="26"/>
      <c r="I748" s="26"/>
      <c r="J748" s="26"/>
      <c r="K748" s="26"/>
      <c r="L748" s="26"/>
      <c r="M748" s="26"/>
      <c r="N748" s="26"/>
      <c r="O748" s="26"/>
      <c r="P748" s="26"/>
    </row>
    <row r="749" spans="1:16" ht="15.75" customHeight="1" x14ac:dyDescent="0.35">
      <c r="A749" s="960"/>
      <c r="B749" s="26"/>
      <c r="E749" s="26"/>
      <c r="F749" s="61"/>
      <c r="G749" s="26"/>
      <c r="H749" s="26"/>
      <c r="I749" s="26"/>
      <c r="J749" s="26"/>
      <c r="K749" s="26"/>
      <c r="L749" s="26"/>
      <c r="M749" s="26"/>
      <c r="N749" s="26"/>
      <c r="O749" s="26"/>
      <c r="P749" s="26"/>
    </row>
    <row r="750" spans="1:16" ht="15.75" customHeight="1" x14ac:dyDescent="0.35">
      <c r="A750" s="960"/>
      <c r="B750" s="26"/>
      <c r="E750" s="26"/>
      <c r="F750" s="61"/>
      <c r="G750" s="26"/>
      <c r="H750" s="26"/>
      <c r="I750" s="26"/>
      <c r="J750" s="26"/>
      <c r="K750" s="26"/>
      <c r="L750" s="26"/>
      <c r="M750" s="26"/>
      <c r="N750" s="26"/>
      <c r="O750" s="26"/>
      <c r="P750" s="26"/>
    </row>
    <row r="751" spans="1:16" ht="15.75" customHeight="1" x14ac:dyDescent="0.35">
      <c r="A751" s="960"/>
      <c r="B751" s="26"/>
      <c r="E751" s="26"/>
      <c r="F751" s="61"/>
      <c r="G751" s="26"/>
      <c r="H751" s="26"/>
      <c r="I751" s="26"/>
      <c r="J751" s="26"/>
      <c r="K751" s="26"/>
      <c r="L751" s="26"/>
      <c r="M751" s="26"/>
      <c r="N751" s="26"/>
      <c r="O751" s="26"/>
      <c r="P751" s="26"/>
    </row>
    <row r="752" spans="1:16" ht="15.75" customHeight="1" x14ac:dyDescent="0.35">
      <c r="A752" s="960"/>
      <c r="B752" s="26"/>
      <c r="E752" s="26"/>
      <c r="F752" s="61"/>
      <c r="G752" s="26"/>
      <c r="H752" s="26"/>
      <c r="I752" s="26"/>
      <c r="J752" s="26"/>
      <c r="K752" s="26"/>
      <c r="L752" s="26"/>
      <c r="M752" s="26"/>
      <c r="N752" s="26"/>
      <c r="O752" s="26"/>
      <c r="P752" s="26"/>
    </row>
    <row r="753" spans="1:16" ht="15.75" customHeight="1" x14ac:dyDescent="0.35">
      <c r="A753" s="960"/>
      <c r="B753" s="26"/>
      <c r="E753" s="26"/>
      <c r="F753" s="61"/>
      <c r="G753" s="26"/>
      <c r="H753" s="26"/>
      <c r="I753" s="26"/>
      <c r="J753" s="26"/>
      <c r="K753" s="26"/>
      <c r="L753" s="26"/>
      <c r="M753" s="26"/>
      <c r="N753" s="26"/>
      <c r="O753" s="26"/>
      <c r="P753" s="26"/>
    </row>
    <row r="754" spans="1:16" ht="15.75" customHeight="1" x14ac:dyDescent="0.35">
      <c r="A754" s="960"/>
      <c r="B754" s="26"/>
      <c r="E754" s="26"/>
      <c r="F754" s="61"/>
      <c r="G754" s="26"/>
      <c r="H754" s="26"/>
      <c r="I754" s="26"/>
      <c r="J754" s="26"/>
      <c r="K754" s="26"/>
      <c r="L754" s="26"/>
      <c r="M754" s="26"/>
      <c r="N754" s="26"/>
      <c r="O754" s="26"/>
      <c r="P754" s="26"/>
    </row>
    <row r="755" spans="1:16" ht="15.75" customHeight="1" x14ac:dyDescent="0.35">
      <c r="A755" s="960"/>
      <c r="B755" s="26"/>
      <c r="E755" s="26"/>
      <c r="F755" s="61"/>
      <c r="G755" s="26"/>
      <c r="H755" s="26"/>
      <c r="I755" s="26"/>
      <c r="J755" s="26"/>
      <c r="K755" s="26"/>
      <c r="L755" s="26"/>
      <c r="M755" s="26"/>
      <c r="N755" s="26"/>
      <c r="O755" s="26"/>
      <c r="P755" s="26"/>
    </row>
    <row r="756" spans="1:16" ht="15.75" customHeight="1" x14ac:dyDescent="0.35">
      <c r="A756" s="960"/>
      <c r="B756" s="26"/>
      <c r="E756" s="26"/>
      <c r="F756" s="61"/>
      <c r="G756" s="26"/>
      <c r="H756" s="26"/>
      <c r="I756" s="26"/>
      <c r="J756" s="26"/>
      <c r="K756" s="26"/>
      <c r="L756" s="26"/>
      <c r="M756" s="26"/>
      <c r="N756" s="26"/>
      <c r="O756" s="26"/>
      <c r="P756" s="26"/>
    </row>
    <row r="757" spans="1:16" ht="15.75" customHeight="1" x14ac:dyDescent="0.35">
      <c r="A757" s="960"/>
      <c r="B757" s="26"/>
      <c r="E757" s="26"/>
      <c r="F757" s="61"/>
      <c r="G757" s="26"/>
      <c r="H757" s="26"/>
      <c r="I757" s="26"/>
      <c r="J757" s="26"/>
      <c r="K757" s="26"/>
      <c r="L757" s="26"/>
      <c r="M757" s="26"/>
      <c r="N757" s="26"/>
      <c r="O757" s="26"/>
      <c r="P757" s="26"/>
    </row>
    <row r="758" spans="1:16" ht="15.75" customHeight="1" x14ac:dyDescent="0.35">
      <c r="A758" s="960"/>
      <c r="B758" s="26"/>
      <c r="E758" s="26"/>
      <c r="F758" s="61"/>
      <c r="G758" s="26"/>
      <c r="H758" s="26"/>
      <c r="I758" s="26"/>
      <c r="J758" s="26"/>
      <c r="K758" s="26"/>
      <c r="L758" s="26"/>
      <c r="M758" s="26"/>
      <c r="N758" s="26"/>
      <c r="O758" s="26"/>
      <c r="P758" s="26"/>
    </row>
    <row r="759" spans="1:16" ht="15.75" customHeight="1" x14ac:dyDescent="0.35">
      <c r="A759" s="960"/>
      <c r="B759" s="26"/>
      <c r="E759" s="26"/>
      <c r="F759" s="61"/>
      <c r="G759" s="26"/>
      <c r="H759" s="26"/>
      <c r="I759" s="26"/>
      <c r="J759" s="26"/>
      <c r="K759" s="26"/>
      <c r="L759" s="26"/>
      <c r="M759" s="26"/>
      <c r="N759" s="26"/>
      <c r="O759" s="26"/>
      <c r="P759" s="26"/>
    </row>
    <row r="760" spans="1:16" ht="15.75" customHeight="1" x14ac:dyDescent="0.35">
      <c r="A760" s="960"/>
      <c r="B760" s="26"/>
      <c r="E760" s="26"/>
      <c r="F760" s="61"/>
      <c r="G760" s="26"/>
      <c r="H760" s="26"/>
      <c r="I760" s="26"/>
      <c r="J760" s="26"/>
      <c r="K760" s="26"/>
      <c r="L760" s="26"/>
      <c r="M760" s="26"/>
      <c r="N760" s="26"/>
      <c r="O760" s="26"/>
      <c r="P760" s="26"/>
    </row>
    <row r="761" spans="1:16" ht="15.75" customHeight="1" x14ac:dyDescent="0.35">
      <c r="A761" s="960"/>
      <c r="B761" s="26"/>
      <c r="E761" s="26"/>
      <c r="F761" s="61"/>
      <c r="G761" s="26"/>
      <c r="H761" s="26"/>
      <c r="I761" s="26"/>
      <c r="J761" s="26"/>
      <c r="K761" s="26"/>
      <c r="L761" s="26"/>
      <c r="M761" s="26"/>
      <c r="N761" s="26"/>
      <c r="O761" s="26"/>
      <c r="P761" s="26"/>
    </row>
    <row r="762" spans="1:16" ht="15.75" customHeight="1" x14ac:dyDescent="0.35">
      <c r="A762" s="960"/>
      <c r="B762" s="26"/>
      <c r="E762" s="26"/>
      <c r="F762" s="61"/>
      <c r="G762" s="26"/>
      <c r="H762" s="26"/>
      <c r="I762" s="26"/>
      <c r="J762" s="26"/>
      <c r="K762" s="26"/>
      <c r="L762" s="26"/>
      <c r="M762" s="26"/>
      <c r="N762" s="26"/>
      <c r="O762" s="26"/>
      <c r="P762" s="26"/>
    </row>
    <row r="763" spans="1:16" ht="15.75" customHeight="1" x14ac:dyDescent="0.35">
      <c r="A763" s="960"/>
      <c r="B763" s="26"/>
      <c r="E763" s="26"/>
      <c r="F763" s="61"/>
      <c r="G763" s="26"/>
      <c r="H763" s="26"/>
      <c r="I763" s="26"/>
      <c r="J763" s="26"/>
      <c r="K763" s="26"/>
      <c r="L763" s="26"/>
      <c r="M763" s="26"/>
      <c r="N763" s="26"/>
      <c r="O763" s="26"/>
      <c r="P763" s="26"/>
    </row>
    <row r="764" spans="1:16" ht="15.75" customHeight="1" x14ac:dyDescent="0.35">
      <c r="A764" s="960"/>
      <c r="B764" s="26"/>
      <c r="E764" s="26"/>
      <c r="F764" s="61"/>
      <c r="G764" s="26"/>
      <c r="H764" s="26"/>
      <c r="I764" s="26"/>
      <c r="J764" s="26"/>
      <c r="K764" s="26"/>
      <c r="L764" s="26"/>
      <c r="M764" s="26"/>
      <c r="N764" s="26"/>
      <c r="O764" s="26"/>
      <c r="P764" s="26"/>
    </row>
    <row r="765" spans="1:16" ht="15.75" customHeight="1" x14ac:dyDescent="0.35">
      <c r="A765" s="960"/>
      <c r="B765" s="26"/>
      <c r="E765" s="26"/>
      <c r="F765" s="61"/>
      <c r="G765" s="26"/>
      <c r="H765" s="26"/>
      <c r="I765" s="26"/>
      <c r="J765" s="26"/>
      <c r="K765" s="26"/>
      <c r="L765" s="26"/>
      <c r="M765" s="26"/>
      <c r="N765" s="26"/>
      <c r="O765" s="26"/>
      <c r="P765" s="26"/>
    </row>
    <row r="766" spans="1:16" ht="15.75" customHeight="1" x14ac:dyDescent="0.35">
      <c r="A766" s="960"/>
      <c r="B766" s="26"/>
      <c r="E766" s="26"/>
      <c r="F766" s="61"/>
      <c r="G766" s="26"/>
      <c r="H766" s="26"/>
      <c r="I766" s="26"/>
      <c r="J766" s="26"/>
      <c r="K766" s="26"/>
      <c r="L766" s="26"/>
      <c r="M766" s="26"/>
      <c r="N766" s="26"/>
      <c r="O766" s="26"/>
      <c r="P766" s="26"/>
    </row>
    <row r="767" spans="1:16" ht="15.75" customHeight="1" x14ac:dyDescent="0.35">
      <c r="A767" s="960"/>
      <c r="B767" s="26"/>
      <c r="E767" s="26"/>
      <c r="F767" s="61"/>
      <c r="G767" s="26"/>
      <c r="H767" s="26"/>
      <c r="I767" s="26"/>
      <c r="J767" s="26"/>
      <c r="K767" s="26"/>
      <c r="L767" s="26"/>
      <c r="M767" s="26"/>
      <c r="N767" s="26"/>
      <c r="O767" s="26"/>
      <c r="P767" s="26"/>
    </row>
    <row r="768" spans="1:16" ht="15.75" customHeight="1" x14ac:dyDescent="0.35">
      <c r="A768" s="960"/>
      <c r="B768" s="26"/>
      <c r="E768" s="26"/>
      <c r="F768" s="61"/>
      <c r="G768" s="26"/>
      <c r="H768" s="26"/>
      <c r="I768" s="26"/>
      <c r="J768" s="26"/>
      <c r="K768" s="26"/>
      <c r="L768" s="26"/>
      <c r="M768" s="26"/>
      <c r="N768" s="26"/>
      <c r="O768" s="26"/>
      <c r="P768" s="26"/>
    </row>
    <row r="769" spans="1:16" ht="15.75" customHeight="1" x14ac:dyDescent="0.35">
      <c r="A769" s="960"/>
      <c r="B769" s="26"/>
      <c r="E769" s="26"/>
      <c r="F769" s="61"/>
      <c r="G769" s="26"/>
      <c r="H769" s="26"/>
      <c r="I769" s="26"/>
      <c r="J769" s="26"/>
      <c r="K769" s="26"/>
      <c r="L769" s="26"/>
      <c r="M769" s="26"/>
      <c r="N769" s="26"/>
      <c r="O769" s="26"/>
      <c r="P769" s="26"/>
    </row>
    <row r="770" spans="1:16" ht="15.75" customHeight="1" x14ac:dyDescent="0.35">
      <c r="A770" s="960"/>
      <c r="B770" s="26"/>
      <c r="E770" s="26"/>
      <c r="F770" s="61"/>
      <c r="G770" s="26"/>
      <c r="H770" s="26"/>
      <c r="I770" s="26"/>
      <c r="J770" s="26"/>
      <c r="K770" s="26"/>
      <c r="L770" s="26"/>
      <c r="M770" s="26"/>
      <c r="N770" s="26"/>
      <c r="O770" s="26"/>
      <c r="P770" s="26"/>
    </row>
    <row r="771" spans="1:16" ht="15.75" customHeight="1" x14ac:dyDescent="0.35">
      <c r="A771" s="960"/>
      <c r="B771" s="26"/>
      <c r="E771" s="26"/>
      <c r="F771" s="61"/>
      <c r="G771" s="26"/>
      <c r="H771" s="26"/>
      <c r="I771" s="26"/>
      <c r="J771" s="26"/>
      <c r="K771" s="26"/>
      <c r="L771" s="26"/>
      <c r="M771" s="26"/>
      <c r="N771" s="26"/>
      <c r="O771" s="26"/>
      <c r="P771" s="26"/>
    </row>
    <row r="772" spans="1:16" ht="15.75" customHeight="1" x14ac:dyDescent="0.35">
      <c r="A772" s="960"/>
      <c r="B772" s="26"/>
      <c r="E772" s="26"/>
      <c r="F772" s="61"/>
      <c r="G772" s="26"/>
      <c r="H772" s="26"/>
      <c r="I772" s="26"/>
      <c r="J772" s="26"/>
      <c r="K772" s="26"/>
      <c r="L772" s="26"/>
      <c r="M772" s="26"/>
      <c r="N772" s="26"/>
      <c r="O772" s="26"/>
      <c r="P772" s="26"/>
    </row>
    <row r="773" spans="1:16" ht="15.75" customHeight="1" x14ac:dyDescent="0.35">
      <c r="A773" s="960"/>
      <c r="B773" s="26"/>
      <c r="E773" s="26"/>
      <c r="F773" s="61"/>
      <c r="G773" s="26"/>
      <c r="H773" s="26"/>
      <c r="I773" s="26"/>
      <c r="J773" s="26"/>
      <c r="K773" s="26"/>
      <c r="L773" s="26"/>
      <c r="M773" s="26"/>
      <c r="N773" s="26"/>
      <c r="O773" s="26"/>
      <c r="P773" s="26"/>
    </row>
    <row r="774" spans="1:16" ht="15.75" customHeight="1" x14ac:dyDescent="0.35">
      <c r="A774" s="960"/>
      <c r="B774" s="26"/>
      <c r="E774" s="26"/>
      <c r="F774" s="61"/>
      <c r="G774" s="26"/>
      <c r="H774" s="26"/>
      <c r="I774" s="26"/>
      <c r="J774" s="26"/>
      <c r="K774" s="26"/>
      <c r="L774" s="26"/>
      <c r="M774" s="26"/>
      <c r="N774" s="26"/>
      <c r="O774" s="26"/>
      <c r="P774" s="26"/>
    </row>
    <row r="775" spans="1:16" ht="15.75" customHeight="1" x14ac:dyDescent="0.35">
      <c r="A775" s="960"/>
      <c r="B775" s="26"/>
      <c r="E775" s="26"/>
      <c r="F775" s="61"/>
      <c r="G775" s="26"/>
      <c r="H775" s="26"/>
      <c r="I775" s="26"/>
      <c r="J775" s="26"/>
      <c r="K775" s="26"/>
      <c r="L775" s="26"/>
      <c r="M775" s="26"/>
      <c r="N775" s="26"/>
      <c r="O775" s="26"/>
      <c r="P775" s="26"/>
    </row>
    <row r="776" spans="1:16" ht="15.75" customHeight="1" x14ac:dyDescent="0.35">
      <c r="A776" s="960"/>
      <c r="B776" s="26"/>
      <c r="E776" s="26"/>
      <c r="F776" s="61"/>
      <c r="G776" s="26"/>
      <c r="H776" s="26"/>
      <c r="I776" s="26"/>
      <c r="J776" s="26"/>
      <c r="K776" s="26"/>
      <c r="L776" s="26"/>
      <c r="M776" s="26"/>
      <c r="N776" s="26"/>
      <c r="O776" s="26"/>
      <c r="P776" s="26"/>
    </row>
    <row r="777" spans="1:16" ht="15.75" customHeight="1" x14ac:dyDescent="0.35">
      <c r="A777" s="960"/>
      <c r="B777" s="26"/>
      <c r="E777" s="26"/>
      <c r="F777" s="61"/>
      <c r="G777" s="26"/>
      <c r="H777" s="26"/>
      <c r="I777" s="26"/>
      <c r="J777" s="26"/>
      <c r="K777" s="26"/>
      <c r="L777" s="26"/>
      <c r="M777" s="26"/>
      <c r="N777" s="26"/>
      <c r="O777" s="26"/>
      <c r="P777" s="26"/>
    </row>
    <row r="778" spans="1:16" ht="15.75" customHeight="1" x14ac:dyDescent="0.35">
      <c r="A778" s="960"/>
      <c r="B778" s="26"/>
      <c r="E778" s="26"/>
      <c r="F778" s="61"/>
      <c r="G778" s="26"/>
      <c r="H778" s="26"/>
      <c r="I778" s="26"/>
      <c r="J778" s="26"/>
      <c r="K778" s="26"/>
      <c r="L778" s="26"/>
      <c r="M778" s="26"/>
      <c r="N778" s="26"/>
      <c r="O778" s="26"/>
      <c r="P778" s="26"/>
    </row>
    <row r="779" spans="1:16" ht="15.75" customHeight="1" x14ac:dyDescent="0.35">
      <c r="A779" s="960"/>
      <c r="B779" s="26"/>
      <c r="E779" s="26"/>
      <c r="F779" s="61"/>
      <c r="G779" s="26"/>
      <c r="H779" s="26"/>
      <c r="I779" s="26"/>
      <c r="J779" s="26"/>
      <c r="K779" s="26"/>
      <c r="L779" s="26"/>
      <c r="M779" s="26"/>
      <c r="N779" s="26"/>
      <c r="O779" s="26"/>
      <c r="P779" s="26"/>
    </row>
    <row r="780" spans="1:16" ht="15.75" customHeight="1" x14ac:dyDescent="0.35">
      <c r="A780" s="960"/>
      <c r="B780" s="26"/>
      <c r="E780" s="26"/>
      <c r="F780" s="61"/>
      <c r="G780" s="26"/>
      <c r="H780" s="26"/>
      <c r="I780" s="26"/>
      <c r="J780" s="26"/>
      <c r="K780" s="26"/>
      <c r="L780" s="26"/>
      <c r="M780" s="26"/>
      <c r="N780" s="26"/>
      <c r="O780" s="26"/>
      <c r="P780" s="26"/>
    </row>
    <row r="781" spans="1:16" ht="15.75" customHeight="1" x14ac:dyDescent="0.35">
      <c r="A781" s="960"/>
      <c r="B781" s="26"/>
      <c r="E781" s="26"/>
      <c r="F781" s="61"/>
      <c r="G781" s="26"/>
      <c r="H781" s="26"/>
      <c r="I781" s="26"/>
      <c r="J781" s="26"/>
      <c r="K781" s="26"/>
      <c r="L781" s="26"/>
      <c r="M781" s="26"/>
      <c r="N781" s="26"/>
      <c r="O781" s="26"/>
      <c r="P781" s="26"/>
    </row>
    <row r="782" spans="1:16" ht="15.75" customHeight="1" x14ac:dyDescent="0.35">
      <c r="A782" s="960"/>
      <c r="B782" s="26"/>
      <c r="E782" s="26"/>
      <c r="F782" s="61"/>
      <c r="G782" s="26"/>
      <c r="H782" s="26"/>
      <c r="I782" s="26"/>
      <c r="J782" s="26"/>
      <c r="K782" s="26"/>
      <c r="L782" s="26"/>
      <c r="M782" s="26"/>
      <c r="N782" s="26"/>
      <c r="O782" s="26"/>
      <c r="P782" s="26"/>
    </row>
    <row r="783" spans="1:16" ht="15.75" customHeight="1" x14ac:dyDescent="0.35">
      <c r="A783" s="960"/>
      <c r="B783" s="26"/>
      <c r="E783" s="26"/>
      <c r="F783" s="61"/>
      <c r="G783" s="26"/>
      <c r="H783" s="26"/>
      <c r="I783" s="26"/>
      <c r="J783" s="26"/>
      <c r="K783" s="26"/>
      <c r="L783" s="26"/>
      <c r="M783" s="26"/>
      <c r="N783" s="26"/>
      <c r="O783" s="26"/>
      <c r="P783" s="26"/>
    </row>
    <row r="784" spans="1:16" ht="15.75" customHeight="1" x14ac:dyDescent="0.35">
      <c r="A784" s="960"/>
      <c r="B784" s="26"/>
      <c r="E784" s="26"/>
      <c r="F784" s="61"/>
      <c r="G784" s="26"/>
      <c r="H784" s="26"/>
      <c r="I784" s="26"/>
      <c r="J784" s="26"/>
      <c r="K784" s="26"/>
      <c r="L784" s="26"/>
      <c r="M784" s="26"/>
      <c r="N784" s="26"/>
      <c r="O784" s="26"/>
      <c r="P784" s="26"/>
    </row>
    <row r="785" spans="1:16" ht="15.75" customHeight="1" x14ac:dyDescent="0.35">
      <c r="A785" s="960"/>
      <c r="B785" s="26"/>
      <c r="E785" s="26"/>
      <c r="F785" s="61"/>
      <c r="G785" s="26"/>
      <c r="H785" s="26"/>
      <c r="I785" s="26"/>
      <c r="J785" s="26"/>
      <c r="K785" s="26"/>
      <c r="L785" s="26"/>
      <c r="M785" s="26"/>
      <c r="N785" s="26"/>
      <c r="O785" s="26"/>
      <c r="P785" s="26"/>
    </row>
    <row r="786" spans="1:16" ht="15.75" customHeight="1" x14ac:dyDescent="0.35">
      <c r="A786" s="960"/>
      <c r="B786" s="26"/>
      <c r="E786" s="26"/>
      <c r="F786" s="61"/>
      <c r="G786" s="26"/>
      <c r="H786" s="26"/>
      <c r="I786" s="26"/>
      <c r="J786" s="26"/>
      <c r="K786" s="26"/>
      <c r="L786" s="26"/>
      <c r="M786" s="26"/>
      <c r="N786" s="26"/>
      <c r="O786" s="26"/>
      <c r="P786" s="26"/>
    </row>
    <row r="787" spans="1:16" ht="15.75" customHeight="1" x14ac:dyDescent="0.35">
      <c r="A787" s="960"/>
      <c r="B787" s="26"/>
      <c r="E787" s="26"/>
      <c r="F787" s="61"/>
      <c r="G787" s="26"/>
      <c r="H787" s="26"/>
      <c r="I787" s="26"/>
      <c r="J787" s="26"/>
      <c r="K787" s="26"/>
      <c r="L787" s="26"/>
      <c r="M787" s="26"/>
      <c r="N787" s="26"/>
      <c r="O787" s="26"/>
      <c r="P787" s="26"/>
    </row>
    <row r="788" spans="1:16" ht="15.75" customHeight="1" x14ac:dyDescent="0.35">
      <c r="A788" s="960"/>
      <c r="B788" s="26"/>
      <c r="E788" s="26"/>
      <c r="F788" s="61"/>
      <c r="G788" s="26"/>
      <c r="H788" s="26"/>
      <c r="I788" s="26"/>
      <c r="J788" s="26"/>
      <c r="K788" s="26"/>
      <c r="L788" s="26"/>
      <c r="M788" s="26"/>
      <c r="N788" s="26"/>
      <c r="O788" s="26"/>
      <c r="P788" s="26"/>
    </row>
    <row r="789" spans="1:16" ht="15.75" customHeight="1" x14ac:dyDescent="0.35">
      <c r="A789" s="960"/>
      <c r="B789" s="26"/>
      <c r="E789" s="26"/>
      <c r="F789" s="61"/>
      <c r="G789" s="26"/>
      <c r="H789" s="26"/>
      <c r="I789" s="26"/>
      <c r="J789" s="26"/>
      <c r="K789" s="26"/>
      <c r="L789" s="26"/>
      <c r="M789" s="26"/>
      <c r="N789" s="26"/>
      <c r="O789" s="26"/>
      <c r="P789" s="26"/>
    </row>
    <row r="790" spans="1:16" ht="15.75" customHeight="1" x14ac:dyDescent="0.35">
      <c r="A790" s="960"/>
      <c r="B790" s="26"/>
      <c r="E790" s="26"/>
      <c r="F790" s="61"/>
      <c r="G790" s="26"/>
      <c r="H790" s="26"/>
      <c r="I790" s="26"/>
      <c r="J790" s="26"/>
      <c r="K790" s="26"/>
      <c r="L790" s="26"/>
      <c r="M790" s="26"/>
      <c r="N790" s="26"/>
      <c r="O790" s="26"/>
      <c r="P790" s="26"/>
    </row>
    <row r="791" spans="1:16" ht="15.75" customHeight="1" x14ac:dyDescent="0.35">
      <c r="A791" s="960"/>
      <c r="B791" s="26"/>
      <c r="E791" s="26"/>
      <c r="F791" s="61"/>
      <c r="G791" s="26"/>
      <c r="H791" s="26"/>
      <c r="I791" s="26"/>
      <c r="J791" s="26"/>
      <c r="K791" s="26"/>
      <c r="L791" s="26"/>
      <c r="M791" s="26"/>
      <c r="N791" s="26"/>
      <c r="O791" s="26"/>
      <c r="P791" s="26"/>
    </row>
    <row r="792" spans="1:16" ht="15.75" customHeight="1" x14ac:dyDescent="0.35">
      <c r="A792" s="960"/>
      <c r="B792" s="26"/>
      <c r="E792" s="26"/>
      <c r="F792" s="61"/>
      <c r="G792" s="26"/>
      <c r="H792" s="26"/>
      <c r="I792" s="26"/>
      <c r="J792" s="26"/>
      <c r="K792" s="26"/>
      <c r="L792" s="26"/>
      <c r="M792" s="26"/>
      <c r="N792" s="26"/>
      <c r="O792" s="26"/>
      <c r="P792" s="26"/>
    </row>
    <row r="793" spans="1:16" ht="15.75" customHeight="1" x14ac:dyDescent="0.35">
      <c r="A793" s="960"/>
      <c r="B793" s="26"/>
      <c r="E793" s="26"/>
      <c r="F793" s="61"/>
      <c r="G793" s="26"/>
      <c r="H793" s="26"/>
      <c r="I793" s="26"/>
      <c r="J793" s="26"/>
      <c r="K793" s="26"/>
      <c r="L793" s="26"/>
      <c r="M793" s="26"/>
      <c r="N793" s="26"/>
      <c r="O793" s="26"/>
      <c r="P793" s="26"/>
    </row>
    <row r="794" spans="1:16" ht="15.75" customHeight="1" x14ac:dyDescent="0.35">
      <c r="A794" s="960"/>
      <c r="B794" s="26"/>
      <c r="E794" s="26"/>
      <c r="F794" s="61"/>
      <c r="G794" s="26"/>
      <c r="H794" s="26"/>
      <c r="I794" s="26"/>
      <c r="J794" s="26"/>
      <c r="K794" s="26"/>
      <c r="L794" s="26"/>
      <c r="M794" s="26"/>
      <c r="N794" s="26"/>
      <c r="O794" s="26"/>
      <c r="P794" s="26"/>
    </row>
    <row r="795" spans="1:16" ht="15.75" customHeight="1" x14ac:dyDescent="0.35">
      <c r="A795" s="960"/>
      <c r="B795" s="26"/>
      <c r="E795" s="26"/>
      <c r="F795" s="61"/>
      <c r="G795" s="26"/>
      <c r="H795" s="26"/>
      <c r="I795" s="26"/>
      <c r="J795" s="26"/>
      <c r="K795" s="26"/>
      <c r="L795" s="26"/>
      <c r="M795" s="26"/>
      <c r="N795" s="26"/>
      <c r="O795" s="26"/>
      <c r="P795" s="26"/>
    </row>
    <row r="796" spans="1:16" ht="15.75" customHeight="1" x14ac:dyDescent="0.35">
      <c r="A796" s="960"/>
      <c r="B796" s="26"/>
      <c r="E796" s="26"/>
      <c r="F796" s="61"/>
      <c r="G796" s="26"/>
      <c r="H796" s="26"/>
      <c r="I796" s="26"/>
      <c r="J796" s="26"/>
      <c r="K796" s="26"/>
      <c r="L796" s="26"/>
      <c r="M796" s="26"/>
      <c r="N796" s="26"/>
      <c r="O796" s="26"/>
      <c r="P796" s="26"/>
    </row>
    <row r="797" spans="1:16" ht="15.75" customHeight="1" x14ac:dyDescent="0.35">
      <c r="A797" s="960"/>
      <c r="B797" s="26"/>
      <c r="E797" s="26"/>
      <c r="F797" s="61"/>
      <c r="G797" s="26"/>
      <c r="H797" s="26"/>
      <c r="I797" s="26"/>
      <c r="J797" s="26"/>
      <c r="K797" s="26"/>
      <c r="L797" s="26"/>
      <c r="M797" s="26"/>
      <c r="N797" s="26"/>
      <c r="O797" s="26"/>
      <c r="P797" s="26"/>
    </row>
    <row r="798" spans="1:16" ht="15.75" customHeight="1" x14ac:dyDescent="0.35">
      <c r="A798" s="960"/>
      <c r="B798" s="26"/>
      <c r="E798" s="26"/>
      <c r="F798" s="61"/>
      <c r="G798" s="26"/>
      <c r="H798" s="26"/>
      <c r="I798" s="26"/>
      <c r="J798" s="26"/>
      <c r="K798" s="26"/>
      <c r="L798" s="26"/>
      <c r="M798" s="26"/>
      <c r="N798" s="26"/>
      <c r="O798" s="26"/>
      <c r="P798" s="26"/>
    </row>
    <row r="799" spans="1:16" ht="15.75" customHeight="1" x14ac:dyDescent="0.35">
      <c r="A799" s="960"/>
      <c r="B799" s="26"/>
      <c r="E799" s="26"/>
      <c r="F799" s="61"/>
      <c r="G799" s="26"/>
      <c r="H799" s="26"/>
      <c r="I799" s="26"/>
      <c r="J799" s="26"/>
      <c r="K799" s="26"/>
      <c r="L799" s="26"/>
      <c r="M799" s="26"/>
      <c r="N799" s="26"/>
      <c r="O799" s="26"/>
      <c r="P799" s="26"/>
    </row>
    <row r="800" spans="1:16" ht="15.75" customHeight="1" x14ac:dyDescent="0.35">
      <c r="A800" s="960"/>
      <c r="B800" s="26"/>
      <c r="E800" s="26"/>
      <c r="F800" s="61"/>
      <c r="G800" s="26"/>
      <c r="H800" s="26"/>
      <c r="I800" s="26"/>
      <c r="J800" s="26"/>
      <c r="K800" s="26"/>
      <c r="L800" s="26"/>
      <c r="M800" s="26"/>
      <c r="N800" s="26"/>
      <c r="O800" s="26"/>
      <c r="P800" s="26"/>
    </row>
    <row r="801" spans="1:16" ht="15.75" customHeight="1" x14ac:dyDescent="0.35">
      <c r="A801" s="960"/>
      <c r="B801" s="26"/>
      <c r="E801" s="26"/>
      <c r="F801" s="61"/>
      <c r="G801" s="26"/>
      <c r="H801" s="26"/>
      <c r="I801" s="26"/>
      <c r="J801" s="26"/>
      <c r="K801" s="26"/>
      <c r="L801" s="26"/>
      <c r="M801" s="26"/>
      <c r="N801" s="26"/>
      <c r="O801" s="26"/>
      <c r="P801" s="26"/>
    </row>
    <row r="802" spans="1:16" ht="15.75" customHeight="1" x14ac:dyDescent="0.35">
      <c r="A802" s="960"/>
      <c r="B802" s="26"/>
      <c r="E802" s="26"/>
      <c r="F802" s="61"/>
      <c r="G802" s="26"/>
      <c r="H802" s="26"/>
      <c r="I802" s="26"/>
      <c r="J802" s="26"/>
      <c r="K802" s="26"/>
      <c r="L802" s="26"/>
      <c r="M802" s="26"/>
      <c r="N802" s="26"/>
      <c r="O802" s="26"/>
      <c r="P802" s="26"/>
    </row>
    <row r="803" spans="1:16" ht="15.75" customHeight="1" x14ac:dyDescent="0.35">
      <c r="A803" s="960"/>
      <c r="B803" s="26"/>
      <c r="E803" s="26"/>
      <c r="F803" s="61"/>
      <c r="G803" s="26"/>
      <c r="H803" s="26"/>
      <c r="I803" s="26"/>
      <c r="J803" s="26"/>
      <c r="K803" s="26"/>
      <c r="L803" s="26"/>
      <c r="M803" s="26"/>
      <c r="N803" s="26"/>
      <c r="O803" s="26"/>
      <c r="P803" s="26"/>
    </row>
    <row r="804" spans="1:16" ht="15.75" customHeight="1" x14ac:dyDescent="0.35">
      <c r="A804" s="960"/>
      <c r="B804" s="26"/>
      <c r="E804" s="26"/>
      <c r="F804" s="61"/>
      <c r="G804" s="26"/>
      <c r="H804" s="26"/>
      <c r="I804" s="26"/>
      <c r="J804" s="26"/>
      <c r="K804" s="26"/>
      <c r="L804" s="26"/>
      <c r="M804" s="26"/>
      <c r="N804" s="26"/>
      <c r="O804" s="26"/>
      <c r="P804" s="26"/>
    </row>
    <row r="805" spans="1:16" ht="15.75" customHeight="1" x14ac:dyDescent="0.35">
      <c r="A805" s="960"/>
      <c r="B805" s="26"/>
      <c r="E805" s="26"/>
      <c r="F805" s="61"/>
      <c r="G805" s="26"/>
      <c r="H805" s="26"/>
      <c r="I805" s="26"/>
      <c r="J805" s="26"/>
      <c r="K805" s="26"/>
      <c r="L805" s="26"/>
      <c r="M805" s="26"/>
      <c r="N805" s="26"/>
      <c r="O805" s="26"/>
      <c r="P805" s="26"/>
    </row>
    <row r="806" spans="1:16" ht="15.75" customHeight="1" x14ac:dyDescent="0.35">
      <c r="A806" s="960"/>
      <c r="B806" s="26"/>
      <c r="E806" s="26"/>
      <c r="F806" s="61"/>
      <c r="G806" s="26"/>
      <c r="H806" s="26"/>
      <c r="I806" s="26"/>
      <c r="J806" s="26"/>
      <c r="K806" s="26"/>
      <c r="L806" s="26"/>
      <c r="M806" s="26"/>
      <c r="N806" s="26"/>
      <c r="O806" s="26"/>
      <c r="P806" s="26"/>
    </row>
    <row r="807" spans="1:16" ht="15.75" customHeight="1" x14ac:dyDescent="0.35">
      <c r="A807" s="960"/>
      <c r="B807" s="26"/>
      <c r="E807" s="26"/>
      <c r="F807" s="61"/>
      <c r="G807" s="26"/>
      <c r="H807" s="26"/>
      <c r="I807" s="26"/>
      <c r="J807" s="26"/>
      <c r="K807" s="26"/>
      <c r="L807" s="26"/>
      <c r="M807" s="26"/>
      <c r="N807" s="26"/>
      <c r="O807" s="26"/>
      <c r="P807" s="26"/>
    </row>
    <row r="808" spans="1:16" ht="15.75" customHeight="1" x14ac:dyDescent="0.35">
      <c r="A808" s="960"/>
      <c r="B808" s="26"/>
      <c r="E808" s="26"/>
      <c r="F808" s="61"/>
      <c r="G808" s="26"/>
      <c r="H808" s="26"/>
      <c r="I808" s="26"/>
      <c r="J808" s="26"/>
      <c r="K808" s="26"/>
      <c r="L808" s="26"/>
      <c r="M808" s="26"/>
      <c r="N808" s="26"/>
      <c r="O808" s="26"/>
      <c r="P808" s="26"/>
    </row>
    <row r="809" spans="1:16" ht="15.75" customHeight="1" x14ac:dyDescent="0.35">
      <c r="A809" s="960"/>
      <c r="B809" s="26"/>
      <c r="E809" s="26"/>
      <c r="F809" s="61"/>
      <c r="G809" s="26"/>
      <c r="H809" s="26"/>
      <c r="I809" s="26"/>
      <c r="J809" s="26"/>
      <c r="K809" s="26"/>
      <c r="L809" s="26"/>
      <c r="M809" s="26"/>
      <c r="N809" s="26"/>
      <c r="O809" s="26"/>
      <c r="P809" s="26"/>
    </row>
    <row r="810" spans="1:16" ht="15.75" customHeight="1" x14ac:dyDescent="0.35">
      <c r="A810" s="960"/>
      <c r="B810" s="26"/>
      <c r="E810" s="26"/>
      <c r="F810" s="61"/>
      <c r="G810" s="26"/>
      <c r="H810" s="26"/>
      <c r="I810" s="26"/>
      <c r="J810" s="26"/>
      <c r="K810" s="26"/>
      <c r="L810" s="26"/>
      <c r="M810" s="26"/>
      <c r="N810" s="26"/>
      <c r="O810" s="26"/>
      <c r="P810" s="26"/>
    </row>
    <row r="811" spans="1:16" ht="15.75" customHeight="1" x14ac:dyDescent="0.35">
      <c r="A811" s="960"/>
      <c r="B811" s="26"/>
      <c r="E811" s="26"/>
      <c r="F811" s="61"/>
      <c r="G811" s="26"/>
      <c r="H811" s="26"/>
      <c r="I811" s="26"/>
      <c r="J811" s="26"/>
      <c r="K811" s="26"/>
      <c r="L811" s="26"/>
      <c r="M811" s="26"/>
      <c r="N811" s="26"/>
      <c r="O811" s="26"/>
      <c r="P811" s="26"/>
    </row>
    <row r="812" spans="1:16" ht="15.75" customHeight="1" x14ac:dyDescent="0.35">
      <c r="A812" s="960"/>
      <c r="B812" s="26"/>
      <c r="E812" s="26"/>
      <c r="F812" s="61"/>
      <c r="G812" s="26"/>
      <c r="H812" s="26"/>
      <c r="I812" s="26"/>
      <c r="J812" s="26"/>
      <c r="K812" s="26"/>
      <c r="L812" s="26"/>
      <c r="M812" s="26"/>
      <c r="N812" s="26"/>
      <c r="O812" s="26"/>
      <c r="P812" s="26"/>
    </row>
    <row r="813" spans="1:16" ht="15.75" customHeight="1" x14ac:dyDescent="0.35">
      <c r="A813" s="960"/>
      <c r="B813" s="26"/>
      <c r="E813" s="26"/>
      <c r="F813" s="61"/>
      <c r="G813" s="26"/>
      <c r="H813" s="26"/>
      <c r="I813" s="26"/>
      <c r="J813" s="26"/>
      <c r="K813" s="26"/>
      <c r="L813" s="26"/>
      <c r="M813" s="26"/>
      <c r="N813" s="26"/>
      <c r="O813" s="26"/>
      <c r="P813" s="26"/>
    </row>
    <row r="814" spans="1:16" ht="15.75" customHeight="1" x14ac:dyDescent="0.35">
      <c r="A814" s="960"/>
      <c r="B814" s="26"/>
      <c r="E814" s="26"/>
      <c r="F814" s="61"/>
      <c r="G814" s="26"/>
      <c r="H814" s="26"/>
      <c r="I814" s="26"/>
      <c r="J814" s="26"/>
      <c r="K814" s="26"/>
      <c r="L814" s="26"/>
      <c r="M814" s="26"/>
      <c r="N814" s="26"/>
      <c r="O814" s="26"/>
      <c r="P814" s="26"/>
    </row>
    <row r="815" spans="1:16" ht="15.75" customHeight="1" x14ac:dyDescent="0.35">
      <c r="A815" s="960"/>
      <c r="B815" s="26"/>
      <c r="E815" s="26"/>
      <c r="F815" s="61"/>
      <c r="G815" s="26"/>
      <c r="H815" s="26"/>
      <c r="I815" s="26"/>
      <c r="J815" s="26"/>
      <c r="K815" s="26"/>
      <c r="L815" s="26"/>
      <c r="M815" s="26"/>
      <c r="N815" s="26"/>
      <c r="O815" s="26"/>
      <c r="P815" s="26"/>
    </row>
    <row r="816" spans="1:16" ht="15.75" customHeight="1" x14ac:dyDescent="0.35">
      <c r="A816" s="960"/>
      <c r="B816" s="26"/>
      <c r="E816" s="26"/>
      <c r="F816" s="61"/>
      <c r="G816" s="26"/>
      <c r="H816" s="26"/>
      <c r="I816" s="26"/>
      <c r="J816" s="26"/>
      <c r="K816" s="26"/>
      <c r="L816" s="26"/>
      <c r="M816" s="26"/>
      <c r="N816" s="26"/>
      <c r="O816" s="26"/>
      <c r="P816" s="26"/>
    </row>
    <row r="817" spans="1:16" ht="15.75" customHeight="1" x14ac:dyDescent="0.35">
      <c r="A817" s="960"/>
      <c r="B817" s="26"/>
      <c r="E817" s="26"/>
      <c r="F817" s="61"/>
      <c r="G817" s="26"/>
      <c r="H817" s="26"/>
      <c r="I817" s="26"/>
      <c r="J817" s="26"/>
      <c r="K817" s="26"/>
      <c r="L817" s="26"/>
      <c r="M817" s="26"/>
      <c r="N817" s="26"/>
      <c r="O817" s="26"/>
      <c r="P817" s="26"/>
    </row>
    <row r="818" spans="1:16" ht="15.75" customHeight="1" x14ac:dyDescent="0.35">
      <c r="A818" s="960"/>
      <c r="B818" s="26"/>
      <c r="E818" s="26"/>
      <c r="F818" s="61"/>
      <c r="G818" s="26"/>
      <c r="H818" s="26"/>
      <c r="I818" s="26"/>
      <c r="J818" s="26"/>
      <c r="K818" s="26"/>
      <c r="L818" s="26"/>
      <c r="M818" s="26"/>
      <c r="N818" s="26"/>
      <c r="O818" s="26"/>
      <c r="P818" s="26"/>
    </row>
    <row r="819" spans="1:16" ht="15.75" customHeight="1" x14ac:dyDescent="0.35">
      <c r="A819" s="960"/>
      <c r="B819" s="26"/>
      <c r="E819" s="26"/>
      <c r="F819" s="61"/>
      <c r="G819" s="26"/>
      <c r="H819" s="26"/>
      <c r="I819" s="26"/>
      <c r="J819" s="26"/>
      <c r="K819" s="26"/>
      <c r="L819" s="26"/>
      <c r="M819" s="26"/>
      <c r="N819" s="26"/>
      <c r="O819" s="26"/>
      <c r="P819" s="26"/>
    </row>
    <row r="820" spans="1:16" ht="15.75" customHeight="1" x14ac:dyDescent="0.35">
      <c r="A820" s="960"/>
      <c r="B820" s="26"/>
      <c r="E820" s="26"/>
      <c r="F820" s="61"/>
      <c r="G820" s="26"/>
      <c r="H820" s="26"/>
      <c r="I820" s="26"/>
      <c r="J820" s="26"/>
      <c r="K820" s="26"/>
      <c r="L820" s="26"/>
      <c r="M820" s="26"/>
      <c r="N820" s="26"/>
      <c r="O820" s="26"/>
      <c r="P820" s="26"/>
    </row>
    <row r="821" spans="1:16" ht="15.75" customHeight="1" x14ac:dyDescent="0.35">
      <c r="A821" s="960"/>
      <c r="B821" s="26"/>
      <c r="E821" s="26"/>
      <c r="F821" s="61"/>
      <c r="G821" s="26"/>
      <c r="H821" s="26"/>
      <c r="I821" s="26"/>
      <c r="J821" s="26"/>
      <c r="K821" s="26"/>
      <c r="L821" s="26"/>
      <c r="M821" s="26"/>
      <c r="N821" s="26"/>
      <c r="O821" s="26"/>
      <c r="P821" s="26"/>
    </row>
    <row r="822" spans="1:16" ht="15.75" customHeight="1" x14ac:dyDescent="0.35">
      <c r="A822" s="960"/>
      <c r="B822" s="26"/>
      <c r="E822" s="26"/>
      <c r="F822" s="61"/>
      <c r="G822" s="26"/>
      <c r="H822" s="26"/>
      <c r="I822" s="26"/>
      <c r="J822" s="26"/>
      <c r="K822" s="26"/>
      <c r="L822" s="26"/>
      <c r="M822" s="26"/>
      <c r="N822" s="26"/>
      <c r="O822" s="26"/>
      <c r="P822" s="26"/>
    </row>
    <row r="823" spans="1:16" ht="15.75" customHeight="1" x14ac:dyDescent="0.35">
      <c r="A823" s="960"/>
      <c r="B823" s="26"/>
      <c r="E823" s="26"/>
      <c r="F823" s="61"/>
      <c r="G823" s="26"/>
      <c r="H823" s="26"/>
      <c r="I823" s="26"/>
      <c r="J823" s="26"/>
      <c r="K823" s="26"/>
      <c r="L823" s="26"/>
      <c r="M823" s="26"/>
      <c r="N823" s="26"/>
      <c r="O823" s="26"/>
      <c r="P823" s="26"/>
    </row>
    <row r="824" spans="1:16" ht="15.75" customHeight="1" x14ac:dyDescent="0.35">
      <c r="A824" s="960"/>
      <c r="B824" s="26"/>
      <c r="E824" s="26"/>
      <c r="F824" s="61"/>
      <c r="G824" s="26"/>
      <c r="H824" s="26"/>
      <c r="I824" s="26"/>
      <c r="J824" s="26"/>
      <c r="K824" s="26"/>
      <c r="L824" s="26"/>
      <c r="M824" s="26"/>
      <c r="N824" s="26"/>
      <c r="O824" s="26"/>
      <c r="P824" s="26"/>
    </row>
    <row r="825" spans="1:16" ht="15.75" customHeight="1" x14ac:dyDescent="0.35">
      <c r="A825" s="960"/>
      <c r="B825" s="26"/>
      <c r="E825" s="26"/>
      <c r="F825" s="61"/>
      <c r="G825" s="26"/>
      <c r="H825" s="26"/>
      <c r="I825" s="26"/>
      <c r="J825" s="26"/>
      <c r="K825" s="26"/>
      <c r="L825" s="26"/>
      <c r="M825" s="26"/>
      <c r="N825" s="26"/>
      <c r="O825" s="26"/>
      <c r="P825" s="26"/>
    </row>
    <row r="826" spans="1:16" ht="15.75" customHeight="1" x14ac:dyDescent="0.35">
      <c r="A826" s="960"/>
      <c r="B826" s="26"/>
      <c r="E826" s="26"/>
      <c r="F826" s="61"/>
      <c r="G826" s="26"/>
      <c r="H826" s="26"/>
      <c r="I826" s="26"/>
      <c r="J826" s="26"/>
      <c r="K826" s="26"/>
      <c r="L826" s="26"/>
      <c r="M826" s="26"/>
      <c r="N826" s="26"/>
      <c r="O826" s="26"/>
      <c r="P826" s="26"/>
    </row>
    <row r="827" spans="1:16" ht="15.75" customHeight="1" x14ac:dyDescent="0.35">
      <c r="A827" s="960"/>
      <c r="B827" s="26"/>
      <c r="E827" s="26"/>
      <c r="F827" s="61"/>
      <c r="G827" s="26"/>
      <c r="H827" s="26"/>
      <c r="I827" s="26"/>
      <c r="J827" s="26"/>
      <c r="K827" s="26"/>
      <c r="L827" s="26"/>
      <c r="M827" s="26"/>
      <c r="N827" s="26"/>
      <c r="O827" s="26"/>
      <c r="P827" s="26"/>
    </row>
    <row r="828" spans="1:16" ht="15.75" customHeight="1" x14ac:dyDescent="0.35">
      <c r="A828" s="960"/>
      <c r="B828" s="26"/>
      <c r="E828" s="26"/>
      <c r="F828" s="61"/>
      <c r="G828" s="26"/>
      <c r="H828" s="26"/>
      <c r="I828" s="26"/>
      <c r="J828" s="26"/>
      <c r="K828" s="26"/>
      <c r="L828" s="26"/>
      <c r="M828" s="26"/>
      <c r="N828" s="26"/>
      <c r="O828" s="26"/>
      <c r="P828" s="26"/>
    </row>
    <row r="829" spans="1:16" ht="15.75" customHeight="1" x14ac:dyDescent="0.35">
      <c r="A829" s="960"/>
      <c r="B829" s="26"/>
      <c r="E829" s="26"/>
      <c r="F829" s="61"/>
      <c r="G829" s="26"/>
      <c r="H829" s="26"/>
      <c r="I829" s="26"/>
      <c r="J829" s="26"/>
      <c r="K829" s="26"/>
      <c r="L829" s="26"/>
      <c r="M829" s="26"/>
      <c r="N829" s="26"/>
      <c r="O829" s="26"/>
      <c r="P829" s="26"/>
    </row>
    <row r="830" spans="1:16" ht="15.75" customHeight="1" x14ac:dyDescent="0.35">
      <c r="A830" s="960"/>
      <c r="B830" s="26"/>
      <c r="E830" s="26"/>
      <c r="F830" s="61"/>
      <c r="G830" s="26"/>
      <c r="H830" s="26"/>
      <c r="I830" s="26"/>
      <c r="J830" s="26"/>
      <c r="K830" s="26"/>
      <c r="L830" s="26"/>
      <c r="M830" s="26"/>
      <c r="N830" s="26"/>
      <c r="O830" s="26"/>
      <c r="P830" s="26"/>
    </row>
    <row r="831" spans="1:16" ht="15.75" customHeight="1" x14ac:dyDescent="0.35">
      <c r="A831" s="960"/>
      <c r="B831" s="26"/>
      <c r="E831" s="26"/>
      <c r="F831" s="61"/>
      <c r="G831" s="26"/>
      <c r="H831" s="26"/>
      <c r="I831" s="26"/>
      <c r="J831" s="26"/>
      <c r="K831" s="26"/>
      <c r="L831" s="26"/>
      <c r="M831" s="26"/>
      <c r="N831" s="26"/>
      <c r="O831" s="26"/>
      <c r="P831" s="26"/>
    </row>
    <row r="832" spans="1:16" ht="15.75" customHeight="1" x14ac:dyDescent="0.35">
      <c r="A832" s="960"/>
      <c r="B832" s="26"/>
      <c r="E832" s="26"/>
      <c r="F832" s="61"/>
      <c r="G832" s="26"/>
      <c r="H832" s="26"/>
      <c r="I832" s="26"/>
      <c r="J832" s="26"/>
      <c r="K832" s="26"/>
      <c r="L832" s="26"/>
      <c r="M832" s="26"/>
      <c r="N832" s="26"/>
      <c r="O832" s="26"/>
      <c r="P832" s="26"/>
    </row>
    <row r="833" spans="1:16" ht="15.75" customHeight="1" x14ac:dyDescent="0.35">
      <c r="A833" s="960"/>
      <c r="B833" s="26"/>
      <c r="E833" s="26"/>
      <c r="F833" s="61"/>
      <c r="G833" s="26"/>
      <c r="H833" s="26"/>
      <c r="I833" s="26"/>
      <c r="J833" s="26"/>
      <c r="K833" s="26"/>
      <c r="L833" s="26"/>
      <c r="M833" s="26"/>
      <c r="N833" s="26"/>
      <c r="O833" s="26"/>
      <c r="P833" s="26"/>
    </row>
    <row r="834" spans="1:16" ht="15.75" customHeight="1" x14ac:dyDescent="0.35">
      <c r="A834" s="960"/>
      <c r="B834" s="26"/>
      <c r="E834" s="26"/>
      <c r="F834" s="61"/>
      <c r="G834" s="26"/>
      <c r="H834" s="26"/>
      <c r="I834" s="26"/>
      <c r="J834" s="26"/>
      <c r="K834" s="26"/>
      <c r="L834" s="26"/>
      <c r="M834" s="26"/>
      <c r="N834" s="26"/>
      <c r="O834" s="26"/>
      <c r="P834" s="26"/>
    </row>
    <row r="835" spans="1:16" ht="15.75" customHeight="1" x14ac:dyDescent="0.35">
      <c r="A835" s="960"/>
      <c r="B835" s="26"/>
      <c r="E835" s="26"/>
      <c r="F835" s="61"/>
      <c r="G835" s="26"/>
      <c r="H835" s="26"/>
      <c r="I835" s="26"/>
      <c r="J835" s="26"/>
      <c r="K835" s="26"/>
      <c r="L835" s="26"/>
      <c r="M835" s="26"/>
      <c r="N835" s="26"/>
      <c r="O835" s="26"/>
      <c r="P835" s="26"/>
    </row>
    <row r="836" spans="1:16" ht="15.75" customHeight="1" x14ac:dyDescent="0.35">
      <c r="A836" s="960"/>
      <c r="B836" s="26"/>
      <c r="E836" s="26"/>
      <c r="F836" s="61"/>
      <c r="G836" s="26"/>
      <c r="H836" s="26"/>
      <c r="I836" s="26"/>
      <c r="J836" s="26"/>
      <c r="K836" s="26"/>
      <c r="L836" s="26"/>
      <c r="M836" s="26"/>
      <c r="N836" s="26"/>
      <c r="O836" s="26"/>
      <c r="P836" s="26"/>
    </row>
    <row r="837" spans="1:16" ht="15.75" customHeight="1" x14ac:dyDescent="0.35">
      <c r="A837" s="960"/>
      <c r="B837" s="26"/>
      <c r="E837" s="26"/>
      <c r="F837" s="61"/>
      <c r="G837" s="26"/>
      <c r="H837" s="26"/>
      <c r="I837" s="26"/>
      <c r="J837" s="26"/>
      <c r="K837" s="26"/>
      <c r="L837" s="26"/>
      <c r="M837" s="26"/>
      <c r="N837" s="26"/>
      <c r="O837" s="26"/>
      <c r="P837" s="26"/>
    </row>
    <row r="838" spans="1:16" ht="15.75" customHeight="1" x14ac:dyDescent="0.35">
      <c r="A838" s="960"/>
      <c r="B838" s="26"/>
      <c r="E838" s="26"/>
      <c r="F838" s="61"/>
      <c r="G838" s="26"/>
      <c r="H838" s="26"/>
      <c r="I838" s="26"/>
      <c r="J838" s="26"/>
      <c r="K838" s="26"/>
      <c r="L838" s="26"/>
      <c r="M838" s="26"/>
      <c r="N838" s="26"/>
      <c r="O838" s="26"/>
      <c r="P838" s="26"/>
    </row>
    <row r="839" spans="1:16" ht="15.75" customHeight="1" x14ac:dyDescent="0.35">
      <c r="A839" s="960"/>
      <c r="B839" s="26"/>
      <c r="E839" s="26"/>
      <c r="F839" s="61"/>
      <c r="G839" s="26"/>
      <c r="H839" s="26"/>
      <c r="I839" s="26"/>
      <c r="J839" s="26"/>
      <c r="K839" s="26"/>
      <c r="L839" s="26"/>
      <c r="M839" s="26"/>
      <c r="N839" s="26"/>
      <c r="O839" s="26"/>
      <c r="P839" s="26"/>
    </row>
    <row r="840" spans="1:16" ht="15.75" customHeight="1" x14ac:dyDescent="0.35">
      <c r="A840" s="960"/>
      <c r="B840" s="26"/>
      <c r="E840" s="26"/>
      <c r="F840" s="61"/>
      <c r="G840" s="26"/>
      <c r="H840" s="26"/>
      <c r="I840" s="26"/>
      <c r="J840" s="26"/>
      <c r="K840" s="26"/>
      <c r="L840" s="26"/>
      <c r="M840" s="26"/>
      <c r="N840" s="26"/>
      <c r="O840" s="26"/>
      <c r="P840" s="26"/>
    </row>
    <row r="841" spans="1:16" ht="15.75" customHeight="1" x14ac:dyDescent="0.35">
      <c r="A841" s="960"/>
      <c r="B841" s="26"/>
      <c r="E841" s="26"/>
      <c r="F841" s="61"/>
      <c r="G841" s="26"/>
      <c r="H841" s="26"/>
      <c r="I841" s="26"/>
      <c r="J841" s="26"/>
      <c r="K841" s="26"/>
      <c r="L841" s="26"/>
      <c r="M841" s="26"/>
      <c r="N841" s="26"/>
      <c r="O841" s="26"/>
      <c r="P841" s="26"/>
    </row>
    <row r="842" spans="1:16" ht="15.75" customHeight="1" x14ac:dyDescent="0.35">
      <c r="A842" s="960"/>
      <c r="B842" s="26"/>
      <c r="E842" s="26"/>
      <c r="F842" s="61"/>
      <c r="G842" s="26"/>
      <c r="H842" s="26"/>
      <c r="I842" s="26"/>
      <c r="J842" s="26"/>
      <c r="K842" s="26"/>
      <c r="L842" s="26"/>
      <c r="M842" s="26"/>
      <c r="N842" s="26"/>
      <c r="O842" s="26"/>
      <c r="P842" s="26"/>
    </row>
    <row r="843" spans="1:16" ht="15.75" customHeight="1" x14ac:dyDescent="0.35">
      <c r="A843" s="960"/>
      <c r="B843" s="26"/>
      <c r="E843" s="26"/>
      <c r="F843" s="61"/>
      <c r="G843" s="26"/>
      <c r="H843" s="26"/>
      <c r="I843" s="26"/>
      <c r="J843" s="26"/>
      <c r="K843" s="26"/>
      <c r="L843" s="26"/>
      <c r="M843" s="26"/>
      <c r="N843" s="26"/>
      <c r="O843" s="26"/>
      <c r="P843" s="26"/>
    </row>
    <row r="844" spans="1:16" ht="15.75" customHeight="1" x14ac:dyDescent="0.35">
      <c r="A844" s="960"/>
      <c r="B844" s="26"/>
      <c r="E844" s="26"/>
      <c r="F844" s="61"/>
      <c r="G844" s="26"/>
      <c r="H844" s="26"/>
      <c r="I844" s="26"/>
      <c r="J844" s="26"/>
      <c r="K844" s="26"/>
      <c r="L844" s="26"/>
      <c r="M844" s="26"/>
      <c r="N844" s="26"/>
      <c r="O844" s="26"/>
      <c r="P844" s="26"/>
    </row>
    <row r="845" spans="1:16" ht="15.75" customHeight="1" x14ac:dyDescent="0.35">
      <c r="A845" s="960"/>
      <c r="B845" s="26"/>
      <c r="E845" s="26"/>
      <c r="F845" s="61"/>
      <c r="G845" s="26"/>
      <c r="H845" s="26"/>
      <c r="I845" s="26"/>
      <c r="J845" s="26"/>
      <c r="K845" s="26"/>
      <c r="L845" s="26"/>
      <c r="M845" s="26"/>
      <c r="N845" s="26"/>
      <c r="O845" s="26"/>
      <c r="P845" s="26"/>
    </row>
    <row r="846" spans="1:16" ht="15.75" customHeight="1" x14ac:dyDescent="0.35">
      <c r="A846" s="960"/>
      <c r="B846" s="26"/>
      <c r="E846" s="26"/>
      <c r="F846" s="61"/>
      <c r="G846" s="26"/>
      <c r="H846" s="26"/>
      <c r="I846" s="26"/>
      <c r="J846" s="26"/>
      <c r="K846" s="26"/>
      <c r="L846" s="26"/>
      <c r="M846" s="26"/>
      <c r="N846" s="26"/>
      <c r="O846" s="26"/>
      <c r="P846" s="26"/>
    </row>
    <row r="847" spans="1:16" ht="15.75" customHeight="1" x14ac:dyDescent="0.35">
      <c r="A847" s="960"/>
      <c r="B847" s="26"/>
      <c r="E847" s="26"/>
      <c r="F847" s="61"/>
      <c r="G847" s="26"/>
      <c r="H847" s="26"/>
      <c r="I847" s="26"/>
      <c r="J847" s="26"/>
      <c r="K847" s="26"/>
      <c r="L847" s="26"/>
      <c r="M847" s="26"/>
      <c r="N847" s="26"/>
      <c r="O847" s="26"/>
      <c r="P847" s="26"/>
    </row>
    <row r="848" spans="1:16" ht="15.75" customHeight="1" x14ac:dyDescent="0.35">
      <c r="A848" s="960"/>
      <c r="B848" s="26"/>
      <c r="E848" s="26"/>
      <c r="F848" s="61"/>
      <c r="G848" s="26"/>
      <c r="H848" s="26"/>
      <c r="I848" s="26"/>
      <c r="J848" s="26"/>
      <c r="K848" s="26"/>
      <c r="L848" s="26"/>
      <c r="M848" s="26"/>
      <c r="N848" s="26"/>
      <c r="O848" s="26"/>
      <c r="P848" s="26"/>
    </row>
    <row r="849" spans="1:16" ht="15.75" customHeight="1" x14ac:dyDescent="0.35">
      <c r="A849" s="960"/>
      <c r="B849" s="26"/>
      <c r="E849" s="26"/>
      <c r="F849" s="61"/>
      <c r="G849" s="26"/>
      <c r="H849" s="26"/>
      <c r="I849" s="26"/>
      <c r="J849" s="26"/>
      <c r="K849" s="26"/>
      <c r="L849" s="26"/>
      <c r="M849" s="26"/>
      <c r="N849" s="26"/>
      <c r="O849" s="26"/>
      <c r="P849" s="26"/>
    </row>
    <row r="850" spans="1:16" ht="15.75" customHeight="1" x14ac:dyDescent="0.35">
      <c r="A850" s="960"/>
      <c r="B850" s="26"/>
      <c r="E850" s="26"/>
      <c r="F850" s="61"/>
      <c r="G850" s="26"/>
      <c r="H850" s="26"/>
      <c r="I850" s="26"/>
      <c r="J850" s="26"/>
      <c r="K850" s="26"/>
      <c r="L850" s="26"/>
      <c r="M850" s="26"/>
      <c r="N850" s="26"/>
      <c r="O850" s="26"/>
      <c r="P850" s="26"/>
    </row>
    <row r="851" spans="1:16" ht="15.75" customHeight="1" x14ac:dyDescent="0.35">
      <c r="A851" s="960"/>
      <c r="B851" s="26"/>
      <c r="E851" s="26"/>
      <c r="F851" s="61"/>
      <c r="G851" s="26"/>
      <c r="H851" s="26"/>
      <c r="I851" s="26"/>
      <c r="J851" s="26"/>
      <c r="K851" s="26"/>
      <c r="L851" s="26"/>
      <c r="M851" s="26"/>
      <c r="N851" s="26"/>
      <c r="O851" s="26"/>
      <c r="P851" s="26"/>
    </row>
    <row r="852" spans="1:16" ht="15.75" customHeight="1" x14ac:dyDescent="0.35">
      <c r="A852" s="960"/>
      <c r="B852" s="26"/>
      <c r="E852" s="26"/>
      <c r="F852" s="61"/>
      <c r="G852" s="26"/>
      <c r="H852" s="26"/>
      <c r="I852" s="26"/>
      <c r="J852" s="26"/>
      <c r="K852" s="26"/>
      <c r="L852" s="26"/>
      <c r="M852" s="26"/>
      <c r="N852" s="26"/>
      <c r="O852" s="26"/>
      <c r="P852" s="26"/>
    </row>
    <row r="853" spans="1:16" ht="15.75" customHeight="1" x14ac:dyDescent="0.35">
      <c r="A853" s="960"/>
      <c r="B853" s="26"/>
      <c r="E853" s="26"/>
      <c r="F853" s="61"/>
      <c r="G853" s="26"/>
      <c r="H853" s="26"/>
      <c r="I853" s="26"/>
      <c r="J853" s="26"/>
      <c r="K853" s="26"/>
      <c r="L853" s="26"/>
      <c r="M853" s="26"/>
      <c r="N853" s="26"/>
      <c r="O853" s="26"/>
      <c r="P853" s="26"/>
    </row>
    <row r="854" spans="1:16" ht="15.75" customHeight="1" x14ac:dyDescent="0.35">
      <c r="A854" s="960"/>
      <c r="B854" s="26"/>
      <c r="E854" s="26"/>
      <c r="F854" s="61"/>
      <c r="G854" s="26"/>
      <c r="H854" s="26"/>
      <c r="I854" s="26"/>
      <c r="J854" s="26"/>
      <c r="K854" s="26"/>
      <c r="L854" s="26"/>
      <c r="M854" s="26"/>
      <c r="N854" s="26"/>
      <c r="O854" s="26"/>
      <c r="P854" s="26"/>
    </row>
    <row r="855" spans="1:16" ht="15.75" customHeight="1" x14ac:dyDescent="0.35">
      <c r="A855" s="960"/>
      <c r="B855" s="26"/>
      <c r="E855" s="26"/>
      <c r="F855" s="61"/>
      <c r="G855" s="26"/>
      <c r="H855" s="26"/>
      <c r="I855" s="26"/>
      <c r="J855" s="26"/>
      <c r="K855" s="26"/>
      <c r="L855" s="26"/>
      <c r="M855" s="26"/>
      <c r="N855" s="26"/>
      <c r="O855" s="26"/>
      <c r="P855" s="26"/>
    </row>
    <row r="856" spans="1:16" ht="15.75" customHeight="1" x14ac:dyDescent="0.35">
      <c r="A856" s="960"/>
      <c r="B856" s="26"/>
      <c r="E856" s="26"/>
      <c r="F856" s="61"/>
      <c r="G856" s="26"/>
      <c r="H856" s="26"/>
      <c r="I856" s="26"/>
      <c r="J856" s="26"/>
      <c r="K856" s="26"/>
      <c r="L856" s="26"/>
      <c r="M856" s="26"/>
      <c r="N856" s="26"/>
      <c r="O856" s="26"/>
      <c r="P856" s="26"/>
    </row>
    <row r="857" spans="1:16" ht="15.75" customHeight="1" x14ac:dyDescent="0.35">
      <c r="A857" s="960"/>
      <c r="B857" s="26"/>
      <c r="E857" s="26"/>
      <c r="F857" s="61"/>
      <c r="G857" s="26"/>
      <c r="H857" s="26"/>
      <c r="I857" s="26"/>
      <c r="J857" s="26"/>
      <c r="K857" s="26"/>
      <c r="L857" s="26"/>
      <c r="M857" s="26"/>
      <c r="N857" s="26"/>
      <c r="O857" s="26"/>
      <c r="P857" s="26"/>
    </row>
    <row r="858" spans="1:16" ht="15.75" customHeight="1" x14ac:dyDescent="0.35">
      <c r="A858" s="960"/>
      <c r="B858" s="26"/>
      <c r="E858" s="26"/>
      <c r="F858" s="61"/>
      <c r="G858" s="26"/>
      <c r="H858" s="26"/>
      <c r="I858" s="26"/>
      <c r="J858" s="26"/>
      <c r="K858" s="26"/>
      <c r="L858" s="26"/>
      <c r="M858" s="26"/>
      <c r="N858" s="26"/>
      <c r="O858" s="26"/>
      <c r="P858" s="26"/>
    </row>
    <row r="859" spans="1:16" ht="15.75" customHeight="1" x14ac:dyDescent="0.35">
      <c r="A859" s="960"/>
      <c r="B859" s="26"/>
      <c r="E859" s="26"/>
      <c r="F859" s="61"/>
      <c r="G859" s="26"/>
      <c r="H859" s="26"/>
      <c r="I859" s="26"/>
      <c r="J859" s="26"/>
      <c r="K859" s="26"/>
      <c r="L859" s="26"/>
      <c r="M859" s="26"/>
      <c r="N859" s="26"/>
      <c r="O859" s="26"/>
      <c r="P859" s="26"/>
    </row>
    <row r="860" spans="1:16" ht="15.75" customHeight="1" x14ac:dyDescent="0.35">
      <c r="A860" s="960"/>
      <c r="B860" s="26"/>
      <c r="E860" s="26"/>
      <c r="F860" s="61"/>
      <c r="G860" s="26"/>
      <c r="H860" s="26"/>
      <c r="I860" s="26"/>
      <c r="J860" s="26"/>
      <c r="K860" s="26"/>
      <c r="L860" s="26"/>
      <c r="M860" s="26"/>
      <c r="N860" s="26"/>
      <c r="O860" s="26"/>
      <c r="P860" s="26"/>
    </row>
    <row r="861" spans="1:16" ht="15.75" customHeight="1" x14ac:dyDescent="0.35">
      <c r="A861" s="960"/>
      <c r="B861" s="26"/>
      <c r="E861" s="26"/>
      <c r="F861" s="61"/>
      <c r="G861" s="26"/>
      <c r="H861" s="26"/>
      <c r="I861" s="26"/>
      <c r="J861" s="26"/>
      <c r="K861" s="26"/>
      <c r="L861" s="26"/>
      <c r="M861" s="26"/>
      <c r="N861" s="26"/>
      <c r="O861" s="26"/>
      <c r="P861" s="26"/>
    </row>
    <row r="862" spans="1:16" ht="15.75" customHeight="1" x14ac:dyDescent="0.35">
      <c r="A862" s="960"/>
      <c r="B862" s="26"/>
      <c r="E862" s="26"/>
      <c r="F862" s="61"/>
      <c r="G862" s="26"/>
      <c r="H862" s="26"/>
      <c r="I862" s="26"/>
      <c r="J862" s="26"/>
      <c r="K862" s="26"/>
      <c r="L862" s="26"/>
      <c r="M862" s="26"/>
      <c r="N862" s="26"/>
      <c r="O862" s="26"/>
      <c r="P862" s="26"/>
    </row>
    <row r="863" spans="1:16" ht="15.75" customHeight="1" x14ac:dyDescent="0.35">
      <c r="A863" s="960"/>
      <c r="B863" s="26"/>
      <c r="E863" s="26"/>
      <c r="F863" s="61"/>
      <c r="G863" s="26"/>
      <c r="H863" s="26"/>
      <c r="I863" s="26"/>
      <c r="J863" s="26"/>
      <c r="K863" s="26"/>
      <c r="L863" s="26"/>
      <c r="M863" s="26"/>
      <c r="N863" s="26"/>
      <c r="O863" s="26"/>
      <c r="P863" s="26"/>
    </row>
    <row r="864" spans="1:16" ht="15.75" customHeight="1" x14ac:dyDescent="0.35">
      <c r="A864" s="960"/>
      <c r="B864" s="26"/>
      <c r="E864" s="26"/>
      <c r="F864" s="61"/>
      <c r="G864" s="26"/>
      <c r="H864" s="26"/>
      <c r="I864" s="26"/>
      <c r="J864" s="26"/>
      <c r="K864" s="26"/>
      <c r="L864" s="26"/>
      <c r="M864" s="26"/>
      <c r="N864" s="26"/>
      <c r="O864" s="26"/>
      <c r="P864" s="26"/>
    </row>
    <row r="865" spans="1:16" ht="15.75" customHeight="1" x14ac:dyDescent="0.35">
      <c r="A865" s="960"/>
      <c r="B865" s="26"/>
      <c r="E865" s="26"/>
      <c r="F865" s="61"/>
      <c r="G865" s="26"/>
      <c r="H865" s="26"/>
      <c r="I865" s="26"/>
      <c r="J865" s="26"/>
      <c r="K865" s="26"/>
      <c r="L865" s="26"/>
      <c r="M865" s="26"/>
      <c r="N865" s="26"/>
      <c r="O865" s="26"/>
      <c r="P865" s="26"/>
    </row>
    <row r="866" spans="1:16" ht="15.75" customHeight="1" x14ac:dyDescent="0.35">
      <c r="A866" s="960"/>
      <c r="B866" s="26"/>
      <c r="E866" s="26"/>
      <c r="F866" s="61"/>
      <c r="G866" s="26"/>
      <c r="H866" s="26"/>
      <c r="I866" s="26"/>
      <c r="J866" s="26"/>
      <c r="K866" s="26"/>
      <c r="L866" s="26"/>
      <c r="M866" s="26"/>
      <c r="N866" s="26"/>
      <c r="O866" s="26"/>
      <c r="P866" s="26"/>
    </row>
    <row r="867" spans="1:16" ht="15.75" customHeight="1" x14ac:dyDescent="0.35">
      <c r="A867" s="960"/>
      <c r="B867" s="26"/>
      <c r="E867" s="26"/>
      <c r="F867" s="61"/>
      <c r="G867" s="26"/>
      <c r="H867" s="26"/>
      <c r="I867" s="26"/>
      <c r="J867" s="26"/>
      <c r="K867" s="26"/>
      <c r="L867" s="26"/>
      <c r="M867" s="26"/>
      <c r="N867" s="26"/>
      <c r="O867" s="26"/>
      <c r="P867" s="26"/>
    </row>
    <row r="868" spans="1:16" ht="15.75" customHeight="1" x14ac:dyDescent="0.35">
      <c r="A868" s="960"/>
      <c r="B868" s="26"/>
      <c r="E868" s="26"/>
      <c r="F868" s="61"/>
      <c r="G868" s="26"/>
      <c r="H868" s="26"/>
      <c r="I868" s="26"/>
      <c r="J868" s="26"/>
      <c r="K868" s="26"/>
      <c r="L868" s="26"/>
      <c r="M868" s="26"/>
      <c r="N868" s="26"/>
      <c r="O868" s="26"/>
      <c r="P868" s="26"/>
    </row>
    <row r="869" spans="1:16" ht="15.75" customHeight="1" x14ac:dyDescent="0.35">
      <c r="A869" s="960"/>
      <c r="B869" s="26"/>
      <c r="E869" s="26"/>
      <c r="F869" s="61"/>
      <c r="G869" s="26"/>
      <c r="H869" s="26"/>
      <c r="I869" s="26"/>
      <c r="J869" s="26"/>
      <c r="K869" s="26"/>
      <c r="L869" s="26"/>
      <c r="M869" s="26"/>
      <c r="N869" s="26"/>
      <c r="O869" s="26"/>
      <c r="P869" s="26"/>
    </row>
    <row r="870" spans="1:16" ht="15.75" customHeight="1" x14ac:dyDescent="0.35">
      <c r="A870" s="960"/>
      <c r="B870" s="26"/>
      <c r="E870" s="26"/>
      <c r="F870" s="61"/>
      <c r="G870" s="26"/>
      <c r="H870" s="26"/>
      <c r="I870" s="26"/>
      <c r="J870" s="26"/>
      <c r="K870" s="26"/>
      <c r="L870" s="26"/>
      <c r="M870" s="26"/>
      <c r="N870" s="26"/>
      <c r="O870" s="26"/>
      <c r="P870" s="26"/>
    </row>
    <row r="871" spans="1:16" ht="15.75" customHeight="1" x14ac:dyDescent="0.35">
      <c r="A871" s="960"/>
      <c r="B871" s="26"/>
      <c r="E871" s="26"/>
      <c r="F871" s="61"/>
      <c r="G871" s="26"/>
      <c r="H871" s="26"/>
      <c r="I871" s="26"/>
      <c r="J871" s="26"/>
      <c r="K871" s="26"/>
      <c r="L871" s="26"/>
      <c r="M871" s="26"/>
      <c r="N871" s="26"/>
      <c r="O871" s="26"/>
      <c r="P871" s="26"/>
    </row>
    <row r="872" spans="1:16" ht="15.75" customHeight="1" x14ac:dyDescent="0.35">
      <c r="A872" s="960"/>
      <c r="B872" s="26"/>
      <c r="E872" s="26"/>
      <c r="F872" s="61"/>
      <c r="G872" s="26"/>
      <c r="H872" s="26"/>
      <c r="I872" s="26"/>
      <c r="J872" s="26"/>
      <c r="K872" s="26"/>
      <c r="L872" s="26"/>
      <c r="M872" s="26"/>
      <c r="N872" s="26"/>
      <c r="O872" s="26"/>
      <c r="P872" s="26"/>
    </row>
    <row r="873" spans="1:16" ht="15.75" customHeight="1" x14ac:dyDescent="0.35">
      <c r="A873" s="960"/>
      <c r="B873" s="26"/>
      <c r="E873" s="26"/>
      <c r="F873" s="61"/>
      <c r="G873" s="26"/>
      <c r="H873" s="26"/>
      <c r="I873" s="26"/>
      <c r="J873" s="26"/>
      <c r="K873" s="26"/>
      <c r="L873" s="26"/>
      <c r="M873" s="26"/>
      <c r="N873" s="26"/>
      <c r="O873" s="26"/>
      <c r="P873" s="26"/>
    </row>
    <row r="874" spans="1:16" ht="15.75" customHeight="1" x14ac:dyDescent="0.35">
      <c r="A874" s="960"/>
      <c r="B874" s="26"/>
      <c r="E874" s="26"/>
      <c r="F874" s="61"/>
      <c r="G874" s="26"/>
      <c r="H874" s="26"/>
      <c r="I874" s="26"/>
      <c r="J874" s="26"/>
      <c r="K874" s="26"/>
      <c r="L874" s="26"/>
      <c r="M874" s="26"/>
      <c r="N874" s="26"/>
      <c r="O874" s="26"/>
      <c r="P874" s="26"/>
    </row>
    <row r="875" spans="1:16" ht="15.75" customHeight="1" x14ac:dyDescent="0.35">
      <c r="A875" s="960"/>
      <c r="B875" s="26"/>
      <c r="E875" s="26"/>
      <c r="F875" s="61"/>
      <c r="G875" s="26"/>
      <c r="H875" s="26"/>
      <c r="I875" s="26"/>
      <c r="J875" s="26"/>
      <c r="K875" s="26"/>
      <c r="L875" s="26"/>
      <c r="M875" s="26"/>
      <c r="N875" s="26"/>
      <c r="O875" s="26"/>
      <c r="P875" s="26"/>
    </row>
    <row r="876" spans="1:16" ht="15.75" customHeight="1" x14ac:dyDescent="0.35">
      <c r="A876" s="960"/>
      <c r="B876" s="26"/>
      <c r="E876" s="26"/>
      <c r="F876" s="61"/>
      <c r="G876" s="26"/>
      <c r="H876" s="26"/>
      <c r="I876" s="26"/>
      <c r="J876" s="26"/>
      <c r="K876" s="26"/>
      <c r="L876" s="26"/>
      <c r="M876" s="26"/>
      <c r="N876" s="26"/>
      <c r="O876" s="26"/>
      <c r="P876" s="26"/>
    </row>
    <row r="877" spans="1:16" ht="15.75" customHeight="1" x14ac:dyDescent="0.35">
      <c r="A877" s="960"/>
      <c r="B877" s="26"/>
      <c r="E877" s="26"/>
      <c r="F877" s="61"/>
      <c r="G877" s="26"/>
      <c r="H877" s="26"/>
      <c r="I877" s="26"/>
      <c r="J877" s="26"/>
      <c r="K877" s="26"/>
      <c r="L877" s="26"/>
      <c r="M877" s="26"/>
      <c r="N877" s="26"/>
      <c r="O877" s="26"/>
      <c r="P877" s="26"/>
    </row>
    <row r="878" spans="1:16" ht="15.75" customHeight="1" x14ac:dyDescent="0.35">
      <c r="A878" s="960"/>
      <c r="B878" s="26"/>
      <c r="E878" s="26"/>
      <c r="F878" s="61"/>
      <c r="G878" s="26"/>
      <c r="H878" s="26"/>
      <c r="I878" s="26"/>
      <c r="J878" s="26"/>
      <c r="K878" s="26"/>
      <c r="L878" s="26"/>
      <c r="M878" s="26"/>
      <c r="N878" s="26"/>
      <c r="O878" s="26"/>
      <c r="P878" s="26"/>
    </row>
    <row r="879" spans="1:16" ht="15.75" customHeight="1" x14ac:dyDescent="0.35">
      <c r="A879" s="960"/>
      <c r="B879" s="26"/>
      <c r="E879" s="26"/>
      <c r="F879" s="61"/>
      <c r="G879" s="26"/>
      <c r="H879" s="26"/>
      <c r="I879" s="26"/>
      <c r="J879" s="26"/>
      <c r="K879" s="26"/>
      <c r="L879" s="26"/>
      <c r="M879" s="26"/>
      <c r="N879" s="26"/>
      <c r="O879" s="26"/>
      <c r="P879" s="26"/>
    </row>
    <row r="880" spans="1:16" ht="15.75" customHeight="1" x14ac:dyDescent="0.35">
      <c r="A880" s="960"/>
      <c r="B880" s="26"/>
      <c r="E880" s="26"/>
      <c r="F880" s="61"/>
      <c r="G880" s="26"/>
      <c r="H880" s="26"/>
      <c r="I880" s="26"/>
      <c r="J880" s="26"/>
      <c r="K880" s="26"/>
      <c r="L880" s="26"/>
      <c r="M880" s="26"/>
      <c r="N880" s="26"/>
      <c r="O880" s="26"/>
      <c r="P880" s="26"/>
    </row>
    <row r="881" spans="1:16" ht="15.75" customHeight="1" x14ac:dyDescent="0.35">
      <c r="A881" s="960"/>
      <c r="B881" s="26"/>
      <c r="E881" s="26"/>
      <c r="F881" s="61"/>
      <c r="G881" s="26"/>
      <c r="H881" s="26"/>
      <c r="I881" s="26"/>
      <c r="J881" s="26"/>
      <c r="K881" s="26"/>
      <c r="L881" s="26"/>
      <c r="M881" s="26"/>
      <c r="N881" s="26"/>
      <c r="O881" s="26"/>
      <c r="P881" s="26"/>
    </row>
    <row r="882" spans="1:16" ht="15.75" customHeight="1" x14ac:dyDescent="0.35">
      <c r="A882" s="960"/>
      <c r="B882" s="26"/>
      <c r="E882" s="26"/>
      <c r="F882" s="61"/>
      <c r="G882" s="26"/>
      <c r="H882" s="26"/>
      <c r="I882" s="26"/>
      <c r="J882" s="26"/>
      <c r="K882" s="26"/>
      <c r="L882" s="26"/>
      <c r="M882" s="26"/>
      <c r="N882" s="26"/>
      <c r="O882" s="26"/>
      <c r="P882" s="26"/>
    </row>
    <row r="883" spans="1:16" ht="15.75" customHeight="1" x14ac:dyDescent="0.35">
      <c r="A883" s="960"/>
      <c r="B883" s="26"/>
      <c r="E883" s="26"/>
      <c r="F883" s="61"/>
      <c r="G883" s="26"/>
      <c r="H883" s="26"/>
      <c r="I883" s="26"/>
      <c r="J883" s="26"/>
      <c r="K883" s="26"/>
      <c r="L883" s="26"/>
      <c r="M883" s="26"/>
      <c r="N883" s="26"/>
      <c r="O883" s="26"/>
      <c r="P883" s="26"/>
    </row>
    <row r="884" spans="1:16" ht="15.75" customHeight="1" x14ac:dyDescent="0.35">
      <c r="A884" s="960"/>
      <c r="B884" s="26"/>
      <c r="E884" s="26"/>
      <c r="F884" s="61"/>
      <c r="G884" s="26"/>
      <c r="H884" s="26"/>
      <c r="I884" s="26"/>
      <c r="J884" s="26"/>
      <c r="K884" s="26"/>
      <c r="L884" s="26"/>
      <c r="M884" s="26"/>
      <c r="N884" s="26"/>
      <c r="O884" s="26"/>
      <c r="P884" s="26"/>
    </row>
    <row r="885" spans="1:16" ht="15.75" customHeight="1" x14ac:dyDescent="0.35">
      <c r="A885" s="960"/>
      <c r="B885" s="26"/>
      <c r="E885" s="26"/>
      <c r="F885" s="61"/>
      <c r="G885" s="26"/>
      <c r="H885" s="26"/>
      <c r="I885" s="26"/>
      <c r="J885" s="26"/>
      <c r="K885" s="26"/>
      <c r="L885" s="26"/>
      <c r="M885" s="26"/>
      <c r="N885" s="26"/>
      <c r="O885" s="26"/>
      <c r="P885" s="26"/>
    </row>
    <row r="886" spans="1:16" ht="15.75" customHeight="1" x14ac:dyDescent="0.35">
      <c r="A886" s="960"/>
      <c r="B886" s="26"/>
      <c r="E886" s="26"/>
      <c r="F886" s="61"/>
      <c r="G886" s="26"/>
      <c r="H886" s="26"/>
      <c r="I886" s="26"/>
      <c r="J886" s="26"/>
      <c r="K886" s="26"/>
      <c r="L886" s="26"/>
      <c r="M886" s="26"/>
      <c r="N886" s="26"/>
      <c r="O886" s="26"/>
      <c r="P886" s="26"/>
    </row>
    <row r="887" spans="1:16" ht="15.75" customHeight="1" x14ac:dyDescent="0.35">
      <c r="A887" s="960"/>
      <c r="B887" s="26"/>
      <c r="E887" s="26"/>
      <c r="F887" s="61"/>
      <c r="G887" s="26"/>
      <c r="H887" s="26"/>
      <c r="I887" s="26"/>
      <c r="J887" s="26"/>
      <c r="K887" s="26"/>
      <c r="L887" s="26"/>
      <c r="M887" s="26"/>
      <c r="N887" s="26"/>
      <c r="O887" s="26"/>
      <c r="P887" s="26"/>
    </row>
    <row r="888" spans="1:16" ht="15.75" customHeight="1" x14ac:dyDescent="0.35">
      <c r="A888" s="960"/>
      <c r="B888" s="26"/>
      <c r="E888" s="26"/>
      <c r="F888" s="61"/>
      <c r="G888" s="26"/>
      <c r="H888" s="26"/>
      <c r="I888" s="26"/>
      <c r="J888" s="26"/>
      <c r="K888" s="26"/>
      <c r="L888" s="26"/>
      <c r="M888" s="26"/>
      <c r="N888" s="26"/>
      <c r="O888" s="26"/>
      <c r="P888" s="26"/>
    </row>
    <row r="889" spans="1:16" ht="15.75" customHeight="1" x14ac:dyDescent="0.35">
      <c r="A889" s="960"/>
      <c r="B889" s="26"/>
      <c r="E889" s="26"/>
      <c r="F889" s="61"/>
      <c r="G889" s="26"/>
      <c r="H889" s="26"/>
      <c r="I889" s="26"/>
      <c r="J889" s="26"/>
      <c r="K889" s="26"/>
      <c r="L889" s="26"/>
      <c r="M889" s="26"/>
      <c r="N889" s="26"/>
      <c r="O889" s="26"/>
      <c r="P889" s="26"/>
    </row>
    <row r="890" spans="1:16" ht="15.75" customHeight="1" x14ac:dyDescent="0.35">
      <c r="A890" s="960"/>
      <c r="B890" s="26"/>
      <c r="E890" s="26"/>
      <c r="F890" s="61"/>
      <c r="G890" s="26"/>
      <c r="H890" s="26"/>
      <c r="I890" s="26"/>
      <c r="J890" s="26"/>
      <c r="K890" s="26"/>
      <c r="L890" s="26"/>
      <c r="M890" s="26"/>
      <c r="N890" s="26"/>
      <c r="O890" s="26"/>
      <c r="P890" s="26"/>
    </row>
    <row r="891" spans="1:16" ht="15.75" customHeight="1" x14ac:dyDescent="0.35">
      <c r="A891" s="960"/>
      <c r="B891" s="26"/>
      <c r="E891" s="26"/>
      <c r="F891" s="61"/>
      <c r="G891" s="26"/>
      <c r="H891" s="26"/>
      <c r="I891" s="26"/>
      <c r="J891" s="26"/>
      <c r="K891" s="26"/>
      <c r="L891" s="26"/>
      <c r="M891" s="26"/>
      <c r="N891" s="26"/>
      <c r="O891" s="26"/>
      <c r="P891" s="26"/>
    </row>
    <row r="892" spans="1:16" ht="15.75" customHeight="1" x14ac:dyDescent="0.35">
      <c r="A892" s="960"/>
      <c r="B892" s="26"/>
      <c r="E892" s="26"/>
      <c r="F892" s="61"/>
      <c r="G892" s="26"/>
      <c r="H892" s="26"/>
      <c r="I892" s="26"/>
      <c r="J892" s="26"/>
      <c r="K892" s="26"/>
      <c r="L892" s="26"/>
      <c r="M892" s="26"/>
      <c r="N892" s="26"/>
      <c r="O892" s="26"/>
      <c r="P892" s="26"/>
    </row>
    <row r="893" spans="1:16" ht="15.75" customHeight="1" x14ac:dyDescent="0.35">
      <c r="A893" s="960"/>
      <c r="B893" s="26"/>
      <c r="E893" s="26"/>
      <c r="F893" s="61"/>
      <c r="G893" s="26"/>
      <c r="H893" s="26"/>
      <c r="I893" s="26"/>
      <c r="J893" s="26"/>
      <c r="K893" s="26"/>
      <c r="L893" s="26"/>
      <c r="M893" s="26"/>
      <c r="N893" s="26"/>
      <c r="O893" s="26"/>
      <c r="P893" s="26"/>
    </row>
    <row r="894" spans="1:16" ht="15.75" customHeight="1" x14ac:dyDescent="0.35">
      <c r="A894" s="960"/>
      <c r="B894" s="26"/>
      <c r="E894" s="26"/>
      <c r="F894" s="61"/>
      <c r="G894" s="26"/>
      <c r="H894" s="26"/>
      <c r="I894" s="26"/>
      <c r="J894" s="26"/>
      <c r="K894" s="26"/>
      <c r="L894" s="26"/>
      <c r="M894" s="26"/>
      <c r="N894" s="26"/>
      <c r="O894" s="26"/>
      <c r="P894" s="26"/>
    </row>
    <row r="895" spans="1:16" ht="15.75" customHeight="1" x14ac:dyDescent="0.35">
      <c r="A895" s="960"/>
      <c r="B895" s="26"/>
      <c r="E895" s="26"/>
      <c r="F895" s="61"/>
      <c r="G895" s="26"/>
      <c r="H895" s="26"/>
      <c r="I895" s="26"/>
      <c r="J895" s="26"/>
      <c r="K895" s="26"/>
      <c r="L895" s="26"/>
      <c r="M895" s="26"/>
      <c r="N895" s="26"/>
      <c r="O895" s="26"/>
      <c r="P895" s="26"/>
    </row>
    <row r="896" spans="1:16" ht="15.75" customHeight="1" x14ac:dyDescent="0.35">
      <c r="A896" s="960"/>
      <c r="B896" s="26"/>
      <c r="E896" s="26"/>
      <c r="F896" s="61"/>
      <c r="G896" s="26"/>
      <c r="H896" s="26"/>
      <c r="I896" s="26"/>
      <c r="J896" s="26"/>
      <c r="K896" s="26"/>
      <c r="L896" s="26"/>
      <c r="M896" s="26"/>
      <c r="N896" s="26"/>
      <c r="O896" s="26"/>
      <c r="P896" s="26"/>
    </row>
    <row r="897" spans="1:16" ht="15.75" customHeight="1" x14ac:dyDescent="0.35">
      <c r="A897" s="960"/>
      <c r="B897" s="26"/>
      <c r="E897" s="26"/>
      <c r="F897" s="61"/>
      <c r="G897" s="26"/>
      <c r="H897" s="26"/>
      <c r="I897" s="26"/>
      <c r="J897" s="26"/>
      <c r="K897" s="26"/>
      <c r="L897" s="26"/>
      <c r="M897" s="26"/>
      <c r="N897" s="26"/>
      <c r="O897" s="26"/>
      <c r="P897" s="26"/>
    </row>
    <row r="898" spans="1:16" ht="15.75" customHeight="1" x14ac:dyDescent="0.35">
      <c r="A898" s="960"/>
      <c r="B898" s="26"/>
      <c r="E898" s="26"/>
      <c r="F898" s="61"/>
      <c r="G898" s="26"/>
      <c r="H898" s="26"/>
      <c r="I898" s="26"/>
      <c r="J898" s="26"/>
      <c r="K898" s="26"/>
      <c r="L898" s="26"/>
      <c r="M898" s="26"/>
      <c r="N898" s="26"/>
      <c r="O898" s="26"/>
      <c r="P898" s="26"/>
    </row>
    <row r="899" spans="1:16" ht="15.75" customHeight="1" x14ac:dyDescent="0.35">
      <c r="A899" s="960"/>
      <c r="B899" s="26"/>
      <c r="E899" s="26"/>
      <c r="F899" s="61"/>
      <c r="G899" s="26"/>
      <c r="H899" s="26"/>
      <c r="I899" s="26"/>
      <c r="J899" s="26"/>
      <c r="K899" s="26"/>
      <c r="L899" s="26"/>
      <c r="M899" s="26"/>
      <c r="N899" s="26"/>
      <c r="O899" s="26"/>
      <c r="P899" s="26"/>
    </row>
    <row r="900" spans="1:16" ht="15.75" customHeight="1" x14ac:dyDescent="0.35">
      <c r="A900" s="960"/>
      <c r="B900" s="26"/>
      <c r="E900" s="26"/>
      <c r="F900" s="61"/>
      <c r="G900" s="26"/>
      <c r="H900" s="26"/>
      <c r="I900" s="26"/>
      <c r="J900" s="26"/>
      <c r="K900" s="26"/>
      <c r="L900" s="26"/>
      <c r="M900" s="26"/>
      <c r="N900" s="26"/>
      <c r="O900" s="26"/>
      <c r="P900" s="26"/>
    </row>
    <row r="901" spans="1:16" ht="15.75" customHeight="1" x14ac:dyDescent="0.35">
      <c r="A901" s="960"/>
      <c r="B901" s="26"/>
      <c r="E901" s="26"/>
      <c r="F901" s="61"/>
      <c r="G901" s="26"/>
      <c r="H901" s="26"/>
      <c r="I901" s="26"/>
      <c r="J901" s="26"/>
      <c r="K901" s="26"/>
      <c r="L901" s="26"/>
      <c r="M901" s="26"/>
      <c r="N901" s="26"/>
      <c r="O901" s="26"/>
      <c r="P901" s="26"/>
    </row>
    <row r="902" spans="1:16" ht="15.75" customHeight="1" x14ac:dyDescent="0.35">
      <c r="A902" s="960"/>
      <c r="B902" s="26"/>
      <c r="E902" s="26"/>
      <c r="F902" s="61"/>
      <c r="G902" s="26"/>
      <c r="H902" s="26"/>
      <c r="I902" s="26"/>
      <c r="J902" s="26"/>
      <c r="K902" s="26"/>
      <c r="L902" s="26"/>
      <c r="M902" s="26"/>
      <c r="N902" s="26"/>
      <c r="O902" s="26"/>
      <c r="P902" s="26"/>
    </row>
    <row r="903" spans="1:16" ht="15.75" customHeight="1" x14ac:dyDescent="0.35">
      <c r="A903" s="960"/>
      <c r="B903" s="26"/>
      <c r="E903" s="26"/>
      <c r="F903" s="61"/>
      <c r="G903" s="26"/>
      <c r="H903" s="26"/>
      <c r="I903" s="26"/>
      <c r="J903" s="26"/>
      <c r="K903" s="26"/>
      <c r="L903" s="26"/>
      <c r="M903" s="26"/>
      <c r="N903" s="26"/>
      <c r="O903" s="26"/>
      <c r="P903" s="26"/>
    </row>
    <row r="904" spans="1:16" ht="15.75" customHeight="1" x14ac:dyDescent="0.35">
      <c r="A904" s="960"/>
      <c r="B904" s="26"/>
      <c r="E904" s="26"/>
      <c r="F904" s="61"/>
      <c r="G904" s="26"/>
      <c r="H904" s="26"/>
      <c r="I904" s="26"/>
      <c r="J904" s="26"/>
      <c r="K904" s="26"/>
      <c r="L904" s="26"/>
      <c r="M904" s="26"/>
      <c r="N904" s="26"/>
      <c r="O904" s="26"/>
      <c r="P904" s="26"/>
    </row>
    <row r="905" spans="1:16" ht="15.75" customHeight="1" x14ac:dyDescent="0.35">
      <c r="A905" s="960"/>
      <c r="B905" s="26"/>
      <c r="E905" s="26"/>
      <c r="F905" s="61"/>
      <c r="G905" s="26"/>
      <c r="H905" s="26"/>
      <c r="I905" s="26"/>
      <c r="J905" s="26"/>
      <c r="K905" s="26"/>
      <c r="L905" s="26"/>
      <c r="M905" s="26"/>
      <c r="N905" s="26"/>
      <c r="O905" s="26"/>
      <c r="P905" s="26"/>
    </row>
    <row r="906" spans="1:16" ht="15.75" customHeight="1" x14ac:dyDescent="0.35">
      <c r="A906" s="960"/>
      <c r="B906" s="26"/>
      <c r="E906" s="26"/>
      <c r="F906" s="61"/>
      <c r="G906" s="26"/>
      <c r="H906" s="26"/>
      <c r="I906" s="26"/>
      <c r="J906" s="26"/>
      <c r="K906" s="26"/>
      <c r="L906" s="26"/>
      <c r="M906" s="26"/>
      <c r="N906" s="26"/>
      <c r="O906" s="26"/>
      <c r="P906" s="26"/>
    </row>
    <row r="907" spans="1:16" ht="15.75" customHeight="1" x14ac:dyDescent="0.35">
      <c r="A907" s="960"/>
      <c r="B907" s="26"/>
      <c r="E907" s="26"/>
      <c r="F907" s="61"/>
      <c r="G907" s="26"/>
      <c r="H907" s="26"/>
      <c r="I907" s="26"/>
      <c r="J907" s="26"/>
      <c r="K907" s="26"/>
      <c r="L907" s="26"/>
      <c r="M907" s="26"/>
      <c r="N907" s="26"/>
      <c r="O907" s="26"/>
      <c r="P907" s="26"/>
    </row>
    <row r="908" spans="1:16" ht="15.75" customHeight="1" x14ac:dyDescent="0.35">
      <c r="A908" s="960"/>
      <c r="B908" s="26"/>
      <c r="E908" s="26"/>
      <c r="F908" s="61"/>
      <c r="G908" s="26"/>
      <c r="H908" s="26"/>
      <c r="I908" s="26"/>
      <c r="J908" s="26"/>
      <c r="K908" s="26"/>
      <c r="L908" s="26"/>
      <c r="M908" s="26"/>
      <c r="N908" s="26"/>
      <c r="O908" s="26"/>
      <c r="P908" s="26"/>
    </row>
    <row r="909" spans="1:16" ht="15.75" customHeight="1" x14ac:dyDescent="0.35">
      <c r="A909" s="960"/>
      <c r="B909" s="26"/>
      <c r="E909" s="26"/>
      <c r="F909" s="61"/>
      <c r="G909" s="26"/>
      <c r="H909" s="26"/>
      <c r="I909" s="26"/>
      <c r="J909" s="26"/>
      <c r="K909" s="26"/>
      <c r="L909" s="26"/>
      <c r="M909" s="26"/>
      <c r="N909" s="26"/>
      <c r="O909" s="26"/>
      <c r="P909" s="26"/>
    </row>
    <row r="910" spans="1:16" ht="15.75" customHeight="1" x14ac:dyDescent="0.35">
      <c r="A910" s="960"/>
      <c r="B910" s="26"/>
      <c r="E910" s="26"/>
      <c r="F910" s="61"/>
      <c r="G910" s="26"/>
      <c r="H910" s="26"/>
      <c r="I910" s="26"/>
      <c r="J910" s="26"/>
      <c r="K910" s="26"/>
      <c r="L910" s="26"/>
      <c r="M910" s="26"/>
      <c r="N910" s="26"/>
      <c r="O910" s="26"/>
      <c r="P910" s="26"/>
    </row>
    <row r="911" spans="1:16" ht="15.75" customHeight="1" x14ac:dyDescent="0.35">
      <c r="A911" s="960"/>
      <c r="B911" s="26"/>
      <c r="E911" s="26"/>
      <c r="F911" s="61"/>
      <c r="G911" s="26"/>
      <c r="H911" s="26"/>
      <c r="I911" s="26"/>
      <c r="J911" s="26"/>
      <c r="K911" s="26"/>
      <c r="L911" s="26"/>
      <c r="M911" s="26"/>
      <c r="N911" s="26"/>
      <c r="O911" s="26"/>
      <c r="P911" s="26"/>
    </row>
    <row r="912" spans="1:16" ht="15.75" customHeight="1" x14ac:dyDescent="0.35">
      <c r="A912" s="960"/>
      <c r="B912" s="26"/>
      <c r="E912" s="26"/>
      <c r="F912" s="61"/>
      <c r="G912" s="26"/>
      <c r="H912" s="26"/>
      <c r="I912" s="26"/>
      <c r="J912" s="26"/>
      <c r="K912" s="26"/>
      <c r="L912" s="26"/>
      <c r="M912" s="26"/>
      <c r="N912" s="26"/>
      <c r="O912" s="26"/>
      <c r="P912" s="26"/>
    </row>
    <row r="913" spans="1:16" ht="15.75" customHeight="1" x14ac:dyDescent="0.35">
      <c r="A913" s="960"/>
      <c r="B913" s="26"/>
      <c r="E913" s="26"/>
      <c r="F913" s="61"/>
      <c r="G913" s="26"/>
      <c r="H913" s="26"/>
      <c r="I913" s="26"/>
      <c r="J913" s="26"/>
      <c r="K913" s="26"/>
      <c r="L913" s="26"/>
      <c r="M913" s="26"/>
      <c r="N913" s="26"/>
      <c r="O913" s="26"/>
      <c r="P913" s="26"/>
    </row>
    <row r="914" spans="1:16" ht="15.75" customHeight="1" x14ac:dyDescent="0.35">
      <c r="A914" s="960"/>
      <c r="B914" s="26"/>
      <c r="E914" s="26"/>
      <c r="F914" s="61"/>
      <c r="G914" s="26"/>
      <c r="H914" s="26"/>
      <c r="I914" s="26"/>
      <c r="J914" s="26"/>
      <c r="K914" s="26"/>
      <c r="L914" s="26"/>
      <c r="M914" s="26"/>
      <c r="N914" s="26"/>
      <c r="O914" s="26"/>
      <c r="P914" s="26"/>
    </row>
    <row r="915" spans="1:16" ht="15.75" customHeight="1" x14ac:dyDescent="0.35">
      <c r="A915" s="960"/>
      <c r="B915" s="26"/>
      <c r="E915" s="26"/>
      <c r="F915" s="61"/>
      <c r="G915" s="26"/>
      <c r="H915" s="26"/>
      <c r="I915" s="26"/>
      <c r="J915" s="26"/>
      <c r="K915" s="26"/>
      <c r="L915" s="26"/>
      <c r="M915" s="26"/>
      <c r="N915" s="26"/>
      <c r="O915" s="26"/>
      <c r="P915" s="26"/>
    </row>
    <row r="916" spans="1:16" ht="15.75" customHeight="1" x14ac:dyDescent="0.35">
      <c r="A916" s="960"/>
      <c r="B916" s="26"/>
      <c r="E916" s="26"/>
      <c r="F916" s="61"/>
      <c r="G916" s="26"/>
      <c r="H916" s="26"/>
      <c r="I916" s="26"/>
      <c r="J916" s="26"/>
      <c r="K916" s="26"/>
      <c r="L916" s="26"/>
      <c r="M916" s="26"/>
      <c r="N916" s="26"/>
      <c r="O916" s="26"/>
      <c r="P916" s="26"/>
    </row>
    <row r="917" spans="1:16" ht="15.75" customHeight="1" x14ac:dyDescent="0.35">
      <c r="A917" s="960"/>
      <c r="B917" s="26"/>
      <c r="E917" s="26"/>
      <c r="F917" s="61"/>
      <c r="G917" s="26"/>
      <c r="H917" s="26"/>
      <c r="I917" s="26"/>
      <c r="J917" s="26"/>
      <c r="K917" s="26"/>
      <c r="L917" s="26"/>
      <c r="M917" s="26"/>
      <c r="N917" s="26"/>
      <c r="O917" s="26"/>
      <c r="P917" s="26"/>
    </row>
    <row r="918" spans="1:16" ht="15.75" customHeight="1" x14ac:dyDescent="0.35">
      <c r="A918" s="960"/>
      <c r="B918" s="26"/>
      <c r="E918" s="26"/>
      <c r="F918" s="61"/>
      <c r="G918" s="26"/>
      <c r="H918" s="26"/>
      <c r="I918" s="26"/>
      <c r="J918" s="26"/>
      <c r="K918" s="26"/>
      <c r="L918" s="26"/>
      <c r="M918" s="26"/>
      <c r="N918" s="26"/>
      <c r="O918" s="26"/>
      <c r="P918" s="26"/>
    </row>
    <row r="919" spans="1:16" ht="15.75" customHeight="1" x14ac:dyDescent="0.35">
      <c r="A919" s="960"/>
      <c r="B919" s="26"/>
      <c r="E919" s="26"/>
      <c r="F919" s="61"/>
      <c r="G919" s="26"/>
      <c r="H919" s="26"/>
      <c r="I919" s="26"/>
      <c r="J919" s="26"/>
      <c r="K919" s="26"/>
      <c r="L919" s="26"/>
      <c r="M919" s="26"/>
      <c r="N919" s="26"/>
      <c r="O919" s="26"/>
      <c r="P919" s="26"/>
    </row>
    <row r="920" spans="1:16" ht="15.75" customHeight="1" x14ac:dyDescent="0.35">
      <c r="A920" s="960"/>
      <c r="B920" s="26"/>
      <c r="E920" s="26"/>
      <c r="F920" s="61"/>
      <c r="G920" s="26"/>
      <c r="H920" s="26"/>
      <c r="I920" s="26"/>
      <c r="J920" s="26"/>
      <c r="K920" s="26"/>
      <c r="L920" s="26"/>
      <c r="M920" s="26"/>
      <c r="N920" s="26"/>
      <c r="O920" s="26"/>
      <c r="P920" s="26"/>
    </row>
    <row r="921" spans="1:16" ht="15.75" customHeight="1" x14ac:dyDescent="0.35">
      <c r="A921" s="960"/>
      <c r="B921" s="26"/>
      <c r="E921" s="26"/>
      <c r="F921" s="61"/>
      <c r="G921" s="26"/>
      <c r="H921" s="26"/>
      <c r="I921" s="26"/>
      <c r="J921" s="26"/>
      <c r="K921" s="26"/>
      <c r="L921" s="26"/>
      <c r="M921" s="26"/>
      <c r="N921" s="26"/>
      <c r="O921" s="26"/>
      <c r="P921" s="26"/>
    </row>
    <row r="922" spans="1:16" ht="15.75" customHeight="1" x14ac:dyDescent="0.35">
      <c r="A922" s="960"/>
      <c r="B922" s="26"/>
      <c r="E922" s="26"/>
      <c r="F922" s="61"/>
      <c r="G922" s="26"/>
      <c r="H922" s="26"/>
      <c r="I922" s="26"/>
      <c r="J922" s="26"/>
      <c r="K922" s="26"/>
      <c r="L922" s="26"/>
      <c r="M922" s="26"/>
      <c r="N922" s="26"/>
      <c r="O922" s="26"/>
      <c r="P922" s="26"/>
    </row>
    <row r="923" spans="1:16" ht="15.75" customHeight="1" x14ac:dyDescent="0.35">
      <c r="A923" s="960"/>
      <c r="B923" s="26"/>
      <c r="E923" s="26"/>
      <c r="F923" s="61"/>
      <c r="G923" s="26"/>
      <c r="H923" s="26"/>
      <c r="I923" s="26"/>
      <c r="J923" s="26"/>
      <c r="K923" s="26"/>
      <c r="L923" s="26"/>
      <c r="M923" s="26"/>
      <c r="N923" s="26"/>
      <c r="O923" s="26"/>
      <c r="P923" s="26"/>
    </row>
    <row r="924" spans="1:16" ht="15.75" customHeight="1" x14ac:dyDescent="0.35">
      <c r="A924" s="960"/>
      <c r="B924" s="26"/>
      <c r="E924" s="26"/>
      <c r="F924" s="61"/>
      <c r="G924" s="26"/>
      <c r="H924" s="26"/>
      <c r="I924" s="26"/>
      <c r="J924" s="26"/>
      <c r="K924" s="26"/>
      <c r="L924" s="26"/>
      <c r="M924" s="26"/>
      <c r="N924" s="26"/>
      <c r="O924" s="26"/>
      <c r="P924" s="26"/>
    </row>
    <row r="925" spans="1:16" ht="15.75" customHeight="1" x14ac:dyDescent="0.35">
      <c r="A925" s="960"/>
      <c r="B925" s="26"/>
      <c r="E925" s="26"/>
      <c r="F925" s="61"/>
      <c r="G925" s="26"/>
      <c r="H925" s="26"/>
      <c r="I925" s="26"/>
      <c r="J925" s="26"/>
      <c r="K925" s="26"/>
      <c r="L925" s="26"/>
      <c r="M925" s="26"/>
      <c r="N925" s="26"/>
      <c r="O925" s="26"/>
      <c r="P925" s="26"/>
    </row>
    <row r="926" spans="1:16" ht="15.75" customHeight="1" x14ac:dyDescent="0.35">
      <c r="A926" s="960"/>
      <c r="B926" s="26"/>
      <c r="E926" s="26"/>
      <c r="F926" s="61"/>
      <c r="G926" s="26"/>
      <c r="H926" s="26"/>
      <c r="I926" s="26"/>
      <c r="J926" s="26"/>
      <c r="K926" s="26"/>
      <c r="L926" s="26"/>
      <c r="M926" s="26"/>
      <c r="N926" s="26"/>
      <c r="O926" s="26"/>
      <c r="P926" s="26"/>
    </row>
    <row r="927" spans="1:16" ht="15.75" customHeight="1" x14ac:dyDescent="0.35">
      <c r="A927" s="960"/>
      <c r="B927" s="26"/>
      <c r="E927" s="26"/>
      <c r="F927" s="61"/>
      <c r="G927" s="26"/>
      <c r="H927" s="26"/>
      <c r="I927" s="26"/>
      <c r="J927" s="26"/>
      <c r="K927" s="26"/>
      <c r="L927" s="26"/>
      <c r="M927" s="26"/>
      <c r="N927" s="26"/>
      <c r="O927" s="26"/>
      <c r="P927" s="26"/>
    </row>
    <row r="928" spans="1:16" ht="15.75" customHeight="1" x14ac:dyDescent="0.35">
      <c r="A928" s="960"/>
      <c r="B928" s="26"/>
      <c r="E928" s="26"/>
      <c r="F928" s="61"/>
      <c r="G928" s="26"/>
      <c r="H928" s="26"/>
      <c r="I928" s="26"/>
      <c r="J928" s="26"/>
      <c r="K928" s="26"/>
      <c r="L928" s="26"/>
      <c r="M928" s="26"/>
      <c r="N928" s="26"/>
      <c r="O928" s="26"/>
      <c r="P928" s="26"/>
    </row>
    <row r="929" spans="1:16" ht="15.75" customHeight="1" x14ac:dyDescent="0.35">
      <c r="A929" s="960"/>
      <c r="B929" s="26"/>
      <c r="E929" s="26"/>
      <c r="F929" s="61"/>
      <c r="G929" s="26"/>
      <c r="H929" s="26"/>
      <c r="I929" s="26"/>
      <c r="J929" s="26"/>
      <c r="K929" s="26"/>
      <c r="L929" s="26"/>
      <c r="M929" s="26"/>
      <c r="N929" s="26"/>
      <c r="O929" s="26"/>
      <c r="P929" s="26"/>
    </row>
    <row r="930" spans="1:16" ht="15.75" customHeight="1" x14ac:dyDescent="0.35">
      <c r="A930" s="960"/>
      <c r="B930" s="26"/>
      <c r="E930" s="26"/>
      <c r="F930" s="61"/>
      <c r="G930" s="26"/>
      <c r="H930" s="26"/>
      <c r="I930" s="26"/>
      <c r="J930" s="26"/>
      <c r="K930" s="26"/>
      <c r="L930" s="26"/>
      <c r="M930" s="26"/>
      <c r="N930" s="26"/>
      <c r="O930" s="26"/>
      <c r="P930" s="26"/>
    </row>
    <row r="931" spans="1:16" ht="15.75" customHeight="1" x14ac:dyDescent="0.35">
      <c r="A931" s="960"/>
      <c r="B931" s="26"/>
      <c r="E931" s="26"/>
      <c r="F931" s="61"/>
      <c r="G931" s="26"/>
      <c r="H931" s="26"/>
      <c r="I931" s="26"/>
      <c r="J931" s="26"/>
      <c r="K931" s="26"/>
      <c r="L931" s="26"/>
      <c r="M931" s="26"/>
      <c r="N931" s="26"/>
      <c r="O931" s="26"/>
      <c r="P931" s="26"/>
    </row>
    <row r="932" spans="1:16" ht="15.75" customHeight="1" x14ac:dyDescent="0.35">
      <c r="A932" s="960"/>
      <c r="B932" s="26"/>
      <c r="E932" s="26"/>
      <c r="F932" s="61"/>
      <c r="G932" s="26"/>
      <c r="H932" s="26"/>
      <c r="I932" s="26"/>
      <c r="J932" s="26"/>
      <c r="K932" s="26"/>
      <c r="L932" s="26"/>
      <c r="M932" s="26"/>
      <c r="N932" s="26"/>
      <c r="O932" s="26"/>
      <c r="P932" s="26"/>
    </row>
    <row r="933" spans="1:16" ht="15.75" customHeight="1" x14ac:dyDescent="0.35">
      <c r="A933" s="960"/>
      <c r="B933" s="26"/>
      <c r="E933" s="26"/>
      <c r="F933" s="61"/>
      <c r="G933" s="26"/>
      <c r="H933" s="26"/>
      <c r="I933" s="26"/>
      <c r="J933" s="26"/>
      <c r="K933" s="26"/>
      <c r="L933" s="26"/>
      <c r="M933" s="26"/>
      <c r="N933" s="26"/>
      <c r="O933" s="26"/>
      <c r="P933" s="26"/>
    </row>
    <row r="934" spans="1:16" ht="15.75" customHeight="1" x14ac:dyDescent="0.35">
      <c r="A934" s="960"/>
      <c r="B934" s="26"/>
      <c r="E934" s="26"/>
      <c r="F934" s="61"/>
      <c r="G934" s="26"/>
      <c r="H934" s="26"/>
      <c r="I934" s="26"/>
      <c r="J934" s="26"/>
      <c r="K934" s="26"/>
      <c r="L934" s="26"/>
      <c r="M934" s="26"/>
      <c r="N934" s="26"/>
      <c r="O934" s="26"/>
      <c r="P934" s="26"/>
    </row>
    <row r="935" spans="1:16" ht="15.75" customHeight="1" x14ac:dyDescent="0.35">
      <c r="A935" s="960"/>
      <c r="B935" s="26"/>
      <c r="E935" s="26"/>
      <c r="F935" s="61"/>
      <c r="G935" s="26"/>
      <c r="H935" s="26"/>
      <c r="I935" s="26"/>
      <c r="J935" s="26"/>
      <c r="K935" s="26"/>
      <c r="L935" s="26"/>
      <c r="M935" s="26"/>
      <c r="N935" s="26"/>
      <c r="O935" s="26"/>
      <c r="P935" s="26"/>
    </row>
    <row r="936" spans="1:16" ht="15.75" customHeight="1" x14ac:dyDescent="0.35">
      <c r="A936" s="960"/>
      <c r="B936" s="26"/>
      <c r="E936" s="26"/>
      <c r="F936" s="61"/>
      <c r="G936" s="26"/>
      <c r="H936" s="26"/>
      <c r="I936" s="26"/>
      <c r="J936" s="26"/>
      <c r="K936" s="26"/>
      <c r="L936" s="26"/>
      <c r="M936" s="26"/>
      <c r="N936" s="26"/>
      <c r="O936" s="26"/>
      <c r="P936" s="26"/>
    </row>
    <row r="937" spans="1:16" ht="15.75" customHeight="1" x14ac:dyDescent="0.35">
      <c r="A937" s="960"/>
      <c r="B937" s="26"/>
      <c r="E937" s="26"/>
      <c r="F937" s="61"/>
      <c r="G937" s="26"/>
      <c r="H937" s="26"/>
      <c r="I937" s="26"/>
      <c r="J937" s="26"/>
      <c r="K937" s="26"/>
      <c r="L937" s="26"/>
      <c r="M937" s="26"/>
      <c r="N937" s="26"/>
      <c r="O937" s="26"/>
      <c r="P937" s="26"/>
    </row>
    <row r="938" spans="1:16" ht="15.75" customHeight="1" x14ac:dyDescent="0.35">
      <c r="A938" s="960"/>
      <c r="B938" s="26"/>
      <c r="E938" s="26"/>
      <c r="F938" s="61"/>
      <c r="G938" s="26"/>
      <c r="H938" s="26"/>
      <c r="I938" s="26"/>
      <c r="J938" s="26"/>
      <c r="K938" s="26"/>
      <c r="L938" s="26"/>
      <c r="M938" s="26"/>
      <c r="N938" s="26"/>
      <c r="O938" s="26"/>
      <c r="P938" s="26"/>
    </row>
    <row r="939" spans="1:16" ht="15.75" customHeight="1" x14ac:dyDescent="0.35">
      <c r="A939" s="960"/>
      <c r="B939" s="26"/>
      <c r="E939" s="26"/>
      <c r="F939" s="61"/>
      <c r="G939" s="26"/>
      <c r="H939" s="26"/>
      <c r="I939" s="26"/>
      <c r="J939" s="26"/>
      <c r="K939" s="26"/>
      <c r="L939" s="26"/>
      <c r="M939" s="26"/>
      <c r="N939" s="26"/>
      <c r="O939" s="26"/>
      <c r="P939" s="26"/>
    </row>
    <row r="940" spans="1:16" ht="15.75" customHeight="1" x14ac:dyDescent="0.35">
      <c r="A940" s="960"/>
      <c r="B940" s="26"/>
      <c r="E940" s="26"/>
      <c r="F940" s="61"/>
      <c r="G940" s="26"/>
      <c r="H940" s="26"/>
      <c r="I940" s="26"/>
      <c r="J940" s="26"/>
      <c r="K940" s="26"/>
      <c r="L940" s="26"/>
      <c r="M940" s="26"/>
      <c r="N940" s="26"/>
      <c r="O940" s="26"/>
      <c r="P940" s="26"/>
    </row>
    <row r="941" spans="1:16" ht="15.75" customHeight="1" x14ac:dyDescent="0.35">
      <c r="A941" s="960"/>
      <c r="B941" s="26"/>
      <c r="E941" s="26"/>
      <c r="F941" s="61"/>
      <c r="G941" s="26"/>
      <c r="H941" s="26"/>
      <c r="I941" s="26"/>
      <c r="J941" s="26"/>
      <c r="K941" s="26"/>
      <c r="L941" s="26"/>
      <c r="M941" s="26"/>
      <c r="N941" s="26"/>
      <c r="O941" s="26"/>
      <c r="P941" s="26"/>
    </row>
    <row r="942" spans="1:16" ht="15.75" customHeight="1" x14ac:dyDescent="0.35">
      <c r="A942" s="960"/>
      <c r="B942" s="26"/>
      <c r="E942" s="26"/>
      <c r="F942" s="61"/>
      <c r="G942" s="26"/>
      <c r="H942" s="26"/>
      <c r="I942" s="26"/>
      <c r="J942" s="26"/>
      <c r="K942" s="26"/>
      <c r="L942" s="26"/>
      <c r="M942" s="26"/>
      <c r="N942" s="26"/>
      <c r="O942" s="26"/>
      <c r="P942" s="26"/>
    </row>
    <row r="943" spans="1:16" ht="15.75" customHeight="1" x14ac:dyDescent="0.35">
      <c r="A943" s="960"/>
      <c r="B943" s="26"/>
      <c r="E943" s="26"/>
      <c r="F943" s="61"/>
      <c r="G943" s="26"/>
      <c r="H943" s="26"/>
      <c r="I943" s="26"/>
      <c r="J943" s="26"/>
      <c r="K943" s="26"/>
      <c r="L943" s="26"/>
      <c r="M943" s="26"/>
      <c r="N943" s="26"/>
      <c r="O943" s="26"/>
      <c r="P943" s="26"/>
    </row>
    <row r="944" spans="1:16" ht="15.75" customHeight="1" x14ac:dyDescent="0.35">
      <c r="A944" s="960"/>
      <c r="B944" s="26"/>
      <c r="E944" s="26"/>
      <c r="F944" s="61"/>
      <c r="G944" s="26"/>
      <c r="H944" s="26"/>
      <c r="I944" s="26"/>
      <c r="J944" s="26"/>
      <c r="K944" s="26"/>
      <c r="L944" s="26"/>
      <c r="M944" s="26"/>
      <c r="N944" s="26"/>
      <c r="O944" s="26"/>
      <c r="P944" s="26"/>
    </row>
    <row r="945" spans="1:16" ht="15.75" customHeight="1" x14ac:dyDescent="0.35">
      <c r="A945" s="960"/>
      <c r="B945" s="26"/>
      <c r="E945" s="26"/>
      <c r="F945" s="61"/>
      <c r="G945" s="26"/>
      <c r="H945" s="26"/>
      <c r="I945" s="26"/>
      <c r="J945" s="26"/>
      <c r="K945" s="26"/>
      <c r="L945" s="26"/>
      <c r="M945" s="26"/>
      <c r="N945" s="26"/>
      <c r="O945" s="26"/>
      <c r="P945" s="26"/>
    </row>
    <row r="946" spans="1:16" ht="15.75" customHeight="1" x14ac:dyDescent="0.35">
      <c r="A946" s="960"/>
      <c r="B946" s="26"/>
      <c r="E946" s="26"/>
      <c r="F946" s="61"/>
      <c r="G946" s="26"/>
      <c r="H946" s="26"/>
      <c r="I946" s="26"/>
      <c r="J946" s="26"/>
      <c r="K946" s="26"/>
      <c r="L946" s="26"/>
      <c r="M946" s="26"/>
      <c r="N946" s="26"/>
      <c r="O946" s="26"/>
      <c r="P946" s="26"/>
    </row>
    <row r="947" spans="1:16" ht="15.75" customHeight="1" x14ac:dyDescent="0.35">
      <c r="A947" s="960"/>
      <c r="B947" s="26"/>
      <c r="E947" s="26"/>
      <c r="F947" s="61"/>
      <c r="G947" s="26"/>
      <c r="H947" s="26"/>
      <c r="I947" s="26"/>
      <c r="J947" s="26"/>
      <c r="K947" s="26"/>
      <c r="L947" s="26"/>
      <c r="M947" s="26"/>
      <c r="N947" s="26"/>
      <c r="O947" s="26"/>
      <c r="P947" s="26"/>
    </row>
    <row r="948" spans="1:16" ht="15.75" customHeight="1" x14ac:dyDescent="0.35">
      <c r="A948" s="960"/>
      <c r="B948" s="26"/>
      <c r="E948" s="26"/>
      <c r="F948" s="61"/>
      <c r="G948" s="26"/>
      <c r="H948" s="26"/>
      <c r="I948" s="26"/>
      <c r="J948" s="26"/>
      <c r="K948" s="26"/>
      <c r="L948" s="26"/>
      <c r="M948" s="26"/>
      <c r="N948" s="26"/>
      <c r="O948" s="26"/>
      <c r="P948" s="26"/>
    </row>
    <row r="949" spans="1:16" ht="15.75" customHeight="1" x14ac:dyDescent="0.35">
      <c r="A949" s="960"/>
      <c r="B949" s="26"/>
      <c r="E949" s="26"/>
      <c r="F949" s="61"/>
      <c r="G949" s="26"/>
      <c r="H949" s="26"/>
      <c r="I949" s="26"/>
      <c r="J949" s="26"/>
      <c r="K949" s="26"/>
      <c r="L949" s="26"/>
      <c r="M949" s="26"/>
      <c r="N949" s="26"/>
      <c r="O949" s="26"/>
      <c r="P949" s="26"/>
    </row>
    <row r="950" spans="1:16" ht="15.75" customHeight="1" x14ac:dyDescent="0.35">
      <c r="A950" s="960"/>
      <c r="B950" s="26"/>
      <c r="E950" s="26"/>
      <c r="F950" s="61"/>
      <c r="G950" s="26"/>
      <c r="H950" s="26"/>
      <c r="I950" s="26"/>
      <c r="J950" s="26"/>
      <c r="K950" s="26"/>
      <c r="L950" s="26"/>
      <c r="M950" s="26"/>
      <c r="N950" s="26"/>
      <c r="O950" s="26"/>
      <c r="P950" s="26"/>
    </row>
    <row r="951" spans="1:16" ht="15.75" customHeight="1" x14ac:dyDescent="0.35">
      <c r="A951" s="960"/>
      <c r="B951" s="26"/>
      <c r="E951" s="26"/>
      <c r="F951" s="61"/>
      <c r="G951" s="26"/>
      <c r="H951" s="26"/>
      <c r="I951" s="26"/>
      <c r="J951" s="26"/>
      <c r="K951" s="26"/>
      <c r="L951" s="26"/>
      <c r="M951" s="26"/>
      <c r="N951" s="26"/>
      <c r="O951" s="26"/>
      <c r="P951" s="26"/>
    </row>
    <row r="952" spans="1:16" ht="15.75" customHeight="1" x14ac:dyDescent="0.35">
      <c r="A952" s="960"/>
      <c r="B952" s="26"/>
      <c r="E952" s="26"/>
      <c r="F952" s="61"/>
      <c r="G952" s="26"/>
      <c r="H952" s="26"/>
      <c r="I952" s="26"/>
      <c r="J952" s="26"/>
      <c r="K952" s="26"/>
      <c r="L952" s="26"/>
      <c r="M952" s="26"/>
      <c r="N952" s="26"/>
      <c r="O952" s="26"/>
      <c r="P952" s="26"/>
    </row>
    <row r="953" spans="1:16" ht="15.75" customHeight="1" x14ac:dyDescent="0.35">
      <c r="A953" s="960"/>
      <c r="B953" s="26"/>
      <c r="E953" s="26"/>
      <c r="F953" s="61"/>
      <c r="G953" s="26"/>
      <c r="H953" s="26"/>
      <c r="I953" s="26"/>
      <c r="J953" s="26"/>
      <c r="K953" s="26"/>
      <c r="L953" s="26"/>
      <c r="M953" s="26"/>
      <c r="N953" s="26"/>
      <c r="O953" s="26"/>
      <c r="P953" s="26"/>
    </row>
    <row r="954" spans="1:16" ht="15.75" customHeight="1" x14ac:dyDescent="0.35">
      <c r="A954" s="960"/>
      <c r="B954" s="26"/>
      <c r="E954" s="26"/>
      <c r="F954" s="61"/>
      <c r="G954" s="26"/>
      <c r="H954" s="26"/>
      <c r="I954" s="26"/>
      <c r="J954" s="26"/>
      <c r="K954" s="26"/>
      <c r="L954" s="26"/>
      <c r="M954" s="26"/>
      <c r="N954" s="26"/>
      <c r="O954" s="26"/>
      <c r="P954" s="26"/>
    </row>
    <row r="955" spans="1:16" ht="15.75" customHeight="1" x14ac:dyDescent="0.35">
      <c r="A955" s="960"/>
      <c r="B955" s="26"/>
      <c r="E955" s="26"/>
      <c r="F955" s="61"/>
      <c r="G955" s="26"/>
      <c r="H955" s="26"/>
      <c r="I955" s="26"/>
      <c r="J955" s="26"/>
      <c r="K955" s="26"/>
      <c r="L955" s="26"/>
      <c r="M955" s="26"/>
      <c r="N955" s="26"/>
      <c r="O955" s="26"/>
      <c r="P955" s="26"/>
    </row>
    <row r="956" spans="1:16" ht="15.75" customHeight="1" x14ac:dyDescent="0.35">
      <c r="A956" s="960"/>
      <c r="B956" s="26"/>
      <c r="E956" s="26"/>
      <c r="F956" s="61"/>
      <c r="G956" s="26"/>
      <c r="H956" s="26"/>
      <c r="I956" s="26"/>
      <c r="J956" s="26"/>
      <c r="K956" s="26"/>
      <c r="L956" s="26"/>
      <c r="M956" s="26"/>
      <c r="N956" s="26"/>
      <c r="O956" s="26"/>
      <c r="P956" s="26"/>
    </row>
    <row r="957" spans="1:16" ht="15.75" customHeight="1" x14ac:dyDescent="0.35">
      <c r="A957" s="960"/>
      <c r="B957" s="26"/>
      <c r="E957" s="26"/>
      <c r="F957" s="61"/>
      <c r="G957" s="26"/>
      <c r="H957" s="26"/>
      <c r="I957" s="26"/>
      <c r="J957" s="26"/>
      <c r="K957" s="26"/>
      <c r="L957" s="26"/>
      <c r="M957" s="26"/>
      <c r="N957" s="26"/>
      <c r="O957" s="26"/>
      <c r="P957" s="26"/>
    </row>
    <row r="958" spans="1:16" ht="15.75" customHeight="1" x14ac:dyDescent="0.35">
      <c r="A958" s="960"/>
      <c r="B958" s="26"/>
      <c r="E958" s="26"/>
      <c r="F958" s="61"/>
      <c r="G958" s="26"/>
      <c r="H958" s="26"/>
      <c r="I958" s="26"/>
      <c r="J958" s="26"/>
      <c r="K958" s="26"/>
      <c r="L958" s="26"/>
      <c r="M958" s="26"/>
      <c r="N958" s="26"/>
      <c r="O958" s="26"/>
      <c r="P958" s="26"/>
    </row>
    <row r="959" spans="1:16" ht="15.75" customHeight="1" x14ac:dyDescent="0.35">
      <c r="A959" s="960"/>
      <c r="B959" s="26"/>
      <c r="E959" s="26"/>
      <c r="F959" s="61"/>
      <c r="G959" s="26"/>
      <c r="H959" s="26"/>
      <c r="I959" s="26"/>
      <c r="J959" s="26"/>
      <c r="K959" s="26"/>
      <c r="L959" s="26"/>
      <c r="M959" s="26"/>
      <c r="N959" s="26"/>
      <c r="O959" s="26"/>
      <c r="P959" s="26"/>
    </row>
    <row r="960" spans="1:16" ht="15.75" customHeight="1" x14ac:dyDescent="0.35">
      <c r="A960" s="960"/>
      <c r="B960" s="26"/>
      <c r="E960" s="26"/>
      <c r="F960" s="61"/>
      <c r="G960" s="26"/>
      <c r="H960" s="26"/>
      <c r="I960" s="26"/>
      <c r="J960" s="26"/>
      <c r="K960" s="26"/>
      <c r="L960" s="26"/>
      <c r="M960" s="26"/>
      <c r="N960" s="26"/>
      <c r="O960" s="26"/>
      <c r="P960" s="26"/>
    </row>
    <row r="961" spans="1:16" ht="15.75" customHeight="1" x14ac:dyDescent="0.35">
      <c r="A961" s="960"/>
      <c r="B961" s="26"/>
      <c r="E961" s="26"/>
      <c r="F961" s="61"/>
      <c r="G961" s="26"/>
      <c r="H961" s="26"/>
      <c r="I961" s="26"/>
      <c r="J961" s="26"/>
      <c r="K961" s="26"/>
      <c r="L961" s="26"/>
      <c r="M961" s="26"/>
      <c r="N961" s="26"/>
      <c r="O961" s="26"/>
      <c r="P961" s="26"/>
    </row>
    <row r="962" spans="1:16" ht="15.75" customHeight="1" x14ac:dyDescent="0.35">
      <c r="A962" s="960"/>
      <c r="B962" s="26"/>
      <c r="E962" s="26"/>
      <c r="F962" s="61"/>
      <c r="G962" s="26"/>
      <c r="H962" s="26"/>
      <c r="I962" s="26"/>
      <c r="J962" s="26"/>
      <c r="K962" s="26"/>
      <c r="L962" s="26"/>
      <c r="M962" s="26"/>
      <c r="N962" s="26"/>
      <c r="O962" s="26"/>
      <c r="P962" s="26"/>
    </row>
    <row r="963" spans="1:16" ht="15.75" customHeight="1" x14ac:dyDescent="0.35">
      <c r="A963" s="960"/>
      <c r="B963" s="26"/>
      <c r="E963" s="26"/>
      <c r="F963" s="61"/>
      <c r="G963" s="26"/>
      <c r="H963" s="26"/>
      <c r="I963" s="26"/>
      <c r="J963" s="26"/>
      <c r="K963" s="26"/>
      <c r="L963" s="26"/>
      <c r="M963" s="26"/>
      <c r="N963" s="26"/>
      <c r="O963" s="26"/>
      <c r="P963" s="26"/>
    </row>
    <row r="964" spans="1:16" ht="15.75" customHeight="1" x14ac:dyDescent="0.35">
      <c r="A964" s="960"/>
      <c r="B964" s="26"/>
      <c r="E964" s="26"/>
      <c r="F964" s="61"/>
      <c r="G964" s="26"/>
      <c r="H964" s="26"/>
      <c r="I964" s="26"/>
      <c r="J964" s="26"/>
      <c r="K964" s="26"/>
      <c r="L964" s="26"/>
      <c r="M964" s="26"/>
      <c r="N964" s="26"/>
      <c r="O964" s="26"/>
      <c r="P964" s="26"/>
    </row>
    <row r="965" spans="1:16" ht="15.75" customHeight="1" x14ac:dyDescent="0.35">
      <c r="A965" s="960"/>
      <c r="B965" s="26"/>
      <c r="E965" s="26"/>
      <c r="F965" s="61"/>
      <c r="G965" s="26"/>
      <c r="H965" s="26"/>
      <c r="I965" s="26"/>
      <c r="J965" s="26"/>
      <c r="K965" s="26"/>
      <c r="L965" s="26"/>
      <c r="M965" s="26"/>
      <c r="N965" s="26"/>
      <c r="O965" s="26"/>
      <c r="P965" s="26"/>
    </row>
    <row r="966" spans="1:16" ht="15.75" customHeight="1" x14ac:dyDescent="0.35">
      <c r="A966" s="960"/>
      <c r="B966" s="26"/>
      <c r="E966" s="26"/>
      <c r="F966" s="61"/>
      <c r="G966" s="26"/>
      <c r="H966" s="26"/>
      <c r="I966" s="26"/>
      <c r="J966" s="26"/>
      <c r="K966" s="26"/>
      <c r="L966" s="26"/>
      <c r="M966" s="26"/>
      <c r="N966" s="26"/>
      <c r="O966" s="26"/>
      <c r="P966" s="26"/>
    </row>
    <row r="967" spans="1:16" ht="15.75" customHeight="1" x14ac:dyDescent="0.35">
      <c r="A967" s="960"/>
      <c r="B967" s="26"/>
      <c r="E967" s="26"/>
      <c r="F967" s="61"/>
      <c r="G967" s="26"/>
      <c r="H967" s="26"/>
      <c r="I967" s="26"/>
      <c r="J967" s="26"/>
      <c r="K967" s="26"/>
      <c r="L967" s="26"/>
      <c r="M967" s="26"/>
      <c r="N967" s="26"/>
      <c r="O967" s="26"/>
      <c r="P967" s="26"/>
    </row>
    <row r="968" spans="1:16" ht="15.75" customHeight="1" x14ac:dyDescent="0.35">
      <c r="A968" s="960"/>
      <c r="B968" s="26"/>
      <c r="E968" s="26"/>
      <c r="F968" s="61"/>
      <c r="G968" s="26"/>
      <c r="H968" s="26"/>
      <c r="I968" s="26"/>
      <c r="J968" s="26"/>
      <c r="K968" s="26"/>
      <c r="L968" s="26"/>
      <c r="M968" s="26"/>
      <c r="N968" s="26"/>
      <c r="O968" s="26"/>
      <c r="P968" s="26"/>
    </row>
    <row r="969" spans="1:16" ht="15.75" customHeight="1" x14ac:dyDescent="0.35">
      <c r="A969" s="960"/>
      <c r="B969" s="26"/>
      <c r="E969" s="26"/>
      <c r="F969" s="61"/>
      <c r="G969" s="26"/>
      <c r="H969" s="26"/>
      <c r="I969" s="26"/>
      <c r="J969" s="26"/>
      <c r="K969" s="26"/>
      <c r="L969" s="26"/>
      <c r="M969" s="26"/>
      <c r="N969" s="26"/>
      <c r="O969" s="26"/>
      <c r="P969" s="26"/>
    </row>
    <row r="970" spans="1:16" ht="15.75" customHeight="1" x14ac:dyDescent="0.35">
      <c r="A970" s="960"/>
      <c r="B970" s="26"/>
      <c r="E970" s="26"/>
      <c r="F970" s="61"/>
      <c r="G970" s="26"/>
      <c r="H970" s="26"/>
      <c r="I970" s="26"/>
      <c r="J970" s="26"/>
      <c r="K970" s="26"/>
      <c r="L970" s="26"/>
      <c r="M970" s="26"/>
      <c r="N970" s="26"/>
      <c r="O970" s="26"/>
      <c r="P970" s="26"/>
    </row>
    <row r="971" spans="1:16" ht="15.75" customHeight="1" x14ac:dyDescent="0.35">
      <c r="A971" s="960"/>
      <c r="B971" s="26"/>
      <c r="E971" s="26"/>
      <c r="F971" s="61"/>
      <c r="G971" s="26"/>
      <c r="H971" s="26"/>
      <c r="I971" s="26"/>
      <c r="J971" s="26"/>
      <c r="K971" s="26"/>
      <c r="L971" s="26"/>
      <c r="M971" s="26"/>
      <c r="N971" s="26"/>
      <c r="O971" s="26"/>
      <c r="P971" s="26"/>
    </row>
    <row r="972" spans="1:16" ht="15.75" customHeight="1" x14ac:dyDescent="0.35">
      <c r="A972" s="960"/>
      <c r="B972" s="26"/>
      <c r="E972" s="26"/>
      <c r="F972" s="61"/>
      <c r="G972" s="26"/>
      <c r="H972" s="26"/>
      <c r="I972" s="26"/>
      <c r="J972" s="26"/>
      <c r="K972" s="26"/>
      <c r="L972" s="26"/>
      <c r="M972" s="26"/>
      <c r="N972" s="26"/>
      <c r="O972" s="26"/>
      <c r="P972" s="26"/>
    </row>
    <row r="973" spans="1:16" ht="15.75" customHeight="1" x14ac:dyDescent="0.35">
      <c r="A973" s="960"/>
      <c r="B973" s="26"/>
      <c r="E973" s="26"/>
      <c r="F973" s="61"/>
      <c r="G973" s="26"/>
      <c r="H973" s="26"/>
      <c r="I973" s="26"/>
      <c r="J973" s="26"/>
      <c r="K973" s="26"/>
      <c r="L973" s="26"/>
      <c r="M973" s="26"/>
      <c r="N973" s="26"/>
      <c r="O973" s="26"/>
      <c r="P973" s="26"/>
    </row>
    <row r="974" spans="1:16" ht="15.75" customHeight="1" x14ac:dyDescent="0.35">
      <c r="A974" s="960"/>
      <c r="B974" s="26"/>
      <c r="E974" s="26"/>
      <c r="F974" s="61"/>
      <c r="G974" s="26"/>
      <c r="H974" s="26"/>
      <c r="I974" s="26"/>
      <c r="J974" s="26"/>
      <c r="K974" s="26"/>
      <c r="L974" s="26"/>
      <c r="M974" s="26"/>
      <c r="N974" s="26"/>
      <c r="O974" s="26"/>
      <c r="P974" s="26"/>
    </row>
    <row r="975" spans="1:16" ht="15.75" customHeight="1" x14ac:dyDescent="0.35">
      <c r="A975" s="960"/>
      <c r="B975" s="26"/>
      <c r="E975" s="26"/>
      <c r="F975" s="61"/>
      <c r="G975" s="26"/>
      <c r="H975" s="26"/>
      <c r="I975" s="26"/>
      <c r="J975" s="26"/>
      <c r="K975" s="26"/>
      <c r="L975" s="26"/>
      <c r="M975" s="26"/>
      <c r="N975" s="26"/>
      <c r="O975" s="26"/>
      <c r="P975" s="26"/>
    </row>
    <row r="976" spans="1:16" ht="15.75" customHeight="1" x14ac:dyDescent="0.35">
      <c r="A976" s="960"/>
      <c r="B976" s="26"/>
      <c r="E976" s="26"/>
      <c r="F976" s="61"/>
      <c r="G976" s="26"/>
      <c r="H976" s="26"/>
      <c r="I976" s="26"/>
      <c r="J976" s="26"/>
      <c r="K976" s="26"/>
      <c r="L976" s="26"/>
      <c r="M976" s="26"/>
      <c r="N976" s="26"/>
      <c r="O976" s="26"/>
      <c r="P976" s="26"/>
    </row>
    <row r="977" spans="1:16" ht="15.75" customHeight="1" x14ac:dyDescent="0.35">
      <c r="A977" s="960"/>
      <c r="B977" s="26"/>
      <c r="E977" s="26"/>
      <c r="F977" s="61"/>
      <c r="G977" s="26"/>
      <c r="H977" s="26"/>
      <c r="I977" s="26"/>
      <c r="J977" s="26"/>
      <c r="K977" s="26"/>
      <c r="L977" s="26"/>
      <c r="M977" s="26"/>
      <c r="N977" s="26"/>
      <c r="O977" s="26"/>
      <c r="P977" s="26"/>
    </row>
    <row r="978" spans="1:16" ht="15.75" customHeight="1" x14ac:dyDescent="0.35">
      <c r="A978" s="960"/>
      <c r="B978" s="26"/>
      <c r="E978" s="26"/>
      <c r="F978" s="61"/>
      <c r="G978" s="26"/>
      <c r="H978" s="26"/>
      <c r="I978" s="26"/>
      <c r="J978" s="26"/>
      <c r="K978" s="26"/>
      <c r="L978" s="26"/>
      <c r="M978" s="26"/>
      <c r="N978" s="26"/>
      <c r="O978" s="26"/>
      <c r="P978" s="26"/>
    </row>
    <row r="979" spans="1:16" ht="15.75" customHeight="1" x14ac:dyDescent="0.35">
      <c r="A979" s="960"/>
      <c r="B979" s="26"/>
      <c r="E979" s="26"/>
      <c r="F979" s="61"/>
      <c r="G979" s="26"/>
      <c r="H979" s="26"/>
      <c r="I979" s="26"/>
      <c r="J979" s="26"/>
      <c r="K979" s="26"/>
      <c r="L979" s="26"/>
      <c r="M979" s="26"/>
      <c r="N979" s="26"/>
      <c r="O979" s="26"/>
      <c r="P979" s="26"/>
    </row>
    <row r="980" spans="1:16" ht="15.75" customHeight="1" x14ac:dyDescent="0.35">
      <c r="A980" s="960"/>
      <c r="B980" s="26"/>
      <c r="E980" s="26"/>
      <c r="F980" s="61"/>
      <c r="G980" s="26"/>
      <c r="H980" s="26"/>
      <c r="I980" s="26"/>
      <c r="J980" s="26"/>
      <c r="K980" s="26"/>
      <c r="L980" s="26"/>
      <c r="M980" s="26"/>
      <c r="N980" s="26"/>
      <c r="O980" s="26"/>
      <c r="P980" s="26"/>
    </row>
    <row r="981" spans="1:16" ht="15.75" customHeight="1" x14ac:dyDescent="0.35">
      <c r="A981" s="960"/>
      <c r="B981" s="26"/>
      <c r="E981" s="26"/>
      <c r="F981" s="61"/>
      <c r="G981" s="26"/>
      <c r="H981" s="26"/>
      <c r="I981" s="26"/>
      <c r="J981" s="26"/>
      <c r="K981" s="26"/>
      <c r="L981" s="26"/>
      <c r="M981" s="26"/>
      <c r="N981" s="26"/>
      <c r="O981" s="26"/>
      <c r="P981" s="26"/>
    </row>
    <row r="982" spans="1:16" ht="15.75" customHeight="1" x14ac:dyDescent="0.35">
      <c r="A982" s="960"/>
      <c r="B982" s="26"/>
      <c r="E982" s="26"/>
      <c r="F982" s="61"/>
      <c r="G982" s="26"/>
      <c r="H982" s="26"/>
      <c r="I982" s="26"/>
      <c r="J982" s="26"/>
      <c r="K982" s="26"/>
      <c r="L982" s="26"/>
      <c r="M982" s="26"/>
      <c r="N982" s="26"/>
      <c r="O982" s="26"/>
      <c r="P982" s="26"/>
    </row>
    <row r="983" spans="1:16" ht="15.75" customHeight="1" x14ac:dyDescent="0.35">
      <c r="A983" s="960"/>
      <c r="B983" s="26"/>
      <c r="E983" s="26"/>
      <c r="F983" s="61"/>
      <c r="G983" s="26"/>
      <c r="H983" s="26"/>
      <c r="I983" s="26"/>
      <c r="J983" s="26"/>
      <c r="K983" s="26"/>
      <c r="L983" s="26"/>
      <c r="M983" s="26"/>
      <c r="N983" s="26"/>
      <c r="O983" s="26"/>
      <c r="P983" s="26"/>
    </row>
    <row r="984" spans="1:16" ht="15.75" customHeight="1" x14ac:dyDescent="0.35">
      <c r="A984" s="960"/>
      <c r="B984" s="26"/>
      <c r="E984" s="26"/>
      <c r="F984" s="61"/>
      <c r="G984" s="26"/>
      <c r="H984" s="26"/>
      <c r="I984" s="26"/>
      <c r="J984" s="26"/>
      <c r="K984" s="26"/>
      <c r="L984" s="26"/>
      <c r="M984" s="26"/>
      <c r="N984" s="26"/>
      <c r="O984" s="26"/>
      <c r="P984" s="26"/>
    </row>
    <row r="985" spans="1:16" ht="15.75" customHeight="1" x14ac:dyDescent="0.35">
      <c r="A985" s="960"/>
      <c r="B985" s="26"/>
      <c r="E985" s="26"/>
      <c r="F985" s="61"/>
      <c r="G985" s="26"/>
      <c r="H985" s="26"/>
      <c r="I985" s="26"/>
      <c r="J985" s="26"/>
      <c r="K985" s="26"/>
      <c r="L985" s="26"/>
      <c r="M985" s="26"/>
      <c r="N985" s="26"/>
      <c r="O985" s="26"/>
      <c r="P985" s="26"/>
    </row>
    <row r="986" spans="1:16" ht="15.75" customHeight="1" x14ac:dyDescent="0.35">
      <c r="A986" s="960"/>
      <c r="B986" s="26"/>
      <c r="E986" s="26"/>
      <c r="F986" s="61"/>
      <c r="G986" s="26"/>
      <c r="H986" s="26"/>
      <c r="I986" s="26"/>
      <c r="J986" s="26"/>
      <c r="K986" s="26"/>
      <c r="L986" s="26"/>
      <c r="M986" s="26"/>
      <c r="N986" s="26"/>
      <c r="O986" s="26"/>
      <c r="P986" s="26"/>
    </row>
    <row r="987" spans="1:16" ht="15.75" customHeight="1" x14ac:dyDescent="0.35">
      <c r="A987" s="960"/>
      <c r="B987" s="26"/>
      <c r="E987" s="26"/>
      <c r="F987" s="61"/>
      <c r="G987" s="26"/>
      <c r="H987" s="26"/>
      <c r="I987" s="26"/>
      <c r="J987" s="26"/>
      <c r="K987" s="26"/>
      <c r="L987" s="26"/>
      <c r="M987" s="26"/>
      <c r="N987" s="26"/>
      <c r="O987" s="26"/>
      <c r="P987" s="26"/>
    </row>
    <row r="988" spans="1:16" ht="15.75" customHeight="1" x14ac:dyDescent="0.35">
      <c r="A988" s="960"/>
      <c r="B988" s="26"/>
      <c r="E988" s="26"/>
      <c r="F988" s="61"/>
      <c r="G988" s="26"/>
      <c r="H988" s="26"/>
      <c r="I988" s="26"/>
      <c r="J988" s="26"/>
      <c r="K988" s="26"/>
      <c r="L988" s="26"/>
      <c r="M988" s="26"/>
      <c r="N988" s="26"/>
      <c r="O988" s="26"/>
      <c r="P988" s="26"/>
    </row>
    <row r="989" spans="1:16" ht="15.75" customHeight="1" x14ac:dyDescent="0.35">
      <c r="A989" s="960"/>
      <c r="B989" s="26"/>
      <c r="E989" s="26"/>
      <c r="F989" s="61"/>
      <c r="G989" s="26"/>
      <c r="H989" s="26"/>
      <c r="I989" s="26"/>
      <c r="J989" s="26"/>
      <c r="K989" s="26"/>
      <c r="L989" s="26"/>
      <c r="M989" s="26"/>
      <c r="N989" s="26"/>
      <c r="O989" s="26"/>
      <c r="P989" s="26"/>
    </row>
    <row r="990" spans="1:16" ht="15.75" customHeight="1" x14ac:dyDescent="0.35">
      <c r="A990" s="960"/>
      <c r="B990" s="26"/>
      <c r="E990" s="26"/>
      <c r="F990" s="61"/>
      <c r="G990" s="26"/>
      <c r="H990" s="26"/>
      <c r="I990" s="26"/>
      <c r="J990" s="26"/>
      <c r="K990" s="26"/>
      <c r="L990" s="26"/>
      <c r="M990" s="26"/>
      <c r="N990" s="26"/>
      <c r="O990" s="26"/>
      <c r="P990" s="26"/>
    </row>
    <row r="991" spans="1:16" ht="15.75" customHeight="1" x14ac:dyDescent="0.35">
      <c r="A991" s="960"/>
      <c r="B991" s="26"/>
      <c r="E991" s="26"/>
      <c r="F991" s="61"/>
      <c r="G991" s="26"/>
      <c r="H991" s="26"/>
      <c r="I991" s="26"/>
      <c r="J991" s="26"/>
      <c r="K991" s="26"/>
      <c r="L991" s="26"/>
      <c r="M991" s="26"/>
      <c r="N991" s="26"/>
      <c r="O991" s="26"/>
      <c r="P991" s="26"/>
    </row>
    <row r="992" spans="1:16" ht="15.75" customHeight="1" x14ac:dyDescent="0.35">
      <c r="A992" s="960"/>
      <c r="B992" s="26"/>
      <c r="E992" s="26"/>
      <c r="F992" s="61"/>
      <c r="G992" s="26"/>
      <c r="H992" s="26"/>
      <c r="I992" s="26"/>
      <c r="J992" s="26"/>
      <c r="K992" s="26"/>
      <c r="L992" s="26"/>
      <c r="M992" s="26"/>
      <c r="N992" s="26"/>
      <c r="O992" s="26"/>
      <c r="P992" s="26"/>
    </row>
    <row r="993" spans="1:16" ht="15.75" customHeight="1" x14ac:dyDescent="0.35">
      <c r="A993" s="960"/>
      <c r="B993" s="26"/>
      <c r="E993" s="26"/>
      <c r="F993" s="61"/>
      <c r="G993" s="26"/>
      <c r="H993" s="26"/>
      <c r="I993" s="26"/>
      <c r="J993" s="26"/>
      <c r="K993" s="26"/>
      <c r="L993" s="26"/>
      <c r="M993" s="26"/>
      <c r="N993" s="26"/>
      <c r="O993" s="26"/>
      <c r="P993" s="26"/>
    </row>
    <row r="994" spans="1:16" ht="15.75" customHeight="1" x14ac:dyDescent="0.35">
      <c r="A994" s="960"/>
      <c r="B994" s="26"/>
      <c r="E994" s="26"/>
      <c r="F994" s="61"/>
      <c r="G994" s="26"/>
      <c r="H994" s="26"/>
      <c r="I994" s="26"/>
      <c r="J994" s="26"/>
      <c r="K994" s="26"/>
      <c r="L994" s="26"/>
      <c r="M994" s="26"/>
      <c r="N994" s="26"/>
      <c r="O994" s="26"/>
      <c r="P994" s="26"/>
    </row>
    <row r="995" spans="1:16" ht="15.75" customHeight="1" x14ac:dyDescent="0.35">
      <c r="A995" s="960"/>
      <c r="B995" s="26"/>
      <c r="E995" s="26"/>
      <c r="F995" s="61"/>
      <c r="G995" s="26"/>
      <c r="H995" s="26"/>
      <c r="I995" s="26"/>
      <c r="J995" s="26"/>
      <c r="K995" s="26"/>
      <c r="L995" s="26"/>
      <c r="M995" s="26"/>
      <c r="N995" s="26"/>
      <c r="O995" s="26"/>
      <c r="P995" s="26"/>
    </row>
    <row r="996" spans="1:16" ht="15.75" customHeight="1" x14ac:dyDescent="0.35">
      <c r="A996" s="960"/>
      <c r="B996" s="26"/>
      <c r="E996" s="26"/>
      <c r="F996" s="61"/>
      <c r="G996" s="26"/>
      <c r="H996" s="26"/>
      <c r="I996" s="26"/>
      <c r="J996" s="26"/>
      <c r="K996" s="26"/>
      <c r="L996" s="26"/>
      <c r="M996" s="26"/>
      <c r="N996" s="26"/>
      <c r="O996" s="26"/>
      <c r="P996" s="26"/>
    </row>
    <row r="997" spans="1:16" ht="15.75" customHeight="1" x14ac:dyDescent="0.35">
      <c r="A997" s="960"/>
      <c r="B997" s="26"/>
      <c r="E997" s="26"/>
      <c r="F997" s="61"/>
      <c r="G997" s="26"/>
      <c r="H997" s="26"/>
      <c r="I997" s="26"/>
      <c r="J997" s="26"/>
      <c r="K997" s="26"/>
      <c r="L997" s="26"/>
      <c r="M997" s="26"/>
      <c r="N997" s="26"/>
      <c r="O997" s="26"/>
      <c r="P997" s="26"/>
    </row>
    <row r="998" spans="1:16" ht="15.75" customHeight="1" x14ac:dyDescent="0.35">
      <c r="A998" s="960"/>
      <c r="B998" s="26"/>
      <c r="E998" s="26"/>
      <c r="F998" s="61"/>
      <c r="G998" s="26"/>
      <c r="H998" s="26"/>
      <c r="I998" s="26"/>
      <c r="J998" s="26"/>
      <c r="K998" s="26"/>
      <c r="L998" s="26"/>
      <c r="M998" s="26"/>
      <c r="N998" s="26"/>
      <c r="O998" s="26"/>
      <c r="P998" s="26"/>
    </row>
    <row r="999" spans="1:16" ht="15.75" customHeight="1" x14ac:dyDescent="0.35">
      <c r="A999" s="960"/>
      <c r="B999" s="26"/>
      <c r="E999" s="26"/>
      <c r="F999" s="61"/>
      <c r="G999" s="26"/>
      <c r="H999" s="26"/>
      <c r="I999" s="26"/>
      <c r="J999" s="26"/>
      <c r="K999" s="26"/>
      <c r="L999" s="26"/>
      <c r="M999" s="26"/>
      <c r="N999" s="26"/>
      <c r="O999" s="26"/>
      <c r="P999" s="26"/>
    </row>
    <row r="1000" spans="1:16" ht="15.75" customHeight="1" x14ac:dyDescent="0.35">
      <c r="A1000" s="960"/>
      <c r="B1000" s="26"/>
      <c r="E1000" s="26"/>
      <c r="F1000" s="61"/>
      <c r="G1000" s="26"/>
      <c r="H1000" s="26"/>
      <c r="I1000" s="26"/>
      <c r="J1000" s="26"/>
      <c r="K1000" s="26"/>
      <c r="L1000" s="26"/>
      <c r="M1000" s="26"/>
      <c r="N1000" s="26"/>
      <c r="O1000" s="26"/>
      <c r="P1000" s="26"/>
    </row>
    <row r="1001" spans="1:16" ht="15.75" customHeight="1" x14ac:dyDescent="0.35">
      <c r="A1001" s="960"/>
      <c r="B1001" s="26"/>
      <c r="E1001" s="26"/>
      <c r="F1001" s="61"/>
      <c r="G1001" s="26"/>
      <c r="H1001" s="26"/>
      <c r="I1001" s="26"/>
      <c r="J1001" s="26"/>
      <c r="K1001" s="26"/>
      <c r="L1001" s="26"/>
      <c r="M1001" s="26"/>
      <c r="N1001" s="26"/>
      <c r="O1001" s="26"/>
      <c r="P1001" s="26"/>
    </row>
    <row r="1002" spans="1:16" ht="15.75" customHeight="1" x14ac:dyDescent="0.35">
      <c r="A1002" s="960"/>
      <c r="B1002" s="26"/>
      <c r="E1002" s="26"/>
      <c r="F1002" s="61"/>
      <c r="G1002" s="26"/>
      <c r="H1002" s="26"/>
      <c r="I1002" s="26"/>
      <c r="J1002" s="26"/>
      <c r="K1002" s="26"/>
      <c r="L1002" s="26"/>
      <c r="M1002" s="26"/>
      <c r="N1002" s="26"/>
      <c r="O1002" s="26"/>
      <c r="P1002" s="26"/>
    </row>
    <row r="1003" spans="1:16" ht="15.75" customHeight="1" x14ac:dyDescent="0.35">
      <c r="A1003" s="960"/>
      <c r="B1003" s="26"/>
      <c r="E1003" s="26"/>
      <c r="F1003" s="61"/>
      <c r="G1003" s="26"/>
      <c r="H1003" s="26"/>
      <c r="I1003" s="26"/>
      <c r="J1003" s="26"/>
      <c r="K1003" s="26"/>
      <c r="L1003" s="26"/>
      <c r="M1003" s="26"/>
      <c r="N1003" s="26"/>
      <c r="O1003" s="26"/>
      <c r="P1003" s="26"/>
    </row>
    <row r="1004" spans="1:16" ht="15.75" customHeight="1" x14ac:dyDescent="0.35">
      <c r="A1004" s="960"/>
      <c r="B1004" s="26"/>
      <c r="E1004" s="26"/>
      <c r="F1004" s="61"/>
      <c r="G1004" s="26"/>
      <c r="H1004" s="26"/>
      <c r="I1004" s="26"/>
      <c r="J1004" s="26"/>
      <c r="K1004" s="26"/>
      <c r="L1004" s="26"/>
      <c r="M1004" s="26"/>
      <c r="N1004" s="26"/>
      <c r="O1004" s="26"/>
      <c r="P1004" s="26"/>
    </row>
    <row r="1005" spans="1:16" ht="15.75" customHeight="1" x14ac:dyDescent="0.35">
      <c r="A1005" s="960"/>
      <c r="B1005" s="26"/>
      <c r="E1005" s="26"/>
      <c r="F1005" s="61"/>
      <c r="G1005" s="26"/>
      <c r="H1005" s="26"/>
      <c r="I1005" s="26"/>
      <c r="J1005" s="26"/>
      <c r="K1005" s="26"/>
      <c r="L1005" s="26"/>
      <c r="M1005" s="26"/>
      <c r="N1005" s="26"/>
      <c r="O1005" s="26"/>
      <c r="P1005" s="26"/>
    </row>
    <row r="1006" spans="1:16" ht="15.75" customHeight="1" x14ac:dyDescent="0.35">
      <c r="A1006" s="960"/>
      <c r="B1006" s="26"/>
      <c r="E1006" s="26"/>
      <c r="F1006" s="61"/>
      <c r="G1006" s="26"/>
      <c r="H1006" s="26"/>
      <c r="I1006" s="26"/>
      <c r="J1006" s="26"/>
      <c r="K1006" s="26"/>
      <c r="L1006" s="26"/>
      <c r="M1006" s="26"/>
      <c r="N1006" s="26"/>
      <c r="O1006" s="26"/>
      <c r="P1006" s="26"/>
    </row>
    <row r="1007" spans="1:16" ht="15.75" customHeight="1" x14ac:dyDescent="0.35">
      <c r="A1007" s="960"/>
      <c r="B1007" s="26"/>
      <c r="E1007" s="26"/>
      <c r="F1007" s="61"/>
      <c r="G1007" s="26"/>
      <c r="H1007" s="26"/>
      <c r="I1007" s="26"/>
      <c r="J1007" s="26"/>
      <c r="K1007" s="26"/>
      <c r="L1007" s="26"/>
      <c r="M1007" s="26"/>
      <c r="N1007" s="26"/>
      <c r="O1007" s="26"/>
      <c r="P1007" s="26"/>
    </row>
    <row r="1008" spans="1:16" ht="15.75" customHeight="1" x14ac:dyDescent="0.35">
      <c r="A1008" s="960"/>
      <c r="B1008" s="26"/>
      <c r="E1008" s="26"/>
      <c r="F1008" s="61"/>
      <c r="G1008" s="26"/>
      <c r="H1008" s="26"/>
      <c r="I1008" s="26"/>
      <c r="J1008" s="26"/>
      <c r="K1008" s="26"/>
      <c r="L1008" s="26"/>
      <c r="M1008" s="26"/>
      <c r="N1008" s="26"/>
      <c r="O1008" s="26"/>
      <c r="P1008" s="26"/>
    </row>
    <row r="1009" spans="1:16" ht="15.75" customHeight="1" x14ac:dyDescent="0.35">
      <c r="A1009" s="960"/>
      <c r="B1009" s="26"/>
      <c r="E1009" s="26"/>
      <c r="F1009" s="61"/>
      <c r="G1009" s="26"/>
      <c r="H1009" s="26"/>
      <c r="I1009" s="26"/>
      <c r="J1009" s="26"/>
      <c r="K1009" s="26"/>
      <c r="L1009" s="26"/>
      <c r="M1009" s="26"/>
      <c r="N1009" s="26"/>
      <c r="O1009" s="26"/>
      <c r="P1009" s="26"/>
    </row>
    <row r="1010" spans="1:16" ht="15.75" customHeight="1" x14ac:dyDescent="0.35">
      <c r="A1010" s="960"/>
      <c r="B1010" s="26"/>
      <c r="E1010" s="26"/>
      <c r="F1010" s="61"/>
      <c r="G1010" s="26"/>
      <c r="H1010" s="26"/>
      <c r="I1010" s="26"/>
      <c r="J1010" s="26"/>
      <c r="K1010" s="26"/>
      <c r="L1010" s="26"/>
      <c r="M1010" s="26"/>
      <c r="N1010" s="26"/>
      <c r="O1010" s="26"/>
      <c r="P1010" s="26"/>
    </row>
    <row r="1011" spans="1:16" ht="15.75" customHeight="1" x14ac:dyDescent="0.35">
      <c r="A1011" s="960"/>
      <c r="B1011" s="26"/>
      <c r="E1011" s="26"/>
      <c r="F1011" s="61"/>
      <c r="G1011" s="26"/>
      <c r="H1011" s="26"/>
      <c r="I1011" s="26"/>
      <c r="J1011" s="26"/>
      <c r="K1011" s="26"/>
      <c r="L1011" s="26"/>
      <c r="M1011" s="26"/>
      <c r="N1011" s="26"/>
      <c r="O1011" s="26"/>
      <c r="P1011" s="26"/>
    </row>
    <row r="1012" spans="1:16" ht="15.75" customHeight="1" x14ac:dyDescent="0.35">
      <c r="A1012" s="960"/>
      <c r="B1012" s="26"/>
      <c r="E1012" s="26"/>
      <c r="F1012" s="61"/>
      <c r="G1012" s="26"/>
      <c r="H1012" s="26"/>
      <c r="I1012" s="26"/>
      <c r="J1012" s="26"/>
      <c r="K1012" s="26"/>
      <c r="L1012" s="26"/>
      <c r="M1012" s="26"/>
      <c r="N1012" s="26"/>
      <c r="O1012" s="26"/>
      <c r="P1012" s="26"/>
    </row>
    <row r="1013" spans="1:16" ht="15.75" customHeight="1" x14ac:dyDescent="0.35">
      <c r="A1013" s="960"/>
      <c r="B1013" s="26"/>
      <c r="E1013" s="26"/>
      <c r="F1013" s="61"/>
      <c r="G1013" s="26"/>
      <c r="H1013" s="26"/>
      <c r="I1013" s="26"/>
      <c r="J1013" s="26"/>
      <c r="K1013" s="26"/>
      <c r="L1013" s="26"/>
      <c r="M1013" s="26"/>
      <c r="N1013" s="26"/>
      <c r="O1013" s="26"/>
      <c r="P1013" s="26"/>
    </row>
    <row r="1014" spans="1:16" ht="15.75" customHeight="1" x14ac:dyDescent="0.35">
      <c r="A1014" s="960"/>
      <c r="B1014" s="26"/>
      <c r="E1014" s="26"/>
      <c r="F1014" s="61"/>
      <c r="G1014" s="26"/>
      <c r="H1014" s="26"/>
      <c r="I1014" s="26"/>
      <c r="J1014" s="26"/>
      <c r="K1014" s="26"/>
      <c r="L1014" s="26"/>
      <c r="M1014" s="26"/>
      <c r="N1014" s="26"/>
      <c r="O1014" s="26"/>
      <c r="P1014" s="26"/>
    </row>
    <row r="1015" spans="1:16" ht="15.75" customHeight="1" x14ac:dyDescent="0.35">
      <c r="A1015" s="960"/>
      <c r="B1015" s="26"/>
      <c r="E1015" s="26"/>
      <c r="F1015" s="61"/>
      <c r="G1015" s="26"/>
      <c r="H1015" s="26"/>
      <c r="I1015" s="26"/>
      <c r="J1015" s="26"/>
      <c r="K1015" s="26"/>
      <c r="L1015" s="26"/>
      <c r="M1015" s="26"/>
      <c r="N1015" s="26"/>
      <c r="O1015" s="26"/>
      <c r="P1015" s="26"/>
    </row>
    <row r="1016" spans="1:16" ht="15.75" customHeight="1" x14ac:dyDescent="0.35">
      <c r="A1016" s="960"/>
      <c r="B1016" s="26"/>
      <c r="E1016" s="26"/>
      <c r="F1016" s="61"/>
      <c r="G1016" s="26"/>
      <c r="H1016" s="26"/>
      <c r="I1016" s="26"/>
      <c r="J1016" s="26"/>
      <c r="K1016" s="26"/>
      <c r="L1016" s="26"/>
      <c r="M1016" s="26"/>
      <c r="N1016" s="26"/>
      <c r="O1016" s="26"/>
      <c r="P1016" s="26"/>
    </row>
    <row r="1017" spans="1:16" ht="15.75" customHeight="1" x14ac:dyDescent="0.35">
      <c r="A1017" s="960"/>
      <c r="B1017" s="26"/>
      <c r="E1017" s="26"/>
      <c r="F1017" s="61"/>
      <c r="G1017" s="26"/>
      <c r="H1017" s="26"/>
      <c r="I1017" s="26"/>
      <c r="J1017" s="26"/>
      <c r="K1017" s="26"/>
      <c r="L1017" s="26"/>
      <c r="M1017" s="26"/>
      <c r="N1017" s="26"/>
      <c r="O1017" s="26"/>
      <c r="P1017" s="26"/>
    </row>
    <row r="1018" spans="1:16" ht="15.75" customHeight="1" x14ac:dyDescent="0.35">
      <c r="A1018" s="960"/>
      <c r="B1018" s="26"/>
      <c r="E1018" s="26"/>
      <c r="F1018" s="61"/>
      <c r="G1018" s="26"/>
      <c r="H1018" s="26"/>
      <c r="I1018" s="26"/>
      <c r="J1018" s="26"/>
      <c r="K1018" s="26"/>
      <c r="L1018" s="26"/>
      <c r="M1018" s="26"/>
      <c r="N1018" s="26"/>
      <c r="O1018" s="26"/>
      <c r="P1018" s="26"/>
    </row>
    <row r="1019" spans="1:16" ht="15.75" customHeight="1" x14ac:dyDescent="0.35">
      <c r="A1019" s="960"/>
      <c r="B1019" s="26"/>
      <c r="E1019" s="26"/>
      <c r="F1019" s="61"/>
      <c r="G1019" s="26"/>
      <c r="H1019" s="26"/>
      <c r="I1019" s="26"/>
      <c r="J1019" s="26"/>
      <c r="K1019" s="26"/>
      <c r="L1019" s="26"/>
      <c r="M1019" s="26"/>
      <c r="N1019" s="26"/>
      <c r="O1019" s="26"/>
      <c r="P1019" s="26"/>
    </row>
    <row r="1020" spans="1:16" ht="15.75" customHeight="1" x14ac:dyDescent="0.35">
      <c r="A1020" s="960"/>
      <c r="B1020" s="26"/>
      <c r="E1020" s="26"/>
      <c r="F1020" s="61"/>
      <c r="G1020" s="26"/>
      <c r="H1020" s="26"/>
      <c r="I1020" s="26"/>
      <c r="J1020" s="26"/>
      <c r="K1020" s="26"/>
      <c r="L1020" s="26"/>
      <c r="M1020" s="26"/>
      <c r="N1020" s="26"/>
      <c r="O1020" s="26"/>
      <c r="P1020" s="26"/>
    </row>
    <row r="1021" spans="1:16" ht="15.75" customHeight="1" x14ac:dyDescent="0.35">
      <c r="A1021" s="960"/>
      <c r="B1021" s="26"/>
      <c r="E1021" s="26"/>
      <c r="F1021" s="61"/>
      <c r="G1021" s="26"/>
      <c r="H1021" s="26"/>
      <c r="I1021" s="26"/>
      <c r="J1021" s="26"/>
      <c r="K1021" s="26"/>
      <c r="L1021" s="26"/>
      <c r="M1021" s="26"/>
      <c r="N1021" s="26"/>
      <c r="O1021" s="26"/>
      <c r="P1021" s="26"/>
    </row>
    <row r="1022" spans="1:16" ht="15.75" customHeight="1" x14ac:dyDescent="0.35">
      <c r="A1022" s="960"/>
      <c r="B1022" s="26"/>
      <c r="E1022" s="26"/>
      <c r="F1022" s="61"/>
      <c r="G1022" s="26"/>
      <c r="H1022" s="26"/>
      <c r="I1022" s="26"/>
      <c r="J1022" s="26"/>
      <c r="K1022" s="26"/>
      <c r="L1022" s="26"/>
      <c r="M1022" s="26"/>
      <c r="N1022" s="26"/>
      <c r="O1022" s="26"/>
      <c r="P1022" s="26"/>
    </row>
    <row r="1023" spans="1:16" ht="15.75" customHeight="1" x14ac:dyDescent="0.35">
      <c r="A1023" s="960"/>
      <c r="B1023" s="26"/>
      <c r="E1023" s="26"/>
      <c r="F1023" s="61"/>
      <c r="G1023" s="26"/>
      <c r="H1023" s="26"/>
      <c r="I1023" s="26"/>
      <c r="J1023" s="26"/>
      <c r="K1023" s="26"/>
      <c r="L1023" s="26"/>
      <c r="M1023" s="26"/>
      <c r="N1023" s="26"/>
      <c r="O1023" s="26"/>
      <c r="P1023" s="26"/>
    </row>
    <row r="1024" spans="1:16" ht="15.75" customHeight="1" x14ac:dyDescent="0.35">
      <c r="A1024" s="960"/>
      <c r="B1024" s="26"/>
      <c r="E1024" s="26"/>
      <c r="F1024" s="61"/>
      <c r="G1024" s="26"/>
      <c r="H1024" s="26"/>
      <c r="I1024" s="26"/>
      <c r="J1024" s="26"/>
      <c r="K1024" s="26"/>
      <c r="L1024" s="26"/>
      <c r="M1024" s="26"/>
      <c r="N1024" s="26"/>
      <c r="O1024" s="26"/>
      <c r="P1024" s="26"/>
    </row>
    <row r="1025" spans="1:16" ht="15.75" customHeight="1" x14ac:dyDescent="0.35">
      <c r="A1025" s="960"/>
      <c r="B1025" s="26"/>
      <c r="E1025" s="26"/>
      <c r="F1025" s="61"/>
      <c r="G1025" s="26"/>
      <c r="H1025" s="26"/>
      <c r="I1025" s="26"/>
      <c r="J1025" s="26"/>
      <c r="K1025" s="26"/>
      <c r="L1025" s="26"/>
      <c r="M1025" s="26"/>
      <c r="N1025" s="26"/>
      <c r="O1025" s="26"/>
      <c r="P1025" s="26"/>
    </row>
    <row r="1026" spans="1:16" ht="15.75" customHeight="1" x14ac:dyDescent="0.35">
      <c r="A1026" s="960"/>
      <c r="B1026" s="26"/>
      <c r="E1026" s="26"/>
      <c r="F1026" s="61"/>
      <c r="G1026" s="26"/>
      <c r="H1026" s="26"/>
      <c r="I1026" s="26"/>
      <c r="J1026" s="26"/>
      <c r="K1026" s="26"/>
      <c r="L1026" s="26"/>
      <c r="M1026" s="26"/>
      <c r="N1026" s="26"/>
      <c r="O1026" s="26"/>
      <c r="P1026" s="26"/>
    </row>
    <row r="1027" spans="1:16" ht="15.75" customHeight="1" x14ac:dyDescent="0.35">
      <c r="A1027" s="960"/>
      <c r="B1027" s="26"/>
      <c r="E1027" s="26"/>
      <c r="F1027" s="61"/>
      <c r="G1027" s="26"/>
      <c r="H1027" s="26"/>
      <c r="I1027" s="26"/>
      <c r="J1027" s="26"/>
      <c r="K1027" s="26"/>
      <c r="L1027" s="26"/>
      <c r="M1027" s="26"/>
      <c r="N1027" s="26"/>
      <c r="O1027" s="26"/>
      <c r="P1027" s="26"/>
    </row>
    <row r="1028" spans="1:16" ht="15.75" customHeight="1" x14ac:dyDescent="0.35">
      <c r="A1028" s="960"/>
      <c r="B1028" s="26"/>
      <c r="E1028" s="26"/>
      <c r="F1028" s="61"/>
      <c r="G1028" s="26"/>
      <c r="H1028" s="26"/>
      <c r="I1028" s="26"/>
      <c r="J1028" s="26"/>
      <c r="K1028" s="26"/>
      <c r="L1028" s="26"/>
      <c r="M1028" s="26"/>
      <c r="N1028" s="26"/>
      <c r="O1028" s="26"/>
      <c r="P1028" s="26"/>
    </row>
    <row r="1029" spans="1:16" ht="15.75" customHeight="1" x14ac:dyDescent="0.35">
      <c r="A1029" s="960"/>
      <c r="B1029" s="26"/>
      <c r="E1029" s="26"/>
      <c r="F1029" s="61"/>
      <c r="G1029" s="26"/>
      <c r="H1029" s="26"/>
      <c r="I1029" s="26"/>
      <c r="J1029" s="26"/>
      <c r="K1029" s="26"/>
      <c r="L1029" s="26"/>
      <c r="M1029" s="26"/>
      <c r="N1029" s="26"/>
      <c r="O1029" s="26"/>
      <c r="P1029" s="26"/>
    </row>
    <row r="1030" spans="1:16" ht="15.75" customHeight="1" x14ac:dyDescent="0.35">
      <c r="A1030" s="960"/>
      <c r="B1030" s="26"/>
      <c r="E1030" s="26"/>
      <c r="F1030" s="61"/>
      <c r="G1030" s="26"/>
      <c r="H1030" s="26"/>
      <c r="I1030" s="26"/>
      <c r="J1030" s="26"/>
      <c r="K1030" s="26"/>
      <c r="L1030" s="26"/>
      <c r="M1030" s="26"/>
      <c r="N1030" s="26"/>
      <c r="O1030" s="26"/>
      <c r="P1030" s="26"/>
    </row>
    <row r="1031" spans="1:16" ht="15.75" customHeight="1" x14ac:dyDescent="0.35">
      <c r="A1031" s="960"/>
      <c r="B1031" s="26"/>
      <c r="E1031" s="26"/>
      <c r="F1031" s="61"/>
      <c r="G1031" s="26"/>
      <c r="H1031" s="26"/>
      <c r="I1031" s="26"/>
      <c r="J1031" s="26"/>
      <c r="K1031" s="26"/>
      <c r="L1031" s="26"/>
      <c r="M1031" s="26"/>
      <c r="N1031" s="26"/>
      <c r="O1031" s="26"/>
      <c r="P1031" s="26"/>
    </row>
    <row r="1032" spans="1:16" ht="15.75" customHeight="1" x14ac:dyDescent="0.35">
      <c r="A1032" s="960"/>
      <c r="B1032" s="26"/>
      <c r="E1032" s="26"/>
      <c r="F1032" s="61"/>
      <c r="G1032" s="26"/>
      <c r="H1032" s="26"/>
      <c r="I1032" s="26"/>
      <c r="J1032" s="26"/>
      <c r="K1032" s="26"/>
      <c r="L1032" s="26"/>
      <c r="M1032" s="26"/>
      <c r="N1032" s="26"/>
      <c r="O1032" s="26"/>
      <c r="P1032" s="26"/>
    </row>
    <row r="1033" spans="1:16" ht="15.75" customHeight="1" x14ac:dyDescent="0.35">
      <c r="A1033" s="960"/>
      <c r="B1033" s="26"/>
      <c r="E1033" s="26"/>
      <c r="F1033" s="61"/>
      <c r="G1033" s="26"/>
      <c r="H1033" s="26"/>
      <c r="I1033" s="26"/>
      <c r="J1033" s="26"/>
      <c r="K1033" s="26"/>
      <c r="L1033" s="26"/>
      <c r="M1033" s="26"/>
      <c r="N1033" s="26"/>
      <c r="O1033" s="26"/>
      <c r="P1033" s="26"/>
    </row>
    <row r="1034" spans="1:16" ht="15.75" customHeight="1" x14ac:dyDescent="0.35">
      <c r="A1034" s="960"/>
      <c r="B1034" s="26"/>
      <c r="E1034" s="26"/>
      <c r="F1034" s="61"/>
      <c r="G1034" s="26"/>
      <c r="H1034" s="26"/>
      <c r="I1034" s="26"/>
      <c r="J1034" s="26"/>
      <c r="K1034" s="26"/>
      <c r="L1034" s="26"/>
      <c r="M1034" s="26"/>
      <c r="N1034" s="26"/>
      <c r="O1034" s="26"/>
      <c r="P1034" s="26"/>
    </row>
    <row r="1035" spans="1:16" ht="15.75" customHeight="1" x14ac:dyDescent="0.35">
      <c r="A1035" s="960"/>
      <c r="B1035" s="26"/>
      <c r="E1035" s="26"/>
      <c r="F1035" s="61"/>
      <c r="G1035" s="26"/>
      <c r="H1035" s="26"/>
      <c r="I1035" s="26"/>
      <c r="J1035" s="26"/>
      <c r="K1035" s="26"/>
      <c r="L1035" s="26"/>
      <c r="M1035" s="26"/>
      <c r="N1035" s="26"/>
      <c r="O1035" s="26"/>
      <c r="P1035" s="26"/>
    </row>
    <row r="1036" spans="1:16" ht="15.75" customHeight="1" x14ac:dyDescent="0.35">
      <c r="A1036" s="960"/>
      <c r="B1036" s="26"/>
      <c r="E1036" s="26"/>
      <c r="F1036" s="61"/>
      <c r="G1036" s="26"/>
      <c r="H1036" s="26"/>
      <c r="I1036" s="26"/>
      <c r="J1036" s="26"/>
      <c r="K1036" s="26"/>
      <c r="L1036" s="26"/>
      <c r="M1036" s="26"/>
      <c r="N1036" s="26"/>
      <c r="O1036" s="26"/>
      <c r="P1036" s="26"/>
    </row>
    <row r="1037" spans="1:16" ht="15.75" customHeight="1" x14ac:dyDescent="0.35">
      <c r="A1037" s="960"/>
      <c r="B1037" s="26"/>
      <c r="E1037" s="26"/>
      <c r="F1037" s="61"/>
      <c r="G1037" s="26"/>
      <c r="H1037" s="26"/>
      <c r="I1037" s="26"/>
      <c r="J1037" s="26"/>
      <c r="K1037" s="26"/>
      <c r="L1037" s="26"/>
      <c r="M1037" s="26"/>
      <c r="N1037" s="26"/>
      <c r="O1037" s="26"/>
      <c r="P1037" s="26"/>
    </row>
    <row r="1038" spans="1:16" ht="15.75" customHeight="1" x14ac:dyDescent="0.35">
      <c r="A1038" s="960"/>
      <c r="B1038" s="26"/>
      <c r="E1038" s="26"/>
      <c r="F1038" s="61"/>
      <c r="G1038" s="26"/>
      <c r="H1038" s="26"/>
      <c r="I1038" s="26"/>
      <c r="J1038" s="26"/>
      <c r="K1038" s="26"/>
      <c r="L1038" s="26"/>
      <c r="M1038" s="26"/>
      <c r="N1038" s="26"/>
      <c r="O1038" s="26"/>
      <c r="P1038" s="26"/>
    </row>
    <row r="1039" spans="1:16" ht="15.75" customHeight="1" x14ac:dyDescent="0.35">
      <c r="A1039" s="960"/>
      <c r="B1039" s="26"/>
      <c r="E1039" s="26"/>
      <c r="F1039" s="61"/>
      <c r="G1039" s="26"/>
      <c r="H1039" s="26"/>
      <c r="I1039" s="26"/>
      <c r="J1039" s="26"/>
      <c r="K1039" s="26"/>
      <c r="L1039" s="26"/>
      <c r="M1039" s="26"/>
      <c r="N1039" s="26"/>
      <c r="O1039" s="26"/>
      <c r="P1039" s="26"/>
    </row>
    <row r="1040" spans="1:16" ht="15.75" customHeight="1" x14ac:dyDescent="0.35">
      <c r="A1040" s="960"/>
      <c r="B1040" s="26"/>
      <c r="E1040" s="26"/>
      <c r="F1040" s="61"/>
      <c r="G1040" s="26"/>
      <c r="H1040" s="26"/>
      <c r="I1040" s="26"/>
      <c r="J1040" s="26"/>
      <c r="K1040" s="26"/>
      <c r="L1040" s="26"/>
      <c r="M1040" s="26"/>
      <c r="N1040" s="26"/>
      <c r="O1040" s="26"/>
      <c r="P1040" s="26"/>
    </row>
    <row r="1041" spans="1:16" ht="15.75" customHeight="1" x14ac:dyDescent="0.35">
      <c r="A1041" s="960"/>
      <c r="B1041" s="26"/>
      <c r="E1041" s="26"/>
      <c r="F1041" s="61"/>
      <c r="G1041" s="26"/>
      <c r="H1041" s="26"/>
      <c r="I1041" s="26"/>
      <c r="J1041" s="26"/>
      <c r="K1041" s="26"/>
      <c r="L1041" s="26"/>
      <c r="M1041" s="26"/>
      <c r="N1041" s="26"/>
      <c r="O1041" s="26"/>
      <c r="P1041" s="26"/>
    </row>
    <row r="1042" spans="1:16" ht="15.75" customHeight="1" x14ac:dyDescent="0.35">
      <c r="A1042" s="960"/>
      <c r="B1042" s="26"/>
      <c r="E1042" s="26"/>
      <c r="F1042" s="61"/>
      <c r="G1042" s="26"/>
      <c r="H1042" s="26"/>
      <c r="I1042" s="26"/>
      <c r="J1042" s="26"/>
      <c r="K1042" s="26"/>
      <c r="L1042" s="26"/>
      <c r="M1042" s="26"/>
      <c r="N1042" s="26"/>
      <c r="O1042" s="26"/>
      <c r="P1042" s="26"/>
    </row>
    <row r="1043" spans="1:16" ht="15.75" customHeight="1" x14ac:dyDescent="0.35">
      <c r="A1043" s="960"/>
      <c r="B1043" s="26"/>
      <c r="E1043" s="26"/>
      <c r="F1043" s="61"/>
      <c r="G1043" s="26"/>
      <c r="H1043" s="26"/>
      <c r="I1043" s="26"/>
      <c r="J1043" s="26"/>
      <c r="K1043" s="26"/>
      <c r="L1043" s="26"/>
      <c r="M1043" s="26"/>
      <c r="N1043" s="26"/>
      <c r="O1043" s="26"/>
      <c r="P1043" s="26"/>
    </row>
    <row r="1044" spans="1:16" ht="15.75" customHeight="1" x14ac:dyDescent="0.35">
      <c r="A1044" s="960"/>
      <c r="B1044" s="26"/>
      <c r="E1044" s="26"/>
      <c r="F1044" s="61"/>
      <c r="G1044" s="26"/>
      <c r="H1044" s="26"/>
      <c r="I1044" s="26"/>
      <c r="J1044" s="26"/>
      <c r="K1044" s="26"/>
      <c r="L1044" s="26"/>
      <c r="M1044" s="26"/>
      <c r="N1044" s="26"/>
      <c r="O1044" s="26"/>
      <c r="P1044" s="26"/>
    </row>
    <row r="1045" spans="1:16" ht="15.75" customHeight="1" x14ac:dyDescent="0.35">
      <c r="A1045" s="960"/>
      <c r="B1045" s="26"/>
      <c r="E1045" s="26"/>
      <c r="F1045" s="61"/>
      <c r="G1045" s="26"/>
      <c r="H1045" s="26"/>
      <c r="I1045" s="26"/>
      <c r="J1045" s="26"/>
      <c r="K1045" s="26"/>
      <c r="L1045" s="26"/>
      <c r="M1045" s="26"/>
      <c r="N1045" s="26"/>
      <c r="O1045" s="26"/>
      <c r="P1045" s="26"/>
    </row>
    <row r="1046" spans="1:16" ht="15.75" customHeight="1" x14ac:dyDescent="0.35">
      <c r="A1046" s="960"/>
      <c r="B1046" s="26"/>
      <c r="E1046" s="26"/>
      <c r="F1046" s="61"/>
      <c r="G1046" s="26"/>
      <c r="H1046" s="26"/>
      <c r="I1046" s="26"/>
      <c r="J1046" s="26"/>
      <c r="K1046" s="26"/>
      <c r="L1046" s="26"/>
      <c r="M1046" s="26"/>
      <c r="N1046" s="26"/>
      <c r="O1046" s="26"/>
      <c r="P1046" s="26"/>
    </row>
    <row r="1047" spans="1:16" ht="15.75" customHeight="1" x14ac:dyDescent="0.35">
      <c r="A1047" s="960"/>
      <c r="B1047" s="26"/>
      <c r="E1047" s="26"/>
      <c r="F1047" s="61"/>
      <c r="G1047" s="26"/>
      <c r="H1047" s="26"/>
      <c r="I1047" s="26"/>
      <c r="J1047" s="26"/>
      <c r="K1047" s="26"/>
      <c r="L1047" s="26"/>
      <c r="M1047" s="26"/>
      <c r="N1047" s="26"/>
      <c r="O1047" s="26"/>
      <c r="P1047" s="26"/>
    </row>
    <row r="1048" spans="1:16" ht="15.75" customHeight="1" x14ac:dyDescent="0.35">
      <c r="A1048" s="960"/>
      <c r="B1048" s="26"/>
      <c r="E1048" s="26"/>
      <c r="F1048" s="61"/>
      <c r="G1048" s="26"/>
      <c r="H1048" s="26"/>
      <c r="I1048" s="26"/>
      <c r="J1048" s="26"/>
      <c r="K1048" s="26"/>
      <c r="L1048" s="26"/>
      <c r="M1048" s="26"/>
      <c r="N1048" s="26"/>
      <c r="O1048" s="26"/>
      <c r="P1048" s="26"/>
    </row>
    <row r="1049" spans="1:16" ht="15.75" customHeight="1" x14ac:dyDescent="0.35">
      <c r="A1049" s="960"/>
      <c r="B1049" s="26"/>
      <c r="E1049" s="26"/>
      <c r="F1049" s="61"/>
      <c r="G1049" s="26"/>
      <c r="H1049" s="26"/>
      <c r="I1049" s="26"/>
      <c r="J1049" s="26"/>
      <c r="K1049" s="26"/>
      <c r="L1049" s="26"/>
      <c r="M1049" s="26"/>
      <c r="N1049" s="26"/>
      <c r="O1049" s="26"/>
      <c r="P1049" s="26"/>
    </row>
    <row r="1050" spans="1:16" ht="15.75" customHeight="1" x14ac:dyDescent="0.35">
      <c r="A1050" s="960"/>
      <c r="B1050" s="26"/>
      <c r="E1050" s="26"/>
      <c r="F1050" s="61"/>
      <c r="G1050" s="26"/>
      <c r="H1050" s="26"/>
      <c r="I1050" s="26"/>
      <c r="J1050" s="26"/>
      <c r="K1050" s="26"/>
      <c r="L1050" s="26"/>
      <c r="M1050" s="26"/>
      <c r="N1050" s="26"/>
      <c r="O1050" s="26"/>
      <c r="P1050" s="26"/>
    </row>
    <row r="1051" spans="1:16" ht="15.75" customHeight="1" x14ac:dyDescent="0.35">
      <c r="A1051" s="960"/>
      <c r="B1051" s="26"/>
      <c r="E1051" s="26"/>
      <c r="F1051" s="61"/>
      <c r="G1051" s="26"/>
      <c r="H1051" s="26"/>
      <c r="I1051" s="26"/>
      <c r="J1051" s="26"/>
      <c r="K1051" s="26"/>
      <c r="L1051" s="26"/>
      <c r="M1051" s="26"/>
      <c r="N1051" s="26"/>
      <c r="O1051" s="26"/>
      <c r="P1051" s="26"/>
    </row>
    <row r="1052" spans="1:16" ht="15.75" customHeight="1" x14ac:dyDescent="0.35">
      <c r="A1052" s="960"/>
      <c r="B1052" s="26"/>
      <c r="E1052" s="26"/>
      <c r="F1052" s="61"/>
      <c r="G1052" s="26"/>
      <c r="H1052" s="26"/>
      <c r="I1052" s="26"/>
      <c r="J1052" s="26"/>
      <c r="K1052" s="26"/>
      <c r="L1052" s="26"/>
      <c r="M1052" s="26"/>
      <c r="N1052" s="26"/>
      <c r="O1052" s="26"/>
      <c r="P1052" s="26"/>
    </row>
    <row r="1053" spans="1:16" ht="15.75" customHeight="1" x14ac:dyDescent="0.35">
      <c r="A1053" s="960"/>
      <c r="B1053" s="26"/>
      <c r="E1053" s="26"/>
      <c r="F1053" s="61"/>
      <c r="G1053" s="26"/>
      <c r="H1053" s="26"/>
      <c r="I1053" s="26"/>
      <c r="J1053" s="26"/>
      <c r="K1053" s="26"/>
      <c r="L1053" s="26"/>
      <c r="M1053" s="26"/>
      <c r="N1053" s="26"/>
      <c r="O1053" s="26"/>
      <c r="P1053" s="26"/>
    </row>
    <row r="1054" spans="1:16" ht="15.75" customHeight="1" x14ac:dyDescent="0.35">
      <c r="A1054" s="960"/>
      <c r="B1054" s="26"/>
      <c r="E1054" s="26"/>
      <c r="F1054" s="61"/>
      <c r="G1054" s="26"/>
      <c r="H1054" s="26"/>
      <c r="I1054" s="26"/>
      <c r="J1054" s="26"/>
      <c r="K1054" s="26"/>
      <c r="L1054" s="26"/>
      <c r="M1054" s="26"/>
      <c r="N1054" s="26"/>
      <c r="O1054" s="26"/>
      <c r="P1054" s="26"/>
    </row>
  </sheetData>
  <mergeCells count="29">
    <mergeCell ref="A281:A287"/>
    <mergeCell ref="A290:A296"/>
    <mergeCell ref="A247:A253"/>
    <mergeCell ref="A255:A261"/>
    <mergeCell ref="A265:A279"/>
    <mergeCell ref="E265:K279"/>
    <mergeCell ref="A98:A112"/>
    <mergeCell ref="E98:K112"/>
    <mergeCell ref="A117:A131"/>
    <mergeCell ref="E117:K131"/>
    <mergeCell ref="C135:E135"/>
    <mergeCell ref="A138:A154"/>
    <mergeCell ref="A158:A174"/>
    <mergeCell ref="A189:A191"/>
    <mergeCell ref="A193:A199"/>
    <mergeCell ref="A209:A211"/>
    <mergeCell ref="A213:A219"/>
    <mergeCell ref="A239:A245"/>
    <mergeCell ref="A205:A208"/>
    <mergeCell ref="A48:A70"/>
    <mergeCell ref="A83:A84"/>
    <mergeCell ref="E138:K154"/>
    <mergeCell ref="E158:K174"/>
    <mergeCell ref="A185:A188"/>
    <mergeCell ref="A8:A22"/>
    <mergeCell ref="E8:K22"/>
    <mergeCell ref="A24:A38"/>
    <mergeCell ref="E24:K38"/>
    <mergeCell ref="A43:A46"/>
  </mergeCells>
  <conditionalFormatting sqref="L98:P112">
    <cfRule type="cellIs" dxfId="6" priority="2" operator="equal">
      <formula>0</formula>
    </cfRule>
  </conditionalFormatting>
  <conditionalFormatting sqref="L117:P131">
    <cfRule type="cellIs" dxfId="5" priority="3" operator="equal">
      <formula>0</formula>
    </cfRule>
  </conditionalFormatting>
  <conditionalFormatting sqref="L265:P279">
    <cfRule type="cellIs" dxfId="4" priority="1" operator="equal">
      <formula>0</formula>
    </cfRule>
  </conditionalFormatting>
  <conditionalFormatting sqref="L8:BM22 L24:BM38">
    <cfRule type="cellIs" dxfId="3" priority="4" operator="equal">
      <formula>0</formula>
    </cfRule>
  </conditionalFormatting>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DF4"/>
  </sheetPr>
  <dimension ref="A1:BW563"/>
  <sheetViews>
    <sheetView workbookViewId="0">
      <pane xSplit="2" ySplit="1" topLeftCell="AN95" activePane="bottomRight" state="frozen"/>
      <selection pane="topRight" activeCell="C1" sqref="C1"/>
      <selection pane="bottomLeft" activeCell="A2" sqref="A2"/>
      <selection pane="bottomRight" activeCell="AQ118" sqref="AQ118"/>
    </sheetView>
  </sheetViews>
  <sheetFormatPr defaultColWidth="12.58203125" defaultRowHeight="15" customHeight="1" x14ac:dyDescent="0.3"/>
  <cols>
    <col min="1" max="1" width="12" customWidth="1"/>
    <col min="2" max="2" width="52.1640625" customWidth="1"/>
    <col min="3" max="3" width="11.4140625" hidden="1" customWidth="1"/>
    <col min="4" max="4" width="11.6640625" hidden="1" customWidth="1"/>
    <col min="5" max="7" width="14" hidden="1" customWidth="1"/>
    <col min="8" max="8" width="11.1640625" customWidth="1"/>
    <col min="9" max="14" width="14" customWidth="1"/>
    <col min="15" max="42" width="10.4140625" customWidth="1"/>
    <col min="43" max="43" width="13.08203125" customWidth="1"/>
    <col min="44" max="44" width="3" customWidth="1"/>
    <col min="45" max="45" width="21.1640625" customWidth="1"/>
    <col min="46" max="75" width="13.58203125" customWidth="1"/>
  </cols>
  <sheetData>
    <row r="1" spans="1:75" ht="14.25" customHeight="1" x14ac:dyDescent="0.4">
      <c r="A1" s="94"/>
      <c r="B1" s="5" t="s">
        <v>1</v>
      </c>
      <c r="C1" s="121">
        <v>2010</v>
      </c>
      <c r="D1" s="121">
        <v>2011</v>
      </c>
      <c r="E1" s="122">
        <v>2012</v>
      </c>
      <c r="F1" s="122">
        <v>2013</v>
      </c>
      <c r="G1" s="5">
        <v>2014</v>
      </c>
      <c r="H1" s="3">
        <v>2015</v>
      </c>
      <c r="I1" s="3">
        <v>2016</v>
      </c>
      <c r="J1" s="3">
        <v>2017</v>
      </c>
      <c r="K1" s="3">
        <v>2018</v>
      </c>
      <c r="L1" s="3">
        <v>2019</v>
      </c>
      <c r="M1" s="3">
        <v>2020</v>
      </c>
      <c r="N1" s="3">
        <v>2021</v>
      </c>
      <c r="O1" s="3">
        <v>2022</v>
      </c>
      <c r="P1" s="3">
        <v>2023</v>
      </c>
      <c r="Q1" s="3">
        <v>2024</v>
      </c>
      <c r="R1" s="3">
        <v>2025</v>
      </c>
      <c r="S1" s="3">
        <v>2026</v>
      </c>
      <c r="T1" s="3">
        <v>2027</v>
      </c>
      <c r="U1" s="3">
        <v>2028</v>
      </c>
      <c r="V1" s="3">
        <v>2029</v>
      </c>
      <c r="W1" s="3">
        <v>2030</v>
      </c>
      <c r="X1" s="3">
        <v>2031</v>
      </c>
      <c r="Y1" s="3">
        <v>2032</v>
      </c>
      <c r="Z1" s="3">
        <v>2033</v>
      </c>
      <c r="AA1" s="3">
        <v>2034</v>
      </c>
      <c r="AB1" s="3">
        <v>2035</v>
      </c>
      <c r="AC1" s="3">
        <v>2036</v>
      </c>
      <c r="AD1" s="3">
        <v>2037</v>
      </c>
      <c r="AE1" s="3">
        <v>2038</v>
      </c>
      <c r="AF1" s="3">
        <v>2039</v>
      </c>
      <c r="AG1" s="3">
        <v>2040</v>
      </c>
      <c r="AH1" s="3">
        <v>2041</v>
      </c>
      <c r="AI1" s="3">
        <v>2042</v>
      </c>
      <c r="AJ1" s="3">
        <v>2043</v>
      </c>
      <c r="AK1" s="3">
        <v>2044</v>
      </c>
      <c r="AL1" s="3">
        <v>2045</v>
      </c>
      <c r="AM1" s="3">
        <v>2046</v>
      </c>
      <c r="AN1" s="3">
        <v>2047</v>
      </c>
      <c r="AO1" s="3">
        <v>2048</v>
      </c>
      <c r="AP1" s="3">
        <v>2049</v>
      </c>
      <c r="AQ1" s="3">
        <v>2050</v>
      </c>
      <c r="AR1" s="6"/>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row>
    <row r="2" spans="1:75" ht="14.25" customHeight="1" x14ac:dyDescent="0.3">
      <c r="A2" s="95"/>
      <c r="B2" s="45"/>
      <c r="C2" s="45"/>
      <c r="D2" s="45"/>
      <c r="E2" s="45"/>
      <c r="F2" s="45"/>
      <c r="G2" s="45"/>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45"/>
    </row>
    <row r="3" spans="1:75" ht="26" x14ac:dyDescent="0.3">
      <c r="A3" s="96"/>
      <c r="B3" s="44" t="s">
        <v>358</v>
      </c>
      <c r="C3" s="44"/>
      <c r="D3" s="45"/>
      <c r="E3" s="45"/>
      <c r="F3" s="45"/>
      <c r="G3" s="45"/>
      <c r="H3" s="944"/>
      <c r="I3" s="944"/>
      <c r="J3" s="944"/>
      <c r="K3" s="944"/>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45"/>
      <c r="AS3" s="45"/>
      <c r="AT3" s="45"/>
      <c r="AU3" s="45"/>
    </row>
    <row r="4" spans="1:75" ht="14.25" customHeight="1" x14ac:dyDescent="0.3">
      <c r="A4" s="95"/>
      <c r="B4" s="45"/>
      <c r="C4" s="45"/>
      <c r="D4" s="45"/>
      <c r="E4" s="45"/>
      <c r="F4" s="45"/>
      <c r="G4" s="45"/>
      <c r="H4" s="944"/>
      <c r="I4" s="944"/>
      <c r="J4" s="944"/>
      <c r="K4" s="944"/>
      <c r="L4" s="944"/>
      <c r="M4" s="944"/>
      <c r="N4" s="944"/>
      <c r="O4" s="944"/>
      <c r="P4" s="944"/>
      <c r="Q4" s="944"/>
      <c r="R4" s="944"/>
      <c r="S4" s="944"/>
      <c r="T4" s="944"/>
      <c r="U4" s="944"/>
      <c r="V4" s="944"/>
      <c r="W4" s="944"/>
      <c r="X4" s="944"/>
      <c r="Y4" s="944"/>
      <c r="Z4" s="944"/>
      <c r="AA4" s="944"/>
      <c r="AB4" s="944"/>
      <c r="AC4" s="944"/>
      <c r="AD4" s="944"/>
      <c r="AE4" s="944"/>
      <c r="AF4" s="944"/>
      <c r="AG4" s="944"/>
      <c r="AH4" s="944"/>
      <c r="AI4" s="944"/>
      <c r="AJ4" s="944"/>
      <c r="AK4" s="944"/>
      <c r="AL4" s="944"/>
      <c r="AM4" s="944"/>
      <c r="AN4" s="944"/>
      <c r="AO4" s="944"/>
      <c r="AP4" s="944"/>
      <c r="AQ4" s="944"/>
      <c r="AR4" s="45"/>
    </row>
    <row r="5" spans="1:75" ht="14.25" customHeight="1" x14ac:dyDescent="0.3">
      <c r="A5" s="97"/>
      <c r="B5" s="175"/>
      <c r="C5" s="175"/>
      <c r="D5" s="175"/>
      <c r="E5" s="175"/>
      <c r="F5" s="175"/>
      <c r="G5" s="175"/>
      <c r="H5" s="176"/>
      <c r="I5" s="176"/>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47"/>
    </row>
    <row r="6" spans="1:75" ht="14.25" hidden="1" customHeight="1" x14ac:dyDescent="0.3">
      <c r="A6" s="324"/>
      <c r="B6" s="184" t="s">
        <v>360</v>
      </c>
      <c r="C6" s="179"/>
      <c r="D6" s="179"/>
      <c r="E6" s="179"/>
      <c r="F6" s="179"/>
      <c r="G6" s="179"/>
      <c r="H6" s="180"/>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2"/>
    </row>
    <row r="7" spans="1:75" ht="14.25" hidden="1" customHeight="1" x14ac:dyDescent="0.3">
      <c r="A7" s="324"/>
      <c r="B7" s="185" t="s">
        <v>818</v>
      </c>
      <c r="C7" s="186">
        <v>380754</v>
      </c>
      <c r="D7" s="186">
        <v>336433</v>
      </c>
      <c r="E7" s="186">
        <v>336047</v>
      </c>
      <c r="F7" s="186">
        <v>369316</v>
      </c>
      <c r="G7" s="186">
        <v>331824</v>
      </c>
      <c r="H7" s="187">
        <v>318888</v>
      </c>
      <c r="I7" s="187">
        <v>296332</v>
      </c>
      <c r="J7" s="187">
        <v>294212</v>
      </c>
      <c r="K7" s="187">
        <v>298975</v>
      </c>
      <c r="L7" s="187">
        <v>350644</v>
      </c>
      <c r="M7" s="187">
        <v>310582</v>
      </c>
      <c r="N7" s="187">
        <v>296754</v>
      </c>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2"/>
    </row>
    <row r="8" spans="1:75" ht="14.25" hidden="1" customHeight="1" x14ac:dyDescent="0.3">
      <c r="A8" s="324"/>
      <c r="B8" s="185" t="s">
        <v>362</v>
      </c>
      <c r="C8" s="186">
        <v>470054</v>
      </c>
      <c r="D8" s="186">
        <v>521091</v>
      </c>
      <c r="E8" s="186">
        <v>507721</v>
      </c>
      <c r="F8" s="186">
        <v>508885</v>
      </c>
      <c r="G8" s="186">
        <v>487316</v>
      </c>
      <c r="H8" s="187">
        <v>537410</v>
      </c>
      <c r="I8" s="187">
        <v>559617</v>
      </c>
      <c r="J8" s="187">
        <v>573516</v>
      </c>
      <c r="K8" s="187">
        <v>573833</v>
      </c>
      <c r="L8" s="187">
        <v>601954</v>
      </c>
      <c r="M8" s="187">
        <v>590579</v>
      </c>
      <c r="N8" s="187">
        <v>626962</v>
      </c>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2"/>
    </row>
    <row r="9" spans="1:75" ht="14.25" hidden="1" customHeight="1" x14ac:dyDescent="0.3">
      <c r="A9" s="324"/>
      <c r="B9" s="185" t="s">
        <v>363</v>
      </c>
      <c r="C9" s="186">
        <v>191080</v>
      </c>
      <c r="D9" s="186">
        <v>122856</v>
      </c>
      <c r="E9" s="186">
        <v>113029</v>
      </c>
      <c r="F9" s="186">
        <v>97684</v>
      </c>
      <c r="G9" s="186">
        <v>70269</v>
      </c>
      <c r="H9" s="187">
        <v>79744</v>
      </c>
      <c r="I9" s="187">
        <v>55898</v>
      </c>
      <c r="J9" s="187">
        <v>52714</v>
      </c>
      <c r="K9" s="187">
        <v>45852</v>
      </c>
      <c r="L9" s="187">
        <v>48097</v>
      </c>
      <c r="M9" s="187">
        <v>34789</v>
      </c>
      <c r="N9" s="187">
        <v>34931</v>
      </c>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2"/>
    </row>
    <row r="10" spans="1:75" ht="14.25" hidden="1" customHeight="1" x14ac:dyDescent="0.3">
      <c r="A10" s="324"/>
      <c r="B10" s="185" t="s">
        <v>364</v>
      </c>
      <c r="C10" s="186">
        <v>156530</v>
      </c>
      <c r="D10" s="186">
        <v>137829</v>
      </c>
      <c r="E10" s="186">
        <v>150448</v>
      </c>
      <c r="F10" s="186">
        <v>163476</v>
      </c>
      <c r="G10" s="186">
        <v>139467</v>
      </c>
      <c r="H10" s="187">
        <v>104557.78184174711</v>
      </c>
      <c r="I10" s="187">
        <v>125587</v>
      </c>
      <c r="J10" s="187">
        <v>134950</v>
      </c>
      <c r="K10" s="187">
        <v>132771</v>
      </c>
      <c r="L10" s="187">
        <v>144116</v>
      </c>
      <c r="M10" s="187">
        <v>157986</v>
      </c>
      <c r="N10" s="187">
        <v>151764</v>
      </c>
      <c r="O10" s="187"/>
      <c r="P10" s="187"/>
      <c r="Q10" s="187"/>
      <c r="R10" s="187"/>
      <c r="S10" s="187"/>
      <c r="T10" s="187"/>
      <c r="U10" s="187"/>
      <c r="V10" s="187"/>
      <c r="W10" s="187"/>
      <c r="X10" s="187"/>
      <c r="Y10" s="187"/>
      <c r="Z10" s="187"/>
      <c r="AA10" s="187"/>
      <c r="AB10" s="187"/>
      <c r="AC10" s="187"/>
      <c r="AD10" s="187"/>
      <c r="AE10" s="187"/>
      <c r="AF10" s="187"/>
      <c r="AG10" s="187"/>
      <c r="AH10" s="187"/>
      <c r="AI10" s="187"/>
      <c r="AJ10" s="187"/>
      <c r="AK10" s="187"/>
      <c r="AL10" s="187"/>
      <c r="AM10" s="187"/>
      <c r="AN10" s="187"/>
      <c r="AO10" s="187"/>
      <c r="AP10" s="187"/>
      <c r="AQ10" s="187"/>
      <c r="AR10" s="182"/>
    </row>
    <row r="11" spans="1:75" ht="14.25" hidden="1" customHeight="1" x14ac:dyDescent="0.3">
      <c r="A11" s="324"/>
      <c r="B11" s="185" t="s">
        <v>365</v>
      </c>
      <c r="C11" s="186">
        <v>476148</v>
      </c>
      <c r="D11" s="186">
        <v>650105</v>
      </c>
      <c r="E11" s="186">
        <v>532003</v>
      </c>
      <c r="F11" s="186">
        <v>530612</v>
      </c>
      <c r="G11" s="186">
        <v>518393</v>
      </c>
      <c r="H11" s="187">
        <v>572123</v>
      </c>
      <c r="I11" s="187">
        <v>425737</v>
      </c>
      <c r="J11" s="187">
        <v>482482</v>
      </c>
      <c r="K11" s="187">
        <v>461547</v>
      </c>
      <c r="L11" s="187">
        <v>405259</v>
      </c>
      <c r="M11" s="187">
        <v>444681</v>
      </c>
      <c r="N11" s="187">
        <v>453718</v>
      </c>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2"/>
    </row>
    <row r="12" spans="1:75" ht="13.5" hidden="1" customHeight="1" x14ac:dyDescent="0.3">
      <c r="A12" s="324"/>
      <c r="B12" s="185" t="s">
        <v>366</v>
      </c>
      <c r="C12" s="186">
        <v>248199</v>
      </c>
      <c r="D12" s="186">
        <v>244574</v>
      </c>
      <c r="E12" s="186">
        <v>240333</v>
      </c>
      <c r="F12" s="186">
        <v>288199</v>
      </c>
      <c r="G12" s="186">
        <v>387799</v>
      </c>
      <c r="H12" s="187">
        <v>369406</v>
      </c>
      <c r="I12" s="187">
        <v>319602</v>
      </c>
      <c r="J12" s="187">
        <v>313882</v>
      </c>
      <c r="K12" s="187">
        <v>267760</v>
      </c>
      <c r="L12" s="187">
        <v>246574</v>
      </c>
      <c r="M12" s="187">
        <v>256854</v>
      </c>
      <c r="N12" s="187">
        <v>225575</v>
      </c>
      <c r="O12" s="187"/>
      <c r="P12" s="187"/>
      <c r="Q12" s="187"/>
      <c r="R12" s="187"/>
      <c r="S12" s="187"/>
      <c r="T12" s="187"/>
      <c r="U12" s="187"/>
      <c r="V12" s="187"/>
      <c r="W12" s="187"/>
      <c r="X12" s="187"/>
      <c r="Y12" s="187"/>
      <c r="Z12" s="187"/>
      <c r="AA12" s="187"/>
      <c r="AB12" s="187"/>
      <c r="AC12" s="187"/>
      <c r="AD12" s="187"/>
      <c r="AE12" s="187"/>
      <c r="AF12" s="187"/>
      <c r="AG12" s="187"/>
      <c r="AH12" s="187"/>
      <c r="AI12" s="187"/>
      <c r="AJ12" s="187"/>
      <c r="AK12" s="187"/>
      <c r="AL12" s="187"/>
      <c r="AM12" s="187"/>
      <c r="AN12" s="187"/>
      <c r="AO12" s="187"/>
      <c r="AP12" s="187"/>
      <c r="AQ12" s="187"/>
      <c r="AR12" s="182"/>
    </row>
    <row r="13" spans="1:75" ht="14.25" hidden="1" customHeight="1" x14ac:dyDescent="0.3">
      <c r="A13" s="324"/>
      <c r="B13" s="185" t="s">
        <v>368</v>
      </c>
      <c r="C13" s="188">
        <v>0</v>
      </c>
      <c r="D13" s="188">
        <v>0</v>
      </c>
      <c r="E13" s="188">
        <v>0</v>
      </c>
      <c r="F13" s="188">
        <v>0</v>
      </c>
      <c r="G13" s="186">
        <v>28290.797925940002</v>
      </c>
      <c r="H13" s="187">
        <v>23277.033257341456</v>
      </c>
      <c r="I13" s="187">
        <v>27322.836046693559</v>
      </c>
      <c r="J13" s="187">
        <v>28542.580615903749</v>
      </c>
      <c r="K13" s="187">
        <v>23358.380584547071</v>
      </c>
      <c r="L13" s="187">
        <v>27960.008202566925</v>
      </c>
      <c r="M13" s="187">
        <v>20921.872758601574</v>
      </c>
      <c r="N13" s="187">
        <v>18807.754924945446</v>
      </c>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2"/>
    </row>
    <row r="14" spans="1:75" ht="13.5" hidden="1" customHeight="1" x14ac:dyDescent="0.3">
      <c r="A14" s="324"/>
      <c r="B14" s="185" t="s">
        <v>369</v>
      </c>
      <c r="C14" s="189">
        <v>0</v>
      </c>
      <c r="D14" s="189">
        <v>0</v>
      </c>
      <c r="E14" s="189">
        <v>0</v>
      </c>
      <c r="F14" s="189">
        <v>0</v>
      </c>
      <c r="G14" s="189">
        <v>0</v>
      </c>
      <c r="H14" s="187">
        <v>11011.083479568757</v>
      </c>
      <c r="I14" s="187">
        <v>6858.9586998662153</v>
      </c>
      <c r="J14" s="187">
        <v>7691.3355865896547</v>
      </c>
      <c r="K14" s="187">
        <v>6376.2150614646989</v>
      </c>
      <c r="L14" s="187">
        <v>5242.5295496718272</v>
      </c>
      <c r="M14" s="187">
        <v>7438.9026361996184</v>
      </c>
      <c r="N14" s="187">
        <v>4332.7007360931229</v>
      </c>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2"/>
    </row>
    <row r="15" spans="1:75" ht="14.25" hidden="1" customHeight="1" x14ac:dyDescent="0.3">
      <c r="A15" s="324"/>
      <c r="B15" s="185" t="s">
        <v>370</v>
      </c>
      <c r="C15" s="186">
        <v>118954</v>
      </c>
      <c r="D15" s="186">
        <v>153977</v>
      </c>
      <c r="E15" s="186">
        <v>113577</v>
      </c>
      <c r="F15" s="186">
        <v>94706</v>
      </c>
      <c r="G15" s="186">
        <v>81821</v>
      </c>
      <c r="H15" s="187">
        <v>79090</v>
      </c>
      <c r="I15" s="187">
        <v>62613</v>
      </c>
      <c r="J15" s="187">
        <v>73792</v>
      </c>
      <c r="K15" s="187">
        <v>45638</v>
      </c>
      <c r="L15" s="187">
        <v>47367</v>
      </c>
      <c r="M15" s="187">
        <v>41949</v>
      </c>
      <c r="N15" s="187">
        <v>59410</v>
      </c>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2"/>
    </row>
    <row r="16" spans="1:75" ht="14.25" hidden="1" customHeight="1" x14ac:dyDescent="0.3">
      <c r="A16" s="324"/>
      <c r="B16" s="185" t="s">
        <v>371</v>
      </c>
      <c r="C16" s="186">
        <v>37898</v>
      </c>
      <c r="D16" s="186">
        <v>38441</v>
      </c>
      <c r="E16" s="186">
        <v>30415</v>
      </c>
      <c r="F16" s="186">
        <v>35697</v>
      </c>
      <c r="G16" s="186">
        <v>23299</v>
      </c>
      <c r="H16" s="187">
        <v>22364</v>
      </c>
      <c r="I16" s="187">
        <v>26372</v>
      </c>
      <c r="J16" s="187">
        <v>18065</v>
      </c>
      <c r="K16" s="187">
        <v>15675</v>
      </c>
      <c r="L16" s="187">
        <v>15810</v>
      </c>
      <c r="M16" s="187">
        <v>23879</v>
      </c>
      <c r="N16" s="187">
        <v>19669</v>
      </c>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2"/>
    </row>
    <row r="17" spans="1:44" ht="14.25" hidden="1" customHeight="1" x14ac:dyDescent="0.3">
      <c r="A17" s="324"/>
      <c r="B17" s="185" t="s">
        <v>372</v>
      </c>
      <c r="C17" s="186">
        <v>68726</v>
      </c>
      <c r="D17" s="186">
        <v>68434</v>
      </c>
      <c r="E17" s="186">
        <v>52699</v>
      </c>
      <c r="F17" s="186">
        <v>70423</v>
      </c>
      <c r="G17" s="186">
        <v>54781</v>
      </c>
      <c r="H17" s="187">
        <v>51131</v>
      </c>
      <c r="I17" s="187">
        <v>51262</v>
      </c>
      <c r="J17" s="187">
        <v>49539</v>
      </c>
      <c r="K17" s="187">
        <v>39402</v>
      </c>
      <c r="L17" s="187">
        <v>35995</v>
      </c>
      <c r="M17" s="187">
        <v>36186</v>
      </c>
      <c r="N17" s="187">
        <v>39581</v>
      </c>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2"/>
    </row>
    <row r="18" spans="1:44" ht="14.25" hidden="1" customHeight="1" x14ac:dyDescent="0.3">
      <c r="A18" s="324"/>
      <c r="B18" s="185" t="s">
        <v>373</v>
      </c>
      <c r="C18" s="186">
        <v>51991</v>
      </c>
      <c r="D18" s="186">
        <v>40003</v>
      </c>
      <c r="E18" s="186">
        <v>31389</v>
      </c>
      <c r="F18" s="186">
        <v>28607</v>
      </c>
      <c r="G18" s="186">
        <v>40689</v>
      </c>
      <c r="H18" s="187">
        <v>52012</v>
      </c>
      <c r="I18" s="187">
        <v>39586</v>
      </c>
      <c r="J18" s="187">
        <v>44818</v>
      </c>
      <c r="K18" s="187">
        <v>38236</v>
      </c>
      <c r="L18" s="187">
        <v>35449</v>
      </c>
      <c r="M18" s="187">
        <v>41334</v>
      </c>
      <c r="N18" s="187">
        <v>41982</v>
      </c>
      <c r="O18" s="187"/>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2"/>
    </row>
    <row r="19" spans="1:44" ht="14.25" hidden="1" customHeight="1" x14ac:dyDescent="0.3">
      <c r="A19" s="324"/>
      <c r="B19" s="185" t="s">
        <v>374</v>
      </c>
      <c r="C19" s="186">
        <v>2798</v>
      </c>
      <c r="D19" s="186">
        <v>1668</v>
      </c>
      <c r="E19" s="186">
        <v>3115</v>
      </c>
      <c r="F19" s="186">
        <v>1353</v>
      </c>
      <c r="G19" s="186">
        <v>9844</v>
      </c>
      <c r="H19" s="187">
        <v>10361</v>
      </c>
      <c r="I19" s="187">
        <v>15758</v>
      </c>
      <c r="J19" s="187">
        <v>22174</v>
      </c>
      <c r="K19" s="187">
        <v>22916</v>
      </c>
      <c r="L19" s="187">
        <v>18966</v>
      </c>
      <c r="M19" s="187">
        <v>17248</v>
      </c>
      <c r="N19" s="187">
        <v>13711</v>
      </c>
      <c r="O19" s="187"/>
      <c r="P19" s="187"/>
      <c r="Q19" s="187"/>
      <c r="R19" s="187"/>
      <c r="S19" s="187"/>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2"/>
    </row>
    <row r="20" spans="1:44" ht="14.25" hidden="1" customHeight="1" x14ac:dyDescent="0.3">
      <c r="A20" s="324"/>
      <c r="B20" s="185" t="s">
        <v>375</v>
      </c>
      <c r="C20" s="186">
        <v>5961</v>
      </c>
      <c r="D20" s="186">
        <v>6595</v>
      </c>
      <c r="E20" s="186">
        <v>6682</v>
      </c>
      <c r="F20" s="186">
        <v>9327</v>
      </c>
      <c r="G20" s="186">
        <v>6867</v>
      </c>
      <c r="H20" s="187">
        <v>7724</v>
      </c>
      <c r="I20" s="187">
        <v>8454</v>
      </c>
      <c r="J20" s="187">
        <v>9986</v>
      </c>
      <c r="K20" s="187">
        <v>7508</v>
      </c>
      <c r="L20" s="187">
        <v>9316</v>
      </c>
      <c r="M20" s="187">
        <v>5218</v>
      </c>
      <c r="N20" s="187">
        <v>7464</v>
      </c>
      <c r="O20" s="187"/>
      <c r="P20" s="187"/>
      <c r="Q20" s="187"/>
      <c r="R20" s="187"/>
      <c r="S20" s="187"/>
      <c r="T20" s="187"/>
      <c r="U20" s="187"/>
      <c r="V20" s="187"/>
      <c r="W20" s="187"/>
      <c r="X20" s="187"/>
      <c r="Y20" s="187"/>
      <c r="Z20" s="187"/>
      <c r="AA20" s="187"/>
      <c r="AB20" s="187"/>
      <c r="AC20" s="187"/>
      <c r="AD20" s="187"/>
      <c r="AE20" s="187"/>
      <c r="AF20" s="187"/>
      <c r="AG20" s="187"/>
      <c r="AH20" s="187"/>
      <c r="AI20" s="187"/>
      <c r="AJ20" s="187"/>
      <c r="AK20" s="187"/>
      <c r="AL20" s="187"/>
      <c r="AM20" s="187"/>
      <c r="AN20" s="187"/>
      <c r="AO20" s="187"/>
      <c r="AP20" s="187"/>
      <c r="AQ20" s="187"/>
      <c r="AR20" s="182"/>
    </row>
    <row r="21" spans="1:44" ht="14.25" hidden="1" customHeight="1" x14ac:dyDescent="0.3">
      <c r="A21" s="324"/>
      <c r="B21" s="185"/>
      <c r="C21" s="186"/>
      <c r="D21" s="186"/>
      <c r="E21" s="186"/>
      <c r="F21" s="186"/>
      <c r="G21" s="186"/>
      <c r="H21" s="187"/>
      <c r="I21" s="187"/>
      <c r="J21" s="187"/>
      <c r="K21" s="187"/>
      <c r="L21" s="187"/>
      <c r="M21" s="187"/>
      <c r="N21" s="187"/>
      <c r="O21" s="187"/>
      <c r="P21" s="187"/>
      <c r="Q21" s="187"/>
      <c r="R21" s="187"/>
      <c r="S21" s="187"/>
      <c r="T21" s="187"/>
      <c r="U21" s="187"/>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2"/>
    </row>
    <row r="22" spans="1:44" ht="12.75" customHeight="1" x14ac:dyDescent="0.3">
      <c r="A22" s="324"/>
      <c r="B22" s="184" t="s">
        <v>376</v>
      </c>
      <c r="C22" s="179"/>
      <c r="D22" s="179"/>
      <c r="E22" s="179"/>
      <c r="F22" s="179"/>
      <c r="G22" s="179"/>
      <c r="H22" s="180"/>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2"/>
    </row>
    <row r="23" spans="1:44" ht="14.25" customHeight="1" x14ac:dyDescent="0.3">
      <c r="A23" s="1206" t="s">
        <v>819</v>
      </c>
      <c r="B23" s="185" t="s">
        <v>820</v>
      </c>
      <c r="C23" s="190">
        <f t="shared" ref="C23:N23" si="0">C7/1000000</f>
        <v>0.38075399999999998</v>
      </c>
      <c r="D23" s="190">
        <f t="shared" si="0"/>
        <v>0.33643299999999998</v>
      </c>
      <c r="E23" s="190">
        <f t="shared" si="0"/>
        <v>0.33604699999999998</v>
      </c>
      <c r="F23" s="190">
        <f t="shared" si="0"/>
        <v>0.36931599999999998</v>
      </c>
      <c r="G23" s="190">
        <f t="shared" si="0"/>
        <v>0.33182400000000001</v>
      </c>
      <c r="H23" s="191">
        <f t="shared" si="0"/>
        <v>0.318888</v>
      </c>
      <c r="I23" s="191">
        <f t="shared" si="0"/>
        <v>0.29633199999999998</v>
      </c>
      <c r="J23" s="191">
        <f t="shared" si="0"/>
        <v>0.29421199999999997</v>
      </c>
      <c r="K23" s="191">
        <f t="shared" si="0"/>
        <v>0.29897499999999999</v>
      </c>
      <c r="L23" s="191">
        <f t="shared" si="0"/>
        <v>0.35064400000000001</v>
      </c>
      <c r="M23" s="191">
        <f t="shared" si="0"/>
        <v>0.31058200000000002</v>
      </c>
      <c r="N23" s="191">
        <f t="shared" si="0"/>
        <v>0.29675400000000002</v>
      </c>
      <c r="O23" s="181">
        <v>0.29916407139292056</v>
      </c>
      <c r="P23" s="181">
        <v>0.29768215495463918</v>
      </c>
      <c r="Q23" s="181">
        <v>0.31582134989255906</v>
      </c>
      <c r="R23" s="181">
        <v>0.31636657604970742</v>
      </c>
      <c r="S23" s="181">
        <v>0.33535448111921873</v>
      </c>
      <c r="T23" s="181">
        <v>0.34369266001352394</v>
      </c>
      <c r="U23" s="181">
        <v>0.3524068776927603</v>
      </c>
      <c r="V23" s="181">
        <v>0.36016650648211984</v>
      </c>
      <c r="W23" s="181">
        <v>0.36923963369589752</v>
      </c>
      <c r="X23" s="181">
        <v>0.3777937886025286</v>
      </c>
      <c r="Y23" s="181">
        <v>0.38683603400426847</v>
      </c>
      <c r="Z23" s="181">
        <v>0.39686893160626613</v>
      </c>
      <c r="AA23" s="181">
        <v>0.40680797950218445</v>
      </c>
      <c r="AB23" s="181">
        <v>0.41711222509210955</v>
      </c>
      <c r="AC23" s="181">
        <v>0.42636193604507311</v>
      </c>
      <c r="AD23" s="181">
        <v>0.43561214456586511</v>
      </c>
      <c r="AE23" s="181">
        <v>0.44570765804743911</v>
      </c>
      <c r="AF23" s="181">
        <v>0.45577837686905581</v>
      </c>
      <c r="AG23" s="181">
        <v>0.4668341021313468</v>
      </c>
      <c r="AH23" s="181">
        <v>0.47720882129543957</v>
      </c>
      <c r="AI23" s="181">
        <v>0.48798094842874201</v>
      </c>
      <c r="AJ23" s="181">
        <v>0.49831282420755235</v>
      </c>
      <c r="AK23" s="181">
        <v>0.50880786282445756</v>
      </c>
      <c r="AL23" s="181">
        <v>0.51887465332330263</v>
      </c>
      <c r="AM23" s="181">
        <v>0.52981399144288799</v>
      </c>
      <c r="AN23" s="181">
        <v>0.54028319619746845</v>
      </c>
      <c r="AO23" s="181">
        <v>0.55143821025237494</v>
      </c>
      <c r="AP23" s="181">
        <v>0.56219828796665716</v>
      </c>
      <c r="AQ23" s="181">
        <v>0.57302137981611301</v>
      </c>
      <c r="AR23" s="182"/>
    </row>
    <row r="24" spans="1:44" ht="14.25" customHeight="1" x14ac:dyDescent="0.3">
      <c r="A24" s="995"/>
      <c r="B24" s="185" t="s">
        <v>378</v>
      </c>
      <c r="C24" s="190">
        <f t="shared" ref="C24:N24" si="1">C8/1000000</f>
        <v>0.47005400000000003</v>
      </c>
      <c r="D24" s="190">
        <f t="shared" si="1"/>
        <v>0.52109099999999997</v>
      </c>
      <c r="E24" s="190">
        <f t="shared" si="1"/>
        <v>0.50772099999999998</v>
      </c>
      <c r="F24" s="190">
        <f t="shared" si="1"/>
        <v>0.50888500000000003</v>
      </c>
      <c r="G24" s="190">
        <f t="shared" si="1"/>
        <v>0.48731600000000003</v>
      </c>
      <c r="H24" s="191">
        <f t="shared" si="1"/>
        <v>0.53741000000000005</v>
      </c>
      <c r="I24" s="191">
        <f t="shared" si="1"/>
        <v>0.55961700000000003</v>
      </c>
      <c r="J24" s="191">
        <f t="shared" si="1"/>
        <v>0.57351600000000003</v>
      </c>
      <c r="K24" s="191">
        <f t="shared" si="1"/>
        <v>0.57383300000000004</v>
      </c>
      <c r="L24" s="191">
        <f t="shared" si="1"/>
        <v>0.60195399999999999</v>
      </c>
      <c r="M24" s="191">
        <f t="shared" si="1"/>
        <v>0.59057899999999997</v>
      </c>
      <c r="N24" s="191">
        <f t="shared" si="1"/>
        <v>0.62696200000000002</v>
      </c>
      <c r="O24" s="181">
        <v>0.63205383761852663</v>
      </c>
      <c r="P24" s="181">
        <v>0.62892294369973267</v>
      </c>
      <c r="Q24" s="181">
        <v>0.66724622135283296</v>
      </c>
      <c r="R24" s="181">
        <v>0.66839813870504405</v>
      </c>
      <c r="S24" s="181">
        <v>0.70851451435016066</v>
      </c>
      <c r="T24" s="181">
        <v>0.72613086094003432</v>
      </c>
      <c r="U24" s="181">
        <v>0.74454167711979735</v>
      </c>
      <c r="V24" s="181">
        <v>0.76093570174974146</v>
      </c>
      <c r="W24" s="181">
        <v>0.78010479798502219</v>
      </c>
      <c r="X24" s="181">
        <v>0.79817744424613823</v>
      </c>
      <c r="Y24" s="181">
        <v>0.81728129545476769</v>
      </c>
      <c r="Z24" s="181">
        <v>0.83847813036295316</v>
      </c>
      <c r="AA24" s="181">
        <v>0.85947668589016002</v>
      </c>
      <c r="AB24" s="181">
        <v>0.8812468066755601</v>
      </c>
      <c r="AC24" s="181">
        <v>0.90078897722251805</v>
      </c>
      <c r="AD24" s="181">
        <v>0.9203321989974993</v>
      </c>
      <c r="AE24" s="181">
        <v>0.94166132454739782</v>
      </c>
      <c r="AF24" s="181">
        <v>0.96293806559836403</v>
      </c>
      <c r="AG24" s="181">
        <v>0.98629586236570832</v>
      </c>
      <c r="AH24" s="181">
        <v>1.0082148750043178</v>
      </c>
      <c r="AI24" s="181">
        <v>1.0309735046158801</v>
      </c>
      <c r="AJ24" s="181">
        <v>1.0528020006160503</v>
      </c>
      <c r="AK24" s="181">
        <v>1.0749752161458566</v>
      </c>
      <c r="AL24" s="181">
        <v>1.096243657699254</v>
      </c>
      <c r="AM24" s="181">
        <v>1.1193555594971454</v>
      </c>
      <c r="AN24" s="181">
        <v>1.1414741949707743</v>
      </c>
      <c r="AO24" s="181">
        <v>1.165041762457286</v>
      </c>
      <c r="AP24" s="181">
        <v>1.1877749348623816</v>
      </c>
      <c r="AQ24" s="181">
        <v>1.2106412393169756</v>
      </c>
      <c r="AR24" s="182"/>
    </row>
    <row r="25" spans="1:44" ht="14.25" customHeight="1" x14ac:dyDescent="0.3">
      <c r="A25" s="995"/>
      <c r="B25" s="185" t="s">
        <v>379</v>
      </c>
      <c r="C25" s="190">
        <f t="shared" ref="C25:N25" si="2">C9/1000000</f>
        <v>0.19108</v>
      </c>
      <c r="D25" s="190">
        <f t="shared" si="2"/>
        <v>0.12285600000000001</v>
      </c>
      <c r="E25" s="190">
        <f t="shared" si="2"/>
        <v>0.113029</v>
      </c>
      <c r="F25" s="190">
        <f t="shared" si="2"/>
        <v>9.7683999999999993E-2</v>
      </c>
      <c r="G25" s="190">
        <f t="shared" si="2"/>
        <v>7.0268999999999998E-2</v>
      </c>
      <c r="H25" s="191">
        <f t="shared" si="2"/>
        <v>7.9743999999999995E-2</v>
      </c>
      <c r="I25" s="191">
        <f t="shared" si="2"/>
        <v>5.5898000000000003E-2</v>
      </c>
      <c r="J25" s="191">
        <f t="shared" si="2"/>
        <v>5.2713999999999997E-2</v>
      </c>
      <c r="K25" s="191">
        <f t="shared" si="2"/>
        <v>4.5851999999999997E-2</v>
      </c>
      <c r="L25" s="191">
        <f t="shared" si="2"/>
        <v>4.8097000000000001E-2</v>
      </c>
      <c r="M25" s="191">
        <f t="shared" si="2"/>
        <v>3.4789E-2</v>
      </c>
      <c r="N25" s="191">
        <f t="shared" si="2"/>
        <v>3.4930999999999997E-2</v>
      </c>
      <c r="O25" s="181">
        <v>3.5214690207465128E-2</v>
      </c>
      <c r="P25" s="181">
        <v>3.5040253390756317E-2</v>
      </c>
      <c r="Q25" s="181">
        <v>3.7175423324022523E-2</v>
      </c>
      <c r="R25" s="181">
        <v>3.7239602054200883E-2</v>
      </c>
      <c r="S25" s="181">
        <v>3.9474673904902467E-2</v>
      </c>
      <c r="T25" s="181">
        <v>4.0456163377519429E-2</v>
      </c>
      <c r="U25" s="181">
        <v>4.1481916485323893E-2</v>
      </c>
      <c r="V25" s="181">
        <v>4.23953046561358E-2</v>
      </c>
      <c r="W25" s="181">
        <v>4.3463305110062175E-2</v>
      </c>
      <c r="X25" s="181">
        <v>4.4470217182160716E-2</v>
      </c>
      <c r="Y25" s="181">
        <v>4.553458252897382E-2</v>
      </c>
      <c r="Z25" s="181">
        <v>4.6715557835575856E-2</v>
      </c>
      <c r="AA25" s="181">
        <v>4.7885486065868704E-2</v>
      </c>
      <c r="AB25" s="181">
        <v>4.9098401823370448E-2</v>
      </c>
      <c r="AC25" s="181">
        <v>5.0187188000803511E-2</v>
      </c>
      <c r="AD25" s="181">
        <v>5.1276032747090958E-2</v>
      </c>
      <c r="AE25" s="181">
        <v>5.2464378587163414E-2</v>
      </c>
      <c r="AF25" s="181">
        <v>5.36498058405716E-2</v>
      </c>
      <c r="AG25" s="181">
        <v>5.4951178489759438E-2</v>
      </c>
      <c r="AH25" s="181">
        <v>5.6172389712256611E-2</v>
      </c>
      <c r="AI25" s="181">
        <v>5.7440379942863065E-2</v>
      </c>
      <c r="AJ25" s="181">
        <v>5.8656548057967238E-2</v>
      </c>
      <c r="AK25" s="181">
        <v>5.9891922118391408E-2</v>
      </c>
      <c r="AL25" s="181">
        <v>6.1076886967778972E-2</v>
      </c>
      <c r="AM25" s="181">
        <v>6.2364559652410806E-2</v>
      </c>
      <c r="AN25" s="181">
        <v>6.3596892801356567E-2</v>
      </c>
      <c r="AO25" s="181">
        <v>6.4909952763318124E-2</v>
      </c>
      <c r="AP25" s="181">
        <v>6.6176524653292948E-2</v>
      </c>
      <c r="AQ25" s="181">
        <v>6.745051395552086E-2</v>
      </c>
      <c r="AR25" s="182"/>
    </row>
    <row r="26" spans="1:44" ht="14.25" customHeight="1" x14ac:dyDescent="0.3">
      <c r="A26" s="995"/>
      <c r="B26" s="185" t="s">
        <v>380</v>
      </c>
      <c r="C26" s="190">
        <f t="shared" ref="C26:N26" si="3">C10/1000000</f>
        <v>0.15653</v>
      </c>
      <c r="D26" s="190">
        <f t="shared" si="3"/>
        <v>0.13782900000000001</v>
      </c>
      <c r="E26" s="190">
        <f t="shared" si="3"/>
        <v>0.150448</v>
      </c>
      <c r="F26" s="190">
        <f t="shared" si="3"/>
        <v>0.16347600000000001</v>
      </c>
      <c r="G26" s="190">
        <f t="shared" si="3"/>
        <v>0.13946700000000001</v>
      </c>
      <c r="H26" s="191">
        <f t="shared" si="3"/>
        <v>0.10455778184174712</v>
      </c>
      <c r="I26" s="191">
        <f t="shared" si="3"/>
        <v>0.125587</v>
      </c>
      <c r="J26" s="191">
        <f t="shared" si="3"/>
        <v>0.13494999999999999</v>
      </c>
      <c r="K26" s="191">
        <f t="shared" si="3"/>
        <v>0.132771</v>
      </c>
      <c r="L26" s="191">
        <f t="shared" si="3"/>
        <v>0.14411599999999999</v>
      </c>
      <c r="M26" s="191">
        <f t="shared" si="3"/>
        <v>0.15798599999999999</v>
      </c>
      <c r="N26" s="191">
        <f t="shared" si="3"/>
        <v>0.15176400000000001</v>
      </c>
      <c r="O26" s="181">
        <v>0.15299654303185534</v>
      </c>
      <c r="P26" s="181">
        <v>0.15223867096833021</v>
      </c>
      <c r="Q26" s="181">
        <v>0.16151530002997211</v>
      </c>
      <c r="R26" s="181">
        <v>0.16179413604402235</v>
      </c>
      <c r="S26" s="181">
        <v>0.17150480691945894</v>
      </c>
      <c r="T26" s="181">
        <v>0.17576906412143542</v>
      </c>
      <c r="U26" s="181">
        <v>0.18022563263229502</v>
      </c>
      <c r="V26" s="181">
        <v>0.18419401150364423</v>
      </c>
      <c r="W26" s="181">
        <v>0.18883413119359535</v>
      </c>
      <c r="X26" s="181">
        <v>0.19320884144265671</v>
      </c>
      <c r="Y26" s="181">
        <v>0.19783316775721238</v>
      </c>
      <c r="Z26" s="181">
        <v>0.20296412697484575</v>
      </c>
      <c r="AA26" s="181">
        <v>0.20804709018638173</v>
      </c>
      <c r="AB26" s="181">
        <v>0.21331682042661232</v>
      </c>
      <c r="AC26" s="181">
        <v>0.21804724742360498</v>
      </c>
      <c r="AD26" s="181">
        <v>0.22277792888349929</v>
      </c>
      <c r="AE26" s="181">
        <v>0.22794091070688699</v>
      </c>
      <c r="AF26" s="181">
        <v>0.23309121220659326</v>
      </c>
      <c r="AG26" s="181">
        <v>0.23874525929174234</v>
      </c>
      <c r="AH26" s="181">
        <v>0.24405103066877307</v>
      </c>
      <c r="AI26" s="181">
        <v>0.24956004184388281</v>
      </c>
      <c r="AJ26" s="181">
        <v>0.25484390253555123</v>
      </c>
      <c r="AK26" s="181">
        <v>0.26021120690434152</v>
      </c>
      <c r="AL26" s="181">
        <v>0.26535949940677356</v>
      </c>
      <c r="AM26" s="181">
        <v>0.27095402453661427</v>
      </c>
      <c r="AN26" s="181">
        <v>0.2763081171196094</v>
      </c>
      <c r="AO26" s="181">
        <v>0.28201294183310549</v>
      </c>
      <c r="AP26" s="181">
        <v>0.28751579077273332</v>
      </c>
      <c r="AQ26" s="181">
        <v>0.29305086599140207</v>
      </c>
      <c r="AR26" s="182"/>
    </row>
    <row r="27" spans="1:44" ht="14.25" customHeight="1" x14ac:dyDescent="0.3">
      <c r="A27" s="995"/>
      <c r="B27" s="185" t="s">
        <v>381</v>
      </c>
      <c r="C27" s="190">
        <f t="shared" ref="C27:N27" si="4">C11/1000000</f>
        <v>0.47614800000000002</v>
      </c>
      <c r="D27" s="190">
        <f t="shared" si="4"/>
        <v>0.65010500000000004</v>
      </c>
      <c r="E27" s="190">
        <f t="shared" si="4"/>
        <v>0.532003</v>
      </c>
      <c r="F27" s="190">
        <f t="shared" si="4"/>
        <v>0.53061199999999997</v>
      </c>
      <c r="G27" s="190">
        <f t="shared" si="4"/>
        <v>0.51839299999999999</v>
      </c>
      <c r="H27" s="191">
        <f t="shared" si="4"/>
        <v>0.57212300000000005</v>
      </c>
      <c r="I27" s="191">
        <f t="shared" si="4"/>
        <v>0.42573699999999998</v>
      </c>
      <c r="J27" s="191">
        <f t="shared" si="4"/>
        <v>0.48248200000000002</v>
      </c>
      <c r="K27" s="191">
        <f t="shared" si="4"/>
        <v>0.46154699999999999</v>
      </c>
      <c r="L27" s="191">
        <f t="shared" si="4"/>
        <v>0.40525899999999998</v>
      </c>
      <c r="M27" s="191">
        <f t="shared" si="4"/>
        <v>0.44468099999999999</v>
      </c>
      <c r="N27" s="191">
        <f t="shared" si="4"/>
        <v>0.45371800000000001</v>
      </c>
      <c r="O27" s="181">
        <v>0.45740284594058755</v>
      </c>
      <c r="P27" s="181">
        <v>0.45513708991861596</v>
      </c>
      <c r="Q27" s="181">
        <v>0.48287076578766286</v>
      </c>
      <c r="R27" s="181">
        <v>0.48370438191943876</v>
      </c>
      <c r="S27" s="181">
        <v>0.51273568162332994</v>
      </c>
      <c r="T27" s="181">
        <v>0.52548422705680808</v>
      </c>
      <c r="U27" s="181">
        <v>0.538807711885952</v>
      </c>
      <c r="V27" s="181">
        <v>0.55067169099002689</v>
      </c>
      <c r="W27" s="181">
        <v>0.56454392567997469</v>
      </c>
      <c r="X27" s="181">
        <v>0.57762268470572276</v>
      </c>
      <c r="Y27" s="181">
        <v>0.59144770306836192</v>
      </c>
      <c r="Z27" s="181">
        <v>0.60678736566493408</v>
      </c>
      <c r="AA27" s="181">
        <v>0.62198353802736317</v>
      </c>
      <c r="AB27" s="181">
        <v>0.63773807444665198</v>
      </c>
      <c r="AC27" s="181">
        <v>0.65188029444758444</v>
      </c>
      <c r="AD27" s="181">
        <v>0.6660232751980939</v>
      </c>
      <c r="AE27" s="181">
        <v>0.68145867349376232</v>
      </c>
      <c r="AF27" s="181">
        <v>0.69685616233066516</v>
      </c>
      <c r="AG27" s="181">
        <v>0.71375966339402452</v>
      </c>
      <c r="AH27" s="181">
        <v>0.72962194942789049</v>
      </c>
      <c r="AI27" s="181">
        <v>0.74609184698164788</v>
      </c>
      <c r="AJ27" s="181">
        <v>0.76188862820316561</v>
      </c>
      <c r="AK27" s="181">
        <v>0.77793487503112746</v>
      </c>
      <c r="AL27" s="181">
        <v>0.79332635771225379</v>
      </c>
      <c r="AM27" s="181">
        <v>0.81005191023367562</v>
      </c>
      <c r="AN27" s="181">
        <v>0.82605865872851891</v>
      </c>
      <c r="AO27" s="181">
        <v>0.84311396604354771</v>
      </c>
      <c r="AP27" s="181">
        <v>0.85956544080165942</v>
      </c>
      <c r="AQ27" s="181">
        <v>0.87611326016635682</v>
      </c>
      <c r="AR27" s="182"/>
    </row>
    <row r="28" spans="1:44" ht="14.25" customHeight="1" x14ac:dyDescent="0.3">
      <c r="A28" s="995"/>
      <c r="B28" s="185" t="s">
        <v>382</v>
      </c>
      <c r="C28" s="190">
        <f t="shared" ref="C28:N28" si="5">C12/1000000</f>
        <v>0.248199</v>
      </c>
      <c r="D28" s="190">
        <f t="shared" si="5"/>
        <v>0.24457400000000001</v>
      </c>
      <c r="E28" s="190">
        <f t="shared" si="5"/>
        <v>0.24033299999999999</v>
      </c>
      <c r="F28" s="190">
        <f t="shared" si="5"/>
        <v>0.28819899999999998</v>
      </c>
      <c r="G28" s="190">
        <f t="shared" si="5"/>
        <v>0.387799</v>
      </c>
      <c r="H28" s="191">
        <f t="shared" si="5"/>
        <v>0.36940600000000001</v>
      </c>
      <c r="I28" s="191">
        <f t="shared" si="5"/>
        <v>0.319602</v>
      </c>
      <c r="J28" s="191">
        <f t="shared" si="5"/>
        <v>0.31388199999999999</v>
      </c>
      <c r="K28" s="191">
        <f t="shared" si="5"/>
        <v>0.26776</v>
      </c>
      <c r="L28" s="191">
        <f t="shared" si="5"/>
        <v>0.24657399999999999</v>
      </c>
      <c r="M28" s="191">
        <f t="shared" si="5"/>
        <v>0.25685400000000003</v>
      </c>
      <c r="N28" s="191">
        <f t="shared" si="5"/>
        <v>0.225575</v>
      </c>
      <c r="O28" s="181">
        <v>0.22740699503446643</v>
      </c>
      <c r="P28" s="181">
        <v>0.22628052900345985</v>
      </c>
      <c r="Q28" s="181">
        <v>0.24006888197636428</v>
      </c>
      <c r="R28" s="181">
        <v>0.24048333094890967</v>
      </c>
      <c r="S28" s="181">
        <v>0.25491682362653156</v>
      </c>
      <c r="T28" s="181">
        <v>0.2612550185761629</v>
      </c>
      <c r="U28" s="181">
        <v>0.26787905617293917</v>
      </c>
      <c r="V28" s="181">
        <v>0.27377747123780694</v>
      </c>
      <c r="W28" s="181">
        <v>0.28067433082941445</v>
      </c>
      <c r="X28" s="181">
        <v>0.28717669808668245</v>
      </c>
      <c r="Y28" s="181">
        <v>0.29405008313455872</v>
      </c>
      <c r="Z28" s="181">
        <v>0.30167650392946166</v>
      </c>
      <c r="AA28" s="181">
        <v>0.30923158567771702</v>
      </c>
      <c r="AB28" s="181">
        <v>0.31706426931112164</v>
      </c>
      <c r="AC28" s="181">
        <v>0.32409535751284685</v>
      </c>
      <c r="AD28" s="181">
        <v>0.33112682393647602</v>
      </c>
      <c r="AE28" s="181">
        <v>0.33880084165352803</v>
      </c>
      <c r="AF28" s="181">
        <v>0.34645601192313241</v>
      </c>
      <c r="AG28" s="181">
        <v>0.35485992636418895</v>
      </c>
      <c r="AH28" s="181">
        <v>0.36274617987868324</v>
      </c>
      <c r="AI28" s="181">
        <v>0.3709345196419036</v>
      </c>
      <c r="AJ28" s="181">
        <v>0.37878820612567515</v>
      </c>
      <c r="AK28" s="181">
        <v>0.38676591943706568</v>
      </c>
      <c r="AL28" s="181">
        <v>0.39441810362591223</v>
      </c>
      <c r="AM28" s="181">
        <v>0.40273354738176881</v>
      </c>
      <c r="AN28" s="181">
        <v>0.41069162330497283</v>
      </c>
      <c r="AO28" s="181">
        <v>0.41917101126751261</v>
      </c>
      <c r="AP28" s="181">
        <v>0.42735019176853095</v>
      </c>
      <c r="AQ28" s="181">
        <v>0.43557727192226436</v>
      </c>
      <c r="AR28" s="182"/>
    </row>
    <row r="29" spans="1:44" ht="14.25" customHeight="1" x14ac:dyDescent="0.3">
      <c r="A29" s="995"/>
      <c r="B29" s="185" t="s">
        <v>383</v>
      </c>
      <c r="C29" s="193">
        <f t="shared" ref="C29:N29" si="6">C13/1000000</f>
        <v>0</v>
      </c>
      <c r="D29" s="193">
        <f t="shared" si="6"/>
        <v>0</v>
      </c>
      <c r="E29" s="193">
        <f t="shared" si="6"/>
        <v>0</v>
      </c>
      <c r="F29" s="193">
        <f t="shared" si="6"/>
        <v>0</v>
      </c>
      <c r="G29" s="190">
        <f t="shared" si="6"/>
        <v>2.8290797925940001E-2</v>
      </c>
      <c r="H29" s="191">
        <f t="shared" si="6"/>
        <v>2.3277033257341456E-2</v>
      </c>
      <c r="I29" s="191">
        <f t="shared" si="6"/>
        <v>2.7322836046693558E-2</v>
      </c>
      <c r="J29" s="191">
        <f t="shared" si="6"/>
        <v>2.854258061590375E-2</v>
      </c>
      <c r="K29" s="191">
        <f t="shared" si="6"/>
        <v>2.3358380584547072E-2</v>
      </c>
      <c r="L29" s="191">
        <f t="shared" si="6"/>
        <v>2.7960008202566927E-2</v>
      </c>
      <c r="M29" s="191">
        <f t="shared" si="6"/>
        <v>2.0921872758601575E-2</v>
      </c>
      <c r="N29" s="191">
        <f t="shared" si="6"/>
        <v>1.8807754924945446E-2</v>
      </c>
      <c r="O29" s="181">
        <v>1.8960501078694583E-2</v>
      </c>
      <c r="P29" s="181">
        <v>1.8866579779603605E-2</v>
      </c>
      <c r="Q29" s="181">
        <v>2.0016210561086614E-2</v>
      </c>
      <c r="R29" s="181">
        <v>2.0050766051298425E-2</v>
      </c>
      <c r="S29" s="181">
        <v>2.1254186612050759E-2</v>
      </c>
      <c r="T29" s="181">
        <v>2.1782645959403935E-2</v>
      </c>
      <c r="U29" s="181">
        <v>2.233493799413204E-2</v>
      </c>
      <c r="V29" s="181">
        <v>2.2826729837136094E-2</v>
      </c>
      <c r="W29" s="181">
        <v>2.3401768936995183E-2</v>
      </c>
      <c r="X29" s="181">
        <v>2.3943916470217774E-2</v>
      </c>
      <c r="Y29" s="181">
        <v>2.4516998334277361E-2</v>
      </c>
      <c r="Z29" s="181">
        <v>2.5152866020257819E-2</v>
      </c>
      <c r="AA29" s="181">
        <v>2.5782785674293575E-2</v>
      </c>
      <c r="AB29" s="181">
        <v>2.6435850926124254E-2</v>
      </c>
      <c r="AC29" s="181">
        <v>2.7022081597757736E-2</v>
      </c>
      <c r="AD29" s="181">
        <v>2.7608343804379036E-2</v>
      </c>
      <c r="AE29" s="181">
        <v>2.8248179976437127E-2</v>
      </c>
      <c r="AF29" s="181">
        <v>2.8886444705859483E-2</v>
      </c>
      <c r="AG29" s="181">
        <v>2.9587137438731481E-2</v>
      </c>
      <c r="AH29" s="181">
        <v>3.0244669183723604E-2</v>
      </c>
      <c r="AI29" s="181">
        <v>3.0927387958006369E-2</v>
      </c>
      <c r="AJ29" s="181">
        <v>3.1582204363388759E-2</v>
      </c>
      <c r="AK29" s="181">
        <v>3.2247361747062074E-2</v>
      </c>
      <c r="AL29" s="181">
        <v>3.2885377506185948E-2</v>
      </c>
      <c r="AM29" s="181">
        <v>3.357869382338563E-2</v>
      </c>
      <c r="AN29" s="181">
        <v>3.4242213901575724E-2</v>
      </c>
      <c r="AO29" s="181">
        <v>3.494919938628361E-2</v>
      </c>
      <c r="AP29" s="181">
        <v>3.5631154489242915E-2</v>
      </c>
      <c r="AQ29" s="181">
        <v>3.6317103319030354E-2</v>
      </c>
      <c r="AR29" s="182"/>
    </row>
    <row r="30" spans="1:44" ht="14.25" customHeight="1" x14ac:dyDescent="0.3">
      <c r="A30" s="995"/>
      <c r="B30" s="185" t="s">
        <v>384</v>
      </c>
      <c r="C30" s="193">
        <f t="shared" ref="C30:N30" si="7">C14/1000000</f>
        <v>0</v>
      </c>
      <c r="D30" s="193">
        <f t="shared" si="7"/>
        <v>0</v>
      </c>
      <c r="E30" s="193">
        <f t="shared" si="7"/>
        <v>0</v>
      </c>
      <c r="F30" s="193">
        <f t="shared" si="7"/>
        <v>0</v>
      </c>
      <c r="G30" s="193">
        <f t="shared" si="7"/>
        <v>0</v>
      </c>
      <c r="H30" s="191">
        <f t="shared" si="7"/>
        <v>1.1011083479568758E-2</v>
      </c>
      <c r="I30" s="191">
        <f t="shared" si="7"/>
        <v>6.8589586998662154E-3</v>
      </c>
      <c r="J30" s="191">
        <f t="shared" si="7"/>
        <v>7.691335586589655E-3</v>
      </c>
      <c r="K30" s="191">
        <f t="shared" si="7"/>
        <v>6.376215061464699E-3</v>
      </c>
      <c r="L30" s="191">
        <f t="shared" si="7"/>
        <v>5.2425295496718273E-3</v>
      </c>
      <c r="M30" s="191">
        <f t="shared" si="7"/>
        <v>7.438902636199618E-3</v>
      </c>
      <c r="N30" s="191">
        <f t="shared" si="7"/>
        <v>4.3327007360931232E-3</v>
      </c>
      <c r="O30" s="181">
        <v>4.3678885283322966E-3</v>
      </c>
      <c r="P30" s="181">
        <v>4.3462520872296654E-3</v>
      </c>
      <c r="Q30" s="181">
        <v>4.6110899774001847E-3</v>
      </c>
      <c r="R30" s="181">
        <v>4.6190504489436648E-3</v>
      </c>
      <c r="S30" s="181">
        <v>4.8962797711146816E-3</v>
      </c>
      <c r="T30" s="181">
        <v>5.0180197774264152E-3</v>
      </c>
      <c r="U30" s="181">
        <v>5.1452500670039879E-3</v>
      </c>
      <c r="V30" s="181">
        <v>5.2585430617655329E-3</v>
      </c>
      <c r="W30" s="181">
        <v>5.3910135422234242E-3</v>
      </c>
      <c r="X30" s="181">
        <v>5.5159068655168423E-3</v>
      </c>
      <c r="Y30" s="181">
        <v>5.6479264619099931E-3</v>
      </c>
      <c r="Z30" s="181">
        <v>5.7944098886719654E-3</v>
      </c>
      <c r="AA30" s="181">
        <v>5.9395230805234997E-3</v>
      </c>
      <c r="AB30" s="181">
        <v>6.0899682723401316E-3</v>
      </c>
      <c r="AC30" s="181">
        <v>6.2250169303348134E-3</v>
      </c>
      <c r="AD30" s="181">
        <v>6.3600728529746107E-3</v>
      </c>
      <c r="AE30" s="181">
        <v>6.5074704910615573E-3</v>
      </c>
      <c r="AF30" s="181">
        <v>6.6545061193981781E-3</v>
      </c>
      <c r="AG30" s="181">
        <v>6.8159231482570019E-3</v>
      </c>
      <c r="AH30" s="181">
        <v>6.9673972761845927E-3</v>
      </c>
      <c r="AI30" s="181">
        <v>7.1246736841175887E-3</v>
      </c>
      <c r="AJ30" s="181">
        <v>7.2755222852891798E-3</v>
      </c>
      <c r="AK30" s="181">
        <v>7.4287531146656691E-3</v>
      </c>
      <c r="AL30" s="181">
        <v>7.5757313882675115E-3</v>
      </c>
      <c r="AM30" s="181">
        <v>7.7354491286285481E-3</v>
      </c>
      <c r="AN30" s="181">
        <v>7.8883027755767953E-3</v>
      </c>
      <c r="AO30" s="181">
        <v>8.0511694517018759E-3</v>
      </c>
      <c r="AP30" s="181">
        <v>8.2082699343679552E-3</v>
      </c>
      <c r="AQ30" s="181">
        <v>8.3662904430146495E-3</v>
      </c>
      <c r="AR30" s="182"/>
    </row>
    <row r="31" spans="1:44" ht="14.25" customHeight="1" x14ac:dyDescent="0.3">
      <c r="A31" s="995"/>
      <c r="B31" s="185" t="s">
        <v>385</v>
      </c>
      <c r="C31" s="190">
        <f t="shared" ref="C31:N31" si="8">C15/1000000</f>
        <v>0.118954</v>
      </c>
      <c r="D31" s="190">
        <f t="shared" si="8"/>
        <v>0.153977</v>
      </c>
      <c r="E31" s="190">
        <f t="shared" si="8"/>
        <v>0.113577</v>
      </c>
      <c r="F31" s="190">
        <f t="shared" si="8"/>
        <v>9.4705999999999999E-2</v>
      </c>
      <c r="G31" s="190">
        <f t="shared" si="8"/>
        <v>8.1821000000000005E-2</v>
      </c>
      <c r="H31" s="191">
        <f t="shared" si="8"/>
        <v>7.9089999999999994E-2</v>
      </c>
      <c r="I31" s="191">
        <f t="shared" si="8"/>
        <v>6.2613000000000002E-2</v>
      </c>
      <c r="J31" s="191">
        <f t="shared" si="8"/>
        <v>7.3791999999999996E-2</v>
      </c>
      <c r="K31" s="191">
        <f t="shared" si="8"/>
        <v>4.5637999999999998E-2</v>
      </c>
      <c r="L31" s="191">
        <f t="shared" si="8"/>
        <v>4.7366999999999999E-2</v>
      </c>
      <c r="M31" s="191">
        <f t="shared" si="8"/>
        <v>4.1949E-2</v>
      </c>
      <c r="N31" s="191">
        <f t="shared" si="8"/>
        <v>5.9409999999999998E-2</v>
      </c>
      <c r="O31" s="181">
        <v>5.9892495068148734E-2</v>
      </c>
      <c r="P31" s="181">
        <v>5.9595816150262881E-2</v>
      </c>
      <c r="Q31" s="181">
        <v>6.3227273759130231E-2</v>
      </c>
      <c r="R31" s="181">
        <v>6.3336427758726471E-2</v>
      </c>
      <c r="S31" s="181">
        <v>6.7137796704653627E-2</v>
      </c>
      <c r="T31" s="181">
        <v>6.8807095882122749E-2</v>
      </c>
      <c r="U31" s="181">
        <v>7.0551677833245341E-2</v>
      </c>
      <c r="V31" s="181">
        <v>7.2105151573703258E-2</v>
      </c>
      <c r="W31" s="181">
        <v>7.3921587031255745E-2</v>
      </c>
      <c r="X31" s="181">
        <v>7.5634124496641059E-2</v>
      </c>
      <c r="Y31" s="181">
        <v>7.7444377431116637E-2</v>
      </c>
      <c r="Z31" s="181">
        <v>7.9452958432669044E-2</v>
      </c>
      <c r="AA31" s="181">
        <v>8.1442750770755495E-2</v>
      </c>
      <c r="AB31" s="181">
        <v>8.3505655501601411E-2</v>
      </c>
      <c r="AC31" s="181">
        <v>8.535744293400524E-2</v>
      </c>
      <c r="AD31" s="181">
        <v>8.7209329979235473E-2</v>
      </c>
      <c r="AE31" s="181">
        <v>8.9230446648059861E-2</v>
      </c>
      <c r="AF31" s="181">
        <v>9.1246599438560574E-2</v>
      </c>
      <c r="AG31" s="181">
        <v>9.345995001793847E-2</v>
      </c>
      <c r="AH31" s="181">
        <v>9.5536963522520557E-2</v>
      </c>
      <c r="AI31" s="181">
        <v>9.7693537900589586E-2</v>
      </c>
      <c r="AJ31" s="181">
        <v>9.9761974181209634E-2</v>
      </c>
      <c r="AK31" s="181">
        <v>0.10186307557910262</v>
      </c>
      <c r="AL31" s="181">
        <v>0.10387844192138068</v>
      </c>
      <c r="AM31" s="181">
        <v>0.10606849185393279</v>
      </c>
      <c r="AN31" s="181">
        <v>0.10816442132571623</v>
      </c>
      <c r="AO31" s="181">
        <v>0.11039764947092065</v>
      </c>
      <c r="AP31" s="181">
        <v>0.11255181156142492</v>
      </c>
      <c r="AQ31" s="181">
        <v>0.11471858904976939</v>
      </c>
      <c r="AR31" s="182"/>
    </row>
    <row r="32" spans="1:44" ht="14.25" customHeight="1" x14ac:dyDescent="0.3">
      <c r="A32" s="995"/>
      <c r="B32" s="185" t="s">
        <v>386</v>
      </c>
      <c r="C32" s="190">
        <f t="shared" ref="C32:N32" si="9">C16/1000000</f>
        <v>3.7898000000000001E-2</v>
      </c>
      <c r="D32" s="190">
        <f t="shared" si="9"/>
        <v>3.8441000000000003E-2</v>
      </c>
      <c r="E32" s="190">
        <f t="shared" si="9"/>
        <v>3.0415000000000001E-2</v>
      </c>
      <c r="F32" s="190">
        <f t="shared" si="9"/>
        <v>3.5697E-2</v>
      </c>
      <c r="G32" s="190">
        <f t="shared" si="9"/>
        <v>2.3299E-2</v>
      </c>
      <c r="H32" s="191">
        <f t="shared" si="9"/>
        <v>2.2363999999999998E-2</v>
      </c>
      <c r="I32" s="191">
        <f t="shared" si="9"/>
        <v>2.6372E-2</v>
      </c>
      <c r="J32" s="191">
        <f t="shared" si="9"/>
        <v>1.8065000000000001E-2</v>
      </c>
      <c r="K32" s="191">
        <f t="shared" si="9"/>
        <v>1.5675000000000001E-2</v>
      </c>
      <c r="L32" s="191">
        <f t="shared" si="9"/>
        <v>1.5810000000000001E-2</v>
      </c>
      <c r="M32" s="191">
        <f t="shared" si="9"/>
        <v>2.3879000000000001E-2</v>
      </c>
      <c r="N32" s="191">
        <f t="shared" si="9"/>
        <v>1.9668999999999999E-2</v>
      </c>
      <c r="O32" s="181">
        <v>1.9828740708557776E-2</v>
      </c>
      <c r="P32" s="181">
        <v>1.9730518563533424E-2</v>
      </c>
      <c r="Q32" s="181">
        <v>2.0932793259860843E-2</v>
      </c>
      <c r="R32" s="181">
        <v>2.0968931115744674E-2</v>
      </c>
      <c r="S32" s="181">
        <v>2.2227458733947689E-2</v>
      </c>
      <c r="T32" s="181">
        <v>2.2780117301893155E-2</v>
      </c>
      <c r="U32" s="181">
        <v>2.3357699904091946E-2</v>
      </c>
      <c r="V32" s="181">
        <v>2.3872011888624294E-2</v>
      </c>
      <c r="W32" s="181">
        <v>2.44733831899978E-2</v>
      </c>
      <c r="X32" s="181">
        <v>2.5040356753483133E-2</v>
      </c>
      <c r="Y32" s="181">
        <v>2.5639681193277784E-2</v>
      </c>
      <c r="Z32" s="181">
        <v>2.6304666544557605E-2</v>
      </c>
      <c r="AA32" s="181">
        <v>2.6963431491499577E-2</v>
      </c>
      <c r="AB32" s="181">
        <v>2.7646401919895609E-2</v>
      </c>
      <c r="AC32" s="181">
        <v>2.8259477277713333E-2</v>
      </c>
      <c r="AD32" s="181">
        <v>2.8872585614569644E-2</v>
      </c>
      <c r="AE32" s="181">
        <v>2.9541721176917848E-2</v>
      </c>
      <c r="AF32" s="181">
        <v>3.0209213337098938E-2</v>
      </c>
      <c r="AG32" s="181">
        <v>3.0941992205063655E-2</v>
      </c>
      <c r="AH32" s="181">
        <v>3.1629633656361837E-2</v>
      </c>
      <c r="AI32" s="181">
        <v>3.2343615501880099E-2</v>
      </c>
      <c r="AJ32" s="181">
        <v>3.3028417272684941E-2</v>
      </c>
      <c r="AK32" s="181">
        <v>3.3724033556057388E-2</v>
      </c>
      <c r="AL32" s="181">
        <v>3.4391265345087303E-2</v>
      </c>
      <c r="AM32" s="181">
        <v>3.5116330016411443E-2</v>
      </c>
      <c r="AN32" s="181">
        <v>3.5810234018776504E-2</v>
      </c>
      <c r="AO32" s="181">
        <v>3.6549593796390133E-2</v>
      </c>
      <c r="AP32" s="181">
        <v>3.7262777000533015E-2</v>
      </c>
      <c r="AQ32" s="181">
        <v>3.7980136812319709E-2</v>
      </c>
      <c r="AR32" s="182"/>
    </row>
    <row r="33" spans="1:75" ht="14.25" customHeight="1" x14ac:dyDescent="0.3">
      <c r="A33" s="995"/>
      <c r="B33" s="185" t="s">
        <v>387</v>
      </c>
      <c r="C33" s="190">
        <f t="shared" ref="C33:N33" si="10">C17/1000000</f>
        <v>6.8725999999999995E-2</v>
      </c>
      <c r="D33" s="190">
        <f t="shared" si="10"/>
        <v>6.8433999999999995E-2</v>
      </c>
      <c r="E33" s="190">
        <f t="shared" si="10"/>
        <v>5.2699000000000003E-2</v>
      </c>
      <c r="F33" s="190">
        <f t="shared" si="10"/>
        <v>7.0422999999999999E-2</v>
      </c>
      <c r="G33" s="190">
        <f t="shared" si="10"/>
        <v>5.4781000000000003E-2</v>
      </c>
      <c r="H33" s="191">
        <f t="shared" si="10"/>
        <v>5.1131000000000003E-2</v>
      </c>
      <c r="I33" s="191">
        <f t="shared" si="10"/>
        <v>5.1262000000000002E-2</v>
      </c>
      <c r="J33" s="191">
        <f t="shared" si="10"/>
        <v>4.9539E-2</v>
      </c>
      <c r="K33" s="191">
        <f t="shared" si="10"/>
        <v>3.9402E-2</v>
      </c>
      <c r="L33" s="191">
        <f t="shared" si="10"/>
        <v>3.5994999999999999E-2</v>
      </c>
      <c r="M33" s="191">
        <f t="shared" si="10"/>
        <v>3.6186000000000003E-2</v>
      </c>
      <c r="N33" s="191">
        <f t="shared" si="10"/>
        <v>3.9580999999999998E-2</v>
      </c>
      <c r="O33" s="181">
        <v>3.9902454928335211E-2</v>
      </c>
      <c r="P33" s="181">
        <v>3.9704797156094179E-2</v>
      </c>
      <c r="Q33" s="181">
        <v>4.2124200011111494E-2</v>
      </c>
      <c r="R33" s="181">
        <v>4.2196922186806138E-2</v>
      </c>
      <c r="S33" s="181">
        <v>4.4729525860408938E-2</v>
      </c>
      <c r="T33" s="181">
        <v>4.5841670798018853E-2</v>
      </c>
      <c r="U33" s="181">
        <v>4.7003971727279638E-2</v>
      </c>
      <c r="V33" s="181">
        <v>4.8038949746486252E-2</v>
      </c>
      <c r="W33" s="181">
        <v>4.9249121970781573E-2</v>
      </c>
      <c r="X33" s="181">
        <v>5.0390073753602917E-2</v>
      </c>
      <c r="Y33" s="181">
        <v>5.1596126966857891E-2</v>
      </c>
      <c r="Z33" s="181">
        <v>5.293431320860921E-2</v>
      </c>
      <c r="AA33" s="181">
        <v>5.4259981791908315E-2</v>
      </c>
      <c r="AB33" s="181">
        <v>5.5634360383923331E-2</v>
      </c>
      <c r="AC33" s="181">
        <v>5.6868085318479401E-2</v>
      </c>
      <c r="AD33" s="181">
        <v>5.8101876618551068E-2</v>
      </c>
      <c r="AE33" s="181">
        <v>5.9448414556082428E-2</v>
      </c>
      <c r="AF33" s="181">
        <v>6.0791645385922667E-2</v>
      </c>
      <c r="AG33" s="181">
        <v>6.2266256213769099E-2</v>
      </c>
      <c r="AH33" s="181">
        <v>6.3650034559583998E-2</v>
      </c>
      <c r="AI33" s="181">
        <v>6.5086819115354924E-2</v>
      </c>
      <c r="AJ33" s="181">
        <v>6.6464883017445853E-2</v>
      </c>
      <c r="AK33" s="181">
        <v>6.7864709552204347E-2</v>
      </c>
      <c r="AL33" s="181">
        <v>6.9207416422995591E-2</v>
      </c>
      <c r="AM33" s="181">
        <v>7.0666503552777524E-2</v>
      </c>
      <c r="AN33" s="181">
        <v>7.2062884371203048E-2</v>
      </c>
      <c r="AO33" s="181">
        <v>7.3550738321974576E-2</v>
      </c>
      <c r="AP33" s="181">
        <v>7.4985915728206676E-2</v>
      </c>
      <c r="AQ33" s="181">
        <v>7.6429497949485295E-2</v>
      </c>
      <c r="AR33" s="182"/>
    </row>
    <row r="34" spans="1:75" ht="14.25" customHeight="1" x14ac:dyDescent="0.3">
      <c r="A34" s="995"/>
      <c r="B34" s="185" t="s">
        <v>388</v>
      </c>
      <c r="C34" s="190">
        <f t="shared" ref="C34:N34" si="11">C18/1000000</f>
        <v>5.1991000000000002E-2</v>
      </c>
      <c r="D34" s="190">
        <f t="shared" si="11"/>
        <v>4.0002999999999997E-2</v>
      </c>
      <c r="E34" s="190">
        <f t="shared" si="11"/>
        <v>3.1389E-2</v>
      </c>
      <c r="F34" s="190">
        <f t="shared" si="11"/>
        <v>2.8607E-2</v>
      </c>
      <c r="G34" s="190">
        <f t="shared" si="11"/>
        <v>4.0689000000000003E-2</v>
      </c>
      <c r="H34" s="191">
        <f t="shared" si="11"/>
        <v>5.2012000000000003E-2</v>
      </c>
      <c r="I34" s="191">
        <f t="shared" si="11"/>
        <v>3.9586000000000003E-2</v>
      </c>
      <c r="J34" s="191">
        <f t="shared" si="11"/>
        <v>4.4817999999999997E-2</v>
      </c>
      <c r="K34" s="191">
        <f t="shared" si="11"/>
        <v>3.8235999999999999E-2</v>
      </c>
      <c r="L34" s="191">
        <f t="shared" si="11"/>
        <v>3.5449000000000001E-2</v>
      </c>
      <c r="M34" s="191">
        <f t="shared" si="11"/>
        <v>4.1334000000000003E-2</v>
      </c>
      <c r="N34" s="191">
        <f t="shared" si="11"/>
        <v>4.1981999999999998E-2</v>
      </c>
      <c r="O34" s="181">
        <v>4.2322954518616729E-2</v>
      </c>
      <c r="P34" s="181">
        <v>4.2113306743314864E-2</v>
      </c>
      <c r="Q34" s="181">
        <v>4.4679471586530975E-2</v>
      </c>
      <c r="R34" s="181">
        <v>4.4756605119792202E-2</v>
      </c>
      <c r="S34" s="181">
        <v>4.7442837590553247E-2</v>
      </c>
      <c r="T34" s="181">
        <v>4.8622445704818669E-2</v>
      </c>
      <c r="U34" s="181">
        <v>4.9855252294147542E-2</v>
      </c>
      <c r="V34" s="181">
        <v>5.0953012512493012E-2</v>
      </c>
      <c r="W34" s="181">
        <v>5.2236594289617549E-2</v>
      </c>
      <c r="X34" s="181">
        <v>5.3446756684362641E-2</v>
      </c>
      <c r="Y34" s="181">
        <v>5.472596958951588E-2</v>
      </c>
      <c r="Z34" s="181">
        <v>5.6145330767889433E-2</v>
      </c>
      <c r="AA34" s="181">
        <v>5.7551414961418225E-2</v>
      </c>
      <c r="AB34" s="181">
        <v>5.9009163933146438E-2</v>
      </c>
      <c r="AC34" s="181">
        <v>6.0317727137778276E-2</v>
      </c>
      <c r="AD34" s="181">
        <v>6.1626360733685624E-2</v>
      </c>
      <c r="AE34" s="181">
        <v>6.3054580225195223E-2</v>
      </c>
      <c r="AF34" s="181">
        <v>6.4479291998479196E-2</v>
      </c>
      <c r="AG34" s="181">
        <v>6.6043353335349136E-2</v>
      </c>
      <c r="AH34" s="181">
        <v>6.751107225387068E-2</v>
      </c>
      <c r="AI34" s="181">
        <v>6.9035012761194267E-2</v>
      </c>
      <c r="AJ34" s="181">
        <v>7.0496670595447605E-2</v>
      </c>
      <c r="AK34" s="181">
        <v>7.1981411192760233E-2</v>
      </c>
      <c r="AL34" s="181">
        <v>7.3405567223420357E-2</v>
      </c>
      <c r="AM34" s="181">
        <v>7.4953163188214197E-2</v>
      </c>
      <c r="AN34" s="181">
        <v>7.6434249050601213E-2</v>
      </c>
      <c r="AO34" s="181">
        <v>7.8012356843766881E-2</v>
      </c>
      <c r="AP34" s="181">
        <v>7.9534592711189039E-2</v>
      </c>
      <c r="AQ34" s="181">
        <v>8.1065743233250609E-2</v>
      </c>
      <c r="AR34" s="182"/>
    </row>
    <row r="35" spans="1:75" ht="13.5" customHeight="1" x14ac:dyDescent="0.3">
      <c r="A35" s="995"/>
      <c r="B35" s="185" t="s">
        <v>389</v>
      </c>
      <c r="C35" s="190">
        <f t="shared" ref="C35:N35" si="12">C19/1000000</f>
        <v>2.7980000000000001E-3</v>
      </c>
      <c r="D35" s="190">
        <f t="shared" si="12"/>
        <v>1.668E-3</v>
      </c>
      <c r="E35" s="190">
        <f t="shared" si="12"/>
        <v>3.1150000000000001E-3</v>
      </c>
      <c r="F35" s="190">
        <f t="shared" si="12"/>
        <v>1.353E-3</v>
      </c>
      <c r="G35" s="190">
        <f t="shared" si="12"/>
        <v>9.8440000000000003E-3</v>
      </c>
      <c r="H35" s="191">
        <f t="shared" si="12"/>
        <v>1.0361E-2</v>
      </c>
      <c r="I35" s="191">
        <f t="shared" si="12"/>
        <v>1.5758000000000001E-2</v>
      </c>
      <c r="J35" s="191">
        <f t="shared" si="12"/>
        <v>2.2173999999999999E-2</v>
      </c>
      <c r="K35" s="191">
        <f t="shared" si="12"/>
        <v>2.2915999999999999E-2</v>
      </c>
      <c r="L35" s="191">
        <f t="shared" si="12"/>
        <v>1.8966E-2</v>
      </c>
      <c r="M35" s="191">
        <f t="shared" si="12"/>
        <v>1.7247999999999999E-2</v>
      </c>
      <c r="N35" s="191">
        <f t="shared" si="12"/>
        <v>1.3710999999999999E-2</v>
      </c>
      <c r="O35" s="181">
        <v>1.3822353137171978E-2</v>
      </c>
      <c r="P35" s="181">
        <v>1.3753883777752135E-2</v>
      </c>
      <c r="Q35" s="181">
        <v>1.4591973582081039E-2</v>
      </c>
      <c r="R35" s="181">
        <v>1.4617164803903359E-2</v>
      </c>
      <c r="S35" s="181">
        <v>1.5494467776763268E-2</v>
      </c>
      <c r="T35" s="181">
        <v>1.5879718761820986E-2</v>
      </c>
      <c r="U35" s="181">
        <v>1.6282343961818324E-2</v>
      </c>
      <c r="V35" s="181">
        <v>1.6640864050278491E-2</v>
      </c>
      <c r="W35" s="181">
        <v>1.7060072038134109E-2</v>
      </c>
      <c r="X35" s="181">
        <v>1.7455301817428808E-2</v>
      </c>
      <c r="Y35" s="181">
        <v>1.7873082965124392E-2</v>
      </c>
      <c r="Z35" s="181">
        <v>1.8336635466593591E-2</v>
      </c>
      <c r="AA35" s="181">
        <v>1.8795851806393343E-2</v>
      </c>
      <c r="AB35" s="181">
        <v>1.927194146747108E-2</v>
      </c>
      <c r="AC35" s="181">
        <v>1.9699308198420227E-2</v>
      </c>
      <c r="AD35" s="181">
        <v>2.01266979186214E-2</v>
      </c>
      <c r="AE35" s="181">
        <v>2.0593143477386777E-2</v>
      </c>
      <c r="AF35" s="181">
        <v>2.105844344221686E-2</v>
      </c>
      <c r="AG35" s="181">
        <v>2.1569253908364821E-2</v>
      </c>
      <c r="AH35" s="181">
        <v>2.2048599677786215E-2</v>
      </c>
      <c r="AI35" s="181">
        <v>2.2546306987964712E-2</v>
      </c>
      <c r="AJ35" s="181">
        <v>2.3023673253636846E-2</v>
      </c>
      <c r="AK35" s="181">
        <v>2.3508578173120277E-2</v>
      </c>
      <c r="AL35" s="181">
        <v>2.3973696636661341E-2</v>
      </c>
      <c r="AM35" s="181">
        <v>2.4479129638264131E-2</v>
      </c>
      <c r="AN35" s="181">
        <v>2.4962840949282861E-2</v>
      </c>
      <c r="AO35" s="181">
        <v>2.5478238880589001E-2</v>
      </c>
      <c r="AP35" s="181">
        <v>2.5975389468417716E-2</v>
      </c>
      <c r="AQ35" s="181">
        <v>2.6475451514246549E-2</v>
      </c>
      <c r="AR35" s="182"/>
    </row>
    <row r="36" spans="1:75" ht="13.5" customHeight="1" x14ac:dyDescent="0.3">
      <c r="A36" s="995"/>
      <c r="B36" s="185" t="s">
        <v>390</v>
      </c>
      <c r="C36" s="190">
        <f t="shared" ref="C36:N36" si="13">C20/1000000</f>
        <v>5.9610000000000002E-3</v>
      </c>
      <c r="D36" s="190">
        <f t="shared" si="13"/>
        <v>6.5950000000000002E-3</v>
      </c>
      <c r="E36" s="190">
        <f t="shared" si="13"/>
        <v>6.6819999999999996E-3</v>
      </c>
      <c r="F36" s="190">
        <f t="shared" si="13"/>
        <v>9.3270000000000002E-3</v>
      </c>
      <c r="G36" s="190">
        <f t="shared" si="13"/>
        <v>6.8669999999999998E-3</v>
      </c>
      <c r="H36" s="191">
        <f t="shared" si="13"/>
        <v>7.724E-3</v>
      </c>
      <c r="I36" s="191">
        <f t="shared" si="13"/>
        <v>8.4539999999999997E-3</v>
      </c>
      <c r="J36" s="191">
        <f t="shared" si="13"/>
        <v>9.9860000000000001E-3</v>
      </c>
      <c r="K36" s="191">
        <f t="shared" si="13"/>
        <v>7.5079999999999999E-3</v>
      </c>
      <c r="L36" s="191">
        <f t="shared" si="13"/>
        <v>9.3159999999999996E-3</v>
      </c>
      <c r="M36" s="191">
        <f t="shared" si="13"/>
        <v>5.2180000000000004E-3</v>
      </c>
      <c r="N36" s="191">
        <f t="shared" si="13"/>
        <v>7.4640000000000001E-3</v>
      </c>
      <c r="O36" s="181">
        <v>7.5246184680804939E-3</v>
      </c>
      <c r="P36" s="181">
        <v>7.4873450891358726E-3</v>
      </c>
      <c r="Q36" s="181">
        <v>7.9435847725660338E-3</v>
      </c>
      <c r="R36" s="181">
        <v>7.9572983805947552E-3</v>
      </c>
      <c r="S36" s="181">
        <v>8.4348849453549004E-3</v>
      </c>
      <c r="T36" s="181">
        <v>8.6446080401306868E-3</v>
      </c>
      <c r="U36" s="181">
        <v>8.863789317410253E-3</v>
      </c>
      <c r="V36" s="181">
        <v>9.0589606353496215E-3</v>
      </c>
      <c r="W36" s="181">
        <v>9.2871692577224853E-3</v>
      </c>
      <c r="X36" s="181">
        <v>9.5023246127407639E-3</v>
      </c>
      <c r="Y36" s="181">
        <v>9.7297564912616485E-3</v>
      </c>
      <c r="Z36" s="181">
        <v>9.9821053987786852E-3</v>
      </c>
      <c r="AA36" s="181">
        <v>1.0232093784765511E-2</v>
      </c>
      <c r="AB36" s="181">
        <v>1.0491267676551976E-2</v>
      </c>
      <c r="AC36" s="181">
        <v>1.0723917758953292E-2</v>
      </c>
      <c r="AD36" s="181">
        <v>1.0956580356253383E-2</v>
      </c>
      <c r="AE36" s="181">
        <v>1.1210504187529351E-2</v>
      </c>
      <c r="AF36" s="181">
        <v>1.1463804379892544E-2</v>
      </c>
      <c r="AG36" s="181">
        <v>1.174187959828131E-2</v>
      </c>
      <c r="AH36" s="181">
        <v>1.2002826051710037E-2</v>
      </c>
      <c r="AI36" s="181">
        <v>1.2273768168490162E-2</v>
      </c>
      <c r="AJ36" s="181">
        <v>1.2533637018827615E-2</v>
      </c>
      <c r="AK36" s="181">
        <v>1.2797609764726846E-2</v>
      </c>
      <c r="AL36" s="181">
        <v>1.3050811151341279E-2</v>
      </c>
      <c r="AM36" s="181">
        <v>1.3325958983298337E-2</v>
      </c>
      <c r="AN36" s="181">
        <v>1.3589281952114894E-2</v>
      </c>
      <c r="AO36" s="181">
        <v>1.3869854496733744E-2</v>
      </c>
      <c r="AP36" s="181">
        <v>1.4140493544764779E-2</v>
      </c>
      <c r="AQ36" s="181">
        <v>1.4412717533537765E-2</v>
      </c>
      <c r="AR36" s="182"/>
    </row>
    <row r="37" spans="1:75" ht="13.5" customHeight="1" x14ac:dyDescent="0.3">
      <c r="A37" s="324"/>
      <c r="B37" s="179" t="s">
        <v>391</v>
      </c>
      <c r="C37" s="195">
        <f t="shared" ref="C37:AQ37" si="14">SUM(C23:C36)</f>
        <v>2.2090930000000002</v>
      </c>
      <c r="D37" s="195">
        <f t="shared" si="14"/>
        <v>2.322006</v>
      </c>
      <c r="E37" s="195">
        <f t="shared" si="14"/>
        <v>2.1174580000000001</v>
      </c>
      <c r="F37" s="195">
        <f t="shared" si="14"/>
        <v>2.1982849999999998</v>
      </c>
      <c r="G37" s="195">
        <f t="shared" si="14"/>
        <v>2.1806597979259408</v>
      </c>
      <c r="H37" s="196">
        <f t="shared" si="14"/>
        <v>2.2390988985786575</v>
      </c>
      <c r="I37" s="196">
        <f t="shared" si="14"/>
        <v>2.0209997947465599</v>
      </c>
      <c r="J37" s="196">
        <f t="shared" si="14"/>
        <v>2.1063639162024939</v>
      </c>
      <c r="K37" s="196">
        <f t="shared" si="14"/>
        <v>1.9798475956460118</v>
      </c>
      <c r="L37" s="196">
        <f t="shared" si="14"/>
        <v>1.9927495377522391</v>
      </c>
      <c r="M37" s="196">
        <f t="shared" si="14"/>
        <v>1.9896457753948011</v>
      </c>
      <c r="N37" s="196">
        <f t="shared" si="14"/>
        <v>1.9946614556610387</v>
      </c>
      <c r="O37" s="180">
        <f t="shared" si="14"/>
        <v>2.0108609896617593</v>
      </c>
      <c r="P37" s="180">
        <f t="shared" si="14"/>
        <v>2.0009001412824614</v>
      </c>
      <c r="Q37" s="180">
        <f t="shared" si="14"/>
        <v>2.1228245398731809</v>
      </c>
      <c r="R37" s="180">
        <f t="shared" si="14"/>
        <v>2.1264893315871323</v>
      </c>
      <c r="S37" s="180">
        <f t="shared" si="14"/>
        <v>2.2541184195384494</v>
      </c>
      <c r="T37" s="180">
        <f t="shared" si="14"/>
        <v>2.3101643163111198</v>
      </c>
      <c r="U37" s="180">
        <f t="shared" si="14"/>
        <v>2.3687377950881969</v>
      </c>
      <c r="V37" s="180">
        <f t="shared" si="14"/>
        <v>2.4208949099253121</v>
      </c>
      <c r="W37" s="180">
        <f t="shared" si="14"/>
        <v>2.4818808347506942</v>
      </c>
      <c r="X37" s="180">
        <f t="shared" si="14"/>
        <v>2.5393784357198834</v>
      </c>
      <c r="Y37" s="180">
        <f t="shared" si="14"/>
        <v>2.600156785381484</v>
      </c>
      <c r="Z37" s="180">
        <f t="shared" si="14"/>
        <v>2.6675939021020638</v>
      </c>
      <c r="AA37" s="180">
        <f t="shared" si="14"/>
        <v>2.7344001987112327</v>
      </c>
      <c r="AB37" s="180">
        <f t="shared" si="14"/>
        <v>2.80366120785648</v>
      </c>
      <c r="AC37" s="180">
        <f t="shared" si="14"/>
        <v>2.865834057805873</v>
      </c>
      <c r="AD37" s="180">
        <f t="shared" si="14"/>
        <v>2.9280102522067954</v>
      </c>
      <c r="AE37" s="180">
        <f t="shared" si="14"/>
        <v>2.9958682477748479</v>
      </c>
      <c r="AF37" s="180">
        <f t="shared" si="14"/>
        <v>3.0635595835758105</v>
      </c>
      <c r="AG37" s="180">
        <f t="shared" si="14"/>
        <v>3.1378717379025249</v>
      </c>
      <c r="AH37" s="180">
        <f t="shared" si="14"/>
        <v>3.2076064421691024</v>
      </c>
      <c r="AI37" s="180">
        <f t="shared" si="14"/>
        <v>3.2800123635325171</v>
      </c>
      <c r="AJ37" s="180">
        <f t="shared" si="14"/>
        <v>3.349459091733892</v>
      </c>
      <c r="AK37" s="180">
        <f t="shared" si="14"/>
        <v>3.4200025351409393</v>
      </c>
      <c r="AL37" s="180">
        <f t="shared" si="14"/>
        <v>3.487667466330616</v>
      </c>
      <c r="AM37" s="180">
        <f t="shared" si="14"/>
        <v>3.5611973129294148</v>
      </c>
      <c r="AN37" s="180">
        <f t="shared" si="14"/>
        <v>3.631567111467549</v>
      </c>
      <c r="AO37" s="180">
        <f t="shared" si="14"/>
        <v>3.7065466452655058</v>
      </c>
      <c r="AP37" s="180">
        <f t="shared" si="14"/>
        <v>3.7788715752634028</v>
      </c>
      <c r="AQ37" s="180">
        <f t="shared" si="14"/>
        <v>3.8516200610232869</v>
      </c>
      <c r="AR37" s="197"/>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row>
    <row r="38" spans="1:75" ht="13.5" customHeight="1" x14ac:dyDescent="0.3">
      <c r="A38" s="324"/>
      <c r="B38" s="179"/>
      <c r="C38" s="195"/>
      <c r="D38" s="195"/>
      <c r="E38" s="195"/>
      <c r="F38" s="195"/>
      <c r="G38" s="195"/>
      <c r="H38" s="196"/>
      <c r="I38" s="196"/>
      <c r="J38" s="196"/>
      <c r="K38" s="196"/>
      <c r="L38" s="196"/>
      <c r="M38" s="196"/>
      <c r="N38" s="196"/>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c r="AN38" s="180"/>
      <c r="AO38" s="180"/>
      <c r="AP38" s="180"/>
      <c r="AQ38" s="180"/>
      <c r="AR38" s="197"/>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row>
    <row r="39" spans="1:75" ht="14.25" customHeight="1" x14ac:dyDescent="0.3">
      <c r="A39" s="1206" t="s">
        <v>821</v>
      </c>
      <c r="B39" s="185" t="s">
        <v>820</v>
      </c>
      <c r="C39" s="190">
        <f t="shared" ref="C39:G39" si="15">C22/1000000</f>
        <v>0</v>
      </c>
      <c r="D39" s="190">
        <f t="shared" si="15"/>
        <v>0</v>
      </c>
      <c r="E39" s="190">
        <f t="shared" si="15"/>
        <v>0</v>
      </c>
      <c r="F39" s="190">
        <f t="shared" si="15"/>
        <v>0</v>
      </c>
      <c r="G39" s="190">
        <f t="shared" si="15"/>
        <v>0</v>
      </c>
      <c r="H39" s="191">
        <v>0.318888</v>
      </c>
      <c r="I39" s="191">
        <v>0.29633199999999998</v>
      </c>
      <c r="J39" s="191">
        <v>0.29421199999999997</v>
      </c>
      <c r="K39" s="191">
        <v>0.29897499999999999</v>
      </c>
      <c r="L39" s="191">
        <v>0.35064400000000001</v>
      </c>
      <c r="M39" s="191">
        <v>0.31058200000000002</v>
      </c>
      <c r="N39" s="191">
        <v>0.29675400000000002</v>
      </c>
      <c r="O39" s="181">
        <v>0.30476635800000001</v>
      </c>
      <c r="P39" s="181">
        <v>0.31421411509800001</v>
      </c>
      <c r="Q39" s="181">
        <v>0.32364053855094005</v>
      </c>
      <c r="R39" s="181">
        <v>0.33237883309181543</v>
      </c>
      <c r="S39" s="181">
        <v>0.34002354625292713</v>
      </c>
      <c r="T39" s="181">
        <v>0.3508526929794894</v>
      </c>
      <c r="U39" s="181">
        <v>0.36083856572567724</v>
      </c>
      <c r="V39" s="181">
        <v>0.3687624983897777</v>
      </c>
      <c r="W39" s="181">
        <v>0.37754657751228532</v>
      </c>
      <c r="X39" s="181">
        <v>0.38950657453868043</v>
      </c>
      <c r="Y39" s="181">
        <v>0.39911516545203896</v>
      </c>
      <c r="Z39" s="181">
        <v>0.41065531399979782</v>
      </c>
      <c r="AA39" s="181">
        <v>0.42037411250000106</v>
      </c>
      <c r="AB39" s="181">
        <v>0.43031367486653854</v>
      </c>
      <c r="AC39" s="181">
        <v>0.44130296844168965</v>
      </c>
      <c r="AD39" s="181">
        <v>0.45131668380950124</v>
      </c>
      <c r="AE39" s="181">
        <v>0.46188967487169358</v>
      </c>
      <c r="AF39" s="181">
        <v>0.4735343467058612</v>
      </c>
      <c r="AG39" s="181">
        <v>0.48429051180350086</v>
      </c>
      <c r="AH39" s="181">
        <v>0.49534480512616647</v>
      </c>
      <c r="AI39" s="181">
        <v>0.50638153769343408</v>
      </c>
      <c r="AJ39" s="181">
        <v>0.51523958218929278</v>
      </c>
      <c r="AK39" s="181">
        <v>0.52653179214068413</v>
      </c>
      <c r="AL39" s="181">
        <v>0.53632037427575407</v>
      </c>
      <c r="AM39" s="181">
        <v>0.54858134843547857</v>
      </c>
      <c r="AN39" s="181">
        <v>0.55869185595166659</v>
      </c>
      <c r="AO39" s="181">
        <v>0.56870351434581656</v>
      </c>
      <c r="AP39" s="181">
        <v>0.5790841123349767</v>
      </c>
      <c r="AQ39" s="181">
        <v>0.58954228322788171</v>
      </c>
      <c r="AR39" s="182"/>
    </row>
    <row r="40" spans="1:75" ht="14.25" customHeight="1" x14ac:dyDescent="0.3">
      <c r="A40" s="995"/>
      <c r="B40" s="185" t="s">
        <v>378</v>
      </c>
      <c r="C40" s="190">
        <f t="shared" ref="C40:G40" si="16">C23/1000000</f>
        <v>3.8075399999999997E-7</v>
      </c>
      <c r="D40" s="190">
        <f t="shared" si="16"/>
        <v>3.3643299999999998E-7</v>
      </c>
      <c r="E40" s="190">
        <f t="shared" si="16"/>
        <v>3.3604699999999997E-7</v>
      </c>
      <c r="F40" s="190">
        <f t="shared" si="16"/>
        <v>3.6931599999999997E-7</v>
      </c>
      <c r="G40" s="190">
        <f t="shared" si="16"/>
        <v>3.3182400000000002E-7</v>
      </c>
      <c r="H40" s="191">
        <v>0.53741000000000005</v>
      </c>
      <c r="I40" s="191">
        <v>0.55961700000000003</v>
      </c>
      <c r="J40" s="191">
        <v>0.57351600000000003</v>
      </c>
      <c r="K40" s="191">
        <v>0.57383300000000004</v>
      </c>
      <c r="L40" s="191">
        <v>0.60195399999999999</v>
      </c>
      <c r="M40" s="191">
        <v>0.59057899999999997</v>
      </c>
      <c r="N40" s="191">
        <v>0.62696200000000002</v>
      </c>
      <c r="O40" s="181">
        <v>0.64388997399999992</v>
      </c>
      <c r="P40" s="181">
        <v>0.66385056319399982</v>
      </c>
      <c r="Q40" s="181">
        <v>0.68376608008981987</v>
      </c>
      <c r="R40" s="181">
        <v>0.70222776425224498</v>
      </c>
      <c r="S40" s="181">
        <v>0.71837900283004652</v>
      </c>
      <c r="T40" s="181">
        <v>0.74125809962395295</v>
      </c>
      <c r="U40" s="181">
        <v>0.76235558356248589</v>
      </c>
      <c r="V40" s="181">
        <v>0.77909673842796279</v>
      </c>
      <c r="W40" s="181">
        <v>0.79765515319172542</v>
      </c>
      <c r="X40" s="181">
        <v>0.82292343485149322</v>
      </c>
      <c r="Y40" s="181">
        <v>0.84322382297169063</v>
      </c>
      <c r="Z40" s="181">
        <v>0.86760507685133492</v>
      </c>
      <c r="AA40" s="181">
        <v>0.8881383041887404</v>
      </c>
      <c r="AB40" s="181">
        <v>0.90913794665505621</v>
      </c>
      <c r="AC40" s="181">
        <v>0.93235539099772347</v>
      </c>
      <c r="AD40" s="181">
        <v>0.95351169896470578</v>
      </c>
      <c r="AE40" s="181">
        <v>0.97584960720632752</v>
      </c>
      <c r="AF40" s="181">
        <v>1.0004516908934671</v>
      </c>
      <c r="AG40" s="181">
        <v>1.0231765969838529</v>
      </c>
      <c r="AH40" s="181">
        <v>1.0465313684449455</v>
      </c>
      <c r="AI40" s="181">
        <v>1.0698490387167507</v>
      </c>
      <c r="AJ40" s="181">
        <v>1.0885637225734555</v>
      </c>
      <c r="AK40" s="181">
        <v>1.1124211483724142</v>
      </c>
      <c r="AL40" s="181">
        <v>1.1331018099054271</v>
      </c>
      <c r="AM40" s="181">
        <v>1.159005975918789</v>
      </c>
      <c r="AN40" s="181">
        <v>1.1803667798620021</v>
      </c>
      <c r="AO40" s="181">
        <v>1.2015187419926325</v>
      </c>
      <c r="AP40" s="181">
        <v>1.2234501750195836</v>
      </c>
      <c r="AQ40" s="181">
        <v>1.245545498888369</v>
      </c>
      <c r="AR40" s="182"/>
    </row>
    <row r="41" spans="1:75" ht="14.25" customHeight="1" x14ac:dyDescent="0.3">
      <c r="A41" s="995"/>
      <c r="B41" s="185" t="s">
        <v>379</v>
      </c>
      <c r="C41" s="190">
        <f t="shared" ref="C41:G41" si="17">C24/1000000</f>
        <v>4.7005400000000001E-7</v>
      </c>
      <c r="D41" s="190">
        <f t="shared" si="17"/>
        <v>5.2109099999999994E-7</v>
      </c>
      <c r="E41" s="190">
        <f t="shared" si="17"/>
        <v>5.0772099999999997E-7</v>
      </c>
      <c r="F41" s="190">
        <f t="shared" si="17"/>
        <v>5.0888500000000002E-7</v>
      </c>
      <c r="G41" s="190">
        <f t="shared" si="17"/>
        <v>4.8731599999999999E-7</v>
      </c>
      <c r="H41" s="191">
        <v>7.9743999999999995E-2</v>
      </c>
      <c r="I41" s="191">
        <v>5.5898000000000003E-2</v>
      </c>
      <c r="J41" s="191">
        <v>5.2713999999999997E-2</v>
      </c>
      <c r="K41" s="191">
        <v>4.5851999999999997E-2</v>
      </c>
      <c r="L41" s="191">
        <v>4.8097000000000001E-2</v>
      </c>
      <c r="M41" s="191">
        <v>3.4789E-2</v>
      </c>
      <c r="N41" s="191">
        <v>3.4930999999999997E-2</v>
      </c>
      <c r="O41" s="181">
        <v>3.5874136999999993E-2</v>
      </c>
      <c r="P41" s="181">
        <v>3.6986235246999989E-2</v>
      </c>
      <c r="Q41" s="181">
        <v>3.8095822304409992E-2</v>
      </c>
      <c r="R41" s="181">
        <v>3.9124409506629057E-2</v>
      </c>
      <c r="S41" s="181">
        <v>4.0024270925281519E-2</v>
      </c>
      <c r="T41" s="181">
        <v>4.1298972948861812E-2</v>
      </c>
      <c r="U41" s="181">
        <v>4.2474412945953971E-2</v>
      </c>
      <c r="V41" s="181">
        <v>4.3407141373842703E-2</v>
      </c>
      <c r="W41" s="181">
        <v>4.4441117892536006E-2</v>
      </c>
      <c r="X41" s="181">
        <v>4.5848932635147756E-2</v>
      </c>
      <c r="Y41" s="181">
        <v>4.6979962677521324E-2</v>
      </c>
      <c r="Z41" s="181">
        <v>4.833835693310596E-2</v>
      </c>
      <c r="AA41" s="181">
        <v>4.9482359542710547E-2</v>
      </c>
      <c r="AB41" s="181">
        <v>5.065234833149021E-2</v>
      </c>
      <c r="AC41" s="181">
        <v>5.1945901287385E-2</v>
      </c>
      <c r="AD41" s="181">
        <v>5.3124618647599271E-2</v>
      </c>
      <c r="AE41" s="181">
        <v>5.4369168513122366E-2</v>
      </c>
      <c r="AF41" s="181">
        <v>5.5739866235273737E-2</v>
      </c>
      <c r="AG41" s="181">
        <v>5.700597757000099E-2</v>
      </c>
      <c r="AH41" s="181">
        <v>5.8307181665157359E-2</v>
      </c>
      <c r="AI41" s="181">
        <v>5.9606318678667627E-2</v>
      </c>
      <c r="AJ41" s="181">
        <v>6.0649001683057931E-2</v>
      </c>
      <c r="AK41" s="181">
        <v>6.1978211014059537E-2</v>
      </c>
      <c r="AL41" s="181">
        <v>6.3130427875702944E-2</v>
      </c>
      <c r="AM41" s="181">
        <v>6.4573670724572166E-2</v>
      </c>
      <c r="AN41" s="181">
        <v>6.5763781516837691E-2</v>
      </c>
      <c r="AO41" s="181">
        <v>6.6942256750081572E-2</v>
      </c>
      <c r="AP41" s="181">
        <v>6.8164159970794197E-2</v>
      </c>
      <c r="AQ41" s="181">
        <v>6.9395194320659964E-2</v>
      </c>
      <c r="AR41" s="182"/>
    </row>
    <row r="42" spans="1:75" ht="14.25" customHeight="1" x14ac:dyDescent="0.3">
      <c r="A42" s="995"/>
      <c r="B42" s="185" t="s">
        <v>380</v>
      </c>
      <c r="C42" s="190">
        <f t="shared" ref="C42:G42" si="18">C25/1000000</f>
        <v>1.9107999999999999E-7</v>
      </c>
      <c r="D42" s="190">
        <f t="shared" si="18"/>
        <v>1.22856E-7</v>
      </c>
      <c r="E42" s="190">
        <f t="shared" si="18"/>
        <v>1.13029E-7</v>
      </c>
      <c r="F42" s="190">
        <f t="shared" si="18"/>
        <v>9.768399999999999E-8</v>
      </c>
      <c r="G42" s="190">
        <f t="shared" si="18"/>
        <v>7.0268999999999992E-8</v>
      </c>
      <c r="H42" s="191">
        <v>0.10455778184174712</v>
      </c>
      <c r="I42" s="191">
        <v>0.125587</v>
      </c>
      <c r="J42" s="191">
        <v>0.13494999999999999</v>
      </c>
      <c r="K42" s="191">
        <v>0.132771</v>
      </c>
      <c r="L42" s="191">
        <v>0.14411599999999999</v>
      </c>
      <c r="M42" s="191">
        <v>0.15798599999999999</v>
      </c>
      <c r="N42" s="191">
        <v>0.15176400000000001</v>
      </c>
      <c r="O42" s="181">
        <v>0.155861628</v>
      </c>
      <c r="P42" s="181">
        <v>0.16069333846799999</v>
      </c>
      <c r="Q42" s="181">
        <v>0.16551413862204001</v>
      </c>
      <c r="R42" s="181">
        <v>0.16998302036483506</v>
      </c>
      <c r="S42" s="181">
        <v>0.17389262983322626</v>
      </c>
      <c r="T42" s="181">
        <v>0.17943080159775174</v>
      </c>
      <c r="U42" s="181">
        <v>0.18453771166957031</v>
      </c>
      <c r="V42" s="181">
        <v>0.18859011775957935</v>
      </c>
      <c r="W42" s="181">
        <v>0.19308241435523851</v>
      </c>
      <c r="X42" s="181">
        <v>0.19919891822279828</v>
      </c>
      <c r="Y42" s="181">
        <v>0.20411288127426497</v>
      </c>
      <c r="Z42" s="181">
        <v>0.21001466896441262</v>
      </c>
      <c r="AA42" s="181">
        <v>0.21498499366293344</v>
      </c>
      <c r="AB42" s="181">
        <v>0.22006821998168635</v>
      </c>
      <c r="AC42" s="181">
        <v>0.22568829300560259</v>
      </c>
      <c r="AD42" s="181">
        <v>0.23080944216982802</v>
      </c>
      <c r="AE42" s="181">
        <v>0.23621661247102888</v>
      </c>
      <c r="AF42" s="181">
        <v>0.24217185478028372</v>
      </c>
      <c r="AG42" s="181">
        <v>0.2476727027549637</v>
      </c>
      <c r="AH42" s="181">
        <v>0.25332601752686579</v>
      </c>
      <c r="AI42" s="181">
        <v>0.25897035149149239</v>
      </c>
      <c r="AJ42" s="181">
        <v>0.26350047497717244</v>
      </c>
      <c r="AK42" s="181">
        <v>0.26927546352345305</v>
      </c>
      <c r="AL42" s="181">
        <v>0.27428147651450541</v>
      </c>
      <c r="AM42" s="181">
        <v>0.28055190414943681</v>
      </c>
      <c r="AN42" s="181">
        <v>0.28572255412445569</v>
      </c>
      <c r="AO42" s="181">
        <v>0.2908426513245938</v>
      </c>
      <c r="AP42" s="181">
        <v>0.29615142921209286</v>
      </c>
      <c r="AQ42" s="181">
        <v>0.30149987892933622</v>
      </c>
      <c r="AR42" s="182"/>
    </row>
    <row r="43" spans="1:75" ht="14.25" customHeight="1" x14ac:dyDescent="0.3">
      <c r="A43" s="995"/>
      <c r="B43" s="185" t="s">
        <v>381</v>
      </c>
      <c r="C43" s="190">
        <f t="shared" ref="C43:G43" si="19">C26/1000000</f>
        <v>1.5653000000000001E-7</v>
      </c>
      <c r="D43" s="190">
        <f t="shared" si="19"/>
        <v>1.3782900000000001E-7</v>
      </c>
      <c r="E43" s="190">
        <f t="shared" si="19"/>
        <v>1.50448E-7</v>
      </c>
      <c r="F43" s="190">
        <f t="shared" si="19"/>
        <v>1.63476E-7</v>
      </c>
      <c r="G43" s="190">
        <f t="shared" si="19"/>
        <v>1.3946700000000001E-7</v>
      </c>
      <c r="H43" s="191">
        <v>0.57212300000000005</v>
      </c>
      <c r="I43" s="191">
        <v>0.42573699999999998</v>
      </c>
      <c r="J43" s="191">
        <v>0.48248200000000002</v>
      </c>
      <c r="K43" s="191">
        <v>0.46154699999999999</v>
      </c>
      <c r="L43" s="191">
        <v>0.40525899999999998</v>
      </c>
      <c r="M43" s="191">
        <v>0.44468099999999999</v>
      </c>
      <c r="N43" s="191">
        <v>0.45371800000000001</v>
      </c>
      <c r="O43" s="181">
        <v>0.46596838599999996</v>
      </c>
      <c r="P43" s="181">
        <v>0.48041340596599991</v>
      </c>
      <c r="Q43" s="181">
        <v>0.4948258081449799</v>
      </c>
      <c r="R43" s="181">
        <v>0.50818610496489436</v>
      </c>
      <c r="S43" s="181">
        <v>0.51987438537908692</v>
      </c>
      <c r="T43" s="181">
        <v>0.53643146226594396</v>
      </c>
      <c r="U43" s="181">
        <v>0.55169922684756667</v>
      </c>
      <c r="V43" s="181">
        <v>0.56381441613057659</v>
      </c>
      <c r="W43" s="181">
        <v>0.57724471466507288</v>
      </c>
      <c r="X43" s="181">
        <v>0.59553078976708307</v>
      </c>
      <c r="Y43" s="181">
        <v>0.61022171441182993</v>
      </c>
      <c r="Z43" s="181">
        <v>0.62786586788168053</v>
      </c>
      <c r="AA43" s="181">
        <v>0.64272529292031599</v>
      </c>
      <c r="AB43" s="181">
        <v>0.65792225187561448</v>
      </c>
      <c r="AC43" s="181">
        <v>0.6747241831127011</v>
      </c>
      <c r="AD43" s="181">
        <v>0.69003451729270449</v>
      </c>
      <c r="AE43" s="181">
        <v>0.70619994845371925</v>
      </c>
      <c r="AF43" s="181">
        <v>0.72400391138346865</v>
      </c>
      <c r="AG43" s="181">
        <v>0.74044940399947679</v>
      </c>
      <c r="AH43" s="181">
        <v>0.75735071571818391</v>
      </c>
      <c r="AI43" s="181">
        <v>0.77422517815830449</v>
      </c>
      <c r="AJ43" s="181">
        <v>0.78776856504633974</v>
      </c>
      <c r="AK43" s="181">
        <v>0.8050336361649274</v>
      </c>
      <c r="AL43" s="181">
        <v>0.81999975594481134</v>
      </c>
      <c r="AM43" s="181">
        <v>0.83874600594919846</v>
      </c>
      <c r="AN43" s="181">
        <v>0.85420432917055278</v>
      </c>
      <c r="AO43" s="181">
        <v>0.86951151836859875</v>
      </c>
      <c r="AP43" s="181">
        <v>0.88538279275224907</v>
      </c>
      <c r="AQ43" s="181">
        <v>0.90137267117406339</v>
      </c>
      <c r="AR43" s="182"/>
    </row>
    <row r="44" spans="1:75" ht="14.25" customHeight="1" x14ac:dyDescent="0.3">
      <c r="A44" s="995"/>
      <c r="B44" s="185" t="s">
        <v>382</v>
      </c>
      <c r="C44" s="190">
        <f t="shared" ref="C44:G44" si="20">C27/1000000</f>
        <v>4.7614800000000004E-7</v>
      </c>
      <c r="D44" s="190">
        <f t="shared" si="20"/>
        <v>6.5010500000000006E-7</v>
      </c>
      <c r="E44" s="190">
        <f t="shared" si="20"/>
        <v>5.3200300000000003E-7</v>
      </c>
      <c r="F44" s="190">
        <f t="shared" si="20"/>
        <v>5.3061199999999996E-7</v>
      </c>
      <c r="G44" s="190">
        <f t="shared" si="20"/>
        <v>5.18393E-7</v>
      </c>
      <c r="H44" s="191">
        <v>0.36940600000000001</v>
      </c>
      <c r="I44" s="191">
        <v>0.319602</v>
      </c>
      <c r="J44" s="191">
        <v>0.31388199999999999</v>
      </c>
      <c r="K44" s="191">
        <v>0.26776</v>
      </c>
      <c r="L44" s="191">
        <v>0.24657399999999999</v>
      </c>
      <c r="M44" s="191">
        <v>0.25685400000000003</v>
      </c>
      <c r="N44" s="191">
        <v>0.225575</v>
      </c>
      <c r="O44" s="181">
        <v>0.23166552499999998</v>
      </c>
      <c r="P44" s="181">
        <v>0.23884715627499997</v>
      </c>
      <c r="Q44" s="181">
        <v>0.24601257096324997</v>
      </c>
      <c r="R44" s="181">
        <v>0.25265491037925769</v>
      </c>
      <c r="S44" s="181">
        <v>0.2584659733179806</v>
      </c>
      <c r="T44" s="181">
        <v>0.26669765603445378</v>
      </c>
      <c r="U44" s="181">
        <v>0.27428833128978758</v>
      </c>
      <c r="V44" s="181">
        <v>0.28031164053146407</v>
      </c>
      <c r="W44" s="181">
        <v>0.28698878270329548</v>
      </c>
      <c r="X44" s="181">
        <v>0.29608007154600385</v>
      </c>
      <c r="Y44" s="181">
        <v>0.30338395926202738</v>
      </c>
      <c r="Z44" s="181">
        <v>0.31215610389583415</v>
      </c>
      <c r="AA44" s="181">
        <v>0.31954376496083531</v>
      </c>
      <c r="AB44" s="181">
        <v>0.32709923777950561</v>
      </c>
      <c r="AC44" s="181">
        <v>0.33545265474512265</v>
      </c>
      <c r="AD44" s="181">
        <v>0.3430644943297419</v>
      </c>
      <c r="AE44" s="181">
        <v>0.35110146252175967</v>
      </c>
      <c r="AF44" s="181">
        <v>0.35995305963247209</v>
      </c>
      <c r="AG44" s="181">
        <v>0.36812926599161155</v>
      </c>
      <c r="AH44" s="181">
        <v>0.37653209195608145</v>
      </c>
      <c r="AI44" s="181">
        <v>0.3849215692634182</v>
      </c>
      <c r="AJ44" s="181">
        <v>0.39165493557744707</v>
      </c>
      <c r="AK44" s="181">
        <v>0.40023861182034559</v>
      </c>
      <c r="AL44" s="181">
        <v>0.40767931831501258</v>
      </c>
      <c r="AM44" s="181">
        <v>0.41699939233618794</v>
      </c>
      <c r="AN44" s="181">
        <v>0.42468480763965177</v>
      </c>
      <c r="AO44" s="181">
        <v>0.43229508363343916</v>
      </c>
      <c r="AP44" s="181">
        <v>0.44018580588623041</v>
      </c>
      <c r="AQ44" s="181">
        <v>0.44813549451441081</v>
      </c>
      <c r="AR44" s="182"/>
    </row>
    <row r="45" spans="1:75" ht="14.25" customHeight="1" x14ac:dyDescent="0.3">
      <c r="A45" s="995"/>
      <c r="B45" s="185" t="s">
        <v>383</v>
      </c>
      <c r="C45" s="193">
        <f t="shared" ref="C45:G45" si="21">C28/1000000</f>
        <v>2.4819899999999998E-7</v>
      </c>
      <c r="D45" s="193">
        <f t="shared" si="21"/>
        <v>2.4457400000000003E-7</v>
      </c>
      <c r="E45" s="193">
        <f t="shared" si="21"/>
        <v>2.4033300000000001E-7</v>
      </c>
      <c r="F45" s="193">
        <f t="shared" si="21"/>
        <v>2.8819899999999997E-7</v>
      </c>
      <c r="G45" s="190">
        <f t="shared" si="21"/>
        <v>3.8779899999999999E-7</v>
      </c>
      <c r="H45" s="191">
        <v>2.3277033257341456E-2</v>
      </c>
      <c r="I45" s="191">
        <v>2.7322836046693558E-2</v>
      </c>
      <c r="J45" s="191">
        <v>2.854258061590375E-2</v>
      </c>
      <c r="K45" s="191">
        <v>2.3358380584547072E-2</v>
      </c>
      <c r="L45" s="191">
        <v>2.7960008202566927E-2</v>
      </c>
      <c r="M45" s="191">
        <v>2.0921872758601575E-2</v>
      </c>
      <c r="N45" s="191">
        <v>1.8807754924945446E-2</v>
      </c>
      <c r="O45" s="181">
        <v>1.9315564307918972E-2</v>
      </c>
      <c r="P45" s="181">
        <v>1.9914346801464457E-2</v>
      </c>
      <c r="Q45" s="181">
        <v>2.051177720550839E-2</v>
      </c>
      <c r="R45" s="181">
        <v>2.1065595190057115E-2</v>
      </c>
      <c r="S45" s="181">
        <v>2.1550103879428427E-2</v>
      </c>
      <c r="T45" s="181">
        <v>2.2236436456847627E-2</v>
      </c>
      <c r="U45" s="181">
        <v>2.2869323788853237E-2</v>
      </c>
      <c r="V45" s="181">
        <v>2.3371528927076043E-2</v>
      </c>
      <c r="W45" s="181">
        <v>2.3928248659168795E-2</v>
      </c>
      <c r="X45" s="181">
        <v>2.4686252571417714E-2</v>
      </c>
      <c r="Y45" s="181">
        <v>2.5295228433823966E-2</v>
      </c>
      <c r="Z45" s="181">
        <v>2.6026623076132793E-2</v>
      </c>
      <c r="AA45" s="181">
        <v>2.6642583704655914E-2</v>
      </c>
      <c r="AB45" s="181">
        <v>2.7272535964949114E-2</v>
      </c>
      <c r="AC45" s="181">
        <v>2.7969018372464158E-2</v>
      </c>
      <c r="AD45" s="181">
        <v>2.8603670321640785E-2</v>
      </c>
      <c r="AE45" s="181">
        <v>2.9273768196383339E-2</v>
      </c>
      <c r="AF45" s="181">
        <v>3.0011787343685276E-2</v>
      </c>
      <c r="AG45" s="181">
        <v>3.0693494471773386E-2</v>
      </c>
      <c r="AH45" s="181">
        <v>3.13940964507902E-2</v>
      </c>
      <c r="AI45" s="181">
        <v>3.2093585459522463E-2</v>
      </c>
      <c r="AJ45" s="181">
        <v>3.2654992988965612E-2</v>
      </c>
      <c r="AK45" s="181">
        <v>3.3370673712146422E-2</v>
      </c>
      <c r="AL45" s="181">
        <v>3.3991057106672176E-2</v>
      </c>
      <c r="AM45" s="181">
        <v>3.4768136428727441E-2</v>
      </c>
      <c r="AN45" s="181">
        <v>3.5408922896749045E-2</v>
      </c>
      <c r="AO45" s="181">
        <v>3.6043444478495022E-2</v>
      </c>
      <c r="AP45" s="181">
        <v>3.6701348813245376E-2</v>
      </c>
      <c r="AQ45" s="181">
        <v>3.7364169584378888E-2</v>
      </c>
      <c r="AR45" s="182"/>
    </row>
    <row r="46" spans="1:75" ht="14.25" customHeight="1" x14ac:dyDescent="0.3">
      <c r="A46" s="995"/>
      <c r="B46" s="185" t="s">
        <v>384</v>
      </c>
      <c r="C46" s="193">
        <f t="shared" ref="C46:G46" si="22">C29/1000000</f>
        <v>0</v>
      </c>
      <c r="D46" s="193">
        <f t="shared" si="22"/>
        <v>0</v>
      </c>
      <c r="E46" s="193">
        <f t="shared" si="22"/>
        <v>0</v>
      </c>
      <c r="F46" s="193">
        <f t="shared" si="22"/>
        <v>0</v>
      </c>
      <c r="G46" s="193">
        <f t="shared" si="22"/>
        <v>2.8290797925940002E-8</v>
      </c>
      <c r="H46" s="191">
        <v>1.1011083479568758E-2</v>
      </c>
      <c r="I46" s="191">
        <v>6.8589586998662154E-3</v>
      </c>
      <c r="J46" s="191">
        <v>7.691335586589655E-3</v>
      </c>
      <c r="K46" s="191">
        <v>6.376215061464699E-3</v>
      </c>
      <c r="L46" s="191">
        <v>5.2425295496718273E-3</v>
      </c>
      <c r="M46" s="191">
        <v>7.438902636199618E-3</v>
      </c>
      <c r="N46" s="191">
        <v>4.3327007360931232E-3</v>
      </c>
      <c r="O46" s="181">
        <v>4.4496836559676373E-3</v>
      </c>
      <c r="P46" s="181">
        <v>4.5876238493026333E-3</v>
      </c>
      <c r="Q46" s="181">
        <v>4.7252525647817128E-3</v>
      </c>
      <c r="R46" s="181">
        <v>4.8528343840308187E-3</v>
      </c>
      <c r="S46" s="181">
        <v>4.9644495748635276E-3</v>
      </c>
      <c r="T46" s="181">
        <v>5.1225584865999714E-3</v>
      </c>
      <c r="U46" s="181">
        <v>5.2683553358351641E-3</v>
      </c>
      <c r="V46" s="181">
        <v>5.3840472182916784E-3</v>
      </c>
      <c r="W46" s="181">
        <v>5.512297506678655E-3</v>
      </c>
      <c r="X46" s="181">
        <v>5.6869171846608679E-3</v>
      </c>
      <c r="Y46" s="181">
        <v>5.8272056017441296E-3</v>
      </c>
      <c r="Z46" s="181">
        <v>5.9956953613008622E-3</v>
      </c>
      <c r="AA46" s="181">
        <v>6.137592843443551E-3</v>
      </c>
      <c r="AB46" s="181">
        <v>6.2827135467262048E-3</v>
      </c>
      <c r="AC46" s="181">
        <v>6.4431606522823244E-3</v>
      </c>
      <c r="AD46" s="181">
        <v>6.589364012456557E-3</v>
      </c>
      <c r="AE46" s="181">
        <v>6.7437329717894273E-3</v>
      </c>
      <c r="AF46" s="181">
        <v>6.9137488038505312E-3</v>
      </c>
      <c r="AG46" s="181">
        <v>7.0707921610962043E-3</v>
      </c>
      <c r="AH46" s="181">
        <v>7.2321882831909452E-3</v>
      </c>
      <c r="AI46" s="181">
        <v>7.3933280127927827E-3</v>
      </c>
      <c r="AJ46" s="181">
        <v>7.5226582186452822E-3</v>
      </c>
      <c r="AK46" s="181">
        <v>7.6875279975480481E-3</v>
      </c>
      <c r="AL46" s="181">
        <v>7.830444342473224E-3</v>
      </c>
      <c r="AM46" s="181">
        <v>8.0094583802521827E-3</v>
      </c>
      <c r="AN46" s="181">
        <v>8.1570749359099418E-3</v>
      </c>
      <c r="AO46" s="181">
        <v>8.3032482636286806E-3</v>
      </c>
      <c r="AP46" s="181">
        <v>8.4548082242314731E-3</v>
      </c>
      <c r="AQ46" s="181">
        <v>8.6075007733660332E-3</v>
      </c>
      <c r="AR46" s="182"/>
    </row>
    <row r="47" spans="1:75" ht="14.25" customHeight="1" x14ac:dyDescent="0.3">
      <c r="A47" s="995"/>
      <c r="B47" s="185" t="s">
        <v>385</v>
      </c>
      <c r="C47" s="190">
        <f t="shared" ref="C47:G47" si="23">C30/1000000</f>
        <v>0</v>
      </c>
      <c r="D47" s="190">
        <f t="shared" si="23"/>
        <v>0</v>
      </c>
      <c r="E47" s="190">
        <f t="shared" si="23"/>
        <v>0</v>
      </c>
      <c r="F47" s="190">
        <f t="shared" si="23"/>
        <v>0</v>
      </c>
      <c r="G47" s="190">
        <f t="shared" si="23"/>
        <v>0</v>
      </c>
      <c r="H47" s="191">
        <v>7.9089999999999994E-2</v>
      </c>
      <c r="I47" s="191">
        <v>6.2613000000000002E-2</v>
      </c>
      <c r="J47" s="191">
        <v>7.3791999999999996E-2</v>
      </c>
      <c r="K47" s="191">
        <v>4.5637999999999998E-2</v>
      </c>
      <c r="L47" s="191">
        <v>4.7366999999999999E-2</v>
      </c>
      <c r="M47" s="191">
        <v>4.1949E-2</v>
      </c>
      <c r="N47" s="191">
        <v>5.9409999999999998E-2</v>
      </c>
      <c r="O47" s="181">
        <v>6.101406999999999E-2</v>
      </c>
      <c r="P47" s="181">
        <v>6.2905506169999986E-2</v>
      </c>
      <c r="Q47" s="181">
        <v>6.4792671355099987E-2</v>
      </c>
      <c r="R47" s="181">
        <v>6.6542073481687683E-2</v>
      </c>
      <c r="S47" s="181">
        <v>6.807254117176649E-2</v>
      </c>
      <c r="T47" s="181">
        <v>7.0240530843430779E-2</v>
      </c>
      <c r="U47" s="181">
        <v>7.2239697492746432E-2</v>
      </c>
      <c r="V47" s="181">
        <v>7.3826064785434006E-2</v>
      </c>
      <c r="W47" s="181">
        <v>7.5584632961998355E-2</v>
      </c>
      <c r="X47" s="181">
        <v>7.797901828903063E-2</v>
      </c>
      <c r="Y47" s="181">
        <v>7.990265330713528E-2</v>
      </c>
      <c r="Z47" s="181">
        <v>8.2212985182096868E-2</v>
      </c>
      <c r="AA47" s="181">
        <v>8.41586837030842E-2</v>
      </c>
      <c r="AB47" s="181">
        <v>8.6148579037927178E-2</v>
      </c>
      <c r="AC47" s="181">
        <v>8.8348630027297925E-2</v>
      </c>
      <c r="AD47" s="181">
        <v>9.0353370755314008E-2</v>
      </c>
      <c r="AE47" s="181">
        <v>9.2470078193140778E-2</v>
      </c>
      <c r="AF47" s="181">
        <v>9.4801335576926327E-2</v>
      </c>
      <c r="AG47" s="181">
        <v>9.6954714363567021E-2</v>
      </c>
      <c r="AH47" s="181">
        <v>9.9167778269359574E-2</v>
      </c>
      <c r="AI47" s="181">
        <v>0.10137732652084522</v>
      </c>
      <c r="AJ47" s="181">
        <v>0.10315070252756785</v>
      </c>
      <c r="AK47" s="181">
        <v>0.10541139722153038</v>
      </c>
      <c r="AL47" s="181">
        <v>0.10737106639075643</v>
      </c>
      <c r="AM47" s="181">
        <v>0.1098257071869352</v>
      </c>
      <c r="AN47" s="181">
        <v>0.11184982565386986</v>
      </c>
      <c r="AO47" s="181">
        <v>0.11385415457680419</v>
      </c>
      <c r="AP47" s="181">
        <v>0.11593234501917735</v>
      </c>
      <c r="AQ47" s="181">
        <v>0.11802606551746039</v>
      </c>
      <c r="AR47" s="182"/>
    </row>
    <row r="48" spans="1:75" ht="14.25" customHeight="1" x14ac:dyDescent="0.3">
      <c r="A48" s="995"/>
      <c r="B48" s="185" t="s">
        <v>386</v>
      </c>
      <c r="C48" s="190">
        <f t="shared" ref="C48:G48" si="24">C31/1000000</f>
        <v>1.1895400000000001E-7</v>
      </c>
      <c r="D48" s="190">
        <f t="shared" si="24"/>
        <v>1.53977E-7</v>
      </c>
      <c r="E48" s="190">
        <f t="shared" si="24"/>
        <v>1.13577E-7</v>
      </c>
      <c r="F48" s="190">
        <f t="shared" si="24"/>
        <v>9.4706000000000001E-8</v>
      </c>
      <c r="G48" s="190">
        <f t="shared" si="24"/>
        <v>8.1821000000000002E-8</v>
      </c>
      <c r="H48" s="191">
        <v>2.2363999999999998E-2</v>
      </c>
      <c r="I48" s="191">
        <v>2.6372E-2</v>
      </c>
      <c r="J48" s="191">
        <v>1.8065000000000001E-2</v>
      </c>
      <c r="K48" s="191">
        <v>1.5675000000000001E-2</v>
      </c>
      <c r="L48" s="191">
        <v>1.5810000000000001E-2</v>
      </c>
      <c r="M48" s="191">
        <v>2.3879000000000001E-2</v>
      </c>
      <c r="N48" s="191">
        <v>1.9668999999999999E-2</v>
      </c>
      <c r="O48" s="181">
        <v>2.0200062999999997E-2</v>
      </c>
      <c r="P48" s="181">
        <v>2.0826264952999995E-2</v>
      </c>
      <c r="Q48" s="181">
        <v>2.1451052901589995E-2</v>
      </c>
      <c r="R48" s="181">
        <v>2.2030231329932922E-2</v>
      </c>
      <c r="S48" s="181">
        <v>2.2536926650521379E-2</v>
      </c>
      <c r="T48" s="181">
        <v>2.3254687782518765E-2</v>
      </c>
      <c r="U48" s="181">
        <v>2.3916556303397233E-2</v>
      </c>
      <c r="V48" s="181">
        <v>2.4441758428963161E-2</v>
      </c>
      <c r="W48" s="181">
        <v>2.5023971481729433E-2</v>
      </c>
      <c r="X48" s="181">
        <v>2.5816685923698759E-2</v>
      </c>
      <c r="Y48" s="181">
        <v>2.6453548020502336E-2</v>
      </c>
      <c r="Z48" s="181">
        <v>2.7218434700330977E-2</v>
      </c>
      <c r="AA48" s="181">
        <v>2.7862601409795712E-2</v>
      </c>
      <c r="AB48" s="181">
        <v>2.8521400456101492E-2</v>
      </c>
      <c r="AC48" s="181">
        <v>2.9249776199409577E-2</v>
      </c>
      <c r="AD48" s="181">
        <v>2.9913490142842475E-2</v>
      </c>
      <c r="AE48" s="181">
        <v>3.0614273152346175E-2</v>
      </c>
      <c r="AF48" s="181">
        <v>3.1386087686627914E-2</v>
      </c>
      <c r="AG48" s="181">
        <v>3.2099011560629526E-2</v>
      </c>
      <c r="AH48" s="181">
        <v>3.2831695518936777E-2</v>
      </c>
      <c r="AI48" s="181">
        <v>3.3563215541802811E-2</v>
      </c>
      <c r="AJ48" s="181">
        <v>3.4150331055625857E-2</v>
      </c>
      <c r="AK48" s="181">
        <v>3.4898784244239714E-2</v>
      </c>
      <c r="AL48" s="181">
        <v>3.5547576247092885E-2</v>
      </c>
      <c r="AM48" s="181">
        <v>3.6360239600401086E-2</v>
      </c>
      <c r="AN48" s="181">
        <v>3.7030368974683828E-2</v>
      </c>
      <c r="AO48" s="181">
        <v>3.769394658089819E-2</v>
      </c>
      <c r="AP48" s="181">
        <v>3.8381977683591972E-2</v>
      </c>
      <c r="AQ48" s="181">
        <v>3.9075150356218287E-2</v>
      </c>
      <c r="AR48" s="182"/>
    </row>
    <row r="49" spans="1:75" ht="14.25" customHeight="1" x14ac:dyDescent="0.3">
      <c r="A49" s="995"/>
      <c r="B49" s="185" t="s">
        <v>387</v>
      </c>
      <c r="C49" s="190">
        <f t="shared" ref="C49:G49" si="25">C32/1000000</f>
        <v>3.7898E-8</v>
      </c>
      <c r="D49" s="190">
        <f t="shared" si="25"/>
        <v>3.8441E-8</v>
      </c>
      <c r="E49" s="190">
        <f t="shared" si="25"/>
        <v>3.0414999999999998E-8</v>
      </c>
      <c r="F49" s="190">
        <f t="shared" si="25"/>
        <v>3.5696999999999999E-8</v>
      </c>
      <c r="G49" s="190">
        <f t="shared" si="25"/>
        <v>2.3298999999999999E-8</v>
      </c>
      <c r="H49" s="191">
        <v>5.1131000000000003E-2</v>
      </c>
      <c r="I49" s="191">
        <v>5.1262000000000002E-2</v>
      </c>
      <c r="J49" s="191">
        <v>4.9539E-2</v>
      </c>
      <c r="K49" s="191">
        <v>3.9402E-2</v>
      </c>
      <c r="L49" s="191">
        <v>3.5994999999999999E-2</v>
      </c>
      <c r="M49" s="191">
        <v>3.6186000000000003E-2</v>
      </c>
      <c r="N49" s="191">
        <v>3.9580999999999998E-2</v>
      </c>
      <c r="O49" s="181">
        <v>4.0649686999999997E-2</v>
      </c>
      <c r="P49" s="181">
        <v>4.1909827296999991E-2</v>
      </c>
      <c r="Q49" s="181">
        <v>4.3167122115909992E-2</v>
      </c>
      <c r="R49" s="181">
        <v>4.4332634413039557E-2</v>
      </c>
      <c r="S49" s="181">
        <v>4.5352285004539465E-2</v>
      </c>
      <c r="T49" s="181">
        <v>4.679667482433654E-2</v>
      </c>
      <c r="U49" s="181">
        <v>4.8128588898508615E-2</v>
      </c>
      <c r="V49" s="181">
        <v>4.9185481741664087E-2</v>
      </c>
      <c r="W49" s="181">
        <v>5.0357100778805869E-2</v>
      </c>
      <c r="X49" s="181">
        <v>5.1952323226697877E-2</v>
      </c>
      <c r="Y49" s="181">
        <v>5.3233915511693673E-2</v>
      </c>
      <c r="Z49" s="181">
        <v>5.477313863815142E-2</v>
      </c>
      <c r="AA49" s="181">
        <v>5.6069430393061365E-2</v>
      </c>
      <c r="AB49" s="181">
        <v>5.7395167596367543E-2</v>
      </c>
      <c r="AC49" s="181">
        <v>5.8860917776644997E-2</v>
      </c>
      <c r="AD49" s="181">
        <v>6.0196545495136915E-2</v>
      </c>
      <c r="AE49" s="181">
        <v>6.1606769314302402E-2</v>
      </c>
      <c r="AF49" s="181">
        <v>6.315993373961154E-2</v>
      </c>
      <c r="AG49" s="181">
        <v>6.4594589281675593E-2</v>
      </c>
      <c r="AH49" s="181">
        <v>6.6069009117648916E-2</v>
      </c>
      <c r="AI49" s="181">
        <v>6.7541086702938485E-2</v>
      </c>
      <c r="AJ49" s="181">
        <v>6.8722571229484331E-2</v>
      </c>
      <c r="AK49" s="181">
        <v>7.0228724346497143E-2</v>
      </c>
      <c r="AL49" s="181">
        <v>7.1534323831215815E-2</v>
      </c>
      <c r="AM49" s="181">
        <v>7.3169690559940812E-2</v>
      </c>
      <c r="AN49" s="181">
        <v>7.4518228399357428E-2</v>
      </c>
      <c r="AO49" s="181">
        <v>7.5853581759038682E-2</v>
      </c>
      <c r="AP49" s="181">
        <v>7.7238144221579874E-2</v>
      </c>
      <c r="AQ49" s="181">
        <v>7.8633053345339196E-2</v>
      </c>
      <c r="AR49" s="182"/>
    </row>
    <row r="50" spans="1:75" ht="14.25" customHeight="1" x14ac:dyDescent="0.3">
      <c r="A50" s="995"/>
      <c r="B50" s="185" t="s">
        <v>388</v>
      </c>
      <c r="C50" s="190">
        <f t="shared" ref="C50:G50" si="26">C33/1000000</f>
        <v>6.872599999999999E-8</v>
      </c>
      <c r="D50" s="190">
        <f t="shared" si="26"/>
        <v>6.8433999999999989E-8</v>
      </c>
      <c r="E50" s="190">
        <f t="shared" si="26"/>
        <v>5.2699000000000001E-8</v>
      </c>
      <c r="F50" s="190">
        <f t="shared" si="26"/>
        <v>7.0422999999999995E-8</v>
      </c>
      <c r="G50" s="190">
        <f t="shared" si="26"/>
        <v>5.4781000000000006E-8</v>
      </c>
      <c r="H50" s="191">
        <v>5.2012000000000003E-2</v>
      </c>
      <c r="I50" s="191">
        <v>3.9586000000000003E-2</v>
      </c>
      <c r="J50" s="191">
        <v>4.4817999999999997E-2</v>
      </c>
      <c r="K50" s="191">
        <v>3.8235999999999999E-2</v>
      </c>
      <c r="L50" s="191">
        <v>3.5449000000000001E-2</v>
      </c>
      <c r="M50" s="191">
        <v>4.1334000000000003E-2</v>
      </c>
      <c r="N50" s="191">
        <v>4.1981999999999998E-2</v>
      </c>
      <c r="O50" s="181">
        <v>4.3115513999999994E-2</v>
      </c>
      <c r="P50" s="181">
        <v>4.4452094933999993E-2</v>
      </c>
      <c r="Q50" s="181">
        <v>4.5785657782019991E-2</v>
      </c>
      <c r="R50" s="181">
        <v>4.7021870542134525E-2</v>
      </c>
      <c r="S50" s="181">
        <v>4.8103373564603612E-2</v>
      </c>
      <c r="T50" s="181">
        <v>4.9635380674447241E-2</v>
      </c>
      <c r="U50" s="181">
        <v>5.1048089212935209E-2</v>
      </c>
      <c r="V50" s="181">
        <v>5.2169093617607985E-2</v>
      </c>
      <c r="W50" s="181">
        <v>5.3411783555135747E-2</v>
      </c>
      <c r="X50" s="181">
        <v>5.5103772863324081E-2</v>
      </c>
      <c r="Y50" s="181">
        <v>5.6463107071876004E-2</v>
      </c>
      <c r="Z50" s="181">
        <v>5.8095700116391029E-2</v>
      </c>
      <c r="AA50" s="181">
        <v>5.9470625470844661E-2</v>
      </c>
      <c r="AB50" s="181">
        <v>6.0876782446898821E-2</v>
      </c>
      <c r="AC50" s="181">
        <v>6.2431445645615584E-2</v>
      </c>
      <c r="AD50" s="181">
        <v>6.384809309963968E-2</v>
      </c>
      <c r="AE50" s="181">
        <v>6.5343861684976218E-2</v>
      </c>
      <c r="AF50" s="181">
        <v>6.6991241713356714E-2</v>
      </c>
      <c r="AG50" s="181">
        <v>6.8512924060112307E-2</v>
      </c>
      <c r="AH50" s="181">
        <v>7.0076782819462308E-2</v>
      </c>
      <c r="AI50" s="181">
        <v>7.16381572462233E-2</v>
      </c>
      <c r="AJ50" s="181">
        <v>7.2891311117864926E-2</v>
      </c>
      <c r="AK50" s="181">
        <v>7.4488828112342878E-2</v>
      </c>
      <c r="AL50" s="181">
        <v>7.5873625807384923E-2</v>
      </c>
      <c r="AM50" s="181">
        <v>7.7608194565256944E-2</v>
      </c>
      <c r="AN50" s="181">
        <v>7.9038535273535868E-2</v>
      </c>
      <c r="AO50" s="181">
        <v>8.0454891726029196E-2</v>
      </c>
      <c r="AP50" s="181">
        <v>8.1923442326125306E-2</v>
      </c>
      <c r="AQ50" s="181">
        <v>8.3402967220232674E-2</v>
      </c>
      <c r="AR50" s="182"/>
    </row>
    <row r="51" spans="1:75" ht="13.5" customHeight="1" x14ac:dyDescent="0.3">
      <c r="A51" s="995"/>
      <c r="B51" s="185" t="s">
        <v>389</v>
      </c>
      <c r="C51" s="190">
        <f t="shared" ref="C51:G51" si="27">C34/1000000</f>
        <v>5.1991000000000005E-8</v>
      </c>
      <c r="D51" s="190">
        <f t="shared" si="27"/>
        <v>4.0002999999999998E-8</v>
      </c>
      <c r="E51" s="190">
        <f t="shared" si="27"/>
        <v>3.1388999999999997E-8</v>
      </c>
      <c r="F51" s="190">
        <f t="shared" si="27"/>
        <v>2.8606999999999999E-8</v>
      </c>
      <c r="G51" s="190">
        <f t="shared" si="27"/>
        <v>4.0689000000000001E-8</v>
      </c>
      <c r="H51" s="191">
        <v>1.0361E-2</v>
      </c>
      <c r="I51" s="191">
        <v>1.5758000000000001E-2</v>
      </c>
      <c r="J51" s="191">
        <v>2.2173999999999999E-2</v>
      </c>
      <c r="K51" s="191">
        <v>2.2915999999999999E-2</v>
      </c>
      <c r="L51" s="191">
        <v>1.8966E-2</v>
      </c>
      <c r="M51" s="191">
        <v>1.7247999999999999E-2</v>
      </c>
      <c r="N51" s="191">
        <v>1.3710999999999999E-2</v>
      </c>
      <c r="O51" s="181">
        <v>1.4081196999999998E-2</v>
      </c>
      <c r="P51" s="181">
        <v>1.4517714106999997E-2</v>
      </c>
      <c r="Q51" s="181">
        <v>1.4953245530209996E-2</v>
      </c>
      <c r="R51" s="181">
        <v>1.5356983159525665E-2</v>
      </c>
      <c r="S51" s="181">
        <v>1.5710193772194753E-2</v>
      </c>
      <c r="T51" s="181">
        <v>1.6210535573039545E-2</v>
      </c>
      <c r="U51" s="181">
        <v>1.6671915373220776E-2</v>
      </c>
      <c r="V51" s="181">
        <v>1.7038026835096542E-2</v>
      </c>
      <c r="W51" s="181">
        <v>1.7443879860999146E-2</v>
      </c>
      <c r="X51" s="181">
        <v>1.7996470623815833E-2</v>
      </c>
      <c r="Y51" s="181">
        <v>1.8440418776201506E-2</v>
      </c>
      <c r="Z51" s="181">
        <v>1.8973611173737248E-2</v>
      </c>
      <c r="AA51" s="181">
        <v>1.9422651275088153E-2</v>
      </c>
      <c r="AB51" s="181">
        <v>1.988189138510384E-2</v>
      </c>
      <c r="AC51" s="181">
        <v>2.0389632491235172E-2</v>
      </c>
      <c r="AD51" s="181">
        <v>2.0852298711094262E-2</v>
      </c>
      <c r="AE51" s="181">
        <v>2.1340805287092288E-2</v>
      </c>
      <c r="AF51" s="181">
        <v>2.1878827000424785E-2</v>
      </c>
      <c r="AG51" s="181">
        <v>2.237579681263873E-2</v>
      </c>
      <c r="AH51" s="181">
        <v>2.2886541118518577E-2</v>
      </c>
      <c r="AI51" s="181">
        <v>2.3396474060382231E-2</v>
      </c>
      <c r="AJ51" s="181">
        <v>2.380574452710793E-2</v>
      </c>
      <c r="AK51" s="181">
        <v>2.4327481355064847E-2</v>
      </c>
      <c r="AL51" s="181">
        <v>2.4779745687319658E-2</v>
      </c>
      <c r="AM51" s="181">
        <v>2.5346242572632016E-2</v>
      </c>
      <c r="AN51" s="181">
        <v>2.5813380904565045E-2</v>
      </c>
      <c r="AO51" s="181">
        <v>2.627595208555061E-2</v>
      </c>
      <c r="AP51" s="181">
        <v>2.6755569475811147E-2</v>
      </c>
      <c r="AQ51" s="181">
        <v>2.7238770986532556E-2</v>
      </c>
      <c r="AR51" s="182"/>
    </row>
    <row r="52" spans="1:75" ht="13.5" customHeight="1" x14ac:dyDescent="0.3">
      <c r="A52" s="995"/>
      <c r="B52" s="185" t="s">
        <v>390</v>
      </c>
      <c r="C52" s="190">
        <f t="shared" ref="C52:G52" si="28">C35/1000000</f>
        <v>2.7980000000000001E-9</v>
      </c>
      <c r="D52" s="190">
        <f t="shared" si="28"/>
        <v>1.668E-9</v>
      </c>
      <c r="E52" s="190">
        <f t="shared" si="28"/>
        <v>3.1150000000000001E-9</v>
      </c>
      <c r="F52" s="190">
        <f t="shared" si="28"/>
        <v>1.353E-9</v>
      </c>
      <c r="G52" s="190">
        <f t="shared" si="28"/>
        <v>9.8440000000000003E-9</v>
      </c>
      <c r="H52" s="191">
        <v>7.724E-3</v>
      </c>
      <c r="I52" s="191">
        <v>8.4539999999999997E-3</v>
      </c>
      <c r="J52" s="191">
        <v>9.9860000000000001E-3</v>
      </c>
      <c r="K52" s="191">
        <v>7.5079999999999999E-3</v>
      </c>
      <c r="L52" s="191">
        <v>9.3159999999999996E-3</v>
      </c>
      <c r="M52" s="191">
        <v>5.2180000000000004E-3</v>
      </c>
      <c r="N52" s="191">
        <v>7.4640000000000001E-3</v>
      </c>
      <c r="O52" s="181">
        <v>7.6655279999999996E-3</v>
      </c>
      <c r="P52" s="181">
        <v>7.9031593679999984E-3</v>
      </c>
      <c r="Q52" s="181">
        <v>8.1402541490399986E-3</v>
      </c>
      <c r="R52" s="181">
        <v>8.3600410110640771E-3</v>
      </c>
      <c r="S52" s="181">
        <v>8.5523219543185494E-3</v>
      </c>
      <c r="T52" s="181">
        <v>8.8246982362458724E-3</v>
      </c>
      <c r="U52" s="181">
        <v>9.0758643677135049E-3</v>
      </c>
      <c r="V52" s="181">
        <v>9.2751682807352184E-3</v>
      </c>
      <c r="W52" s="181">
        <v>9.4961067232512304E-3</v>
      </c>
      <c r="X52" s="181">
        <v>9.7969263172752816E-3</v>
      </c>
      <c r="Y52" s="181">
        <v>1.003860300091664E-2</v>
      </c>
      <c r="Z52" s="181">
        <v>1.0328862504614894E-2</v>
      </c>
      <c r="AA52" s="181">
        <v>1.0573311145595361E-2</v>
      </c>
      <c r="AB52" s="181">
        <v>1.0823312471622427E-2</v>
      </c>
      <c r="AC52" s="181">
        <v>1.1099716790502468E-2</v>
      </c>
      <c r="AD52" s="181">
        <v>1.1351583223660389E-2</v>
      </c>
      <c r="AE52" s="181">
        <v>1.1617516640861855E-2</v>
      </c>
      <c r="AF52" s="181">
        <v>1.1910405129543479E-2</v>
      </c>
      <c r="AG52" s="181">
        <v>1.2180945766868611E-2</v>
      </c>
      <c r="AH52" s="181">
        <v>1.2458984968902539E-2</v>
      </c>
      <c r="AI52" s="181">
        <v>1.2736582480248927E-2</v>
      </c>
      <c r="AJ52" s="181">
        <v>1.2959381310650841E-2</v>
      </c>
      <c r="AK52" s="181">
        <v>1.3243404626519153E-2</v>
      </c>
      <c r="AL52" s="181">
        <v>1.3489608475687696E-2</v>
      </c>
      <c r="AM52" s="181">
        <v>1.3797998290578763E-2</v>
      </c>
      <c r="AN52" s="181">
        <v>1.4052299254005802E-2</v>
      </c>
      <c r="AO52" s="181">
        <v>1.430411394986141E-2</v>
      </c>
      <c r="AP52" s="181">
        <v>1.4565208268357846E-2</v>
      </c>
      <c r="AQ52" s="181">
        <v>1.4828253711872148E-2</v>
      </c>
      <c r="AR52" s="182"/>
    </row>
    <row r="53" spans="1:75" ht="13.5" customHeight="1" x14ac:dyDescent="0.3">
      <c r="A53" s="324"/>
      <c r="B53" s="179" t="s">
        <v>391</v>
      </c>
      <c r="C53" s="195">
        <f t="shared" ref="C53:AQ53" si="29">SUM(C39:C52)</f>
        <v>2.2031320000000006E-6</v>
      </c>
      <c r="D53" s="195">
        <f t="shared" si="29"/>
        <v>2.315411E-6</v>
      </c>
      <c r="E53" s="195">
        <f t="shared" si="29"/>
        <v>2.1107759999999999E-6</v>
      </c>
      <c r="F53" s="195">
        <f t="shared" si="29"/>
        <v>2.1889579999999994E-6</v>
      </c>
      <c r="G53" s="195">
        <f t="shared" si="29"/>
        <v>2.1737927979259403E-6</v>
      </c>
      <c r="H53" s="196">
        <f t="shared" si="29"/>
        <v>2.2390988985786575</v>
      </c>
      <c r="I53" s="196">
        <f t="shared" si="29"/>
        <v>2.0209997947465599</v>
      </c>
      <c r="J53" s="196">
        <f t="shared" si="29"/>
        <v>2.1063639162024939</v>
      </c>
      <c r="K53" s="196">
        <f t="shared" si="29"/>
        <v>1.9798475956460118</v>
      </c>
      <c r="L53" s="196">
        <f t="shared" si="29"/>
        <v>1.9927495377522391</v>
      </c>
      <c r="M53" s="196">
        <f t="shared" si="29"/>
        <v>1.9896457753948011</v>
      </c>
      <c r="N53" s="196">
        <f t="shared" si="29"/>
        <v>1.9946614556610387</v>
      </c>
      <c r="O53" s="180">
        <f t="shared" si="29"/>
        <v>2.048517314963886</v>
      </c>
      <c r="P53" s="180">
        <f t="shared" si="29"/>
        <v>2.1120213517277668</v>
      </c>
      <c r="Q53" s="180">
        <f t="shared" si="29"/>
        <v>2.1753819922795996</v>
      </c>
      <c r="R53" s="180">
        <f t="shared" si="29"/>
        <v>2.2341173060711483</v>
      </c>
      <c r="S53" s="180">
        <f t="shared" si="29"/>
        <v>2.2855020041107852</v>
      </c>
      <c r="T53" s="180">
        <f t="shared" si="29"/>
        <v>2.3582911883279198</v>
      </c>
      <c r="U53" s="180">
        <f t="shared" si="29"/>
        <v>2.4254122228142521</v>
      </c>
      <c r="V53" s="180">
        <f t="shared" si="29"/>
        <v>2.4786737224480717</v>
      </c>
      <c r="W53" s="180">
        <f t="shared" si="29"/>
        <v>2.5377167818479207</v>
      </c>
      <c r="X53" s="180">
        <f t="shared" si="29"/>
        <v>2.6181070885611275</v>
      </c>
      <c r="Y53" s="180">
        <f t="shared" si="29"/>
        <v>2.6826921857732673</v>
      </c>
      <c r="Z53" s="180">
        <f t="shared" si="29"/>
        <v>2.7602604392789218</v>
      </c>
      <c r="AA53" s="180">
        <f t="shared" si="29"/>
        <v>2.8255863077211059</v>
      </c>
      <c r="AB53" s="180">
        <f t="shared" si="29"/>
        <v>2.8923960623955884</v>
      </c>
      <c r="AC53" s="180">
        <f t="shared" si="29"/>
        <v>2.9662616895456764</v>
      </c>
      <c r="AD53" s="180">
        <f t="shared" si="29"/>
        <v>3.0335698709758656</v>
      </c>
      <c r="AE53" s="180">
        <f t="shared" si="29"/>
        <v>3.1046372794785437</v>
      </c>
      <c r="AF53" s="180">
        <f t="shared" si="29"/>
        <v>3.1829080966248533</v>
      </c>
      <c r="AG53" s="180">
        <f t="shared" si="29"/>
        <v>3.255206727581768</v>
      </c>
      <c r="AH53" s="180">
        <f t="shared" si="29"/>
        <v>3.3295092569842106</v>
      </c>
      <c r="AI53" s="180">
        <f t="shared" si="29"/>
        <v>3.403693750026823</v>
      </c>
      <c r="AJ53" s="180">
        <f t="shared" si="29"/>
        <v>3.4632339750226784</v>
      </c>
      <c r="AK53" s="180">
        <f t="shared" si="29"/>
        <v>3.5391356846517725</v>
      </c>
      <c r="AL53" s="180">
        <f t="shared" si="29"/>
        <v>3.6049306107198165</v>
      </c>
      <c r="AM53" s="180">
        <f t="shared" si="29"/>
        <v>3.6873439650983877</v>
      </c>
      <c r="AN53" s="180">
        <f t="shared" si="29"/>
        <v>3.7553027445578442</v>
      </c>
      <c r="AO53" s="180">
        <f t="shared" si="29"/>
        <v>3.8225970998354675</v>
      </c>
      <c r="AP53" s="180">
        <f t="shared" si="29"/>
        <v>3.8923713192080469</v>
      </c>
      <c r="AQ53" s="180">
        <f t="shared" si="29"/>
        <v>3.9626669525501206</v>
      </c>
      <c r="AR53" s="197"/>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row>
    <row r="54" spans="1:75" ht="13.5" customHeight="1" x14ac:dyDescent="0.3">
      <c r="A54" s="324"/>
      <c r="B54" s="179"/>
      <c r="C54" s="195"/>
      <c r="D54" s="195"/>
      <c r="E54" s="195"/>
      <c r="F54" s="195"/>
      <c r="G54" s="195"/>
      <c r="H54" s="196"/>
      <c r="I54" s="196"/>
      <c r="J54" s="196"/>
      <c r="K54" s="196"/>
      <c r="L54" s="196"/>
      <c r="M54" s="196"/>
      <c r="N54" s="196"/>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97"/>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row>
    <row r="55" spans="1:75" ht="14.25" customHeight="1" x14ac:dyDescent="0.3">
      <c r="A55" s="1206" t="s">
        <v>822</v>
      </c>
      <c r="B55" s="185" t="s">
        <v>820</v>
      </c>
      <c r="C55" s="190">
        <f t="shared" ref="C55:G55" si="30">C37/1000000</f>
        <v>2.2090930000000002E-6</v>
      </c>
      <c r="D55" s="190">
        <f t="shared" si="30"/>
        <v>2.3220060000000001E-6</v>
      </c>
      <c r="E55" s="190">
        <f t="shared" si="30"/>
        <v>2.1174580000000002E-6</v>
      </c>
      <c r="F55" s="190">
        <f t="shared" si="30"/>
        <v>2.198285E-6</v>
      </c>
      <c r="G55" s="190">
        <f t="shared" si="30"/>
        <v>2.1806597979259407E-6</v>
      </c>
      <c r="H55" s="191">
        <v>0.318888</v>
      </c>
      <c r="I55" s="191">
        <v>0.29633199999999998</v>
      </c>
      <c r="J55" s="191">
        <v>0.29421199999999997</v>
      </c>
      <c r="K55" s="191">
        <v>0.29897499999999999</v>
      </c>
      <c r="L55" s="191">
        <v>0.35064400000000001</v>
      </c>
      <c r="M55" s="191">
        <v>0.31058200000000002</v>
      </c>
      <c r="N55" s="191">
        <v>0.29675400000000002</v>
      </c>
      <c r="O55" s="181">
        <v>0.30074334064236619</v>
      </c>
      <c r="P55" s="181">
        <v>0.30469866151308445</v>
      </c>
      <c r="Q55" s="181">
        <v>0.30861760546827144</v>
      </c>
      <c r="R55" s="181">
        <v>0.31249943694529703</v>
      </c>
      <c r="S55" s="181">
        <v>0.31633980943770984</v>
      </c>
      <c r="T55" s="181">
        <v>0.32013726853758195</v>
      </c>
      <c r="U55" s="181">
        <v>0.32388908931971494</v>
      </c>
      <c r="V55" s="181">
        <v>0.32759473682946877</v>
      </c>
      <c r="W55" s="181">
        <v>0.33125004845104955</v>
      </c>
      <c r="X55" s="181">
        <v>0.33485306825655425</v>
      </c>
      <c r="Y55" s="181">
        <v>0.33840127192877456</v>
      </c>
      <c r="Z55" s="181">
        <v>0.34189173393452205</v>
      </c>
      <c r="AA55" s="181">
        <v>0.34532301658320136</v>
      </c>
      <c r="AB55" s="181">
        <v>0.3486926122749367</v>
      </c>
      <c r="AC55" s="181">
        <v>0.35199904988446756</v>
      </c>
      <c r="AD55" s="181">
        <v>0.35523950418260064</v>
      </c>
      <c r="AE55" s="181">
        <v>0.35841285510805804</v>
      </c>
      <c r="AF55" s="181">
        <v>0.36151701299427658</v>
      </c>
      <c r="AG55" s="181">
        <v>0.36455052343332839</v>
      </c>
      <c r="AH55" s="181">
        <v>0.36751300192656577</v>
      </c>
      <c r="AI55" s="181">
        <v>0.37040342871670601</v>
      </c>
      <c r="AJ55" s="181">
        <v>0.37322001504917096</v>
      </c>
      <c r="AK55" s="181">
        <v>0.37596239314264557</v>
      </c>
      <c r="AL55" s="181">
        <v>0.37862877424255176</v>
      </c>
      <c r="AM55" s="181">
        <v>0.38121870698091198</v>
      </c>
      <c r="AN55" s="181">
        <v>0.38373260929103875</v>
      </c>
      <c r="AO55" s="181">
        <v>0.38616832463703887</v>
      </c>
      <c r="AP55" s="181">
        <v>0.38852650499488017</v>
      </c>
      <c r="AQ55" s="181">
        <v>0.39080796951385532</v>
      </c>
      <c r="AR55" s="182"/>
    </row>
    <row r="56" spans="1:75" ht="14.25" customHeight="1" x14ac:dyDescent="0.3">
      <c r="A56" s="995"/>
      <c r="B56" s="185" t="s">
        <v>378</v>
      </c>
      <c r="C56" s="190">
        <f t="shared" ref="C56:G56" si="31">C38/1000000</f>
        <v>0</v>
      </c>
      <c r="D56" s="190">
        <f t="shared" si="31"/>
        <v>0</v>
      </c>
      <c r="E56" s="190">
        <f t="shared" si="31"/>
        <v>0</v>
      </c>
      <c r="F56" s="190">
        <f t="shared" si="31"/>
        <v>0</v>
      </c>
      <c r="G56" s="190">
        <f t="shared" si="31"/>
        <v>0</v>
      </c>
      <c r="H56" s="191">
        <v>0.53741000000000005</v>
      </c>
      <c r="I56" s="191">
        <v>0.55961700000000003</v>
      </c>
      <c r="J56" s="191">
        <v>0.57351600000000003</v>
      </c>
      <c r="K56" s="191">
        <v>0.57383300000000004</v>
      </c>
      <c r="L56" s="191">
        <v>0.60195399999999999</v>
      </c>
      <c r="M56" s="191">
        <v>0.59057899999999997</v>
      </c>
      <c r="N56" s="191">
        <v>0.62696200000000002</v>
      </c>
      <c r="O56" s="181">
        <v>0.63539041204438418</v>
      </c>
      <c r="P56" s="181">
        <v>0.643746949390965</v>
      </c>
      <c r="Q56" s="181">
        <v>0.65202663202382571</v>
      </c>
      <c r="R56" s="181">
        <v>0.66022790589544644</v>
      </c>
      <c r="S56" s="181">
        <v>0.66834158799775378</v>
      </c>
      <c r="T56" s="181">
        <v>0.67636460555496958</v>
      </c>
      <c r="U56" s="181">
        <v>0.68429120152741707</v>
      </c>
      <c r="V56" s="181">
        <v>0.69212024569871811</v>
      </c>
      <c r="W56" s="181">
        <v>0.69984294357267951</v>
      </c>
      <c r="X56" s="181">
        <v>0.70745516279566834</v>
      </c>
      <c r="Y56" s="181">
        <v>0.71495157015914979</v>
      </c>
      <c r="Z56" s="181">
        <v>0.72232598479230536</v>
      </c>
      <c r="AA56" s="181">
        <v>0.72957536923861876</v>
      </c>
      <c r="AB56" s="181">
        <v>0.73669442560881682</v>
      </c>
      <c r="AC56" s="181">
        <v>0.7436800458078594</v>
      </c>
      <c r="AD56" s="181">
        <v>0.75052626088049901</v>
      </c>
      <c r="AE56" s="181">
        <v>0.75723070443619367</v>
      </c>
      <c r="AF56" s="181">
        <v>0.76378896156721587</v>
      </c>
      <c r="AG56" s="181">
        <v>0.77019795949778724</v>
      </c>
      <c r="AH56" s="181">
        <v>0.77645688588488604</v>
      </c>
      <c r="AI56" s="181">
        <v>0.78256358625354117</v>
      </c>
      <c r="AJ56" s="181">
        <v>0.78851428144273794</v>
      </c>
      <c r="AK56" s="181">
        <v>0.79430819442871625</v>
      </c>
      <c r="AL56" s="181">
        <v>0.79994154605046153</v>
      </c>
      <c r="AM56" s="181">
        <v>0.80541338268790463</v>
      </c>
      <c r="AN56" s="181">
        <v>0.81072458732259101</v>
      </c>
      <c r="AO56" s="181">
        <v>0.81587060376974574</v>
      </c>
      <c r="AP56" s="181">
        <v>0.82085280948057993</v>
      </c>
      <c r="AQ56" s="181">
        <v>0.82567293509892281</v>
      </c>
      <c r="AR56" s="182"/>
    </row>
    <row r="57" spans="1:75" ht="14.25" customHeight="1" x14ac:dyDescent="0.3">
      <c r="A57" s="995"/>
      <c r="B57" s="185" t="s">
        <v>379</v>
      </c>
      <c r="C57" s="190">
        <f t="shared" ref="C57:G57" si="32">C39/1000000</f>
        <v>0</v>
      </c>
      <c r="D57" s="190">
        <f t="shared" si="32"/>
        <v>0</v>
      </c>
      <c r="E57" s="190">
        <f t="shared" si="32"/>
        <v>0</v>
      </c>
      <c r="F57" s="190">
        <f t="shared" si="32"/>
        <v>0</v>
      </c>
      <c r="G57" s="190">
        <f t="shared" si="32"/>
        <v>0</v>
      </c>
      <c r="H57" s="191">
        <v>7.9743999999999995E-2</v>
      </c>
      <c r="I57" s="191">
        <v>5.5898000000000003E-2</v>
      </c>
      <c r="J57" s="191">
        <v>5.2713999999999997E-2</v>
      </c>
      <c r="K57" s="191">
        <v>4.5851999999999997E-2</v>
      </c>
      <c r="L57" s="191">
        <v>4.8097000000000001E-2</v>
      </c>
      <c r="M57" s="191">
        <v>3.4789E-2</v>
      </c>
      <c r="N57" s="191">
        <v>3.4930999999999997E-2</v>
      </c>
      <c r="O57" s="181">
        <v>3.5400586452005674E-2</v>
      </c>
      <c r="P57" s="181">
        <v>3.5866168426756002E-2</v>
      </c>
      <c r="Q57" s="181">
        <v>3.6327468464156132E-2</v>
      </c>
      <c r="R57" s="181">
        <v>3.6784399980914054E-2</v>
      </c>
      <c r="S57" s="181">
        <v>3.7236451348486091E-2</v>
      </c>
      <c r="T57" s="181">
        <v>3.7683451368090315E-2</v>
      </c>
      <c r="U57" s="181">
        <v>3.8125079287985877E-2</v>
      </c>
      <c r="V57" s="181">
        <v>3.8561272138505874E-2</v>
      </c>
      <c r="W57" s="181">
        <v>3.8991539936929616E-2</v>
      </c>
      <c r="X57" s="181">
        <v>3.9415652450412446E-2</v>
      </c>
      <c r="Y57" s="181">
        <v>3.9833312540838613E-2</v>
      </c>
      <c r="Z57" s="181">
        <v>4.0244175842842178E-2</v>
      </c>
      <c r="AA57" s="181">
        <v>4.0648073125443315E-2</v>
      </c>
      <c r="AB57" s="181">
        <v>4.1044709218328354E-2</v>
      </c>
      <c r="AC57" s="181">
        <v>4.1433910954913278E-2</v>
      </c>
      <c r="AD57" s="181">
        <v>4.1815345776644697E-2</v>
      </c>
      <c r="AE57" s="181">
        <v>4.2188881840782511E-2</v>
      </c>
      <c r="AF57" s="181">
        <v>4.2554273172065324E-2</v>
      </c>
      <c r="AG57" s="181">
        <v>4.2911348571711222E-2</v>
      </c>
      <c r="AH57" s="181">
        <v>4.3260062780272106E-2</v>
      </c>
      <c r="AI57" s="181">
        <v>4.3600295761820416E-2</v>
      </c>
      <c r="AJ57" s="181">
        <v>4.3931836961532411E-2</v>
      </c>
      <c r="AK57" s="181">
        <v>4.4254643087762086E-2</v>
      </c>
      <c r="AL57" s="181">
        <v>4.4568503585685697E-2</v>
      </c>
      <c r="AM57" s="181">
        <v>4.4873365324646787E-2</v>
      </c>
      <c r="AN57" s="181">
        <v>4.5169277499697631E-2</v>
      </c>
      <c r="AO57" s="181">
        <v>4.5455986264368475E-2</v>
      </c>
      <c r="AP57" s="181">
        <v>4.5733568362940874E-2</v>
      </c>
      <c r="AQ57" s="181">
        <v>4.6002120217717296E-2</v>
      </c>
      <c r="AR57" s="182"/>
    </row>
    <row r="58" spans="1:75" ht="14.25" customHeight="1" x14ac:dyDescent="0.3">
      <c r="A58" s="995"/>
      <c r="B58" s="185" t="s">
        <v>380</v>
      </c>
      <c r="C58" s="190">
        <f t="shared" ref="C58:G58" si="33">C40/1000000</f>
        <v>3.8075399999999995E-13</v>
      </c>
      <c r="D58" s="190">
        <f t="shared" si="33"/>
        <v>3.3643299999999998E-13</v>
      </c>
      <c r="E58" s="190">
        <f t="shared" si="33"/>
        <v>3.3604699999999995E-13</v>
      </c>
      <c r="F58" s="190">
        <f t="shared" si="33"/>
        <v>3.6931599999999995E-13</v>
      </c>
      <c r="G58" s="190">
        <f t="shared" si="33"/>
        <v>3.3182400000000003E-13</v>
      </c>
      <c r="H58" s="191">
        <v>0.10455778184174712</v>
      </c>
      <c r="I58" s="191">
        <v>0.125587</v>
      </c>
      <c r="J58" s="191">
        <v>0.13494999999999999</v>
      </c>
      <c r="K58" s="191">
        <v>0.132771</v>
      </c>
      <c r="L58" s="191">
        <v>0.14411599999999999</v>
      </c>
      <c r="M58" s="191">
        <v>0.15798599999999999</v>
      </c>
      <c r="N58" s="191">
        <v>0.15176400000000001</v>
      </c>
      <c r="O58" s="181">
        <v>0.1538042026366892</v>
      </c>
      <c r="P58" s="181">
        <v>0.15582700710309466</v>
      </c>
      <c r="Q58" s="181">
        <v>0.15783120792402716</v>
      </c>
      <c r="R58" s="181">
        <v>0.15981642892283193</v>
      </c>
      <c r="S58" s="181">
        <v>0.16178044723745796</v>
      </c>
      <c r="T58" s="181">
        <v>0.16372251906406515</v>
      </c>
      <c r="U58" s="181">
        <v>0.16564125083913686</v>
      </c>
      <c r="V58" s="181">
        <v>0.16753636897965149</v>
      </c>
      <c r="W58" s="181">
        <v>0.16940574466772171</v>
      </c>
      <c r="X58" s="181">
        <v>0.17124837761542455</v>
      </c>
      <c r="Y58" s="181">
        <v>0.17306297685287658</v>
      </c>
      <c r="Z58" s="181">
        <v>0.17484804622292807</v>
      </c>
      <c r="AA58" s="181">
        <v>0.17660285047120836</v>
      </c>
      <c r="AB58" s="181">
        <v>0.17832610717730338</v>
      </c>
      <c r="AC58" s="181">
        <v>0.18001706398790354</v>
      </c>
      <c r="AD58" s="181">
        <v>0.18167427604267572</v>
      </c>
      <c r="AE58" s="181">
        <v>0.18329717052716832</v>
      </c>
      <c r="AF58" s="181">
        <v>0.18488467875770295</v>
      </c>
      <c r="AG58" s="181">
        <v>0.18643605693043949</v>
      </c>
      <c r="AH58" s="181">
        <v>0.18795110840758109</v>
      </c>
      <c r="AI58" s="181">
        <v>0.18942931167149274</v>
      </c>
      <c r="AJ58" s="181">
        <v>0.19086975192894576</v>
      </c>
      <c r="AK58" s="181">
        <v>0.19227224109161276</v>
      </c>
      <c r="AL58" s="181">
        <v>0.19363586436626504</v>
      </c>
      <c r="AM58" s="181">
        <v>0.19496039091722811</v>
      </c>
      <c r="AN58" s="181">
        <v>0.19624603448123765</v>
      </c>
      <c r="AO58" s="181">
        <v>0.19749169217673751</v>
      </c>
      <c r="AP58" s="181">
        <v>0.19869769743303539</v>
      </c>
      <c r="AQ58" s="181">
        <v>0.19986446917413322</v>
      </c>
      <c r="AR58" s="182"/>
    </row>
    <row r="59" spans="1:75" ht="14.25" customHeight="1" x14ac:dyDescent="0.3">
      <c r="A59" s="995"/>
      <c r="B59" s="185" t="s">
        <v>381</v>
      </c>
      <c r="C59" s="190">
        <f t="shared" ref="C59:G59" si="34">C41/1000000</f>
        <v>4.7005399999999999E-13</v>
      </c>
      <c r="D59" s="190">
        <f t="shared" si="34"/>
        <v>5.2109099999999993E-13</v>
      </c>
      <c r="E59" s="190">
        <f t="shared" si="34"/>
        <v>5.0772099999999995E-13</v>
      </c>
      <c r="F59" s="190">
        <f t="shared" si="34"/>
        <v>5.0888500000000001E-13</v>
      </c>
      <c r="G59" s="190">
        <f t="shared" si="34"/>
        <v>4.87316E-13</v>
      </c>
      <c r="H59" s="191">
        <v>0.57212300000000005</v>
      </c>
      <c r="I59" s="191">
        <v>0.42573699999999998</v>
      </c>
      <c r="J59" s="191">
        <v>0.48248200000000002</v>
      </c>
      <c r="K59" s="191">
        <v>0.46154699999999999</v>
      </c>
      <c r="L59" s="191">
        <v>0.40525899999999998</v>
      </c>
      <c r="M59" s="191">
        <v>0.44468099999999999</v>
      </c>
      <c r="N59" s="191">
        <v>0.45371800000000001</v>
      </c>
      <c r="O59" s="181">
        <v>0.45981744822166881</v>
      </c>
      <c r="P59" s="181">
        <v>0.46586488237527934</v>
      </c>
      <c r="Q59" s="181">
        <v>0.47185669853768841</v>
      </c>
      <c r="R59" s="181">
        <v>0.47779177208039753</v>
      </c>
      <c r="S59" s="181">
        <v>0.48366345747136968</v>
      </c>
      <c r="T59" s="181">
        <v>0.48946953101334639</v>
      </c>
      <c r="U59" s="181">
        <v>0.49520582646893524</v>
      </c>
      <c r="V59" s="181">
        <v>0.50087152592650108</v>
      </c>
      <c r="W59" s="181">
        <v>0.50646026501113151</v>
      </c>
      <c r="X59" s="181">
        <v>0.5119690532334098</v>
      </c>
      <c r="Y59" s="181">
        <v>0.5173940310728069</v>
      </c>
      <c r="Z59" s="181">
        <v>0.52273072557506717</v>
      </c>
      <c r="AA59" s="181">
        <v>0.52797693860267081</v>
      </c>
      <c r="AB59" s="181">
        <v>0.5331288361948272</v>
      </c>
      <c r="AC59" s="181">
        <v>0.53818416909453914</v>
      </c>
      <c r="AD59" s="181">
        <v>0.54313861770598271</v>
      </c>
      <c r="AE59" s="181">
        <v>0.54799046952667152</v>
      </c>
      <c r="AF59" s="181">
        <v>0.55273652958927999</v>
      </c>
      <c r="AG59" s="181">
        <v>0.55737457419654968</v>
      </c>
      <c r="AH59" s="181">
        <v>0.56190401547449265</v>
      </c>
      <c r="AI59" s="181">
        <v>0.56632329427905415</v>
      </c>
      <c r="AJ59" s="181">
        <v>0.57062967571820356</v>
      </c>
      <c r="AK59" s="181">
        <v>0.5748225974776916</v>
      </c>
      <c r="AL59" s="181">
        <v>0.57889932466548777</v>
      </c>
      <c r="AM59" s="181">
        <v>0.58285916716864972</v>
      </c>
      <c r="AN59" s="181">
        <v>0.58670276398064247</v>
      </c>
      <c r="AO59" s="181">
        <v>0.59042681789518614</v>
      </c>
      <c r="AP59" s="181">
        <v>0.59403232574208642</v>
      </c>
      <c r="AQ59" s="181">
        <v>0.59752053994853482</v>
      </c>
      <c r="AR59" s="182"/>
    </row>
    <row r="60" spans="1:75" ht="14.25" customHeight="1" x14ac:dyDescent="0.3">
      <c r="A60" s="995"/>
      <c r="B60" s="185" t="s">
        <v>382</v>
      </c>
      <c r="C60" s="190">
        <f t="shared" ref="C60:G60" si="35">C42/1000000</f>
        <v>1.9107999999999998E-13</v>
      </c>
      <c r="D60" s="190">
        <f t="shared" si="35"/>
        <v>1.2285600000000001E-13</v>
      </c>
      <c r="E60" s="190">
        <f t="shared" si="35"/>
        <v>1.13029E-13</v>
      </c>
      <c r="F60" s="190">
        <f t="shared" si="35"/>
        <v>9.7683999999999993E-14</v>
      </c>
      <c r="G60" s="190">
        <f t="shared" si="35"/>
        <v>7.0268999999999991E-14</v>
      </c>
      <c r="H60" s="191">
        <v>0.36940600000000001</v>
      </c>
      <c r="I60" s="191">
        <v>0.319602</v>
      </c>
      <c r="J60" s="191">
        <v>0.31388199999999999</v>
      </c>
      <c r="K60" s="191">
        <v>0.26776</v>
      </c>
      <c r="L60" s="191">
        <v>0.24657399999999999</v>
      </c>
      <c r="M60" s="191">
        <v>0.25685400000000003</v>
      </c>
      <c r="N60" s="191">
        <v>0.225575</v>
      </c>
      <c r="O60" s="181">
        <v>0.22860746296731216</v>
      </c>
      <c r="P60" s="181">
        <v>0.23161406609789259</v>
      </c>
      <c r="Q60" s="181">
        <v>0.23459301762909793</v>
      </c>
      <c r="R60" s="181">
        <v>0.23754375842932321</v>
      </c>
      <c r="S60" s="181">
        <v>0.24046298453908421</v>
      </c>
      <c r="T60" s="181">
        <v>0.24334959040270743</v>
      </c>
      <c r="U60" s="181">
        <v>0.24620150469174701</v>
      </c>
      <c r="V60" s="181">
        <v>0.24901832076503572</v>
      </c>
      <c r="W60" s="181">
        <v>0.25179687444599064</v>
      </c>
      <c r="X60" s="181">
        <v>0.25453567895284385</v>
      </c>
      <c r="Y60" s="181">
        <v>0.25723281544758725</v>
      </c>
      <c r="Z60" s="181">
        <v>0.25988606011133736</v>
      </c>
      <c r="AA60" s="181">
        <v>0.26249432009595708</v>
      </c>
      <c r="AB60" s="181">
        <v>0.26505568927097478</v>
      </c>
      <c r="AC60" s="181">
        <v>0.26756904937318038</v>
      </c>
      <c r="AD60" s="181">
        <v>0.27003225282890925</v>
      </c>
      <c r="AE60" s="181">
        <v>0.2724444482332174</v>
      </c>
      <c r="AF60" s="181">
        <v>0.27480404714404505</v>
      </c>
      <c r="AG60" s="181">
        <v>0.2771099440057187</v>
      </c>
      <c r="AH60" s="181">
        <v>0.27936184654489937</v>
      </c>
      <c r="AI60" s="181">
        <v>0.28155897960186199</v>
      </c>
      <c r="AJ60" s="181">
        <v>0.28369998347020337</v>
      </c>
      <c r="AK60" s="181">
        <v>0.28578457858412104</v>
      </c>
      <c r="AL60" s="181">
        <v>0.28781140523721199</v>
      </c>
      <c r="AM60" s="181">
        <v>0.28978012032599126</v>
      </c>
      <c r="AN60" s="181">
        <v>0.29169104153887077</v>
      </c>
      <c r="AO60" s="181">
        <v>0.29354252960364491</v>
      </c>
      <c r="AP60" s="181">
        <v>0.29533508011423631</v>
      </c>
      <c r="AQ60" s="181">
        <v>0.29706931573993245</v>
      </c>
      <c r="AR60" s="182"/>
    </row>
    <row r="61" spans="1:75" ht="14.25" customHeight="1" x14ac:dyDescent="0.3">
      <c r="A61" s="995"/>
      <c r="B61" s="185" t="s">
        <v>383</v>
      </c>
      <c r="C61" s="193">
        <f t="shared" ref="C61:G61" si="36">C43/1000000</f>
        <v>1.5653000000000002E-13</v>
      </c>
      <c r="D61" s="193">
        <f t="shared" si="36"/>
        <v>1.3782900000000001E-13</v>
      </c>
      <c r="E61" s="193">
        <f t="shared" si="36"/>
        <v>1.5044799999999999E-13</v>
      </c>
      <c r="F61" s="193">
        <f t="shared" si="36"/>
        <v>1.6347599999999999E-13</v>
      </c>
      <c r="G61" s="190">
        <f t="shared" si="36"/>
        <v>1.3946700000000002E-13</v>
      </c>
      <c r="H61" s="191">
        <v>2.3277033257341456E-2</v>
      </c>
      <c r="I61" s="191">
        <v>2.7322836046693558E-2</v>
      </c>
      <c r="J61" s="191">
        <v>2.854258061590375E-2</v>
      </c>
      <c r="K61" s="191">
        <v>2.3358380584547072E-2</v>
      </c>
      <c r="L61" s="191">
        <v>2.7960008202566927E-2</v>
      </c>
      <c r="M61" s="191">
        <v>2.0921872758601575E-2</v>
      </c>
      <c r="N61" s="191">
        <v>1.8807754924945446E-2</v>
      </c>
      <c r="O61" s="181">
        <v>1.906059243046769E-2</v>
      </c>
      <c r="P61" s="181">
        <v>1.9311273821741238E-2</v>
      </c>
      <c r="Q61" s="181">
        <v>1.95596497070663E-2</v>
      </c>
      <c r="R61" s="181">
        <v>1.9805673467756423E-2</v>
      </c>
      <c r="S61" s="181">
        <v>2.0049069629755258E-2</v>
      </c>
      <c r="T61" s="181">
        <v>2.0289746015205491E-2</v>
      </c>
      <c r="U61" s="181">
        <v>2.0527529923064104E-2</v>
      </c>
      <c r="V61" s="181">
        <v>2.0762387448831857E-2</v>
      </c>
      <c r="W61" s="181">
        <v>2.0994054773124021E-2</v>
      </c>
      <c r="X61" s="181">
        <v>2.1222407932615237E-2</v>
      </c>
      <c r="Y61" s="181">
        <v>2.1447286940449707E-2</v>
      </c>
      <c r="Z61" s="181">
        <v>2.1668506381397199E-2</v>
      </c>
      <c r="AA61" s="181">
        <v>2.1885975137116005E-2</v>
      </c>
      <c r="AB61" s="181">
        <v>2.2099534280265919E-2</v>
      </c>
      <c r="AC61" s="181">
        <v>2.2309090573474029E-2</v>
      </c>
      <c r="AD61" s="181">
        <v>2.2514464958603708E-2</v>
      </c>
      <c r="AE61" s="181">
        <v>2.2715586448109667E-2</v>
      </c>
      <c r="AF61" s="181">
        <v>2.2912322602541741E-2</v>
      </c>
      <c r="AG61" s="181">
        <v>2.3104581244042612E-2</v>
      </c>
      <c r="AH61" s="181">
        <v>2.3292338003753452E-2</v>
      </c>
      <c r="AI61" s="181">
        <v>2.347552825122258E-2</v>
      </c>
      <c r="AJ61" s="181">
        <v>2.3654038618280655E-2</v>
      </c>
      <c r="AK61" s="181">
        <v>2.3827845795584446E-2</v>
      </c>
      <c r="AL61" s="181">
        <v>2.3996836414964615E-2</v>
      </c>
      <c r="AM61" s="181">
        <v>2.4160981869499925E-2</v>
      </c>
      <c r="AN61" s="181">
        <v>2.4320308647080409E-2</v>
      </c>
      <c r="AO61" s="181">
        <v>2.4474680070193492E-2</v>
      </c>
      <c r="AP61" s="181">
        <v>2.4624137459947629E-2</v>
      </c>
      <c r="AQ61" s="181">
        <v>2.4768732732607286E-2</v>
      </c>
      <c r="AR61" s="182"/>
    </row>
    <row r="62" spans="1:75" ht="14.25" customHeight="1" x14ac:dyDescent="0.3">
      <c r="A62" s="995"/>
      <c r="B62" s="185" t="s">
        <v>384</v>
      </c>
      <c r="C62" s="193">
        <f t="shared" ref="C62:G62" si="37">C44/1000000</f>
        <v>4.76148E-13</v>
      </c>
      <c r="D62" s="193">
        <f t="shared" si="37"/>
        <v>6.5010500000000009E-13</v>
      </c>
      <c r="E62" s="193">
        <f t="shared" si="37"/>
        <v>5.3200300000000007E-13</v>
      </c>
      <c r="F62" s="193">
        <f t="shared" si="37"/>
        <v>5.3061199999999994E-13</v>
      </c>
      <c r="G62" s="193">
        <f t="shared" si="37"/>
        <v>5.1839299999999999E-13</v>
      </c>
      <c r="H62" s="191">
        <v>1.1011083479568758E-2</v>
      </c>
      <c r="I62" s="191">
        <v>6.8589586998662154E-3</v>
      </c>
      <c r="J62" s="191">
        <v>7.691335586589655E-3</v>
      </c>
      <c r="K62" s="191">
        <v>6.376215061464699E-3</v>
      </c>
      <c r="L62" s="191">
        <v>5.2425295496718273E-3</v>
      </c>
      <c r="M62" s="191">
        <v>7.438902636199618E-3</v>
      </c>
      <c r="N62" s="191">
        <v>4.3327007360931232E-3</v>
      </c>
      <c r="O62" s="181">
        <v>4.3909463507696101E-3</v>
      </c>
      <c r="P62" s="181">
        <v>4.4486952661946608E-3</v>
      </c>
      <c r="Q62" s="181">
        <v>4.5059130673341446E-3</v>
      </c>
      <c r="R62" s="181">
        <v>4.5625890147447884E-3</v>
      </c>
      <c r="S62" s="181">
        <v>4.6186596480799706E-3</v>
      </c>
      <c r="T62" s="181">
        <v>4.674103732531399E-3</v>
      </c>
      <c r="U62" s="181">
        <v>4.728881483343308E-3</v>
      </c>
      <c r="V62" s="181">
        <v>4.7829850900114983E-3</v>
      </c>
      <c r="W62" s="181">
        <v>4.8363537770501662E-3</v>
      </c>
      <c r="X62" s="181">
        <v>4.8889589873033325E-3</v>
      </c>
      <c r="Y62" s="181">
        <v>4.9407638649543069E-3</v>
      </c>
      <c r="Z62" s="181">
        <v>4.9917256963082478E-3</v>
      </c>
      <c r="AA62" s="181">
        <v>5.0418234906351193E-3</v>
      </c>
      <c r="AB62" s="181">
        <v>5.091020636196486E-3</v>
      </c>
      <c r="AC62" s="181">
        <v>5.1392956541057994E-3</v>
      </c>
      <c r="AD62" s="181">
        <v>5.1866072951377556E-3</v>
      </c>
      <c r="AE62" s="181">
        <v>5.2329392060491879E-3</v>
      </c>
      <c r="AF62" s="181">
        <v>5.2782608770580658E-3</v>
      </c>
      <c r="AG62" s="181">
        <v>5.3225510733560964E-3</v>
      </c>
      <c r="AH62" s="181">
        <v>5.3658041811433877E-3</v>
      </c>
      <c r="AI62" s="181">
        <v>5.4080053116463082E-3</v>
      </c>
      <c r="AJ62" s="181">
        <v>5.4491283484914416E-3</v>
      </c>
      <c r="AK62" s="181">
        <v>5.4891679219571509E-3</v>
      </c>
      <c r="AL62" s="181">
        <v>5.528097915670019E-3</v>
      </c>
      <c r="AM62" s="181">
        <v>5.5659117395171279E-3</v>
      </c>
      <c r="AN62" s="181">
        <v>5.6026154954548829E-3</v>
      </c>
      <c r="AO62" s="181">
        <v>5.6381776973882291E-3</v>
      </c>
      <c r="AP62" s="181">
        <v>5.6726078643691601E-3</v>
      </c>
      <c r="AQ62" s="181">
        <v>5.7059179562322319E-3</v>
      </c>
      <c r="AR62" s="182"/>
    </row>
    <row r="63" spans="1:75" ht="14.25" customHeight="1" x14ac:dyDescent="0.3">
      <c r="A63" s="995"/>
      <c r="B63" s="185" t="s">
        <v>385</v>
      </c>
      <c r="C63" s="190">
        <f t="shared" ref="C63:G63" si="38">C45/1000000</f>
        <v>2.4819899999999997E-13</v>
      </c>
      <c r="D63" s="190">
        <f t="shared" si="38"/>
        <v>2.4457400000000002E-13</v>
      </c>
      <c r="E63" s="190">
        <f t="shared" si="38"/>
        <v>2.4033300000000001E-13</v>
      </c>
      <c r="F63" s="190">
        <f t="shared" si="38"/>
        <v>2.8819899999999995E-13</v>
      </c>
      <c r="G63" s="190">
        <f t="shared" si="38"/>
        <v>3.87799E-13</v>
      </c>
      <c r="H63" s="191">
        <v>7.9089999999999994E-2</v>
      </c>
      <c r="I63" s="191">
        <v>6.2613000000000002E-2</v>
      </c>
      <c r="J63" s="191">
        <v>7.3791999999999996E-2</v>
      </c>
      <c r="K63" s="191">
        <v>4.5637999999999998E-2</v>
      </c>
      <c r="L63" s="191">
        <v>4.7366999999999999E-2</v>
      </c>
      <c r="M63" s="191">
        <v>4.1949E-2</v>
      </c>
      <c r="N63" s="191">
        <v>5.9409999999999998E-2</v>
      </c>
      <c r="O63" s="181">
        <v>6.0208663969358374E-2</v>
      </c>
      <c r="P63" s="181">
        <v>6.1000517197720483E-2</v>
      </c>
      <c r="Q63" s="181">
        <v>6.1785087786078718E-2</v>
      </c>
      <c r="R63" s="181">
        <v>6.2562228475168305E-2</v>
      </c>
      <c r="S63" s="181">
        <v>6.3331069096606407E-2</v>
      </c>
      <c r="T63" s="181">
        <v>6.4091318478664949E-2</v>
      </c>
      <c r="U63" s="181">
        <v>6.484243109270392E-2</v>
      </c>
      <c r="V63" s="181">
        <v>6.5584299841076221E-2</v>
      </c>
      <c r="W63" s="181">
        <v>6.6316091370215227E-2</v>
      </c>
      <c r="X63" s="181">
        <v>6.7037414104348658E-2</v>
      </c>
      <c r="Y63" s="181">
        <v>6.7747762676454201E-2</v>
      </c>
      <c r="Z63" s="181">
        <v>6.8446551396274188E-2</v>
      </c>
      <c r="AA63" s="181">
        <v>6.9133492438882005E-2</v>
      </c>
      <c r="AB63" s="181">
        <v>6.9808083784056785E-2</v>
      </c>
      <c r="AC63" s="181">
        <v>7.0470030913268963E-2</v>
      </c>
      <c r="AD63" s="181">
        <v>7.1118768217069708E-2</v>
      </c>
      <c r="AE63" s="181">
        <v>7.1754071459760371E-2</v>
      </c>
      <c r="AF63" s="181">
        <v>7.2375522291156902E-2</v>
      </c>
      <c r="AG63" s="181">
        <v>7.2982829539531197E-2</v>
      </c>
      <c r="AH63" s="181">
        <v>7.3575916228449403E-2</v>
      </c>
      <c r="AI63" s="181">
        <v>7.4154578203021709E-2</v>
      </c>
      <c r="AJ63" s="181">
        <v>7.471845735549057E-2</v>
      </c>
      <c r="AK63" s="181">
        <v>7.5267480056223593E-2</v>
      </c>
      <c r="AL63" s="181">
        <v>7.5801288197463235E-2</v>
      </c>
      <c r="AM63" s="181">
        <v>7.6319791415569743E-2</v>
      </c>
      <c r="AN63" s="181">
        <v>7.6823073380579934E-2</v>
      </c>
      <c r="AO63" s="181">
        <v>7.7310702355103844E-2</v>
      </c>
      <c r="AP63" s="181">
        <v>7.7782808864398922E-2</v>
      </c>
      <c r="AQ63" s="181">
        <v>7.8239556901737312E-2</v>
      </c>
      <c r="AR63" s="182"/>
    </row>
    <row r="64" spans="1:75" ht="14.25" customHeight="1" x14ac:dyDescent="0.3">
      <c r="A64" s="995"/>
      <c r="B64" s="185" t="s">
        <v>386</v>
      </c>
      <c r="C64" s="190">
        <f t="shared" ref="C64:G64" si="39">C46/1000000</f>
        <v>0</v>
      </c>
      <c r="D64" s="190">
        <f t="shared" si="39"/>
        <v>0</v>
      </c>
      <c r="E64" s="190">
        <f t="shared" si="39"/>
        <v>0</v>
      </c>
      <c r="F64" s="190">
        <f t="shared" si="39"/>
        <v>0</v>
      </c>
      <c r="G64" s="190">
        <f t="shared" si="39"/>
        <v>2.8290797925940003E-14</v>
      </c>
      <c r="H64" s="191">
        <v>2.2363999999999998E-2</v>
      </c>
      <c r="I64" s="191">
        <v>2.6372E-2</v>
      </c>
      <c r="J64" s="191">
        <v>1.8065000000000001E-2</v>
      </c>
      <c r="K64" s="191">
        <v>1.5675000000000001E-2</v>
      </c>
      <c r="L64" s="191">
        <v>1.5810000000000001E-2</v>
      </c>
      <c r="M64" s="191">
        <v>2.3879000000000001E-2</v>
      </c>
      <c r="N64" s="191">
        <v>1.9668999999999999E-2</v>
      </c>
      <c r="O64" s="181">
        <v>1.9933415445435278E-2</v>
      </c>
      <c r="P64" s="181">
        <v>2.019557604379674E-2</v>
      </c>
      <c r="Q64" s="181">
        <v>2.0455325562437007E-2</v>
      </c>
      <c r="R64" s="181">
        <v>2.0712615247905835E-2</v>
      </c>
      <c r="S64" s="181">
        <v>2.0967157011633594E-2</v>
      </c>
      <c r="T64" s="181">
        <v>2.1218854454752755E-2</v>
      </c>
      <c r="U64" s="181">
        <v>2.1467526967890824E-2</v>
      </c>
      <c r="V64" s="181">
        <v>2.1713139093993077E-2</v>
      </c>
      <c r="W64" s="181">
        <v>2.1955414932852444E-2</v>
      </c>
      <c r="X64" s="181">
        <v>2.2194224844612594E-2</v>
      </c>
      <c r="Y64" s="181">
        <v>2.2429401516296549E-2</v>
      </c>
      <c r="Z64" s="181">
        <v>2.2660751042136294E-2</v>
      </c>
      <c r="AA64" s="181">
        <v>2.288817813129726E-2</v>
      </c>
      <c r="AB64" s="181">
        <v>2.311151657883543E-2</v>
      </c>
      <c r="AC64" s="181">
        <v>2.3330668877850312E-2</v>
      </c>
      <c r="AD64" s="181">
        <v>2.3545447770771652E-2</v>
      </c>
      <c r="AE64" s="181">
        <v>2.3755779019391118E-2</v>
      </c>
      <c r="AF64" s="181">
        <v>2.3961524119588698E-2</v>
      </c>
      <c r="AG64" s="181">
        <v>2.4162586672496864E-2</v>
      </c>
      <c r="AH64" s="181">
        <v>2.435894119335753E-2</v>
      </c>
      <c r="AI64" s="181">
        <v>2.4550520092160133E-2</v>
      </c>
      <c r="AJ64" s="181">
        <v>2.4737204809377938E-2</v>
      </c>
      <c r="AK64" s="181">
        <v>2.4918970968285829E-2</v>
      </c>
      <c r="AL64" s="181">
        <v>2.5095700009357069E-2</v>
      </c>
      <c r="AM64" s="181">
        <v>2.526736201570174E-2</v>
      </c>
      <c r="AN64" s="181">
        <v>2.5433984688143844E-2</v>
      </c>
      <c r="AO64" s="181">
        <v>2.5595425090431518E-2</v>
      </c>
      <c r="AP64" s="181">
        <v>2.5751726435850216E-2</v>
      </c>
      <c r="AQ64" s="181">
        <v>2.5902943018014983E-2</v>
      </c>
      <c r="AR64" s="182"/>
    </row>
    <row r="65" spans="1:75" ht="14.25" customHeight="1" x14ac:dyDescent="0.3">
      <c r="A65" s="995"/>
      <c r="B65" s="185" t="s">
        <v>387</v>
      </c>
      <c r="C65" s="190">
        <f t="shared" ref="C65:G65" si="40">C47/1000000</f>
        <v>0</v>
      </c>
      <c r="D65" s="190">
        <f t="shared" si="40"/>
        <v>0</v>
      </c>
      <c r="E65" s="190">
        <f t="shared" si="40"/>
        <v>0</v>
      </c>
      <c r="F65" s="190">
        <f t="shared" si="40"/>
        <v>0</v>
      </c>
      <c r="G65" s="190">
        <f t="shared" si="40"/>
        <v>0</v>
      </c>
      <c r="H65" s="191">
        <v>5.1131000000000003E-2</v>
      </c>
      <c r="I65" s="191">
        <v>5.1262000000000002E-2</v>
      </c>
      <c r="J65" s="191">
        <v>4.9539E-2</v>
      </c>
      <c r="K65" s="191">
        <v>3.9402E-2</v>
      </c>
      <c r="L65" s="191">
        <v>3.5994999999999999E-2</v>
      </c>
      <c r="M65" s="191">
        <v>3.6186000000000003E-2</v>
      </c>
      <c r="N65" s="191">
        <v>3.9580999999999998E-2</v>
      </c>
      <c r="O65" s="181">
        <v>4.0113097602611912E-2</v>
      </c>
      <c r="P65" s="181">
        <v>4.064065765364374E-2</v>
      </c>
      <c r="Q65" s="181">
        <v>4.1163365757629723E-2</v>
      </c>
      <c r="R65" s="181">
        <v>4.1681123805346519E-2</v>
      </c>
      <c r="S65" s="181">
        <v>4.2193352060474303E-2</v>
      </c>
      <c r="T65" s="181">
        <v>4.269985653432145E-2</v>
      </c>
      <c r="U65" s="181">
        <v>4.3200273776810537E-2</v>
      </c>
      <c r="V65" s="181">
        <v>4.3694532435779129E-2</v>
      </c>
      <c r="W65" s="181">
        <v>4.4182077302213248E-2</v>
      </c>
      <c r="X65" s="181">
        <v>4.4662647494768969E-2</v>
      </c>
      <c r="Y65" s="181">
        <v>4.513590632042979E-2</v>
      </c>
      <c r="Z65" s="181">
        <v>4.5601463572057375E-2</v>
      </c>
      <c r="AA65" s="181">
        <v>4.6059127490715175E-2</v>
      </c>
      <c r="AB65" s="181">
        <v>4.6508563613141748E-2</v>
      </c>
      <c r="AC65" s="181">
        <v>4.6949575720890396E-2</v>
      </c>
      <c r="AD65" s="181">
        <v>4.7381786985353232E-2</v>
      </c>
      <c r="AE65" s="181">
        <v>4.7805048012940152E-2</v>
      </c>
      <c r="AF65" s="181">
        <v>4.8219080084266626E-2</v>
      </c>
      <c r="AG65" s="181">
        <v>4.8623689210641023E-2</v>
      </c>
      <c r="AH65" s="181">
        <v>4.9018824107696597E-2</v>
      </c>
      <c r="AI65" s="181">
        <v>4.9404348760373695E-2</v>
      </c>
      <c r="AJ65" s="181">
        <v>4.9780024584879158E-2</v>
      </c>
      <c r="AK65" s="181">
        <v>5.0145802526601321E-2</v>
      </c>
      <c r="AL65" s="181">
        <v>5.0501444001747026E-2</v>
      </c>
      <c r="AM65" s="181">
        <v>5.0846888806929218E-2</v>
      </c>
      <c r="AN65" s="181">
        <v>5.1182192686024794E-2</v>
      </c>
      <c r="AO65" s="181">
        <v>5.1507068000628917E-2</v>
      </c>
      <c r="AP65" s="181">
        <v>5.1821601711189567E-2</v>
      </c>
      <c r="AQ65" s="181">
        <v>5.2125903075705485E-2</v>
      </c>
      <c r="AR65" s="182"/>
    </row>
    <row r="66" spans="1:75" ht="14.25" customHeight="1" x14ac:dyDescent="0.3">
      <c r="A66" s="995"/>
      <c r="B66" s="185" t="s">
        <v>388</v>
      </c>
      <c r="C66" s="190">
        <f t="shared" ref="C66:G66" si="41">C48/1000000</f>
        <v>1.18954E-13</v>
      </c>
      <c r="D66" s="190">
        <f t="shared" si="41"/>
        <v>1.53977E-13</v>
      </c>
      <c r="E66" s="190">
        <f t="shared" si="41"/>
        <v>1.13577E-13</v>
      </c>
      <c r="F66" s="190">
        <f t="shared" si="41"/>
        <v>9.4705999999999996E-14</v>
      </c>
      <c r="G66" s="190">
        <f t="shared" si="41"/>
        <v>8.1821000000000008E-14</v>
      </c>
      <c r="H66" s="191">
        <v>5.2012000000000003E-2</v>
      </c>
      <c r="I66" s="191">
        <v>3.9586000000000003E-2</v>
      </c>
      <c r="J66" s="191">
        <v>4.4817999999999997E-2</v>
      </c>
      <c r="K66" s="191">
        <v>3.8235999999999999E-2</v>
      </c>
      <c r="L66" s="191">
        <v>3.5449000000000001E-2</v>
      </c>
      <c r="M66" s="191">
        <v>4.1334000000000003E-2</v>
      </c>
      <c r="N66" s="191">
        <v>4.1981999999999998E-2</v>
      </c>
      <c r="O66" s="181">
        <v>4.2546374865537841E-2</v>
      </c>
      <c r="P66" s="181">
        <v>4.310593692972061E-2</v>
      </c>
      <c r="Q66" s="181">
        <v>4.3660352725722218E-2</v>
      </c>
      <c r="R66" s="181">
        <v>4.4209518192972828E-2</v>
      </c>
      <c r="S66" s="181">
        <v>4.4752818428105211E-2</v>
      </c>
      <c r="T66" s="181">
        <v>4.5290047674992631E-2</v>
      </c>
      <c r="U66" s="181">
        <v>4.5820820436524093E-2</v>
      </c>
      <c r="V66" s="181">
        <v>4.6345061032285181E-2</v>
      </c>
      <c r="W66" s="181">
        <v>4.6862180574051109E-2</v>
      </c>
      <c r="X66" s="181">
        <v>4.7371902355306618E-2</v>
      </c>
      <c r="Y66" s="181">
        <v>4.7873869259096126E-2</v>
      </c>
      <c r="Z66" s="181">
        <v>4.836766740815323E-2</v>
      </c>
      <c r="AA66" s="181">
        <v>4.8853093411364158E-2</v>
      </c>
      <c r="AB66" s="181">
        <v>4.9329792516786271E-2</v>
      </c>
      <c r="AC66" s="181">
        <v>4.9797556603279884E-2</v>
      </c>
      <c r="AD66" s="181">
        <v>5.0255985983656298E-2</v>
      </c>
      <c r="AE66" s="181">
        <v>5.0704922202047802E-2</v>
      </c>
      <c r="AF66" s="181">
        <v>5.1144069631835529E-2</v>
      </c>
      <c r="AG66" s="181">
        <v>5.1573222516892753E-2</v>
      </c>
      <c r="AH66" s="181">
        <v>5.1992326461921604E-2</v>
      </c>
      <c r="AI66" s="181">
        <v>5.240123720113208E-2</v>
      </c>
      <c r="AJ66" s="181">
        <v>5.2799701678138432E-2</v>
      </c>
      <c r="AK66" s="181">
        <v>5.3187667862655746E-2</v>
      </c>
      <c r="AL66" s="181">
        <v>5.3564882698298275E-2</v>
      </c>
      <c r="AM66" s="181">
        <v>5.3931282329716349E-2</v>
      </c>
      <c r="AN66" s="181">
        <v>5.428692588223373E-2</v>
      </c>
      <c r="AO66" s="181">
        <v>5.4631508269179743E-2</v>
      </c>
      <c r="AP66" s="181">
        <v>5.4965121726059489E-2</v>
      </c>
      <c r="AQ66" s="181">
        <v>5.5287882138507563E-2</v>
      </c>
      <c r="AR66" s="182"/>
    </row>
    <row r="67" spans="1:75" ht="13.5" customHeight="1" x14ac:dyDescent="0.3">
      <c r="A67" s="995"/>
      <c r="B67" s="185" t="s">
        <v>389</v>
      </c>
      <c r="C67" s="190">
        <f t="shared" ref="C67:G67" si="42">C49/1000000</f>
        <v>3.7898000000000002E-14</v>
      </c>
      <c r="D67" s="190">
        <f t="shared" si="42"/>
        <v>3.8441000000000001E-14</v>
      </c>
      <c r="E67" s="190">
        <f t="shared" si="42"/>
        <v>3.0414999999999996E-14</v>
      </c>
      <c r="F67" s="190">
        <f t="shared" si="42"/>
        <v>3.5696999999999999E-14</v>
      </c>
      <c r="G67" s="190">
        <f t="shared" si="42"/>
        <v>2.3298999999999999E-14</v>
      </c>
      <c r="H67" s="191">
        <v>1.0361E-2</v>
      </c>
      <c r="I67" s="191">
        <v>1.5758000000000001E-2</v>
      </c>
      <c r="J67" s="191">
        <v>2.2173999999999999E-2</v>
      </c>
      <c r="K67" s="191">
        <v>2.2915999999999999E-2</v>
      </c>
      <c r="L67" s="191">
        <v>1.8966E-2</v>
      </c>
      <c r="M67" s="191">
        <v>1.7247999999999999E-2</v>
      </c>
      <c r="N67" s="191">
        <v>1.3710999999999999E-2</v>
      </c>
      <c r="O67" s="181">
        <v>1.3895320513110127E-2</v>
      </c>
      <c r="P67" s="181">
        <v>1.4078069202119937E-2</v>
      </c>
      <c r="Q67" s="181">
        <v>1.4259137159315356E-2</v>
      </c>
      <c r="R67" s="181">
        <v>1.4438490399310428E-2</v>
      </c>
      <c r="S67" s="181">
        <v>1.461592809936998E-2</v>
      </c>
      <c r="T67" s="181">
        <v>1.4791383061117238E-2</v>
      </c>
      <c r="U67" s="181">
        <v>1.4964729384145151E-2</v>
      </c>
      <c r="V67" s="181">
        <v>1.5135942351809394E-2</v>
      </c>
      <c r="W67" s="181">
        <v>1.5304829637721274E-2</v>
      </c>
      <c r="X67" s="181">
        <v>1.5471300871649964E-2</v>
      </c>
      <c r="Y67" s="181">
        <v>1.5635239421930035E-2</v>
      </c>
      <c r="Z67" s="181">
        <v>1.5796510119412813E-2</v>
      </c>
      <c r="AA67" s="181">
        <v>1.5955046538116663E-2</v>
      </c>
      <c r="AB67" s="181">
        <v>1.6110732818771289E-2</v>
      </c>
      <c r="AC67" s="181">
        <v>1.6263500990604786E-2</v>
      </c>
      <c r="AD67" s="181">
        <v>1.641322051883929E-2</v>
      </c>
      <c r="AE67" s="181">
        <v>1.655983965300074E-2</v>
      </c>
      <c r="AF67" s="181">
        <v>1.6703261843697217E-2</v>
      </c>
      <c r="AG67" s="181">
        <v>1.6843419892551954E-2</v>
      </c>
      <c r="AH67" s="181">
        <v>1.698029603447684E-2</v>
      </c>
      <c r="AI67" s="181">
        <v>1.7113843153368623E-2</v>
      </c>
      <c r="AJ67" s="181">
        <v>1.7243978602947827E-2</v>
      </c>
      <c r="AK67" s="181">
        <v>1.7370685390521473E-2</v>
      </c>
      <c r="AL67" s="181">
        <v>1.7493880869810088E-2</v>
      </c>
      <c r="AM67" s="181">
        <v>1.7613544186145021E-2</v>
      </c>
      <c r="AN67" s="181">
        <v>1.7729694649404652E-2</v>
      </c>
      <c r="AO67" s="181">
        <v>1.7842232620616523E-2</v>
      </c>
      <c r="AP67" s="181">
        <v>1.7951188223190917E-2</v>
      </c>
      <c r="AQ67" s="181">
        <v>1.8056599304489461E-2</v>
      </c>
      <c r="AR67" s="182"/>
    </row>
    <row r="68" spans="1:75" ht="13.5" customHeight="1" x14ac:dyDescent="0.3">
      <c r="A68" s="995"/>
      <c r="B68" s="185" t="s">
        <v>390</v>
      </c>
      <c r="C68" s="190">
        <f t="shared" ref="C68:G68" si="43">C50/1000000</f>
        <v>6.8725999999999989E-14</v>
      </c>
      <c r="D68" s="190">
        <f t="shared" si="43"/>
        <v>6.8433999999999991E-14</v>
      </c>
      <c r="E68" s="190">
        <f t="shared" si="43"/>
        <v>5.2699000000000002E-14</v>
      </c>
      <c r="F68" s="190">
        <f t="shared" si="43"/>
        <v>7.0422999999999994E-14</v>
      </c>
      <c r="G68" s="190">
        <f t="shared" si="43"/>
        <v>5.4781000000000004E-14</v>
      </c>
      <c r="H68" s="191">
        <v>7.724E-3</v>
      </c>
      <c r="I68" s="191">
        <v>8.4539999999999997E-3</v>
      </c>
      <c r="J68" s="191">
        <v>9.9860000000000001E-3</v>
      </c>
      <c r="K68" s="191">
        <v>7.5079999999999999E-3</v>
      </c>
      <c r="L68" s="191">
        <v>9.3159999999999996E-3</v>
      </c>
      <c r="M68" s="191">
        <v>5.2180000000000004E-3</v>
      </c>
      <c r="N68" s="191">
        <v>7.4640000000000001E-3</v>
      </c>
      <c r="O68" s="181">
        <v>7.5643404791666544E-3</v>
      </c>
      <c r="P68" s="181">
        <v>7.663825288062376E-3</v>
      </c>
      <c r="Q68" s="181">
        <v>7.7623951394595464E-3</v>
      </c>
      <c r="R68" s="181">
        <v>7.860031532379335E-3</v>
      </c>
      <c r="S68" s="181">
        <v>7.9566251428559217E-3</v>
      </c>
      <c r="T68" s="181">
        <v>8.0521393894084376E-3</v>
      </c>
      <c r="U68" s="181">
        <v>8.146505734319848E-3</v>
      </c>
      <c r="V68" s="181">
        <v>8.2397107223328245E-3</v>
      </c>
      <c r="W68" s="181">
        <v>8.3316496547262524E-3</v>
      </c>
      <c r="X68" s="181">
        <v>8.4222733357155119E-3</v>
      </c>
      <c r="Y68" s="181">
        <v>8.5115182733050722E-3</v>
      </c>
      <c r="Z68" s="181">
        <v>8.5993108840563999E-3</v>
      </c>
      <c r="AA68" s="181">
        <v>8.6856150069654168E-3</v>
      </c>
      <c r="AB68" s="181">
        <v>8.7703675705133807E-3</v>
      </c>
      <c r="AC68" s="181">
        <v>8.8535315727426289E-3</v>
      </c>
      <c r="AD68" s="181">
        <v>8.9350359530753799E-3</v>
      </c>
      <c r="AE68" s="181">
        <v>9.0148525395665948E-3</v>
      </c>
      <c r="AF68" s="181">
        <v>9.0929287726173209E-3</v>
      </c>
      <c r="AG68" s="181">
        <v>9.1692280707466895E-3</v>
      </c>
      <c r="AH68" s="181">
        <v>9.2437407629884921E-3</v>
      </c>
      <c r="AI68" s="181">
        <v>9.3164412002584417E-3</v>
      </c>
      <c r="AJ68" s="181">
        <v>9.3872843915398345E-3</v>
      </c>
      <c r="AK68" s="181">
        <v>9.456261086343256E-3</v>
      </c>
      <c r="AL68" s="181">
        <v>9.5233262936520041E-3</v>
      </c>
      <c r="AM68" s="181">
        <v>9.5884686605927048E-3</v>
      </c>
      <c r="AN68" s="181">
        <v>9.6516986990851476E-3</v>
      </c>
      <c r="AO68" s="181">
        <v>9.7129621676232125E-3</v>
      </c>
      <c r="AP68" s="181">
        <v>9.7722754648017756E-3</v>
      </c>
      <c r="AQ68" s="181">
        <v>9.8296591939836253E-3</v>
      </c>
      <c r="AR68" s="182"/>
    </row>
    <row r="69" spans="1:75" ht="13.5" customHeight="1" x14ac:dyDescent="0.3">
      <c r="A69" s="324"/>
      <c r="B69" s="179" t="s">
        <v>391</v>
      </c>
      <c r="C69" s="195">
        <f t="shared" ref="C69:AQ69" si="44">SUM(C55:C68)</f>
        <v>2.2090951483429996E-6</v>
      </c>
      <c r="D69" s="195">
        <f t="shared" si="44"/>
        <v>2.3220082737399995E-6</v>
      </c>
      <c r="E69" s="195">
        <f t="shared" si="44"/>
        <v>2.1174600762720006E-6</v>
      </c>
      <c r="F69" s="195">
        <f t="shared" si="44"/>
        <v>2.198287158998E-6</v>
      </c>
      <c r="G69" s="195">
        <f t="shared" si="44"/>
        <v>2.1806619211857382E-6</v>
      </c>
      <c r="H69" s="196">
        <f t="shared" si="44"/>
        <v>2.2390988985786575</v>
      </c>
      <c r="I69" s="196">
        <f t="shared" si="44"/>
        <v>2.0209997947465599</v>
      </c>
      <c r="J69" s="196">
        <f t="shared" si="44"/>
        <v>2.1063639162024939</v>
      </c>
      <c r="K69" s="196">
        <f t="shared" si="44"/>
        <v>1.9798475956460118</v>
      </c>
      <c r="L69" s="196">
        <f t="shared" si="44"/>
        <v>1.9927495377522391</v>
      </c>
      <c r="M69" s="196">
        <f t="shared" si="44"/>
        <v>1.9896457753948011</v>
      </c>
      <c r="N69" s="196">
        <f t="shared" si="44"/>
        <v>1.9946614556610387</v>
      </c>
      <c r="O69" s="180">
        <f t="shared" si="44"/>
        <v>2.0214762046208836</v>
      </c>
      <c r="P69" s="180">
        <f t="shared" si="44"/>
        <v>2.0480622863100719</v>
      </c>
      <c r="Q69" s="180">
        <f t="shared" si="44"/>
        <v>2.0744038569521099</v>
      </c>
      <c r="R69" s="180">
        <f t="shared" si="44"/>
        <v>2.1004959723897945</v>
      </c>
      <c r="S69" s="180">
        <f t="shared" si="44"/>
        <v>2.1263094171487418</v>
      </c>
      <c r="T69" s="180">
        <f t="shared" si="44"/>
        <v>2.1518344152817552</v>
      </c>
      <c r="U69" s="180">
        <f t="shared" si="44"/>
        <v>2.1770526509337387</v>
      </c>
      <c r="V69" s="180">
        <f t="shared" si="44"/>
        <v>2.2019605283539994</v>
      </c>
      <c r="W69" s="180">
        <f t="shared" si="44"/>
        <v>2.2265300681074565</v>
      </c>
      <c r="X69" s="180">
        <f t="shared" si="44"/>
        <v>2.2507481232306334</v>
      </c>
      <c r="Y69" s="180">
        <f t="shared" si="44"/>
        <v>2.2745977262749499</v>
      </c>
      <c r="Z69" s="180">
        <f t="shared" si="44"/>
        <v>2.298059212978798</v>
      </c>
      <c r="AA69" s="180">
        <f t="shared" si="44"/>
        <v>2.3211229197621921</v>
      </c>
      <c r="AB69" s="180">
        <f t="shared" si="44"/>
        <v>2.3437719915437545</v>
      </c>
      <c r="AC69" s="180">
        <f t="shared" si="44"/>
        <v>2.3659965400090801</v>
      </c>
      <c r="AD69" s="180">
        <f t="shared" si="44"/>
        <v>2.3877775750998191</v>
      </c>
      <c r="AE69" s="180">
        <f t="shared" si="44"/>
        <v>2.4091075682129572</v>
      </c>
      <c r="AF69" s="180">
        <f t="shared" si="44"/>
        <v>2.4299724734473482</v>
      </c>
      <c r="AG69" s="180">
        <f t="shared" si="44"/>
        <v>2.4503625148557941</v>
      </c>
      <c r="AH69" s="180">
        <f t="shared" si="44"/>
        <v>2.4702751079924838</v>
      </c>
      <c r="AI69" s="180">
        <f t="shared" si="44"/>
        <v>2.4897033984576602</v>
      </c>
      <c r="AJ69" s="180">
        <f t="shared" si="44"/>
        <v>2.5086353629599398</v>
      </c>
      <c r="AK69" s="180">
        <f t="shared" si="44"/>
        <v>2.5270685294207218</v>
      </c>
      <c r="AL69" s="180">
        <f t="shared" si="44"/>
        <v>2.5449908745486258</v>
      </c>
      <c r="AM69" s="180">
        <f t="shared" si="44"/>
        <v>2.5623993644290044</v>
      </c>
      <c r="AN69" s="180">
        <f t="shared" si="44"/>
        <v>2.5792968082420855</v>
      </c>
      <c r="AO69" s="180">
        <f t="shared" si="44"/>
        <v>2.5956687106178871</v>
      </c>
      <c r="AP69" s="180">
        <f t="shared" si="44"/>
        <v>2.6115194538775675</v>
      </c>
      <c r="AQ69" s="180">
        <f t="shared" si="44"/>
        <v>2.6268545440143742</v>
      </c>
      <c r="AR69" s="197"/>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row>
    <row r="70" spans="1:75" ht="14.25" customHeight="1" x14ac:dyDescent="0.3">
      <c r="A70" s="324"/>
      <c r="B70" s="198"/>
      <c r="C70" s="198"/>
      <c r="D70" s="198"/>
      <c r="E70" s="198"/>
      <c r="F70" s="198"/>
      <c r="G70" s="198"/>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199"/>
      <c r="AF70" s="199"/>
      <c r="AG70" s="199"/>
      <c r="AH70" s="199"/>
      <c r="AI70" s="199"/>
      <c r="AJ70" s="199"/>
      <c r="AK70" s="199"/>
      <c r="AL70" s="199"/>
      <c r="AM70" s="199"/>
      <c r="AN70" s="199"/>
      <c r="AO70" s="199"/>
      <c r="AP70" s="199"/>
      <c r="AQ70" s="199"/>
      <c r="AR70" s="182"/>
    </row>
    <row r="71" spans="1:75" ht="14.25" hidden="1" customHeight="1" x14ac:dyDescent="0.3">
      <c r="A71" s="324"/>
      <c r="B71" s="184" t="s">
        <v>360</v>
      </c>
      <c r="C71" s="179"/>
      <c r="D71" s="179"/>
      <c r="E71" s="179"/>
      <c r="F71" s="179"/>
      <c r="G71" s="179"/>
      <c r="H71" s="180"/>
      <c r="I71" s="181"/>
      <c r="J71" s="181"/>
      <c r="K71" s="181"/>
      <c r="L71" s="181"/>
      <c r="M71" s="181"/>
      <c r="N71" s="181"/>
      <c r="O71" s="181"/>
      <c r="P71" s="181"/>
      <c r="Q71" s="181"/>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2"/>
    </row>
    <row r="72" spans="1:75" ht="14.25" hidden="1" customHeight="1" x14ac:dyDescent="0.3">
      <c r="A72" s="324"/>
      <c r="B72" s="185" t="s">
        <v>818</v>
      </c>
      <c r="C72" s="186">
        <v>328782</v>
      </c>
      <c r="D72" s="186">
        <v>307322</v>
      </c>
      <c r="E72" s="186">
        <v>302672</v>
      </c>
      <c r="F72" s="186">
        <v>310482</v>
      </c>
      <c r="G72" s="186">
        <v>288963</v>
      </c>
      <c r="H72" s="187">
        <v>291306</v>
      </c>
      <c r="I72" s="187">
        <v>275248</v>
      </c>
      <c r="J72" s="187">
        <v>257520</v>
      </c>
      <c r="K72" s="187">
        <v>262186</v>
      </c>
      <c r="L72" s="187">
        <v>319160</v>
      </c>
      <c r="M72" s="187">
        <v>288525</v>
      </c>
      <c r="N72" s="187">
        <v>276130</v>
      </c>
      <c r="O72" s="187"/>
      <c r="P72" s="187"/>
      <c r="Q72" s="187"/>
      <c r="R72" s="187"/>
      <c r="S72" s="187"/>
      <c r="T72" s="187"/>
      <c r="U72" s="187"/>
      <c r="V72" s="187"/>
      <c r="W72" s="187"/>
      <c r="X72" s="187"/>
      <c r="Y72" s="187"/>
      <c r="Z72" s="187"/>
      <c r="AA72" s="187"/>
      <c r="AB72" s="187"/>
      <c r="AC72" s="187"/>
      <c r="AD72" s="187"/>
      <c r="AE72" s="187"/>
      <c r="AF72" s="187"/>
      <c r="AG72" s="187"/>
      <c r="AH72" s="187"/>
      <c r="AI72" s="187"/>
      <c r="AJ72" s="187"/>
      <c r="AK72" s="187"/>
      <c r="AL72" s="187"/>
      <c r="AM72" s="187"/>
      <c r="AN72" s="187"/>
      <c r="AO72" s="187"/>
      <c r="AP72" s="187"/>
      <c r="AQ72" s="187"/>
      <c r="AR72" s="182"/>
    </row>
    <row r="73" spans="1:75" ht="14.25" hidden="1" customHeight="1" x14ac:dyDescent="0.3">
      <c r="A73" s="324"/>
      <c r="B73" s="185" t="s">
        <v>362</v>
      </c>
      <c r="C73" s="186">
        <v>360025</v>
      </c>
      <c r="D73" s="186">
        <v>399467</v>
      </c>
      <c r="E73" s="186">
        <v>390176</v>
      </c>
      <c r="F73" s="186">
        <v>402434</v>
      </c>
      <c r="G73" s="186">
        <v>372637</v>
      </c>
      <c r="H73" s="187">
        <v>432094</v>
      </c>
      <c r="I73" s="187">
        <v>454257</v>
      </c>
      <c r="J73" s="187">
        <v>467327</v>
      </c>
      <c r="K73" s="187">
        <v>501950</v>
      </c>
      <c r="L73" s="187">
        <v>525435</v>
      </c>
      <c r="M73" s="187">
        <v>527347</v>
      </c>
      <c r="N73" s="187">
        <v>543547</v>
      </c>
      <c r="O73" s="187"/>
      <c r="P73" s="187"/>
      <c r="Q73" s="187"/>
      <c r="R73" s="187"/>
      <c r="S73" s="187"/>
      <c r="T73" s="187"/>
      <c r="U73" s="187"/>
      <c r="V73" s="187"/>
      <c r="W73" s="187"/>
      <c r="X73" s="187"/>
      <c r="Y73" s="187"/>
      <c r="Z73" s="187"/>
      <c r="AA73" s="187"/>
      <c r="AB73" s="187"/>
      <c r="AC73" s="187"/>
      <c r="AD73" s="187"/>
      <c r="AE73" s="187"/>
      <c r="AF73" s="187"/>
      <c r="AG73" s="187"/>
      <c r="AH73" s="187"/>
      <c r="AI73" s="187"/>
      <c r="AJ73" s="187"/>
      <c r="AK73" s="187"/>
      <c r="AL73" s="187"/>
      <c r="AM73" s="187"/>
      <c r="AN73" s="187"/>
      <c r="AO73" s="187"/>
      <c r="AP73" s="187"/>
      <c r="AQ73" s="187"/>
      <c r="AR73" s="182"/>
    </row>
    <row r="74" spans="1:75" ht="14.25" hidden="1" customHeight="1" x14ac:dyDescent="0.3">
      <c r="A74" s="324"/>
      <c r="B74" s="185" t="s">
        <v>363</v>
      </c>
      <c r="C74" s="186">
        <v>144931</v>
      </c>
      <c r="D74" s="186">
        <v>98347</v>
      </c>
      <c r="E74" s="186">
        <v>78710</v>
      </c>
      <c r="F74" s="186">
        <v>61627</v>
      </c>
      <c r="G74" s="186">
        <v>35483</v>
      </c>
      <c r="H74" s="187">
        <v>44027</v>
      </c>
      <c r="I74" s="187">
        <v>29872</v>
      </c>
      <c r="J74" s="187">
        <v>37260</v>
      </c>
      <c r="K74" s="187">
        <v>31924</v>
      </c>
      <c r="L74" s="187">
        <v>36047</v>
      </c>
      <c r="M74" s="187">
        <v>26909</v>
      </c>
      <c r="N74" s="187">
        <v>29481</v>
      </c>
      <c r="O74" s="187"/>
      <c r="P74" s="187"/>
      <c r="Q74" s="187"/>
      <c r="R74" s="187"/>
      <c r="S74" s="187"/>
      <c r="T74" s="187"/>
      <c r="U74" s="187"/>
      <c r="V74" s="187"/>
      <c r="W74" s="187"/>
      <c r="X74" s="187"/>
      <c r="Y74" s="187"/>
      <c r="Z74" s="187"/>
      <c r="AA74" s="187"/>
      <c r="AB74" s="187"/>
      <c r="AC74" s="187"/>
      <c r="AD74" s="187"/>
      <c r="AE74" s="187"/>
      <c r="AF74" s="187"/>
      <c r="AG74" s="187"/>
      <c r="AH74" s="187"/>
      <c r="AI74" s="187"/>
      <c r="AJ74" s="187"/>
      <c r="AK74" s="187"/>
      <c r="AL74" s="187"/>
      <c r="AM74" s="187"/>
      <c r="AN74" s="187"/>
      <c r="AO74" s="187"/>
      <c r="AP74" s="187"/>
      <c r="AQ74" s="187"/>
      <c r="AR74" s="182"/>
    </row>
    <row r="75" spans="1:75" ht="14.25" hidden="1" customHeight="1" x14ac:dyDescent="0.3">
      <c r="A75" s="324"/>
      <c r="B75" s="185" t="s">
        <v>364</v>
      </c>
      <c r="C75" s="186">
        <v>106928</v>
      </c>
      <c r="D75" s="186">
        <v>86455</v>
      </c>
      <c r="E75" s="186">
        <v>95239</v>
      </c>
      <c r="F75" s="186">
        <v>101066</v>
      </c>
      <c r="G75" s="186">
        <v>96892</v>
      </c>
      <c r="H75" s="187">
        <v>102616</v>
      </c>
      <c r="I75" s="187">
        <v>104661</v>
      </c>
      <c r="J75" s="187">
        <v>127081</v>
      </c>
      <c r="K75" s="187">
        <v>115321</v>
      </c>
      <c r="L75" s="187">
        <v>137337</v>
      </c>
      <c r="M75" s="187">
        <v>153207</v>
      </c>
      <c r="N75" s="187">
        <v>150189</v>
      </c>
      <c r="O75" s="187"/>
      <c r="P75" s="187"/>
      <c r="Q75" s="187"/>
      <c r="R75" s="187"/>
      <c r="S75" s="187"/>
      <c r="T75" s="187"/>
      <c r="U75" s="187"/>
      <c r="V75" s="187"/>
      <c r="W75" s="187"/>
      <c r="X75" s="187"/>
      <c r="Y75" s="187"/>
      <c r="Z75" s="187"/>
      <c r="AA75" s="187"/>
      <c r="AB75" s="187"/>
      <c r="AC75" s="187"/>
      <c r="AD75" s="187"/>
      <c r="AE75" s="187"/>
      <c r="AF75" s="187"/>
      <c r="AG75" s="187"/>
      <c r="AH75" s="187"/>
      <c r="AI75" s="187"/>
      <c r="AJ75" s="187"/>
      <c r="AK75" s="187"/>
      <c r="AL75" s="187"/>
      <c r="AM75" s="187"/>
      <c r="AN75" s="187"/>
      <c r="AO75" s="187"/>
      <c r="AP75" s="187"/>
      <c r="AQ75" s="187"/>
      <c r="AR75" s="182"/>
    </row>
    <row r="76" spans="1:75" ht="14.25" hidden="1" customHeight="1" x14ac:dyDescent="0.3">
      <c r="A76" s="324"/>
      <c r="B76" s="185" t="s">
        <v>365</v>
      </c>
      <c r="C76" s="186">
        <v>440346</v>
      </c>
      <c r="D76" s="186">
        <v>577784</v>
      </c>
      <c r="E76" s="186">
        <v>486580</v>
      </c>
      <c r="F76" s="186">
        <v>496652</v>
      </c>
      <c r="G76" s="186">
        <v>485696</v>
      </c>
      <c r="H76" s="187">
        <v>533290</v>
      </c>
      <c r="I76" s="187">
        <v>378335</v>
      </c>
      <c r="J76" s="187">
        <v>444623</v>
      </c>
      <c r="K76" s="187">
        <v>435391</v>
      </c>
      <c r="L76" s="187">
        <v>388838</v>
      </c>
      <c r="M76" s="187">
        <v>415235</v>
      </c>
      <c r="N76" s="187">
        <v>439400</v>
      </c>
      <c r="O76" s="187"/>
      <c r="P76" s="187"/>
      <c r="Q76" s="187"/>
      <c r="R76" s="187"/>
      <c r="S76" s="187"/>
      <c r="T76" s="187"/>
      <c r="U76" s="187"/>
      <c r="V76" s="187"/>
      <c r="W76" s="187"/>
      <c r="X76" s="187"/>
      <c r="Y76" s="187"/>
      <c r="Z76" s="187"/>
      <c r="AA76" s="187"/>
      <c r="AB76" s="187"/>
      <c r="AC76" s="187"/>
      <c r="AD76" s="187"/>
      <c r="AE76" s="187"/>
      <c r="AF76" s="187"/>
      <c r="AG76" s="187"/>
      <c r="AH76" s="187"/>
      <c r="AI76" s="187"/>
      <c r="AJ76" s="187"/>
      <c r="AK76" s="187"/>
      <c r="AL76" s="187"/>
      <c r="AM76" s="187"/>
      <c r="AN76" s="187"/>
      <c r="AO76" s="187"/>
      <c r="AP76" s="187"/>
      <c r="AQ76" s="187"/>
      <c r="AR76" s="182"/>
    </row>
    <row r="77" spans="1:75" ht="13.5" hidden="1" customHeight="1" x14ac:dyDescent="0.3">
      <c r="A77" s="324"/>
      <c r="B77" s="185" t="s">
        <v>366</v>
      </c>
      <c r="C77" s="186">
        <v>193502</v>
      </c>
      <c r="D77" s="186">
        <v>202651</v>
      </c>
      <c r="E77" s="186">
        <v>198578</v>
      </c>
      <c r="F77" s="186">
        <v>218833</v>
      </c>
      <c r="G77" s="186">
        <v>272011</v>
      </c>
      <c r="H77" s="187">
        <v>290343</v>
      </c>
      <c r="I77" s="187">
        <v>263839</v>
      </c>
      <c r="J77" s="187">
        <v>260292</v>
      </c>
      <c r="K77" s="187">
        <v>223962</v>
      </c>
      <c r="L77" s="187">
        <v>200908</v>
      </c>
      <c r="M77" s="187">
        <v>188469</v>
      </c>
      <c r="N77" s="187">
        <v>152529</v>
      </c>
      <c r="O77" s="187"/>
      <c r="P77" s="187"/>
      <c r="Q77" s="187"/>
      <c r="R77" s="187"/>
      <c r="S77" s="187"/>
      <c r="T77" s="187"/>
      <c r="U77" s="187"/>
      <c r="V77" s="187"/>
      <c r="W77" s="187"/>
      <c r="X77" s="187"/>
      <c r="Y77" s="187"/>
      <c r="Z77" s="187"/>
      <c r="AA77" s="187"/>
      <c r="AB77" s="187"/>
      <c r="AC77" s="187"/>
      <c r="AD77" s="187"/>
      <c r="AE77" s="187"/>
      <c r="AF77" s="187"/>
      <c r="AG77" s="187"/>
      <c r="AH77" s="187"/>
      <c r="AI77" s="187"/>
      <c r="AJ77" s="187"/>
      <c r="AK77" s="187"/>
      <c r="AL77" s="187"/>
      <c r="AM77" s="187"/>
      <c r="AN77" s="187"/>
      <c r="AO77" s="187"/>
      <c r="AP77" s="187"/>
      <c r="AQ77" s="187"/>
      <c r="AR77" s="182"/>
    </row>
    <row r="78" spans="1:75" ht="14.25" hidden="1" customHeight="1" x14ac:dyDescent="0.3">
      <c r="A78" s="324"/>
      <c r="B78" s="185" t="s">
        <v>368</v>
      </c>
      <c r="C78" s="188">
        <v>0</v>
      </c>
      <c r="D78" s="188">
        <v>0</v>
      </c>
      <c r="E78" s="188">
        <v>0</v>
      </c>
      <c r="F78" s="188">
        <v>0</v>
      </c>
      <c r="G78" s="186">
        <v>26517</v>
      </c>
      <c r="H78" s="187">
        <v>22493</v>
      </c>
      <c r="I78" s="187">
        <v>26280</v>
      </c>
      <c r="J78" s="187">
        <v>28021</v>
      </c>
      <c r="K78" s="187">
        <v>23134</v>
      </c>
      <c r="L78" s="187">
        <v>27020</v>
      </c>
      <c r="M78" s="187">
        <v>19682</v>
      </c>
      <c r="N78" s="187">
        <v>18807</v>
      </c>
      <c r="O78" s="187"/>
      <c r="P78" s="187"/>
      <c r="Q78" s="187"/>
      <c r="R78" s="187"/>
      <c r="S78" s="187"/>
      <c r="T78" s="187"/>
      <c r="U78" s="187"/>
      <c r="V78" s="187"/>
      <c r="W78" s="187"/>
      <c r="X78" s="187"/>
      <c r="Y78" s="187"/>
      <c r="Z78" s="187"/>
      <c r="AA78" s="187"/>
      <c r="AB78" s="187"/>
      <c r="AC78" s="187"/>
      <c r="AD78" s="187"/>
      <c r="AE78" s="187"/>
      <c r="AF78" s="187"/>
      <c r="AG78" s="187"/>
      <c r="AH78" s="187"/>
      <c r="AI78" s="187"/>
      <c r="AJ78" s="187"/>
      <c r="AK78" s="187"/>
      <c r="AL78" s="187"/>
      <c r="AM78" s="187"/>
      <c r="AN78" s="187"/>
      <c r="AO78" s="187"/>
      <c r="AP78" s="187"/>
      <c r="AQ78" s="187"/>
      <c r="AR78" s="182"/>
    </row>
    <row r="79" spans="1:75" ht="13.5" hidden="1" customHeight="1" x14ac:dyDescent="0.3">
      <c r="A79" s="324"/>
      <c r="B79" s="185" t="s">
        <v>369</v>
      </c>
      <c r="C79" s="189">
        <v>0</v>
      </c>
      <c r="D79" s="189">
        <v>0</v>
      </c>
      <c r="E79" s="189">
        <v>0</v>
      </c>
      <c r="F79" s="189">
        <v>0</v>
      </c>
      <c r="G79" s="189">
        <v>0</v>
      </c>
      <c r="H79" s="187">
        <v>10472.114714214915</v>
      </c>
      <c r="I79" s="187">
        <v>6695.6319092416825</v>
      </c>
      <c r="J79" s="187">
        <v>7335.2687453287053</v>
      </c>
      <c r="K79" s="187">
        <v>6007.0091686241994</v>
      </c>
      <c r="L79" s="187">
        <v>5242.5295496718272</v>
      </c>
      <c r="M79" s="187">
        <v>5495.9927723928777</v>
      </c>
      <c r="N79" s="187">
        <v>4252.7158461846493</v>
      </c>
      <c r="O79" s="187"/>
      <c r="P79" s="187"/>
      <c r="Q79" s="187"/>
      <c r="R79" s="187"/>
      <c r="S79" s="187"/>
      <c r="T79" s="187"/>
      <c r="U79" s="187"/>
      <c r="V79" s="187"/>
      <c r="W79" s="187"/>
      <c r="X79" s="187"/>
      <c r="Y79" s="187"/>
      <c r="Z79" s="187"/>
      <c r="AA79" s="187"/>
      <c r="AB79" s="187"/>
      <c r="AC79" s="187"/>
      <c r="AD79" s="187"/>
      <c r="AE79" s="187"/>
      <c r="AF79" s="187"/>
      <c r="AG79" s="187"/>
      <c r="AH79" s="187"/>
      <c r="AI79" s="187"/>
      <c r="AJ79" s="187"/>
      <c r="AK79" s="187"/>
      <c r="AL79" s="187"/>
      <c r="AM79" s="187"/>
      <c r="AN79" s="187"/>
      <c r="AO79" s="187"/>
      <c r="AP79" s="187"/>
      <c r="AQ79" s="187"/>
      <c r="AR79" s="182"/>
    </row>
    <row r="80" spans="1:75" ht="14.25" hidden="1" customHeight="1" x14ac:dyDescent="0.3">
      <c r="A80" s="324"/>
      <c r="B80" s="185" t="s">
        <v>394</v>
      </c>
      <c r="C80" s="186">
        <v>2664</v>
      </c>
      <c r="D80" s="186">
        <v>1583</v>
      </c>
      <c r="E80" s="186">
        <v>3077</v>
      </c>
      <c r="F80" s="186">
        <v>1325</v>
      </c>
      <c r="G80" s="186">
        <v>2802</v>
      </c>
      <c r="H80" s="187">
        <v>2345.5969934792079</v>
      </c>
      <c r="I80" s="187">
        <v>1768</v>
      </c>
      <c r="J80" s="187">
        <v>1954</v>
      </c>
      <c r="K80" s="187">
        <v>1547</v>
      </c>
      <c r="L80" s="187">
        <v>1401</v>
      </c>
      <c r="M80" s="187">
        <v>2578.8146525884899</v>
      </c>
      <c r="N80" s="187">
        <v>1649.6615821743339</v>
      </c>
      <c r="O80" s="187"/>
      <c r="P80" s="187"/>
      <c r="Q80" s="187"/>
      <c r="R80" s="187"/>
      <c r="S80" s="187"/>
      <c r="T80" s="187"/>
      <c r="U80" s="187"/>
      <c r="V80" s="187"/>
      <c r="W80" s="187"/>
      <c r="X80" s="187"/>
      <c r="Y80" s="187"/>
      <c r="Z80" s="187"/>
      <c r="AA80" s="187"/>
      <c r="AB80" s="187"/>
      <c r="AC80" s="187"/>
      <c r="AD80" s="187"/>
      <c r="AE80" s="187"/>
      <c r="AF80" s="187"/>
      <c r="AG80" s="187"/>
      <c r="AH80" s="187"/>
      <c r="AI80" s="187"/>
      <c r="AJ80" s="187"/>
      <c r="AK80" s="187"/>
      <c r="AL80" s="187"/>
      <c r="AM80" s="187"/>
      <c r="AN80" s="187"/>
      <c r="AO80" s="187"/>
      <c r="AP80" s="187"/>
      <c r="AQ80" s="187"/>
      <c r="AR80" s="182"/>
    </row>
    <row r="81" spans="1:44" ht="14.25" hidden="1" customHeight="1" x14ac:dyDescent="0.3">
      <c r="A81" s="324"/>
      <c r="B81" s="185" t="s">
        <v>370</v>
      </c>
      <c r="C81" s="186">
        <v>103211</v>
      </c>
      <c r="D81" s="186">
        <v>143087</v>
      </c>
      <c r="E81" s="186">
        <v>104271</v>
      </c>
      <c r="F81" s="186">
        <v>79623</v>
      </c>
      <c r="G81" s="186">
        <v>71840</v>
      </c>
      <c r="H81" s="187">
        <v>67872</v>
      </c>
      <c r="I81" s="187">
        <v>60317</v>
      </c>
      <c r="J81" s="187">
        <v>70583</v>
      </c>
      <c r="K81" s="187">
        <v>43719</v>
      </c>
      <c r="L81" s="187">
        <v>52715</v>
      </c>
      <c r="M81" s="187">
        <v>44457</v>
      </c>
      <c r="N81" s="187">
        <v>62112</v>
      </c>
      <c r="O81" s="187"/>
      <c r="P81" s="187"/>
      <c r="Q81" s="187"/>
      <c r="R81" s="187"/>
      <c r="S81" s="187"/>
      <c r="T81" s="187"/>
      <c r="U81" s="187"/>
      <c r="V81" s="187"/>
      <c r="W81" s="187"/>
      <c r="X81" s="187"/>
      <c r="Y81" s="187"/>
      <c r="Z81" s="187"/>
      <c r="AA81" s="187"/>
      <c r="AB81" s="187"/>
      <c r="AC81" s="187"/>
      <c r="AD81" s="187"/>
      <c r="AE81" s="187"/>
      <c r="AF81" s="187"/>
      <c r="AG81" s="187"/>
      <c r="AH81" s="187"/>
      <c r="AI81" s="187"/>
      <c r="AJ81" s="187"/>
      <c r="AK81" s="187"/>
      <c r="AL81" s="187"/>
      <c r="AM81" s="187"/>
      <c r="AN81" s="187"/>
      <c r="AO81" s="187"/>
      <c r="AP81" s="187"/>
      <c r="AQ81" s="187"/>
      <c r="AR81" s="182"/>
    </row>
    <row r="82" spans="1:44" ht="14.25" hidden="1" customHeight="1" x14ac:dyDescent="0.3">
      <c r="A82" s="324"/>
      <c r="B82" s="185" t="s">
        <v>371</v>
      </c>
      <c r="C82" s="186">
        <v>34907</v>
      </c>
      <c r="D82" s="186">
        <v>35226</v>
      </c>
      <c r="E82" s="186">
        <v>29336</v>
      </c>
      <c r="F82" s="186">
        <v>34471</v>
      </c>
      <c r="G82" s="186">
        <v>21770</v>
      </c>
      <c r="H82" s="187">
        <v>20313</v>
      </c>
      <c r="I82" s="187">
        <v>23958</v>
      </c>
      <c r="J82" s="187">
        <v>16581</v>
      </c>
      <c r="K82" s="187">
        <v>14676</v>
      </c>
      <c r="L82" s="187">
        <v>14842</v>
      </c>
      <c r="M82" s="187">
        <v>23120</v>
      </c>
      <c r="N82" s="187">
        <v>18135</v>
      </c>
      <c r="O82" s="187"/>
      <c r="P82" s="187"/>
      <c r="Q82" s="187"/>
      <c r="R82" s="187"/>
      <c r="S82" s="187"/>
      <c r="T82" s="187"/>
      <c r="U82" s="187"/>
      <c r="V82" s="187"/>
      <c r="W82" s="187"/>
      <c r="X82" s="187"/>
      <c r="Y82" s="187"/>
      <c r="Z82" s="187"/>
      <c r="AA82" s="187"/>
      <c r="AB82" s="187"/>
      <c r="AC82" s="187"/>
      <c r="AD82" s="187"/>
      <c r="AE82" s="187"/>
      <c r="AF82" s="187"/>
      <c r="AG82" s="187"/>
      <c r="AH82" s="187"/>
      <c r="AI82" s="187"/>
      <c r="AJ82" s="187"/>
      <c r="AK82" s="187"/>
      <c r="AL82" s="187"/>
      <c r="AM82" s="187"/>
      <c r="AN82" s="187"/>
      <c r="AO82" s="187"/>
      <c r="AP82" s="187"/>
      <c r="AQ82" s="187"/>
      <c r="AR82" s="182"/>
    </row>
    <row r="83" spans="1:44" ht="14.25" hidden="1" customHeight="1" x14ac:dyDescent="0.3">
      <c r="A83" s="324"/>
      <c r="B83" s="185" t="s">
        <v>372</v>
      </c>
      <c r="C83" s="186">
        <v>61058</v>
      </c>
      <c r="D83" s="186">
        <v>61837</v>
      </c>
      <c r="E83" s="186">
        <v>49937</v>
      </c>
      <c r="F83" s="186">
        <v>65528</v>
      </c>
      <c r="G83" s="186">
        <v>51978</v>
      </c>
      <c r="H83" s="187">
        <v>47607</v>
      </c>
      <c r="I83" s="187">
        <v>47680</v>
      </c>
      <c r="J83" s="187">
        <v>46607</v>
      </c>
      <c r="K83" s="187">
        <v>34856</v>
      </c>
      <c r="L83" s="187">
        <v>33276</v>
      </c>
      <c r="M83" s="187">
        <v>39844</v>
      </c>
      <c r="N83" s="187">
        <v>36564</v>
      </c>
      <c r="O83" s="187"/>
      <c r="P83" s="187"/>
      <c r="Q83" s="187"/>
      <c r="R83" s="187"/>
      <c r="S83" s="187"/>
      <c r="T83" s="187"/>
      <c r="U83" s="187"/>
      <c r="V83" s="187"/>
      <c r="W83" s="187"/>
      <c r="X83" s="187"/>
      <c r="Y83" s="187"/>
      <c r="Z83" s="187"/>
      <c r="AA83" s="187"/>
      <c r="AB83" s="187"/>
      <c r="AC83" s="187"/>
      <c r="AD83" s="187"/>
      <c r="AE83" s="187"/>
      <c r="AF83" s="187"/>
      <c r="AG83" s="187"/>
      <c r="AH83" s="187"/>
      <c r="AI83" s="187"/>
      <c r="AJ83" s="187"/>
      <c r="AK83" s="187"/>
      <c r="AL83" s="187"/>
      <c r="AM83" s="187"/>
      <c r="AN83" s="187"/>
      <c r="AO83" s="187"/>
      <c r="AP83" s="187"/>
      <c r="AQ83" s="187"/>
      <c r="AR83" s="182"/>
    </row>
    <row r="84" spans="1:44" ht="14.25" hidden="1" customHeight="1" x14ac:dyDescent="0.3">
      <c r="A84" s="324"/>
      <c r="B84" s="185" t="s">
        <v>373</v>
      </c>
      <c r="C84" s="186">
        <v>42013</v>
      </c>
      <c r="D84" s="186">
        <v>35077</v>
      </c>
      <c r="E84" s="186">
        <v>27266</v>
      </c>
      <c r="F84" s="186">
        <v>24029</v>
      </c>
      <c r="G84" s="186">
        <v>52403</v>
      </c>
      <c r="H84" s="187">
        <v>57855</v>
      </c>
      <c r="I84" s="187">
        <v>67426</v>
      </c>
      <c r="J84" s="187">
        <v>69490</v>
      </c>
      <c r="K84" s="187">
        <v>68286</v>
      </c>
      <c r="L84" s="187">
        <v>64535</v>
      </c>
      <c r="M84" s="187">
        <v>64074.33089279884</v>
      </c>
      <c r="N84" s="187">
        <v>70140</v>
      </c>
      <c r="O84" s="187"/>
      <c r="P84" s="187"/>
      <c r="Q84" s="187"/>
      <c r="R84" s="187"/>
      <c r="S84" s="187"/>
      <c r="T84" s="187"/>
      <c r="U84" s="187"/>
      <c r="V84" s="187"/>
      <c r="W84" s="187"/>
      <c r="X84" s="187"/>
      <c r="Y84" s="187"/>
      <c r="Z84" s="187"/>
      <c r="AA84" s="187"/>
      <c r="AB84" s="187"/>
      <c r="AC84" s="187"/>
      <c r="AD84" s="187"/>
      <c r="AE84" s="187"/>
      <c r="AF84" s="187"/>
      <c r="AG84" s="187"/>
      <c r="AH84" s="187"/>
      <c r="AI84" s="187"/>
      <c r="AJ84" s="187"/>
      <c r="AK84" s="187"/>
      <c r="AL84" s="187"/>
      <c r="AM84" s="187"/>
      <c r="AN84" s="187"/>
      <c r="AO84" s="187"/>
      <c r="AP84" s="187"/>
      <c r="AQ84" s="187"/>
      <c r="AR84" s="182"/>
    </row>
    <row r="85" spans="1:44" ht="14.25" hidden="1" customHeight="1" x14ac:dyDescent="0.3">
      <c r="A85" s="324"/>
      <c r="B85" s="185" t="s">
        <v>374</v>
      </c>
      <c r="C85" s="186">
        <v>2664</v>
      </c>
      <c r="D85" s="186">
        <v>1583</v>
      </c>
      <c r="E85" s="186">
        <v>3077</v>
      </c>
      <c r="F85" s="186">
        <v>1325</v>
      </c>
      <c r="G85" s="186">
        <v>9670</v>
      </c>
      <c r="H85" s="187">
        <v>9951.4822792642935</v>
      </c>
      <c r="I85" s="187">
        <v>15220.368090758318</v>
      </c>
      <c r="J85" s="187">
        <v>21834.731254671293</v>
      </c>
      <c r="K85" s="187">
        <v>22317.990831375799</v>
      </c>
      <c r="L85" s="187">
        <v>18864.470450328172</v>
      </c>
      <c r="M85" s="187">
        <v>16995.821880195614</v>
      </c>
      <c r="N85" s="187">
        <v>13486.945735989684</v>
      </c>
      <c r="O85" s="187"/>
      <c r="P85" s="187"/>
      <c r="Q85" s="187"/>
      <c r="R85" s="187"/>
      <c r="S85" s="187"/>
      <c r="T85" s="187"/>
      <c r="U85" s="187"/>
      <c r="V85" s="187"/>
      <c r="W85" s="187"/>
      <c r="X85" s="187"/>
      <c r="Y85" s="187"/>
      <c r="Z85" s="187"/>
      <c r="AA85" s="187"/>
      <c r="AB85" s="187"/>
      <c r="AC85" s="187"/>
      <c r="AD85" s="187"/>
      <c r="AE85" s="187"/>
      <c r="AF85" s="187"/>
      <c r="AG85" s="187"/>
      <c r="AH85" s="187"/>
      <c r="AI85" s="187"/>
      <c r="AJ85" s="187"/>
      <c r="AK85" s="187"/>
      <c r="AL85" s="187"/>
      <c r="AM85" s="187"/>
      <c r="AN85" s="187"/>
      <c r="AO85" s="187"/>
      <c r="AP85" s="187"/>
      <c r="AQ85" s="187"/>
      <c r="AR85" s="182"/>
    </row>
    <row r="86" spans="1:44" ht="14.25" hidden="1" customHeight="1" x14ac:dyDescent="0.3">
      <c r="A86" s="324"/>
      <c r="B86" s="185"/>
      <c r="C86" s="186"/>
      <c r="D86" s="186"/>
      <c r="E86" s="186"/>
      <c r="F86" s="186"/>
      <c r="G86" s="186"/>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7"/>
      <c r="AQ86" s="187"/>
      <c r="AR86" s="182"/>
    </row>
    <row r="87" spans="1:44" ht="14.25" customHeight="1" x14ac:dyDescent="0.3">
      <c r="A87" s="324"/>
      <c r="B87" s="184" t="s">
        <v>376</v>
      </c>
      <c r="C87" s="179"/>
      <c r="D87" s="179"/>
      <c r="E87" s="179"/>
      <c r="F87" s="179"/>
      <c r="G87" s="179"/>
      <c r="H87" s="180"/>
      <c r="I87" s="181"/>
      <c r="J87" s="181"/>
      <c r="K87" s="181"/>
      <c r="L87" s="181"/>
      <c r="M87" s="181"/>
      <c r="N87" s="181"/>
      <c r="O87" s="181"/>
      <c r="P87" s="181"/>
      <c r="Q87" s="181"/>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1"/>
      <c r="AP87" s="181"/>
      <c r="AQ87" s="181"/>
      <c r="AR87" s="182"/>
    </row>
    <row r="88" spans="1:44" ht="14.25" customHeight="1" x14ac:dyDescent="0.3">
      <c r="A88" s="1206" t="s">
        <v>819</v>
      </c>
      <c r="B88" s="185" t="s">
        <v>820</v>
      </c>
      <c r="C88" s="190">
        <f t="shared" ref="C88:N88" si="45">C72/1000000</f>
        <v>0.32878200000000002</v>
      </c>
      <c r="D88" s="190">
        <f t="shared" si="45"/>
        <v>0.30732199999999998</v>
      </c>
      <c r="E88" s="190">
        <f t="shared" si="45"/>
        <v>0.302672</v>
      </c>
      <c r="F88" s="190">
        <f t="shared" si="45"/>
        <v>0.31048199999999998</v>
      </c>
      <c r="G88" s="190">
        <f t="shared" si="45"/>
        <v>0.28896300000000003</v>
      </c>
      <c r="H88" s="191">
        <f t="shared" si="45"/>
        <v>0.29130600000000001</v>
      </c>
      <c r="I88" s="191">
        <f t="shared" si="45"/>
        <v>0.27524799999999999</v>
      </c>
      <c r="J88" s="191">
        <f t="shared" si="45"/>
        <v>0.25752000000000003</v>
      </c>
      <c r="K88" s="191">
        <f t="shared" si="45"/>
        <v>0.26218599999999997</v>
      </c>
      <c r="L88" s="191">
        <f t="shared" si="45"/>
        <v>0.31916</v>
      </c>
      <c r="M88" s="191">
        <f t="shared" si="45"/>
        <v>0.28852499999999998</v>
      </c>
      <c r="N88" s="191">
        <f t="shared" si="45"/>
        <v>0.27612999999999999</v>
      </c>
      <c r="O88" s="181">
        <v>0.27837257470405502</v>
      </c>
      <c r="P88" s="181">
        <v>0.27699364944575139</v>
      </c>
      <c r="Q88" s="181">
        <v>0.29387219496900574</v>
      </c>
      <c r="R88" s="181">
        <v>0.29437952864866423</v>
      </c>
      <c r="S88" s="181">
        <v>0.31204780010193578</v>
      </c>
      <c r="T88" s="181">
        <v>0.31980648688656038</v>
      </c>
      <c r="U88" s="181">
        <v>0.32791507827123434</v>
      </c>
      <c r="V88" s="181">
        <v>0.33513542339752023</v>
      </c>
      <c r="W88" s="181">
        <v>0.3435779805914938</v>
      </c>
      <c r="X88" s="181">
        <v>0.35153763334888893</v>
      </c>
      <c r="Y88" s="181">
        <v>0.359951454974823</v>
      </c>
      <c r="Z88" s="181">
        <v>0.36928707981842956</v>
      </c>
      <c r="AA88" s="181">
        <v>0.37853537738307885</v>
      </c>
      <c r="AB88" s="181">
        <v>0.38812349189794981</v>
      </c>
      <c r="AC88" s="181">
        <v>0.39673036050104138</v>
      </c>
      <c r="AD88" s="181">
        <v>0.40533769209167297</v>
      </c>
      <c r="AE88" s="181">
        <v>0.41473158109625935</v>
      </c>
      <c r="AF88" s="181">
        <v>0.42410239863608362</v>
      </c>
      <c r="AG88" s="181">
        <v>0.43438976600662088</v>
      </c>
      <c r="AH88" s="181">
        <v>0.44404345627795994</v>
      </c>
      <c r="AI88" s="181">
        <v>0.45406693520433938</v>
      </c>
      <c r="AJ88" s="181">
        <v>0.46368075964749061</v>
      </c>
      <c r="AK88" s="181">
        <v>0.47344640733306864</v>
      </c>
      <c r="AL88" s="181">
        <v>0.48281356956321914</v>
      </c>
      <c r="AM88" s="181">
        <v>0.49299263853941189</v>
      </c>
      <c r="AN88" s="181">
        <v>0.50273424778101361</v>
      </c>
      <c r="AO88" s="181">
        <v>0.51311400350791647</v>
      </c>
      <c r="AP88" s="181">
        <v>0.5231262704335341</v>
      </c>
      <c r="AQ88" s="181">
        <v>0.53319717209750583</v>
      </c>
      <c r="AR88" s="182"/>
    </row>
    <row r="89" spans="1:44" ht="14.25" customHeight="1" x14ac:dyDescent="0.3">
      <c r="A89" s="995"/>
      <c r="B89" s="185" t="s">
        <v>378</v>
      </c>
      <c r="C89" s="190">
        <f t="shared" ref="C89:N89" si="46">C73/1000000</f>
        <v>0.36002499999999998</v>
      </c>
      <c r="D89" s="190">
        <f t="shared" si="46"/>
        <v>0.39946700000000002</v>
      </c>
      <c r="E89" s="190">
        <f t="shared" si="46"/>
        <v>0.39017600000000002</v>
      </c>
      <c r="F89" s="190">
        <f t="shared" si="46"/>
        <v>0.40243400000000001</v>
      </c>
      <c r="G89" s="190">
        <f t="shared" si="46"/>
        <v>0.372637</v>
      </c>
      <c r="H89" s="191">
        <f t="shared" si="46"/>
        <v>0.43209399999999998</v>
      </c>
      <c r="I89" s="191">
        <f t="shared" si="46"/>
        <v>0.45425700000000002</v>
      </c>
      <c r="J89" s="191">
        <f t="shared" si="46"/>
        <v>0.46732699999999999</v>
      </c>
      <c r="K89" s="191">
        <f t="shared" si="46"/>
        <v>0.50195000000000001</v>
      </c>
      <c r="L89" s="191">
        <f t="shared" si="46"/>
        <v>0.52543499999999999</v>
      </c>
      <c r="M89" s="191">
        <f t="shared" si="46"/>
        <v>0.52734700000000001</v>
      </c>
      <c r="N89" s="191">
        <f t="shared" si="46"/>
        <v>0.543547</v>
      </c>
      <c r="O89" s="181">
        <v>0.54796138725478938</v>
      </c>
      <c r="P89" s="181">
        <v>0.54524704731572016</v>
      </c>
      <c r="Q89" s="181">
        <v>0.57847155310476273</v>
      </c>
      <c r="R89" s="181">
        <v>0.57947021206821225</v>
      </c>
      <c r="S89" s="181">
        <v>0.61424925072251058</v>
      </c>
      <c r="T89" s="181">
        <v>0.62952180685810744</v>
      </c>
      <c r="U89" s="181">
        <v>0.64548313131168145</v>
      </c>
      <c r="V89" s="181">
        <v>0.65969599095155151</v>
      </c>
      <c r="W89" s="181">
        <v>0.67631470907385893</v>
      </c>
      <c r="X89" s="181">
        <v>0.69198285587907338</v>
      </c>
      <c r="Y89" s="181">
        <v>0.70854500958678923</v>
      </c>
      <c r="Z89" s="181">
        <v>0.72692168317121619</v>
      </c>
      <c r="AA89" s="181">
        <v>0.7451264577207849</v>
      </c>
      <c r="AB89" s="181">
        <v>0.76400014359415813</v>
      </c>
      <c r="AC89" s="181">
        <v>0.78094229985608044</v>
      </c>
      <c r="AD89" s="181">
        <v>0.79788536748398409</v>
      </c>
      <c r="AE89" s="181">
        <v>0.8163767309243054</v>
      </c>
      <c r="AF89" s="181">
        <v>0.8348226794315986</v>
      </c>
      <c r="AG89" s="181">
        <v>0.85507280680694142</v>
      </c>
      <c r="AH89" s="181">
        <v>0.87407557501726085</v>
      </c>
      <c r="AI89" s="181">
        <v>0.89380625223450183</v>
      </c>
      <c r="AJ89" s="181">
        <v>0.91273054671391918</v>
      </c>
      <c r="AK89" s="181">
        <v>0.93195369705090858</v>
      </c>
      <c r="AL89" s="181">
        <v>0.95039245027841601</v>
      </c>
      <c r="AM89" s="181">
        <v>0.97042939811024387</v>
      </c>
      <c r="AN89" s="181">
        <v>0.98960523006781786</v>
      </c>
      <c r="AO89" s="181">
        <v>1.0100372189357092</v>
      </c>
      <c r="AP89" s="181">
        <v>1.0297458259346541</v>
      </c>
      <c r="AQ89" s="181">
        <v>1.0495698522510515</v>
      </c>
      <c r="AR89" s="182"/>
    </row>
    <row r="90" spans="1:44" ht="14.25" customHeight="1" x14ac:dyDescent="0.3">
      <c r="A90" s="995"/>
      <c r="B90" s="185" t="s">
        <v>379</v>
      </c>
      <c r="C90" s="190">
        <f t="shared" ref="C90:N90" si="47">C74/1000000</f>
        <v>0.144931</v>
      </c>
      <c r="D90" s="190">
        <f t="shared" si="47"/>
        <v>9.8347000000000004E-2</v>
      </c>
      <c r="E90" s="190">
        <f t="shared" si="47"/>
        <v>7.8710000000000002E-2</v>
      </c>
      <c r="F90" s="190">
        <f t="shared" si="47"/>
        <v>6.1627000000000001E-2</v>
      </c>
      <c r="G90" s="190">
        <f t="shared" si="47"/>
        <v>3.5483000000000001E-2</v>
      </c>
      <c r="H90" s="191">
        <f t="shared" si="47"/>
        <v>4.4026999999999997E-2</v>
      </c>
      <c r="I90" s="191">
        <f t="shared" si="47"/>
        <v>2.9871999999999999E-2</v>
      </c>
      <c r="J90" s="191">
        <f t="shared" si="47"/>
        <v>3.7260000000000001E-2</v>
      </c>
      <c r="K90" s="191">
        <f t="shared" si="47"/>
        <v>3.1924000000000001E-2</v>
      </c>
      <c r="L90" s="191">
        <f t="shared" si="47"/>
        <v>3.6047000000000003E-2</v>
      </c>
      <c r="M90" s="191">
        <f t="shared" si="47"/>
        <v>2.6908999999999999E-2</v>
      </c>
      <c r="N90" s="191">
        <f t="shared" si="47"/>
        <v>2.9481E-2</v>
      </c>
      <c r="O90" s="181">
        <v>2.9504396494827074E-2</v>
      </c>
      <c r="P90" s="181">
        <v>2.8622700576157824E-2</v>
      </c>
      <c r="Q90" s="181">
        <v>3.2261465856429555E-2</v>
      </c>
      <c r="R90" s="181">
        <v>3.1835102580481403E-2</v>
      </c>
      <c r="S90" s="181">
        <v>3.583803047106103E-2</v>
      </c>
      <c r="T90" s="181">
        <v>3.7363671564961391E-2</v>
      </c>
      <c r="U90" s="181">
        <v>3.9012517948768859E-2</v>
      </c>
      <c r="V90" s="181">
        <v>4.043975352587495E-2</v>
      </c>
      <c r="W90" s="181">
        <v>4.2239918654928904E-2</v>
      </c>
      <c r="X90" s="181">
        <v>4.3933293676664521E-2</v>
      </c>
      <c r="Y90" s="181">
        <v>4.5791674738315087E-2</v>
      </c>
      <c r="Z90" s="181">
        <v>4.796427548984189E-2</v>
      </c>
      <c r="AA90" s="181">
        <v>5.0156631636805636E-2</v>
      </c>
      <c r="AB90" s="181">
        <v>5.2502499848280725E-2</v>
      </c>
      <c r="AC90" s="181">
        <v>5.4584403332373375E-2</v>
      </c>
      <c r="AD90" s="181">
        <v>5.6707377905937231E-2</v>
      </c>
      <c r="AE90" s="181">
        <v>5.9133690270350939E-2</v>
      </c>
      <c r="AF90" s="181">
        <v>6.1604372361586057E-2</v>
      </c>
      <c r="AG90" s="181">
        <v>6.4444520127993482E-2</v>
      </c>
      <c r="AH90" s="181">
        <v>6.7127640739229832E-2</v>
      </c>
      <c r="AI90" s="181">
        <v>7.0002433853406917E-2</v>
      </c>
      <c r="AJ90" s="181">
        <v>7.2792443133667645E-2</v>
      </c>
      <c r="AK90" s="181">
        <v>7.5700029563298243E-2</v>
      </c>
      <c r="AL90" s="181">
        <v>7.8520798759006444E-2</v>
      </c>
      <c r="AM90" s="181">
        <v>8.1716120277606885E-2</v>
      </c>
      <c r="AN90" s="181">
        <v>8.4812234834645228E-2</v>
      </c>
      <c r="AO90" s="181">
        <v>8.8233200488610192E-2</v>
      </c>
      <c r="AP90" s="181">
        <v>9.1583613111566445E-2</v>
      </c>
      <c r="AQ90" s="181">
        <v>9.503392388850683E-2</v>
      </c>
      <c r="AR90" s="182"/>
    </row>
    <row r="91" spans="1:44" ht="14.25" customHeight="1" x14ac:dyDescent="0.3">
      <c r="A91" s="995"/>
      <c r="B91" s="185" t="s">
        <v>380</v>
      </c>
      <c r="C91" s="190">
        <f t="shared" ref="C91:N91" si="48">C75/1000000</f>
        <v>0.106928</v>
      </c>
      <c r="D91" s="190">
        <f t="shared" si="48"/>
        <v>8.6455000000000004E-2</v>
      </c>
      <c r="E91" s="190">
        <f t="shared" si="48"/>
        <v>9.5239000000000004E-2</v>
      </c>
      <c r="F91" s="190">
        <f t="shared" si="48"/>
        <v>0.101066</v>
      </c>
      <c r="G91" s="190">
        <f t="shared" si="48"/>
        <v>9.6892000000000006E-2</v>
      </c>
      <c r="H91" s="191">
        <f t="shared" si="48"/>
        <v>0.102616</v>
      </c>
      <c r="I91" s="191">
        <f t="shared" si="48"/>
        <v>0.104661</v>
      </c>
      <c r="J91" s="191">
        <f t="shared" si="48"/>
        <v>0.127081</v>
      </c>
      <c r="K91" s="191">
        <f t="shared" si="48"/>
        <v>0.11532100000000001</v>
      </c>
      <c r="L91" s="191">
        <f t="shared" si="48"/>
        <v>0.13733699999999999</v>
      </c>
      <c r="M91" s="191">
        <f t="shared" si="48"/>
        <v>0.15320700000000001</v>
      </c>
      <c r="N91" s="191">
        <f t="shared" si="48"/>
        <v>0.15018899999999999</v>
      </c>
      <c r="O91" s="181">
        <v>0.15220802950503223</v>
      </c>
      <c r="P91" s="181">
        <v>0.1542098413972133</v>
      </c>
      <c r="Q91" s="181">
        <v>0.15619324271172155</v>
      </c>
      <c r="R91" s="181">
        <v>0.15815786117584671</v>
      </c>
      <c r="S91" s="181">
        <v>0.16010149699630064</v>
      </c>
      <c r="T91" s="181">
        <v>0.16202341408840618</v>
      </c>
      <c r="U91" s="181">
        <v>0.16392223335098655</v>
      </c>
      <c r="V91" s="181">
        <v>0.16579768404025247</v>
      </c>
      <c r="W91" s="181">
        <v>0.16764765943109336</v>
      </c>
      <c r="X91" s="181">
        <v>0.16947116961652958</v>
      </c>
      <c r="Y91" s="181">
        <v>0.17126693702430534</v>
      </c>
      <c r="Z91" s="181">
        <v>0.17303348102432289</v>
      </c>
      <c r="AA91" s="181">
        <v>0.17477007399264852</v>
      </c>
      <c r="AB91" s="181">
        <v>0.17647544681776978</v>
      </c>
      <c r="AC91" s="181">
        <v>0.17814885495426611</v>
      </c>
      <c r="AD91" s="181">
        <v>0.17978886853650022</v>
      </c>
      <c r="AE91" s="181">
        <v>0.18139492069466329</v>
      </c>
      <c r="AF91" s="181">
        <v>0.18296595383582828</v>
      </c>
      <c r="AG91" s="181">
        <v>0.18450123187531806</v>
      </c>
      <c r="AH91" s="181">
        <v>0.18600056021603403</v>
      </c>
      <c r="AI91" s="181">
        <v>0.18746342275262787</v>
      </c>
      <c r="AJ91" s="181">
        <v>0.18888891418555406</v>
      </c>
      <c r="AK91" s="181">
        <v>0.19027684837845746</v>
      </c>
      <c r="AL91" s="181">
        <v>0.19162632003179259</v>
      </c>
      <c r="AM91" s="181">
        <v>0.19293710070548722</v>
      </c>
      <c r="AN91" s="181">
        <v>0.19420940191812675</v>
      </c>
      <c r="AO91" s="181">
        <v>0.19544213223381049</v>
      </c>
      <c r="AP91" s="181">
        <v>0.19663562162153173</v>
      </c>
      <c r="AQ91" s="181">
        <v>0.19779028465771781</v>
      </c>
      <c r="AR91" s="182"/>
    </row>
    <row r="92" spans="1:44" ht="14.25" customHeight="1" x14ac:dyDescent="0.3">
      <c r="A92" s="995"/>
      <c r="B92" s="185" t="s">
        <v>381</v>
      </c>
      <c r="C92" s="190">
        <f t="shared" ref="C92:N92" si="49">C76/1000000</f>
        <v>0.44034600000000002</v>
      </c>
      <c r="D92" s="190">
        <f t="shared" si="49"/>
        <v>0.57778399999999996</v>
      </c>
      <c r="E92" s="190">
        <f t="shared" si="49"/>
        <v>0.48658000000000001</v>
      </c>
      <c r="F92" s="190">
        <f t="shared" si="49"/>
        <v>0.49665199999999998</v>
      </c>
      <c r="G92" s="190">
        <f t="shared" si="49"/>
        <v>0.48569600000000002</v>
      </c>
      <c r="H92" s="191">
        <f t="shared" si="49"/>
        <v>0.53329000000000004</v>
      </c>
      <c r="I92" s="191">
        <f t="shared" si="49"/>
        <v>0.37833499999999998</v>
      </c>
      <c r="J92" s="191">
        <f t="shared" si="49"/>
        <v>0.44462299999999999</v>
      </c>
      <c r="K92" s="191">
        <f t="shared" si="49"/>
        <v>0.43539099999999997</v>
      </c>
      <c r="L92" s="191">
        <f t="shared" si="49"/>
        <v>0.38883800000000002</v>
      </c>
      <c r="M92" s="191">
        <f t="shared" si="49"/>
        <v>0.41523500000000002</v>
      </c>
      <c r="N92" s="191">
        <f t="shared" si="49"/>
        <v>0.43940000000000001</v>
      </c>
      <c r="O92" s="181">
        <v>0.44530696765083438</v>
      </c>
      <c r="P92" s="181">
        <v>0.45116356264397212</v>
      </c>
      <c r="Q92" s="181">
        <v>0.45696629478544004</v>
      </c>
      <c r="R92" s="181">
        <v>0.46271407493669342</v>
      </c>
      <c r="S92" s="181">
        <v>0.46840046727905843</v>
      </c>
      <c r="T92" s="181">
        <v>0.47402331828859429</v>
      </c>
      <c r="U92" s="181">
        <v>0.47957859320205543</v>
      </c>
      <c r="V92" s="181">
        <v>0.48506549991868209</v>
      </c>
      <c r="W92" s="181">
        <v>0.49047787490443662</v>
      </c>
      <c r="X92" s="181">
        <v>0.49581282204091587</v>
      </c>
      <c r="Y92" s="181">
        <v>0.5010666036026592</v>
      </c>
      <c r="Z92" s="181">
        <v>0.50623488778863635</v>
      </c>
      <c r="AA92" s="181">
        <v>0.51131554582805516</v>
      </c>
      <c r="AB92" s="181">
        <v>0.51630486474860382</v>
      </c>
      <c r="AC92" s="181">
        <v>0.52120066627319273</v>
      </c>
      <c r="AD92" s="181">
        <v>0.52599876711968396</v>
      </c>
      <c r="AE92" s="181">
        <v>0.53069750882711164</v>
      </c>
      <c r="AF92" s="181">
        <v>0.53529379725188242</v>
      </c>
      <c r="AG92" s="181">
        <v>0.53978547887005557</v>
      </c>
      <c r="AH92" s="181">
        <v>0.54417198435920988</v>
      </c>
      <c r="AI92" s="181">
        <v>0.54845180377727198</v>
      </c>
      <c r="AJ92" s="181">
        <v>0.55262228853732609</v>
      </c>
      <c r="AK92" s="181">
        <v>0.55668289407009985</v>
      </c>
      <c r="AL92" s="181">
        <v>0.56063097178867749</v>
      </c>
      <c r="AM92" s="181">
        <v>0.56446585335804289</v>
      </c>
      <c r="AN92" s="181">
        <v>0.56818815760691477</v>
      </c>
      <c r="AO92" s="181">
        <v>0.57179469137910477</v>
      </c>
      <c r="AP92" s="181">
        <v>0.57528642004741404</v>
      </c>
      <c r="AQ92" s="181">
        <v>0.57866455651613125</v>
      </c>
      <c r="AR92" s="182"/>
    </row>
    <row r="93" spans="1:44" ht="14.25" customHeight="1" x14ac:dyDescent="0.3">
      <c r="A93" s="995"/>
      <c r="B93" s="185" t="s">
        <v>382</v>
      </c>
      <c r="C93" s="190">
        <f t="shared" ref="C93:N93" si="50">C77/1000000</f>
        <v>0.19350200000000001</v>
      </c>
      <c r="D93" s="190">
        <f t="shared" si="50"/>
        <v>0.202651</v>
      </c>
      <c r="E93" s="190">
        <f t="shared" si="50"/>
        <v>0.198578</v>
      </c>
      <c r="F93" s="190">
        <f t="shared" si="50"/>
        <v>0.218833</v>
      </c>
      <c r="G93" s="190">
        <f t="shared" si="50"/>
        <v>0.272011</v>
      </c>
      <c r="H93" s="191">
        <f t="shared" si="50"/>
        <v>0.29034300000000002</v>
      </c>
      <c r="I93" s="191">
        <f t="shared" si="50"/>
        <v>0.26383899999999999</v>
      </c>
      <c r="J93" s="191">
        <f t="shared" si="50"/>
        <v>0.26029200000000002</v>
      </c>
      <c r="K93" s="191">
        <f t="shared" si="50"/>
        <v>0.22396199999999999</v>
      </c>
      <c r="L93" s="191">
        <f t="shared" si="50"/>
        <v>0.200908</v>
      </c>
      <c r="M93" s="191">
        <f t="shared" si="50"/>
        <v>0.188469</v>
      </c>
      <c r="N93" s="191">
        <f t="shared" si="50"/>
        <v>0.152529</v>
      </c>
      <c r="O93" s="181">
        <v>0.15457948672920827</v>
      </c>
      <c r="P93" s="181">
        <v>0.15661248758880841</v>
      </c>
      <c r="Q93" s="181">
        <v>0.15862679102714697</v>
      </c>
      <c r="R93" s="181">
        <v>0.16062201897136755</v>
      </c>
      <c r="S93" s="181">
        <v>0.16259593735459146</v>
      </c>
      <c r="T93" s="181">
        <v>0.16454779862367086</v>
      </c>
      <c r="U93" s="181">
        <v>0.16647620219052409</v>
      </c>
      <c r="V93" s="181">
        <v>0.16838087309307381</v>
      </c>
      <c r="W93" s="181">
        <v>0.17025967178265541</v>
      </c>
      <c r="X93" s="181">
        <v>0.1721115929291735</v>
      </c>
      <c r="Y93" s="181">
        <v>0.17393533905532541</v>
      </c>
      <c r="Z93" s="181">
        <v>0.17572940646225055</v>
      </c>
      <c r="AA93" s="181">
        <v>0.17749305618936598</v>
      </c>
      <c r="AB93" s="181">
        <v>0.17922499935193395</v>
      </c>
      <c r="AC93" s="181">
        <v>0.1809244798042417</v>
      </c>
      <c r="AD93" s="181">
        <v>0.18259004540281809</v>
      </c>
      <c r="AE93" s="181">
        <v>0.1842211204458136</v>
      </c>
      <c r="AF93" s="181">
        <v>0.18581663086261346</v>
      </c>
      <c r="AG93" s="181">
        <v>0.18737582910006984</v>
      </c>
      <c r="AH93" s="181">
        <v>0.1888985175291896</v>
      </c>
      <c r="AI93" s="181">
        <v>0.19038417200351276</v>
      </c>
      <c r="AJ93" s="181">
        <v>0.19183187311859309</v>
      </c>
      <c r="AK93" s="181">
        <v>0.19324143183800238</v>
      </c>
      <c r="AL93" s="181">
        <v>0.19461192875729444</v>
      </c>
      <c r="AM93" s="181">
        <v>0.19594313187721649</v>
      </c>
      <c r="AN93" s="181">
        <v>0.19723525601189143</v>
      </c>
      <c r="AO93" s="181">
        <v>0.19848719272044482</v>
      </c>
      <c r="AP93" s="181">
        <v>0.19969927711290852</v>
      </c>
      <c r="AQ93" s="181">
        <v>0.2008719302249635</v>
      </c>
      <c r="AR93" s="182"/>
    </row>
    <row r="94" spans="1:44" ht="14.25" customHeight="1" x14ac:dyDescent="0.3">
      <c r="A94" s="995"/>
      <c r="B94" s="185" t="s">
        <v>383</v>
      </c>
      <c r="C94" s="193">
        <f t="shared" ref="C94:N94" si="51">C78/1000000</f>
        <v>0</v>
      </c>
      <c r="D94" s="193">
        <f t="shared" si="51"/>
        <v>0</v>
      </c>
      <c r="E94" s="193">
        <f t="shared" si="51"/>
        <v>0</v>
      </c>
      <c r="F94" s="193">
        <f t="shared" si="51"/>
        <v>0</v>
      </c>
      <c r="G94" s="190">
        <f t="shared" si="51"/>
        <v>2.6516999999999999E-2</v>
      </c>
      <c r="H94" s="191">
        <f t="shared" si="51"/>
        <v>2.2492999999999999E-2</v>
      </c>
      <c r="I94" s="191">
        <f t="shared" si="51"/>
        <v>2.6280000000000001E-2</v>
      </c>
      <c r="J94" s="191">
        <f t="shared" si="51"/>
        <v>2.8021000000000001E-2</v>
      </c>
      <c r="K94" s="191">
        <f t="shared" si="51"/>
        <v>2.3133999999999998E-2</v>
      </c>
      <c r="L94" s="191">
        <f t="shared" si="51"/>
        <v>2.7019999999999999E-2</v>
      </c>
      <c r="M94" s="191">
        <f t="shared" si="51"/>
        <v>1.9682000000000002E-2</v>
      </c>
      <c r="N94" s="191">
        <f t="shared" si="51"/>
        <v>1.8807000000000001E-2</v>
      </c>
      <c r="O94" s="181">
        <v>1.9059827356871284E-2</v>
      </c>
      <c r="P94" s="181">
        <v>1.9310498686038197E-2</v>
      </c>
      <c r="Q94" s="181">
        <v>1.9558864601797385E-2</v>
      </c>
      <c r="R94" s="181">
        <v>1.9804878487333623E-2</v>
      </c>
      <c r="S94" s="181">
        <v>2.004826487964782E-2</v>
      </c>
      <c r="T94" s="181">
        <v>2.0288931604582595E-2</v>
      </c>
      <c r="U94" s="181">
        <v>2.0526705968026981E-2</v>
      </c>
      <c r="V94" s="181">
        <v>2.0761554066842634E-2</v>
      </c>
      <c r="W94" s="181">
        <v>2.0993212092234273E-2</v>
      </c>
      <c r="X94" s="181">
        <v>2.1221556085852307E-2</v>
      </c>
      <c r="Y94" s="181">
        <v>2.1446426067262655E-2</v>
      </c>
      <c r="Z94" s="181">
        <v>2.1667636628677475E-2</v>
      </c>
      <c r="AA94" s="181">
        <v>2.1885096655412453E-2</v>
      </c>
      <c r="AB94" s="181">
        <v>2.209864722650658E-2</v>
      </c>
      <c r="AC94" s="181">
        <v>2.2308195108329393E-2</v>
      </c>
      <c r="AD94" s="181">
        <v>2.251356124993149E-2</v>
      </c>
      <c r="AE94" s="181">
        <v>2.271467466661695E-2</v>
      </c>
      <c r="AF94" s="181">
        <v>2.29114029242516E-2</v>
      </c>
      <c r="AG94" s="181">
        <v>2.310365384867805E-2</v>
      </c>
      <c r="AH94" s="181">
        <v>2.3291403072015614E-2</v>
      </c>
      <c r="AI94" s="181">
        <v>2.3474585966406818E-2</v>
      </c>
      <c r="AJ94" s="181">
        <v>2.3653089168232801E-2</v>
      </c>
      <c r="AK94" s="181">
        <v>2.3826889369085957E-2</v>
      </c>
      <c r="AL94" s="181">
        <v>2.3995873205347427E-2</v>
      </c>
      <c r="AM94" s="181">
        <v>2.4160012071244231E-2</v>
      </c>
      <c r="AN94" s="181">
        <v>2.4319332453603203E-2</v>
      </c>
      <c r="AO94" s="181">
        <v>2.4473697680397869E-2</v>
      </c>
      <c r="AP94" s="181">
        <v>2.4623149071078099E-2</v>
      </c>
      <c r="AQ94" s="181">
        <v>2.4767738539824488E-2</v>
      </c>
      <c r="AR94" s="182"/>
    </row>
    <row r="95" spans="1:44" ht="14.25" customHeight="1" x14ac:dyDescent="0.3">
      <c r="A95" s="995"/>
      <c r="B95" s="185" t="s">
        <v>384</v>
      </c>
      <c r="C95" s="193">
        <f t="shared" ref="C95:N95" si="52">C79/1000000</f>
        <v>0</v>
      </c>
      <c r="D95" s="193">
        <f t="shared" si="52"/>
        <v>0</v>
      </c>
      <c r="E95" s="193">
        <f t="shared" si="52"/>
        <v>0</v>
      </c>
      <c r="F95" s="193">
        <f t="shared" si="52"/>
        <v>0</v>
      </c>
      <c r="G95" s="193">
        <f t="shared" si="52"/>
        <v>0</v>
      </c>
      <c r="H95" s="191">
        <f t="shared" si="52"/>
        <v>1.0472114714214914E-2</v>
      </c>
      <c r="I95" s="191">
        <f t="shared" si="52"/>
        <v>6.6956319092416824E-3</v>
      </c>
      <c r="J95" s="191">
        <f t="shared" si="52"/>
        <v>7.3352687453287057E-3</v>
      </c>
      <c r="K95" s="191">
        <f t="shared" si="52"/>
        <v>6.0070091686241995E-3</v>
      </c>
      <c r="L95" s="191">
        <f t="shared" si="52"/>
        <v>5.2425295496718273E-3</v>
      </c>
      <c r="M95" s="191">
        <f t="shared" si="52"/>
        <v>5.4959927723928778E-3</v>
      </c>
      <c r="N95" s="191">
        <f t="shared" si="52"/>
        <v>4.2527158461846491E-3</v>
      </c>
      <c r="O95" s="181">
        <v>4.3098862033344064E-3</v>
      </c>
      <c r="P95" s="181">
        <v>4.3665690306716898E-3</v>
      </c>
      <c r="Q95" s="181">
        <v>4.4227305484895903E-3</v>
      </c>
      <c r="R95" s="181">
        <v>4.4783602156029745E-3</v>
      </c>
      <c r="S95" s="181">
        <v>4.5333957431905906E-3</v>
      </c>
      <c r="T95" s="181">
        <v>4.5878162884545604E-3</v>
      </c>
      <c r="U95" s="181">
        <v>4.641582801095407E-3</v>
      </c>
      <c r="V95" s="181">
        <v>4.6946876147966705E-3</v>
      </c>
      <c r="W95" s="181">
        <v>4.7470710760333839E-3</v>
      </c>
      <c r="X95" s="181">
        <v>4.7987051548359846E-3</v>
      </c>
      <c r="Y95" s="181">
        <v>4.8495536757736692E-3</v>
      </c>
      <c r="Z95" s="181">
        <v>4.8995747136782904E-3</v>
      </c>
      <c r="AA95" s="181">
        <v>4.9487476653243571E-3</v>
      </c>
      <c r="AB95" s="181">
        <v>4.9970365948534563E-3</v>
      </c>
      <c r="AC95" s="181">
        <v>5.044420419895319E-3</v>
      </c>
      <c r="AD95" s="181">
        <v>5.0908586527161322E-3</v>
      </c>
      <c r="AE95" s="181">
        <v>5.1363352419658047E-3</v>
      </c>
      <c r="AF95" s="181">
        <v>5.1808202410956591E-3</v>
      </c>
      <c r="AG95" s="181">
        <v>5.2242928073078145E-3</v>
      </c>
      <c r="AH95" s="181">
        <v>5.2667474304373156E-3</v>
      </c>
      <c r="AI95" s="181">
        <v>5.3081694965684068E-3</v>
      </c>
      <c r="AJ95" s="181">
        <v>5.3485333714554202E-3</v>
      </c>
      <c r="AK95" s="181">
        <v>5.3878337845057883E-3</v>
      </c>
      <c r="AL95" s="181">
        <v>5.4260451014738441E-3</v>
      </c>
      <c r="AM95" s="181">
        <v>5.4631608539050724E-3</v>
      </c>
      <c r="AN95" s="181">
        <v>5.499187031109209E-3</v>
      </c>
      <c r="AO95" s="181">
        <v>5.5340927282480174E-3</v>
      </c>
      <c r="AP95" s="181">
        <v>5.5678872886446859E-3</v>
      </c>
      <c r="AQ95" s="181">
        <v>5.6005824513462969E-3</v>
      </c>
      <c r="AR95" s="182"/>
    </row>
    <row r="96" spans="1:44" ht="14.25" customHeight="1" x14ac:dyDescent="0.3">
      <c r="A96" s="995"/>
      <c r="B96" s="185" t="s">
        <v>385</v>
      </c>
      <c r="C96" s="190">
        <f t="shared" ref="C96:N96" si="53">C81/1000000</f>
        <v>0.103211</v>
      </c>
      <c r="D96" s="190">
        <f t="shared" si="53"/>
        <v>0.14308699999999999</v>
      </c>
      <c r="E96" s="190">
        <f t="shared" si="53"/>
        <v>0.104271</v>
      </c>
      <c r="F96" s="190">
        <f t="shared" si="53"/>
        <v>7.9622999999999999E-2</v>
      </c>
      <c r="G96" s="190">
        <f t="shared" si="53"/>
        <v>7.1840000000000001E-2</v>
      </c>
      <c r="H96" s="191">
        <f t="shared" si="53"/>
        <v>6.7872000000000002E-2</v>
      </c>
      <c r="I96" s="191">
        <f t="shared" si="53"/>
        <v>6.0317000000000003E-2</v>
      </c>
      <c r="J96" s="191">
        <f t="shared" si="53"/>
        <v>7.0583000000000007E-2</v>
      </c>
      <c r="K96" s="191">
        <f t="shared" si="53"/>
        <v>4.3719000000000001E-2</v>
      </c>
      <c r="L96" s="191">
        <f t="shared" si="53"/>
        <v>5.2714999999999998E-2</v>
      </c>
      <c r="M96" s="191">
        <f t="shared" si="53"/>
        <v>4.4457000000000003E-2</v>
      </c>
      <c r="N96" s="191">
        <f t="shared" si="53"/>
        <v>6.2112000000000001E-2</v>
      </c>
      <c r="O96" s="181">
        <v>6.2946987653000969E-2</v>
      </c>
      <c r="P96" s="181">
        <v>6.3774854808699127E-2</v>
      </c>
      <c r="Q96" s="181">
        <v>6.459510810585628E-2</v>
      </c>
      <c r="R96" s="181">
        <v>6.540759358777401E-2</v>
      </c>
      <c r="S96" s="181">
        <v>6.621140151032516E-2</v>
      </c>
      <c r="T96" s="181">
        <v>6.7006227459128737E-2</v>
      </c>
      <c r="U96" s="181">
        <v>6.779150109459732E-2</v>
      </c>
      <c r="V96" s="181">
        <v>6.8567110448222987E-2</v>
      </c>
      <c r="W96" s="181">
        <v>6.9332184265053179E-2</v>
      </c>
      <c r="X96" s="181">
        <v>7.0086313160230687E-2</v>
      </c>
      <c r="Y96" s="181">
        <v>7.0828968782358601E-2</v>
      </c>
      <c r="Z96" s="181">
        <v>7.1559538803659034E-2</v>
      </c>
      <c r="AA96" s="181">
        <v>7.2277722308766876E-2</v>
      </c>
      <c r="AB96" s="181">
        <v>7.2982994445301055E-2</v>
      </c>
      <c r="AC96" s="181">
        <v>7.367504729986471E-2</v>
      </c>
      <c r="AD96" s="181">
        <v>7.4353289538775194E-2</v>
      </c>
      <c r="AE96" s="181">
        <v>7.5017486727968971E-2</v>
      </c>
      <c r="AF96" s="181">
        <v>7.5667201490461841E-2</v>
      </c>
      <c r="AG96" s="181">
        <v>7.6302129411872796E-2</v>
      </c>
      <c r="AH96" s="181">
        <v>7.692219001483673E-2</v>
      </c>
      <c r="AI96" s="181">
        <v>7.7527169859385375E-2</v>
      </c>
      <c r="AJ96" s="181">
        <v>7.8116694550820237E-2</v>
      </c>
      <c r="AK96" s="181">
        <v>7.8690687110792107E-2</v>
      </c>
      <c r="AL96" s="181">
        <v>7.9248773144602519E-2</v>
      </c>
      <c r="AM96" s="181">
        <v>7.9790858178822879E-2</v>
      </c>
      <c r="AN96" s="181">
        <v>8.0317029688850017E-2</v>
      </c>
      <c r="AO96" s="181">
        <v>8.0826836301636229E-2</v>
      </c>
      <c r="AP96" s="181">
        <v>8.1320414478800604E-2</v>
      </c>
      <c r="AQ96" s="181">
        <v>8.1797935672120944E-2</v>
      </c>
      <c r="AR96" s="182"/>
    </row>
    <row r="97" spans="1:75" ht="14.25" customHeight="1" x14ac:dyDescent="0.3">
      <c r="A97" s="995"/>
      <c r="B97" s="185" t="s">
        <v>386</v>
      </c>
      <c r="C97" s="190">
        <f t="shared" ref="C97:N97" si="54">C82/1000000</f>
        <v>3.4907000000000001E-2</v>
      </c>
      <c r="D97" s="190">
        <f t="shared" si="54"/>
        <v>3.5226E-2</v>
      </c>
      <c r="E97" s="190">
        <f t="shared" si="54"/>
        <v>2.9336000000000001E-2</v>
      </c>
      <c r="F97" s="190">
        <f t="shared" si="54"/>
        <v>3.4471000000000002E-2</v>
      </c>
      <c r="G97" s="190">
        <f t="shared" si="54"/>
        <v>2.1770000000000001E-2</v>
      </c>
      <c r="H97" s="191">
        <f t="shared" si="54"/>
        <v>2.0313000000000001E-2</v>
      </c>
      <c r="I97" s="191">
        <f t="shared" si="54"/>
        <v>2.3958E-2</v>
      </c>
      <c r="J97" s="191">
        <f t="shared" si="54"/>
        <v>1.6580999999999999E-2</v>
      </c>
      <c r="K97" s="191">
        <f t="shared" si="54"/>
        <v>1.4676E-2</v>
      </c>
      <c r="L97" s="191">
        <f t="shared" si="54"/>
        <v>1.4841999999999999E-2</v>
      </c>
      <c r="M97" s="191">
        <f t="shared" si="54"/>
        <v>2.3120000000000002E-2</v>
      </c>
      <c r="N97" s="191">
        <f t="shared" si="54"/>
        <v>1.8134999999999998E-2</v>
      </c>
      <c r="O97" s="181">
        <v>1.8378793487364316E-2</v>
      </c>
      <c r="P97" s="181">
        <v>1.8620507984862162E-2</v>
      </c>
      <c r="Q97" s="181">
        <v>1.8859999444547006E-2</v>
      </c>
      <c r="R97" s="181">
        <v>1.9097222915286604E-2</v>
      </c>
      <c r="S97" s="181">
        <v>1.9331912776754036E-2</v>
      </c>
      <c r="T97" s="181">
        <v>1.9563980148301446E-2</v>
      </c>
      <c r="U97" s="181">
        <v>1.9793258506416188E-2</v>
      </c>
      <c r="V97" s="181">
        <v>2.0019715159365722E-2</v>
      </c>
      <c r="W97" s="181">
        <v>2.0243095724606183E-2</v>
      </c>
      <c r="X97" s="181">
        <v>2.0463280672990459E-2</v>
      </c>
      <c r="Y97" s="181">
        <v>2.0680115740405607E-2</v>
      </c>
      <c r="Z97" s="181">
        <v>2.0893422143939279E-2</v>
      </c>
      <c r="AA97" s="181">
        <v>2.1103112024560264E-2</v>
      </c>
      <c r="AB97" s="181">
        <v>2.1309032139772258E-2</v>
      </c>
      <c r="AC97" s="181">
        <v>2.1511092587310765E-2</v>
      </c>
      <c r="AD97" s="181">
        <v>2.170912071396329E-2</v>
      </c>
      <c r="AE97" s="181">
        <v>2.1903048071414816E-2</v>
      </c>
      <c r="AF97" s="181">
        <v>2.2092746957585091E-2</v>
      </c>
      <c r="AG97" s="181">
        <v>2.2278128491826261E-2</v>
      </c>
      <c r="AH97" s="181">
        <v>2.2459169176955562E-2</v>
      </c>
      <c r="AI97" s="181">
        <v>2.263580669435783E-2</v>
      </c>
      <c r="AJ97" s="181">
        <v>2.2807931731052371E-2</v>
      </c>
      <c r="AK97" s="181">
        <v>2.2975521811473061E-2</v>
      </c>
      <c r="AL97" s="181">
        <v>2.313846762263921E-2</v>
      </c>
      <c r="AM97" s="181">
        <v>2.3296741580901482E-2</v>
      </c>
      <c r="AN97" s="181">
        <v>2.3450369226675927E-2</v>
      </c>
      <c r="AO97" s="181">
        <v>2.3599218771415721E-2</v>
      </c>
      <c r="AP97" s="181">
        <v>2.3743330058169906E-2</v>
      </c>
      <c r="AQ97" s="181">
        <v>2.3882753146153943E-2</v>
      </c>
      <c r="AR97" s="182"/>
    </row>
    <row r="98" spans="1:75" ht="14.25" customHeight="1" x14ac:dyDescent="0.3">
      <c r="A98" s="995"/>
      <c r="B98" s="185" t="s">
        <v>387</v>
      </c>
      <c r="C98" s="190">
        <f t="shared" ref="C98:N98" si="55">C83/1000000</f>
        <v>6.1058000000000001E-2</v>
      </c>
      <c r="D98" s="190">
        <f t="shared" si="55"/>
        <v>6.1837000000000003E-2</v>
      </c>
      <c r="E98" s="190">
        <f t="shared" si="55"/>
        <v>4.9937000000000002E-2</v>
      </c>
      <c r="F98" s="190">
        <f t="shared" si="55"/>
        <v>6.5528000000000003E-2</v>
      </c>
      <c r="G98" s="190">
        <f t="shared" si="55"/>
        <v>5.1978000000000003E-2</v>
      </c>
      <c r="H98" s="191">
        <f t="shared" si="55"/>
        <v>4.7606999999999997E-2</v>
      </c>
      <c r="I98" s="191">
        <f t="shared" si="55"/>
        <v>4.768E-2</v>
      </c>
      <c r="J98" s="191">
        <f t="shared" si="55"/>
        <v>4.6607000000000003E-2</v>
      </c>
      <c r="K98" s="191">
        <f t="shared" si="55"/>
        <v>3.4855999999999998E-2</v>
      </c>
      <c r="L98" s="191">
        <f t="shared" si="55"/>
        <v>3.3276E-2</v>
      </c>
      <c r="M98" s="191">
        <f t="shared" si="55"/>
        <v>3.9843999999999997E-2</v>
      </c>
      <c r="N98" s="191">
        <f t="shared" si="55"/>
        <v>3.6563999999999999E-2</v>
      </c>
      <c r="O98" s="181">
        <v>3.7055539292637933E-2</v>
      </c>
      <c r="P98" s="181">
        <v>3.7542886901488839E-2</v>
      </c>
      <c r="Q98" s="181">
        <v>3.8025752395391056E-2</v>
      </c>
      <c r="R98" s="181">
        <v>3.8504045143343782E-2</v>
      </c>
      <c r="S98" s="181">
        <v>3.8977229598524107E-2</v>
      </c>
      <c r="T98" s="181">
        <v>3.9445126558725903E-2</v>
      </c>
      <c r="U98" s="181">
        <v>3.9907400277287106E-2</v>
      </c>
      <c r="V98" s="181">
        <v>4.0363984840752598E-2</v>
      </c>
      <c r="W98" s="181">
        <v>4.0814367360049661E-2</v>
      </c>
      <c r="X98" s="181">
        <v>4.1258306839107979E-2</v>
      </c>
      <c r="Y98" s="181">
        <v>4.1695492248811174E-2</v>
      </c>
      <c r="Z98" s="181">
        <v>4.2125563124951519E-2</v>
      </c>
      <c r="AA98" s="181">
        <v>4.2548342325118359E-2</v>
      </c>
      <c r="AB98" s="181">
        <v>4.296352087999078E-2</v>
      </c>
      <c r="AC98" s="181">
        <v>4.3370917527567179E-2</v>
      </c>
      <c r="AD98" s="181">
        <v>4.3770184162412663E-2</v>
      </c>
      <c r="AE98" s="181">
        <v>4.4161182778230564E-2</v>
      </c>
      <c r="AF98" s="181">
        <v>4.4543655900586773E-2</v>
      </c>
      <c r="AG98" s="181">
        <v>4.4917424327275177E-2</v>
      </c>
      <c r="AH98" s="181">
        <v>4.5282440682999893E-2</v>
      </c>
      <c r="AI98" s="181">
        <v>4.5638579320237085E-2</v>
      </c>
      <c r="AJ98" s="181">
        <v>4.5985619840871177E-2</v>
      </c>
      <c r="AK98" s="181">
        <v>4.6323516929401759E-2</v>
      </c>
      <c r="AL98" s="181">
        <v>4.6652050187713262E-2</v>
      </c>
      <c r="AM98" s="181">
        <v>4.6971164001327913E-2</v>
      </c>
      <c r="AN98" s="181">
        <v>4.7280909865132531E-2</v>
      </c>
      <c r="AO98" s="181">
        <v>4.7581022065511125E-2</v>
      </c>
      <c r="AP98" s="181">
        <v>4.7871580934487144E-2</v>
      </c>
      <c r="AQ98" s="181">
        <v>4.8152687402038749E-2</v>
      </c>
      <c r="AR98" s="182"/>
    </row>
    <row r="99" spans="1:75" ht="14.25" customHeight="1" x14ac:dyDescent="0.3">
      <c r="A99" s="995"/>
      <c r="B99" s="185" t="s">
        <v>388</v>
      </c>
      <c r="C99" s="190">
        <f t="shared" ref="C99:N99" si="56">C84/1000000</f>
        <v>4.2013000000000002E-2</v>
      </c>
      <c r="D99" s="190">
        <f t="shared" si="56"/>
        <v>3.5076999999999997E-2</v>
      </c>
      <c r="E99" s="190">
        <f t="shared" si="56"/>
        <v>2.7265999999999999E-2</v>
      </c>
      <c r="F99" s="190">
        <f t="shared" si="56"/>
        <v>2.4028999999999998E-2</v>
      </c>
      <c r="G99" s="190">
        <f t="shared" si="56"/>
        <v>5.2402999999999998E-2</v>
      </c>
      <c r="H99" s="191">
        <f t="shared" si="56"/>
        <v>5.7854999999999997E-2</v>
      </c>
      <c r="I99" s="191">
        <f t="shared" si="56"/>
        <v>6.7426E-2</v>
      </c>
      <c r="J99" s="191">
        <f t="shared" si="56"/>
        <v>6.9489999999999996E-2</v>
      </c>
      <c r="K99" s="191">
        <f t="shared" si="56"/>
        <v>6.8285999999999999E-2</v>
      </c>
      <c r="L99" s="191">
        <f t="shared" si="56"/>
        <v>6.4534999999999995E-2</v>
      </c>
      <c r="M99" s="191">
        <f t="shared" si="56"/>
        <v>6.4074330892798834E-2</v>
      </c>
      <c r="N99" s="191">
        <f t="shared" si="56"/>
        <v>7.0139999999999994E-2</v>
      </c>
      <c r="O99" s="181">
        <v>7.1082910129789525E-2</v>
      </c>
      <c r="P99" s="181">
        <v>7.2017779435248508E-2</v>
      </c>
      <c r="Q99" s="181">
        <v>7.2944050788008086E-2</v>
      </c>
      <c r="R99" s="181">
        <v>7.3861550332407072E-2</v>
      </c>
      <c r="S99" s="181">
        <v>7.4769250739538343E-2</v>
      </c>
      <c r="T99" s="181">
        <v>7.5666808249344533E-2</v>
      </c>
      <c r="U99" s="181">
        <v>7.6553578805626202E-2</v>
      </c>
      <c r="V99" s="181">
        <v>7.7429435967902471E-2</v>
      </c>
      <c r="W99" s="181">
        <v>7.8293395871181545E-2</v>
      </c>
      <c r="X99" s="181">
        <v>7.9144996217455216E-2</v>
      </c>
      <c r="Y99" s="181">
        <v>7.9983640365704378E-2</v>
      </c>
      <c r="Z99" s="181">
        <v>8.0808636844549239E-2</v>
      </c>
      <c r="AA99" s="181">
        <v>8.1619645845197486E-2</v>
      </c>
      <c r="AB99" s="181">
        <v>8.2416074677894996E-2</v>
      </c>
      <c r="AC99" s="181">
        <v>8.3197575631319368E-2</v>
      </c>
      <c r="AD99" s="181">
        <v>8.396348094168099E-2</v>
      </c>
      <c r="AE99" s="181">
        <v>8.4713525874223039E-2</v>
      </c>
      <c r="AF99" s="181">
        <v>8.544721652081709E-2</v>
      </c>
      <c r="AG99" s="181">
        <v>8.6164209121405766E-2</v>
      </c>
      <c r="AH99" s="181">
        <v>8.6864412796893442E-2</v>
      </c>
      <c r="AI99" s="181">
        <v>8.7547586520113463E-2</v>
      </c>
      <c r="AJ99" s="181">
        <v>8.8213307505707897E-2</v>
      </c>
      <c r="AK99" s="181">
        <v>8.8861488825846158E-2</v>
      </c>
      <c r="AL99" s="181">
        <v>8.9491707695170314E-2</v>
      </c>
      <c r="AM99" s="181">
        <v>9.0103857429524647E-2</v>
      </c>
      <c r="AN99" s="181">
        <v>9.0698036810534816E-2</v>
      </c>
      <c r="AO99" s="181">
        <v>9.12737361250123E-2</v>
      </c>
      <c r="AP99" s="181">
        <v>9.1831109472293171E-2</v>
      </c>
      <c r="AQ99" s="181">
        <v>9.2370350464363774E-2</v>
      </c>
      <c r="AR99" s="182"/>
    </row>
    <row r="100" spans="1:75" ht="13.5" customHeight="1" x14ac:dyDescent="0.3">
      <c r="A100" s="995"/>
      <c r="B100" s="185" t="s">
        <v>389</v>
      </c>
      <c r="C100" s="190">
        <f t="shared" ref="C100:N100" si="57">C85/1000000</f>
        <v>2.6640000000000001E-3</v>
      </c>
      <c r="D100" s="190">
        <f t="shared" si="57"/>
        <v>1.583E-3</v>
      </c>
      <c r="E100" s="190">
        <f t="shared" si="57"/>
        <v>3.0769999999999999E-3</v>
      </c>
      <c r="F100" s="190">
        <f t="shared" si="57"/>
        <v>1.325E-3</v>
      </c>
      <c r="G100" s="190">
        <f t="shared" si="57"/>
        <v>9.6699999999999998E-3</v>
      </c>
      <c r="H100" s="191">
        <f t="shared" si="57"/>
        <v>9.9514822792642933E-3</v>
      </c>
      <c r="I100" s="191">
        <f t="shared" si="57"/>
        <v>1.5220368090758319E-2</v>
      </c>
      <c r="J100" s="191">
        <f t="shared" si="57"/>
        <v>2.1834731254671294E-2</v>
      </c>
      <c r="K100" s="191">
        <f t="shared" si="57"/>
        <v>2.2317990831375797E-2</v>
      </c>
      <c r="L100" s="191">
        <f t="shared" si="57"/>
        <v>1.8864470450328172E-2</v>
      </c>
      <c r="M100" s="191">
        <f t="shared" si="57"/>
        <v>1.6995821880195612E-2</v>
      </c>
      <c r="N100" s="191">
        <f t="shared" si="57"/>
        <v>1.3486945735989684E-2</v>
      </c>
      <c r="O100" s="181">
        <v>1.3668254229779055E-2</v>
      </c>
      <c r="P100" s="181">
        <v>1.3848016584968216E-2</v>
      </c>
      <c r="Q100" s="181">
        <v>1.4026125673526388E-2</v>
      </c>
      <c r="R100" s="181">
        <v>1.4202548065429785E-2</v>
      </c>
      <c r="S100" s="181">
        <v>1.4377086219628748E-2</v>
      </c>
      <c r="T100" s="181">
        <v>1.4549674035848968E-2</v>
      </c>
      <c r="U100" s="181">
        <v>1.4720187671047772E-2</v>
      </c>
      <c r="V100" s="181">
        <v>1.4888602812480592E-2</v>
      </c>
      <c r="W100" s="181">
        <v>1.5054730276603714E-2</v>
      </c>
      <c r="X100" s="181">
        <v>1.521848116994479E-2</v>
      </c>
      <c r="Y100" s="181">
        <v>1.5379740766740365E-2</v>
      </c>
      <c r="Z100" s="181">
        <v>1.5538376106668556E-2</v>
      </c>
      <c r="AA100" s="181">
        <v>1.5694321849228324E-2</v>
      </c>
      <c r="AB100" s="181">
        <v>1.5847464028429476E-2</v>
      </c>
      <c r="AC100" s="181">
        <v>1.5997735784224438E-2</v>
      </c>
      <c r="AD100" s="181">
        <v>1.6145008714930933E-2</v>
      </c>
      <c r="AE100" s="181">
        <v>1.6289231915740009E-2</v>
      </c>
      <c r="AF100" s="181">
        <v>1.6430310414993175E-2</v>
      </c>
      <c r="AG100" s="181">
        <v>1.6568178112416124E-2</v>
      </c>
      <c r="AH100" s="181">
        <v>1.6702817533223693E-2</v>
      </c>
      <c r="AI100" s="181">
        <v>1.683418233124654E-2</v>
      </c>
      <c r="AJ100" s="181">
        <v>1.6962191210744996E-2</v>
      </c>
      <c r="AK100" s="181">
        <v>1.7086827456707167E-2</v>
      </c>
      <c r="AL100" s="181">
        <v>1.7208009773393391E-2</v>
      </c>
      <c r="AM100" s="181">
        <v>1.7325717646925431E-2</v>
      </c>
      <c r="AN100" s="181">
        <v>1.7439970071634985E-2</v>
      </c>
      <c r="AO100" s="181">
        <v>1.7550669036770487E-2</v>
      </c>
      <c r="AP100" s="181">
        <v>1.7657844173489392E-2</v>
      </c>
      <c r="AQ100" s="181">
        <v>1.7761532710681826E-2</v>
      </c>
      <c r="AR100" s="182"/>
    </row>
    <row r="101" spans="1:75" ht="13.5" customHeight="1" x14ac:dyDescent="0.3">
      <c r="A101" s="995"/>
      <c r="B101" s="185" t="s">
        <v>390</v>
      </c>
      <c r="C101" s="190">
        <f>5411/1000000</f>
        <v>5.411E-3</v>
      </c>
      <c r="D101" s="190">
        <f>5823/1000000</f>
        <v>5.8230000000000001E-3</v>
      </c>
      <c r="E101" s="190">
        <f>6293/1000000</f>
        <v>6.293E-3</v>
      </c>
      <c r="F101" s="190">
        <f>9202/1000000</f>
        <v>9.2020000000000001E-3</v>
      </c>
      <c r="G101" s="190">
        <v>6.731E-3</v>
      </c>
      <c r="H101" s="191">
        <v>7.6280000000000002E-3</v>
      </c>
      <c r="I101" s="191">
        <v>8.352E-3</v>
      </c>
      <c r="J101" s="191">
        <v>8.848E-3</v>
      </c>
      <c r="K101" s="191">
        <v>6.96E-3</v>
      </c>
      <c r="L101" s="191">
        <v>8.6180000000000007E-3</v>
      </c>
      <c r="M101" s="191">
        <v>4.9300000000000004E-3</v>
      </c>
      <c r="N101" s="191">
        <v>6.9629999999999996E-3</v>
      </c>
      <c r="O101" s="181">
        <v>7.0566054068110142E-3</v>
      </c>
      <c r="P101" s="181">
        <v>7.1494125778105997E-3</v>
      </c>
      <c r="Q101" s="181">
        <v>7.2413662052594873E-3</v>
      </c>
      <c r="R101" s="181">
        <v>7.3324490300049981E-3</v>
      </c>
      <c r="S101" s="181">
        <v>7.4225590661449329E-3</v>
      </c>
      <c r="T101" s="181">
        <v>7.5116621876274046E-3</v>
      </c>
      <c r="U101" s="181">
        <v>7.599694457136803E-3</v>
      </c>
      <c r="V101" s="181">
        <v>7.6866433225620907E-3</v>
      </c>
      <c r="W101" s="181">
        <v>7.7724111127892388E-3</v>
      </c>
      <c r="X101" s="181">
        <v>7.8569519341622589E-3</v>
      </c>
      <c r="Y101" s="181">
        <v>7.9402065564071825E-3</v>
      </c>
      <c r="Z101" s="181">
        <v>8.02210633516676E-3</v>
      </c>
      <c r="AA101" s="181">
        <v>8.1026175366425753E-3</v>
      </c>
      <c r="AB101" s="181">
        <v>8.1816813228141293E-3</v>
      </c>
      <c r="AC101" s="181">
        <v>8.2592631753760602E-3</v>
      </c>
      <c r="AD101" s="181">
        <v>8.3352968034919421E-3</v>
      </c>
      <c r="AE101" s="181">
        <v>8.4097559261792857E-3</v>
      </c>
      <c r="AF101" s="181">
        <v>8.4825915117543414E-3</v>
      </c>
      <c r="AG101" s="181">
        <v>8.5537694341652187E-3</v>
      </c>
      <c r="AH101" s="181">
        <v>8.6232806715821099E-3</v>
      </c>
      <c r="AI101" s="181">
        <v>8.6911012965433451E-3</v>
      </c>
      <c r="AJ101" s="181">
        <v>8.7571893379276341E-3</v>
      </c>
      <c r="AK101" s="181">
        <v>8.8215361661586385E-3</v>
      </c>
      <c r="AL101" s="181">
        <v>8.88409981011507E-3</v>
      </c>
      <c r="AM101" s="181">
        <v>8.9448696789532385E-3</v>
      </c>
      <c r="AN101" s="181">
        <v>9.0038555790098937E-3</v>
      </c>
      <c r="AO101" s="181">
        <v>9.0610069095874053E-3</v>
      </c>
      <c r="AP101" s="181">
        <v>9.1163389685711051E-3</v>
      </c>
      <c r="AQ101" s="181">
        <v>9.169870976381023E-3</v>
      </c>
      <c r="AR101" s="182"/>
    </row>
    <row r="102" spans="1:75" ht="13.5" customHeight="1" x14ac:dyDescent="0.3">
      <c r="A102" s="324"/>
      <c r="B102" s="179" t="s">
        <v>391</v>
      </c>
      <c r="C102" s="195">
        <f t="shared" ref="C102:AQ102" si="58">SUM(C88:C101)</f>
        <v>1.8237780000000003</v>
      </c>
      <c r="D102" s="195">
        <f t="shared" si="58"/>
        <v>1.9546589999999995</v>
      </c>
      <c r="E102" s="195">
        <f t="shared" si="58"/>
        <v>1.772135</v>
      </c>
      <c r="F102" s="195">
        <f t="shared" si="58"/>
        <v>1.805272</v>
      </c>
      <c r="G102" s="195">
        <f t="shared" si="58"/>
        <v>1.792591</v>
      </c>
      <c r="H102" s="196">
        <f t="shared" si="58"/>
        <v>1.9378675969934793</v>
      </c>
      <c r="I102" s="196">
        <f t="shared" si="58"/>
        <v>1.762141</v>
      </c>
      <c r="J102" s="196">
        <f t="shared" si="58"/>
        <v>1.8634030000000001</v>
      </c>
      <c r="K102" s="196">
        <f t="shared" si="58"/>
        <v>1.7906899999999999</v>
      </c>
      <c r="L102" s="196">
        <f t="shared" si="58"/>
        <v>1.8328380000000004</v>
      </c>
      <c r="M102" s="196">
        <f t="shared" si="58"/>
        <v>1.8182911455453874</v>
      </c>
      <c r="N102" s="196">
        <f t="shared" si="58"/>
        <v>1.8217366615821744</v>
      </c>
      <c r="O102" s="180">
        <f t="shared" si="58"/>
        <v>1.8414916460983348</v>
      </c>
      <c r="P102" s="180">
        <f t="shared" si="58"/>
        <v>1.8494798149774108</v>
      </c>
      <c r="Q102" s="180">
        <f t="shared" si="58"/>
        <v>1.9160655402173821</v>
      </c>
      <c r="R102" s="180">
        <f t="shared" si="58"/>
        <v>1.9298674461584486</v>
      </c>
      <c r="S102" s="180">
        <f t="shared" si="58"/>
        <v>1.9989040834592118</v>
      </c>
      <c r="T102" s="180">
        <f t="shared" si="58"/>
        <v>2.0359067228423147</v>
      </c>
      <c r="U102" s="180">
        <f t="shared" si="58"/>
        <v>2.0739216658564845</v>
      </c>
      <c r="V102" s="180">
        <f t="shared" si="58"/>
        <v>2.1089269591598807</v>
      </c>
      <c r="W102" s="180">
        <f t="shared" si="58"/>
        <v>2.1477682822170183</v>
      </c>
      <c r="X102" s="180">
        <f t="shared" si="58"/>
        <v>2.1848979587258257</v>
      </c>
      <c r="Y102" s="180">
        <f t="shared" si="58"/>
        <v>2.2233611631856811</v>
      </c>
      <c r="Z102" s="180">
        <f t="shared" si="58"/>
        <v>2.2646856684559884</v>
      </c>
      <c r="AA102" s="180">
        <f t="shared" si="58"/>
        <v>2.3055767489609904</v>
      </c>
      <c r="AB102" s="180">
        <f t="shared" si="58"/>
        <v>2.3474278975742586</v>
      </c>
      <c r="AC102" s="180">
        <f t="shared" si="58"/>
        <v>2.3858953122550819</v>
      </c>
      <c r="AD102" s="180">
        <f t="shared" si="58"/>
        <v>2.4241889193184987</v>
      </c>
      <c r="AE102" s="180">
        <f t="shared" si="58"/>
        <v>2.4649007934608442</v>
      </c>
      <c r="AF102" s="180">
        <f t="shared" si="58"/>
        <v>2.505361778341137</v>
      </c>
      <c r="AG102" s="180">
        <f t="shared" si="58"/>
        <v>2.5486814183419462</v>
      </c>
      <c r="AH102" s="180">
        <f t="shared" si="58"/>
        <v>2.5897301955178289</v>
      </c>
      <c r="AI102" s="180">
        <f t="shared" si="58"/>
        <v>2.6318322013105191</v>
      </c>
      <c r="AJ102" s="180">
        <f t="shared" si="58"/>
        <v>2.6723913820533634</v>
      </c>
      <c r="AK102" s="180">
        <f t="shared" si="58"/>
        <v>2.7132756096878055</v>
      </c>
      <c r="AL102" s="180">
        <f t="shared" si="58"/>
        <v>2.7526410657188611</v>
      </c>
      <c r="AM102" s="180">
        <f t="shared" si="58"/>
        <v>2.7945406243096138</v>
      </c>
      <c r="AN102" s="180">
        <f t="shared" si="58"/>
        <v>2.8347932189469596</v>
      </c>
      <c r="AO102" s="180">
        <f t="shared" si="58"/>
        <v>2.8770087188841758</v>
      </c>
      <c r="AP102" s="180">
        <f t="shared" si="58"/>
        <v>2.9178086827071428</v>
      </c>
      <c r="AQ102" s="180">
        <f t="shared" si="58"/>
        <v>2.958631170998788</v>
      </c>
      <c r="AR102" s="197"/>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row>
    <row r="103" spans="1:75" ht="13.5" customHeight="1" x14ac:dyDescent="0.3">
      <c r="A103" s="324"/>
      <c r="B103" s="179"/>
      <c r="C103" s="195"/>
      <c r="D103" s="195"/>
      <c r="E103" s="195"/>
      <c r="F103" s="195"/>
      <c r="G103" s="195"/>
      <c r="H103" s="196"/>
      <c r="I103" s="196"/>
      <c r="J103" s="196"/>
      <c r="K103" s="196"/>
      <c r="L103" s="196"/>
      <c r="M103" s="196"/>
      <c r="N103" s="196"/>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97"/>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row>
    <row r="104" spans="1:75" ht="14.25" customHeight="1" x14ac:dyDescent="0.3">
      <c r="A104" s="1206" t="s">
        <v>821</v>
      </c>
      <c r="B104" s="185" t="s">
        <v>820</v>
      </c>
      <c r="C104" s="190">
        <f t="shared" ref="C104:G104" si="59">C87/1000000</f>
        <v>0</v>
      </c>
      <c r="D104" s="190">
        <f t="shared" si="59"/>
        <v>0</v>
      </c>
      <c r="E104" s="190">
        <f t="shared" si="59"/>
        <v>0</v>
      </c>
      <c r="F104" s="190">
        <f t="shared" si="59"/>
        <v>0</v>
      </c>
      <c r="G104" s="190">
        <f t="shared" si="59"/>
        <v>0</v>
      </c>
      <c r="H104" s="191">
        <v>0.29130600000000001</v>
      </c>
      <c r="I104" s="191">
        <v>0.27524799999999999</v>
      </c>
      <c r="J104" s="191">
        <v>0.25752000000000003</v>
      </c>
      <c r="K104" s="191">
        <v>0.26218599999999997</v>
      </c>
      <c r="L104" s="191">
        <v>0.31916</v>
      </c>
      <c r="M104" s="191">
        <v>0.28852499999999998</v>
      </c>
      <c r="N104" s="191">
        <v>0.27612999999999999</v>
      </c>
      <c r="O104" s="181">
        <v>0.28358550999999999</v>
      </c>
      <c r="P104" s="181">
        <v>0.29237666080999997</v>
      </c>
      <c r="Q104" s="181">
        <v>0.30114796063429999</v>
      </c>
      <c r="R104" s="181">
        <v>0.30927895557142604</v>
      </c>
      <c r="S104" s="181">
        <v>0.31639237154956878</v>
      </c>
      <c r="T104" s="181">
        <v>0.32646890728491063</v>
      </c>
      <c r="U104" s="181">
        <v>0.3357607754363251</v>
      </c>
      <c r="V104" s="181">
        <v>0.34313400554118656</v>
      </c>
      <c r="W104" s="181">
        <v>0.35130760309369813</v>
      </c>
      <c r="X104" s="181">
        <v>0.36243639656875992</v>
      </c>
      <c r="Y104" s="181">
        <v>0.37137720346236769</v>
      </c>
      <c r="Z104" s="181">
        <v>0.38211532735789278</v>
      </c>
      <c r="AA104" s="181">
        <v>0.3911586825607245</v>
      </c>
      <c r="AB104" s="181">
        <v>0.40040745884098355</v>
      </c>
      <c r="AC104" s="181">
        <v>0.41063301143642111</v>
      </c>
      <c r="AD104" s="181">
        <v>0.41995078718506751</v>
      </c>
      <c r="AE104" s="181">
        <v>0.42978896972684677</v>
      </c>
      <c r="AF104" s="181">
        <v>0.44062435268232064</v>
      </c>
      <c r="AG104" s="181">
        <v>0.45063297891283899</v>
      </c>
      <c r="AH104" s="181">
        <v>0.46091901386161022</v>
      </c>
      <c r="AI104" s="181">
        <v>0.47118870850363564</v>
      </c>
      <c r="AJ104" s="181">
        <v>0.47943113093649742</v>
      </c>
      <c r="AK104" s="181">
        <v>0.48993854763139516</v>
      </c>
      <c r="AL104" s="181">
        <v>0.49904683660123839</v>
      </c>
      <c r="AM104" s="181">
        <v>0.51045568970759836</v>
      </c>
      <c r="AN104" s="181">
        <v>0.51986353068175539</v>
      </c>
      <c r="AO104" s="181">
        <v>0.52917939241361622</v>
      </c>
      <c r="AP104" s="181">
        <v>0.53883855293966409</v>
      </c>
      <c r="AQ104" s="181">
        <v>0.54856989515799259</v>
      </c>
      <c r="AR104" s="182"/>
    </row>
    <row r="105" spans="1:75" ht="14.25" customHeight="1" x14ac:dyDescent="0.3">
      <c r="A105" s="995"/>
      <c r="B105" s="185" t="s">
        <v>378</v>
      </c>
      <c r="C105" s="190">
        <f t="shared" ref="C105:G105" si="60">C88/1000000</f>
        <v>3.2878200000000001E-7</v>
      </c>
      <c r="D105" s="190">
        <f t="shared" si="60"/>
        <v>3.0732199999999998E-7</v>
      </c>
      <c r="E105" s="190">
        <f t="shared" si="60"/>
        <v>3.02672E-7</v>
      </c>
      <c r="F105" s="190">
        <f t="shared" si="60"/>
        <v>3.1048199999999996E-7</v>
      </c>
      <c r="G105" s="190">
        <f t="shared" si="60"/>
        <v>2.8896300000000004E-7</v>
      </c>
      <c r="H105" s="191">
        <v>0.43209399999999998</v>
      </c>
      <c r="I105" s="191">
        <v>0.45425700000000002</v>
      </c>
      <c r="J105" s="191">
        <v>0.46732699999999999</v>
      </c>
      <c r="K105" s="191">
        <v>0.50195000000000001</v>
      </c>
      <c r="L105" s="191">
        <v>0.52543499999999999</v>
      </c>
      <c r="M105" s="191">
        <v>0.52734700000000001</v>
      </c>
      <c r="N105" s="191">
        <v>0.543547</v>
      </c>
      <c r="O105" s="181">
        <v>0.55822276900000001</v>
      </c>
      <c r="P105" s="181">
        <v>0.57552767483899991</v>
      </c>
      <c r="Q105" s="181">
        <v>0.59279350508416995</v>
      </c>
      <c r="R105" s="181">
        <v>0.60879892972144245</v>
      </c>
      <c r="S105" s="181">
        <v>0.62280130510503562</v>
      </c>
      <c r="T105" s="181">
        <v>0.64263642178680813</v>
      </c>
      <c r="U105" s="181">
        <v>0.66092696268456241</v>
      </c>
      <c r="V105" s="181">
        <v>0.6754407681523027</v>
      </c>
      <c r="W105" s="181">
        <v>0.69153005373834919</v>
      </c>
      <c r="X105" s="181">
        <v>0.71343648298178308</v>
      </c>
      <c r="Y105" s="181">
        <v>0.73103597874319926</v>
      </c>
      <c r="Z105" s="181">
        <v>0.75217339600695532</v>
      </c>
      <c r="AA105" s="181">
        <v>0.76997475257970571</v>
      </c>
      <c r="AB105" s="181">
        <v>0.78818046945511211</v>
      </c>
      <c r="AC105" s="181">
        <v>0.80830891778232139</v>
      </c>
      <c r="AD105" s="181">
        <v>0.82665045638678125</v>
      </c>
      <c r="AE105" s="181">
        <v>0.84601638767290188</v>
      </c>
      <c r="AF105" s="181">
        <v>0.86734525414629837</v>
      </c>
      <c r="AG105" s="181">
        <v>0.88704669463345853</v>
      </c>
      <c r="AH105" s="181">
        <v>0.90729419920847665</v>
      </c>
      <c r="AI105" s="181">
        <v>0.92750953877168607</v>
      </c>
      <c r="AJ105" s="181">
        <v>0.94373430241965883</v>
      </c>
      <c r="AK105" s="181">
        <v>0.96441758501213914</v>
      </c>
      <c r="AL105" s="181">
        <v>0.98234676020024403</v>
      </c>
      <c r="AM105" s="181">
        <v>1.004804471710774</v>
      </c>
      <c r="AN105" s="181">
        <v>1.0233232988500929</v>
      </c>
      <c r="AO105" s="181">
        <v>1.0416610698158255</v>
      </c>
      <c r="AP105" s="181">
        <v>1.0606746059272647</v>
      </c>
      <c r="AQ105" s="181">
        <v>1.0798302278037208</v>
      </c>
      <c r="AR105" s="182"/>
    </row>
    <row r="106" spans="1:75" ht="14.25" customHeight="1" x14ac:dyDescent="0.3">
      <c r="A106" s="995"/>
      <c r="B106" s="185" t="s">
        <v>379</v>
      </c>
      <c r="C106" s="190">
        <f t="shared" ref="C106:G106" si="61">C89/1000000</f>
        <v>3.60025E-7</v>
      </c>
      <c r="D106" s="190">
        <f t="shared" si="61"/>
        <v>3.9946700000000004E-7</v>
      </c>
      <c r="E106" s="190">
        <f t="shared" si="61"/>
        <v>3.9017600000000001E-7</v>
      </c>
      <c r="F106" s="190">
        <f t="shared" si="61"/>
        <v>4.0243399999999999E-7</v>
      </c>
      <c r="G106" s="190">
        <f t="shared" si="61"/>
        <v>3.72637E-7</v>
      </c>
      <c r="H106" s="191">
        <v>4.4026999999999997E-2</v>
      </c>
      <c r="I106" s="191">
        <v>2.9871999999999999E-2</v>
      </c>
      <c r="J106" s="191">
        <v>3.7260000000000001E-2</v>
      </c>
      <c r="K106" s="191">
        <v>3.1924000000000001E-2</v>
      </c>
      <c r="L106" s="191">
        <v>3.6047000000000003E-2</v>
      </c>
      <c r="M106" s="191">
        <v>2.6908999999999999E-2</v>
      </c>
      <c r="N106" s="191">
        <v>2.9481E-2</v>
      </c>
      <c r="O106" s="181">
        <v>3.0276986999999998E-2</v>
      </c>
      <c r="P106" s="181">
        <v>3.1215573596999995E-2</v>
      </c>
      <c r="Q106" s="181">
        <v>3.2152040804909993E-2</v>
      </c>
      <c r="R106" s="181">
        <v>3.302014590664256E-2</v>
      </c>
      <c r="S106" s="181">
        <v>3.3779609262495333E-2</v>
      </c>
      <c r="T106" s="181">
        <v>3.4855429890509722E-2</v>
      </c>
      <c r="U106" s="181">
        <v>3.5847475539196393E-2</v>
      </c>
      <c r="V106" s="181">
        <v>3.663467793198754E-2</v>
      </c>
      <c r="W106" s="181">
        <v>3.7507331498950906E-2</v>
      </c>
      <c r="X106" s="181">
        <v>3.8695496350427731E-2</v>
      </c>
      <c r="Y106" s="181">
        <v>3.9650060968652666E-2</v>
      </c>
      <c r="Z106" s="181">
        <v>4.0796516009988175E-2</v>
      </c>
      <c r="AA106" s="181">
        <v>4.1762029191224119E-2</v>
      </c>
      <c r="AB106" s="181">
        <v>4.2749474139322181E-2</v>
      </c>
      <c r="AC106" s="181">
        <v>4.3841204541908263E-2</v>
      </c>
      <c r="AD106" s="181">
        <v>4.4836016213388522E-2</v>
      </c>
      <c r="AE106" s="181">
        <v>4.5886389079481282E-2</v>
      </c>
      <c r="AF106" s="181">
        <v>4.704322797750151E-2</v>
      </c>
      <c r="AG106" s="181">
        <v>4.8111798252016814E-2</v>
      </c>
      <c r="AH106" s="181">
        <v>4.9209986048796318E-2</v>
      </c>
      <c r="AI106" s="181">
        <v>5.0306429273877087E-2</v>
      </c>
      <c r="AJ106" s="181">
        <v>5.1186430924343163E-2</v>
      </c>
      <c r="AK106" s="181">
        <v>5.2308254527654217E-2</v>
      </c>
      <c r="AL106" s="181">
        <v>5.3280700357951356E-2</v>
      </c>
      <c r="AM106" s="181">
        <v>5.4498765756236939E-2</v>
      </c>
      <c r="AN106" s="181">
        <v>5.5503193235174844E-2</v>
      </c>
      <c r="AO106" s="181">
        <v>5.6497800556787818E-2</v>
      </c>
      <c r="AP106" s="181">
        <v>5.7529060149980937E-2</v>
      </c>
      <c r="AQ106" s="181">
        <v>5.8568026216466083E-2</v>
      </c>
      <c r="AR106" s="182"/>
    </row>
    <row r="107" spans="1:75" ht="14.25" customHeight="1" x14ac:dyDescent="0.3">
      <c r="A107" s="995"/>
      <c r="B107" s="185" t="s">
        <v>380</v>
      </c>
      <c r="C107" s="190">
        <f t="shared" ref="C107:G107" si="62">C90/1000000</f>
        <v>1.4493100000000002E-7</v>
      </c>
      <c r="D107" s="190">
        <f t="shared" si="62"/>
        <v>9.8347E-8</v>
      </c>
      <c r="E107" s="190">
        <f t="shared" si="62"/>
        <v>7.8710000000000008E-8</v>
      </c>
      <c r="F107" s="190">
        <f t="shared" si="62"/>
        <v>6.1627E-8</v>
      </c>
      <c r="G107" s="190">
        <f t="shared" si="62"/>
        <v>3.5483000000000001E-8</v>
      </c>
      <c r="H107" s="191">
        <v>0.102616</v>
      </c>
      <c r="I107" s="191">
        <v>0.104661</v>
      </c>
      <c r="J107" s="191">
        <v>0.127081</v>
      </c>
      <c r="K107" s="191">
        <v>0.11532100000000001</v>
      </c>
      <c r="L107" s="191">
        <v>0.13733699999999999</v>
      </c>
      <c r="M107" s="191">
        <v>0.15320700000000001</v>
      </c>
      <c r="N107" s="191">
        <v>0.15018899999999999</v>
      </c>
      <c r="O107" s="181">
        <v>0.15424410299999997</v>
      </c>
      <c r="P107" s="181">
        <v>0.15902567019299996</v>
      </c>
      <c r="Q107" s="181">
        <v>0.16379644029878995</v>
      </c>
      <c r="R107" s="181">
        <v>0.16821894418685726</v>
      </c>
      <c r="S107" s="181">
        <v>0.17208797990315497</v>
      </c>
      <c r="T107" s="181">
        <v>0.17756867676896185</v>
      </c>
      <c r="U107" s="181">
        <v>0.18262258755660821</v>
      </c>
      <c r="V107" s="181">
        <v>0.18663293795757527</v>
      </c>
      <c r="W107" s="181">
        <v>0.19107861370021156</v>
      </c>
      <c r="X107" s="181">
        <v>0.19713164076436995</v>
      </c>
      <c r="Y107" s="181">
        <v>0.20199460692720653</v>
      </c>
      <c r="Z107" s="181">
        <v>0.20783514612883264</v>
      </c>
      <c r="AA107" s="181">
        <v>0.21275388902007261</v>
      </c>
      <c r="AB107" s="181">
        <v>0.21778436184358266</v>
      </c>
      <c r="AC107" s="181">
        <v>0.22334611000117571</v>
      </c>
      <c r="AD107" s="181">
        <v>0.22841411210856519</v>
      </c>
      <c r="AE107" s="181">
        <v>0.23376516703837102</v>
      </c>
      <c r="AF107" s="181">
        <v>0.23965860610945952</v>
      </c>
      <c r="AG107" s="181">
        <v>0.24510236653004155</v>
      </c>
      <c r="AH107" s="181">
        <v>0.25069701145424755</v>
      </c>
      <c r="AI107" s="181">
        <v>0.25628276877359407</v>
      </c>
      <c r="AJ107" s="181">
        <v>0.26076587884047953</v>
      </c>
      <c r="AK107" s="181">
        <v>0.26648093481407892</v>
      </c>
      <c r="AL107" s="181">
        <v>0.27143499562634771</v>
      </c>
      <c r="AM107" s="181">
        <v>0.27764034904390861</v>
      </c>
      <c r="AN107" s="181">
        <v>0.28275733824489246</v>
      </c>
      <c r="AO107" s="181">
        <v>0.2878242993054308</v>
      </c>
      <c r="AP107" s="181">
        <v>0.29307798293360088</v>
      </c>
      <c r="AQ107" s="181">
        <v>0.29837092667904158</v>
      </c>
      <c r="AR107" s="182"/>
    </row>
    <row r="108" spans="1:75" ht="14.25" customHeight="1" x14ac:dyDescent="0.3">
      <c r="A108" s="995"/>
      <c r="B108" s="185" t="s">
        <v>381</v>
      </c>
      <c r="C108" s="190">
        <f t="shared" ref="C108:G108" si="63">C91/1000000</f>
        <v>1.0692799999999999E-7</v>
      </c>
      <c r="D108" s="190">
        <f t="shared" si="63"/>
        <v>8.6455000000000002E-8</v>
      </c>
      <c r="E108" s="190">
        <f t="shared" si="63"/>
        <v>9.523900000000001E-8</v>
      </c>
      <c r="F108" s="190">
        <f t="shared" si="63"/>
        <v>1.01066E-7</v>
      </c>
      <c r="G108" s="190">
        <f t="shared" si="63"/>
        <v>9.6892000000000005E-8</v>
      </c>
      <c r="H108" s="191">
        <v>0.53329000000000004</v>
      </c>
      <c r="I108" s="191">
        <v>0.37833499999999998</v>
      </c>
      <c r="J108" s="191">
        <v>0.44462299999999999</v>
      </c>
      <c r="K108" s="191">
        <v>0.43539099999999997</v>
      </c>
      <c r="L108" s="191">
        <v>0.38883800000000002</v>
      </c>
      <c r="M108" s="191">
        <v>0.41523500000000002</v>
      </c>
      <c r="N108" s="191">
        <v>0.43940000000000001</v>
      </c>
      <c r="O108" s="181">
        <v>0.45126379999999999</v>
      </c>
      <c r="P108" s="181">
        <v>0.46525297779999997</v>
      </c>
      <c r="Q108" s="181">
        <v>0.47921056713399995</v>
      </c>
      <c r="R108" s="181">
        <v>0.49214925244661789</v>
      </c>
      <c r="S108" s="181">
        <v>0.50346868525289001</v>
      </c>
      <c r="T108" s="181">
        <v>0.51950326969539606</v>
      </c>
      <c r="U108" s="181">
        <v>0.53428922872096918</v>
      </c>
      <c r="V108" s="181">
        <v>0.54602209841305671</v>
      </c>
      <c r="W108" s="181">
        <v>0.55902857639289805</v>
      </c>
      <c r="X108" s="181">
        <v>0.57673759697357441</v>
      </c>
      <c r="Y108" s="181">
        <v>0.5909649194269524</v>
      </c>
      <c r="Z108" s="181">
        <v>0.60805227552623065</v>
      </c>
      <c r="AA108" s="181">
        <v>0.62244278099874095</v>
      </c>
      <c r="AB108" s="181">
        <v>0.63716016881442861</v>
      </c>
      <c r="AC108" s="181">
        <v>0.65343188072706127</v>
      </c>
      <c r="AD108" s="181">
        <v>0.66825906598022178</v>
      </c>
      <c r="AE108" s="181">
        <v>0.68391436387924687</v>
      </c>
      <c r="AF108" s="181">
        <v>0.70115648632387528</v>
      </c>
      <c r="AG108" s="181">
        <v>0.71708300776555045</v>
      </c>
      <c r="AH108" s="181">
        <v>0.73345096400532905</v>
      </c>
      <c r="AI108" s="181">
        <v>0.74979291825045269</v>
      </c>
      <c r="AJ108" s="181">
        <v>0.76290891584940779</v>
      </c>
      <c r="AK108" s="181">
        <v>0.77962915231678942</v>
      </c>
      <c r="AL108" s="181">
        <v>0.79412298555964289</v>
      </c>
      <c r="AM108" s="181">
        <v>0.81227765928192786</v>
      </c>
      <c r="AN108" s="181">
        <v>0.82724816347938768</v>
      </c>
      <c r="AO108" s="181">
        <v>0.84207230299693259</v>
      </c>
      <c r="AP108" s="181">
        <v>0.85744272683767941</v>
      </c>
      <c r="AQ108" s="181">
        <v>0.87292801192344893</v>
      </c>
      <c r="AR108" s="182"/>
    </row>
    <row r="109" spans="1:75" ht="14.25" customHeight="1" x14ac:dyDescent="0.3">
      <c r="A109" s="995"/>
      <c r="B109" s="185" t="s">
        <v>382</v>
      </c>
      <c r="C109" s="190">
        <f t="shared" ref="C109:G109" si="64">C92/1000000</f>
        <v>4.4034599999999999E-7</v>
      </c>
      <c r="D109" s="190">
        <f t="shared" si="64"/>
        <v>5.7778399999999998E-7</v>
      </c>
      <c r="E109" s="190">
        <f t="shared" si="64"/>
        <v>4.8658000000000001E-7</v>
      </c>
      <c r="F109" s="190">
        <f t="shared" si="64"/>
        <v>4.9665199999999999E-7</v>
      </c>
      <c r="G109" s="190">
        <f t="shared" si="64"/>
        <v>4.8569600000000006E-7</v>
      </c>
      <c r="H109" s="191">
        <v>0.29034300000000002</v>
      </c>
      <c r="I109" s="191">
        <v>0.26383899999999999</v>
      </c>
      <c r="J109" s="191">
        <v>0.26029200000000002</v>
      </c>
      <c r="K109" s="191">
        <v>0.22396199999999999</v>
      </c>
      <c r="L109" s="191">
        <v>0.200908</v>
      </c>
      <c r="M109" s="191">
        <v>0.188469</v>
      </c>
      <c r="N109" s="191">
        <v>0.152529</v>
      </c>
      <c r="O109" s="181">
        <v>0.156647283</v>
      </c>
      <c r="P109" s="181">
        <v>0.16150334877299999</v>
      </c>
      <c r="Q109" s="181">
        <v>0.16634844923618999</v>
      </c>
      <c r="R109" s="181">
        <v>0.17083985736556712</v>
      </c>
      <c r="S109" s="181">
        <v>0.17476917408497514</v>
      </c>
      <c r="T109" s="181">
        <v>0.18033526222887822</v>
      </c>
      <c r="U109" s="181">
        <v>0.18546791481015187</v>
      </c>
      <c r="V109" s="181">
        <v>0.18954074794912415</v>
      </c>
      <c r="W109" s="181">
        <v>0.19405568895910871</v>
      </c>
      <c r="X109" s="181">
        <v>0.200203024416892</v>
      </c>
      <c r="Y109" s="181">
        <v>0.20514175738569329</v>
      </c>
      <c r="Z109" s="181">
        <v>0.21107329434169425</v>
      </c>
      <c r="AA109" s="181">
        <v>0.21606867306089433</v>
      </c>
      <c r="AB109" s="181">
        <v>0.22117752250590805</v>
      </c>
      <c r="AC109" s="181">
        <v>0.22682592475060981</v>
      </c>
      <c r="AD109" s="181">
        <v>0.23197288819958414</v>
      </c>
      <c r="AE109" s="181">
        <v>0.2374073145383197</v>
      </c>
      <c r="AF109" s="181">
        <v>0.24339257556325533</v>
      </c>
      <c r="AG109" s="181">
        <v>0.24892115177849716</v>
      </c>
      <c r="AH109" s="181">
        <v>0.25460296333356591</v>
      </c>
      <c r="AI109" s="181">
        <v>0.2602757488116143</v>
      </c>
      <c r="AJ109" s="181">
        <v>0.26482870738642317</v>
      </c>
      <c r="AK109" s="181">
        <v>0.27063280603943468</v>
      </c>
      <c r="AL109" s="181">
        <v>0.27566405294589619</v>
      </c>
      <c r="AM109" s="181">
        <v>0.28196608805783613</v>
      </c>
      <c r="AN109" s="181">
        <v>0.28716280183738635</v>
      </c>
      <c r="AO109" s="181">
        <v>0.29230870801961578</v>
      </c>
      <c r="AP109" s="181">
        <v>0.29764424597593181</v>
      </c>
      <c r="AQ109" s="181">
        <v>0.30301965573662215</v>
      </c>
      <c r="AR109" s="182"/>
    </row>
    <row r="110" spans="1:75" ht="14.25" customHeight="1" x14ac:dyDescent="0.3">
      <c r="A110" s="995"/>
      <c r="B110" s="185" t="s">
        <v>383</v>
      </c>
      <c r="C110" s="193">
        <f t="shared" ref="C110:G110" si="65">C93/1000000</f>
        <v>1.9350200000000001E-7</v>
      </c>
      <c r="D110" s="193">
        <f t="shared" si="65"/>
        <v>2.0265100000000001E-7</v>
      </c>
      <c r="E110" s="193">
        <f t="shared" si="65"/>
        <v>1.9857799999999999E-7</v>
      </c>
      <c r="F110" s="193">
        <f t="shared" si="65"/>
        <v>2.1883300000000001E-7</v>
      </c>
      <c r="G110" s="190">
        <f t="shared" si="65"/>
        <v>2.7201099999999999E-7</v>
      </c>
      <c r="H110" s="191">
        <v>2.2492999999999999E-2</v>
      </c>
      <c r="I110" s="191">
        <v>2.6280000000000001E-2</v>
      </c>
      <c r="J110" s="191">
        <v>2.8021000000000001E-2</v>
      </c>
      <c r="K110" s="191">
        <v>2.3133999999999998E-2</v>
      </c>
      <c r="L110" s="191">
        <v>2.7019999999999999E-2</v>
      </c>
      <c r="M110" s="191">
        <v>1.9682000000000002E-2</v>
      </c>
      <c r="N110" s="191">
        <v>1.8807000000000001E-2</v>
      </c>
      <c r="O110" s="181">
        <v>1.9314788999999999E-2</v>
      </c>
      <c r="P110" s="181">
        <v>1.9913547458999998E-2</v>
      </c>
      <c r="Q110" s="181">
        <v>2.0510953882769998E-2</v>
      </c>
      <c r="R110" s="181">
        <v>2.1064749637604786E-2</v>
      </c>
      <c r="S110" s="181">
        <v>2.1549238879269694E-2</v>
      </c>
      <c r="T110" s="181">
        <v>2.2235543907968402E-2</v>
      </c>
      <c r="U110" s="181">
        <v>2.286840583649356E-2</v>
      </c>
      <c r="V110" s="181">
        <v>2.3370590816691759E-2</v>
      </c>
      <c r="W110" s="181">
        <v>2.3927288202597256E-2</v>
      </c>
      <c r="X110" s="181">
        <v>2.468526168930818E-2</v>
      </c>
      <c r="Y110" s="181">
        <v>2.5294213108017057E-2</v>
      </c>
      <c r="Z110" s="181">
        <v>2.6025578392858038E-2</v>
      </c>
      <c r="AA110" s="181">
        <v>2.6641514297322082E-2</v>
      </c>
      <c r="AB110" s="181">
        <v>2.7271441271945744E-2</v>
      </c>
      <c r="AC110" s="181">
        <v>2.7967895723336009E-2</v>
      </c>
      <c r="AD110" s="181">
        <v>2.8602522198202168E-2</v>
      </c>
      <c r="AE110" s="181">
        <v>2.9272593175869364E-2</v>
      </c>
      <c r="AF110" s="181">
        <v>3.0010582699802286E-2</v>
      </c>
      <c r="AG110" s="181">
        <v>3.0692262464830925E-2</v>
      </c>
      <c r="AH110" s="181">
        <v>3.1392836322367376E-2</v>
      </c>
      <c r="AI110" s="181">
        <v>3.2092297254292822E-2</v>
      </c>
      <c r="AJ110" s="181">
        <v>3.2653682249385106E-2</v>
      </c>
      <c r="AK110" s="181">
        <v>3.3369334245839467E-2</v>
      </c>
      <c r="AL110" s="181">
        <v>3.3989692738780629E-2</v>
      </c>
      <c r="AM110" s="181">
        <v>3.4766740869629546E-2</v>
      </c>
      <c r="AN110" s="181">
        <v>3.5407501617107082E-2</v>
      </c>
      <c r="AO110" s="181">
        <v>3.604199772977542E-2</v>
      </c>
      <c r="AP110" s="181">
        <v>3.6699875656887218E-2</v>
      </c>
      <c r="AQ110" s="181">
        <v>3.736266982304122E-2</v>
      </c>
      <c r="AR110" s="182"/>
    </row>
    <row r="111" spans="1:75" ht="14.25" customHeight="1" x14ac:dyDescent="0.3">
      <c r="A111" s="995"/>
      <c r="B111" s="185" t="s">
        <v>384</v>
      </c>
      <c r="C111" s="193">
        <f t="shared" ref="C111:G111" si="66">C94/1000000</f>
        <v>0</v>
      </c>
      <c r="D111" s="193">
        <f t="shared" si="66"/>
        <v>0</v>
      </c>
      <c r="E111" s="193">
        <f t="shared" si="66"/>
        <v>0</v>
      </c>
      <c r="F111" s="193">
        <f t="shared" si="66"/>
        <v>0</v>
      </c>
      <c r="G111" s="193">
        <f t="shared" si="66"/>
        <v>2.6516999999999998E-8</v>
      </c>
      <c r="H111" s="191">
        <v>1.0472114714214914E-2</v>
      </c>
      <c r="I111" s="191">
        <v>6.6956319092416824E-3</v>
      </c>
      <c r="J111" s="191">
        <v>7.3352687453287057E-3</v>
      </c>
      <c r="K111" s="191">
        <v>6.0070091686241995E-3</v>
      </c>
      <c r="L111" s="191">
        <v>5.2425295496718273E-3</v>
      </c>
      <c r="M111" s="191">
        <v>5.4959927723928778E-3</v>
      </c>
      <c r="N111" s="191">
        <v>4.2527158461846491E-3</v>
      </c>
      <c r="O111" s="181">
        <v>4.3675391740316339E-3</v>
      </c>
      <c r="P111" s="181">
        <v>4.5029328884266138E-3</v>
      </c>
      <c r="Q111" s="181">
        <v>4.6380208750794122E-3</v>
      </c>
      <c r="R111" s="181">
        <v>4.7632474387065563E-3</v>
      </c>
      <c r="S111" s="181">
        <v>4.8728021297968068E-3</v>
      </c>
      <c r="T111" s="181">
        <v>5.0279922329957861E-3</v>
      </c>
      <c r="U111" s="181">
        <v>5.171097563558125E-3</v>
      </c>
      <c r="V111" s="181">
        <v>5.2846536875015932E-3</v>
      </c>
      <c r="W111" s="181">
        <v>5.4105363798273168E-3</v>
      </c>
      <c r="X111" s="181">
        <v>5.5819324482020375E-3</v>
      </c>
      <c r="Y111" s="181">
        <v>5.7196310363819627E-3</v>
      </c>
      <c r="Z111" s="181">
        <v>5.8850103492012638E-3</v>
      </c>
      <c r="AA111" s="181">
        <v>6.0242882978984672E-3</v>
      </c>
      <c r="AB111" s="181">
        <v>6.166729964667288E-3</v>
      </c>
      <c r="AC111" s="181">
        <v>6.3242150968825916E-3</v>
      </c>
      <c r="AD111" s="181">
        <v>6.4677194338885798E-3</v>
      </c>
      <c r="AE111" s="181">
        <v>6.619238626997195E-3</v>
      </c>
      <c r="AF111" s="181">
        <v>6.7861158398832373E-3</v>
      </c>
      <c r="AG111" s="181">
        <v>6.9402600595227714E-3</v>
      </c>
      <c r="AH111" s="181">
        <v>7.0986766887229614E-3</v>
      </c>
      <c r="AI111" s="181">
        <v>7.2568416586270617E-3</v>
      </c>
      <c r="AJ111" s="181">
        <v>7.3837843323357466E-3</v>
      </c>
      <c r="AK111" s="181">
        <v>7.545610492046234E-3</v>
      </c>
      <c r="AL111" s="181">
        <v>7.6858884945583883E-3</v>
      </c>
      <c r="AM111" s="181">
        <v>7.8615977995676583E-3</v>
      </c>
      <c r="AN111" s="181">
        <v>8.0064892434136108E-3</v>
      </c>
      <c r="AO111" s="181">
        <v>8.1499641023856529E-3</v>
      </c>
      <c r="AP111" s="181">
        <v>8.2987261529776386E-3</v>
      </c>
      <c r="AQ111" s="181">
        <v>8.4485998836716283E-3</v>
      </c>
      <c r="AR111" s="182"/>
    </row>
    <row r="112" spans="1:75" ht="14.25" customHeight="1" x14ac:dyDescent="0.3">
      <c r="A112" s="995"/>
      <c r="B112" s="185" t="s">
        <v>385</v>
      </c>
      <c r="C112" s="190">
        <f t="shared" ref="C112:G112" si="67">C96/1000000</f>
        <v>1.03211E-7</v>
      </c>
      <c r="D112" s="190">
        <f t="shared" si="67"/>
        <v>1.4308699999999999E-7</v>
      </c>
      <c r="E112" s="190">
        <f t="shared" si="67"/>
        <v>1.0427100000000001E-7</v>
      </c>
      <c r="F112" s="190">
        <f t="shared" si="67"/>
        <v>7.9622999999999998E-8</v>
      </c>
      <c r="G112" s="190">
        <f t="shared" si="67"/>
        <v>7.184E-8</v>
      </c>
      <c r="H112" s="191">
        <v>6.7872000000000002E-2</v>
      </c>
      <c r="I112" s="191">
        <v>6.0317000000000003E-2</v>
      </c>
      <c r="J112" s="191">
        <v>7.0583000000000007E-2</v>
      </c>
      <c r="K112" s="191">
        <v>4.3719000000000001E-2</v>
      </c>
      <c r="L112" s="191">
        <v>5.2714999999999998E-2</v>
      </c>
      <c r="M112" s="191">
        <v>4.4457000000000003E-2</v>
      </c>
      <c r="N112" s="191">
        <v>6.2112000000000001E-2</v>
      </c>
      <c r="O112" s="181">
        <v>6.3789024E-2</v>
      </c>
      <c r="P112" s="181">
        <v>6.5766483744000001E-2</v>
      </c>
      <c r="Q112" s="181">
        <v>6.7739478256319999E-2</v>
      </c>
      <c r="R112" s="181">
        <v>6.9568444169240629E-2</v>
      </c>
      <c r="S112" s="181">
        <v>7.1168518385133162E-2</v>
      </c>
      <c r="T112" s="181">
        <v>7.3435109438599114E-2</v>
      </c>
      <c r="U112" s="181">
        <v>7.5525199304316906E-2</v>
      </c>
      <c r="V112" s="181">
        <v>7.7183715467983124E-2</v>
      </c>
      <c r="W112" s="181">
        <v>7.90222643079556E-2</v>
      </c>
      <c r="X112" s="181">
        <v>8.152554761771201E-2</v>
      </c>
      <c r="Y112" s="181">
        <v>8.3536670631422102E-2</v>
      </c>
      <c r="Z112" s="181">
        <v>8.5952077691136206E-2</v>
      </c>
      <c r="AA112" s="181">
        <v>8.798626766816979E-2</v>
      </c>
      <c r="AB112" s="181">
        <v>9.0066664554851614E-2</v>
      </c>
      <c r="AC112" s="181">
        <v>9.2366775092670092E-2</v>
      </c>
      <c r="AD112" s="181">
        <v>9.4462692549302563E-2</v>
      </c>
      <c r="AE112" s="181">
        <v>9.6675669024278099E-2</v>
      </c>
      <c r="AF112" s="181">
        <v>9.9112953296651235E-2</v>
      </c>
      <c r="AG112" s="181">
        <v>0.10136426895387773</v>
      </c>
      <c r="AH112" s="181">
        <v>0.10367798424282888</v>
      </c>
      <c r="AI112" s="181">
        <v>0.10598802398355059</v>
      </c>
      <c r="AJ112" s="181">
        <v>0.10784205412207198</v>
      </c>
      <c r="AK112" s="181">
        <v>0.11020556647405652</v>
      </c>
      <c r="AL112" s="181">
        <v>0.11225436249221792</v>
      </c>
      <c r="AM112" s="181">
        <v>0.11482064172353008</v>
      </c>
      <c r="AN112" s="181">
        <v>0.11693681822947598</v>
      </c>
      <c r="AO112" s="181">
        <v>0.11903230515190144</v>
      </c>
      <c r="AP112" s="181">
        <v>0.12120501285694574</v>
      </c>
      <c r="AQ112" s="181">
        <v>0.12339395693352134</v>
      </c>
      <c r="AR112" s="182"/>
    </row>
    <row r="113" spans="1:75" ht="14.25" customHeight="1" x14ac:dyDescent="0.3">
      <c r="A113" s="995"/>
      <c r="B113" s="185" t="s">
        <v>386</v>
      </c>
      <c r="C113" s="190">
        <f t="shared" ref="C113:G113" si="68">C97/1000000</f>
        <v>3.4907000000000003E-8</v>
      </c>
      <c r="D113" s="190">
        <f t="shared" si="68"/>
        <v>3.5226000000000001E-8</v>
      </c>
      <c r="E113" s="190">
        <f t="shared" si="68"/>
        <v>2.9336000000000002E-8</v>
      </c>
      <c r="F113" s="190">
        <f t="shared" si="68"/>
        <v>3.4471000000000005E-8</v>
      </c>
      <c r="G113" s="190">
        <f t="shared" si="68"/>
        <v>2.1770000000000002E-8</v>
      </c>
      <c r="H113" s="191">
        <v>2.0313000000000001E-2</v>
      </c>
      <c r="I113" s="191">
        <v>2.3958E-2</v>
      </c>
      <c r="J113" s="191">
        <v>1.6580999999999999E-2</v>
      </c>
      <c r="K113" s="191">
        <v>1.4676E-2</v>
      </c>
      <c r="L113" s="191">
        <v>1.4841999999999999E-2</v>
      </c>
      <c r="M113" s="191">
        <v>2.3120000000000002E-2</v>
      </c>
      <c r="N113" s="191">
        <v>1.8134999999999998E-2</v>
      </c>
      <c r="O113" s="181">
        <v>1.8624644999999995E-2</v>
      </c>
      <c r="P113" s="181">
        <v>1.9202008994999995E-2</v>
      </c>
      <c r="Q113" s="181">
        <v>1.9778069264849995E-2</v>
      </c>
      <c r="R113" s="181">
        <v>2.0312077135000942E-2</v>
      </c>
      <c r="S113" s="181">
        <v>2.0779254909105961E-2</v>
      </c>
      <c r="T113" s="181">
        <v>2.1441037314351406E-2</v>
      </c>
      <c r="U113" s="181">
        <v>2.2051286214963078E-2</v>
      </c>
      <c r="V113" s="181">
        <v>2.2535527434503377E-2</v>
      </c>
      <c r="W113" s="181">
        <v>2.307233325645245E-2</v>
      </c>
      <c r="X113" s="181">
        <v>2.380322330704545E-2</v>
      </c>
      <c r="Y113" s="181">
        <v>2.4390416053272145E-2</v>
      </c>
      <c r="Z113" s="181">
        <v>2.5095648649677272E-2</v>
      </c>
      <c r="AA113" s="181">
        <v>2.5689576316368153E-2</v>
      </c>
      <c r="AB113" s="181">
        <v>2.6296995133021535E-2</v>
      </c>
      <c r="AC113" s="181">
        <v>2.696856430811392E-2</v>
      </c>
      <c r="AD113" s="181">
        <v>2.7580514705396731E-2</v>
      </c>
      <c r="AE113" s="181">
        <v>2.822664312460206E-2</v>
      </c>
      <c r="AF113" s="181">
        <v>2.8938263266917345E-2</v>
      </c>
      <c r="AG113" s="181">
        <v>2.9595585675530861E-2</v>
      </c>
      <c r="AH113" s="181">
        <v>3.0271127064716991E-2</v>
      </c>
      <c r="AI113" s="181">
        <v>3.0945595294656264E-2</v>
      </c>
      <c r="AJ113" s="181">
        <v>3.1486921231062844E-2</v>
      </c>
      <c r="AK113" s="181">
        <v>3.2177001996506555E-2</v>
      </c>
      <c r="AL113" s="181">
        <v>3.2775194226500062E-2</v>
      </c>
      <c r="AM113" s="181">
        <v>3.3524477357937565E-2</v>
      </c>
      <c r="AN113" s="181">
        <v>3.4142342841826809E-2</v>
      </c>
      <c r="AO113" s="181">
        <v>3.475416753493258E-2</v>
      </c>
      <c r="AP113" s="181">
        <v>3.5388538578063997E-2</v>
      </c>
      <c r="AQ113" s="181">
        <v>3.6027650196248866E-2</v>
      </c>
      <c r="AR113" s="182"/>
    </row>
    <row r="114" spans="1:75" ht="14.25" customHeight="1" x14ac:dyDescent="0.3">
      <c r="A114" s="995"/>
      <c r="B114" s="185" t="s">
        <v>387</v>
      </c>
      <c r="C114" s="190">
        <f t="shared" ref="C114:G114" si="69">C98/1000000</f>
        <v>6.1058000000000003E-8</v>
      </c>
      <c r="D114" s="190">
        <f t="shared" si="69"/>
        <v>6.1837E-8</v>
      </c>
      <c r="E114" s="190">
        <f t="shared" si="69"/>
        <v>4.9936999999999999E-8</v>
      </c>
      <c r="F114" s="190">
        <f t="shared" si="69"/>
        <v>6.5528000000000003E-8</v>
      </c>
      <c r="G114" s="190">
        <f t="shared" si="69"/>
        <v>5.1978000000000004E-8</v>
      </c>
      <c r="H114" s="191">
        <v>4.7606999999999997E-2</v>
      </c>
      <c r="I114" s="191">
        <v>4.768E-2</v>
      </c>
      <c r="J114" s="191">
        <v>4.6607000000000003E-2</v>
      </c>
      <c r="K114" s="191">
        <v>3.4855999999999998E-2</v>
      </c>
      <c r="L114" s="191">
        <v>3.3276E-2</v>
      </c>
      <c r="M114" s="191">
        <v>3.9843999999999997E-2</v>
      </c>
      <c r="N114" s="191">
        <v>3.6563999999999999E-2</v>
      </c>
      <c r="O114" s="181">
        <v>3.7551227999999999E-2</v>
      </c>
      <c r="P114" s="181">
        <v>3.8715316067999994E-2</v>
      </c>
      <c r="Q114" s="181">
        <v>3.9876775550039996E-2</v>
      </c>
      <c r="R114" s="181">
        <v>4.0953448489891076E-2</v>
      </c>
      <c r="S114" s="181">
        <v>4.1895377805158569E-2</v>
      </c>
      <c r="T114" s="181">
        <v>4.3229671263410256E-2</v>
      </c>
      <c r="U114" s="181">
        <v>4.4460062264345755E-2</v>
      </c>
      <c r="V114" s="181">
        <v>4.5436395098714187E-2</v>
      </c>
      <c r="W114" s="181">
        <v>4.6518709301843271E-2</v>
      </c>
      <c r="X114" s="181">
        <v>4.7992338406330867E-2</v>
      </c>
      <c r="Y114" s="181">
        <v>4.9176243317995208E-2</v>
      </c>
      <c r="Z114" s="181">
        <v>5.0598141561996143E-2</v>
      </c>
      <c r="AA114" s="181">
        <v>5.1795625499403669E-2</v>
      </c>
      <c r="AB114" s="181">
        <v>5.3020310451822428E-2</v>
      </c>
      <c r="AC114" s="181">
        <v>5.4374336110387521E-2</v>
      </c>
      <c r="AD114" s="181">
        <v>5.5608157688895855E-2</v>
      </c>
      <c r="AE114" s="181">
        <v>5.6910889396633579E-2</v>
      </c>
      <c r="AF114" s="181">
        <v>5.834566628572186E-2</v>
      </c>
      <c r="AG114" s="181">
        <v>5.9670967446380507E-2</v>
      </c>
      <c r="AH114" s="181">
        <v>6.1033001929656036E-2</v>
      </c>
      <c r="AI114" s="181">
        <v>6.2392872696653535E-2</v>
      </c>
      <c r="AJ114" s="181">
        <v>6.3484300407641692E-2</v>
      </c>
      <c r="AK114" s="181">
        <v>6.4875649352096262E-2</v>
      </c>
      <c r="AL114" s="181">
        <v>6.608173155212288E-2</v>
      </c>
      <c r="AM114" s="181">
        <v>6.7592445002240376E-2</v>
      </c>
      <c r="AN114" s="181">
        <v>6.8838192647838747E-2</v>
      </c>
      <c r="AO114" s="181">
        <v>7.0071760780108919E-2</v>
      </c>
      <c r="AP114" s="181">
        <v>7.1350787128113172E-2</v>
      </c>
      <c r="AQ114" s="181">
        <v>7.2639371479219408E-2</v>
      </c>
      <c r="AR114" s="182"/>
    </row>
    <row r="115" spans="1:75" ht="14.25" customHeight="1" x14ac:dyDescent="0.3">
      <c r="A115" s="995"/>
      <c r="B115" s="185" t="s">
        <v>388</v>
      </c>
      <c r="C115" s="190">
        <f t="shared" ref="C115:G115" si="70">C99/1000000</f>
        <v>4.2013E-8</v>
      </c>
      <c r="D115" s="190">
        <f t="shared" si="70"/>
        <v>3.5076999999999997E-8</v>
      </c>
      <c r="E115" s="190">
        <f t="shared" si="70"/>
        <v>2.7265999999999997E-8</v>
      </c>
      <c r="F115" s="190">
        <f t="shared" si="70"/>
        <v>2.4029E-8</v>
      </c>
      <c r="G115" s="190">
        <f t="shared" si="70"/>
        <v>5.2402999999999996E-8</v>
      </c>
      <c r="H115" s="191">
        <v>5.7854999999999997E-2</v>
      </c>
      <c r="I115" s="191">
        <v>6.7426E-2</v>
      </c>
      <c r="J115" s="191">
        <v>6.9489999999999996E-2</v>
      </c>
      <c r="K115" s="191">
        <v>6.8285999999999999E-2</v>
      </c>
      <c r="L115" s="191">
        <v>6.4534999999999995E-2</v>
      </c>
      <c r="M115" s="191">
        <v>6.4074330892798834E-2</v>
      </c>
      <c r="N115" s="191">
        <v>7.0139999999999994E-2</v>
      </c>
      <c r="O115" s="181">
        <v>7.2033779999999992E-2</v>
      </c>
      <c r="P115" s="181">
        <v>7.4266827179999981E-2</v>
      </c>
      <c r="Q115" s="181">
        <v>7.6494831995399984E-2</v>
      </c>
      <c r="R115" s="181">
        <v>7.8560192459275771E-2</v>
      </c>
      <c r="S115" s="181">
        <v>8.0367076885839106E-2</v>
      </c>
      <c r="T115" s="181">
        <v>8.2926625708773502E-2</v>
      </c>
      <c r="U115" s="181">
        <v>8.5286860497243461E-2</v>
      </c>
      <c r="V115" s="181">
        <v>8.7159740515912146E-2</v>
      </c>
      <c r="W115" s="181">
        <v>8.9235922503864057E-2</v>
      </c>
      <c r="X115" s="181">
        <v>9.2062756148672056E-2</v>
      </c>
      <c r="Y115" s="181">
        <v>9.4333817588999627E-2</v>
      </c>
      <c r="Z115" s="181">
        <v>9.7061416944492065E-2</v>
      </c>
      <c r="AA115" s="181">
        <v>9.9358526762065733E-2</v>
      </c>
      <c r="AB115" s="181">
        <v>0.10170781575021397</v>
      </c>
      <c r="AC115" s="181">
        <v>0.10430521646380536</v>
      </c>
      <c r="AD115" s="181">
        <v>0.10667203206156749</v>
      </c>
      <c r="AE115" s="181">
        <v>0.10917103660102498</v>
      </c>
      <c r="AF115" s="181">
        <v>0.11192334080736598</v>
      </c>
      <c r="AG115" s="181">
        <v>0.11446563988319459</v>
      </c>
      <c r="AH115" s="181">
        <v>0.11707840376725939</v>
      </c>
      <c r="AI115" s="181">
        <v>0.11968701703706588</v>
      </c>
      <c r="AJ115" s="181">
        <v>0.12178068128738612</v>
      </c>
      <c r="AK115" s="181">
        <v>0.12444967852412291</v>
      </c>
      <c r="AL115" s="181">
        <v>0.1267632822192839</v>
      </c>
      <c r="AM115" s="181">
        <v>0.12966125403285028</v>
      </c>
      <c r="AN115" s="181">
        <v>0.13205094716987767</v>
      </c>
      <c r="AO115" s="181">
        <v>0.13441727658672017</v>
      </c>
      <c r="AP115" s="181">
        <v>0.13687080760217302</v>
      </c>
      <c r="AQ115" s="181">
        <v>0.1393426735464513</v>
      </c>
      <c r="AR115" s="182"/>
    </row>
    <row r="116" spans="1:75" ht="13.5" customHeight="1" x14ac:dyDescent="0.3">
      <c r="A116" s="995"/>
      <c r="B116" s="185" t="s">
        <v>389</v>
      </c>
      <c r="C116" s="190">
        <f t="shared" ref="C116:G116" si="71">C100/1000000</f>
        <v>2.6640000000000003E-9</v>
      </c>
      <c r="D116" s="190">
        <f t="shared" si="71"/>
        <v>1.583E-9</v>
      </c>
      <c r="E116" s="190">
        <f t="shared" si="71"/>
        <v>3.077E-9</v>
      </c>
      <c r="F116" s="190">
        <f t="shared" si="71"/>
        <v>1.3250000000000001E-9</v>
      </c>
      <c r="G116" s="190">
        <f t="shared" si="71"/>
        <v>9.6699999999999999E-9</v>
      </c>
      <c r="H116" s="191">
        <v>9.9514822792642933E-3</v>
      </c>
      <c r="I116" s="191">
        <v>1.5220368090758319E-2</v>
      </c>
      <c r="J116" s="191">
        <v>2.1834731254671294E-2</v>
      </c>
      <c r="K116" s="191">
        <v>2.2317990831375797E-2</v>
      </c>
      <c r="L116" s="191">
        <v>1.8864470450328172E-2</v>
      </c>
      <c r="M116" s="191">
        <v>1.6995821880195612E-2</v>
      </c>
      <c r="N116" s="191">
        <v>1.3486945735989684E-2</v>
      </c>
      <c r="O116" s="181">
        <v>1.3851093270861405E-2</v>
      </c>
      <c r="P116" s="181">
        <v>1.4280477162258108E-2</v>
      </c>
      <c r="Q116" s="181">
        <v>1.4708891477125851E-2</v>
      </c>
      <c r="R116" s="181">
        <v>1.5106031547008248E-2</v>
      </c>
      <c r="S116" s="181">
        <v>1.5453470272589438E-2</v>
      </c>
      <c r="T116" s="181">
        <v>1.5945635885414252E-2</v>
      </c>
      <c r="U116" s="181">
        <v>1.6399476183621971E-2</v>
      </c>
      <c r="V116" s="181">
        <v>1.6759604942986155E-2</v>
      </c>
      <c r="W116" s="181">
        <v>1.7158825841325855E-2</v>
      </c>
      <c r="X116" s="181">
        <v>1.7702386605115354E-2</v>
      </c>
      <c r="Y116" s="181">
        <v>1.8139080109660498E-2</v>
      </c>
      <c r="Z116" s="181">
        <v>1.8663559500835963E-2</v>
      </c>
      <c r="AA116" s="181">
        <v>1.9105261745763609E-2</v>
      </c>
      <c r="AB116" s="181">
        <v>1.9556997318921767E-2</v>
      </c>
      <c r="AC116" s="181">
        <v>2.0056441323467362E-2</v>
      </c>
      <c r="AD116" s="181">
        <v>2.0511547019705055E-2</v>
      </c>
      <c r="AE116" s="181">
        <v>2.0992070809520497E-2</v>
      </c>
      <c r="AF116" s="181">
        <v>2.1521300599652477E-2</v>
      </c>
      <c r="AG116" s="181">
        <v>2.2010149326204476E-2</v>
      </c>
      <c r="AH116" s="181">
        <v>2.2512547454595348E-2</v>
      </c>
      <c r="AI116" s="181">
        <v>2.3014147477635877E-2</v>
      </c>
      <c r="AJ116" s="181">
        <v>2.3416729971697046E-2</v>
      </c>
      <c r="AK116" s="181">
        <v>2.3929940991106447E-2</v>
      </c>
      <c r="AL116" s="181">
        <v>2.4374814779119302E-2</v>
      </c>
      <c r="AM116" s="181">
        <v>2.4932054422603725E-2</v>
      </c>
      <c r="AN116" s="181">
        <v>2.5391559151214438E-2</v>
      </c>
      <c r="AO116" s="181">
        <v>2.5846571361628337E-2</v>
      </c>
      <c r="AP116" s="181">
        <v>2.631835122571417E-2</v>
      </c>
      <c r="AQ116" s="181">
        <v>2.6793656641413088E-2</v>
      </c>
      <c r="AR116" s="182"/>
    </row>
    <row r="117" spans="1:75" ht="13.5" customHeight="1" x14ac:dyDescent="0.3">
      <c r="A117" s="995"/>
      <c r="B117" s="185" t="s">
        <v>390</v>
      </c>
      <c r="C117" s="190">
        <f>5411/1000000</f>
        <v>5.411E-3</v>
      </c>
      <c r="D117" s="190">
        <f>5823/1000000</f>
        <v>5.8230000000000001E-3</v>
      </c>
      <c r="E117" s="190">
        <f>6293/1000000</f>
        <v>6.293E-3</v>
      </c>
      <c r="F117" s="190">
        <f>9202/1000000</f>
        <v>9.2020000000000001E-3</v>
      </c>
      <c r="G117" s="190">
        <v>6.731E-3</v>
      </c>
      <c r="H117" s="191">
        <v>7.6280000000000002E-3</v>
      </c>
      <c r="I117" s="191">
        <v>8.352E-3</v>
      </c>
      <c r="J117" s="191">
        <v>8.848E-3</v>
      </c>
      <c r="K117" s="191">
        <v>6.96E-3</v>
      </c>
      <c r="L117" s="191">
        <v>8.6180000000000007E-3</v>
      </c>
      <c r="M117" s="191">
        <v>4.9300000000000004E-3</v>
      </c>
      <c r="N117" s="191">
        <v>6.9629999999999996E-3</v>
      </c>
      <c r="O117" s="181">
        <v>7.1510009999999988E-3</v>
      </c>
      <c r="P117" s="181">
        <v>7.3726820309999979E-3</v>
      </c>
      <c r="Q117" s="181">
        <v>7.5938624919299983E-3</v>
      </c>
      <c r="R117" s="181">
        <v>7.7988967792121076E-3</v>
      </c>
      <c r="S117" s="181">
        <v>7.9782714051339857E-3</v>
      </c>
      <c r="T117" s="181">
        <v>8.232365195468919E-3</v>
      </c>
      <c r="U117" s="181">
        <v>8.4666725070189092E-3</v>
      </c>
      <c r="V117" s="181">
        <v>8.6525987056215604E-3</v>
      </c>
      <c r="W117" s="181">
        <v>8.8587072767950595E-3</v>
      </c>
      <c r="X117" s="181">
        <v>9.1393352019276241E-3</v>
      </c>
      <c r="Y117" s="181">
        <v>9.3647900181380722E-3</v>
      </c>
      <c r="Z117" s="181">
        <v>9.6355666692970951E-3</v>
      </c>
      <c r="AA117" s="181">
        <v>9.8636073830091781E-3</v>
      </c>
      <c r="AB117" s="181">
        <v>1.0096828073406613E-2</v>
      </c>
      <c r="AC117" s="181">
        <v>1.0354679530046717E-2</v>
      </c>
      <c r="AD117" s="181">
        <v>1.0589640137506337E-2</v>
      </c>
      <c r="AE117" s="181">
        <v>1.0837723522283106E-2</v>
      </c>
      <c r="AF117" s="181">
        <v>1.1110952695205152E-2</v>
      </c>
      <c r="AG117" s="181">
        <v>1.1363334053417223E-2</v>
      </c>
      <c r="AH117" s="181">
        <v>1.162271065627926E-2</v>
      </c>
      <c r="AI117" s="181">
        <v>1.1881675215698459E-2</v>
      </c>
      <c r="AJ117" s="181">
        <v>1.2089519301455227E-2</v>
      </c>
      <c r="AK117" s="181">
        <v>1.2354478351346848E-2</v>
      </c>
      <c r="AL117" s="181">
        <v>1.258415645983567E-2</v>
      </c>
      <c r="AM117" s="181">
        <v>1.2871846476058407E-2</v>
      </c>
      <c r="AN117" s="181">
        <v>1.3109078202792392E-2</v>
      </c>
      <c r="AO117" s="181">
        <v>1.3343990545670556E-2</v>
      </c>
      <c r="AP117" s="181">
        <v>1.3587559642628044E-2</v>
      </c>
      <c r="AQ117" s="181">
        <v>1.3832948900826071E-2</v>
      </c>
      <c r="AR117" s="182"/>
    </row>
    <row r="118" spans="1:75" ht="13.5" customHeight="1" x14ac:dyDescent="0.3">
      <c r="A118" s="324"/>
      <c r="B118" s="179" t="s">
        <v>391</v>
      </c>
      <c r="C118" s="195">
        <f t="shared" ref="C118:AQ118" si="72">SUM(C104:C117)</f>
        <v>5.4128183669999996E-3</v>
      </c>
      <c r="D118" s="195">
        <f t="shared" si="72"/>
        <v>5.8249488360000001E-3</v>
      </c>
      <c r="E118" s="195">
        <f t="shared" si="72"/>
        <v>6.294765842E-3</v>
      </c>
      <c r="F118" s="195">
        <f t="shared" si="72"/>
        <v>9.2037960700000008E-3</v>
      </c>
      <c r="G118" s="195">
        <f t="shared" si="72"/>
        <v>6.7327858599999998E-3</v>
      </c>
      <c r="H118" s="196">
        <f t="shared" si="72"/>
        <v>1.9378675969934793</v>
      </c>
      <c r="I118" s="196">
        <f t="shared" si="72"/>
        <v>1.762141</v>
      </c>
      <c r="J118" s="196">
        <f t="shared" si="72"/>
        <v>1.8634030000000001</v>
      </c>
      <c r="K118" s="196">
        <f t="shared" si="72"/>
        <v>1.7906899999999999</v>
      </c>
      <c r="L118" s="196">
        <f t="shared" si="72"/>
        <v>1.8328380000000004</v>
      </c>
      <c r="M118" s="196">
        <f t="shared" si="72"/>
        <v>1.8182911455453874</v>
      </c>
      <c r="N118" s="196">
        <f t="shared" si="72"/>
        <v>1.8217366615821744</v>
      </c>
      <c r="O118" s="180">
        <f t="shared" si="72"/>
        <v>1.8709235514448932</v>
      </c>
      <c r="P118" s="180">
        <f t="shared" si="72"/>
        <v>1.9289221815396846</v>
      </c>
      <c r="Q118" s="180">
        <f t="shared" si="72"/>
        <v>1.9867898469858749</v>
      </c>
      <c r="R118" s="180">
        <f t="shared" si="72"/>
        <v>2.0404331728544935</v>
      </c>
      <c r="S118" s="180">
        <f t="shared" si="72"/>
        <v>2.0873631358301461</v>
      </c>
      <c r="T118" s="180">
        <f t="shared" si="72"/>
        <v>2.1538419486024467</v>
      </c>
      <c r="U118" s="180">
        <f t="shared" si="72"/>
        <v>2.2151440051193751</v>
      </c>
      <c r="V118" s="180">
        <f t="shared" si="72"/>
        <v>2.2637880626151472</v>
      </c>
      <c r="W118" s="180">
        <f t="shared" si="72"/>
        <v>2.3177124544538774</v>
      </c>
      <c r="X118" s="180">
        <f t="shared" si="72"/>
        <v>2.3911334194801208</v>
      </c>
      <c r="Y118" s="180">
        <f t="shared" si="72"/>
        <v>2.4501193887779587</v>
      </c>
      <c r="Z118" s="180">
        <f t="shared" si="72"/>
        <v>2.5209629551310879</v>
      </c>
      <c r="AA118" s="180">
        <f t="shared" si="72"/>
        <v>2.5806254753813636</v>
      </c>
      <c r="AB118" s="180">
        <f t="shared" si="72"/>
        <v>2.641643238118188</v>
      </c>
      <c r="AC118" s="180">
        <f t="shared" si="72"/>
        <v>2.7091051728882074</v>
      </c>
      <c r="AD118" s="180">
        <f t="shared" si="72"/>
        <v>2.7705781518680732</v>
      </c>
      <c r="AE118" s="180">
        <f t="shared" si="72"/>
        <v>2.8354844562163759</v>
      </c>
      <c r="AF118" s="180">
        <f t="shared" si="72"/>
        <v>2.9069696782939105</v>
      </c>
      <c r="AG118" s="180">
        <f t="shared" si="72"/>
        <v>2.9730004657353621</v>
      </c>
      <c r="AH118" s="180">
        <f t="shared" si="72"/>
        <v>3.0408614260384517</v>
      </c>
      <c r="AI118" s="180">
        <f t="shared" si="72"/>
        <v>3.1086145830030398</v>
      </c>
      <c r="AJ118" s="180">
        <f t="shared" si="72"/>
        <v>3.1629930392598462</v>
      </c>
      <c r="AK118" s="180">
        <f t="shared" si="72"/>
        <v>3.2323145407686127</v>
      </c>
      <c r="AL118" s="180">
        <f t="shared" si="72"/>
        <v>3.2924054542537395</v>
      </c>
      <c r="AM118" s="180">
        <f t="shared" si="72"/>
        <v>3.3676740812427002</v>
      </c>
      <c r="AN118" s="180">
        <f t="shared" si="72"/>
        <v>3.4297412554322366</v>
      </c>
      <c r="AO118" s="180">
        <f t="shared" si="72"/>
        <v>3.4912016069013316</v>
      </c>
      <c r="AP118" s="180">
        <f t="shared" si="72"/>
        <v>3.5549268336076252</v>
      </c>
      <c r="AQ118" s="180">
        <f t="shared" si="72"/>
        <v>3.619128270921685</v>
      </c>
      <c r="AR118" s="197"/>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row>
    <row r="119" spans="1:75" ht="13.5" customHeight="1" x14ac:dyDescent="0.3">
      <c r="A119" s="324"/>
      <c r="B119" s="179"/>
      <c r="C119" s="195"/>
      <c r="D119" s="195"/>
      <c r="E119" s="195"/>
      <c r="F119" s="195"/>
      <c r="G119" s="195"/>
      <c r="H119" s="196"/>
      <c r="I119" s="196"/>
      <c r="J119" s="196"/>
      <c r="K119" s="196"/>
      <c r="L119" s="196"/>
      <c r="M119" s="196"/>
      <c r="N119" s="196"/>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97"/>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row>
    <row r="120" spans="1:75" ht="14.25" customHeight="1" x14ac:dyDescent="0.3">
      <c r="A120" s="1206" t="s">
        <v>822</v>
      </c>
      <c r="B120" s="185" t="s">
        <v>820</v>
      </c>
      <c r="C120" s="190">
        <f t="shared" ref="C120:G120" si="73">C102/1000000</f>
        <v>1.8237780000000003E-6</v>
      </c>
      <c r="D120" s="190">
        <f t="shared" si="73"/>
        <v>1.9546589999999996E-6</v>
      </c>
      <c r="E120" s="190">
        <f t="shared" si="73"/>
        <v>1.7721350000000001E-6</v>
      </c>
      <c r="F120" s="190">
        <f t="shared" si="73"/>
        <v>1.805272E-6</v>
      </c>
      <c r="G120" s="190">
        <f t="shared" si="73"/>
        <v>1.792591E-6</v>
      </c>
      <c r="H120" s="191">
        <v>0.29130600000000001</v>
      </c>
      <c r="I120" s="191">
        <v>0.27524799999999999</v>
      </c>
      <c r="J120" s="191">
        <v>0.25752000000000003</v>
      </c>
      <c r="K120" s="191">
        <v>0.26218599999999997</v>
      </c>
      <c r="L120" s="191">
        <v>0.31916</v>
      </c>
      <c r="M120" s="191">
        <v>0.28852499999999998</v>
      </c>
      <c r="N120" s="191">
        <v>0.27612999999999999</v>
      </c>
      <c r="O120" s="181">
        <v>0.27984208688535478</v>
      </c>
      <c r="P120" s="181">
        <v>0.28352251832699138</v>
      </c>
      <c r="Q120" s="181">
        <v>0.2871691009993253</v>
      </c>
      <c r="R120" s="181">
        <v>0.29078115046033032</v>
      </c>
      <c r="S120" s="181">
        <v>0.29435462227985071</v>
      </c>
      <c r="T120" s="181">
        <v>0.29788816312933436</v>
      </c>
      <c r="U120" s="181">
        <v>0.30137923746218376</v>
      </c>
      <c r="V120" s="181">
        <v>0.30482734750237978</v>
      </c>
      <c r="W120" s="181">
        <v>0.30822861993027328</v>
      </c>
      <c r="X120" s="181">
        <v>0.31158123475229427</v>
      </c>
      <c r="Y120" s="181">
        <v>0.3148828430878523</v>
      </c>
      <c r="Z120" s="181">
        <v>0.31813072272434267</v>
      </c>
      <c r="AA120" s="181">
        <v>0.32132353588871393</v>
      </c>
      <c r="AB120" s="181">
        <v>0.32445894925587621</v>
      </c>
      <c r="AC120" s="181">
        <v>0.32753559394177684</v>
      </c>
      <c r="AD120" s="181">
        <v>0.3305508410668147</v>
      </c>
      <c r="AE120" s="181">
        <v>0.33350364841244967</v>
      </c>
      <c r="AF120" s="181">
        <v>0.33639207154110684</v>
      </c>
      <c r="AG120" s="181">
        <v>0.33921475712423416</v>
      </c>
      <c r="AH120" s="181">
        <v>0.34197134738531787</v>
      </c>
      <c r="AI120" s="181">
        <v>0.3446608934388215</v>
      </c>
      <c r="AJ120" s="181">
        <v>0.34728173084618097</v>
      </c>
      <c r="AK120" s="181">
        <v>0.34983351738638307</v>
      </c>
      <c r="AL120" s="181">
        <v>0.35231458862086384</v>
      </c>
      <c r="AM120" s="181">
        <v>0.35472452455110709</v>
      </c>
      <c r="AN120" s="181">
        <v>0.35706371406462772</v>
      </c>
      <c r="AO120" s="181">
        <v>0.35933015050184852</v>
      </c>
      <c r="AP120" s="181">
        <v>0.36152444052729288</v>
      </c>
      <c r="AQ120" s="181">
        <v>0.36364734636049012</v>
      </c>
      <c r="AR120" s="182"/>
    </row>
    <row r="121" spans="1:75" ht="14.25" customHeight="1" x14ac:dyDescent="0.3">
      <c r="A121" s="995"/>
      <c r="B121" s="185" t="s">
        <v>378</v>
      </c>
      <c r="C121" s="190">
        <f t="shared" ref="C121:G121" si="74">C103/1000000</f>
        <v>0</v>
      </c>
      <c r="D121" s="190">
        <f t="shared" si="74"/>
        <v>0</v>
      </c>
      <c r="E121" s="190">
        <f t="shared" si="74"/>
        <v>0</v>
      </c>
      <c r="F121" s="190">
        <f t="shared" si="74"/>
        <v>0</v>
      </c>
      <c r="G121" s="190">
        <f t="shared" si="74"/>
        <v>0</v>
      </c>
      <c r="H121" s="191">
        <v>0.43209399999999998</v>
      </c>
      <c r="I121" s="191">
        <v>0.45425700000000002</v>
      </c>
      <c r="J121" s="191">
        <v>0.46732699999999999</v>
      </c>
      <c r="K121" s="191">
        <v>0.50195000000000001</v>
      </c>
      <c r="L121" s="191">
        <v>0.52543499999999999</v>
      </c>
      <c r="M121" s="191">
        <v>0.52734700000000001</v>
      </c>
      <c r="N121" s="191">
        <v>0.543547</v>
      </c>
      <c r="O121" s="181">
        <v>0.55085404266205751</v>
      </c>
      <c r="P121" s="181">
        <v>0.55809877329185953</v>
      </c>
      <c r="Q121" s="181">
        <v>0.56527687444638497</v>
      </c>
      <c r="R121" s="181">
        <v>0.5723869988384499</v>
      </c>
      <c r="S121" s="181">
        <v>0.57942118522560393</v>
      </c>
      <c r="T121" s="181">
        <v>0.5863767696536426</v>
      </c>
      <c r="U121" s="181">
        <v>0.5932487610359527</v>
      </c>
      <c r="V121" s="181">
        <v>0.6000361795273097</v>
      </c>
      <c r="W121" s="181">
        <v>0.60673140070705922</v>
      </c>
      <c r="X121" s="181">
        <v>0.61333084201609855</v>
      </c>
      <c r="Y121" s="181">
        <v>0.61982987980977389</v>
      </c>
      <c r="Z121" s="181">
        <v>0.6262231555595128</v>
      </c>
      <c r="AA121" s="181">
        <v>0.63250803593127425</v>
      </c>
      <c r="AB121" s="181">
        <v>0.63867992790056749</v>
      </c>
      <c r="AC121" s="181">
        <v>0.64473613689302478</v>
      </c>
      <c r="AD121" s="181">
        <v>0.65067148810105335</v>
      </c>
      <c r="AE121" s="181">
        <v>0.65648392997371419</v>
      </c>
      <c r="AF121" s="181">
        <v>0.66216963499059833</v>
      </c>
      <c r="AG121" s="181">
        <v>0.66772593919750134</v>
      </c>
      <c r="AH121" s="181">
        <v>0.67315213833066789</v>
      </c>
      <c r="AI121" s="181">
        <v>0.67844636456013852</v>
      </c>
      <c r="AJ121" s="181">
        <v>0.68360534152844332</v>
      </c>
      <c r="AK121" s="181">
        <v>0.68862839559199041</v>
      </c>
      <c r="AL121" s="181">
        <v>0.69351225039330977</v>
      </c>
      <c r="AM121" s="181">
        <v>0.69825607918799315</v>
      </c>
      <c r="AN121" s="181">
        <v>0.70286064748012222</v>
      </c>
      <c r="AO121" s="181">
        <v>0.70732200526863509</v>
      </c>
      <c r="AP121" s="181">
        <v>0.71164134673989932</v>
      </c>
      <c r="AQ121" s="181">
        <v>0.7158201722819153</v>
      </c>
      <c r="AR121" s="182"/>
    </row>
    <row r="122" spans="1:75" ht="14.25" customHeight="1" x14ac:dyDescent="0.3">
      <c r="A122" s="995"/>
      <c r="B122" s="185" t="s">
        <v>379</v>
      </c>
      <c r="C122" s="190">
        <f t="shared" ref="C122:G122" si="75">C104/1000000</f>
        <v>0</v>
      </c>
      <c r="D122" s="190">
        <f t="shared" si="75"/>
        <v>0</v>
      </c>
      <c r="E122" s="190">
        <f t="shared" si="75"/>
        <v>0</v>
      </c>
      <c r="F122" s="190">
        <f t="shared" si="75"/>
        <v>0</v>
      </c>
      <c r="G122" s="190">
        <f t="shared" si="75"/>
        <v>0</v>
      </c>
      <c r="H122" s="191">
        <v>4.4026999999999997E-2</v>
      </c>
      <c r="I122" s="191">
        <v>2.9871999999999999E-2</v>
      </c>
      <c r="J122" s="191">
        <v>3.7260000000000001E-2</v>
      </c>
      <c r="K122" s="191">
        <v>3.1924000000000001E-2</v>
      </c>
      <c r="L122" s="191">
        <v>3.6047000000000003E-2</v>
      </c>
      <c r="M122" s="191">
        <v>2.6908999999999999E-2</v>
      </c>
      <c r="N122" s="191">
        <v>2.9481E-2</v>
      </c>
      <c r="O122" s="181">
        <v>2.9877320694843532E-2</v>
      </c>
      <c r="P122" s="181">
        <v>3.0270261698468231E-2</v>
      </c>
      <c r="Q122" s="181">
        <v>3.0659588840622566E-2</v>
      </c>
      <c r="R122" s="181">
        <v>3.1045229046901813E-2</v>
      </c>
      <c r="S122" s="181">
        <v>3.1426750514005279E-2</v>
      </c>
      <c r="T122" s="181">
        <v>3.1804008753905426E-2</v>
      </c>
      <c r="U122" s="181">
        <v>3.2176733059148366E-2</v>
      </c>
      <c r="V122" s="181">
        <v>3.2544870284712479E-2</v>
      </c>
      <c r="W122" s="181">
        <v>3.2908006895898255E-2</v>
      </c>
      <c r="X122" s="181">
        <v>3.3265948581220388E-2</v>
      </c>
      <c r="Y122" s="181">
        <v>3.3618444562608089E-2</v>
      </c>
      <c r="Z122" s="181">
        <v>3.3965204203224367E-2</v>
      </c>
      <c r="AA122" s="181">
        <v>3.4306084675823606E-2</v>
      </c>
      <c r="AB122" s="181">
        <v>3.4640836863116954E-2</v>
      </c>
      <c r="AC122" s="181">
        <v>3.496931461629494E-2</v>
      </c>
      <c r="AD122" s="181">
        <v>3.5291237263212122E-2</v>
      </c>
      <c r="AE122" s="181">
        <v>3.5606493531479474E-2</v>
      </c>
      <c r="AF122" s="181">
        <v>3.5914875823356278E-2</v>
      </c>
      <c r="AG122" s="181">
        <v>3.6216239650815003E-2</v>
      </c>
      <c r="AH122" s="181">
        <v>3.6510546815871354E-2</v>
      </c>
      <c r="AI122" s="181">
        <v>3.6797696010827864E-2</v>
      </c>
      <c r="AJ122" s="181">
        <v>3.7077509532018479E-2</v>
      </c>
      <c r="AK122" s="181">
        <v>3.7349950842240832E-2</v>
      </c>
      <c r="AL122" s="181">
        <v>3.7614842237828877E-2</v>
      </c>
      <c r="AM122" s="181">
        <v>3.7872138877670623E-2</v>
      </c>
      <c r="AN122" s="181">
        <v>3.8121882281314204E-2</v>
      </c>
      <c r="AO122" s="181">
        <v>3.8363858207891198E-2</v>
      </c>
      <c r="AP122" s="181">
        <v>3.8598131427896719E-2</v>
      </c>
      <c r="AQ122" s="181">
        <v>3.8824783319645124E-2</v>
      </c>
      <c r="AR122" s="182"/>
    </row>
    <row r="123" spans="1:75" ht="14.25" customHeight="1" x14ac:dyDescent="0.3">
      <c r="A123" s="995"/>
      <c r="B123" s="185" t="s">
        <v>380</v>
      </c>
      <c r="C123" s="190">
        <f t="shared" ref="C123:G123" si="76">C105/1000000</f>
        <v>3.2878200000000003E-13</v>
      </c>
      <c r="D123" s="190">
        <f t="shared" si="76"/>
        <v>3.0732199999999999E-13</v>
      </c>
      <c r="E123" s="190">
        <f t="shared" si="76"/>
        <v>3.0267200000000001E-13</v>
      </c>
      <c r="F123" s="190">
        <f t="shared" si="76"/>
        <v>3.1048199999999995E-13</v>
      </c>
      <c r="G123" s="190">
        <f t="shared" si="76"/>
        <v>2.8896300000000003E-13</v>
      </c>
      <c r="H123" s="191">
        <v>0.102616</v>
      </c>
      <c r="I123" s="191">
        <v>0.104661</v>
      </c>
      <c r="J123" s="191">
        <v>0.127081</v>
      </c>
      <c r="K123" s="191">
        <v>0.11532100000000001</v>
      </c>
      <c r="L123" s="191">
        <v>0.13733699999999999</v>
      </c>
      <c r="M123" s="191">
        <v>0.15320700000000001</v>
      </c>
      <c r="N123" s="191">
        <v>0.15018899999999999</v>
      </c>
      <c r="O123" s="181">
        <v>0.15220802950503223</v>
      </c>
      <c r="P123" s="181">
        <v>0.1542098413972133</v>
      </c>
      <c r="Q123" s="181">
        <v>0.15619324271172155</v>
      </c>
      <c r="R123" s="181">
        <v>0.15815786117584671</v>
      </c>
      <c r="S123" s="181">
        <v>0.16010149699630064</v>
      </c>
      <c r="T123" s="181">
        <v>0.16202341408840618</v>
      </c>
      <c r="U123" s="181">
        <v>0.16392223335098655</v>
      </c>
      <c r="V123" s="181">
        <v>0.16579768404025247</v>
      </c>
      <c r="W123" s="181">
        <v>0.16764765943109336</v>
      </c>
      <c r="X123" s="181">
        <v>0.16947116961652958</v>
      </c>
      <c r="Y123" s="181">
        <v>0.17126693702430534</v>
      </c>
      <c r="Z123" s="181">
        <v>0.17303348102432289</v>
      </c>
      <c r="AA123" s="181">
        <v>0.17477007399264852</v>
      </c>
      <c r="AB123" s="181">
        <v>0.17647544681776978</v>
      </c>
      <c r="AC123" s="181">
        <v>0.17814885495426611</v>
      </c>
      <c r="AD123" s="181">
        <v>0.17978886853650022</v>
      </c>
      <c r="AE123" s="181">
        <v>0.18139492069466329</v>
      </c>
      <c r="AF123" s="181">
        <v>0.18296595383582828</v>
      </c>
      <c r="AG123" s="181">
        <v>0.18450123187531806</v>
      </c>
      <c r="AH123" s="181">
        <v>0.18600056021603403</v>
      </c>
      <c r="AI123" s="181">
        <v>0.18746342275262787</v>
      </c>
      <c r="AJ123" s="181">
        <v>0.18888891418555406</v>
      </c>
      <c r="AK123" s="181">
        <v>0.19027684837845746</v>
      </c>
      <c r="AL123" s="181">
        <v>0.19162632003179259</v>
      </c>
      <c r="AM123" s="181">
        <v>0.19293710070548722</v>
      </c>
      <c r="AN123" s="181">
        <v>0.19420940191812675</v>
      </c>
      <c r="AO123" s="181">
        <v>0.19544213223381049</v>
      </c>
      <c r="AP123" s="181">
        <v>0.19663562162153173</v>
      </c>
      <c r="AQ123" s="181">
        <v>0.19779028465771781</v>
      </c>
      <c r="AR123" s="182"/>
    </row>
    <row r="124" spans="1:75" ht="14.25" customHeight="1" x14ac:dyDescent="0.3">
      <c r="A124" s="995"/>
      <c r="B124" s="185" t="s">
        <v>381</v>
      </c>
      <c r="C124" s="190">
        <f t="shared" ref="C124:G124" si="77">C106/1000000</f>
        <v>3.6002499999999997E-13</v>
      </c>
      <c r="D124" s="190">
        <f t="shared" si="77"/>
        <v>3.9946700000000005E-13</v>
      </c>
      <c r="E124" s="190">
        <f t="shared" si="77"/>
        <v>3.9017600000000002E-13</v>
      </c>
      <c r="F124" s="190">
        <f t="shared" si="77"/>
        <v>4.0243399999999997E-13</v>
      </c>
      <c r="G124" s="190">
        <f t="shared" si="77"/>
        <v>3.72637E-13</v>
      </c>
      <c r="H124" s="191">
        <v>0.53329000000000004</v>
      </c>
      <c r="I124" s="191">
        <v>0.37833499999999998</v>
      </c>
      <c r="J124" s="191">
        <v>0.44462299999999999</v>
      </c>
      <c r="K124" s="191">
        <v>0.43539099999999997</v>
      </c>
      <c r="L124" s="191">
        <v>0.38883800000000002</v>
      </c>
      <c r="M124" s="191">
        <v>0.41523500000000002</v>
      </c>
      <c r="N124" s="191">
        <v>0.43940000000000001</v>
      </c>
      <c r="O124" s="181">
        <v>0.44530696765083438</v>
      </c>
      <c r="P124" s="181">
        <v>0.45116356264397212</v>
      </c>
      <c r="Q124" s="181">
        <v>0.45696629478544004</v>
      </c>
      <c r="R124" s="181">
        <v>0.46271407493669342</v>
      </c>
      <c r="S124" s="181">
        <v>0.46840046727905843</v>
      </c>
      <c r="T124" s="181">
        <v>0.47402331828859429</v>
      </c>
      <c r="U124" s="181">
        <v>0.47957859320205543</v>
      </c>
      <c r="V124" s="181">
        <v>0.48506549991868209</v>
      </c>
      <c r="W124" s="181">
        <v>0.49047787490443662</v>
      </c>
      <c r="X124" s="181">
        <v>0.49581282204091587</v>
      </c>
      <c r="Y124" s="181">
        <v>0.5010666036026592</v>
      </c>
      <c r="Z124" s="181">
        <v>0.50623488778863635</v>
      </c>
      <c r="AA124" s="181">
        <v>0.51131554582805516</v>
      </c>
      <c r="AB124" s="181">
        <v>0.51630486474860382</v>
      </c>
      <c r="AC124" s="181">
        <v>0.52120066627319273</v>
      </c>
      <c r="AD124" s="181">
        <v>0.52599876711968396</v>
      </c>
      <c r="AE124" s="181">
        <v>0.53069750882711164</v>
      </c>
      <c r="AF124" s="181">
        <v>0.53529379725188242</v>
      </c>
      <c r="AG124" s="181">
        <v>0.53978547887005557</v>
      </c>
      <c r="AH124" s="181">
        <v>0.54417198435920988</v>
      </c>
      <c r="AI124" s="181">
        <v>0.54845180377727198</v>
      </c>
      <c r="AJ124" s="181">
        <v>0.55262228853732609</v>
      </c>
      <c r="AK124" s="181">
        <v>0.55668289407009985</v>
      </c>
      <c r="AL124" s="181">
        <v>0.56063097178867749</v>
      </c>
      <c r="AM124" s="181">
        <v>0.56446585335804289</v>
      </c>
      <c r="AN124" s="181">
        <v>0.56818815760691477</v>
      </c>
      <c r="AO124" s="181">
        <v>0.57179469137910477</v>
      </c>
      <c r="AP124" s="181">
        <v>0.57528642004741404</v>
      </c>
      <c r="AQ124" s="181">
        <v>0.57866455651613125</v>
      </c>
      <c r="AR124" s="182"/>
    </row>
    <row r="125" spans="1:75" ht="14.25" customHeight="1" x14ac:dyDescent="0.3">
      <c r="A125" s="995"/>
      <c r="B125" s="185" t="s">
        <v>382</v>
      </c>
      <c r="C125" s="190">
        <f t="shared" ref="C125:G125" si="78">C107/1000000</f>
        <v>1.4493100000000002E-13</v>
      </c>
      <c r="D125" s="190">
        <f t="shared" si="78"/>
        <v>9.8347000000000002E-14</v>
      </c>
      <c r="E125" s="190">
        <f t="shared" si="78"/>
        <v>7.8710000000000012E-14</v>
      </c>
      <c r="F125" s="190">
        <f t="shared" si="78"/>
        <v>6.1626999999999996E-14</v>
      </c>
      <c r="G125" s="190">
        <f t="shared" si="78"/>
        <v>3.5483E-14</v>
      </c>
      <c r="H125" s="191">
        <v>0.29034300000000002</v>
      </c>
      <c r="I125" s="191">
        <v>0.26383899999999999</v>
      </c>
      <c r="J125" s="191">
        <v>0.26029200000000002</v>
      </c>
      <c r="K125" s="191">
        <v>0.22396199999999999</v>
      </c>
      <c r="L125" s="191">
        <v>0.200908</v>
      </c>
      <c r="M125" s="191">
        <v>0.188469</v>
      </c>
      <c r="N125" s="191">
        <v>0.152529</v>
      </c>
      <c r="O125" s="181">
        <v>0.15457948672920827</v>
      </c>
      <c r="P125" s="181">
        <v>0.15661248758880841</v>
      </c>
      <c r="Q125" s="181">
        <v>0.15862679102714697</v>
      </c>
      <c r="R125" s="181">
        <v>0.16062201897136755</v>
      </c>
      <c r="S125" s="181">
        <v>0.16259593735459146</v>
      </c>
      <c r="T125" s="181">
        <v>0.16454779862367086</v>
      </c>
      <c r="U125" s="181">
        <v>0.16647620219052409</v>
      </c>
      <c r="V125" s="181">
        <v>0.16838087309307381</v>
      </c>
      <c r="W125" s="181">
        <v>0.17025967178265541</v>
      </c>
      <c r="X125" s="181">
        <v>0.1721115929291735</v>
      </c>
      <c r="Y125" s="181">
        <v>0.17393533905532541</v>
      </c>
      <c r="Z125" s="181">
        <v>0.17572940646225055</v>
      </c>
      <c r="AA125" s="181">
        <v>0.17749305618936598</v>
      </c>
      <c r="AB125" s="181">
        <v>0.17922499935193395</v>
      </c>
      <c r="AC125" s="181">
        <v>0.1809244798042417</v>
      </c>
      <c r="AD125" s="181">
        <v>0.18259004540281809</v>
      </c>
      <c r="AE125" s="181">
        <v>0.1842211204458136</v>
      </c>
      <c r="AF125" s="181">
        <v>0.18581663086261346</v>
      </c>
      <c r="AG125" s="181">
        <v>0.18737582910006984</v>
      </c>
      <c r="AH125" s="181">
        <v>0.1888985175291896</v>
      </c>
      <c r="AI125" s="181">
        <v>0.19038417200351276</v>
      </c>
      <c r="AJ125" s="181">
        <v>0.19183187311859309</v>
      </c>
      <c r="AK125" s="181">
        <v>0.19324143183800238</v>
      </c>
      <c r="AL125" s="181">
        <v>0.19461192875729444</v>
      </c>
      <c r="AM125" s="181">
        <v>0.19594313187721649</v>
      </c>
      <c r="AN125" s="181">
        <v>0.19723525601189143</v>
      </c>
      <c r="AO125" s="181">
        <v>0.19848719272044482</v>
      </c>
      <c r="AP125" s="181">
        <v>0.19969927711290852</v>
      </c>
      <c r="AQ125" s="181">
        <v>0.2008719302249635</v>
      </c>
      <c r="AR125" s="182"/>
    </row>
    <row r="126" spans="1:75" ht="14.25" customHeight="1" x14ac:dyDescent="0.3">
      <c r="A126" s="995"/>
      <c r="B126" s="185" t="s">
        <v>383</v>
      </c>
      <c r="C126" s="193">
        <f t="shared" ref="C126:G126" si="79">C108/1000000</f>
        <v>1.0692799999999999E-13</v>
      </c>
      <c r="D126" s="193">
        <f t="shared" si="79"/>
        <v>8.6454999999999996E-14</v>
      </c>
      <c r="E126" s="193">
        <f t="shared" si="79"/>
        <v>9.5239000000000009E-14</v>
      </c>
      <c r="F126" s="193">
        <f t="shared" si="79"/>
        <v>1.0106600000000001E-13</v>
      </c>
      <c r="G126" s="190">
        <f t="shared" si="79"/>
        <v>9.689200000000001E-14</v>
      </c>
      <c r="H126" s="191">
        <v>2.2492999999999999E-2</v>
      </c>
      <c r="I126" s="191">
        <v>2.6280000000000001E-2</v>
      </c>
      <c r="J126" s="191">
        <v>2.8021000000000001E-2</v>
      </c>
      <c r="K126" s="191">
        <v>2.3133999999999998E-2</v>
      </c>
      <c r="L126" s="191">
        <v>2.7019999999999999E-2</v>
      </c>
      <c r="M126" s="191">
        <v>1.9682000000000002E-2</v>
      </c>
      <c r="N126" s="191">
        <v>1.8807000000000001E-2</v>
      </c>
      <c r="O126" s="181">
        <v>1.9059827356871284E-2</v>
      </c>
      <c r="P126" s="181">
        <v>1.9310498686038197E-2</v>
      </c>
      <c r="Q126" s="181">
        <v>1.9558864601797385E-2</v>
      </c>
      <c r="R126" s="181">
        <v>1.9804878487333623E-2</v>
      </c>
      <c r="S126" s="181">
        <v>2.004826487964782E-2</v>
      </c>
      <c r="T126" s="181">
        <v>2.0288931604582595E-2</v>
      </c>
      <c r="U126" s="181">
        <v>2.0526705968026981E-2</v>
      </c>
      <c r="V126" s="181">
        <v>2.0761554066842634E-2</v>
      </c>
      <c r="W126" s="181">
        <v>2.0993212092234273E-2</v>
      </c>
      <c r="X126" s="181">
        <v>2.1221556085852307E-2</v>
      </c>
      <c r="Y126" s="181">
        <v>2.1446426067262655E-2</v>
      </c>
      <c r="Z126" s="181">
        <v>2.1667636628677475E-2</v>
      </c>
      <c r="AA126" s="181">
        <v>2.1885096655412453E-2</v>
      </c>
      <c r="AB126" s="181">
        <v>2.209864722650658E-2</v>
      </c>
      <c r="AC126" s="181">
        <v>2.2308195108329393E-2</v>
      </c>
      <c r="AD126" s="181">
        <v>2.251356124993149E-2</v>
      </c>
      <c r="AE126" s="181">
        <v>2.271467466661695E-2</v>
      </c>
      <c r="AF126" s="181">
        <v>2.29114029242516E-2</v>
      </c>
      <c r="AG126" s="181">
        <v>2.310365384867805E-2</v>
      </c>
      <c r="AH126" s="181">
        <v>2.3291403072015614E-2</v>
      </c>
      <c r="AI126" s="181">
        <v>2.3474585966406818E-2</v>
      </c>
      <c r="AJ126" s="181">
        <v>2.3653089168232801E-2</v>
      </c>
      <c r="AK126" s="181">
        <v>2.3826889369085957E-2</v>
      </c>
      <c r="AL126" s="181">
        <v>2.3995873205347427E-2</v>
      </c>
      <c r="AM126" s="181">
        <v>2.4160012071244231E-2</v>
      </c>
      <c r="AN126" s="181">
        <v>2.4319332453603203E-2</v>
      </c>
      <c r="AO126" s="181">
        <v>2.4473697680397869E-2</v>
      </c>
      <c r="AP126" s="181">
        <v>2.4623149071078099E-2</v>
      </c>
      <c r="AQ126" s="181">
        <v>2.4767738539824488E-2</v>
      </c>
      <c r="AR126" s="182"/>
    </row>
    <row r="127" spans="1:75" ht="14.25" customHeight="1" x14ac:dyDescent="0.3">
      <c r="A127" s="995"/>
      <c r="B127" s="185" t="s">
        <v>384</v>
      </c>
      <c r="C127" s="193">
        <f t="shared" ref="C127:G127" si="80">C109/1000000</f>
        <v>4.40346E-13</v>
      </c>
      <c r="D127" s="193">
        <f t="shared" si="80"/>
        <v>5.7778399999999997E-13</v>
      </c>
      <c r="E127" s="193">
        <f t="shared" si="80"/>
        <v>4.8658000000000003E-13</v>
      </c>
      <c r="F127" s="193">
        <f t="shared" si="80"/>
        <v>4.9665199999999995E-13</v>
      </c>
      <c r="G127" s="193">
        <f t="shared" si="80"/>
        <v>4.8569600000000005E-13</v>
      </c>
      <c r="H127" s="191">
        <v>1.0472114714214914E-2</v>
      </c>
      <c r="I127" s="191">
        <v>6.6956319092416824E-3</v>
      </c>
      <c r="J127" s="191">
        <v>7.3352687453287057E-3</v>
      </c>
      <c r="K127" s="191">
        <v>6.0070091686241995E-3</v>
      </c>
      <c r="L127" s="191">
        <v>5.2425295496718273E-3</v>
      </c>
      <c r="M127" s="191">
        <v>5.4959927723928778E-3</v>
      </c>
      <c r="N127" s="191">
        <v>4.2527158461846491E-3</v>
      </c>
      <c r="O127" s="181">
        <v>4.3098862033344064E-3</v>
      </c>
      <c r="P127" s="181">
        <v>4.3665690306716898E-3</v>
      </c>
      <c r="Q127" s="181">
        <v>4.4227305484895903E-3</v>
      </c>
      <c r="R127" s="181">
        <v>4.4783602156029745E-3</v>
      </c>
      <c r="S127" s="181">
        <v>4.5333957431905906E-3</v>
      </c>
      <c r="T127" s="181">
        <v>4.5878162884545604E-3</v>
      </c>
      <c r="U127" s="181">
        <v>4.641582801095407E-3</v>
      </c>
      <c r="V127" s="181">
        <v>4.6946876147966705E-3</v>
      </c>
      <c r="W127" s="181">
        <v>4.7470710760333839E-3</v>
      </c>
      <c r="X127" s="181">
        <v>4.7987051548359846E-3</v>
      </c>
      <c r="Y127" s="181">
        <v>4.8495536757736692E-3</v>
      </c>
      <c r="Z127" s="181">
        <v>4.8995747136782904E-3</v>
      </c>
      <c r="AA127" s="181">
        <v>4.9487476653243571E-3</v>
      </c>
      <c r="AB127" s="181">
        <v>4.9970365948534563E-3</v>
      </c>
      <c r="AC127" s="181">
        <v>5.044420419895319E-3</v>
      </c>
      <c r="AD127" s="181">
        <v>5.0908586527161322E-3</v>
      </c>
      <c r="AE127" s="181">
        <v>5.1363352419658047E-3</v>
      </c>
      <c r="AF127" s="181">
        <v>5.1808202410956591E-3</v>
      </c>
      <c r="AG127" s="181">
        <v>5.2242928073078145E-3</v>
      </c>
      <c r="AH127" s="181">
        <v>5.2667474304373156E-3</v>
      </c>
      <c r="AI127" s="181">
        <v>5.3081694965684068E-3</v>
      </c>
      <c r="AJ127" s="181">
        <v>5.3485333714554202E-3</v>
      </c>
      <c r="AK127" s="181">
        <v>5.3878337845057883E-3</v>
      </c>
      <c r="AL127" s="181">
        <v>5.4260451014738441E-3</v>
      </c>
      <c r="AM127" s="181">
        <v>5.4631608539050724E-3</v>
      </c>
      <c r="AN127" s="181">
        <v>5.499187031109209E-3</v>
      </c>
      <c r="AO127" s="181">
        <v>5.5340927282480174E-3</v>
      </c>
      <c r="AP127" s="181">
        <v>5.5678872886446859E-3</v>
      </c>
      <c r="AQ127" s="181">
        <v>5.6005824513462969E-3</v>
      </c>
      <c r="AR127" s="182"/>
    </row>
    <row r="128" spans="1:75" ht="14.25" customHeight="1" x14ac:dyDescent="0.3">
      <c r="A128" s="995"/>
      <c r="B128" s="185" t="s">
        <v>385</v>
      </c>
      <c r="C128" s="190">
        <f t="shared" ref="C128:G128" si="81">C111/1000000</f>
        <v>0</v>
      </c>
      <c r="D128" s="190">
        <f t="shared" si="81"/>
        <v>0</v>
      </c>
      <c r="E128" s="190">
        <f t="shared" si="81"/>
        <v>0</v>
      </c>
      <c r="F128" s="190">
        <f t="shared" si="81"/>
        <v>0</v>
      </c>
      <c r="G128" s="190">
        <f t="shared" si="81"/>
        <v>2.6516999999999998E-14</v>
      </c>
      <c r="H128" s="191">
        <v>6.7872000000000002E-2</v>
      </c>
      <c r="I128" s="191">
        <v>6.0317000000000003E-2</v>
      </c>
      <c r="J128" s="191">
        <v>7.0583000000000007E-2</v>
      </c>
      <c r="K128" s="191">
        <v>4.3719000000000001E-2</v>
      </c>
      <c r="L128" s="191">
        <v>5.2714999999999998E-2</v>
      </c>
      <c r="M128" s="191">
        <v>4.4457000000000003E-2</v>
      </c>
      <c r="N128" s="191">
        <v>6.2112000000000001E-2</v>
      </c>
      <c r="O128" s="181">
        <v>6.2946987653000969E-2</v>
      </c>
      <c r="P128" s="181">
        <v>6.3774854808699127E-2</v>
      </c>
      <c r="Q128" s="181">
        <v>6.459510810585628E-2</v>
      </c>
      <c r="R128" s="181">
        <v>6.540759358777401E-2</v>
      </c>
      <c r="S128" s="181">
        <v>6.621140151032516E-2</v>
      </c>
      <c r="T128" s="181">
        <v>6.7006227459128737E-2</v>
      </c>
      <c r="U128" s="181">
        <v>6.779150109459732E-2</v>
      </c>
      <c r="V128" s="181">
        <v>6.8567110448222987E-2</v>
      </c>
      <c r="W128" s="181">
        <v>6.9332184265053179E-2</v>
      </c>
      <c r="X128" s="181">
        <v>7.0086313160230687E-2</v>
      </c>
      <c r="Y128" s="181">
        <v>7.0828968782358601E-2</v>
      </c>
      <c r="Z128" s="181">
        <v>7.1559538803659034E-2</v>
      </c>
      <c r="AA128" s="181">
        <v>7.2277722308766876E-2</v>
      </c>
      <c r="AB128" s="181">
        <v>7.2982994445301055E-2</v>
      </c>
      <c r="AC128" s="181">
        <v>7.367504729986471E-2</v>
      </c>
      <c r="AD128" s="181">
        <v>7.4353289538775194E-2</v>
      </c>
      <c r="AE128" s="181">
        <v>7.5017486727968971E-2</v>
      </c>
      <c r="AF128" s="181">
        <v>7.5667201490461841E-2</v>
      </c>
      <c r="AG128" s="181">
        <v>7.6302129411872796E-2</v>
      </c>
      <c r="AH128" s="181">
        <v>7.692219001483673E-2</v>
      </c>
      <c r="AI128" s="181">
        <v>7.7527169859385375E-2</v>
      </c>
      <c r="AJ128" s="181">
        <v>7.8116694550820237E-2</v>
      </c>
      <c r="AK128" s="181">
        <v>7.8690687110792107E-2</v>
      </c>
      <c r="AL128" s="181">
        <v>7.9248773144602519E-2</v>
      </c>
      <c r="AM128" s="181">
        <v>7.9790858178822879E-2</v>
      </c>
      <c r="AN128" s="181">
        <v>8.0317029688850017E-2</v>
      </c>
      <c r="AO128" s="181">
        <v>8.0826836301636229E-2</v>
      </c>
      <c r="AP128" s="181">
        <v>8.1320414478800604E-2</v>
      </c>
      <c r="AQ128" s="181">
        <v>8.1797935672120944E-2</v>
      </c>
      <c r="AR128" s="182"/>
    </row>
    <row r="129" spans="1:75" ht="14.25" customHeight="1" x14ac:dyDescent="0.3">
      <c r="A129" s="995"/>
      <c r="B129" s="185" t="s">
        <v>386</v>
      </c>
      <c r="C129" s="190">
        <f t="shared" ref="C129:G129" si="82">C112/1000000</f>
        <v>1.0321099999999999E-13</v>
      </c>
      <c r="D129" s="190">
        <f t="shared" si="82"/>
        <v>1.4308699999999998E-13</v>
      </c>
      <c r="E129" s="190">
        <f t="shared" si="82"/>
        <v>1.04271E-13</v>
      </c>
      <c r="F129" s="190">
        <f t="shared" si="82"/>
        <v>7.9622999999999996E-14</v>
      </c>
      <c r="G129" s="190">
        <f t="shared" si="82"/>
        <v>7.184E-14</v>
      </c>
      <c r="H129" s="191">
        <v>2.0313000000000001E-2</v>
      </c>
      <c r="I129" s="191">
        <v>2.3958E-2</v>
      </c>
      <c r="J129" s="191">
        <v>1.6580999999999999E-2</v>
      </c>
      <c r="K129" s="191">
        <v>1.4676E-2</v>
      </c>
      <c r="L129" s="191">
        <v>1.4841999999999999E-2</v>
      </c>
      <c r="M129" s="191">
        <v>2.3120000000000002E-2</v>
      </c>
      <c r="N129" s="191">
        <v>1.8134999999999998E-2</v>
      </c>
      <c r="O129" s="181">
        <v>1.8378793487364316E-2</v>
      </c>
      <c r="P129" s="181">
        <v>1.8620507984862162E-2</v>
      </c>
      <c r="Q129" s="181">
        <v>1.8859999444547006E-2</v>
      </c>
      <c r="R129" s="181">
        <v>1.9097222915286604E-2</v>
      </c>
      <c r="S129" s="181">
        <v>1.9331912776754036E-2</v>
      </c>
      <c r="T129" s="181">
        <v>1.9563980148301446E-2</v>
      </c>
      <c r="U129" s="181">
        <v>1.9793258506416188E-2</v>
      </c>
      <c r="V129" s="181">
        <v>2.0019715159365722E-2</v>
      </c>
      <c r="W129" s="181">
        <v>2.0243095724606183E-2</v>
      </c>
      <c r="X129" s="181">
        <v>2.0463280672990459E-2</v>
      </c>
      <c r="Y129" s="181">
        <v>2.0680115740405607E-2</v>
      </c>
      <c r="Z129" s="181">
        <v>2.0893422143939279E-2</v>
      </c>
      <c r="AA129" s="181">
        <v>2.1103112024560264E-2</v>
      </c>
      <c r="AB129" s="181">
        <v>2.1309032139772258E-2</v>
      </c>
      <c r="AC129" s="181">
        <v>2.1511092587310765E-2</v>
      </c>
      <c r="AD129" s="181">
        <v>2.170912071396329E-2</v>
      </c>
      <c r="AE129" s="181">
        <v>2.1903048071414816E-2</v>
      </c>
      <c r="AF129" s="181">
        <v>2.2092746957585091E-2</v>
      </c>
      <c r="AG129" s="181">
        <v>2.2278128491826261E-2</v>
      </c>
      <c r="AH129" s="181">
        <v>2.2459169176955562E-2</v>
      </c>
      <c r="AI129" s="181">
        <v>2.263580669435783E-2</v>
      </c>
      <c r="AJ129" s="181">
        <v>2.2807931731052371E-2</v>
      </c>
      <c r="AK129" s="181">
        <v>2.2975521811473061E-2</v>
      </c>
      <c r="AL129" s="181">
        <v>2.313846762263921E-2</v>
      </c>
      <c r="AM129" s="181">
        <v>2.3296741580901482E-2</v>
      </c>
      <c r="AN129" s="181">
        <v>2.3450369226675927E-2</v>
      </c>
      <c r="AO129" s="181">
        <v>2.3599218771415721E-2</v>
      </c>
      <c r="AP129" s="181">
        <v>2.3743330058169906E-2</v>
      </c>
      <c r="AQ129" s="181">
        <v>2.3882753146153943E-2</v>
      </c>
      <c r="AR129" s="182"/>
    </row>
    <row r="130" spans="1:75" ht="14.25" customHeight="1" x14ac:dyDescent="0.3">
      <c r="A130" s="995"/>
      <c r="B130" s="185" t="s">
        <v>387</v>
      </c>
      <c r="C130" s="190">
        <f t="shared" ref="C130:G130" si="83">C113/1000000</f>
        <v>3.4907000000000003E-14</v>
      </c>
      <c r="D130" s="190">
        <f t="shared" si="83"/>
        <v>3.5225999999999999E-14</v>
      </c>
      <c r="E130" s="190">
        <f t="shared" si="83"/>
        <v>2.9336000000000005E-14</v>
      </c>
      <c r="F130" s="190">
        <f t="shared" si="83"/>
        <v>3.4471000000000007E-14</v>
      </c>
      <c r="G130" s="190">
        <f t="shared" si="83"/>
        <v>2.1770000000000002E-14</v>
      </c>
      <c r="H130" s="191">
        <v>4.7606999999999997E-2</v>
      </c>
      <c r="I130" s="191">
        <v>4.768E-2</v>
      </c>
      <c r="J130" s="191">
        <v>4.6607000000000003E-2</v>
      </c>
      <c r="K130" s="191">
        <v>3.4855999999999998E-2</v>
      </c>
      <c r="L130" s="191">
        <v>3.3276E-2</v>
      </c>
      <c r="M130" s="191">
        <v>3.9843999999999997E-2</v>
      </c>
      <c r="N130" s="191">
        <v>3.6563999999999999E-2</v>
      </c>
      <c r="O130" s="181">
        <v>3.7055539292637933E-2</v>
      </c>
      <c r="P130" s="181">
        <v>3.7542886901488839E-2</v>
      </c>
      <c r="Q130" s="181">
        <v>3.8025752395391056E-2</v>
      </c>
      <c r="R130" s="181">
        <v>3.8504045143343782E-2</v>
      </c>
      <c r="S130" s="181">
        <v>3.8977229598524107E-2</v>
      </c>
      <c r="T130" s="181">
        <v>3.9445126558725903E-2</v>
      </c>
      <c r="U130" s="181">
        <v>3.9907400277287106E-2</v>
      </c>
      <c r="V130" s="181">
        <v>4.0363984840752598E-2</v>
      </c>
      <c r="W130" s="181">
        <v>4.0814367360049661E-2</v>
      </c>
      <c r="X130" s="181">
        <v>4.1258306839107979E-2</v>
      </c>
      <c r="Y130" s="181">
        <v>4.1695492248811174E-2</v>
      </c>
      <c r="Z130" s="181">
        <v>4.2125563124951519E-2</v>
      </c>
      <c r="AA130" s="181">
        <v>4.2548342325118359E-2</v>
      </c>
      <c r="AB130" s="181">
        <v>4.296352087999078E-2</v>
      </c>
      <c r="AC130" s="181">
        <v>4.3370917527567179E-2</v>
      </c>
      <c r="AD130" s="181">
        <v>4.3770184162412663E-2</v>
      </c>
      <c r="AE130" s="181">
        <v>4.4161182778230564E-2</v>
      </c>
      <c r="AF130" s="181">
        <v>4.4543655900586773E-2</v>
      </c>
      <c r="AG130" s="181">
        <v>4.4917424327275177E-2</v>
      </c>
      <c r="AH130" s="181">
        <v>4.5282440682999893E-2</v>
      </c>
      <c r="AI130" s="181">
        <v>4.5638579320237085E-2</v>
      </c>
      <c r="AJ130" s="181">
        <v>4.5985619840871177E-2</v>
      </c>
      <c r="AK130" s="181">
        <v>4.6323516929401759E-2</v>
      </c>
      <c r="AL130" s="181">
        <v>4.6652050187713262E-2</v>
      </c>
      <c r="AM130" s="181">
        <v>4.6971164001327913E-2</v>
      </c>
      <c r="AN130" s="181">
        <v>4.7280909865132531E-2</v>
      </c>
      <c r="AO130" s="181">
        <v>4.7581022065511125E-2</v>
      </c>
      <c r="AP130" s="181">
        <v>4.7871580934487144E-2</v>
      </c>
      <c r="AQ130" s="181">
        <v>4.8152687402038749E-2</v>
      </c>
      <c r="AR130" s="182"/>
    </row>
    <row r="131" spans="1:75" ht="14.25" customHeight="1" x14ac:dyDescent="0.3">
      <c r="A131" s="995"/>
      <c r="B131" s="185" t="s">
        <v>388</v>
      </c>
      <c r="C131" s="190">
        <f t="shared" ref="C131:G131" si="84">C114/1000000</f>
        <v>6.1058000000000001E-14</v>
      </c>
      <c r="D131" s="190">
        <f t="shared" si="84"/>
        <v>6.1837000000000002E-14</v>
      </c>
      <c r="E131" s="190">
        <f t="shared" si="84"/>
        <v>4.9936999999999997E-14</v>
      </c>
      <c r="F131" s="190">
        <f t="shared" si="84"/>
        <v>6.5528000000000006E-14</v>
      </c>
      <c r="G131" s="190">
        <f t="shared" si="84"/>
        <v>5.1978000000000003E-14</v>
      </c>
      <c r="H131" s="191">
        <v>5.7854999999999997E-2</v>
      </c>
      <c r="I131" s="191">
        <v>6.7426E-2</v>
      </c>
      <c r="J131" s="191">
        <v>6.9489999999999996E-2</v>
      </c>
      <c r="K131" s="191">
        <v>6.8285999999999999E-2</v>
      </c>
      <c r="L131" s="191">
        <v>6.4534999999999995E-2</v>
      </c>
      <c r="M131" s="191">
        <v>6.4074330892798834E-2</v>
      </c>
      <c r="N131" s="191">
        <v>7.0139999999999994E-2</v>
      </c>
      <c r="O131" s="181">
        <v>7.1082910129789525E-2</v>
      </c>
      <c r="P131" s="181">
        <v>7.2017779435248508E-2</v>
      </c>
      <c r="Q131" s="181">
        <v>7.2944050788008086E-2</v>
      </c>
      <c r="R131" s="181">
        <v>7.3861550332407072E-2</v>
      </c>
      <c r="S131" s="181">
        <v>7.4769250739538343E-2</v>
      </c>
      <c r="T131" s="181">
        <v>7.5666808249344533E-2</v>
      </c>
      <c r="U131" s="181">
        <v>7.6553578805626202E-2</v>
      </c>
      <c r="V131" s="181">
        <v>7.7429435967902471E-2</v>
      </c>
      <c r="W131" s="181">
        <v>7.8293395871181545E-2</v>
      </c>
      <c r="X131" s="181">
        <v>7.9144996217455216E-2</v>
      </c>
      <c r="Y131" s="181">
        <v>7.9983640365704378E-2</v>
      </c>
      <c r="Z131" s="181">
        <v>8.0808636844549239E-2</v>
      </c>
      <c r="AA131" s="181">
        <v>8.1619645845197486E-2</v>
      </c>
      <c r="AB131" s="181">
        <v>8.2416074677894996E-2</v>
      </c>
      <c r="AC131" s="181">
        <v>8.3197575631319368E-2</v>
      </c>
      <c r="AD131" s="181">
        <v>8.396348094168099E-2</v>
      </c>
      <c r="AE131" s="181">
        <v>8.4713525874223039E-2</v>
      </c>
      <c r="AF131" s="181">
        <v>8.544721652081709E-2</v>
      </c>
      <c r="AG131" s="181">
        <v>8.6164209121405766E-2</v>
      </c>
      <c r="AH131" s="181">
        <v>8.6864412796893442E-2</v>
      </c>
      <c r="AI131" s="181">
        <v>8.7547586520113463E-2</v>
      </c>
      <c r="AJ131" s="181">
        <v>8.8213307505707897E-2</v>
      </c>
      <c r="AK131" s="181">
        <v>8.8861488825846158E-2</v>
      </c>
      <c r="AL131" s="181">
        <v>8.9491707695170314E-2</v>
      </c>
      <c r="AM131" s="181">
        <v>9.0103857429524647E-2</v>
      </c>
      <c r="AN131" s="181">
        <v>9.0698036810534816E-2</v>
      </c>
      <c r="AO131" s="181">
        <v>9.12737361250123E-2</v>
      </c>
      <c r="AP131" s="181">
        <v>9.1831109472293171E-2</v>
      </c>
      <c r="AQ131" s="181">
        <v>9.2370350464363774E-2</v>
      </c>
      <c r="AR131" s="182"/>
    </row>
    <row r="132" spans="1:75" ht="13.5" customHeight="1" x14ac:dyDescent="0.3">
      <c r="A132" s="995"/>
      <c r="B132" s="185" t="s">
        <v>389</v>
      </c>
      <c r="C132" s="190">
        <f t="shared" ref="C132:G132" si="85">C115/1000000</f>
        <v>4.2012999999999999E-14</v>
      </c>
      <c r="D132" s="190">
        <f t="shared" si="85"/>
        <v>3.5076999999999998E-14</v>
      </c>
      <c r="E132" s="190">
        <f t="shared" si="85"/>
        <v>2.7265999999999998E-14</v>
      </c>
      <c r="F132" s="190">
        <f t="shared" si="85"/>
        <v>2.4029E-14</v>
      </c>
      <c r="G132" s="190">
        <f t="shared" si="85"/>
        <v>5.2402999999999999E-14</v>
      </c>
      <c r="H132" s="191">
        <v>9.9514822792642933E-3</v>
      </c>
      <c r="I132" s="191">
        <v>1.5220368090758319E-2</v>
      </c>
      <c r="J132" s="191">
        <v>2.1834731254671294E-2</v>
      </c>
      <c r="K132" s="191">
        <v>2.2317990831375797E-2</v>
      </c>
      <c r="L132" s="191">
        <v>1.8864470450328172E-2</v>
      </c>
      <c r="M132" s="191">
        <v>1.6995821880195612E-2</v>
      </c>
      <c r="N132" s="191">
        <v>1.3486945735989684E-2</v>
      </c>
      <c r="O132" s="181">
        <v>1.3668254229779055E-2</v>
      </c>
      <c r="P132" s="181">
        <v>1.3848016584968216E-2</v>
      </c>
      <c r="Q132" s="181">
        <v>1.4026125673526388E-2</v>
      </c>
      <c r="R132" s="181">
        <v>1.4202548065429785E-2</v>
      </c>
      <c r="S132" s="181">
        <v>1.4377086219628748E-2</v>
      </c>
      <c r="T132" s="181">
        <v>1.4549674035848968E-2</v>
      </c>
      <c r="U132" s="181">
        <v>1.4720187671047772E-2</v>
      </c>
      <c r="V132" s="181">
        <v>1.4888602812480592E-2</v>
      </c>
      <c r="W132" s="181">
        <v>1.5054730276603714E-2</v>
      </c>
      <c r="X132" s="181">
        <v>1.521848116994479E-2</v>
      </c>
      <c r="Y132" s="181">
        <v>1.5379740766740365E-2</v>
      </c>
      <c r="Z132" s="181">
        <v>1.5538376106668556E-2</v>
      </c>
      <c r="AA132" s="181">
        <v>1.5694321849228324E-2</v>
      </c>
      <c r="AB132" s="181">
        <v>1.5847464028429476E-2</v>
      </c>
      <c r="AC132" s="181">
        <v>1.5997735784224438E-2</v>
      </c>
      <c r="AD132" s="181">
        <v>1.6145008714930933E-2</v>
      </c>
      <c r="AE132" s="181">
        <v>1.6289231915740009E-2</v>
      </c>
      <c r="AF132" s="181">
        <v>1.6430310414993175E-2</v>
      </c>
      <c r="AG132" s="181">
        <v>1.6568178112416124E-2</v>
      </c>
      <c r="AH132" s="181">
        <v>1.6702817533223693E-2</v>
      </c>
      <c r="AI132" s="181">
        <v>1.683418233124654E-2</v>
      </c>
      <c r="AJ132" s="181">
        <v>1.6962191210744996E-2</v>
      </c>
      <c r="AK132" s="181">
        <v>1.7086827456707167E-2</v>
      </c>
      <c r="AL132" s="181">
        <v>1.7208009773393391E-2</v>
      </c>
      <c r="AM132" s="181">
        <v>1.7325717646925431E-2</v>
      </c>
      <c r="AN132" s="181">
        <v>1.7439970071634985E-2</v>
      </c>
      <c r="AO132" s="181">
        <v>1.7550669036770487E-2</v>
      </c>
      <c r="AP132" s="181">
        <v>1.7657844173489392E-2</v>
      </c>
      <c r="AQ132" s="181">
        <v>1.7761532710681826E-2</v>
      </c>
      <c r="AR132" s="182"/>
    </row>
    <row r="133" spans="1:75" ht="13.5" customHeight="1" x14ac:dyDescent="0.3">
      <c r="A133" s="995"/>
      <c r="B133" s="185" t="s">
        <v>390</v>
      </c>
      <c r="C133" s="190">
        <f>5411/1000000</f>
        <v>5.411E-3</v>
      </c>
      <c r="D133" s="190">
        <f>5823/1000000</f>
        <v>5.8230000000000001E-3</v>
      </c>
      <c r="E133" s="190">
        <f>6293/1000000</f>
        <v>6.293E-3</v>
      </c>
      <c r="F133" s="190">
        <f>9202/1000000</f>
        <v>9.2020000000000001E-3</v>
      </c>
      <c r="G133" s="190">
        <v>6.731E-3</v>
      </c>
      <c r="H133" s="191">
        <v>7.6280000000000002E-3</v>
      </c>
      <c r="I133" s="191">
        <v>8.352E-3</v>
      </c>
      <c r="J133" s="191">
        <v>8.848E-3</v>
      </c>
      <c r="K133" s="191">
        <v>6.96E-3</v>
      </c>
      <c r="L133" s="191">
        <v>8.6180000000000007E-3</v>
      </c>
      <c r="M133" s="191">
        <v>4.9300000000000004E-3</v>
      </c>
      <c r="N133" s="191">
        <v>6.9629999999999996E-3</v>
      </c>
      <c r="O133" s="181">
        <v>7.0566054068110142E-3</v>
      </c>
      <c r="P133" s="181">
        <v>7.1494125778105997E-3</v>
      </c>
      <c r="Q133" s="181">
        <v>7.2413662052594873E-3</v>
      </c>
      <c r="R133" s="181">
        <v>7.3324490300049981E-3</v>
      </c>
      <c r="S133" s="181">
        <v>7.4225590661449329E-3</v>
      </c>
      <c r="T133" s="181">
        <v>7.5116621876274046E-3</v>
      </c>
      <c r="U133" s="181">
        <v>7.599694457136803E-3</v>
      </c>
      <c r="V133" s="181">
        <v>7.6866433225620907E-3</v>
      </c>
      <c r="W133" s="181">
        <v>7.7724111127892388E-3</v>
      </c>
      <c r="X133" s="181">
        <v>7.8569519341622589E-3</v>
      </c>
      <c r="Y133" s="181">
        <v>7.9402065564071825E-3</v>
      </c>
      <c r="Z133" s="181">
        <v>8.02210633516676E-3</v>
      </c>
      <c r="AA133" s="181">
        <v>8.1026175366425753E-3</v>
      </c>
      <c r="AB133" s="181">
        <v>8.1816813228141293E-3</v>
      </c>
      <c r="AC133" s="181">
        <v>8.2592631753760602E-3</v>
      </c>
      <c r="AD133" s="181">
        <v>8.3352968034919421E-3</v>
      </c>
      <c r="AE133" s="181">
        <v>8.4097559261792857E-3</v>
      </c>
      <c r="AF133" s="181">
        <v>8.4825915117543414E-3</v>
      </c>
      <c r="AG133" s="181">
        <v>8.5537694341652187E-3</v>
      </c>
      <c r="AH133" s="181">
        <v>8.6232806715821099E-3</v>
      </c>
      <c r="AI133" s="181">
        <v>8.6911012965433451E-3</v>
      </c>
      <c r="AJ133" s="181">
        <v>8.7571893379276341E-3</v>
      </c>
      <c r="AK133" s="181">
        <v>8.8215361661586385E-3</v>
      </c>
      <c r="AL133" s="181">
        <v>8.88409981011507E-3</v>
      </c>
      <c r="AM133" s="181">
        <v>8.9448696789532385E-3</v>
      </c>
      <c r="AN133" s="181">
        <v>9.0038555790098937E-3</v>
      </c>
      <c r="AO133" s="181">
        <v>9.0610069095874053E-3</v>
      </c>
      <c r="AP133" s="181">
        <v>9.1163389685711051E-3</v>
      </c>
      <c r="AQ133" s="181">
        <v>9.169870976381023E-3</v>
      </c>
      <c r="AR133" s="182"/>
    </row>
    <row r="134" spans="1:75" ht="13.5" customHeight="1" x14ac:dyDescent="0.3">
      <c r="A134" s="324"/>
      <c r="B134" s="179" t="s">
        <v>391</v>
      </c>
      <c r="C134" s="195">
        <f t="shared" ref="C134:AQ134" si="86">SUM(C120:C133)</f>
        <v>5.4128237796222008E-3</v>
      </c>
      <c r="D134" s="195">
        <f t="shared" si="86"/>
        <v>5.8249546607446016E-3</v>
      </c>
      <c r="E134" s="195">
        <f t="shared" si="86"/>
        <v>6.2947721365641867E-3</v>
      </c>
      <c r="F134" s="195">
        <f t="shared" si="86"/>
        <v>9.2038052735759126E-3</v>
      </c>
      <c r="G134" s="195">
        <f t="shared" si="86"/>
        <v>6.732792592504179E-3</v>
      </c>
      <c r="H134" s="196">
        <f t="shared" si="86"/>
        <v>1.9378675969934793</v>
      </c>
      <c r="I134" s="196">
        <f t="shared" si="86"/>
        <v>1.762141</v>
      </c>
      <c r="J134" s="196">
        <f t="shared" si="86"/>
        <v>1.8634030000000001</v>
      </c>
      <c r="K134" s="196">
        <f t="shared" si="86"/>
        <v>1.7906899999999999</v>
      </c>
      <c r="L134" s="196">
        <f t="shared" si="86"/>
        <v>1.8328380000000004</v>
      </c>
      <c r="M134" s="196">
        <f t="shared" si="86"/>
        <v>1.8182911455453874</v>
      </c>
      <c r="N134" s="196">
        <f t="shared" si="86"/>
        <v>1.8217366615821744</v>
      </c>
      <c r="O134" s="180">
        <f t="shared" si="86"/>
        <v>1.8462267378869193</v>
      </c>
      <c r="P134" s="180">
        <f t="shared" si="86"/>
        <v>1.8705079709571006</v>
      </c>
      <c r="Q134" s="180">
        <f t="shared" si="86"/>
        <v>1.894565890573517</v>
      </c>
      <c r="R134" s="180">
        <f t="shared" si="86"/>
        <v>1.9183959812067726</v>
      </c>
      <c r="S134" s="180">
        <f t="shared" si="86"/>
        <v>1.9419715601831644</v>
      </c>
      <c r="T134" s="180">
        <f t="shared" si="86"/>
        <v>1.9652836990695679</v>
      </c>
      <c r="U134" s="180">
        <f t="shared" si="86"/>
        <v>1.9883156698820847</v>
      </c>
      <c r="V134" s="180">
        <f t="shared" si="86"/>
        <v>2.0110641885993359</v>
      </c>
      <c r="W134" s="180">
        <f t="shared" si="86"/>
        <v>2.0335037014299671</v>
      </c>
      <c r="X134" s="180">
        <f t="shared" si="86"/>
        <v>2.0556222011708121</v>
      </c>
      <c r="Y134" s="180">
        <f t="shared" si="86"/>
        <v>2.0774041913459875</v>
      </c>
      <c r="Z134" s="180">
        <f t="shared" si="86"/>
        <v>2.0988317124635798</v>
      </c>
      <c r="AA134" s="180">
        <f t="shared" si="86"/>
        <v>2.1198959387161325</v>
      </c>
      <c r="AB134" s="180">
        <f t="shared" si="86"/>
        <v>2.140581476253431</v>
      </c>
      <c r="AC134" s="180">
        <f t="shared" si="86"/>
        <v>2.1608792940166843</v>
      </c>
      <c r="AD134" s="180">
        <f t="shared" si="86"/>
        <v>2.1807720482679844</v>
      </c>
      <c r="AE134" s="180">
        <f t="shared" si="86"/>
        <v>2.2002528630875711</v>
      </c>
      <c r="AF134" s="180">
        <f t="shared" si="86"/>
        <v>2.2193089102669306</v>
      </c>
      <c r="AG134" s="180">
        <f t="shared" si="86"/>
        <v>2.2379312613729407</v>
      </c>
      <c r="AH134" s="180">
        <f t="shared" si="86"/>
        <v>2.2561175560152344</v>
      </c>
      <c r="AI134" s="180">
        <f t="shared" si="86"/>
        <v>2.2738615340280588</v>
      </c>
      <c r="AJ134" s="180">
        <f t="shared" si="86"/>
        <v>2.2911522144649288</v>
      </c>
      <c r="AK134" s="180">
        <f t="shared" si="86"/>
        <v>2.3079873395611443</v>
      </c>
      <c r="AL134" s="180">
        <f t="shared" si="86"/>
        <v>2.3243559283702218</v>
      </c>
      <c r="AM134" s="180">
        <f t="shared" si="86"/>
        <v>2.3402552099991221</v>
      </c>
      <c r="AN134" s="180">
        <f t="shared" si="86"/>
        <v>2.355687750089547</v>
      </c>
      <c r="AO134" s="180">
        <f t="shared" si="86"/>
        <v>2.3706403099303137</v>
      </c>
      <c r="AP134" s="180">
        <f t="shared" si="86"/>
        <v>2.3851168919224772</v>
      </c>
      <c r="AQ134" s="180">
        <f t="shared" si="86"/>
        <v>2.399122524723774</v>
      </c>
      <c r="AR134" s="197"/>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row>
    <row r="135" spans="1:75" ht="14.25" customHeight="1" x14ac:dyDescent="0.3">
      <c r="A135" s="98"/>
      <c r="B135" s="200"/>
      <c r="C135" s="200"/>
      <c r="D135" s="200"/>
      <c r="E135" s="200"/>
      <c r="F135" s="200"/>
      <c r="G135" s="200"/>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52"/>
    </row>
    <row r="136" spans="1:75" ht="14.25" customHeight="1" x14ac:dyDescent="0.3">
      <c r="A136" s="95"/>
      <c r="B136" s="45"/>
      <c r="C136" s="45"/>
      <c r="D136" s="45"/>
      <c r="E136" s="45"/>
      <c r="F136" s="45"/>
      <c r="G136" s="45"/>
      <c r="H136" s="944"/>
      <c r="I136" s="944"/>
      <c r="J136" s="944"/>
      <c r="K136" s="944"/>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45"/>
    </row>
    <row r="137" spans="1:75" ht="15.75" hidden="1" customHeight="1" x14ac:dyDescent="0.3">
      <c r="A137" s="96"/>
      <c r="B137" s="44" t="s">
        <v>396</v>
      </c>
      <c r="C137" s="44"/>
      <c r="D137" s="45"/>
      <c r="E137" s="45"/>
      <c r="F137" s="45"/>
      <c r="G137" s="45"/>
      <c r="H137" s="944"/>
      <c r="I137" s="944"/>
      <c r="J137" s="944"/>
      <c r="K137" s="944"/>
      <c r="L137" s="944"/>
      <c r="M137" s="944"/>
      <c r="N137" s="944"/>
      <c r="O137" s="944"/>
      <c r="P137" s="944"/>
      <c r="Q137" s="944"/>
      <c r="R137" s="944"/>
      <c r="S137" s="944"/>
      <c r="T137" s="944"/>
      <c r="U137" s="944"/>
      <c r="V137" s="944"/>
      <c r="W137" s="944"/>
      <c r="X137" s="944"/>
      <c r="Y137" s="944"/>
      <c r="Z137" s="944"/>
      <c r="AA137" s="944"/>
      <c r="AB137" s="944"/>
      <c r="AC137" s="944"/>
      <c r="AD137" s="944"/>
      <c r="AE137" s="944"/>
      <c r="AF137" s="944"/>
      <c r="AG137" s="944"/>
      <c r="AH137" s="944"/>
      <c r="AI137" s="944"/>
      <c r="AJ137" s="944"/>
      <c r="AK137" s="944"/>
      <c r="AL137" s="944"/>
      <c r="AM137" s="944"/>
      <c r="AN137" s="944"/>
      <c r="AO137" s="944"/>
      <c r="AP137" s="944"/>
      <c r="AQ137" s="944"/>
      <c r="AR137" s="45"/>
      <c r="AS137" s="45"/>
      <c r="AT137" s="45"/>
      <c r="AU137" s="45"/>
    </row>
    <row r="138" spans="1:75" ht="14.25" hidden="1" customHeight="1" x14ac:dyDescent="0.3">
      <c r="A138" s="95"/>
      <c r="B138" s="45"/>
      <c r="C138" s="45"/>
      <c r="D138" s="45"/>
      <c r="E138" s="45"/>
      <c r="F138" s="45"/>
      <c r="G138" s="45"/>
      <c r="H138" s="944"/>
      <c r="I138" s="944"/>
      <c r="J138" s="944"/>
      <c r="K138" s="944"/>
      <c r="L138" s="944"/>
      <c r="M138" s="944"/>
      <c r="N138" s="944"/>
      <c r="O138" s="944"/>
      <c r="P138" s="944"/>
      <c r="Q138" s="944"/>
      <c r="R138" s="944"/>
      <c r="S138" s="944"/>
      <c r="T138" s="944"/>
      <c r="U138" s="944"/>
      <c r="V138" s="944"/>
      <c r="W138" s="944"/>
      <c r="X138" s="944"/>
      <c r="Y138" s="944"/>
      <c r="Z138" s="944"/>
      <c r="AA138" s="944"/>
      <c r="AB138" s="944"/>
      <c r="AC138" s="944"/>
      <c r="AD138" s="944"/>
      <c r="AE138" s="944"/>
      <c r="AF138" s="944"/>
      <c r="AG138" s="944"/>
      <c r="AH138" s="944"/>
      <c r="AI138" s="944"/>
      <c r="AJ138" s="944"/>
      <c r="AK138" s="944"/>
      <c r="AL138" s="944"/>
      <c r="AM138" s="944"/>
      <c r="AN138" s="944"/>
      <c r="AO138" s="944"/>
      <c r="AP138" s="944"/>
      <c r="AQ138" s="944"/>
      <c r="AR138" s="45"/>
    </row>
    <row r="139" spans="1:75" ht="14.25" hidden="1" customHeight="1" x14ac:dyDescent="0.3">
      <c r="A139" s="97"/>
      <c r="B139" s="175"/>
      <c r="C139" s="175"/>
      <c r="D139" s="175"/>
      <c r="E139" s="175"/>
      <c r="F139" s="175"/>
      <c r="G139" s="175"/>
      <c r="H139" s="176"/>
      <c r="I139" s="176"/>
      <c r="J139" s="176"/>
      <c r="K139" s="176"/>
      <c r="L139" s="176"/>
      <c r="M139" s="176"/>
      <c r="N139" s="176"/>
      <c r="O139" s="176"/>
      <c r="P139" s="176"/>
      <c r="Q139" s="176"/>
      <c r="R139" s="176"/>
      <c r="S139" s="176"/>
      <c r="T139" s="176"/>
      <c r="U139" s="176"/>
      <c r="V139" s="176"/>
      <c r="W139" s="176"/>
      <c r="X139" s="176"/>
      <c r="Y139" s="176"/>
      <c r="Z139" s="176"/>
      <c r="AA139" s="176"/>
      <c r="AB139" s="176"/>
      <c r="AC139" s="176"/>
      <c r="AD139" s="176"/>
      <c r="AE139" s="176"/>
      <c r="AF139" s="176"/>
      <c r="AG139" s="176"/>
      <c r="AH139" s="176"/>
      <c r="AI139" s="176"/>
      <c r="AJ139" s="176"/>
      <c r="AK139" s="176"/>
      <c r="AL139" s="176"/>
      <c r="AM139" s="176"/>
      <c r="AN139" s="176"/>
      <c r="AO139" s="176"/>
      <c r="AP139" s="176"/>
      <c r="AQ139" s="176"/>
      <c r="AR139" s="47"/>
    </row>
    <row r="140" spans="1:75" ht="14.25" hidden="1" customHeight="1" x14ac:dyDescent="0.3">
      <c r="A140" s="324"/>
      <c r="B140" s="184" t="s">
        <v>398</v>
      </c>
      <c r="C140" s="179"/>
      <c r="D140" s="179"/>
      <c r="E140" s="179"/>
      <c r="F140" s="179"/>
      <c r="G140" s="179"/>
      <c r="H140" s="180"/>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81"/>
      <c r="AF140" s="181"/>
      <c r="AG140" s="181"/>
      <c r="AH140" s="181"/>
      <c r="AI140" s="181"/>
      <c r="AJ140" s="181"/>
      <c r="AK140" s="181"/>
      <c r="AL140" s="181"/>
      <c r="AM140" s="181"/>
      <c r="AN140" s="181"/>
      <c r="AO140" s="181"/>
      <c r="AP140" s="181"/>
      <c r="AQ140" s="181"/>
      <c r="AR140" s="182"/>
    </row>
    <row r="141" spans="1:75" ht="14.25" hidden="1" customHeight="1" x14ac:dyDescent="0.3">
      <c r="A141" s="324"/>
      <c r="B141" s="185" t="s">
        <v>823</v>
      </c>
      <c r="C141" s="186">
        <v>8478351</v>
      </c>
      <c r="D141" s="186">
        <v>8019760</v>
      </c>
      <c r="E141" s="186">
        <v>7571563</v>
      </c>
      <c r="F141" s="186">
        <v>6599661</v>
      </c>
      <c r="G141" s="186">
        <v>7525696</v>
      </c>
      <c r="H141" s="187">
        <v>7869969</v>
      </c>
      <c r="I141" s="187">
        <v>7140089</v>
      </c>
      <c r="J141" s="187">
        <v>7045925</v>
      </c>
      <c r="K141" s="187">
        <v>7157603</v>
      </c>
      <c r="L141" s="187">
        <v>7332927</v>
      </c>
      <c r="M141" s="187">
        <v>6745688</v>
      </c>
      <c r="N141" s="187">
        <v>7448371</v>
      </c>
      <c r="O141" s="202"/>
      <c r="P141" s="202"/>
      <c r="Q141" s="202"/>
      <c r="R141" s="202"/>
      <c r="S141" s="202"/>
      <c r="T141" s="202"/>
      <c r="U141" s="202"/>
      <c r="V141" s="202"/>
      <c r="W141" s="202"/>
      <c r="X141" s="202"/>
      <c r="Y141" s="202"/>
      <c r="Z141" s="202"/>
      <c r="AA141" s="202"/>
      <c r="AB141" s="202"/>
      <c r="AC141" s="202"/>
      <c r="AD141" s="202"/>
      <c r="AE141" s="202"/>
      <c r="AF141" s="202"/>
      <c r="AG141" s="202"/>
      <c r="AH141" s="202"/>
      <c r="AI141" s="202"/>
      <c r="AJ141" s="202"/>
      <c r="AK141" s="202"/>
      <c r="AL141" s="202"/>
      <c r="AM141" s="202"/>
      <c r="AN141" s="202"/>
      <c r="AO141" s="202"/>
      <c r="AP141" s="202"/>
      <c r="AQ141" s="202"/>
      <c r="AR141" s="182"/>
    </row>
    <row r="142" spans="1:75" ht="14.25" hidden="1" customHeight="1" x14ac:dyDescent="0.3">
      <c r="A142" s="324"/>
      <c r="B142" s="185" t="s">
        <v>400</v>
      </c>
      <c r="C142" s="186">
        <v>132100</v>
      </c>
      <c r="D142" s="186">
        <v>224163</v>
      </c>
      <c r="E142" s="186">
        <v>133323</v>
      </c>
      <c r="F142" s="186">
        <v>128446</v>
      </c>
      <c r="G142" s="186">
        <v>156216</v>
      </c>
      <c r="H142" s="187">
        <v>180192</v>
      </c>
      <c r="I142" s="187">
        <v>177551</v>
      </c>
      <c r="J142" s="187">
        <v>205955</v>
      </c>
      <c r="K142" s="187">
        <v>235182</v>
      </c>
      <c r="L142" s="187">
        <v>283680</v>
      </c>
      <c r="M142" s="187">
        <v>327903</v>
      </c>
      <c r="N142" s="187">
        <v>302094</v>
      </c>
      <c r="O142" s="202"/>
      <c r="P142" s="202"/>
      <c r="Q142" s="202"/>
      <c r="R142" s="202"/>
      <c r="S142" s="202"/>
      <c r="T142" s="202"/>
      <c r="U142" s="202"/>
      <c r="V142" s="202"/>
      <c r="W142" s="202"/>
      <c r="X142" s="202"/>
      <c r="Y142" s="202"/>
      <c r="Z142" s="202"/>
      <c r="AA142" s="202"/>
      <c r="AB142" s="202"/>
      <c r="AC142" s="202"/>
      <c r="AD142" s="202"/>
      <c r="AE142" s="202"/>
      <c r="AF142" s="202"/>
      <c r="AG142" s="202"/>
      <c r="AH142" s="202"/>
      <c r="AI142" s="202"/>
      <c r="AJ142" s="202"/>
      <c r="AK142" s="202"/>
      <c r="AL142" s="202"/>
      <c r="AM142" s="202"/>
      <c r="AN142" s="202"/>
      <c r="AO142" s="202"/>
      <c r="AP142" s="202"/>
      <c r="AQ142" s="202"/>
      <c r="AR142" s="182"/>
    </row>
    <row r="143" spans="1:75" ht="14.25" hidden="1" customHeight="1" x14ac:dyDescent="0.3">
      <c r="A143" s="324"/>
      <c r="B143" s="185" t="s">
        <v>401</v>
      </c>
      <c r="C143" s="186">
        <v>31347</v>
      </c>
      <c r="D143" s="186">
        <v>23829</v>
      </c>
      <c r="E143" s="186">
        <v>7340</v>
      </c>
      <c r="F143" s="186">
        <v>7759</v>
      </c>
      <c r="G143" s="186">
        <v>4225</v>
      </c>
      <c r="H143" s="187">
        <v>5297</v>
      </c>
      <c r="I143" s="187">
        <v>3905</v>
      </c>
      <c r="J143" s="187">
        <v>7564</v>
      </c>
      <c r="K143" s="187">
        <v>5065</v>
      </c>
      <c r="L143" s="187">
        <v>8141</v>
      </c>
      <c r="M143" s="187">
        <v>5280</v>
      </c>
      <c r="N143" s="187">
        <v>4917</v>
      </c>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182"/>
    </row>
    <row r="144" spans="1:75" ht="14.25" hidden="1" customHeight="1" x14ac:dyDescent="0.3">
      <c r="A144" s="324"/>
      <c r="B144" s="185" t="s">
        <v>402</v>
      </c>
      <c r="C144" s="186">
        <v>8347182</v>
      </c>
      <c r="D144" s="186">
        <v>8131819</v>
      </c>
      <c r="E144" s="186">
        <v>7378922</v>
      </c>
      <c r="F144" s="186">
        <v>7158265</v>
      </c>
      <c r="G144" s="186">
        <v>8251306</v>
      </c>
      <c r="H144" s="187">
        <v>10106105</v>
      </c>
      <c r="I144" s="187">
        <v>8661609</v>
      </c>
      <c r="J144" s="187">
        <v>9344983</v>
      </c>
      <c r="K144" s="187">
        <v>7840635</v>
      </c>
      <c r="L144" s="187">
        <v>10088870</v>
      </c>
      <c r="M144" s="187">
        <v>11390245</v>
      </c>
      <c r="N144" s="187">
        <v>11671700</v>
      </c>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182"/>
    </row>
    <row r="145" spans="1:44" ht="14.25" hidden="1" customHeight="1" x14ac:dyDescent="0.3">
      <c r="A145" s="324"/>
      <c r="B145" s="185" t="s">
        <v>403</v>
      </c>
      <c r="C145" s="186">
        <v>984096</v>
      </c>
      <c r="D145" s="186">
        <v>963262</v>
      </c>
      <c r="E145" s="186">
        <v>1329532</v>
      </c>
      <c r="F145" s="186">
        <v>1177181</v>
      </c>
      <c r="G145" s="186">
        <v>1667704</v>
      </c>
      <c r="H145" s="187">
        <v>2017573</v>
      </c>
      <c r="I145" s="187">
        <v>1199075</v>
      </c>
      <c r="J145" s="187">
        <v>1572279</v>
      </c>
      <c r="K145" s="187">
        <v>1449266</v>
      </c>
      <c r="L145" s="187">
        <v>1628519</v>
      </c>
      <c r="M145" s="187">
        <v>1463279</v>
      </c>
      <c r="N145" s="187">
        <v>1849405</v>
      </c>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182"/>
    </row>
    <row r="146" spans="1:44" ht="14.25" hidden="1" customHeight="1" x14ac:dyDescent="0.3">
      <c r="A146" s="324"/>
      <c r="B146" s="185" t="s">
        <v>404</v>
      </c>
      <c r="C146" s="186">
        <v>2850465</v>
      </c>
      <c r="D146" s="186">
        <v>2097356</v>
      </c>
      <c r="E146" s="186">
        <v>2649051</v>
      </c>
      <c r="F146" s="186">
        <v>2316838</v>
      </c>
      <c r="G146" s="186">
        <v>3468510</v>
      </c>
      <c r="H146" s="187">
        <v>4175659</v>
      </c>
      <c r="I146" s="187">
        <v>3124069</v>
      </c>
      <c r="J146" s="187">
        <v>3275993</v>
      </c>
      <c r="K146" s="187">
        <v>2785756</v>
      </c>
      <c r="L146" s="187">
        <v>2275948</v>
      </c>
      <c r="M146" s="187">
        <v>2446312</v>
      </c>
      <c r="N146" s="187">
        <v>2418855</v>
      </c>
      <c r="O146" s="202"/>
      <c r="P146" s="202"/>
      <c r="Q146" s="202"/>
      <c r="R146" s="202"/>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182"/>
    </row>
    <row r="147" spans="1:44" ht="14.25" hidden="1" customHeight="1" x14ac:dyDescent="0.3">
      <c r="A147" s="324"/>
      <c r="B147" s="185" t="s">
        <v>405</v>
      </c>
      <c r="C147" s="188">
        <v>0</v>
      </c>
      <c r="D147" s="188">
        <v>0</v>
      </c>
      <c r="E147" s="188">
        <v>0</v>
      </c>
      <c r="F147" s="188">
        <v>0</v>
      </c>
      <c r="G147" s="186">
        <v>32681</v>
      </c>
      <c r="H147" s="187">
        <v>32697</v>
      </c>
      <c r="I147" s="187">
        <v>41788</v>
      </c>
      <c r="J147" s="187">
        <v>35006</v>
      </c>
      <c r="K147" s="187">
        <v>25504</v>
      </c>
      <c r="L147" s="187">
        <v>39515</v>
      </c>
      <c r="M147" s="187">
        <v>27238</v>
      </c>
      <c r="N147" s="187">
        <v>20077</v>
      </c>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182"/>
    </row>
    <row r="148" spans="1:44" ht="13.5" hidden="1" customHeight="1" x14ac:dyDescent="0.3">
      <c r="A148" s="324"/>
      <c r="B148" s="185" t="s">
        <v>369</v>
      </c>
      <c r="C148" s="188">
        <v>0</v>
      </c>
      <c r="D148" s="188">
        <v>0</v>
      </c>
      <c r="E148" s="188">
        <v>0</v>
      </c>
      <c r="F148" s="188">
        <v>0</v>
      </c>
      <c r="G148" s="188">
        <v>0</v>
      </c>
      <c r="H148" s="187">
        <v>63334.728355706735</v>
      </c>
      <c r="I148" s="187">
        <v>40803.084957981751</v>
      </c>
      <c r="J148" s="187">
        <v>65372.491848106867</v>
      </c>
      <c r="K148" s="187">
        <v>43652.64024665601</v>
      </c>
      <c r="L148" s="187">
        <v>35010.121222727226</v>
      </c>
      <c r="M148" s="187">
        <v>37421.596562221981</v>
      </c>
      <c r="N148" s="187">
        <v>27855.525305192987</v>
      </c>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7"/>
      <c r="AQ148" s="187"/>
      <c r="AR148" s="182"/>
    </row>
    <row r="149" spans="1:44" ht="14.25" hidden="1" customHeight="1" x14ac:dyDescent="0.3">
      <c r="A149" s="324"/>
      <c r="B149" s="185" t="s">
        <v>394</v>
      </c>
      <c r="C149" s="186">
        <v>53518</v>
      </c>
      <c r="D149" s="186">
        <v>36221</v>
      </c>
      <c r="E149" s="186">
        <v>62956</v>
      </c>
      <c r="F149" s="186">
        <v>13121</v>
      </c>
      <c r="G149" s="186">
        <v>71935</v>
      </c>
      <c r="H149" s="187">
        <v>68355.074581034452</v>
      </c>
      <c r="I149" s="187">
        <v>55550</v>
      </c>
      <c r="J149" s="187">
        <v>62675</v>
      </c>
      <c r="K149" s="187">
        <v>31891</v>
      </c>
      <c r="L149" s="187">
        <v>31591</v>
      </c>
      <c r="M149" s="187">
        <v>38438.380859154036</v>
      </c>
      <c r="N149" s="187">
        <v>55277.204081601667</v>
      </c>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7"/>
      <c r="AQ149" s="187"/>
      <c r="AR149" s="182"/>
    </row>
    <row r="150" spans="1:44" ht="13.5" hidden="1" customHeight="1" x14ac:dyDescent="0.3">
      <c r="A150" s="324"/>
      <c r="B150" s="185" t="s">
        <v>406</v>
      </c>
      <c r="C150" s="186">
        <v>58133</v>
      </c>
      <c r="D150" s="186">
        <v>68072</v>
      </c>
      <c r="E150" s="186">
        <v>45975</v>
      </c>
      <c r="F150" s="186">
        <v>37544</v>
      </c>
      <c r="G150" s="186">
        <v>72494</v>
      </c>
      <c r="H150" s="187">
        <v>63077</v>
      </c>
      <c r="I150" s="187">
        <v>73829</v>
      </c>
      <c r="J150" s="187">
        <v>63367</v>
      </c>
      <c r="K150" s="187">
        <v>66623</v>
      </c>
      <c r="L150" s="187">
        <v>69686</v>
      </c>
      <c r="M150" s="187">
        <v>77361</v>
      </c>
      <c r="N150" s="187">
        <v>87922</v>
      </c>
      <c r="O150" s="202"/>
      <c r="P150" s="202"/>
      <c r="Q150" s="202"/>
      <c r="R150" s="202"/>
      <c r="S150" s="202"/>
      <c r="T150" s="202"/>
      <c r="U150" s="202"/>
      <c r="V150" s="202"/>
      <c r="W150" s="202"/>
      <c r="X150" s="202"/>
      <c r="Y150" s="202"/>
      <c r="Z150" s="202"/>
      <c r="AA150" s="202"/>
      <c r="AB150" s="202"/>
      <c r="AC150" s="202"/>
      <c r="AD150" s="202"/>
      <c r="AE150" s="202"/>
      <c r="AF150" s="202"/>
      <c r="AG150" s="202"/>
      <c r="AH150" s="202"/>
      <c r="AI150" s="202"/>
      <c r="AJ150" s="202"/>
      <c r="AK150" s="202"/>
      <c r="AL150" s="202"/>
      <c r="AM150" s="202"/>
      <c r="AN150" s="202"/>
      <c r="AO150" s="202"/>
      <c r="AP150" s="202"/>
      <c r="AQ150" s="202"/>
      <c r="AR150" s="182"/>
    </row>
    <row r="151" spans="1:44" ht="14.25" hidden="1" customHeight="1" x14ac:dyDescent="0.3">
      <c r="A151" s="324"/>
      <c r="B151" s="185" t="s">
        <v>407</v>
      </c>
      <c r="C151" s="186">
        <v>26338</v>
      </c>
      <c r="D151" s="186">
        <v>30641</v>
      </c>
      <c r="E151" s="186">
        <v>18412</v>
      </c>
      <c r="F151" s="186">
        <v>26909</v>
      </c>
      <c r="G151" s="186">
        <v>21304</v>
      </c>
      <c r="H151" s="187">
        <v>23687</v>
      </c>
      <c r="I151" s="187">
        <v>36063</v>
      </c>
      <c r="J151" s="187">
        <v>20602</v>
      </c>
      <c r="K151" s="187">
        <v>21217</v>
      </c>
      <c r="L151" s="187">
        <v>23028</v>
      </c>
      <c r="M151" s="187">
        <v>33657</v>
      </c>
      <c r="N151" s="187">
        <v>27061</v>
      </c>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182"/>
    </row>
    <row r="152" spans="1:44" ht="14.25" hidden="1" customHeight="1" x14ac:dyDescent="0.3">
      <c r="A152" s="324"/>
      <c r="B152" s="185" t="s">
        <v>408</v>
      </c>
      <c r="C152" s="186">
        <v>440656</v>
      </c>
      <c r="D152" s="186">
        <v>390719</v>
      </c>
      <c r="E152" s="186">
        <v>356046</v>
      </c>
      <c r="F152" s="186">
        <v>391691</v>
      </c>
      <c r="G152" s="186">
        <v>532354</v>
      </c>
      <c r="H152" s="187">
        <v>472720</v>
      </c>
      <c r="I152" s="187">
        <v>513316</v>
      </c>
      <c r="J152" s="187">
        <v>479769</v>
      </c>
      <c r="K152" s="187">
        <v>346093</v>
      </c>
      <c r="L152" s="187">
        <v>345209</v>
      </c>
      <c r="M152" s="187">
        <v>472586</v>
      </c>
      <c r="N152" s="187">
        <v>340959</v>
      </c>
      <c r="O152" s="202"/>
      <c r="P152" s="202"/>
      <c r="Q152" s="202"/>
      <c r="R152" s="202"/>
      <c r="S152" s="202"/>
      <c r="T152" s="202"/>
      <c r="U152" s="202"/>
      <c r="V152" s="202"/>
      <c r="W152" s="202"/>
      <c r="X152" s="202"/>
      <c r="Y152" s="202"/>
      <c r="Z152" s="202"/>
      <c r="AA152" s="202"/>
      <c r="AB152" s="202"/>
      <c r="AC152" s="202"/>
      <c r="AD152" s="202"/>
      <c r="AE152" s="202"/>
      <c r="AF152" s="202"/>
      <c r="AG152" s="202"/>
      <c r="AH152" s="202"/>
      <c r="AI152" s="202"/>
      <c r="AJ152" s="202"/>
      <c r="AK152" s="202"/>
      <c r="AL152" s="202"/>
      <c r="AM152" s="202"/>
      <c r="AN152" s="202"/>
      <c r="AO152" s="202"/>
      <c r="AP152" s="202"/>
      <c r="AQ152" s="202"/>
      <c r="AR152" s="182"/>
    </row>
    <row r="153" spans="1:44" ht="14.25" hidden="1" customHeight="1" x14ac:dyDescent="0.3">
      <c r="A153" s="324"/>
      <c r="B153" s="185" t="s">
        <v>409</v>
      </c>
      <c r="C153" s="186">
        <v>188272</v>
      </c>
      <c r="D153" s="186">
        <v>138069</v>
      </c>
      <c r="E153" s="186">
        <v>137864</v>
      </c>
      <c r="F153" s="186">
        <v>77832</v>
      </c>
      <c r="G153" s="186">
        <v>263374</v>
      </c>
      <c r="H153" s="187">
        <v>526695</v>
      </c>
      <c r="I153" s="187">
        <v>333963</v>
      </c>
      <c r="J153" s="187">
        <v>445416</v>
      </c>
      <c r="K153" s="187">
        <v>342921</v>
      </c>
      <c r="L153" s="187">
        <v>264673</v>
      </c>
      <c r="M153" s="187">
        <v>347640.6608636186</v>
      </c>
      <c r="N153" s="187">
        <v>451256</v>
      </c>
      <c r="O153" s="202"/>
      <c r="P153" s="202"/>
      <c r="Q153" s="202"/>
      <c r="R153" s="202"/>
      <c r="S153" s="202"/>
      <c r="T153" s="202"/>
      <c r="U153" s="202"/>
      <c r="V153" s="202"/>
      <c r="W153" s="202"/>
      <c r="X153" s="202"/>
      <c r="Y153" s="202"/>
      <c r="Z153" s="202"/>
      <c r="AA153" s="202"/>
      <c r="AB153" s="202"/>
      <c r="AC153" s="202"/>
      <c r="AD153" s="202"/>
      <c r="AE153" s="202"/>
      <c r="AF153" s="202"/>
      <c r="AG153" s="202"/>
      <c r="AH153" s="202"/>
      <c r="AI153" s="202"/>
      <c r="AJ153" s="202"/>
      <c r="AK153" s="202"/>
      <c r="AL153" s="202"/>
      <c r="AM153" s="202"/>
      <c r="AN153" s="202"/>
      <c r="AO153" s="202"/>
      <c r="AP153" s="202"/>
      <c r="AQ153" s="202"/>
      <c r="AR153" s="182"/>
    </row>
    <row r="154" spans="1:44" ht="13.5" hidden="1" customHeight="1" x14ac:dyDescent="0.3">
      <c r="A154" s="324"/>
      <c r="B154" s="185" t="s">
        <v>410</v>
      </c>
      <c r="C154" s="186">
        <v>53518</v>
      </c>
      <c r="D154" s="186">
        <v>36221</v>
      </c>
      <c r="E154" s="186">
        <v>62956</v>
      </c>
      <c r="F154" s="186">
        <v>13121</v>
      </c>
      <c r="G154" s="186">
        <v>184964</v>
      </c>
      <c r="H154" s="187">
        <v>175741.34622532772</v>
      </c>
      <c r="I154" s="187">
        <v>148851.91504201826</v>
      </c>
      <c r="J154" s="187">
        <v>245267.50815189313</v>
      </c>
      <c r="K154" s="187">
        <v>254020.35975334398</v>
      </c>
      <c r="L154" s="187">
        <v>243770.87877727277</v>
      </c>
      <c r="M154" s="187">
        <v>243796.78429693205</v>
      </c>
      <c r="N154" s="187">
        <v>197232.67877640869</v>
      </c>
      <c r="O154" s="202"/>
      <c r="P154" s="202"/>
      <c r="Q154" s="202"/>
      <c r="R154" s="202"/>
      <c r="S154" s="202"/>
      <c r="T154" s="202"/>
      <c r="U154" s="202"/>
      <c r="V154" s="202"/>
      <c r="W154" s="202"/>
      <c r="X154" s="202"/>
      <c r="Y154" s="202"/>
      <c r="Z154" s="202"/>
      <c r="AA154" s="202"/>
      <c r="AB154" s="202"/>
      <c r="AC154" s="202"/>
      <c r="AD154" s="202"/>
      <c r="AE154" s="202"/>
      <c r="AF154" s="202"/>
      <c r="AG154" s="202"/>
      <c r="AH154" s="202"/>
      <c r="AI154" s="202"/>
      <c r="AJ154" s="202"/>
      <c r="AK154" s="202"/>
      <c r="AL154" s="202"/>
      <c r="AM154" s="202"/>
      <c r="AN154" s="202"/>
      <c r="AO154" s="202"/>
      <c r="AP154" s="202"/>
      <c r="AQ154" s="202"/>
      <c r="AR154" s="182"/>
    </row>
    <row r="155" spans="1:44" ht="13.5" hidden="1" customHeight="1" x14ac:dyDescent="0.3">
      <c r="A155" s="324"/>
      <c r="B155" s="185"/>
      <c r="C155" s="203"/>
      <c r="D155" s="203"/>
      <c r="E155" s="203"/>
      <c r="F155" s="203"/>
      <c r="G155" s="203"/>
      <c r="H155" s="204"/>
      <c r="I155" s="204"/>
      <c r="J155" s="204"/>
      <c r="K155" s="204"/>
      <c r="L155" s="204"/>
      <c r="M155" s="204"/>
      <c r="N155" s="204"/>
      <c r="O155" s="202"/>
      <c r="P155" s="202"/>
      <c r="Q155" s="202"/>
      <c r="R155" s="202"/>
      <c r="S155" s="202"/>
      <c r="T155" s="202"/>
      <c r="U155" s="202"/>
      <c r="V155" s="202"/>
      <c r="W155" s="202"/>
      <c r="X155" s="202"/>
      <c r="Y155" s="202"/>
      <c r="Z155" s="202"/>
      <c r="AA155" s="202"/>
      <c r="AB155" s="202"/>
      <c r="AC155" s="202"/>
      <c r="AD155" s="202"/>
      <c r="AE155" s="202"/>
      <c r="AF155" s="202"/>
      <c r="AG155" s="202"/>
      <c r="AH155" s="202"/>
      <c r="AI155" s="202"/>
      <c r="AJ155" s="202"/>
      <c r="AK155" s="202"/>
      <c r="AL155" s="202"/>
      <c r="AM155" s="202"/>
      <c r="AN155" s="202"/>
      <c r="AO155" s="202"/>
      <c r="AP155" s="202"/>
      <c r="AQ155" s="202"/>
      <c r="AR155" s="182"/>
    </row>
    <row r="156" spans="1:44" ht="14.25" hidden="1" customHeight="1" x14ac:dyDescent="0.3">
      <c r="A156" s="324"/>
      <c r="B156" s="184" t="s">
        <v>411</v>
      </c>
      <c r="C156" s="179"/>
      <c r="D156" s="179"/>
      <c r="E156" s="179"/>
      <c r="F156" s="179"/>
      <c r="G156" s="179"/>
      <c r="H156" s="180"/>
      <c r="I156" s="181"/>
      <c r="J156" s="181"/>
      <c r="K156" s="181"/>
      <c r="L156" s="181"/>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c r="AI156" s="181"/>
      <c r="AJ156" s="181"/>
      <c r="AK156" s="181"/>
      <c r="AL156" s="181"/>
      <c r="AM156" s="181"/>
      <c r="AN156" s="181"/>
      <c r="AO156" s="181"/>
      <c r="AP156" s="181"/>
      <c r="AQ156" s="181"/>
      <c r="AR156" s="182"/>
    </row>
    <row r="157" spans="1:44" ht="14.25" hidden="1" customHeight="1" x14ac:dyDescent="0.3">
      <c r="A157" s="1206" t="s">
        <v>824</v>
      </c>
      <c r="B157" s="185" t="s">
        <v>825</v>
      </c>
      <c r="C157" s="190">
        <f t="shared" ref="C157:N157" si="87">C141/1000000</f>
        <v>8.478351</v>
      </c>
      <c r="D157" s="190">
        <f t="shared" si="87"/>
        <v>8.0197599999999998</v>
      </c>
      <c r="E157" s="190">
        <f t="shared" si="87"/>
        <v>7.5715630000000003</v>
      </c>
      <c r="F157" s="190">
        <f t="shared" si="87"/>
        <v>6.5996610000000002</v>
      </c>
      <c r="G157" s="190">
        <f t="shared" si="87"/>
        <v>7.5256959999999999</v>
      </c>
      <c r="H157" s="191">
        <f t="shared" si="87"/>
        <v>7.8699690000000002</v>
      </c>
      <c r="I157" s="191">
        <f t="shared" si="87"/>
        <v>7.1400889999999997</v>
      </c>
      <c r="J157" s="191">
        <f t="shared" si="87"/>
        <v>7.0459250000000004</v>
      </c>
      <c r="K157" s="191">
        <f t="shared" si="87"/>
        <v>7.1576029999999999</v>
      </c>
      <c r="L157" s="191">
        <f t="shared" si="87"/>
        <v>7.3329269999999998</v>
      </c>
      <c r="M157" s="191">
        <f t="shared" si="87"/>
        <v>6.7456880000000004</v>
      </c>
      <c r="N157" s="191">
        <f t="shared" si="87"/>
        <v>7.4483709999999999</v>
      </c>
      <c r="O157" s="202">
        <v>7.6494770169999988</v>
      </c>
      <c r="P157" s="202">
        <v>7.886610804526998</v>
      </c>
      <c r="Q157" s="202">
        <v>8.1232091286628076</v>
      </c>
      <c r="R157" s="202">
        <v>8.3425357751367031</v>
      </c>
      <c r="S157" s="202">
        <v>8.5344140979648468</v>
      </c>
      <c r="T157" s="202">
        <v>8.8062200464368843</v>
      </c>
      <c r="U157" s="202">
        <v>9.0568602567538328</v>
      </c>
      <c r="V157" s="202">
        <v>9.255746843830126</v>
      </c>
      <c r="W157" s="202">
        <v>9.4762226594814436</v>
      </c>
      <c r="X157" s="202">
        <v>9.7764123621020911</v>
      </c>
      <c r="Y157" s="202">
        <v>10.017582994713354</v>
      </c>
      <c r="Z157" s="202">
        <v>10.30723471896583</v>
      </c>
      <c r="AA157" s="202">
        <v>10.5511715046663</v>
      </c>
      <c r="AB157" s="202">
        <v>10.800649348549143</v>
      </c>
      <c r="AC157" s="202">
        <v>11.076474899596953</v>
      </c>
      <c r="AD157" s="202">
        <v>11.327813945230245</v>
      </c>
      <c r="AE157" s="202">
        <v>11.593190519803436</v>
      </c>
      <c r="AF157" s="202">
        <v>11.885465724161694</v>
      </c>
      <c r="AG157" s="202">
        <v>12.155439871719844</v>
      </c>
      <c r="AH157" s="202">
        <v>12.432896882611143</v>
      </c>
      <c r="AI157" s="202">
        <v>12.709913127678748</v>
      </c>
      <c r="AJ157" s="202">
        <v>12.93224543571727</v>
      </c>
      <c r="AK157" s="202">
        <v>13.215674030202448</v>
      </c>
      <c r="AL157" s="202">
        <v>13.461362348829908</v>
      </c>
      <c r="AM157" s="202">
        <v>13.769106420899844</v>
      </c>
      <c r="AN157" s="202">
        <v>14.02287489909679</v>
      </c>
      <c r="AO157" s="202">
        <v>14.274162315761412</v>
      </c>
      <c r="AP157" s="202">
        <v>14.534709924302893</v>
      </c>
      <c r="AQ157" s="202">
        <v>14.797204572367477</v>
      </c>
      <c r="AR157" s="182"/>
    </row>
    <row r="158" spans="1:44" ht="14.25" hidden="1" customHeight="1" x14ac:dyDescent="0.3">
      <c r="A158" s="995"/>
      <c r="B158" s="185" t="s">
        <v>414</v>
      </c>
      <c r="C158" s="190">
        <f t="shared" ref="C158:N158" si="88">C142/1000000</f>
        <v>0.1321</v>
      </c>
      <c r="D158" s="190">
        <f t="shared" si="88"/>
        <v>0.224163</v>
      </c>
      <c r="E158" s="190">
        <f t="shared" si="88"/>
        <v>0.133323</v>
      </c>
      <c r="F158" s="190">
        <f t="shared" si="88"/>
        <v>0.128446</v>
      </c>
      <c r="G158" s="190">
        <f t="shared" si="88"/>
        <v>0.15621599999999999</v>
      </c>
      <c r="H158" s="191">
        <f t="shared" si="88"/>
        <v>0.18019199999999999</v>
      </c>
      <c r="I158" s="191">
        <f t="shared" si="88"/>
        <v>0.17755099999999999</v>
      </c>
      <c r="J158" s="191">
        <f t="shared" si="88"/>
        <v>0.205955</v>
      </c>
      <c r="K158" s="191">
        <f t="shared" si="88"/>
        <v>0.235182</v>
      </c>
      <c r="L158" s="191">
        <f t="shared" si="88"/>
        <v>0.28367999999999999</v>
      </c>
      <c r="M158" s="191">
        <f t="shared" si="88"/>
        <v>0.327903</v>
      </c>
      <c r="N158" s="191">
        <f t="shared" si="88"/>
        <v>0.30209399999999997</v>
      </c>
      <c r="O158" s="202">
        <v>0.31025053799999996</v>
      </c>
      <c r="P158" s="202">
        <v>0.31986830467799993</v>
      </c>
      <c r="Q158" s="202">
        <v>0.32946435381833994</v>
      </c>
      <c r="R158" s="202">
        <v>0.33835989137143507</v>
      </c>
      <c r="S158" s="202">
        <v>0.34614216887297805</v>
      </c>
      <c r="T158" s="202">
        <v>0.35716618287519569</v>
      </c>
      <c r="U158" s="202">
        <v>0.36733174843248173</v>
      </c>
      <c r="V158" s="202">
        <v>0.37539826990895303</v>
      </c>
      <c r="W158" s="202">
        <v>0.38434041592361434</v>
      </c>
      <c r="X158" s="202">
        <v>0.39651562954058939</v>
      </c>
      <c r="Y158" s="202">
        <v>0.40629712419063663</v>
      </c>
      <c r="Z158" s="202">
        <v>0.41804493428043038</v>
      </c>
      <c r="AA158" s="202">
        <v>0.42793861967008107</v>
      </c>
      <c r="AB158" s="202">
        <v>0.43805704150620384</v>
      </c>
      <c r="AC158" s="202">
        <v>0.44924408415193634</v>
      </c>
      <c r="AD158" s="202">
        <v>0.45943799335054419</v>
      </c>
      <c r="AE158" s="202">
        <v>0.47020124224337101</v>
      </c>
      <c r="AF158" s="202">
        <v>0.48205545648503589</v>
      </c>
      <c r="AG158" s="202">
        <v>0.49300517557561718</v>
      </c>
      <c r="AH158" s="202">
        <v>0.5042583876199952</v>
      </c>
      <c r="AI158" s="202">
        <v>0.51549372290840301</v>
      </c>
      <c r="AJ158" s="202">
        <v>0.5245111652813178</v>
      </c>
      <c r="AK158" s="202">
        <v>0.53600657519341877</v>
      </c>
      <c r="AL158" s="202">
        <v>0.54597129995369775</v>
      </c>
      <c r="AM158" s="202">
        <v>0.55845290669803083</v>
      </c>
      <c r="AN158" s="202">
        <v>0.56874534979094715</v>
      </c>
      <c r="AO158" s="202">
        <v>0.57893716500126391</v>
      </c>
      <c r="AP158" s="202">
        <v>0.58950455876491104</v>
      </c>
      <c r="AQ158" s="202">
        <v>0.60015092133364223</v>
      </c>
      <c r="AR158" s="182"/>
    </row>
    <row r="159" spans="1:44" ht="14.25" hidden="1" customHeight="1" x14ac:dyDescent="0.3">
      <c r="A159" s="995"/>
      <c r="B159" s="185" t="s">
        <v>415</v>
      </c>
      <c r="C159" s="190">
        <f t="shared" ref="C159:N159" si="89">C143/1000000</f>
        <v>3.1347E-2</v>
      </c>
      <c r="D159" s="190">
        <f t="shared" si="89"/>
        <v>2.3828999999999999E-2</v>
      </c>
      <c r="E159" s="190">
        <f t="shared" si="89"/>
        <v>7.3400000000000002E-3</v>
      </c>
      <c r="F159" s="190">
        <f t="shared" si="89"/>
        <v>7.7590000000000003E-3</v>
      </c>
      <c r="G159" s="190">
        <f t="shared" si="89"/>
        <v>4.2249999999999996E-3</v>
      </c>
      <c r="H159" s="191">
        <f t="shared" si="89"/>
        <v>5.2969999999999996E-3</v>
      </c>
      <c r="I159" s="191">
        <f t="shared" si="89"/>
        <v>3.9050000000000001E-3</v>
      </c>
      <c r="J159" s="191">
        <f t="shared" si="89"/>
        <v>7.5640000000000004E-3</v>
      </c>
      <c r="K159" s="191">
        <f t="shared" si="89"/>
        <v>5.0650000000000001E-3</v>
      </c>
      <c r="L159" s="191">
        <f t="shared" si="89"/>
        <v>8.1410000000000007E-3</v>
      </c>
      <c r="M159" s="191">
        <f t="shared" si="89"/>
        <v>5.28E-3</v>
      </c>
      <c r="N159" s="191">
        <f t="shared" si="89"/>
        <v>4.9170000000000004E-3</v>
      </c>
      <c r="O159" s="202">
        <v>5.049759E-3</v>
      </c>
      <c r="P159" s="202">
        <v>5.2063015289999992E-3</v>
      </c>
      <c r="Q159" s="202">
        <v>5.362490574869999E-3</v>
      </c>
      <c r="R159" s="202">
        <v>5.5072778203914888E-3</v>
      </c>
      <c r="S159" s="202">
        <v>5.6339452102604926E-3</v>
      </c>
      <c r="T159" s="202">
        <v>5.8133763702600426E-3</v>
      </c>
      <c r="U159" s="202">
        <v>5.9788350878948703E-3</v>
      </c>
      <c r="V159" s="202">
        <v>6.110128943780155E-3</v>
      </c>
      <c r="W159" s="202">
        <v>6.2556748068363218E-3</v>
      </c>
      <c r="X159" s="202">
        <v>6.4538433416455737E-3</v>
      </c>
      <c r="Y159" s="202">
        <v>6.6130507711022407E-3</v>
      </c>
      <c r="Z159" s="202">
        <v>6.8042627190770958E-3</v>
      </c>
      <c r="AA159" s="202">
        <v>6.9652962088548225E-3</v>
      </c>
      <c r="AB159" s="202">
        <v>7.1299875968605948E-3</v>
      </c>
      <c r="AC159" s="202">
        <v>7.3120722747723266E-3</v>
      </c>
      <c r="AD159" s="202">
        <v>7.4779923245897831E-3</v>
      </c>
      <c r="AE159" s="202">
        <v>7.6531791697638995E-3</v>
      </c>
      <c r="AF159" s="202">
        <v>7.8461229932965289E-3</v>
      </c>
      <c r="AG159" s="202">
        <v>8.0243449002804085E-3</v>
      </c>
      <c r="AH159" s="202">
        <v>8.2075065771829835E-3</v>
      </c>
      <c r="AI159" s="202">
        <v>8.3903772850192886E-3</v>
      </c>
      <c r="AJ159" s="202">
        <v>8.5371487010276227E-3</v>
      </c>
      <c r="AK159" s="202">
        <v>8.7242524850743124E-3</v>
      </c>
      <c r="AL159" s="202">
        <v>8.8864422394100209E-3</v>
      </c>
      <c r="AM159" s="202">
        <v>9.0895977484962195E-3</v>
      </c>
      <c r="AN159" s="202">
        <v>9.2571215744837263E-3</v>
      </c>
      <c r="AO159" s="202">
        <v>9.4230075417294432E-3</v>
      </c>
      <c r="AP159" s="202">
        <v>9.5950065722823601E-3</v>
      </c>
      <c r="AQ159" s="202">
        <v>9.7682909299672237E-3</v>
      </c>
      <c r="AR159" s="182"/>
    </row>
    <row r="160" spans="1:44" ht="14.25" hidden="1" customHeight="1" x14ac:dyDescent="0.3">
      <c r="A160" s="995"/>
      <c r="B160" s="185" t="s">
        <v>416</v>
      </c>
      <c r="C160" s="190">
        <f t="shared" ref="C160:N160" si="90">C144/1000000</f>
        <v>8.3471820000000001</v>
      </c>
      <c r="D160" s="190">
        <f t="shared" si="90"/>
        <v>8.1318190000000001</v>
      </c>
      <c r="E160" s="190">
        <f t="shared" si="90"/>
        <v>7.3789220000000002</v>
      </c>
      <c r="F160" s="190">
        <f t="shared" si="90"/>
        <v>7.1582650000000001</v>
      </c>
      <c r="G160" s="190">
        <f t="shared" si="90"/>
        <v>8.2513059999999996</v>
      </c>
      <c r="H160" s="191">
        <f t="shared" si="90"/>
        <v>10.106104999999999</v>
      </c>
      <c r="I160" s="191">
        <f t="shared" si="90"/>
        <v>8.6616090000000003</v>
      </c>
      <c r="J160" s="191">
        <f t="shared" si="90"/>
        <v>9.3449829999999992</v>
      </c>
      <c r="K160" s="191">
        <f t="shared" si="90"/>
        <v>7.8406349999999998</v>
      </c>
      <c r="L160" s="191">
        <f t="shared" si="90"/>
        <v>10.08887</v>
      </c>
      <c r="M160" s="191">
        <f t="shared" si="90"/>
        <v>11.390245</v>
      </c>
      <c r="N160" s="191">
        <f t="shared" si="90"/>
        <v>11.6717</v>
      </c>
      <c r="O160" s="202">
        <v>11.986835899999999</v>
      </c>
      <c r="P160" s="202">
        <v>12.358427812899999</v>
      </c>
      <c r="Q160" s="202">
        <v>12.729180647286999</v>
      </c>
      <c r="R160" s="202">
        <v>13.072868524763747</v>
      </c>
      <c r="S160" s="202">
        <v>13.373544500833312</v>
      </c>
      <c r="T160" s="202">
        <v>13.799468167737267</v>
      </c>
      <c r="U160" s="202">
        <v>14.192224831275688</v>
      </c>
      <c r="V160" s="202">
        <v>14.503882854000171</v>
      </c>
      <c r="W160" s="202">
        <v>14.849371495414177</v>
      </c>
      <c r="X160" s="202">
        <v>15.319772896214085</v>
      </c>
      <c r="Y160" s="202">
        <v>15.697690600991262</v>
      </c>
      <c r="Z160" s="202">
        <v>16.151578844468609</v>
      </c>
      <c r="AA160" s="202">
        <v>16.533831149255814</v>
      </c>
      <c r="AB160" s="202">
        <v>16.924766368573888</v>
      </c>
      <c r="AC160" s="202">
        <v>17.356988808106603</v>
      </c>
      <c r="AD160" s="202">
        <v>17.750840556216101</v>
      </c>
      <c r="AE160" s="202">
        <v>18.166689305619951</v>
      </c>
      <c r="AF160" s="202">
        <v>18.624688578576183</v>
      </c>
      <c r="AG160" s="202">
        <v>19.047741788204767</v>
      </c>
      <c r="AH160" s="202">
        <v>19.48252074779472</v>
      </c>
      <c r="AI160" s="202">
        <v>19.916609021264929</v>
      </c>
      <c r="AJ160" s="202">
        <v>20.26500681183326</v>
      </c>
      <c r="AK160" s="202">
        <v>20.70914332520681</v>
      </c>
      <c r="AL160" s="202">
        <v>21.094140306227775</v>
      </c>
      <c r="AM160" s="202">
        <v>21.576379508058437</v>
      </c>
      <c r="AN160" s="202">
        <v>21.974038210474216</v>
      </c>
      <c r="AO160" s="202">
        <v>22.367809055278332</v>
      </c>
      <c r="AP160" s="202">
        <v>22.77609074836446</v>
      </c>
      <c r="AQ160" s="202">
        <v>23.187423479214658</v>
      </c>
      <c r="AR160" s="182"/>
    </row>
    <row r="161" spans="1:44" ht="14.25" hidden="1" customHeight="1" x14ac:dyDescent="0.3">
      <c r="A161" s="995"/>
      <c r="B161" s="185" t="s">
        <v>417</v>
      </c>
      <c r="C161" s="190">
        <f t="shared" ref="C161:N161" si="91">C145/1000000</f>
        <v>0.98409599999999997</v>
      </c>
      <c r="D161" s="190">
        <f t="shared" si="91"/>
        <v>0.96326199999999995</v>
      </c>
      <c r="E161" s="190">
        <f t="shared" si="91"/>
        <v>1.3295319999999999</v>
      </c>
      <c r="F161" s="190">
        <f t="shared" si="91"/>
        <v>1.177181</v>
      </c>
      <c r="G161" s="190">
        <f t="shared" si="91"/>
        <v>1.6677040000000001</v>
      </c>
      <c r="H161" s="191">
        <f t="shared" si="91"/>
        <v>2.0175730000000001</v>
      </c>
      <c r="I161" s="191">
        <f t="shared" si="91"/>
        <v>1.1990749999999999</v>
      </c>
      <c r="J161" s="191">
        <f t="shared" si="91"/>
        <v>1.572279</v>
      </c>
      <c r="K161" s="191">
        <f t="shared" si="91"/>
        <v>1.4492659999999999</v>
      </c>
      <c r="L161" s="191">
        <f t="shared" si="91"/>
        <v>1.628519</v>
      </c>
      <c r="M161" s="191">
        <f t="shared" si="91"/>
        <v>1.463279</v>
      </c>
      <c r="N161" s="191">
        <f t="shared" si="91"/>
        <v>1.849405</v>
      </c>
      <c r="O161" s="202">
        <v>1.8993389349999998</v>
      </c>
      <c r="P161" s="202">
        <v>1.9582184419849997</v>
      </c>
      <c r="Q161" s="202">
        <v>2.0169649952445496</v>
      </c>
      <c r="R161" s="202">
        <v>2.0714230501161524</v>
      </c>
      <c r="S161" s="202">
        <v>2.1190657802688238</v>
      </c>
      <c r="T161" s="202">
        <v>2.1865542660241561</v>
      </c>
      <c r="U161" s="202">
        <v>2.2487873715127544</v>
      </c>
      <c r="V161" s="202">
        <v>2.2981702296668169</v>
      </c>
      <c r="W161" s="202">
        <v>2.3529136193079379</v>
      </c>
      <c r="X161" s="202">
        <v>2.4274496939711279</v>
      </c>
      <c r="Y161" s="202">
        <v>2.4873315357596795</v>
      </c>
      <c r="Z161" s="202">
        <v>2.5592510664988368</v>
      </c>
      <c r="AA161" s="202">
        <v>2.6198197346221592</v>
      </c>
      <c r="AB161" s="202">
        <v>2.6817642285076206</v>
      </c>
      <c r="AC161" s="202">
        <v>2.7502507678107215</v>
      </c>
      <c r="AD161" s="202">
        <v>2.8126573917140476</v>
      </c>
      <c r="AE161" s="202">
        <v>2.8785494859583505</v>
      </c>
      <c r="AF161" s="202">
        <v>2.9511204178193151</v>
      </c>
      <c r="AG161" s="202">
        <v>3.0181540736837693</v>
      </c>
      <c r="AH161" s="202">
        <v>3.0870456988763681</v>
      </c>
      <c r="AI161" s="202">
        <v>3.1558278834250775</v>
      </c>
      <c r="AJ161" s="202">
        <v>3.2110322337653039</v>
      </c>
      <c r="AK161" s="202">
        <v>3.2814065827046708</v>
      </c>
      <c r="AL161" s="202">
        <v>3.3424101504527348</v>
      </c>
      <c r="AM161" s="202">
        <v>3.4188219491677154</v>
      </c>
      <c r="AN161" s="202">
        <v>3.4818317928529754</v>
      </c>
      <c r="AO161" s="202">
        <v>3.5442255974602697</v>
      </c>
      <c r="AP161" s="202">
        <v>3.6089186759837024</v>
      </c>
      <c r="AQ161" s="202">
        <v>3.6740951977498555</v>
      </c>
      <c r="AR161" s="182"/>
    </row>
    <row r="162" spans="1:44" ht="14.25" hidden="1" customHeight="1" x14ac:dyDescent="0.3">
      <c r="A162" s="995"/>
      <c r="B162" s="185" t="s">
        <v>418</v>
      </c>
      <c r="C162" s="190">
        <f t="shared" ref="C162:N162" si="92">C146/1000000</f>
        <v>2.8504649999999998</v>
      </c>
      <c r="D162" s="190">
        <f t="shared" si="92"/>
        <v>2.097356</v>
      </c>
      <c r="E162" s="190">
        <f t="shared" si="92"/>
        <v>2.649051</v>
      </c>
      <c r="F162" s="190">
        <f t="shared" si="92"/>
        <v>2.3168380000000002</v>
      </c>
      <c r="G162" s="190">
        <f t="shared" si="92"/>
        <v>3.4685100000000002</v>
      </c>
      <c r="H162" s="191">
        <f t="shared" si="92"/>
        <v>4.1756589999999996</v>
      </c>
      <c r="I162" s="191">
        <f t="shared" si="92"/>
        <v>3.124069</v>
      </c>
      <c r="J162" s="191">
        <f t="shared" si="92"/>
        <v>3.2759930000000002</v>
      </c>
      <c r="K162" s="191">
        <f t="shared" si="92"/>
        <v>2.7857560000000001</v>
      </c>
      <c r="L162" s="191">
        <f t="shared" si="92"/>
        <v>2.2759480000000001</v>
      </c>
      <c r="M162" s="191">
        <f t="shared" si="92"/>
        <v>2.4463119999999998</v>
      </c>
      <c r="N162" s="191">
        <f t="shared" si="92"/>
        <v>2.4188550000000002</v>
      </c>
      <c r="O162" s="202">
        <v>2.4841640850000002</v>
      </c>
      <c r="P162" s="202">
        <v>2.5611731716350001</v>
      </c>
      <c r="Q162" s="202">
        <v>2.6380083667840504</v>
      </c>
      <c r="R162" s="202">
        <v>2.7092345926872197</v>
      </c>
      <c r="S162" s="202">
        <v>2.7715469883190256</v>
      </c>
      <c r="T162" s="202">
        <v>2.8598158430110558</v>
      </c>
      <c r="U162" s="202">
        <v>2.9412111341325917</v>
      </c>
      <c r="V162" s="202">
        <v>3.0057994603024922</v>
      </c>
      <c r="W162" s="202">
        <v>3.0773988783587716</v>
      </c>
      <c r="X162" s="202">
        <v>3.1748853439406375</v>
      </c>
      <c r="Y162" s="202">
        <v>3.253205394129453</v>
      </c>
      <c r="Z162" s="202">
        <v>3.3472696561629527</v>
      </c>
      <c r="AA162" s="202">
        <v>3.4264880132742608</v>
      </c>
      <c r="AB162" s="202">
        <v>3.5075058264397483</v>
      </c>
      <c r="AC162" s="202">
        <v>3.5970800451890228</v>
      </c>
      <c r="AD162" s="202">
        <v>3.6787022827528228</v>
      </c>
      <c r="AE162" s="202">
        <v>3.7648832012770526</v>
      </c>
      <c r="AF162" s="202">
        <v>3.8597994372483808</v>
      </c>
      <c r="AG162" s="202">
        <v>3.9474734154500264</v>
      </c>
      <c r="AH162" s="202">
        <v>4.037577450020736</v>
      </c>
      <c r="AI162" s="202">
        <v>4.1275383460962676</v>
      </c>
      <c r="AJ162" s="202">
        <v>4.1997406591873476</v>
      </c>
      <c r="AK162" s="202">
        <v>4.2917839627383456</v>
      </c>
      <c r="AL162" s="202">
        <v>4.37157112934882</v>
      </c>
      <c r="AM162" s="202">
        <v>4.4715108728775359</v>
      </c>
      <c r="AN162" s="202">
        <v>4.5539220675305785</v>
      </c>
      <c r="AO162" s="202">
        <v>4.6355275386109405</v>
      </c>
      <c r="AP162" s="202">
        <v>4.7201402526740033</v>
      </c>
      <c r="AQ162" s="202">
        <v>4.8053852669119168</v>
      </c>
      <c r="AR162" s="182"/>
    </row>
    <row r="163" spans="1:44" ht="13.5" hidden="1" customHeight="1" x14ac:dyDescent="0.3">
      <c r="A163" s="995"/>
      <c r="B163" s="185" t="s">
        <v>419</v>
      </c>
      <c r="C163" s="193">
        <f t="shared" ref="C163:N163" si="93">C147/1000000</f>
        <v>0</v>
      </c>
      <c r="D163" s="193">
        <f t="shared" si="93"/>
        <v>0</v>
      </c>
      <c r="E163" s="193">
        <f t="shared" si="93"/>
        <v>0</v>
      </c>
      <c r="F163" s="193">
        <f t="shared" si="93"/>
        <v>0</v>
      </c>
      <c r="G163" s="190">
        <f t="shared" si="93"/>
        <v>3.2681000000000002E-2</v>
      </c>
      <c r="H163" s="191">
        <f t="shared" si="93"/>
        <v>3.2696999999999997E-2</v>
      </c>
      <c r="I163" s="191">
        <f t="shared" si="93"/>
        <v>4.1787999999999999E-2</v>
      </c>
      <c r="J163" s="191">
        <f t="shared" si="93"/>
        <v>3.5006000000000002E-2</v>
      </c>
      <c r="K163" s="191">
        <f t="shared" si="93"/>
        <v>2.5503999999999999E-2</v>
      </c>
      <c r="L163" s="191">
        <f t="shared" si="93"/>
        <v>3.9515000000000002E-2</v>
      </c>
      <c r="M163" s="191">
        <f t="shared" si="93"/>
        <v>2.7237999999999998E-2</v>
      </c>
      <c r="N163" s="191">
        <f t="shared" si="93"/>
        <v>2.0077000000000001E-2</v>
      </c>
      <c r="O163" s="202">
        <v>2.0619078999999998E-2</v>
      </c>
      <c r="P163" s="202">
        <v>2.1258270448999996E-2</v>
      </c>
      <c r="Q163" s="202">
        <v>2.1896018562469997E-2</v>
      </c>
      <c r="R163" s="202">
        <v>2.2487211063656684E-2</v>
      </c>
      <c r="S163" s="202">
        <v>2.3004416918120787E-2</v>
      </c>
      <c r="T163" s="202">
        <v>2.3737066785786229E-2</v>
      </c>
      <c r="U163" s="202">
        <v>2.441266464504074E-2</v>
      </c>
      <c r="V163" s="202">
        <v>2.4948761196720397E-2</v>
      </c>
      <c r="W163" s="202">
        <v>2.554305127046021E-2</v>
      </c>
      <c r="X163" s="202">
        <v>2.6352209227215418E-2</v>
      </c>
      <c r="Y163" s="202">
        <v>2.700228194659746E-2</v>
      </c>
      <c r="Z163" s="202">
        <v>2.7783034901547869E-2</v>
      </c>
      <c r="AA163" s="202">
        <v>2.8440563755374879E-2</v>
      </c>
      <c r="AB163" s="202">
        <v>2.911302846901976E-2</v>
      </c>
      <c r="AC163" s="202">
        <v>2.9856513130080128E-2</v>
      </c>
      <c r="AD163" s="202">
        <v>3.0533994692045773E-2</v>
      </c>
      <c r="AE163" s="202">
        <v>3.1249314254901323E-2</v>
      </c>
      <c r="AF163" s="202">
        <v>3.2037138770879485E-2</v>
      </c>
      <c r="AG163" s="202">
        <v>3.2764851039847422E-2</v>
      </c>
      <c r="AH163" s="202">
        <v>3.3512733282510226E-2</v>
      </c>
      <c r="AI163" s="202">
        <v>3.4259427445867865E-2</v>
      </c>
      <c r="AJ163" s="202">
        <v>3.4858721673892951E-2</v>
      </c>
      <c r="AK163" s="202">
        <v>3.5622700252763276E-2</v>
      </c>
      <c r="AL163" s="202">
        <v>3.6284950343834665E-2</v>
      </c>
      <c r="AM163" s="202">
        <v>3.7114471018214079E-2</v>
      </c>
      <c r="AN163" s="202">
        <v>3.7798501088246853E-2</v>
      </c>
      <c r="AO163" s="202">
        <v>3.8475843484909913E-2</v>
      </c>
      <c r="AP163" s="202">
        <v>3.9178146624306076E-2</v>
      </c>
      <c r="AQ163" s="202">
        <v>3.9885697986770788E-2</v>
      </c>
      <c r="AR163" s="182"/>
    </row>
    <row r="164" spans="1:44" ht="13.5" hidden="1" customHeight="1" x14ac:dyDescent="0.3">
      <c r="A164" s="995"/>
      <c r="B164" s="185" t="s">
        <v>420</v>
      </c>
      <c r="C164" s="193">
        <f t="shared" ref="C164:N164" si="94">C148/1000000</f>
        <v>0</v>
      </c>
      <c r="D164" s="193">
        <f t="shared" si="94"/>
        <v>0</v>
      </c>
      <c r="E164" s="193">
        <f t="shared" si="94"/>
        <v>0</v>
      </c>
      <c r="F164" s="193">
        <f t="shared" si="94"/>
        <v>0</v>
      </c>
      <c r="G164" s="193">
        <f t="shared" si="94"/>
        <v>0</v>
      </c>
      <c r="H164" s="191">
        <f t="shared" si="94"/>
        <v>6.3334728355706735E-2</v>
      </c>
      <c r="I164" s="191">
        <f t="shared" si="94"/>
        <v>4.0803084957981753E-2</v>
      </c>
      <c r="J164" s="191">
        <f t="shared" si="94"/>
        <v>6.5372491848106867E-2</v>
      </c>
      <c r="K164" s="191">
        <f t="shared" si="94"/>
        <v>4.3652640246656008E-2</v>
      </c>
      <c r="L164" s="191">
        <f t="shared" si="94"/>
        <v>3.5010121222727224E-2</v>
      </c>
      <c r="M164" s="191">
        <f t="shared" si="94"/>
        <v>3.7421596562221979E-2</v>
      </c>
      <c r="N164" s="191">
        <f t="shared" si="94"/>
        <v>2.7855525305192988E-2</v>
      </c>
      <c r="O164" s="202">
        <v>2.8607624488433195E-2</v>
      </c>
      <c r="P164" s="202">
        <v>2.9494460847574622E-2</v>
      </c>
      <c r="Q164" s="202">
        <v>3.037929467300186E-2</v>
      </c>
      <c r="R164" s="202">
        <v>3.1199535629172909E-2</v>
      </c>
      <c r="S164" s="202">
        <v>3.1917124948643884E-2</v>
      </c>
      <c r="T164" s="202">
        <v>3.2933628755417853E-2</v>
      </c>
      <c r="U164" s="202">
        <v>3.3870976629333194E-2</v>
      </c>
      <c r="V164" s="202">
        <v>3.4614775556530454E-2</v>
      </c>
      <c r="W164" s="202">
        <v>3.5439314192167469E-2</v>
      </c>
      <c r="X164" s="202">
        <v>3.656196797212926E-2</v>
      </c>
      <c r="Y164" s="202">
        <v>3.7463901382746488E-2</v>
      </c>
      <c r="Z164" s="202">
        <v>3.8547145079201407E-2</v>
      </c>
      <c r="AA164" s="202">
        <v>3.945942338904216E-2</v>
      </c>
      <c r="AB164" s="202">
        <v>4.0392424228200621E-2</v>
      </c>
      <c r="AC164" s="202">
        <v>4.1423960602668418E-2</v>
      </c>
      <c r="AD164" s="202">
        <v>4.23639219909802E-2</v>
      </c>
      <c r="AE164" s="202">
        <v>4.3356381132506436E-2</v>
      </c>
      <c r="AF164" s="202">
        <v>4.4449436157703477E-2</v>
      </c>
      <c r="AG164" s="202">
        <v>4.5459089368996786E-2</v>
      </c>
      <c r="AH164" s="202">
        <v>4.649672710052033E-2</v>
      </c>
      <c r="AI164" s="202">
        <v>4.7532716449658577E-2</v>
      </c>
      <c r="AJ164" s="202">
        <v>4.8364198022304329E-2</v>
      </c>
      <c r="AK164" s="202">
        <v>4.9424168368289667E-2</v>
      </c>
      <c r="AL164" s="202">
        <v>5.0342997086235845E-2</v>
      </c>
      <c r="AM164" s="202">
        <v>5.1493902806032457E-2</v>
      </c>
      <c r="AN164" s="202">
        <v>5.2442949821289261E-2</v>
      </c>
      <c r="AO164" s="202">
        <v>5.3382718126839292E-2</v>
      </c>
      <c r="AP164" s="202">
        <v>5.4357117831544489E-2</v>
      </c>
      <c r="AQ164" s="202">
        <v>5.5338799102743357E-2</v>
      </c>
      <c r="AR164" s="182"/>
    </row>
    <row r="165" spans="1:44" ht="14.25" hidden="1" customHeight="1" x14ac:dyDescent="0.3">
      <c r="A165" s="995"/>
      <c r="B165" s="185" t="s">
        <v>421</v>
      </c>
      <c r="C165" s="190">
        <f t="shared" ref="C165:N165" si="95">C150/1000000</f>
        <v>5.8132999999999997E-2</v>
      </c>
      <c r="D165" s="190">
        <f t="shared" si="95"/>
        <v>6.8071999999999994E-2</v>
      </c>
      <c r="E165" s="190">
        <f t="shared" si="95"/>
        <v>4.5975000000000002E-2</v>
      </c>
      <c r="F165" s="190">
        <f t="shared" si="95"/>
        <v>3.7544000000000001E-2</v>
      </c>
      <c r="G165" s="190">
        <f t="shared" si="95"/>
        <v>7.2494000000000003E-2</v>
      </c>
      <c r="H165" s="191">
        <f t="shared" si="95"/>
        <v>6.3076999999999994E-2</v>
      </c>
      <c r="I165" s="191">
        <f t="shared" si="95"/>
        <v>7.3829000000000006E-2</v>
      </c>
      <c r="J165" s="191">
        <f t="shared" si="95"/>
        <v>6.3367000000000007E-2</v>
      </c>
      <c r="K165" s="191">
        <f t="shared" si="95"/>
        <v>6.6623000000000002E-2</v>
      </c>
      <c r="L165" s="191">
        <f t="shared" si="95"/>
        <v>6.9685999999999998E-2</v>
      </c>
      <c r="M165" s="191">
        <f t="shared" si="95"/>
        <v>7.7360999999999999E-2</v>
      </c>
      <c r="N165" s="191">
        <f t="shared" si="95"/>
        <v>8.7922E-2</v>
      </c>
      <c r="O165" s="202">
        <v>9.0295893999999988E-2</v>
      </c>
      <c r="P165" s="202">
        <v>9.3095066713999974E-2</v>
      </c>
      <c r="Q165" s="202">
        <v>9.5887918715419976E-2</v>
      </c>
      <c r="R165" s="202">
        <v>9.8476892520736312E-2</v>
      </c>
      <c r="S165" s="202">
        <v>0.10074186104871324</v>
      </c>
      <c r="T165" s="202">
        <v>0.10395031060118029</v>
      </c>
      <c r="U165" s="202">
        <v>0.10690891572053951</v>
      </c>
      <c r="V165" s="202">
        <v>0.10925661114399814</v>
      </c>
      <c r="W165" s="202">
        <v>0.11185914996271368</v>
      </c>
      <c r="X165" s="202">
        <v>0.1154026467936063</v>
      </c>
      <c r="Y165" s="202">
        <v>0.11824947120131203</v>
      </c>
      <c r="Z165" s="202">
        <v>0.12166857571419493</v>
      </c>
      <c r="AA165" s="202">
        <v>0.1245480523235578</v>
      </c>
      <c r="AB165" s="202">
        <v>0.12749293664656847</v>
      </c>
      <c r="AC165" s="202">
        <v>0.13074883435886361</v>
      </c>
      <c r="AD165" s="202">
        <v>0.13371568866434469</v>
      </c>
      <c r="AE165" s="202">
        <v>0.1368482446540536</v>
      </c>
      <c r="AF165" s="202">
        <v>0.14029831722933037</v>
      </c>
      <c r="AG165" s="202">
        <v>0.14348514385244135</v>
      </c>
      <c r="AH165" s="202">
        <v>0.14676029962966897</v>
      </c>
      <c r="AI165" s="202">
        <v>0.15003025252256783</v>
      </c>
      <c r="AJ165" s="202">
        <v>0.15265470573352669</v>
      </c>
      <c r="AK165" s="202">
        <v>0.15600035122894118</v>
      </c>
      <c r="AL165" s="202">
        <v>0.15890050326894611</v>
      </c>
      <c r="AM165" s="202">
        <v>0.16253317332586634</v>
      </c>
      <c r="AN165" s="202">
        <v>0.16552870511933257</v>
      </c>
      <c r="AO165" s="202">
        <v>0.1684949499865642</v>
      </c>
      <c r="AP165" s="202">
        <v>0.17157050393496234</v>
      </c>
      <c r="AQ165" s="202">
        <v>0.17466904111136433</v>
      </c>
      <c r="AR165" s="182"/>
    </row>
    <row r="166" spans="1:44" ht="14.25" hidden="1" customHeight="1" x14ac:dyDescent="0.3">
      <c r="A166" s="995"/>
      <c r="B166" s="185" t="s">
        <v>422</v>
      </c>
      <c r="C166" s="190">
        <f t="shared" ref="C166:N166" si="96">C151/1000000</f>
        <v>2.6338E-2</v>
      </c>
      <c r="D166" s="190">
        <f t="shared" si="96"/>
        <v>3.0641000000000002E-2</v>
      </c>
      <c r="E166" s="190">
        <f t="shared" si="96"/>
        <v>1.8412000000000001E-2</v>
      </c>
      <c r="F166" s="190">
        <f t="shared" si="96"/>
        <v>2.6908999999999999E-2</v>
      </c>
      <c r="G166" s="190">
        <f t="shared" si="96"/>
        <v>2.1304E-2</v>
      </c>
      <c r="H166" s="191">
        <f t="shared" si="96"/>
        <v>2.3687E-2</v>
      </c>
      <c r="I166" s="191">
        <f t="shared" si="96"/>
        <v>3.6062999999999998E-2</v>
      </c>
      <c r="J166" s="191">
        <f t="shared" si="96"/>
        <v>2.0601999999999999E-2</v>
      </c>
      <c r="K166" s="191">
        <f t="shared" si="96"/>
        <v>2.1217E-2</v>
      </c>
      <c r="L166" s="191">
        <f t="shared" si="96"/>
        <v>2.3028E-2</v>
      </c>
      <c r="M166" s="191">
        <f t="shared" si="96"/>
        <v>3.3656999999999999E-2</v>
      </c>
      <c r="N166" s="191">
        <f t="shared" si="96"/>
        <v>2.7061000000000002E-2</v>
      </c>
      <c r="O166" s="202">
        <v>2.7791646999999999E-2</v>
      </c>
      <c r="P166" s="202">
        <v>2.8653188056999998E-2</v>
      </c>
      <c r="Q166" s="202">
        <v>2.951278369871E-2</v>
      </c>
      <c r="R166" s="202">
        <v>3.0309628858575167E-2</v>
      </c>
      <c r="S166" s="202">
        <v>3.1006750322322394E-2</v>
      </c>
      <c r="T166" s="202">
        <v>3.1994260312305685E-2</v>
      </c>
      <c r="U166" s="202">
        <v>3.290487214023248E-2</v>
      </c>
      <c r="V166" s="202">
        <v>3.3627455633035347E-2</v>
      </c>
      <c r="W166" s="202">
        <v>3.4428475889322296E-2</v>
      </c>
      <c r="X166" s="202">
        <v>3.5519108128588751E-2</v>
      </c>
      <c r="Y166" s="202">
        <v>3.6395315622696309E-2</v>
      </c>
      <c r="Z166" s="202">
        <v>3.7447661875319366E-2</v>
      </c>
      <c r="AA166" s="202">
        <v>3.833391920028887E-2</v>
      </c>
      <c r="AB166" s="202">
        <v>3.924030798426776E-2</v>
      </c>
      <c r="AC166" s="202">
        <v>4.024242176685254E-2</v>
      </c>
      <c r="AD166" s="202">
        <v>4.1155572563702288E-2</v>
      </c>
      <c r="AE166" s="202">
        <v>4.2119723716286535E-2</v>
      </c>
      <c r="AF166" s="202">
        <v>4.3181601448362292E-2</v>
      </c>
      <c r="AG166" s="202">
        <v>4.4162456242930276E-2</v>
      </c>
      <c r="AH166" s="202">
        <v>4.517049735309106E-2</v>
      </c>
      <c r="AI166" s="202">
        <v>4.6176937097804967E-2</v>
      </c>
      <c r="AJ166" s="202">
        <v>4.6984702257170746E-2</v>
      </c>
      <c r="AK166" s="202">
        <v>4.8014438986901775E-2</v>
      </c>
      <c r="AL166" s="202">
        <v>4.8907059882179103E-2</v>
      </c>
      <c r="AM166" s="202">
        <v>5.0025138229012861E-2</v>
      </c>
      <c r="AN166" s="202">
        <v>5.094711550276676E-2</v>
      </c>
      <c r="AO166" s="202">
        <v>5.1860078724169312E-2</v>
      </c>
      <c r="AP166" s="202">
        <v>5.2806685550647346E-2</v>
      </c>
      <c r="AQ166" s="202">
        <v>5.3760366250934125E-2</v>
      </c>
      <c r="AR166" s="182"/>
    </row>
    <row r="167" spans="1:44" ht="14.25" hidden="1" customHeight="1" x14ac:dyDescent="0.3">
      <c r="A167" s="995"/>
      <c r="B167" s="185" t="s">
        <v>423</v>
      </c>
      <c r="C167" s="190">
        <f t="shared" ref="C167:N167" si="97">C152/1000000</f>
        <v>0.44065599999999999</v>
      </c>
      <c r="D167" s="190">
        <f t="shared" si="97"/>
        <v>0.39071899999999998</v>
      </c>
      <c r="E167" s="190">
        <f t="shared" si="97"/>
        <v>0.35604599999999997</v>
      </c>
      <c r="F167" s="190">
        <f t="shared" si="97"/>
        <v>0.39169100000000001</v>
      </c>
      <c r="G167" s="190">
        <f t="shared" si="97"/>
        <v>0.53235399999999999</v>
      </c>
      <c r="H167" s="191">
        <f t="shared" si="97"/>
        <v>0.47271999999999997</v>
      </c>
      <c r="I167" s="191">
        <f t="shared" si="97"/>
        <v>0.51331599999999999</v>
      </c>
      <c r="J167" s="191">
        <f t="shared" si="97"/>
        <v>0.479769</v>
      </c>
      <c r="K167" s="191">
        <f t="shared" si="97"/>
        <v>0.34609299999999998</v>
      </c>
      <c r="L167" s="191">
        <f t="shared" si="97"/>
        <v>0.34520899999999999</v>
      </c>
      <c r="M167" s="191">
        <f t="shared" si="97"/>
        <v>0.47258600000000001</v>
      </c>
      <c r="N167" s="191">
        <f t="shared" si="97"/>
        <v>0.34095900000000001</v>
      </c>
      <c r="O167" s="202">
        <v>0.35016489299999998</v>
      </c>
      <c r="P167" s="202">
        <v>0.36102000468299994</v>
      </c>
      <c r="Q167" s="202">
        <v>0.37185060482348997</v>
      </c>
      <c r="R167" s="202">
        <v>0.38189057115372416</v>
      </c>
      <c r="S167" s="202">
        <v>0.39067405429025975</v>
      </c>
      <c r="T167" s="202">
        <v>0.40311632984085699</v>
      </c>
      <c r="U167" s="202">
        <v>0.41458971582947873</v>
      </c>
      <c r="V167" s="202">
        <v>0.42369401149935687</v>
      </c>
      <c r="W167" s="202">
        <v>0.4337865825633731</v>
      </c>
      <c r="X167" s="202">
        <v>0.4475281618719002</v>
      </c>
      <c r="Y167" s="202">
        <v>0.45856806545947715</v>
      </c>
      <c r="Z167" s="202">
        <v>0.4718272549184071</v>
      </c>
      <c r="AA167" s="202">
        <v>0.48299378280962607</v>
      </c>
      <c r="AB167" s="202">
        <v>0.4944139599426462</v>
      </c>
      <c r="AC167" s="202">
        <v>0.50704023809926735</v>
      </c>
      <c r="AD167" s="202">
        <v>0.51854561419560863</v>
      </c>
      <c r="AE167" s="202">
        <v>0.53069357668162076</v>
      </c>
      <c r="AF167" s="202">
        <v>0.54407285940032368</v>
      </c>
      <c r="AG167" s="202">
        <v>0.55643128184964574</v>
      </c>
      <c r="AH167" s="202">
        <v>0.56913224223098091</v>
      </c>
      <c r="AI167" s="202">
        <v>0.58181302597577633</v>
      </c>
      <c r="AJ167" s="202">
        <v>0.59199058042580388</v>
      </c>
      <c r="AK167" s="202">
        <v>0.60496489791711472</v>
      </c>
      <c r="AL167" s="202">
        <v>0.61621160453670976</v>
      </c>
      <c r="AM167" s="202">
        <v>0.63029899506396636</v>
      </c>
      <c r="AN167" s="202">
        <v>0.64191558163807128</v>
      </c>
      <c r="AO167" s="202">
        <v>0.65341859435032112</v>
      </c>
      <c r="AP167" s="202">
        <v>0.66534550455131614</v>
      </c>
      <c r="AQ167" s="202">
        <v>0.67736154305281571</v>
      </c>
      <c r="AR167" s="182"/>
    </row>
    <row r="168" spans="1:44" ht="14.25" hidden="1" customHeight="1" x14ac:dyDescent="0.3">
      <c r="A168" s="995"/>
      <c r="B168" s="185" t="s">
        <v>424</v>
      </c>
      <c r="C168" s="190">
        <f t="shared" ref="C168:N168" si="98">C153/1000000</f>
        <v>0.18827199999999999</v>
      </c>
      <c r="D168" s="190">
        <f t="shared" si="98"/>
        <v>0.138069</v>
      </c>
      <c r="E168" s="190">
        <f t="shared" si="98"/>
        <v>0.13786399999999999</v>
      </c>
      <c r="F168" s="190">
        <f t="shared" si="98"/>
        <v>7.7831999999999998E-2</v>
      </c>
      <c r="G168" s="190">
        <f t="shared" si="98"/>
        <v>0.263374</v>
      </c>
      <c r="H168" s="191">
        <f t="shared" si="98"/>
        <v>0.52669500000000002</v>
      </c>
      <c r="I168" s="191">
        <f t="shared" si="98"/>
        <v>0.33396300000000001</v>
      </c>
      <c r="J168" s="191">
        <f t="shared" si="98"/>
        <v>0.44541599999999998</v>
      </c>
      <c r="K168" s="191">
        <f t="shared" si="98"/>
        <v>0.34292099999999998</v>
      </c>
      <c r="L168" s="191">
        <f t="shared" si="98"/>
        <v>0.26467299999999999</v>
      </c>
      <c r="M168" s="191">
        <f t="shared" si="98"/>
        <v>0.34764066086361861</v>
      </c>
      <c r="N168" s="191">
        <f t="shared" si="98"/>
        <v>0.45125599999999999</v>
      </c>
      <c r="O168" s="202">
        <v>0.46343991199999995</v>
      </c>
      <c r="P168" s="202">
        <v>0.47780654927199989</v>
      </c>
      <c r="Q168" s="202">
        <v>0.49214074575015992</v>
      </c>
      <c r="R168" s="202">
        <v>0.50542854588541419</v>
      </c>
      <c r="S168" s="202">
        <v>0.51705340244077869</v>
      </c>
      <c r="T168" s="202">
        <v>0.53352063602563882</v>
      </c>
      <c r="U168" s="202">
        <v>0.54870555347225702</v>
      </c>
      <c r="V168" s="202">
        <v>0.56075500237023757</v>
      </c>
      <c r="W168" s="202">
        <v>0.57411242437131016</v>
      </c>
      <c r="X168" s="202">
        <v>0.59229927414635264</v>
      </c>
      <c r="Y168" s="202">
        <v>0.60691048174995199</v>
      </c>
      <c r="Z168" s="202">
        <v>0.62445889313806291</v>
      </c>
      <c r="AA168" s="202">
        <v>0.63923768680557114</v>
      </c>
      <c r="AB168" s="202">
        <v>0.65435218283687735</v>
      </c>
      <c r="AC168" s="202">
        <v>0.67106294212419415</v>
      </c>
      <c r="AD168" s="202">
        <v>0.68629019817471815</v>
      </c>
      <c r="AE168" s="202">
        <v>0.70236791121232056</v>
      </c>
      <c r="AF168" s="202">
        <v>0.72007526488977436</v>
      </c>
      <c r="AG168" s="202">
        <v>0.73643151969105924</v>
      </c>
      <c r="AH168" s="202">
        <v>0.75324112019387568</v>
      </c>
      <c r="AI168" s="202">
        <v>0.77002401710975532</v>
      </c>
      <c r="AJ168" s="202">
        <v>0.78349391381552247</v>
      </c>
      <c r="AK168" s="202">
        <v>0.80066529985859203</v>
      </c>
      <c r="AL168" s="202">
        <v>0.81555020931202193</v>
      </c>
      <c r="AM168" s="202">
        <v>0.83419473695249402</v>
      </c>
      <c r="AN168" s="202">
        <v>0.84956917901469009</v>
      </c>
      <c r="AO168" s="202">
        <v>0.86479330714880309</v>
      </c>
      <c r="AP168" s="202">
        <v>0.88057845958548964</v>
      </c>
      <c r="AQ168" s="202">
        <v>0.89648157248185745</v>
      </c>
      <c r="AR168" s="182"/>
    </row>
    <row r="169" spans="1:44" ht="14.25" hidden="1" customHeight="1" x14ac:dyDescent="0.3">
      <c r="A169" s="995"/>
      <c r="B169" s="185" t="s">
        <v>425</v>
      </c>
      <c r="C169" s="190">
        <f t="shared" ref="C169:N169" si="99">C154/1000000</f>
        <v>5.3518000000000003E-2</v>
      </c>
      <c r="D169" s="190">
        <f t="shared" si="99"/>
        <v>3.6221000000000003E-2</v>
      </c>
      <c r="E169" s="190">
        <f t="shared" si="99"/>
        <v>6.2955999999999998E-2</v>
      </c>
      <c r="F169" s="190">
        <f t="shared" si="99"/>
        <v>1.3121000000000001E-2</v>
      </c>
      <c r="G169" s="190">
        <f t="shared" si="99"/>
        <v>0.18496399999999999</v>
      </c>
      <c r="H169" s="191">
        <f t="shared" si="99"/>
        <v>0.17574134622532772</v>
      </c>
      <c r="I169" s="191">
        <f t="shared" si="99"/>
        <v>0.14885191504201825</v>
      </c>
      <c r="J169" s="191">
        <f t="shared" si="99"/>
        <v>0.24526750815189313</v>
      </c>
      <c r="K169" s="191">
        <f t="shared" si="99"/>
        <v>0.25402035975334397</v>
      </c>
      <c r="L169" s="191">
        <f t="shared" si="99"/>
        <v>0.24377087877727277</v>
      </c>
      <c r="M169" s="191">
        <f t="shared" si="99"/>
        <v>0.24379678429693205</v>
      </c>
      <c r="N169" s="191">
        <f t="shared" si="99"/>
        <v>0.19723267877640868</v>
      </c>
      <c r="O169" s="202">
        <v>0.20255796110337171</v>
      </c>
      <c r="P169" s="202">
        <v>0.20883725789757621</v>
      </c>
      <c r="Q169" s="202">
        <v>0.21510237563450349</v>
      </c>
      <c r="R169" s="202">
        <v>0.22091013977663507</v>
      </c>
      <c r="S169" s="202">
        <v>0.22599107299149765</v>
      </c>
      <c r="T169" s="202">
        <v>0.23318848774493872</v>
      </c>
      <c r="U169" s="202">
        <v>0.23982543427860284</v>
      </c>
      <c r="V169" s="202">
        <v>0.24509194615640201</v>
      </c>
      <c r="W169" s="202">
        <v>0.25093014026976224</v>
      </c>
      <c r="X169" s="202">
        <v>0.25887915612691592</v>
      </c>
      <c r="Y169" s="202">
        <v>0.26526534847852151</v>
      </c>
      <c r="Z169" s="202">
        <v>0.27293531893065409</v>
      </c>
      <c r="AA169" s="202">
        <v>0.27939475894724436</v>
      </c>
      <c r="AB169" s="202">
        <v>0.28600092604665117</v>
      </c>
      <c r="AC169" s="202">
        <v>0.29330477977629738</v>
      </c>
      <c r="AD169" s="202">
        <v>0.29996023145175238</v>
      </c>
      <c r="AE169" s="202">
        <v>0.30698739654430451</v>
      </c>
      <c r="AF169" s="202">
        <v>0.31472683668437029</v>
      </c>
      <c r="AG169" s="202">
        <v>0.32187574539518388</v>
      </c>
      <c r="AH169" s="202">
        <v>0.32922280014089755</v>
      </c>
      <c r="AI169" s="202">
        <v>0.33655818341856536</v>
      </c>
      <c r="AJ169" s="202">
        <v>0.34244553740415218</v>
      </c>
      <c r="AK169" s="202">
        <v>0.34995071953486828</v>
      </c>
      <c r="AL169" s="202">
        <v>0.35645654009978989</v>
      </c>
      <c r="AM169" s="202">
        <v>0.36460559547202009</v>
      </c>
      <c r="AN169" s="202">
        <v>0.37132537846132024</v>
      </c>
      <c r="AO169" s="202">
        <v>0.37797946300296931</v>
      </c>
      <c r="AP169" s="202">
        <v>0.38487875719513881</v>
      </c>
      <c r="AQ169" s="202">
        <v>0.39182960894544083</v>
      </c>
      <c r="AR169" s="182"/>
    </row>
    <row r="170" spans="1:44" ht="14.25" hidden="1" customHeight="1" x14ac:dyDescent="0.3">
      <c r="A170" s="995"/>
      <c r="B170" s="185" t="s">
        <v>426</v>
      </c>
      <c r="C170" s="193">
        <v>0</v>
      </c>
      <c r="D170" s="193">
        <v>0</v>
      </c>
      <c r="E170" s="193">
        <v>0</v>
      </c>
      <c r="F170" s="193">
        <v>0</v>
      </c>
      <c r="G170" s="190">
        <v>0.4800141409</v>
      </c>
      <c r="H170" s="191">
        <v>0.59193427089999995</v>
      </c>
      <c r="I170" s="191">
        <v>0.53395091829999997</v>
      </c>
      <c r="J170" s="191">
        <v>0.60168843839999997</v>
      </c>
      <c r="K170" s="191">
        <v>0.50568682919999997</v>
      </c>
      <c r="L170" s="191">
        <v>0.5241654161</v>
      </c>
      <c r="M170" s="191">
        <v>0.39211125349999998</v>
      </c>
      <c r="N170" s="191">
        <v>0.43874862749999999</v>
      </c>
      <c r="O170" s="202">
        <v>0.45059484044249992</v>
      </c>
      <c r="P170" s="202">
        <v>0.46456328049621737</v>
      </c>
      <c r="Q170" s="202">
        <v>0.47850017891110391</v>
      </c>
      <c r="R170" s="202">
        <v>0.49141968374170369</v>
      </c>
      <c r="S170" s="202">
        <v>0.50272233646776288</v>
      </c>
      <c r="T170" s="202">
        <v>0.51873315102552886</v>
      </c>
      <c r="U170" s="202">
        <v>0.53349719114555949</v>
      </c>
      <c r="V170" s="202">
        <v>0.54521266787300537</v>
      </c>
      <c r="W170" s="202">
        <v>0.55819986487406215</v>
      </c>
      <c r="X170" s="202">
        <v>0.57588263336323142</v>
      </c>
      <c r="Y170" s="202">
        <v>0.5900888650414734</v>
      </c>
      <c r="Z170" s="202">
        <v>0.60715089061307581</v>
      </c>
      <c r="AA170" s="202">
        <v>0.62152006340573651</v>
      </c>
      <c r="AB170" s="202">
        <v>0.63621563396677017</v>
      </c>
      <c r="AC170" s="202">
        <v>0.65246322447369554</v>
      </c>
      <c r="AD170" s="202">
        <v>0.66726842970699651</v>
      </c>
      <c r="AE170" s="202">
        <v>0.68290051998078105</v>
      </c>
      <c r="AF170" s="202">
        <v>0.70011708247001103</v>
      </c>
      <c r="AG170" s="202">
        <v>0.71601999422099938</v>
      </c>
      <c r="AH170" s="202">
        <v>0.73236368638117899</v>
      </c>
      <c r="AI170" s="202">
        <v>0.74868141509241204</v>
      </c>
      <c r="AJ170" s="202">
        <v>0.76177796935921871</v>
      </c>
      <c r="AK170" s="202">
        <v>0.77847341952202964</v>
      </c>
      <c r="AL170" s="202">
        <v>0.79294576691054997</v>
      </c>
      <c r="AM170" s="202">
        <v>0.81107352789908627</v>
      </c>
      <c r="AN170" s="202">
        <v>0.82602183961874609</v>
      </c>
      <c r="AO170" s="202">
        <v>0.84082400363147103</v>
      </c>
      <c r="AP170" s="202">
        <v>0.85617164214813224</v>
      </c>
      <c r="AQ170" s="202">
        <v>0.87163397163795386</v>
      </c>
      <c r="AR170" s="182"/>
    </row>
    <row r="171" spans="1:44" ht="14.25" hidden="1" customHeight="1" x14ac:dyDescent="0.3">
      <c r="A171" s="969"/>
      <c r="B171" s="184" t="s">
        <v>826</v>
      </c>
      <c r="C171" s="193"/>
      <c r="D171" s="193"/>
      <c r="E171" s="193"/>
      <c r="F171" s="193"/>
      <c r="G171" s="190"/>
      <c r="H171" s="191"/>
      <c r="I171" s="191"/>
      <c r="J171" s="191"/>
      <c r="K171" s="191"/>
      <c r="L171" s="191"/>
      <c r="M171" s="191"/>
      <c r="N171" s="191"/>
      <c r="O171" s="202"/>
      <c r="P171" s="202"/>
      <c r="Q171" s="202"/>
      <c r="R171" s="202"/>
      <c r="S171" s="202"/>
      <c r="T171" s="202"/>
      <c r="U171" s="202"/>
      <c r="V171" s="202"/>
      <c r="W171" s="202"/>
      <c r="X171" s="202"/>
      <c r="Y171" s="202"/>
      <c r="Z171" s="202"/>
      <c r="AA171" s="202"/>
      <c r="AB171" s="202"/>
      <c r="AC171" s="202"/>
      <c r="AD171" s="202"/>
      <c r="AE171" s="202"/>
      <c r="AF171" s="202"/>
      <c r="AG171" s="202"/>
      <c r="AH171" s="202"/>
      <c r="AI171" s="202"/>
      <c r="AJ171" s="202"/>
      <c r="AK171" s="202"/>
      <c r="AL171" s="202"/>
      <c r="AM171" s="202"/>
      <c r="AN171" s="202"/>
      <c r="AO171" s="202"/>
      <c r="AP171" s="202"/>
      <c r="AQ171" s="202"/>
      <c r="AR171" s="182"/>
    </row>
    <row r="172" spans="1:44" ht="14.25" hidden="1" customHeight="1" x14ac:dyDescent="0.3">
      <c r="A172" s="1206" t="s">
        <v>827</v>
      </c>
      <c r="B172" s="185" t="s">
        <v>505</v>
      </c>
      <c r="C172" s="190">
        <f t="shared" ref="C172:G172" si="100">C156*(1-$E$188/100)/1000000</f>
        <v>0</v>
      </c>
      <c r="D172" s="190">
        <f t="shared" si="100"/>
        <v>0</v>
      </c>
      <c r="E172" s="190">
        <f t="shared" si="100"/>
        <v>0</v>
      </c>
      <c r="F172" s="190">
        <f t="shared" si="100"/>
        <v>0</v>
      </c>
      <c r="G172" s="190">
        <f t="shared" si="100"/>
        <v>0</v>
      </c>
      <c r="H172" s="191">
        <f t="shared" ref="H172:AQ172" si="101">H208/H157</f>
        <v>0.78462105486819589</v>
      </c>
      <c r="I172" s="191">
        <f t="shared" si="101"/>
        <v>0.84915923669578885</v>
      </c>
      <c r="J172" s="191">
        <f t="shared" si="101"/>
        <v>0.87876188721207782</v>
      </c>
      <c r="K172" s="191">
        <f t="shared" si="101"/>
        <v>0.86976198650074665</v>
      </c>
      <c r="L172" s="191">
        <f t="shared" si="101"/>
        <v>0.90442045904847534</v>
      </c>
      <c r="M172" s="191">
        <f t="shared" si="101"/>
        <v>0.86403161926343552</v>
      </c>
      <c r="N172" s="191">
        <f t="shared" si="101"/>
        <v>0.90873723721106814</v>
      </c>
      <c r="O172" s="191">
        <f t="shared" si="101"/>
        <v>0.88050371751795109</v>
      </c>
      <c r="P172" s="191">
        <f t="shared" si="101"/>
        <v>0.81194195084066678</v>
      </c>
      <c r="Q172" s="191">
        <f t="shared" si="101"/>
        <v>0.92910668186753986</v>
      </c>
      <c r="R172" s="191">
        <f t="shared" si="101"/>
        <v>0.88220651013343299</v>
      </c>
      <c r="S172" s="191">
        <f t="shared" si="101"/>
        <v>1.0149027768216903</v>
      </c>
      <c r="T172" s="191">
        <f t="shared" si="101"/>
        <v>1.038999378207778</v>
      </c>
      <c r="U172" s="191">
        <f t="shared" si="101"/>
        <v>1.0695854393468001</v>
      </c>
      <c r="V172" s="191">
        <f t="shared" si="101"/>
        <v>1.0967517456676072</v>
      </c>
      <c r="W172" s="191">
        <f t="shared" si="101"/>
        <v>1.1350256829166345</v>
      </c>
      <c r="X172" s="191">
        <f t="shared" si="101"/>
        <v>1.1587650507518303</v>
      </c>
      <c r="Y172" s="191">
        <f t="shared" si="101"/>
        <v>1.1948634020281075</v>
      </c>
      <c r="Z172" s="191">
        <f t="shared" si="101"/>
        <v>1.2358179043159683</v>
      </c>
      <c r="AA172" s="191">
        <f t="shared" si="101"/>
        <v>1.2818376097163551</v>
      </c>
      <c r="AB172" s="191">
        <f t="shared" si="101"/>
        <v>1.3316872995276021</v>
      </c>
      <c r="AC172" s="191">
        <f t="shared" si="101"/>
        <v>1.3676749015637002</v>
      </c>
      <c r="AD172" s="191">
        <f t="shared" si="101"/>
        <v>1.4072370116294755</v>
      </c>
      <c r="AE172" s="191">
        <f t="shared" si="101"/>
        <v>1.4548375757487531</v>
      </c>
      <c r="AF172" s="191">
        <f t="shared" si="101"/>
        <v>1.4995357005205199</v>
      </c>
      <c r="AG172" s="191">
        <f t="shared" si="101"/>
        <v>1.5587507037266013</v>
      </c>
      <c r="AH172" s="191">
        <f t="shared" si="101"/>
        <v>1.6104308076166176</v>
      </c>
      <c r="AI172" s="191">
        <f t="shared" si="101"/>
        <v>1.667619134516872</v>
      </c>
      <c r="AJ172" s="191">
        <f t="shared" si="101"/>
        <v>1.7280956243846097</v>
      </c>
      <c r="AK172" s="191">
        <f t="shared" si="101"/>
        <v>1.7834238290217419</v>
      </c>
      <c r="AL172" s="191">
        <f t="shared" si="101"/>
        <v>1.8399247193205983</v>
      </c>
      <c r="AM172" s="191">
        <f t="shared" si="101"/>
        <v>1.8994491263882365</v>
      </c>
      <c r="AN172" s="191">
        <f t="shared" si="101"/>
        <v>1.9620472155092643</v>
      </c>
      <c r="AO172" s="191">
        <f t="shared" si="101"/>
        <v>2.0347818978977008</v>
      </c>
      <c r="AP172" s="191">
        <f t="shared" si="101"/>
        <v>2.1028873668088526</v>
      </c>
      <c r="AQ172" s="191">
        <f t="shared" si="101"/>
        <v>2.1730091809922976</v>
      </c>
      <c r="AR172" s="182"/>
    </row>
    <row r="173" spans="1:44" ht="14.25" hidden="1" customHeight="1" x14ac:dyDescent="0.3">
      <c r="A173" s="995"/>
      <c r="B173" s="185" t="s">
        <v>414</v>
      </c>
      <c r="C173" s="190">
        <f t="shared" ref="C173:G173" si="102">C157*(1-$E$188/100)/1000000</f>
        <v>8.39356749E-6</v>
      </c>
      <c r="D173" s="190">
        <f t="shared" si="102"/>
        <v>7.9395624000000002E-6</v>
      </c>
      <c r="E173" s="190">
        <f t="shared" si="102"/>
        <v>7.49584737E-6</v>
      </c>
      <c r="F173" s="190">
        <f t="shared" si="102"/>
        <v>6.5336643900000004E-6</v>
      </c>
      <c r="G173" s="190">
        <f t="shared" si="102"/>
        <v>7.45043904E-6</v>
      </c>
      <c r="H173" s="191">
        <f t="shared" ref="H173:AQ173" si="103">H209/H158</f>
        <v>0.59335351964606597</v>
      </c>
      <c r="I173" s="191">
        <f t="shared" si="103"/>
        <v>0.58281683213313695</v>
      </c>
      <c r="J173" s="191">
        <f t="shared" si="103"/>
        <v>0.62797337658102836</v>
      </c>
      <c r="K173" s="191">
        <f t="shared" si="103"/>
        <v>0.65644461081167138</v>
      </c>
      <c r="L173" s="191">
        <f t="shared" si="103"/>
        <v>0.70934399927620595</v>
      </c>
      <c r="M173" s="191">
        <f t="shared" si="103"/>
        <v>0.74385170265171885</v>
      </c>
      <c r="N173" s="191">
        <f t="shared" si="103"/>
        <v>0.71058709143576282</v>
      </c>
      <c r="O173" s="191">
        <f t="shared" si="103"/>
        <v>0.68850989043836741</v>
      </c>
      <c r="P173" s="191">
        <f t="shared" si="103"/>
        <v>0.63489801632123688</v>
      </c>
      <c r="Q173" s="191">
        <f t="shared" si="103"/>
        <v>0.72651497888211158</v>
      </c>
      <c r="R173" s="191">
        <f t="shared" si="103"/>
        <v>0.68984138914053039</v>
      </c>
      <c r="S173" s="191">
        <f t="shared" si="103"/>
        <v>0.79360323616220385</v>
      </c>
      <c r="T173" s="191">
        <f t="shared" si="103"/>
        <v>0.81244557384936289</v>
      </c>
      <c r="U173" s="191">
        <f t="shared" si="103"/>
        <v>0.83636234465316128</v>
      </c>
      <c r="V173" s="191">
        <f t="shared" si="103"/>
        <v>0.85760503814374578</v>
      </c>
      <c r="W173" s="191">
        <f t="shared" si="103"/>
        <v>0.88753334374619819</v>
      </c>
      <c r="X173" s="191">
        <f t="shared" si="103"/>
        <v>0.90609634265477867</v>
      </c>
      <c r="Y173" s="191">
        <f t="shared" si="103"/>
        <v>0.93432344878477458</v>
      </c>
      <c r="Z173" s="191">
        <f t="shared" si="103"/>
        <v>0.96634782224529681</v>
      </c>
      <c r="AA173" s="191">
        <f t="shared" si="103"/>
        <v>1.0023329313287008</v>
      </c>
      <c r="AB173" s="191">
        <f t="shared" si="103"/>
        <v>1.0413128967592598</v>
      </c>
      <c r="AC173" s="191">
        <f t="shared" si="103"/>
        <v>1.0694534025198255</v>
      </c>
      <c r="AD173" s="191">
        <f t="shared" si="103"/>
        <v>1.1003889948688064</v>
      </c>
      <c r="AE173" s="191">
        <f t="shared" si="103"/>
        <v>1.1376102564427535</v>
      </c>
      <c r="AF173" s="191">
        <f t="shared" si="103"/>
        <v>1.1725619555408124</v>
      </c>
      <c r="AG173" s="191">
        <f t="shared" si="103"/>
        <v>1.2188651278711387</v>
      </c>
      <c r="AH173" s="191">
        <f t="shared" si="103"/>
        <v>1.259276385608314</v>
      </c>
      <c r="AI173" s="191">
        <f t="shared" si="103"/>
        <v>1.303994798381676</v>
      </c>
      <c r="AJ173" s="191">
        <f t="shared" si="103"/>
        <v>1.3512843902192981</v>
      </c>
      <c r="AK173" s="191">
        <f t="shared" si="103"/>
        <v>1.3945482803710021</v>
      </c>
      <c r="AL173" s="191">
        <f t="shared" si="103"/>
        <v>1.4387291520872454</v>
      </c>
      <c r="AM173" s="191">
        <f t="shared" si="103"/>
        <v>1.4852742627701119</v>
      </c>
      <c r="AN173" s="191">
        <f t="shared" si="103"/>
        <v>1.5342228391643862</v>
      </c>
      <c r="AO173" s="191">
        <f t="shared" si="103"/>
        <v>1.5910977247622553</v>
      </c>
      <c r="AP173" s="191">
        <f t="shared" si="103"/>
        <v>1.6443527968367406</v>
      </c>
      <c r="AQ173" s="191">
        <f t="shared" si="103"/>
        <v>1.6991845501164178</v>
      </c>
      <c r="AR173" s="182"/>
    </row>
    <row r="174" spans="1:44" ht="14.25" hidden="1" customHeight="1" x14ac:dyDescent="0.3">
      <c r="A174" s="995"/>
      <c r="B174" s="185" t="s">
        <v>415</v>
      </c>
      <c r="C174" s="190">
        <f t="shared" ref="C174:G174" si="104">C158*(1-$E$188/100)/1000000</f>
        <v>1.3077900000000001E-7</v>
      </c>
      <c r="D174" s="190">
        <f t="shared" si="104"/>
        <v>2.2192137000000001E-7</v>
      </c>
      <c r="E174" s="190">
        <f t="shared" si="104"/>
        <v>1.3198977000000002E-7</v>
      </c>
      <c r="F174" s="190">
        <f t="shared" si="104"/>
        <v>1.2716153999999998E-7</v>
      </c>
      <c r="G174" s="190">
        <f t="shared" si="104"/>
        <v>1.5465383999999998E-7</v>
      </c>
      <c r="H174" s="191">
        <f t="shared" ref="H174:AQ174" si="105">H210/H159</f>
        <v>1.208791495185954</v>
      </c>
      <c r="I174" s="191">
        <f t="shared" si="105"/>
        <v>1.3395790140845065</v>
      </c>
      <c r="J174" s="191">
        <f t="shared" si="105"/>
        <v>0.67163581217213109</v>
      </c>
      <c r="K174" s="191">
        <f t="shared" si="105"/>
        <v>0.90389394861796646</v>
      </c>
      <c r="L174" s="191">
        <f t="shared" si="105"/>
        <v>0.22589510000245669</v>
      </c>
      <c r="M174" s="191">
        <f t="shared" si="105"/>
        <v>0.36654966693749996</v>
      </c>
      <c r="N174" s="191">
        <f t="shared" si="105"/>
        <v>0.81811745053691276</v>
      </c>
      <c r="O174" s="191">
        <f t="shared" si="105"/>
        <v>0.79269939325348293</v>
      </c>
      <c r="P174" s="191">
        <f t="shared" si="105"/>
        <v>0.73097464438056059</v>
      </c>
      <c r="Q174" s="191">
        <f t="shared" si="105"/>
        <v>0.83645564275444451</v>
      </c>
      <c r="R174" s="191">
        <f t="shared" si="105"/>
        <v>0.79423238243487326</v>
      </c>
      <c r="S174" s="191">
        <f t="shared" si="105"/>
        <v>0.91369610302801152</v>
      </c>
      <c r="T174" s="191">
        <f t="shared" si="105"/>
        <v>0.93538977781687838</v>
      </c>
      <c r="U174" s="191">
        <f t="shared" si="105"/>
        <v>0.96292577979454441</v>
      </c>
      <c r="V174" s="191">
        <f t="shared" si="105"/>
        <v>0.98738304682136202</v>
      </c>
      <c r="W174" s="191">
        <f t="shared" si="105"/>
        <v>1.0218402855940163</v>
      </c>
      <c r="X174" s="191">
        <f t="shared" si="105"/>
        <v>1.0432123503619284</v>
      </c>
      <c r="Y174" s="191">
        <f t="shared" si="105"/>
        <v>1.0757109538145282</v>
      </c>
      <c r="Z174" s="191">
        <f t="shared" si="105"/>
        <v>1.112581450177792</v>
      </c>
      <c r="AA174" s="191">
        <f t="shared" si="105"/>
        <v>1.1540120447599742</v>
      </c>
      <c r="AB174" s="191">
        <f t="shared" si="105"/>
        <v>1.1988906955607237</v>
      </c>
      <c r="AC174" s="191">
        <f t="shared" si="105"/>
        <v>1.2312895937494541</v>
      </c>
      <c r="AD174" s="191">
        <f t="shared" si="105"/>
        <v>1.2669065480235038</v>
      </c>
      <c r="AE174" s="191">
        <f t="shared" si="105"/>
        <v>1.309760357207002</v>
      </c>
      <c r="AF174" s="191">
        <f t="shared" si="105"/>
        <v>1.3500011599216433</v>
      </c>
      <c r="AG174" s="191">
        <f t="shared" si="105"/>
        <v>1.4033112098159035</v>
      </c>
      <c r="AH174" s="191">
        <f t="shared" si="105"/>
        <v>1.449837744777476</v>
      </c>
      <c r="AI174" s="191">
        <f t="shared" si="105"/>
        <v>1.5013232196631503</v>
      </c>
      <c r="AJ174" s="191">
        <f t="shared" si="105"/>
        <v>1.5557689600620588</v>
      </c>
      <c r="AK174" s="191">
        <f t="shared" si="105"/>
        <v>1.6055798051193542</v>
      </c>
      <c r="AL174" s="191">
        <f t="shared" si="105"/>
        <v>1.6564463949668551</v>
      </c>
      <c r="AM174" s="191">
        <f t="shared" si="105"/>
        <v>1.7100349947961657</v>
      </c>
      <c r="AN174" s="191">
        <f t="shared" si="105"/>
        <v>1.7663907673815942</v>
      </c>
      <c r="AO174" s="191">
        <f t="shared" si="105"/>
        <v>1.8318723064718854</v>
      </c>
      <c r="AP174" s="191">
        <f t="shared" si="105"/>
        <v>1.8931862598476852</v>
      </c>
      <c r="AQ174" s="191">
        <f t="shared" si="105"/>
        <v>1.9563154874149917</v>
      </c>
      <c r="AR174" s="182"/>
    </row>
    <row r="175" spans="1:44" ht="14.25" hidden="1" customHeight="1" x14ac:dyDescent="0.3">
      <c r="A175" s="995"/>
      <c r="B175" s="185" t="s">
        <v>416</v>
      </c>
      <c r="C175" s="190">
        <f t="shared" ref="C175:G175" si="106">C159*(1-$E$188/100)/1000000</f>
        <v>3.1033530000000001E-8</v>
      </c>
      <c r="D175" s="190">
        <f t="shared" si="106"/>
        <v>2.3590709999999999E-8</v>
      </c>
      <c r="E175" s="190">
        <f t="shared" si="106"/>
        <v>7.2665999999999997E-9</v>
      </c>
      <c r="F175" s="190">
        <f t="shared" si="106"/>
        <v>7.6814100000000011E-9</v>
      </c>
      <c r="G175" s="190">
        <f t="shared" si="106"/>
        <v>4.1827499999999999E-9</v>
      </c>
      <c r="H175" s="191">
        <f t="shared" ref="H175:AQ175" si="107">H211/H160</f>
        <v>8.115963301390599E-4</v>
      </c>
      <c r="I175" s="191">
        <f t="shared" si="107"/>
        <v>1.2296704346732808E-2</v>
      </c>
      <c r="J175" s="191">
        <f t="shared" si="107"/>
        <v>6.8403470002492261E-3</v>
      </c>
      <c r="K175" s="191">
        <f t="shared" si="107"/>
        <v>4.9697347486268655E-4</v>
      </c>
      <c r="L175" s="191">
        <f t="shared" si="107"/>
        <v>5.920421013748815E-3</v>
      </c>
      <c r="M175" s="191">
        <f t="shared" si="107"/>
        <v>3.0173680951990057E-3</v>
      </c>
      <c r="N175" s="191">
        <f t="shared" si="107"/>
        <v>1.8558796692426981E-3</v>
      </c>
      <c r="O175" s="191">
        <f t="shared" si="107"/>
        <v>1.7982194204446736E-3</v>
      </c>
      <c r="P175" s="191">
        <f t="shared" si="107"/>
        <v>1.658198319015791E-3</v>
      </c>
      <c r="Q175" s="191">
        <f t="shared" si="107"/>
        <v>1.8974794152019684E-3</v>
      </c>
      <c r="R175" s="191">
        <f t="shared" si="107"/>
        <v>1.8016969693626734E-3</v>
      </c>
      <c r="S175" s="191">
        <f t="shared" si="107"/>
        <v>2.0726975330536104E-3</v>
      </c>
      <c r="T175" s="191">
        <f t="shared" si="107"/>
        <v>2.1219091101510046E-3</v>
      </c>
      <c r="U175" s="191">
        <f t="shared" si="107"/>
        <v>2.1843738653142624E-3</v>
      </c>
      <c r="V175" s="191">
        <f t="shared" si="107"/>
        <v>2.239854584629713E-3</v>
      </c>
      <c r="W175" s="191">
        <f t="shared" si="107"/>
        <v>2.3180199982319317E-3</v>
      </c>
      <c r="X175" s="191">
        <f t="shared" si="107"/>
        <v>2.3665020107675105E-3</v>
      </c>
      <c r="Y175" s="191">
        <f t="shared" si="107"/>
        <v>2.4402243074706036E-3</v>
      </c>
      <c r="Z175" s="191">
        <f t="shared" si="107"/>
        <v>2.5238641376081478E-3</v>
      </c>
      <c r="AA175" s="191">
        <f t="shared" si="107"/>
        <v>2.6178484403745145E-3</v>
      </c>
      <c r="AB175" s="191">
        <f t="shared" si="107"/>
        <v>2.7196545753609917E-3</v>
      </c>
      <c r="AC175" s="191">
        <f t="shared" si="107"/>
        <v>2.7931506930820686E-3</v>
      </c>
      <c r="AD175" s="191">
        <f t="shared" si="107"/>
        <v>2.8739468932782327E-3</v>
      </c>
      <c r="AE175" s="191">
        <f t="shared" si="107"/>
        <v>2.9711597239800661E-3</v>
      </c>
      <c r="AF175" s="191">
        <f t="shared" si="107"/>
        <v>3.0624450126425888E-3</v>
      </c>
      <c r="AG175" s="191">
        <f t="shared" si="107"/>
        <v>3.1833775727537822E-3</v>
      </c>
      <c r="AH175" s="191">
        <f t="shared" si="107"/>
        <v>3.2889218931430163E-3</v>
      </c>
      <c r="AI175" s="191">
        <f t="shared" si="107"/>
        <v>3.4057154489324946E-3</v>
      </c>
      <c r="AJ175" s="191">
        <f t="shared" si="107"/>
        <v>3.5292242955130017E-3</v>
      </c>
      <c r="AK175" s="191">
        <f t="shared" si="107"/>
        <v>3.6422189939990983E-3</v>
      </c>
      <c r="AL175" s="191">
        <f t="shared" si="107"/>
        <v>3.7576086240329394E-3</v>
      </c>
      <c r="AM175" s="191">
        <f t="shared" si="107"/>
        <v>3.8791730679414902E-3</v>
      </c>
      <c r="AN175" s="191">
        <f t="shared" si="107"/>
        <v>4.0070147763870464E-3</v>
      </c>
      <c r="AO175" s="191">
        <f t="shared" si="107"/>
        <v>4.15555806565271E-3</v>
      </c>
      <c r="AP175" s="191">
        <f t="shared" si="107"/>
        <v>4.2946472874219833E-3</v>
      </c>
      <c r="AQ175" s="191">
        <f t="shared" si="107"/>
        <v>4.4378544148341538E-3</v>
      </c>
      <c r="AR175" s="182"/>
    </row>
    <row r="176" spans="1:44" ht="14.25" hidden="1" customHeight="1" x14ac:dyDescent="0.3">
      <c r="A176" s="995"/>
      <c r="B176" s="185" t="s">
        <v>417</v>
      </c>
      <c r="C176" s="190">
        <f t="shared" ref="C176:G176" si="108">C160*(1-$E$188/100)/1000000</f>
        <v>8.2637101800000011E-6</v>
      </c>
      <c r="D176" s="190">
        <f t="shared" si="108"/>
        <v>8.0505008100000013E-6</v>
      </c>
      <c r="E176" s="190">
        <f t="shared" si="108"/>
        <v>7.3051327800000005E-6</v>
      </c>
      <c r="F176" s="190">
        <f t="shared" si="108"/>
        <v>7.08668235E-6</v>
      </c>
      <c r="G176" s="190">
        <f t="shared" si="108"/>
        <v>8.168792939999999E-6</v>
      </c>
      <c r="H176" s="191">
        <f t="shared" ref="H176:AQ176" si="109">H212/H161</f>
        <v>5.8882627790915122E-5</v>
      </c>
      <c r="I176" s="191">
        <f t="shared" si="109"/>
        <v>4.4584367116318836E-5</v>
      </c>
      <c r="J176" s="191">
        <f t="shared" si="109"/>
        <v>3.4631258192725339E-5</v>
      </c>
      <c r="K176" s="191">
        <f t="shared" si="109"/>
        <v>3.0739698578452814E-5</v>
      </c>
      <c r="L176" s="191">
        <f t="shared" si="109"/>
        <v>3.1879026280933784E-3</v>
      </c>
      <c r="M176" s="191">
        <f t="shared" si="109"/>
        <v>6.7656270608680914E-6</v>
      </c>
      <c r="N176" s="191">
        <f t="shared" si="109"/>
        <v>2.490784874054088E-3</v>
      </c>
      <c r="O176" s="191">
        <f t="shared" si="109"/>
        <v>2.4133987816686272E-3</v>
      </c>
      <c r="P176" s="191">
        <f t="shared" si="109"/>
        <v>2.2254757997709007E-3</v>
      </c>
      <c r="Q176" s="191">
        <f t="shared" si="109"/>
        <v>2.5466160896857166E-3</v>
      </c>
      <c r="R176" s="191">
        <f t="shared" si="109"/>
        <v>2.4180660165046396E-3</v>
      </c>
      <c r="S176" s="191">
        <f t="shared" si="109"/>
        <v>2.7817771536480062E-3</v>
      </c>
      <c r="T176" s="191">
        <f t="shared" si="109"/>
        <v>2.8478242438198346E-3</v>
      </c>
      <c r="U176" s="191">
        <f t="shared" si="109"/>
        <v>2.9316584869017812E-3</v>
      </c>
      <c r="V176" s="191">
        <f t="shared" si="109"/>
        <v>3.0061194224693085E-3</v>
      </c>
      <c r="W176" s="191">
        <f t="shared" si="109"/>
        <v>3.1110255934356798E-3</v>
      </c>
      <c r="X176" s="191">
        <f t="shared" si="109"/>
        <v>3.1760935315615366E-3</v>
      </c>
      <c r="Y176" s="191">
        <f t="shared" si="109"/>
        <v>3.2750365743416335E-3</v>
      </c>
      <c r="Z176" s="191">
        <f t="shared" si="109"/>
        <v>3.387289985609433E-3</v>
      </c>
      <c r="AA176" s="191">
        <f t="shared" si="109"/>
        <v>3.5134267624752028E-3</v>
      </c>
      <c r="AB176" s="191">
        <f t="shared" si="109"/>
        <v>3.6500612573256686E-3</v>
      </c>
      <c r="AC176" s="191">
        <f t="shared" si="109"/>
        <v>3.748700744225193E-3</v>
      </c>
      <c r="AD176" s="191">
        <f t="shared" si="109"/>
        <v>3.8571377063110856E-3</v>
      </c>
      <c r="AE176" s="191">
        <f t="shared" si="109"/>
        <v>3.9876075057754612E-3</v>
      </c>
      <c r="AF176" s="191">
        <f t="shared" si="109"/>
        <v>4.1101219230582648E-3</v>
      </c>
      <c r="AG176" s="191">
        <f t="shared" si="109"/>
        <v>4.2724260834505765E-3</v>
      </c>
      <c r="AH176" s="191">
        <f t="shared" si="109"/>
        <v>4.414077614594886E-3</v>
      </c>
      <c r="AI176" s="191">
        <f t="shared" si="109"/>
        <v>4.5708267977281501E-3</v>
      </c>
      <c r="AJ176" s="191">
        <f t="shared" si="109"/>
        <v>4.7365886043651759E-3</v>
      </c>
      <c r="AK176" s="191">
        <f t="shared" si="109"/>
        <v>4.8882393231600629E-3</v>
      </c>
      <c r="AL176" s="191">
        <f t="shared" si="109"/>
        <v>5.0431042909024311E-3</v>
      </c>
      <c r="AM176" s="191">
        <f t="shared" si="109"/>
        <v>5.2062565055251437E-3</v>
      </c>
      <c r="AN176" s="191">
        <f t="shared" si="109"/>
        <v>5.3778334665461995E-3</v>
      </c>
      <c r="AO176" s="191">
        <f t="shared" si="109"/>
        <v>5.5771941170112884E-3</v>
      </c>
      <c r="AP176" s="191">
        <f t="shared" si="109"/>
        <v>5.7638664188142527E-3</v>
      </c>
      <c r="AQ176" s="191">
        <f t="shared" si="109"/>
        <v>5.9560653812397229E-3</v>
      </c>
      <c r="AR176" s="182"/>
    </row>
    <row r="177" spans="1:47" ht="14.25" hidden="1" customHeight="1" x14ac:dyDescent="0.3">
      <c r="A177" s="995"/>
      <c r="B177" s="185" t="s">
        <v>418</v>
      </c>
      <c r="C177" s="190">
        <f t="shared" ref="C177:G177" si="110">C161*(1-$E$188/100)/1000000</f>
        <v>9.7425503999999989E-7</v>
      </c>
      <c r="D177" s="190">
        <f t="shared" si="110"/>
        <v>9.5362937999999992E-7</v>
      </c>
      <c r="E177" s="190">
        <f t="shared" si="110"/>
        <v>1.3162366799999999E-6</v>
      </c>
      <c r="F177" s="190">
        <f t="shared" si="110"/>
        <v>1.1654091900000002E-6</v>
      </c>
      <c r="G177" s="190">
        <f t="shared" si="110"/>
        <v>1.6510269600000001E-6</v>
      </c>
      <c r="H177" s="191">
        <f t="shared" ref="H177:AQ177" si="111">H213/H162</f>
        <v>6.5227620607908834E-2</v>
      </c>
      <c r="I177" s="191">
        <f t="shared" si="111"/>
        <v>9.9125546593241076E-2</v>
      </c>
      <c r="J177" s="191">
        <f t="shared" si="111"/>
        <v>8.5105536143062571E-2</v>
      </c>
      <c r="K177" s="191">
        <f t="shared" si="111"/>
        <v>0.1005970029132774</v>
      </c>
      <c r="L177" s="191">
        <f t="shared" si="111"/>
        <v>8.1557000785189293E-2</v>
      </c>
      <c r="M177" s="191">
        <f t="shared" si="111"/>
        <v>6.5825010798050282E-2</v>
      </c>
      <c r="N177" s="191">
        <f t="shared" si="111"/>
        <v>4.6299061147112984E-2</v>
      </c>
      <c r="O177" s="191">
        <f t="shared" si="111"/>
        <v>4.4860597528430836E-2</v>
      </c>
      <c r="P177" s="191">
        <f t="shared" si="111"/>
        <v>4.1367458590394347E-2</v>
      </c>
      <c r="Q177" s="191">
        <f t="shared" si="111"/>
        <v>4.7336859671334407E-2</v>
      </c>
      <c r="R177" s="191">
        <f t="shared" si="111"/>
        <v>4.4947352748968501E-2</v>
      </c>
      <c r="S177" s="191">
        <f t="shared" si="111"/>
        <v>5.1708066752774937E-2</v>
      </c>
      <c r="T177" s="191">
        <f t="shared" si="111"/>
        <v>5.2935759396289826E-2</v>
      </c>
      <c r="U177" s="191">
        <f t="shared" si="111"/>
        <v>5.4494082151139135E-2</v>
      </c>
      <c r="V177" s="191">
        <f t="shared" si="111"/>
        <v>5.5878172541611502E-2</v>
      </c>
      <c r="W177" s="191">
        <f t="shared" si="111"/>
        <v>5.7828183269104001E-2</v>
      </c>
      <c r="X177" s="191">
        <f t="shared" si="111"/>
        <v>5.9037675296049794E-2</v>
      </c>
      <c r="Y177" s="191">
        <f t="shared" si="111"/>
        <v>6.0876842554320867E-2</v>
      </c>
      <c r="Z177" s="191">
        <f t="shared" si="111"/>
        <v>6.2963424822584227E-2</v>
      </c>
      <c r="AA177" s="191">
        <f t="shared" si="111"/>
        <v>6.5308073052080903E-2</v>
      </c>
      <c r="AB177" s="191">
        <f t="shared" si="111"/>
        <v>6.7847854346637315E-2</v>
      </c>
      <c r="AC177" s="191">
        <f t="shared" si="111"/>
        <v>6.9681379065312701E-2</v>
      </c>
      <c r="AD177" s="191">
        <f t="shared" si="111"/>
        <v>7.1697020636979358E-2</v>
      </c>
      <c r="AE177" s="191">
        <f t="shared" si="111"/>
        <v>7.412221170272594E-2</v>
      </c>
      <c r="AF177" s="191">
        <f t="shared" si="111"/>
        <v>7.6399527000512779E-2</v>
      </c>
      <c r="AG177" s="191">
        <f t="shared" si="111"/>
        <v>7.9416459664875552E-2</v>
      </c>
      <c r="AH177" s="191">
        <f t="shared" si="111"/>
        <v>8.2049498338889179E-2</v>
      </c>
      <c r="AI177" s="191">
        <f t="shared" si="111"/>
        <v>8.4963174301131025E-2</v>
      </c>
      <c r="AJ177" s="191">
        <f t="shared" si="111"/>
        <v>8.8044378182400823E-2</v>
      </c>
      <c r="AK177" s="191">
        <f t="shared" si="111"/>
        <v>9.086328316918918E-2</v>
      </c>
      <c r="AL177" s="191">
        <f t="shared" si="111"/>
        <v>9.3741935069535459E-2</v>
      </c>
      <c r="AM177" s="191">
        <f t="shared" si="111"/>
        <v>9.6774631485749468E-2</v>
      </c>
      <c r="AN177" s="191">
        <f t="shared" si="111"/>
        <v>9.9963928278298225E-2</v>
      </c>
      <c r="AO177" s="191">
        <f t="shared" si="111"/>
        <v>0.10366967221562506</v>
      </c>
      <c r="AP177" s="191">
        <f t="shared" si="111"/>
        <v>0.10713956333535896</v>
      </c>
      <c r="AQ177" s="191">
        <f t="shared" si="111"/>
        <v>0.110712184803573</v>
      </c>
      <c r="AR177" s="182"/>
    </row>
    <row r="178" spans="1:47" ht="14.25" hidden="1" customHeight="1" x14ac:dyDescent="0.3">
      <c r="A178" s="995"/>
      <c r="B178" s="185" t="s">
        <v>419</v>
      </c>
      <c r="C178" s="190">
        <f t="shared" ref="C178:G178" si="112">C162*(1-$E$188/100)/1000000</f>
        <v>2.8219603499999998E-6</v>
      </c>
      <c r="D178" s="190">
        <f t="shared" si="112"/>
        <v>2.07638244E-6</v>
      </c>
      <c r="E178" s="190">
        <f t="shared" si="112"/>
        <v>2.6225604900000001E-6</v>
      </c>
      <c r="F178" s="190">
        <f t="shared" si="112"/>
        <v>2.2936696200000001E-6</v>
      </c>
      <c r="G178" s="190">
        <f t="shared" si="112"/>
        <v>3.4338249000000002E-6</v>
      </c>
      <c r="H178" s="191">
        <f t="shared" ref="H178:AQ178" si="113">H214/H163</f>
        <v>3.5637214423341595E-5</v>
      </c>
      <c r="I178" s="191">
        <f t="shared" si="113"/>
        <v>0</v>
      </c>
      <c r="J178" s="191">
        <f t="shared" si="113"/>
        <v>0</v>
      </c>
      <c r="K178" s="191">
        <f t="shared" si="113"/>
        <v>3.4034355395232123E-5</v>
      </c>
      <c r="L178" s="191">
        <f t="shared" si="113"/>
        <v>1.1780135644691888E-4</v>
      </c>
      <c r="M178" s="191">
        <f t="shared" si="113"/>
        <v>1.8173140465526106E-5</v>
      </c>
      <c r="N178" s="191">
        <f t="shared" si="113"/>
        <v>4.4414397071275582E-4</v>
      </c>
      <c r="O178" s="191">
        <f t="shared" si="113"/>
        <v>4.3034488002931194E-4</v>
      </c>
      <c r="P178" s="191">
        <f t="shared" si="113"/>
        <v>3.9683541871947706E-4</v>
      </c>
      <c r="Q178" s="191">
        <f t="shared" si="113"/>
        <v>4.5409950643912747E-4</v>
      </c>
      <c r="R178" s="191">
        <f t="shared" si="113"/>
        <v>4.3117711738305085E-4</v>
      </c>
      <c r="S178" s="191">
        <f t="shared" si="113"/>
        <v>4.9603222001597244E-4</v>
      </c>
      <c r="T178" s="191">
        <f t="shared" si="113"/>
        <v>5.0780939804066208E-4</v>
      </c>
      <c r="U178" s="191">
        <f t="shared" si="113"/>
        <v>5.2275828985062008E-4</v>
      </c>
      <c r="V178" s="191">
        <f t="shared" si="113"/>
        <v>5.360357815884433E-4</v>
      </c>
      <c r="W178" s="191">
        <f t="shared" si="113"/>
        <v>5.5474211139260596E-4</v>
      </c>
      <c r="X178" s="191">
        <f t="shared" si="113"/>
        <v>5.6634469205155797E-4</v>
      </c>
      <c r="Y178" s="191">
        <f t="shared" si="113"/>
        <v>5.8398770745305589E-4</v>
      </c>
      <c r="Z178" s="191">
        <f t="shared" si="113"/>
        <v>6.0400415942603726E-4</v>
      </c>
      <c r="AA178" s="191">
        <f t="shared" si="113"/>
        <v>6.2649622187336022E-4</v>
      </c>
      <c r="AB178" s="191">
        <f t="shared" si="113"/>
        <v>6.5086018349500127E-4</v>
      </c>
      <c r="AC178" s="191">
        <f t="shared" si="113"/>
        <v>6.6844907037037261E-4</v>
      </c>
      <c r="AD178" s="191">
        <f t="shared" si="113"/>
        <v>6.8778499271940623E-4</v>
      </c>
      <c r="AE178" s="191">
        <f t="shared" si="113"/>
        <v>7.1104969751018476E-4</v>
      </c>
      <c r="AF178" s="191">
        <f t="shared" si="113"/>
        <v>7.3289583939436034E-4</v>
      </c>
      <c r="AG178" s="191">
        <f t="shared" si="113"/>
        <v>7.6183708398386643E-4</v>
      </c>
      <c r="AH178" s="191">
        <f t="shared" si="113"/>
        <v>7.8709565775927828E-4</v>
      </c>
      <c r="AI178" s="191">
        <f t="shared" si="113"/>
        <v>8.1504636732396025E-4</v>
      </c>
      <c r="AJ178" s="191">
        <f t="shared" si="113"/>
        <v>8.4460416163979724E-4</v>
      </c>
      <c r="AK178" s="191">
        <f t="shared" si="113"/>
        <v>8.7164573921986955E-4</v>
      </c>
      <c r="AL178" s="191">
        <f t="shared" si="113"/>
        <v>8.9926046516986544E-4</v>
      </c>
      <c r="AM178" s="191">
        <f t="shared" si="113"/>
        <v>9.2835293043571081E-4</v>
      </c>
      <c r="AN178" s="191">
        <f t="shared" si="113"/>
        <v>9.5894765322551397E-4</v>
      </c>
      <c r="AO178" s="191">
        <f t="shared" si="113"/>
        <v>9.9449662087173368E-4</v>
      </c>
      <c r="AP178" s="191">
        <f t="shared" si="113"/>
        <v>1.0277830673282326E-3</v>
      </c>
      <c r="AQ178" s="191">
        <f t="shared" si="113"/>
        <v>1.0620549995323087E-3</v>
      </c>
      <c r="AR178" s="182"/>
    </row>
    <row r="179" spans="1:47" ht="14.25" hidden="1" customHeight="1" x14ac:dyDescent="0.3">
      <c r="A179" s="995"/>
      <c r="B179" s="185" t="s">
        <v>420</v>
      </c>
      <c r="C179" s="190">
        <f t="shared" ref="C179:G179" si="114">C163*(1-$E$188/100)/1000000</f>
        <v>0</v>
      </c>
      <c r="D179" s="190">
        <f t="shared" si="114"/>
        <v>0</v>
      </c>
      <c r="E179" s="190">
        <f t="shared" si="114"/>
        <v>0</v>
      </c>
      <c r="F179" s="190">
        <f t="shared" si="114"/>
        <v>0</v>
      </c>
      <c r="G179" s="190">
        <f t="shared" si="114"/>
        <v>3.2354190000000001E-8</v>
      </c>
      <c r="H179" s="191">
        <f t="shared" ref="H179:AQ179" si="115">H215/H164</f>
        <v>0.4809290567874594</v>
      </c>
      <c r="I179" s="191">
        <f t="shared" si="115"/>
        <v>0.78652865054317711</v>
      </c>
      <c r="J179" s="191">
        <f t="shared" si="115"/>
        <v>0.92927785326817469</v>
      </c>
      <c r="K179" s="191">
        <f t="shared" si="115"/>
        <v>0.70193517738912159</v>
      </c>
      <c r="L179" s="191">
        <f t="shared" si="115"/>
        <v>1.5464888603199864</v>
      </c>
      <c r="M179" s="191">
        <f t="shared" si="115"/>
        <v>1.6116723435788891</v>
      </c>
      <c r="N179" s="191">
        <f t="shared" si="115"/>
        <v>2.3346409941971635</v>
      </c>
      <c r="O179" s="191">
        <f t="shared" si="115"/>
        <v>2.2621061295664164</v>
      </c>
      <c r="P179" s="191">
        <f t="shared" si="115"/>
        <v>2.0859637810800509</v>
      </c>
      <c r="Q179" s="191">
        <f t="shared" si="115"/>
        <v>2.3869722276678833</v>
      </c>
      <c r="R179" s="191">
        <f t="shared" si="115"/>
        <v>2.2664807818662616</v>
      </c>
      <c r="S179" s="191">
        <f t="shared" si="115"/>
        <v>2.6073913677888783</v>
      </c>
      <c r="T179" s="191">
        <f t="shared" si="115"/>
        <v>2.6692980566678792</v>
      </c>
      <c r="U179" s="191">
        <f t="shared" si="115"/>
        <v>2.7478768462917444</v>
      </c>
      <c r="V179" s="191">
        <f t="shared" si="115"/>
        <v>2.8176699281644777</v>
      </c>
      <c r="W179" s="191">
        <f t="shared" si="115"/>
        <v>2.9159996754797124</v>
      </c>
      <c r="X179" s="191">
        <f t="shared" si="115"/>
        <v>2.9769885940085365</v>
      </c>
      <c r="Y179" s="191">
        <f t="shared" si="115"/>
        <v>3.0697290334464236</v>
      </c>
      <c r="Z179" s="191">
        <f t="shared" si="115"/>
        <v>3.1749454326682964</v>
      </c>
      <c r="AA179" s="191">
        <f t="shared" si="115"/>
        <v>3.2931748683832383</v>
      </c>
      <c r="AB179" s="191">
        <f t="shared" si="115"/>
        <v>3.4212439345728503</v>
      </c>
      <c r="AC179" s="191">
        <f t="shared" si="115"/>
        <v>3.5136998476310422</v>
      </c>
      <c r="AD179" s="191">
        <f t="shared" si="115"/>
        <v>3.6153390456240331</v>
      </c>
      <c r="AE179" s="191">
        <f t="shared" si="115"/>
        <v>3.73762987270716</v>
      </c>
      <c r="AF179" s="191">
        <f t="shared" si="115"/>
        <v>3.8524640295820021</v>
      </c>
      <c r="AG179" s="191">
        <f t="shared" si="115"/>
        <v>4.0045935652668314</v>
      </c>
      <c r="AH179" s="191">
        <f t="shared" si="115"/>
        <v>4.1373651566415743</v>
      </c>
      <c r="AI179" s="191">
        <f t="shared" si="115"/>
        <v>4.2842879489557086</v>
      </c>
      <c r="AJ179" s="191">
        <f t="shared" si="115"/>
        <v>4.4396583757951413</v>
      </c>
      <c r="AK179" s="191">
        <f t="shared" si="115"/>
        <v>4.581802319491791</v>
      </c>
      <c r="AL179" s="191">
        <f t="shared" si="115"/>
        <v>4.7269590152877941</v>
      </c>
      <c r="AM179" s="191">
        <f t="shared" si="115"/>
        <v>4.8798834418490777</v>
      </c>
      <c r="AN179" s="191">
        <f t="shared" si="115"/>
        <v>5.040704479037867</v>
      </c>
      <c r="AO179" s="191">
        <f t="shared" si="115"/>
        <v>5.2275674843716233</v>
      </c>
      <c r="AP179" s="191">
        <f t="shared" si="115"/>
        <v>5.4025375561791513</v>
      </c>
      <c r="AQ179" s="191">
        <f t="shared" si="115"/>
        <v>5.5826878298518503</v>
      </c>
      <c r="AR179" s="182"/>
    </row>
    <row r="180" spans="1:47" ht="14.25" hidden="1" customHeight="1" x14ac:dyDescent="0.3">
      <c r="A180" s="995"/>
      <c r="B180" s="185" t="s">
        <v>421</v>
      </c>
      <c r="C180" s="190">
        <f t="shared" ref="C180:G180" si="116">C165*(1-$E$188/100)/1000000</f>
        <v>5.7551669999999999E-8</v>
      </c>
      <c r="D180" s="190">
        <f t="shared" si="116"/>
        <v>6.7391279999999994E-8</v>
      </c>
      <c r="E180" s="190">
        <f t="shared" si="116"/>
        <v>4.5515250000000001E-8</v>
      </c>
      <c r="F180" s="190">
        <f t="shared" si="116"/>
        <v>3.7168560000000005E-8</v>
      </c>
      <c r="G180" s="190">
        <f t="shared" si="116"/>
        <v>7.1769059999999992E-8</v>
      </c>
      <c r="H180" s="191">
        <f t="shared" ref="H180:AQ180" si="117">H216/H165</f>
        <v>0.18691297937441542</v>
      </c>
      <c r="I180" s="191">
        <f t="shared" si="117"/>
        <v>0.11274593994229909</v>
      </c>
      <c r="J180" s="191">
        <f t="shared" si="117"/>
        <v>0.18754178042198616</v>
      </c>
      <c r="K180" s="191">
        <f t="shared" si="117"/>
        <v>0.13983008870810382</v>
      </c>
      <c r="L180" s="191">
        <f t="shared" si="117"/>
        <v>3.513288178400252E-2</v>
      </c>
      <c r="M180" s="191">
        <f t="shared" si="117"/>
        <v>0.14171559312832049</v>
      </c>
      <c r="N180" s="191">
        <f t="shared" si="117"/>
        <v>0.12635950046632244</v>
      </c>
      <c r="O180" s="191">
        <f t="shared" si="117"/>
        <v>0.12243364236483505</v>
      </c>
      <c r="P180" s="191">
        <f t="shared" si="117"/>
        <v>0.11290015982039962</v>
      </c>
      <c r="Q180" s="191">
        <f t="shared" si="117"/>
        <v>0.12919186250253373</v>
      </c>
      <c r="R180" s="191">
        <f t="shared" si="117"/>
        <v>0.12267041490532253</v>
      </c>
      <c r="S180" s="191">
        <f t="shared" si="117"/>
        <v>0.1411217705732532</v>
      </c>
      <c r="T180" s="191">
        <f t="shared" si="117"/>
        <v>0.14447239206140391</v>
      </c>
      <c r="U180" s="191">
        <f t="shared" si="117"/>
        <v>0.1487253699834053</v>
      </c>
      <c r="V180" s="191">
        <f t="shared" si="117"/>
        <v>0.15250283254975439</v>
      </c>
      <c r="W180" s="191">
        <f t="shared" si="117"/>
        <v>0.15782480615623834</v>
      </c>
      <c r="X180" s="191">
        <f t="shared" si="117"/>
        <v>0.16112575448124344</v>
      </c>
      <c r="Y180" s="191">
        <f t="shared" si="117"/>
        <v>0.16614521384545652</v>
      </c>
      <c r="Z180" s="191">
        <f t="shared" si="117"/>
        <v>0.1718399188042003</v>
      </c>
      <c r="AA180" s="191">
        <f t="shared" si="117"/>
        <v>0.17823893795724682</v>
      </c>
      <c r="AB180" s="191">
        <f t="shared" si="117"/>
        <v>0.18517051470464854</v>
      </c>
      <c r="AC180" s="191">
        <f t="shared" si="117"/>
        <v>0.19017457443727062</v>
      </c>
      <c r="AD180" s="191">
        <f t="shared" si="117"/>
        <v>0.19567566788937477</v>
      </c>
      <c r="AE180" s="191">
        <f t="shared" si="117"/>
        <v>0.20229450472991911</v>
      </c>
      <c r="AF180" s="191">
        <f t="shared" si="117"/>
        <v>0.20850975869626448</v>
      </c>
      <c r="AG180" s="191">
        <f t="shared" si="117"/>
        <v>0.2167435780214147</v>
      </c>
      <c r="AH180" s="191">
        <f t="shared" si="117"/>
        <v>0.22392967301586181</v>
      </c>
      <c r="AI180" s="191">
        <f t="shared" si="117"/>
        <v>0.23188168392035438</v>
      </c>
      <c r="AJ180" s="191">
        <f t="shared" si="117"/>
        <v>0.24029091239336903</v>
      </c>
      <c r="AK180" s="191">
        <f t="shared" si="117"/>
        <v>0.24798427414126301</v>
      </c>
      <c r="AL180" s="191">
        <f t="shared" si="117"/>
        <v>0.25584069729827702</v>
      </c>
      <c r="AM180" s="191">
        <f t="shared" si="117"/>
        <v>0.26411753908997504</v>
      </c>
      <c r="AN180" s="191">
        <f t="shared" si="117"/>
        <v>0.2728217749764178</v>
      </c>
      <c r="AO180" s="191">
        <f t="shared" si="117"/>
        <v>0.28293549955689823</v>
      </c>
      <c r="AP180" s="191">
        <f t="shared" si="117"/>
        <v>0.29240553410401227</v>
      </c>
      <c r="AQ180" s="191">
        <f t="shared" si="117"/>
        <v>0.30215594054625899</v>
      </c>
      <c r="AR180" s="182"/>
    </row>
    <row r="181" spans="1:47" ht="14.25" hidden="1" customHeight="1" x14ac:dyDescent="0.3">
      <c r="A181" s="995"/>
      <c r="B181" s="185" t="s">
        <v>458</v>
      </c>
      <c r="C181" s="190">
        <f t="shared" ref="C181:G181" si="118">C166*(1-$E$188/100)/1000000</f>
        <v>2.6074619999999998E-8</v>
      </c>
      <c r="D181" s="190">
        <f t="shared" si="118"/>
        <v>3.0334590000000002E-8</v>
      </c>
      <c r="E181" s="190">
        <f t="shared" si="118"/>
        <v>1.8227880000000001E-8</v>
      </c>
      <c r="F181" s="190">
        <f t="shared" si="118"/>
        <v>2.663991E-8</v>
      </c>
      <c r="G181" s="190">
        <f t="shared" si="118"/>
        <v>2.1090959999999997E-8</v>
      </c>
      <c r="H181" s="191">
        <f t="shared" ref="H181:AQ181" si="119">H217/H166</f>
        <v>6.0092210073035862E-2</v>
      </c>
      <c r="I181" s="191">
        <f t="shared" si="119"/>
        <v>4.8613713501372599E-2</v>
      </c>
      <c r="J181" s="191">
        <f t="shared" si="119"/>
        <v>9.3148615619842737E-2</v>
      </c>
      <c r="K181" s="191">
        <f t="shared" si="119"/>
        <v>8.0226131710420881E-2</v>
      </c>
      <c r="L181" s="191">
        <f t="shared" si="119"/>
        <v>0.10270139538822302</v>
      </c>
      <c r="M181" s="191">
        <f t="shared" si="119"/>
        <v>5.2899692708797567E-2</v>
      </c>
      <c r="N181" s="191">
        <f t="shared" si="119"/>
        <v>5.2654577325302092E-2</v>
      </c>
      <c r="O181" s="191">
        <f t="shared" si="119"/>
        <v>5.1018654436955233E-2</v>
      </c>
      <c r="P181" s="191">
        <f t="shared" si="119"/>
        <v>4.7046008993099735E-2</v>
      </c>
      <c r="Q181" s="191">
        <f t="shared" si="119"/>
        <v>5.3834835440430405E-2</v>
      </c>
      <c r="R181" s="191">
        <f t="shared" si="119"/>
        <v>5.1117318629165527E-2</v>
      </c>
      <c r="S181" s="191">
        <f t="shared" si="119"/>
        <v>5.880608227723523E-2</v>
      </c>
      <c r="T181" s="191">
        <f t="shared" si="119"/>
        <v>6.0202301458100634E-2</v>
      </c>
      <c r="U181" s="191">
        <f t="shared" si="119"/>
        <v>6.1974536660284817E-2</v>
      </c>
      <c r="V181" s="191">
        <f t="shared" si="119"/>
        <v>6.3548622455648282E-2</v>
      </c>
      <c r="W181" s="191">
        <f t="shared" si="119"/>
        <v>6.5766313011179661E-2</v>
      </c>
      <c r="X181" s="191">
        <f t="shared" si="119"/>
        <v>6.7141833159521283E-2</v>
      </c>
      <c r="Y181" s="191">
        <f t="shared" si="119"/>
        <v>6.9233464657341343E-2</v>
      </c>
      <c r="Z181" s="191">
        <f t="shared" si="119"/>
        <v>7.1606474058995867E-2</v>
      </c>
      <c r="AA181" s="191">
        <f t="shared" si="119"/>
        <v>7.427297438193739E-2</v>
      </c>
      <c r="AB181" s="191">
        <f t="shared" si="119"/>
        <v>7.7161393871452572E-2</v>
      </c>
      <c r="AC181" s="191">
        <f t="shared" si="119"/>
        <v>7.9246608272897645E-2</v>
      </c>
      <c r="AD181" s="191">
        <f t="shared" si="119"/>
        <v>8.15389388810321E-2</v>
      </c>
      <c r="AE181" s="191">
        <f t="shared" si="119"/>
        <v>8.4297038231993734E-2</v>
      </c>
      <c r="AF181" s="191">
        <f t="shared" si="119"/>
        <v>8.6886962767620923E-2</v>
      </c>
      <c r="AG181" s="191">
        <f t="shared" si="119"/>
        <v>9.0318032649495283E-2</v>
      </c>
      <c r="AH181" s="191">
        <f t="shared" si="119"/>
        <v>9.3312511047682137E-2</v>
      </c>
      <c r="AI181" s="191">
        <f t="shared" si="119"/>
        <v>9.6626150081684542E-2</v>
      </c>
      <c r="AJ181" s="191">
        <f t="shared" si="119"/>
        <v>0.10013031375156618</v>
      </c>
      <c r="AK181" s="191">
        <f t="shared" si="119"/>
        <v>0.10333617250813804</v>
      </c>
      <c r="AL181" s="191">
        <f t="shared" si="119"/>
        <v>0.10660997969394236</v>
      </c>
      <c r="AM181" s="191">
        <f t="shared" si="119"/>
        <v>0.11005897723288413</v>
      </c>
      <c r="AN181" s="191">
        <f t="shared" si="119"/>
        <v>0.11368607183082864</v>
      </c>
      <c r="AO181" s="191">
        <f t="shared" si="119"/>
        <v>0.11790050676452521</v>
      </c>
      <c r="AP181" s="191">
        <f t="shared" si="119"/>
        <v>0.12184671313993896</v>
      </c>
      <c r="AQ181" s="191">
        <f t="shared" si="119"/>
        <v>0.12590975175651881</v>
      </c>
      <c r="AR181" s="182"/>
    </row>
    <row r="182" spans="1:47" ht="14.25" hidden="1" customHeight="1" x14ac:dyDescent="0.3">
      <c r="A182" s="995"/>
      <c r="B182" s="185" t="s">
        <v>423</v>
      </c>
      <c r="C182" s="190">
        <f t="shared" ref="C182:G182" si="120">C167*(1-$E$188/100)/1000000</f>
        <v>4.3624943999999999E-7</v>
      </c>
      <c r="D182" s="190">
        <f t="shared" si="120"/>
        <v>3.8681180999999996E-7</v>
      </c>
      <c r="E182" s="190">
        <f t="shared" si="120"/>
        <v>3.5248553999999997E-7</v>
      </c>
      <c r="F182" s="190">
        <f t="shared" si="120"/>
        <v>3.8777409E-7</v>
      </c>
      <c r="G182" s="190">
        <f t="shared" si="120"/>
        <v>5.2703045999999995E-7</v>
      </c>
      <c r="H182" s="191">
        <f t="shared" ref="H182:AQ182" si="121">H218/H167</f>
        <v>1.9386060347633554</v>
      </c>
      <c r="I182" s="191">
        <f t="shared" si="121"/>
        <v>8.3124235363791512E-4</v>
      </c>
      <c r="J182" s="191">
        <f t="shared" si="121"/>
        <v>9.512702988313125E-4</v>
      </c>
      <c r="K182" s="191">
        <f t="shared" si="121"/>
        <v>1.0355020182436514E-3</v>
      </c>
      <c r="L182" s="191">
        <f t="shared" si="121"/>
        <v>6.1371516965084917E-4</v>
      </c>
      <c r="M182" s="191">
        <f t="shared" si="121"/>
        <v>2.4677413211563609E-3</v>
      </c>
      <c r="N182" s="191">
        <f t="shared" si="121"/>
        <v>1.5650268800647584E-3</v>
      </c>
      <c r="O182" s="191">
        <f t="shared" si="121"/>
        <v>1.5164031245618209E-3</v>
      </c>
      <c r="P182" s="191">
        <f t="shared" si="121"/>
        <v>1.3983260794040951E-3</v>
      </c>
      <c r="Q182" s="191">
        <f t="shared" si="121"/>
        <v>1.600107128913376E-3</v>
      </c>
      <c r="R182" s="191">
        <f t="shared" si="121"/>
        <v>1.5193356732736837E-3</v>
      </c>
      <c r="S182" s="191">
        <f t="shared" si="121"/>
        <v>1.7478651268357692E-3</v>
      </c>
      <c r="T182" s="191">
        <f t="shared" si="121"/>
        <v>1.7893642834051326E-3</v>
      </c>
      <c r="U182" s="191">
        <f t="shared" si="121"/>
        <v>1.8420395847769363E-3</v>
      </c>
      <c r="V182" s="191">
        <f t="shared" si="121"/>
        <v>1.8888253858679303E-3</v>
      </c>
      <c r="W182" s="191">
        <f t="shared" si="121"/>
        <v>1.954740744178186E-3</v>
      </c>
      <c r="X182" s="191">
        <f t="shared" si="121"/>
        <v>1.9956246732794614E-3</v>
      </c>
      <c r="Y182" s="191">
        <f t="shared" si="121"/>
        <v>2.0577932383608012E-3</v>
      </c>
      <c r="Z182" s="191">
        <f t="shared" si="121"/>
        <v>2.1283250646309394E-3</v>
      </c>
      <c r="AA182" s="191">
        <f t="shared" si="121"/>
        <v>2.2075801815284314E-3</v>
      </c>
      <c r="AB182" s="191">
        <f t="shared" si="121"/>
        <v>2.2934312959351929E-3</v>
      </c>
      <c r="AC182" s="191">
        <f t="shared" si="121"/>
        <v>2.3554091287226095E-3</v>
      </c>
      <c r="AD182" s="191">
        <f t="shared" si="121"/>
        <v>2.4235429777052261E-3</v>
      </c>
      <c r="AE182" s="191">
        <f t="shared" si="121"/>
        <v>2.5055206488101825E-3</v>
      </c>
      <c r="AF182" s="191">
        <f t="shared" si="121"/>
        <v>2.5824997401160399E-3</v>
      </c>
      <c r="AG182" s="191">
        <f t="shared" si="121"/>
        <v>2.6844797932335431E-3</v>
      </c>
      <c r="AH182" s="191">
        <f t="shared" si="121"/>
        <v>2.7734832459814906E-3</v>
      </c>
      <c r="AI182" s="191">
        <f t="shared" si="121"/>
        <v>2.8719729580345696E-3</v>
      </c>
      <c r="AJ182" s="191">
        <f t="shared" si="121"/>
        <v>2.9761255429395835E-3</v>
      </c>
      <c r="AK182" s="191">
        <f t="shared" si="121"/>
        <v>3.0714117532291301E-3</v>
      </c>
      <c r="AL182" s="191">
        <f t="shared" si="121"/>
        <v>3.1687175622622009E-3</v>
      </c>
      <c r="AM182" s="191">
        <f t="shared" si="121"/>
        <v>3.2712304705773397E-3</v>
      </c>
      <c r="AN182" s="191">
        <f t="shared" si="121"/>
        <v>3.379036872806176E-3</v>
      </c>
      <c r="AO182" s="191">
        <f t="shared" si="121"/>
        <v>3.5043005116114122E-3</v>
      </c>
      <c r="AP182" s="191">
        <f t="shared" si="121"/>
        <v>3.6215917209520615E-3</v>
      </c>
      <c r="AQ182" s="191">
        <f t="shared" si="121"/>
        <v>3.7423554792556154E-3</v>
      </c>
      <c r="AR182" s="182"/>
    </row>
    <row r="183" spans="1:47" ht="14.25" hidden="1" customHeight="1" x14ac:dyDescent="0.3">
      <c r="A183" s="995"/>
      <c r="B183" s="185" t="s">
        <v>424</v>
      </c>
      <c r="C183" s="190">
        <f t="shared" ref="C183:G183" si="122">C168*(1-$E$188/100)/1000000</f>
        <v>1.8638928E-7</v>
      </c>
      <c r="D183" s="190">
        <f t="shared" si="122"/>
        <v>1.3668831E-7</v>
      </c>
      <c r="E183" s="190">
        <f t="shared" si="122"/>
        <v>1.3648535999999998E-7</v>
      </c>
      <c r="F183" s="190">
        <f t="shared" si="122"/>
        <v>7.705368E-8</v>
      </c>
      <c r="G183" s="190">
        <f t="shared" si="122"/>
        <v>2.6074025999999998E-7</v>
      </c>
      <c r="H183" s="191">
        <f t="shared" ref="H183:AQ183" si="123">H219/H168</f>
        <v>0.65725918034789266</v>
      </c>
      <c r="I183" s="191">
        <f t="shared" si="123"/>
        <v>0.62026742902656884</v>
      </c>
      <c r="J183" s="191">
        <f t="shared" si="123"/>
        <v>0.52970089154857469</v>
      </c>
      <c r="K183" s="191">
        <f t="shared" si="123"/>
        <v>0.55609161223722081</v>
      </c>
      <c r="L183" s="191">
        <f t="shared" si="123"/>
        <v>0.29481104041590944</v>
      </c>
      <c r="M183" s="191">
        <f t="shared" si="123"/>
        <v>0.46374135960966967</v>
      </c>
      <c r="N183" s="191">
        <f t="shared" si="123"/>
        <v>0.6152681411577825</v>
      </c>
      <c r="O183" s="191">
        <f t="shared" si="123"/>
        <v>0.59615240069001163</v>
      </c>
      <c r="P183" s="191">
        <f t="shared" si="123"/>
        <v>0.54973208356127889</v>
      </c>
      <c r="Q183" s="191">
        <f t="shared" si="123"/>
        <v>0.62905944389856872</v>
      </c>
      <c r="R183" s="191">
        <f t="shared" si="123"/>
        <v>0.59730529066128668</v>
      </c>
      <c r="S183" s="191">
        <f t="shared" si="123"/>
        <v>0.68714840702177371</v>
      </c>
      <c r="T183" s="191">
        <f t="shared" si="123"/>
        <v>0.70346321237578224</v>
      </c>
      <c r="U183" s="191">
        <f t="shared" si="123"/>
        <v>0.72417176069069344</v>
      </c>
      <c r="V183" s="191">
        <f t="shared" si="123"/>
        <v>0.74256493542558522</v>
      </c>
      <c r="W183" s="191">
        <f t="shared" si="123"/>
        <v>0.76847862451162963</v>
      </c>
      <c r="X183" s="191">
        <f t="shared" si="123"/>
        <v>0.78455156190445408</v>
      </c>
      <c r="Y183" s="191">
        <f t="shared" si="123"/>
        <v>0.80899225232534955</v>
      </c>
      <c r="Z183" s="191">
        <f t="shared" si="123"/>
        <v>0.83672084037355965</v>
      </c>
      <c r="AA183" s="191">
        <f t="shared" si="123"/>
        <v>0.86787886652116464</v>
      </c>
      <c r="AB183" s="191">
        <f t="shared" si="123"/>
        <v>0.90163001562295308</v>
      </c>
      <c r="AC183" s="191">
        <f t="shared" si="123"/>
        <v>0.92599572234520666</v>
      </c>
      <c r="AD183" s="191">
        <f t="shared" si="123"/>
        <v>0.95278157960263898</v>
      </c>
      <c r="AE183" s="191">
        <f t="shared" si="123"/>
        <v>0.98500993935777847</v>
      </c>
      <c r="AF183" s="191">
        <f t="shared" si="123"/>
        <v>1.0152731782957642</v>
      </c>
      <c r="AG183" s="191">
        <f t="shared" si="123"/>
        <v>1.055365191101437</v>
      </c>
      <c r="AH183" s="191">
        <f t="shared" si="123"/>
        <v>1.0903556373528063</v>
      </c>
      <c r="AI183" s="191">
        <f t="shared" si="123"/>
        <v>1.129075472027822</v>
      </c>
      <c r="AJ183" s="191">
        <f t="shared" si="123"/>
        <v>1.1700215849205502</v>
      </c>
      <c r="AK183" s="191">
        <f t="shared" si="123"/>
        <v>1.2074820082714854</v>
      </c>
      <c r="AL183" s="191">
        <f t="shared" si="123"/>
        <v>1.2457364082503244</v>
      </c>
      <c r="AM183" s="191">
        <f t="shared" si="123"/>
        <v>1.2860379055262841</v>
      </c>
      <c r="AN183" s="191">
        <f t="shared" si="123"/>
        <v>1.3284204649245608</v>
      </c>
      <c r="AO183" s="191">
        <f t="shared" si="123"/>
        <v>1.3776660895103623</v>
      </c>
      <c r="AP183" s="191">
        <f t="shared" si="123"/>
        <v>1.4237774664230605</v>
      </c>
      <c r="AQ183" s="191">
        <f t="shared" si="123"/>
        <v>1.4712540267538203</v>
      </c>
      <c r="AR183" s="182"/>
    </row>
    <row r="184" spans="1:47" ht="14.25" hidden="1" customHeight="1" x14ac:dyDescent="0.3">
      <c r="A184" s="995"/>
      <c r="B184" s="185" t="s">
        <v>425</v>
      </c>
      <c r="C184" s="190">
        <f t="shared" ref="C184:G184" si="124">C169*(1-$E$188/100)/1000000</f>
        <v>5.2982820000000001E-8</v>
      </c>
      <c r="D184" s="190">
        <f t="shared" si="124"/>
        <v>3.5858790000000003E-8</v>
      </c>
      <c r="E184" s="190">
        <f t="shared" si="124"/>
        <v>6.2326439999999993E-8</v>
      </c>
      <c r="F184" s="190">
        <f t="shared" si="124"/>
        <v>1.2989790000000002E-8</v>
      </c>
      <c r="G184" s="190">
        <f t="shared" si="124"/>
        <v>1.8311435999999996E-7</v>
      </c>
      <c r="H184" s="191">
        <f t="shared" ref="H184:AQ184" si="125">H220/H169</f>
        <v>0.34540725557075325</v>
      </c>
      <c r="I184" s="191">
        <f t="shared" si="125"/>
        <v>0.41436199233707699</v>
      </c>
      <c r="J184" s="191">
        <f t="shared" si="125"/>
        <v>0.14595058995923385</v>
      </c>
      <c r="K184" s="191">
        <f t="shared" si="125"/>
        <v>0.28844449259542254</v>
      </c>
      <c r="L184" s="191">
        <f t="shared" si="125"/>
        <v>0.21723184962541586</v>
      </c>
      <c r="M184" s="191">
        <f t="shared" si="125"/>
        <v>0.35763786345309562</v>
      </c>
      <c r="N184" s="191">
        <f t="shared" si="125"/>
        <v>0.26652477808808056</v>
      </c>
      <c r="O184" s="191">
        <f t="shared" si="125"/>
        <v>0.25824413076482605</v>
      </c>
      <c r="P184" s="191">
        <f t="shared" si="125"/>
        <v>0.23813555713019502</v>
      </c>
      <c r="Q184" s="191">
        <f t="shared" si="125"/>
        <v>0.27249896016683534</v>
      </c>
      <c r="R184" s="191">
        <f t="shared" si="125"/>
        <v>0.25874354512289088</v>
      </c>
      <c r="S184" s="191">
        <f t="shared" si="125"/>
        <v>0.29766221334072035</v>
      </c>
      <c r="T184" s="191">
        <f t="shared" si="125"/>
        <v>0.30472953827703986</v>
      </c>
      <c r="U184" s="191">
        <f t="shared" si="125"/>
        <v>0.31370016567499343</v>
      </c>
      <c r="V184" s="191">
        <f t="shared" si="125"/>
        <v>0.32166780853933469</v>
      </c>
      <c r="W184" s="191">
        <f t="shared" si="125"/>
        <v>0.33289322355936951</v>
      </c>
      <c r="X184" s="191">
        <f t="shared" si="125"/>
        <v>0.33985577498253444</v>
      </c>
      <c r="Y184" s="191">
        <f t="shared" si="125"/>
        <v>0.35044310943884288</v>
      </c>
      <c r="Z184" s="191">
        <f t="shared" si="125"/>
        <v>0.36245471101850246</v>
      </c>
      <c r="AA184" s="191">
        <f t="shared" si="125"/>
        <v>0.37595189289602698</v>
      </c>
      <c r="AB184" s="191">
        <f t="shared" si="125"/>
        <v>0.39057237610135687</v>
      </c>
      <c r="AC184" s="191">
        <f t="shared" si="125"/>
        <v>0.40112722876264972</v>
      </c>
      <c r="AD184" s="191">
        <f t="shared" si="125"/>
        <v>0.41273045373705214</v>
      </c>
      <c r="AE184" s="191">
        <f t="shared" si="125"/>
        <v>0.42669128781456156</v>
      </c>
      <c r="AF184" s="191">
        <f t="shared" si="125"/>
        <v>0.43980086151521691</v>
      </c>
      <c r="AG184" s="191">
        <f t="shared" si="125"/>
        <v>0.45716811020134079</v>
      </c>
      <c r="AH184" s="191">
        <f t="shared" si="125"/>
        <v>0.47232543803697391</v>
      </c>
      <c r="AI184" s="191">
        <f t="shared" si="125"/>
        <v>0.48909828007775702</v>
      </c>
      <c r="AJ184" s="191">
        <f t="shared" si="125"/>
        <v>0.50683551189959009</v>
      </c>
      <c r="AK184" s="191">
        <f t="shared" si="125"/>
        <v>0.52306279615634665</v>
      </c>
      <c r="AL184" s="191">
        <f t="shared" si="125"/>
        <v>0.5396340189829778</v>
      </c>
      <c r="AM184" s="191">
        <f t="shared" si="125"/>
        <v>0.55709201314773316</v>
      </c>
      <c r="AN184" s="191">
        <f t="shared" si="125"/>
        <v>0.57545149169504473</v>
      </c>
      <c r="AO184" s="191">
        <f t="shared" si="125"/>
        <v>0.59678394544413915</v>
      </c>
      <c r="AP184" s="191">
        <f t="shared" si="125"/>
        <v>0.61675869088742874</v>
      </c>
      <c r="AQ184" s="191">
        <f t="shared" si="125"/>
        <v>0.63732481297320742</v>
      </c>
      <c r="AR184" s="182"/>
    </row>
    <row r="185" spans="1:47" ht="14.25" hidden="1" customHeight="1" x14ac:dyDescent="0.3">
      <c r="A185" s="995"/>
      <c r="B185" s="185" t="s">
        <v>426</v>
      </c>
      <c r="C185" s="190" t="e">
        <f t="shared" ref="C185:G185" si="126">#REF!*(1-$E$188/100)</f>
        <v>#REF!</v>
      </c>
      <c r="D185" s="190" t="e">
        <f t="shared" si="126"/>
        <v>#REF!</v>
      </c>
      <c r="E185" s="190" t="e">
        <f t="shared" si="126"/>
        <v>#REF!</v>
      </c>
      <c r="F185" s="190" t="e">
        <f t="shared" si="126"/>
        <v>#REF!</v>
      </c>
      <c r="G185" s="190" t="e">
        <f t="shared" si="126"/>
        <v>#REF!</v>
      </c>
      <c r="H185" s="191">
        <f t="shared" ref="H185:AQ185" si="127">H221/H170</f>
        <v>0.24388815971155156</v>
      </c>
      <c r="I185" s="191">
        <f t="shared" si="127"/>
        <v>0.2654834464023807</v>
      </c>
      <c r="J185" s="191">
        <f t="shared" si="127"/>
        <v>0.24379938293326528</v>
      </c>
      <c r="K185" s="191">
        <f t="shared" si="127"/>
        <v>0.30306300490849325</v>
      </c>
      <c r="L185" s="191">
        <f t="shared" si="127"/>
        <v>0.29917462156656771</v>
      </c>
      <c r="M185" s="191">
        <f t="shared" si="127"/>
        <v>0.38605862149783976</v>
      </c>
      <c r="N185" s="191">
        <f t="shared" si="127"/>
        <v>0.37861554336144332</v>
      </c>
      <c r="O185" s="191">
        <f t="shared" si="127"/>
        <v>0.36685235268112931</v>
      </c>
      <c r="P185" s="191">
        <f t="shared" si="127"/>
        <v>0.3382868339795872</v>
      </c>
      <c r="Q185" s="191">
        <f t="shared" si="127"/>
        <v>0.38710225221498351</v>
      </c>
      <c r="R185" s="191">
        <f t="shared" si="127"/>
        <v>0.36756180281142348</v>
      </c>
      <c r="S185" s="191">
        <f t="shared" si="127"/>
        <v>0.42284826743171317</v>
      </c>
      <c r="T185" s="191">
        <f t="shared" si="127"/>
        <v>0.43288785583347977</v>
      </c>
      <c r="U185" s="191">
        <f t="shared" si="127"/>
        <v>0.44563120746830159</v>
      </c>
      <c r="V185" s="191">
        <f t="shared" si="127"/>
        <v>0.45694975523722814</v>
      </c>
      <c r="W185" s="191">
        <f t="shared" si="127"/>
        <v>0.47289617732134537</v>
      </c>
      <c r="X185" s="191">
        <f t="shared" si="127"/>
        <v>0.48278692822703562</v>
      </c>
      <c r="Y185" s="191">
        <f t="shared" si="127"/>
        <v>0.49782691594104778</v>
      </c>
      <c r="Z185" s="191">
        <f t="shared" si="127"/>
        <v>0.51489016646262231</v>
      </c>
      <c r="AA185" s="191">
        <f t="shared" si="127"/>
        <v>0.53406377908905645</v>
      </c>
      <c r="AB185" s="191">
        <f t="shared" si="127"/>
        <v>0.55483311330519247</v>
      </c>
      <c r="AC185" s="191">
        <f t="shared" si="127"/>
        <v>0.56982695854585785</v>
      </c>
      <c r="AD185" s="191">
        <f t="shared" si="127"/>
        <v>0.58631008390456885</v>
      </c>
      <c r="AE185" s="191">
        <f t="shared" si="127"/>
        <v>0.60614234422180024</v>
      </c>
      <c r="AF185" s="191">
        <f t="shared" si="127"/>
        <v>0.62476533457007555</v>
      </c>
      <c r="AG185" s="191">
        <f t="shared" si="127"/>
        <v>0.64943662534146129</v>
      </c>
      <c r="AH185" s="191">
        <f t="shared" si="127"/>
        <v>0.67096858179055074</v>
      </c>
      <c r="AI185" s="191">
        <f t="shared" si="127"/>
        <v>0.69479547979433798</v>
      </c>
      <c r="AJ185" s="191">
        <f t="shared" si="127"/>
        <v>0.71999235534236605</v>
      </c>
      <c r="AK185" s="191">
        <f t="shared" si="127"/>
        <v>0.74304425351943559</v>
      </c>
      <c r="AL185" s="191">
        <f t="shared" si="127"/>
        <v>0.76658473849676489</v>
      </c>
      <c r="AM185" s="191">
        <f t="shared" si="127"/>
        <v>0.79138493904136642</v>
      </c>
      <c r="AN185" s="191">
        <f t="shared" si="127"/>
        <v>0.81746575597661553</v>
      </c>
      <c r="AO185" s="191">
        <f t="shared" si="127"/>
        <v>0.84776987488587918</v>
      </c>
      <c r="AP185" s="191">
        <f t="shared" si="127"/>
        <v>0.87614528205728393</v>
      </c>
      <c r="AQ185" s="191">
        <f t="shared" si="127"/>
        <v>0.9053607776828787</v>
      </c>
      <c r="AR185" s="182"/>
    </row>
    <row r="186" spans="1:47" ht="14.25" hidden="1" customHeight="1" x14ac:dyDescent="0.3">
      <c r="A186" s="98"/>
      <c r="B186" s="200"/>
      <c r="C186" s="200"/>
      <c r="D186" s="200"/>
      <c r="E186" s="200"/>
      <c r="F186" s="200"/>
      <c r="G186" s="200"/>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52"/>
    </row>
    <row r="187" spans="1:47" ht="14.25" hidden="1" customHeight="1" x14ac:dyDescent="0.3">
      <c r="A187" s="95"/>
      <c r="B187" s="45"/>
      <c r="C187" s="45"/>
      <c r="D187" s="45"/>
      <c r="E187" s="45"/>
      <c r="F187" s="45"/>
      <c r="G187" s="45"/>
      <c r="H187" s="944"/>
      <c r="I187" s="944"/>
      <c r="J187" s="944"/>
      <c r="K187" s="944"/>
      <c r="L187" s="944"/>
      <c r="M187" s="944"/>
      <c r="N187" s="944"/>
      <c r="O187" s="944"/>
      <c r="P187" s="944"/>
      <c r="Q187" s="944"/>
      <c r="R187" s="944"/>
      <c r="S187" s="944"/>
      <c r="T187" s="944"/>
      <c r="U187" s="944"/>
      <c r="V187" s="944"/>
      <c r="W187" s="944"/>
      <c r="X187" s="944"/>
      <c r="Y187" s="944"/>
      <c r="Z187" s="944"/>
      <c r="AA187" s="944"/>
      <c r="AB187" s="944"/>
      <c r="AC187" s="944"/>
      <c r="AD187" s="944"/>
      <c r="AE187" s="944"/>
      <c r="AF187" s="944"/>
      <c r="AG187" s="944"/>
      <c r="AH187" s="944"/>
      <c r="AI187" s="944"/>
      <c r="AJ187" s="944"/>
      <c r="AK187" s="944"/>
      <c r="AL187" s="944"/>
      <c r="AM187" s="944"/>
      <c r="AN187" s="944"/>
      <c r="AO187" s="944"/>
      <c r="AP187" s="944"/>
      <c r="AQ187" s="944"/>
      <c r="AR187" s="45"/>
    </row>
    <row r="188" spans="1:47" ht="15.75" customHeight="1" x14ac:dyDescent="0.3">
      <c r="A188" s="96"/>
      <c r="B188" s="44" t="s">
        <v>828</v>
      </c>
      <c r="C188" s="44"/>
      <c r="D188" s="45"/>
      <c r="E188" s="45">
        <v>1</v>
      </c>
      <c r="F188" s="45" t="s">
        <v>334</v>
      </c>
      <c r="G188" s="45" t="s">
        <v>449</v>
      </c>
      <c r="H188" s="944"/>
      <c r="I188" s="944"/>
      <c r="J188" s="944"/>
      <c r="K188" s="944"/>
      <c r="L188" s="944"/>
      <c r="M188" s="944"/>
      <c r="N188" s="944"/>
      <c r="O188" s="944"/>
      <c r="P188" s="944"/>
      <c r="Q188" s="944"/>
      <c r="R188" s="944"/>
      <c r="S188" s="944"/>
      <c r="T188" s="944"/>
      <c r="U188" s="944"/>
      <c r="V188" s="944"/>
      <c r="W188" s="944"/>
      <c r="X188" s="944"/>
      <c r="Y188" s="944"/>
      <c r="Z188" s="944"/>
      <c r="AA188" s="944"/>
      <c r="AB188" s="944"/>
      <c r="AC188" s="944"/>
      <c r="AD188" s="944"/>
      <c r="AE188" s="944"/>
      <c r="AF188" s="944"/>
      <c r="AG188" s="944"/>
      <c r="AH188" s="944"/>
      <c r="AI188" s="944"/>
      <c r="AJ188" s="944"/>
      <c r="AK188" s="944"/>
      <c r="AL188" s="944"/>
      <c r="AM188" s="944"/>
      <c r="AN188" s="944"/>
      <c r="AO188" s="944"/>
      <c r="AP188" s="944"/>
      <c r="AQ188" s="944"/>
      <c r="AR188" s="45"/>
      <c r="AS188" s="45"/>
      <c r="AT188" s="45"/>
      <c r="AU188" s="45"/>
    </row>
    <row r="189" spans="1:47" ht="14.25" customHeight="1" x14ac:dyDescent="0.3">
      <c r="A189" s="95"/>
      <c r="B189" s="45"/>
      <c r="C189" s="45"/>
      <c r="D189" s="45"/>
      <c r="E189" s="45"/>
      <c r="F189" s="45"/>
      <c r="G189" s="45"/>
      <c r="H189" s="944"/>
      <c r="I189" s="944"/>
      <c r="J189" s="944"/>
      <c r="K189" s="944"/>
      <c r="L189" s="944"/>
      <c r="M189" s="944"/>
      <c r="N189" s="944"/>
      <c r="O189" s="944"/>
      <c r="P189" s="944"/>
      <c r="Q189" s="944"/>
      <c r="R189" s="944"/>
      <c r="S189" s="944"/>
      <c r="T189" s="944"/>
      <c r="U189" s="944"/>
      <c r="V189" s="944"/>
      <c r="W189" s="944"/>
      <c r="X189" s="944"/>
      <c r="Y189" s="944"/>
      <c r="Z189" s="944"/>
      <c r="AA189" s="944"/>
      <c r="AB189" s="944"/>
      <c r="AC189" s="944"/>
      <c r="AD189" s="944"/>
      <c r="AE189" s="944"/>
      <c r="AF189" s="944"/>
      <c r="AG189" s="944"/>
      <c r="AH189" s="944"/>
      <c r="AI189" s="944"/>
      <c r="AJ189" s="944"/>
      <c r="AK189" s="944"/>
      <c r="AL189" s="944"/>
      <c r="AM189" s="944"/>
      <c r="AN189" s="944"/>
      <c r="AO189" s="944"/>
      <c r="AP189" s="944"/>
      <c r="AQ189" s="944"/>
      <c r="AR189" s="45"/>
    </row>
    <row r="190" spans="1:47" ht="14.25" customHeight="1" x14ac:dyDescent="0.3">
      <c r="A190" s="97"/>
      <c r="B190" s="175"/>
      <c r="C190" s="175"/>
      <c r="D190" s="175"/>
      <c r="E190" s="175"/>
      <c r="F190" s="175"/>
      <c r="G190" s="175"/>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47"/>
    </row>
    <row r="191" spans="1:47" ht="14.25" hidden="1" customHeight="1" x14ac:dyDescent="0.3">
      <c r="A191" s="324"/>
      <c r="B191" s="184" t="s">
        <v>451</v>
      </c>
      <c r="C191" s="179"/>
      <c r="D191" s="179"/>
      <c r="E191" s="179"/>
      <c r="F191" s="179"/>
      <c r="G191" s="179"/>
      <c r="H191" s="180"/>
      <c r="I191" s="181"/>
      <c r="J191" s="181"/>
      <c r="K191" s="181"/>
      <c r="L191" s="181"/>
      <c r="M191" s="181"/>
      <c r="N191" s="181"/>
      <c r="O191" s="181"/>
      <c r="P191" s="181"/>
      <c r="Q191" s="181"/>
      <c r="R191" s="181"/>
      <c r="S191" s="181"/>
      <c r="T191" s="181"/>
      <c r="U191" s="181"/>
      <c r="V191" s="181"/>
      <c r="W191" s="181"/>
      <c r="X191" s="181"/>
      <c r="Y191" s="181"/>
      <c r="Z191" s="181"/>
      <c r="AA191" s="181"/>
      <c r="AB191" s="181"/>
      <c r="AC191" s="181"/>
      <c r="AD191" s="181"/>
      <c r="AE191" s="181"/>
      <c r="AF191" s="181"/>
      <c r="AG191" s="181"/>
      <c r="AH191" s="181"/>
      <c r="AI191" s="181"/>
      <c r="AJ191" s="181"/>
      <c r="AK191" s="181"/>
      <c r="AL191" s="181"/>
      <c r="AM191" s="181"/>
      <c r="AN191" s="181"/>
      <c r="AO191" s="181"/>
      <c r="AP191" s="181"/>
      <c r="AQ191" s="181"/>
      <c r="AR191" s="182"/>
    </row>
    <row r="192" spans="1:47" ht="14.25" hidden="1" customHeight="1" x14ac:dyDescent="0.3">
      <c r="A192" s="324"/>
      <c r="B192" s="185" t="s">
        <v>829</v>
      </c>
      <c r="C192" s="186">
        <v>5107018.7340000048</v>
      </c>
      <c r="D192" s="186">
        <v>5609794.4850000031</v>
      </c>
      <c r="E192" s="186">
        <v>5166663.2580000004</v>
      </c>
      <c r="F192" s="186">
        <v>5398436.5790000036</v>
      </c>
      <c r="G192" s="186">
        <v>5917598.3770000003</v>
      </c>
      <c r="H192" s="187">
        <v>6237316.5440000007</v>
      </c>
      <c r="I192" s="187">
        <v>6124315.6819999982</v>
      </c>
      <c r="J192" s="187">
        <v>6254232.6769239996</v>
      </c>
      <c r="K192" s="187">
        <v>6720578.61503</v>
      </c>
      <c r="L192" s="187">
        <v>6699039.5995039996</v>
      </c>
      <c r="M192" s="187">
        <v>6788350.3563260008</v>
      </c>
      <c r="N192" s="187">
        <v>6836981.9032960003</v>
      </c>
      <c r="O192" s="202"/>
      <c r="P192" s="202"/>
      <c r="Q192" s="202"/>
      <c r="R192" s="202"/>
      <c r="S192" s="202"/>
      <c r="T192" s="202"/>
      <c r="U192" s="202"/>
      <c r="V192" s="202"/>
      <c r="W192" s="202"/>
      <c r="X192" s="202"/>
      <c r="Y192" s="202"/>
      <c r="Z192" s="202"/>
      <c r="AA192" s="202"/>
      <c r="AB192" s="202"/>
      <c r="AC192" s="202"/>
      <c r="AD192" s="202"/>
      <c r="AE192" s="202"/>
      <c r="AF192" s="202"/>
      <c r="AG192" s="202"/>
      <c r="AH192" s="202"/>
      <c r="AI192" s="202"/>
      <c r="AJ192" s="202"/>
      <c r="AK192" s="202"/>
      <c r="AL192" s="202"/>
      <c r="AM192" s="202"/>
      <c r="AN192" s="202"/>
      <c r="AO192" s="202"/>
      <c r="AP192" s="202"/>
      <c r="AQ192" s="202"/>
      <c r="AR192" s="182"/>
    </row>
    <row r="193" spans="1:44" ht="14.25" hidden="1" customHeight="1" x14ac:dyDescent="0.3">
      <c r="A193" s="324"/>
      <c r="B193" s="185" t="s">
        <v>400</v>
      </c>
      <c r="C193" s="186">
        <v>116317.68700000001</v>
      </c>
      <c r="D193" s="186">
        <v>158483.45099999988</v>
      </c>
      <c r="E193" s="186">
        <v>146894.47299999997</v>
      </c>
      <c r="F193" s="186">
        <v>176582.35000000003</v>
      </c>
      <c r="G193" s="186">
        <v>198878.73399999997</v>
      </c>
      <c r="H193" s="187">
        <v>236066.27899999995</v>
      </c>
      <c r="I193" s="187">
        <v>227213.22799999997</v>
      </c>
      <c r="J193" s="187">
        <v>285228.87132899999</v>
      </c>
      <c r="K193" s="187">
        <v>296776.23031100002</v>
      </c>
      <c r="L193" s="187">
        <v>270939.550369</v>
      </c>
      <c r="M193" s="187">
        <v>323398.62394899997</v>
      </c>
      <c r="N193" s="187">
        <v>329783.60051299998</v>
      </c>
      <c r="O193" s="202"/>
      <c r="P193" s="202"/>
      <c r="Q193" s="202"/>
      <c r="R193" s="202"/>
      <c r="S193" s="202"/>
      <c r="T193" s="202"/>
      <c r="U193" s="202"/>
      <c r="V193" s="202"/>
      <c r="W193" s="202"/>
      <c r="X193" s="202"/>
      <c r="Y193" s="202"/>
      <c r="Z193" s="202"/>
      <c r="AA193" s="202"/>
      <c r="AB193" s="202"/>
      <c r="AC193" s="202"/>
      <c r="AD193" s="202"/>
      <c r="AE193" s="202"/>
      <c r="AF193" s="202"/>
      <c r="AG193" s="202"/>
      <c r="AH193" s="202"/>
      <c r="AI193" s="202"/>
      <c r="AJ193" s="202"/>
      <c r="AK193" s="202"/>
      <c r="AL193" s="202"/>
      <c r="AM193" s="202"/>
      <c r="AN193" s="202"/>
      <c r="AO193" s="202"/>
      <c r="AP193" s="202"/>
      <c r="AQ193" s="202"/>
      <c r="AR193" s="182"/>
    </row>
    <row r="194" spans="1:44" ht="14.25" hidden="1" customHeight="1" x14ac:dyDescent="0.3">
      <c r="A194" s="324"/>
      <c r="B194" s="185" t="s">
        <v>401</v>
      </c>
      <c r="C194" s="186">
        <v>21352.46200000001</v>
      </c>
      <c r="D194" s="186">
        <v>35455.031000000017</v>
      </c>
      <c r="E194" s="186">
        <v>28160.931000000004</v>
      </c>
      <c r="F194" s="186">
        <v>12165.705999999998</v>
      </c>
      <c r="G194" s="186">
        <v>9027.7760000000071</v>
      </c>
      <c r="H194" s="187">
        <v>6467.6449999999968</v>
      </c>
      <c r="I194" s="187">
        <v>5283.8949999999977</v>
      </c>
      <c r="J194" s="187">
        <v>5131.5689730000004</v>
      </c>
      <c r="K194" s="187">
        <v>4624.467525</v>
      </c>
      <c r="L194" s="187">
        <v>1857.587888</v>
      </c>
      <c r="M194" s="187">
        <v>1954.9315570000001</v>
      </c>
      <c r="N194" s="187">
        <v>4063.316671</v>
      </c>
      <c r="O194" s="202"/>
      <c r="P194" s="202"/>
      <c r="Q194" s="202"/>
      <c r="R194" s="202"/>
      <c r="S194" s="202"/>
      <c r="T194" s="202"/>
      <c r="U194" s="202"/>
      <c r="V194" s="202"/>
      <c r="W194" s="202"/>
      <c r="X194" s="202"/>
      <c r="Y194" s="202"/>
      <c r="Z194" s="202"/>
      <c r="AA194" s="202"/>
      <c r="AB194" s="202"/>
      <c r="AC194" s="202"/>
      <c r="AD194" s="202"/>
      <c r="AE194" s="202"/>
      <c r="AF194" s="202"/>
      <c r="AG194" s="202"/>
      <c r="AH194" s="202"/>
      <c r="AI194" s="202"/>
      <c r="AJ194" s="202"/>
      <c r="AK194" s="202"/>
      <c r="AL194" s="202"/>
      <c r="AM194" s="202"/>
      <c r="AN194" s="202"/>
      <c r="AO194" s="202"/>
      <c r="AP194" s="202"/>
      <c r="AQ194" s="202"/>
      <c r="AR194" s="182"/>
    </row>
    <row r="195" spans="1:44" ht="14.25" hidden="1" customHeight="1" x14ac:dyDescent="0.3">
      <c r="A195" s="324"/>
      <c r="B195" s="185" t="s">
        <v>402</v>
      </c>
      <c r="C195" s="186">
        <v>18924.874999999989</v>
      </c>
      <c r="D195" s="186">
        <v>18835.76100000001</v>
      </c>
      <c r="E195" s="186">
        <v>13054.540000000005</v>
      </c>
      <c r="F195" s="186">
        <v>12073.392</v>
      </c>
      <c r="G195" s="186">
        <v>9190.0689999999977</v>
      </c>
      <c r="H195" s="187">
        <v>8284.9270000000033</v>
      </c>
      <c r="I195" s="187">
        <v>107585.09600000001</v>
      </c>
      <c r="J195" s="187">
        <v>64568.612557</v>
      </c>
      <c r="K195" s="187">
        <v>3935.9470919999999</v>
      </c>
      <c r="L195" s="187">
        <v>60333.694902000003</v>
      </c>
      <c r="M195" s="187">
        <v>34715.71905</v>
      </c>
      <c r="N195" s="187">
        <v>21880.071449999999</v>
      </c>
      <c r="O195" s="202"/>
      <c r="P195" s="202"/>
      <c r="Q195" s="202"/>
      <c r="R195" s="202"/>
      <c r="S195" s="202"/>
      <c r="T195" s="202"/>
      <c r="U195" s="202"/>
      <c r="V195" s="202"/>
      <c r="W195" s="202"/>
      <c r="X195" s="202"/>
      <c r="Y195" s="202"/>
      <c r="Z195" s="202"/>
      <c r="AA195" s="202"/>
      <c r="AB195" s="202"/>
      <c r="AC195" s="202"/>
      <c r="AD195" s="202"/>
      <c r="AE195" s="202"/>
      <c r="AF195" s="202"/>
      <c r="AG195" s="202"/>
      <c r="AH195" s="202"/>
      <c r="AI195" s="202"/>
      <c r="AJ195" s="202"/>
      <c r="AK195" s="202"/>
      <c r="AL195" s="202"/>
      <c r="AM195" s="202"/>
      <c r="AN195" s="202"/>
      <c r="AO195" s="202"/>
      <c r="AP195" s="202"/>
      <c r="AQ195" s="202"/>
      <c r="AR195" s="182"/>
    </row>
    <row r="196" spans="1:44" ht="14.25" hidden="1" customHeight="1" x14ac:dyDescent="0.3">
      <c r="A196" s="324"/>
      <c r="B196" s="185" t="s">
        <v>403</v>
      </c>
      <c r="C196" s="186">
        <v>3819</v>
      </c>
      <c r="D196" s="186">
        <v>4042</v>
      </c>
      <c r="E196" s="186">
        <v>2773</v>
      </c>
      <c r="F196" s="186">
        <v>781</v>
      </c>
      <c r="G196" s="186">
        <v>1379</v>
      </c>
      <c r="H196" s="187">
        <v>120</v>
      </c>
      <c r="I196" s="187">
        <v>54</v>
      </c>
      <c r="J196" s="187">
        <v>55</v>
      </c>
      <c r="K196" s="187">
        <v>45</v>
      </c>
      <c r="L196" s="187">
        <v>5244</v>
      </c>
      <c r="M196" s="187">
        <v>10</v>
      </c>
      <c r="N196" s="187">
        <v>4653</v>
      </c>
      <c r="O196" s="202"/>
      <c r="P196" s="202"/>
      <c r="Q196" s="202"/>
      <c r="R196" s="202"/>
      <c r="S196" s="202"/>
      <c r="T196" s="202"/>
      <c r="U196" s="202"/>
      <c r="V196" s="202"/>
      <c r="W196" s="202"/>
      <c r="X196" s="202"/>
      <c r="Y196" s="202"/>
      <c r="Z196" s="202"/>
      <c r="AA196" s="202"/>
      <c r="AB196" s="202"/>
      <c r="AC196" s="202"/>
      <c r="AD196" s="202"/>
      <c r="AE196" s="202"/>
      <c r="AF196" s="202"/>
      <c r="AG196" s="202"/>
      <c r="AH196" s="202"/>
      <c r="AI196" s="202"/>
      <c r="AJ196" s="202"/>
      <c r="AK196" s="202"/>
      <c r="AL196" s="202"/>
      <c r="AM196" s="202"/>
      <c r="AN196" s="202"/>
      <c r="AO196" s="202"/>
      <c r="AP196" s="202"/>
      <c r="AQ196" s="202"/>
      <c r="AR196" s="182"/>
    </row>
    <row r="197" spans="1:44" ht="14.25" hidden="1" customHeight="1" x14ac:dyDescent="0.3">
      <c r="A197" s="324"/>
      <c r="B197" s="185" t="s">
        <v>404</v>
      </c>
      <c r="C197" s="188">
        <v>145781.23499999999</v>
      </c>
      <c r="D197" s="188">
        <v>249883.5609999999</v>
      </c>
      <c r="E197" s="188">
        <v>276091.58200000005</v>
      </c>
      <c r="F197" s="188">
        <v>201793.09799999991</v>
      </c>
      <c r="G197" s="188">
        <v>219898.57100000005</v>
      </c>
      <c r="H197" s="205">
        <v>275119.49599999998</v>
      </c>
      <c r="I197" s="205">
        <v>312803.0780000001</v>
      </c>
      <c r="J197" s="205">
        <v>281621.354208</v>
      </c>
      <c r="K197" s="205">
        <v>283069.39843200002</v>
      </c>
      <c r="L197" s="205">
        <v>187494.43719500001</v>
      </c>
      <c r="M197" s="205">
        <v>162655.06445999999</v>
      </c>
      <c r="N197" s="205">
        <v>113121.93489999999</v>
      </c>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c r="AJ197" s="202"/>
      <c r="AK197" s="202"/>
      <c r="AL197" s="202"/>
      <c r="AM197" s="202"/>
      <c r="AN197" s="202"/>
      <c r="AO197" s="202"/>
      <c r="AP197" s="202"/>
      <c r="AQ197" s="202"/>
      <c r="AR197" s="182"/>
    </row>
    <row r="198" spans="1:44" ht="14.25" hidden="1" customHeight="1" x14ac:dyDescent="0.3">
      <c r="A198" s="324"/>
      <c r="B198" s="185" t="s">
        <v>405</v>
      </c>
      <c r="C198" s="186">
        <v>0.32700000000000001</v>
      </c>
      <c r="D198" s="186">
        <v>95</v>
      </c>
      <c r="E198" s="186">
        <v>102.08</v>
      </c>
      <c r="F198" s="186">
        <v>1.4770000000000001</v>
      </c>
      <c r="G198" s="186">
        <v>3.899</v>
      </c>
      <c r="H198" s="187">
        <v>1.177</v>
      </c>
      <c r="I198" s="187">
        <v>0</v>
      </c>
      <c r="J198" s="187">
        <v>0</v>
      </c>
      <c r="K198" s="187">
        <v>0.87678</v>
      </c>
      <c r="L198" s="187">
        <v>4.7019399999999996</v>
      </c>
      <c r="M198" s="187">
        <v>0.5</v>
      </c>
      <c r="N198" s="187">
        <v>9.0071499999999993</v>
      </c>
      <c r="O198" s="202"/>
      <c r="P198" s="202"/>
      <c r="Q198" s="202"/>
      <c r="R198" s="202"/>
      <c r="S198" s="202"/>
      <c r="T198" s="202"/>
      <c r="U198" s="202"/>
      <c r="V198" s="202"/>
      <c r="W198" s="202"/>
      <c r="X198" s="202"/>
      <c r="Y198" s="202"/>
      <c r="Z198" s="202"/>
      <c r="AA198" s="202"/>
      <c r="AB198" s="202"/>
      <c r="AC198" s="202"/>
      <c r="AD198" s="202"/>
      <c r="AE198" s="202"/>
      <c r="AF198" s="202"/>
      <c r="AG198" s="202"/>
      <c r="AH198" s="202"/>
      <c r="AI198" s="202"/>
      <c r="AJ198" s="202"/>
      <c r="AK198" s="202"/>
      <c r="AL198" s="202"/>
      <c r="AM198" s="202"/>
      <c r="AN198" s="202"/>
      <c r="AO198" s="202"/>
      <c r="AP198" s="202"/>
      <c r="AQ198" s="202"/>
      <c r="AR198" s="182"/>
    </row>
    <row r="199" spans="1:44" ht="14.25" hidden="1" customHeight="1" x14ac:dyDescent="0.3">
      <c r="A199" s="324"/>
      <c r="B199" s="185" t="s">
        <v>454</v>
      </c>
      <c r="C199" s="206">
        <v>27658.101000000017</v>
      </c>
      <c r="D199" s="206">
        <v>31761.237999999979</v>
      </c>
      <c r="E199" s="206">
        <v>30551.026999999987</v>
      </c>
      <c r="F199" s="206">
        <v>31163.52199999999</v>
      </c>
      <c r="G199" s="206">
        <v>35245.369999999995</v>
      </c>
      <c r="H199" s="207">
        <v>30767.182999999997</v>
      </c>
      <c r="I199" s="207">
        <v>32416.964999999993</v>
      </c>
      <c r="J199" s="207">
        <v>61362.83726</v>
      </c>
      <c r="K199" s="207">
        <v>30950.832095999998</v>
      </c>
      <c r="L199" s="207">
        <v>54689.659059999998</v>
      </c>
      <c r="M199" s="207">
        <v>60920.557809999998</v>
      </c>
      <c r="N199" s="207">
        <v>65689.546759999997</v>
      </c>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182"/>
    </row>
    <row r="200" spans="1:44" ht="14.25" hidden="1" customHeight="1" x14ac:dyDescent="0.3">
      <c r="A200" s="324"/>
      <c r="B200" s="185" t="s">
        <v>830</v>
      </c>
      <c r="C200" s="206">
        <v>3180</v>
      </c>
      <c r="D200" s="206">
        <v>1584</v>
      </c>
      <c r="E200" s="206">
        <v>1688</v>
      </c>
      <c r="F200" s="206">
        <v>835</v>
      </c>
      <c r="G200" s="206">
        <v>46</v>
      </c>
      <c r="H200" s="207">
        <v>0</v>
      </c>
      <c r="I200" s="207">
        <v>22</v>
      </c>
      <c r="J200" s="207">
        <v>144</v>
      </c>
      <c r="K200" s="207">
        <v>60</v>
      </c>
      <c r="L200" s="207">
        <v>85</v>
      </c>
      <c r="M200" s="207">
        <v>0</v>
      </c>
      <c r="N200" s="207">
        <v>0</v>
      </c>
      <c r="O200" s="202"/>
      <c r="P200" s="202"/>
      <c r="Q200" s="202"/>
      <c r="R200" s="202"/>
      <c r="S200" s="202"/>
      <c r="T200" s="202"/>
      <c r="U200" s="202"/>
      <c r="V200" s="202"/>
      <c r="W200" s="202"/>
      <c r="X200" s="202"/>
      <c r="Y200" s="202"/>
      <c r="Z200" s="202"/>
      <c r="AA200" s="202"/>
      <c r="AB200" s="202"/>
      <c r="AC200" s="202"/>
      <c r="AD200" s="202"/>
      <c r="AE200" s="202"/>
      <c r="AF200" s="202"/>
      <c r="AG200" s="202"/>
      <c r="AH200" s="202"/>
      <c r="AI200" s="202"/>
      <c r="AJ200" s="202"/>
      <c r="AK200" s="202"/>
      <c r="AL200" s="202"/>
      <c r="AM200" s="202"/>
      <c r="AN200" s="202"/>
      <c r="AO200" s="202"/>
      <c r="AP200" s="202"/>
      <c r="AQ200" s="202"/>
      <c r="AR200" s="182"/>
    </row>
    <row r="201" spans="1:44" ht="14.25" hidden="1" customHeight="1" x14ac:dyDescent="0.3">
      <c r="A201" s="324"/>
      <c r="B201" s="185" t="s">
        <v>406</v>
      </c>
      <c r="C201" s="186">
        <v>20719</v>
      </c>
      <c r="D201" s="186">
        <v>23231</v>
      </c>
      <c r="E201" s="186">
        <v>22978</v>
      </c>
      <c r="F201" s="186">
        <v>24800</v>
      </c>
      <c r="G201" s="186">
        <v>20604</v>
      </c>
      <c r="H201" s="187">
        <v>11909</v>
      </c>
      <c r="I201" s="187">
        <v>8408</v>
      </c>
      <c r="J201" s="187">
        <v>12004</v>
      </c>
      <c r="K201" s="187">
        <v>9410</v>
      </c>
      <c r="L201" s="187">
        <v>2473</v>
      </c>
      <c r="M201" s="187">
        <v>11074</v>
      </c>
      <c r="N201" s="187">
        <v>11222</v>
      </c>
      <c r="O201" s="202"/>
      <c r="P201" s="202"/>
      <c r="Q201" s="202"/>
      <c r="R201" s="202"/>
      <c r="S201" s="202"/>
      <c r="T201" s="202"/>
      <c r="U201" s="202"/>
      <c r="V201" s="202"/>
      <c r="W201" s="202"/>
      <c r="X201" s="202"/>
      <c r="Y201" s="202"/>
      <c r="Z201" s="202"/>
      <c r="AA201" s="202"/>
      <c r="AB201" s="202"/>
      <c r="AC201" s="202"/>
      <c r="AD201" s="202"/>
      <c r="AE201" s="202"/>
      <c r="AF201" s="202"/>
      <c r="AG201" s="202"/>
      <c r="AH201" s="202"/>
      <c r="AI201" s="202"/>
      <c r="AJ201" s="202"/>
      <c r="AK201" s="202"/>
      <c r="AL201" s="202"/>
      <c r="AM201" s="202"/>
      <c r="AN201" s="202"/>
      <c r="AO201" s="202"/>
      <c r="AP201" s="202"/>
      <c r="AQ201" s="202"/>
      <c r="AR201" s="182"/>
    </row>
    <row r="202" spans="1:44" ht="14.25" hidden="1" customHeight="1" x14ac:dyDescent="0.3">
      <c r="A202" s="324"/>
      <c r="B202" s="185" t="s">
        <v>455</v>
      </c>
      <c r="C202" s="186">
        <v>37.871000000000002</v>
      </c>
      <c r="D202" s="186">
        <v>100.108</v>
      </c>
      <c r="E202" s="186">
        <v>459.59000000000003</v>
      </c>
      <c r="F202" s="186">
        <v>100.00799999999998</v>
      </c>
      <c r="G202" s="186">
        <v>727.63199999999995</v>
      </c>
      <c r="H202" s="187">
        <v>1437.7820000000004</v>
      </c>
      <c r="I202" s="187">
        <v>1770.865</v>
      </c>
      <c r="J202" s="187">
        <v>1938.4321</v>
      </c>
      <c r="K202" s="187">
        <v>1719.3513499999999</v>
      </c>
      <c r="L202" s="187">
        <v>2388.8966999999998</v>
      </c>
      <c r="M202" s="187">
        <v>1798.4292499999999</v>
      </c>
      <c r="N202" s="187">
        <v>1439.2782999999999</v>
      </c>
      <c r="O202" s="202"/>
      <c r="P202" s="202"/>
      <c r="Q202" s="202"/>
      <c r="R202" s="202"/>
      <c r="S202" s="202"/>
      <c r="T202" s="202"/>
      <c r="U202" s="202"/>
      <c r="V202" s="202"/>
      <c r="W202" s="202"/>
      <c r="X202" s="202"/>
      <c r="Y202" s="202"/>
      <c r="Z202" s="202"/>
      <c r="AA202" s="202"/>
      <c r="AB202" s="202"/>
      <c r="AC202" s="202"/>
      <c r="AD202" s="202"/>
      <c r="AE202" s="202"/>
      <c r="AF202" s="202"/>
      <c r="AG202" s="202"/>
      <c r="AH202" s="202"/>
      <c r="AI202" s="202"/>
      <c r="AJ202" s="202"/>
      <c r="AK202" s="202"/>
      <c r="AL202" s="202"/>
      <c r="AM202" s="202"/>
      <c r="AN202" s="202"/>
      <c r="AO202" s="202"/>
      <c r="AP202" s="202"/>
      <c r="AQ202" s="202"/>
      <c r="AR202" s="182"/>
    </row>
    <row r="203" spans="1:44" ht="14.25" hidden="1" customHeight="1" x14ac:dyDescent="0.3">
      <c r="A203" s="324"/>
      <c r="B203" s="185" t="s">
        <v>408</v>
      </c>
      <c r="C203" s="186">
        <v>4812</v>
      </c>
      <c r="D203" s="186">
        <v>17067</v>
      </c>
      <c r="E203" s="186">
        <v>7182</v>
      </c>
      <c r="F203" s="186">
        <v>426</v>
      </c>
      <c r="G203" s="186">
        <v>434</v>
      </c>
      <c r="H203" s="187">
        <v>366</v>
      </c>
      <c r="I203" s="187">
        <v>431</v>
      </c>
      <c r="J203" s="187">
        <v>461</v>
      </c>
      <c r="K203" s="187">
        <v>362</v>
      </c>
      <c r="L203" s="187">
        <v>214</v>
      </c>
      <c r="M203" s="187">
        <v>1178</v>
      </c>
      <c r="N203" s="187">
        <v>539</v>
      </c>
      <c r="O203" s="202"/>
      <c r="P203" s="202"/>
      <c r="Q203" s="202"/>
      <c r="R203" s="202"/>
      <c r="S203" s="202"/>
      <c r="T203" s="202"/>
      <c r="U203" s="202"/>
      <c r="V203" s="202"/>
      <c r="W203" s="202"/>
      <c r="X203" s="202"/>
      <c r="Y203" s="202"/>
      <c r="Z203" s="202"/>
      <c r="AA203" s="202"/>
      <c r="AB203" s="202"/>
      <c r="AC203" s="202"/>
      <c r="AD203" s="202"/>
      <c r="AE203" s="202"/>
      <c r="AF203" s="202"/>
      <c r="AG203" s="202"/>
      <c r="AH203" s="202"/>
      <c r="AI203" s="202"/>
      <c r="AJ203" s="202"/>
      <c r="AK203" s="202"/>
      <c r="AL203" s="202"/>
      <c r="AM203" s="202"/>
      <c r="AN203" s="202"/>
      <c r="AO203" s="202"/>
      <c r="AP203" s="202"/>
      <c r="AQ203" s="202"/>
      <c r="AR203" s="182"/>
    </row>
    <row r="204" spans="1:44" ht="14.25" hidden="1" customHeight="1" x14ac:dyDescent="0.3">
      <c r="A204" s="324"/>
      <c r="B204" s="185" t="s">
        <v>409</v>
      </c>
      <c r="C204" s="186">
        <v>226905.21399999998</v>
      </c>
      <c r="D204" s="186">
        <v>217110.52600000001</v>
      </c>
      <c r="E204" s="186">
        <v>154921.42299999998</v>
      </c>
      <c r="F204" s="186">
        <v>155643.63399999996</v>
      </c>
      <c r="G204" s="186">
        <v>161065.63500000004</v>
      </c>
      <c r="H204" s="187">
        <v>177246.28999999995</v>
      </c>
      <c r="I204" s="187">
        <v>199108.23000000007</v>
      </c>
      <c r="J204" s="187">
        <v>498767.81782700005</v>
      </c>
      <c r="K204" s="187">
        <v>311881.99862199998</v>
      </c>
      <c r="L204" s="187">
        <v>355865.57897100004</v>
      </c>
      <c r="M204" s="187">
        <v>643288.95907099999</v>
      </c>
      <c r="N204" s="187">
        <v>392181.56466000003</v>
      </c>
      <c r="O204" s="202"/>
      <c r="P204" s="202"/>
      <c r="Q204" s="202"/>
      <c r="R204" s="202"/>
      <c r="S204" s="202"/>
      <c r="T204" s="202"/>
      <c r="U204" s="202"/>
      <c r="V204" s="202"/>
      <c r="W204" s="202"/>
      <c r="X204" s="202"/>
      <c r="Y204" s="202"/>
      <c r="Z204" s="202"/>
      <c r="AA204" s="202"/>
      <c r="AB204" s="202"/>
      <c r="AC204" s="202"/>
      <c r="AD204" s="202"/>
      <c r="AE204" s="202"/>
      <c r="AF204" s="202"/>
      <c r="AG204" s="202"/>
      <c r="AH204" s="202"/>
      <c r="AI204" s="202"/>
      <c r="AJ204" s="202"/>
      <c r="AK204" s="202"/>
      <c r="AL204" s="202"/>
      <c r="AM204" s="202"/>
      <c r="AN204" s="202"/>
      <c r="AO204" s="202"/>
      <c r="AP204" s="202"/>
      <c r="AQ204" s="202"/>
      <c r="AR204" s="182"/>
    </row>
    <row r="205" spans="1:44" ht="13.5" hidden="1" customHeight="1" x14ac:dyDescent="0.3">
      <c r="A205" s="324"/>
      <c r="B205" s="185" t="s">
        <v>410</v>
      </c>
      <c r="C205" s="186">
        <v>76350.898999999976</v>
      </c>
      <c r="D205" s="186">
        <v>83205.762000000017</v>
      </c>
      <c r="E205" s="186">
        <v>76043.911000000007</v>
      </c>
      <c r="F205" s="186">
        <v>69153.828000000009</v>
      </c>
      <c r="G205" s="186">
        <v>70939.362000000008</v>
      </c>
      <c r="H205" s="187">
        <v>61315.491000000002</v>
      </c>
      <c r="I205" s="187">
        <v>62301.592000000004</v>
      </c>
      <c r="J205" s="187">
        <v>36158.52274</v>
      </c>
      <c r="K205" s="187">
        <v>74010.882603999999</v>
      </c>
      <c r="L205" s="187">
        <v>53489.69584</v>
      </c>
      <c r="M205" s="187">
        <v>88071.677830999994</v>
      </c>
      <c r="N205" s="187">
        <v>53098.379740000004</v>
      </c>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c r="AJ205" s="202"/>
      <c r="AK205" s="202"/>
      <c r="AL205" s="202"/>
      <c r="AM205" s="202"/>
      <c r="AN205" s="202"/>
      <c r="AO205" s="202"/>
      <c r="AP205" s="202"/>
      <c r="AQ205" s="202"/>
      <c r="AR205" s="182"/>
    </row>
    <row r="206" spans="1:44" ht="13.5" hidden="1" customHeight="1" x14ac:dyDescent="0.3">
      <c r="A206" s="324"/>
      <c r="B206" s="185"/>
      <c r="C206" s="186"/>
      <c r="D206" s="186"/>
      <c r="E206" s="186"/>
      <c r="F206" s="186"/>
      <c r="G206" s="186"/>
      <c r="H206" s="187"/>
      <c r="I206" s="187"/>
      <c r="J206" s="187"/>
      <c r="K206" s="187"/>
      <c r="L206" s="187"/>
      <c r="M206" s="187"/>
      <c r="N206" s="187"/>
      <c r="O206" s="202"/>
      <c r="P206" s="202"/>
      <c r="Q206" s="202"/>
      <c r="R206" s="202"/>
      <c r="S206" s="202"/>
      <c r="T206" s="202"/>
      <c r="U206" s="202"/>
      <c r="V206" s="202"/>
      <c r="W206" s="202"/>
      <c r="X206" s="202"/>
      <c r="Y206" s="202"/>
      <c r="Z206" s="202"/>
      <c r="AA206" s="202"/>
      <c r="AB206" s="202"/>
      <c r="AC206" s="202"/>
      <c r="AD206" s="202"/>
      <c r="AE206" s="202"/>
      <c r="AF206" s="202"/>
      <c r="AG206" s="202"/>
      <c r="AH206" s="202"/>
      <c r="AI206" s="202"/>
      <c r="AJ206" s="202"/>
      <c r="AK206" s="202"/>
      <c r="AL206" s="202"/>
      <c r="AM206" s="202"/>
      <c r="AN206" s="202"/>
      <c r="AO206" s="202"/>
      <c r="AP206" s="202"/>
      <c r="AQ206" s="202"/>
      <c r="AR206" s="182"/>
    </row>
    <row r="207" spans="1:44" ht="14.25" customHeight="1" x14ac:dyDescent="0.3">
      <c r="A207" s="324"/>
      <c r="B207" s="184" t="s">
        <v>456</v>
      </c>
      <c r="C207" s="179"/>
      <c r="D207" s="179"/>
      <c r="E207" s="179"/>
      <c r="F207" s="179"/>
      <c r="G207" s="179"/>
      <c r="H207" s="180"/>
      <c r="I207" s="181"/>
      <c r="J207" s="181"/>
      <c r="K207" s="181"/>
      <c r="L207" s="181"/>
      <c r="M207" s="181"/>
      <c r="N207" s="181"/>
      <c r="O207" s="181"/>
      <c r="P207" s="181"/>
      <c r="Q207" s="181"/>
      <c r="R207" s="181"/>
      <c r="S207" s="181"/>
      <c r="T207" s="181"/>
      <c r="U207" s="181"/>
      <c r="V207" s="181"/>
      <c r="W207" s="181"/>
      <c r="X207" s="181"/>
      <c r="Y207" s="181"/>
      <c r="Z207" s="181"/>
      <c r="AA207" s="181"/>
      <c r="AB207" s="181"/>
      <c r="AC207" s="181"/>
      <c r="AD207" s="181"/>
      <c r="AE207" s="181"/>
      <c r="AF207" s="181"/>
      <c r="AG207" s="181"/>
      <c r="AH207" s="181"/>
      <c r="AI207" s="181"/>
      <c r="AJ207" s="181"/>
      <c r="AK207" s="181"/>
      <c r="AL207" s="181"/>
      <c r="AM207" s="181"/>
      <c r="AN207" s="181"/>
      <c r="AO207" s="181"/>
      <c r="AP207" s="181"/>
      <c r="AQ207" s="181"/>
      <c r="AR207" s="182"/>
    </row>
    <row r="208" spans="1:44" ht="14.25" customHeight="1" x14ac:dyDescent="0.3">
      <c r="A208" s="1206" t="s">
        <v>827</v>
      </c>
      <c r="B208" s="185" t="s">
        <v>505</v>
      </c>
      <c r="C208" s="190">
        <f t="shared" ref="C208:J208" si="128">C192*(1-$E$188/100)/1000000</f>
        <v>5.0559485466600051</v>
      </c>
      <c r="D208" s="190">
        <f t="shared" si="128"/>
        <v>5.5536965401500034</v>
      </c>
      <c r="E208" s="190">
        <f t="shared" si="128"/>
        <v>5.1149966254200008</v>
      </c>
      <c r="F208" s="190">
        <f t="shared" si="128"/>
        <v>5.3444522132100039</v>
      </c>
      <c r="G208" s="190">
        <f t="shared" si="128"/>
        <v>5.8584223932300006</v>
      </c>
      <c r="H208" s="191">
        <f t="shared" si="128"/>
        <v>6.174943378560001</v>
      </c>
      <c r="I208" s="191">
        <f t="shared" si="128"/>
        <v>6.0630725251799982</v>
      </c>
      <c r="J208" s="191">
        <f t="shared" si="128"/>
        <v>6.1916903501547598</v>
      </c>
      <c r="K208" s="208">
        <v>6.2254110038637034</v>
      </c>
      <c r="L208" s="191">
        <f>L192*(1-$E$188/100)/1000000</f>
        <v>6.6320492035089593</v>
      </c>
      <c r="M208" s="208">
        <v>5.8284877256859264</v>
      </c>
      <c r="N208" s="191">
        <f>N192*(1-$E$188/100)/1000000</f>
        <v>6.7686120842630411</v>
      </c>
      <c r="O208" s="202">
        <v>6.7353929505366263</v>
      </c>
      <c r="P208" s="202">
        <v>6.4034701621487313</v>
      </c>
      <c r="Q208" s="202">
        <v>7.5473278796480106</v>
      </c>
      <c r="R208" s="202">
        <v>7.3598393718466655</v>
      </c>
      <c r="S208" s="202">
        <v>8.661600566570705</v>
      </c>
      <c r="T208" s="202">
        <v>9.1496571526087926</v>
      </c>
      <c r="U208" s="202">
        <v>9.6870858568226197</v>
      </c>
      <c r="V208" s="202">
        <v>10.151256508428137</v>
      </c>
      <c r="W208" s="202">
        <v>10.755756095548012</v>
      </c>
      <c r="X208" s="202">
        <v>11.328564966942052</v>
      </c>
      <c r="Y208" s="202">
        <v>11.969643297162115</v>
      </c>
      <c r="Z208" s="202">
        <v>12.73786520968514</v>
      </c>
      <c r="AA208" s="202">
        <v>13.524888461248768</v>
      </c>
      <c r="AB208" s="202">
        <v>14.383087564113964</v>
      </c>
      <c r="AC208" s="202">
        <v>15.149016717979059</v>
      </c>
      <c r="AD208" s="202">
        <v>15.940919044580509</v>
      </c>
      <c r="AE208" s="202">
        <v>16.866209191024257</v>
      </c>
      <c r="AF208" s="202">
        <v>17.822680170693435</v>
      </c>
      <c r="AG208" s="202">
        <v>18.947300454149694</v>
      </c>
      <c r="AH208" s="202">
        <v>20.022320167677591</v>
      </c>
      <c r="AI208" s="202">
        <v>21.195294329764263</v>
      </c>
      <c r="AJ208" s="202">
        <v>22.348156750930855</v>
      </c>
      <c r="AK208" s="202">
        <v>23.569147982046847</v>
      </c>
      <c r="AL208" s="202">
        <v>24.76789334134374</v>
      </c>
      <c r="AM208" s="202">
        <v>26.153717162324867</v>
      </c>
      <c r="AN208" s="202">
        <v>27.513542649207611</v>
      </c>
      <c r="AO208" s="202">
        <v>29.044807087764848</v>
      </c>
      <c r="AP208" s="202">
        <v>30.564857880047811</v>
      </c>
      <c r="AQ208" s="202">
        <v>32.154461388775729</v>
      </c>
      <c r="AR208" s="182"/>
    </row>
    <row r="209" spans="1:75" ht="14.25" customHeight="1" x14ac:dyDescent="0.3">
      <c r="A209" s="995"/>
      <c r="B209" s="185" t="s">
        <v>414</v>
      </c>
      <c r="C209" s="190">
        <f t="shared" ref="C209:G209" si="129">C193*(1-$E$188/100)/1000000</f>
        <v>0.11515451013000001</v>
      </c>
      <c r="D209" s="190">
        <f t="shared" si="129"/>
        <v>0.15689861648999989</v>
      </c>
      <c r="E209" s="190">
        <f t="shared" si="129"/>
        <v>0.14542552826999999</v>
      </c>
      <c r="F209" s="190">
        <f t="shared" si="129"/>
        <v>0.17481652650000004</v>
      </c>
      <c r="G209" s="190">
        <f t="shared" si="129"/>
        <v>0.19688994665999995</v>
      </c>
      <c r="H209" s="208">
        <v>0.10691755741206391</v>
      </c>
      <c r="I209" s="208">
        <v>0.10347971136207058</v>
      </c>
      <c r="J209" s="208">
        <v>0.12933425677374569</v>
      </c>
      <c r="K209" s="208">
        <v>0.15438395645991049</v>
      </c>
      <c r="L209" s="208">
        <v>0.2012267057146741</v>
      </c>
      <c r="M209" s="208">
        <v>0.24391120485460657</v>
      </c>
      <c r="N209" s="208">
        <v>0.2146640968001953</v>
      </c>
      <c r="O209" s="202">
        <v>0.21361056392682454</v>
      </c>
      <c r="P209" s="202">
        <v>0.20308375212409915</v>
      </c>
      <c r="Q209" s="202">
        <v>0.23936078805673977</v>
      </c>
      <c r="R209" s="202">
        <v>0.23341465749310972</v>
      </c>
      <c r="S209" s="202">
        <v>0.27469954538979946</v>
      </c>
      <c r="T209" s="202">
        <v>0.29017808440562487</v>
      </c>
      <c r="U209" s="202">
        <v>0.30722244238453561</v>
      </c>
      <c r="V209" s="202">
        <v>0.32194344758436383</v>
      </c>
      <c r="W209" s="202">
        <v>0.34111493448149</v>
      </c>
      <c r="X209" s="202">
        <v>0.35928136173218517</v>
      </c>
      <c r="Y209" s="202">
        <v>0.37961293030513149</v>
      </c>
      <c r="Z209" s="202">
        <v>0.40397681184257211</v>
      </c>
      <c r="AA209" s="202">
        <v>0.42893697108267043</v>
      </c>
      <c r="AB209" s="202">
        <v>0.45615444683661643</v>
      </c>
      <c r="AC209" s="202">
        <v>0.48044561435819111</v>
      </c>
      <c r="AD209" s="202">
        <v>0.50556051170754668</v>
      </c>
      <c r="AE209" s="202">
        <v>0.53490575576818256</v>
      </c>
      <c r="AF209" s="202">
        <v>0.56523988873521269</v>
      </c>
      <c r="AG209" s="202">
        <v>0.60090681636910781</v>
      </c>
      <c r="AH209" s="202">
        <v>0.63500067977478369</v>
      </c>
      <c r="AI209" s="202">
        <v>0.67220113327096254</v>
      </c>
      <c r="AJ209" s="202">
        <v>0.70876375014037907</v>
      </c>
      <c r="AK209" s="202">
        <v>0.74748704770353236</v>
      </c>
      <c r="AL209" s="202">
        <v>0.78550482544635469</v>
      </c>
      <c r="AM209" s="202">
        <v>0.8294557292877438</v>
      </c>
      <c r="AN209" s="202">
        <v>0.87258210531780889</v>
      </c>
      <c r="AO209" s="202">
        <v>0.92114560601382145</v>
      </c>
      <c r="AP209" s="202">
        <v>0.96935346995309024</v>
      </c>
      <c r="AQ209" s="202">
        <v>1.0197671732682585</v>
      </c>
      <c r="AR209" s="182"/>
    </row>
    <row r="210" spans="1:75" ht="14.25" customHeight="1" x14ac:dyDescent="0.3">
      <c r="A210" s="995"/>
      <c r="B210" s="185" t="s">
        <v>415</v>
      </c>
      <c r="C210" s="190">
        <f t="shared" ref="C210:N210" si="130">C194*(1-$E$188/100)/1000000</f>
        <v>2.1138937380000011E-2</v>
      </c>
      <c r="D210" s="190">
        <f t="shared" si="130"/>
        <v>3.5100480690000019E-2</v>
      </c>
      <c r="E210" s="190">
        <f t="shared" si="130"/>
        <v>2.7879321690000004E-2</v>
      </c>
      <c r="F210" s="190">
        <f t="shared" si="130"/>
        <v>1.204404894E-2</v>
      </c>
      <c r="G210" s="190">
        <f t="shared" si="130"/>
        <v>8.9374982400000063E-3</v>
      </c>
      <c r="H210" s="191">
        <f t="shared" si="130"/>
        <v>6.4029685499999971E-3</v>
      </c>
      <c r="I210" s="191">
        <f t="shared" si="130"/>
        <v>5.2310560499999976E-3</v>
      </c>
      <c r="J210" s="191">
        <f t="shared" si="130"/>
        <v>5.0802532832700002E-3</v>
      </c>
      <c r="K210" s="191">
        <f t="shared" si="130"/>
        <v>4.5782228497500002E-3</v>
      </c>
      <c r="L210" s="191">
        <f t="shared" si="130"/>
        <v>1.83901200912E-3</v>
      </c>
      <c r="M210" s="191">
        <f t="shared" si="130"/>
        <v>1.9353822414299999E-3</v>
      </c>
      <c r="N210" s="191">
        <f t="shared" si="130"/>
        <v>4.0226835042900004E-3</v>
      </c>
      <c r="O210" s="202">
        <v>4.0029408953763147E-3</v>
      </c>
      <c r="P210" s="202">
        <v>3.805674408698743E-3</v>
      </c>
      <c r="Q210" s="202">
        <v>4.4854855005675353E-3</v>
      </c>
      <c r="R210" s="202">
        <v>4.374058384020268E-3</v>
      </c>
      <c r="S210" s="202">
        <v>5.147713783288343E-3</v>
      </c>
      <c r="T210" s="202">
        <v>5.437772831343432E-3</v>
      </c>
      <c r="U210" s="202">
        <v>5.7571744392741512E-3</v>
      </c>
      <c r="V210" s="202">
        <v>6.0330377329810402E-3</v>
      </c>
      <c r="W210" s="202">
        <v>6.3923005312009201E-3</v>
      </c>
      <c r="X210" s="202">
        <v>6.7327290813057614E-3</v>
      </c>
      <c r="Y210" s="202">
        <v>7.1137311526062929E-3</v>
      </c>
      <c r="Z210" s="202">
        <v>7.5702964833814805E-3</v>
      </c>
      <c r="AA210" s="202">
        <v>8.0380357203394502E-3</v>
      </c>
      <c r="AB210" s="202">
        <v>8.5480757893395317E-3</v>
      </c>
      <c r="AC210" s="202">
        <v>9.0032785006710653E-3</v>
      </c>
      <c r="AD210" s="202">
        <v>9.4739174420922986E-3</v>
      </c>
      <c r="AE210" s="202">
        <v>1.0023830683159152E-2</v>
      </c>
      <c r="AF210" s="202">
        <v>1.059227514183819E-2</v>
      </c>
      <c r="AG210" s="202">
        <v>1.1260653149992576E-2</v>
      </c>
      <c r="AH210" s="202">
        <v>1.1899552826109277E-2</v>
      </c>
      <c r="AI210" s="202">
        <v>1.2596668239733721E-2</v>
      </c>
      <c r="AJ210" s="202">
        <v>1.32818309564929E-2</v>
      </c>
      <c r="AK210" s="202">
        <v>1.4007483604797656E-2</v>
      </c>
      <c r="AL210" s="202">
        <v>1.4719915211551915E-2</v>
      </c>
      <c r="AM210" s="202">
        <v>1.5543530238548972E-2</v>
      </c>
      <c r="AN210" s="202">
        <v>1.6351694081697021E-2</v>
      </c>
      <c r="AO210" s="202">
        <v>1.7261746559369885E-2</v>
      </c>
      <c r="AP210" s="202">
        <v>1.81651346057932E-2</v>
      </c>
      <c r="AQ210" s="202">
        <v>1.9109858831870271E-2</v>
      </c>
      <c r="AR210" s="182"/>
    </row>
    <row r="211" spans="1:75" ht="14.25" customHeight="1" x14ac:dyDescent="0.3">
      <c r="A211" s="995"/>
      <c r="B211" s="185" t="s">
        <v>416</v>
      </c>
      <c r="C211" s="190">
        <f t="shared" ref="C211:N211" si="131">C195*(1-$E$188/100)/1000000</f>
        <v>1.8735626249999991E-2</v>
      </c>
      <c r="D211" s="190">
        <f t="shared" si="131"/>
        <v>1.8647403390000011E-2</v>
      </c>
      <c r="E211" s="190">
        <f t="shared" si="131"/>
        <v>1.2923994600000004E-2</v>
      </c>
      <c r="F211" s="190">
        <f t="shared" si="131"/>
        <v>1.1952658079999999E-2</v>
      </c>
      <c r="G211" s="190">
        <f t="shared" si="131"/>
        <v>9.0981683099999981E-3</v>
      </c>
      <c r="H211" s="191">
        <f t="shared" si="131"/>
        <v>8.2020777300000035E-3</v>
      </c>
      <c r="I211" s="191">
        <f t="shared" si="131"/>
        <v>0.10650924504000001</v>
      </c>
      <c r="J211" s="191">
        <f t="shared" si="131"/>
        <v>6.3922926431430008E-2</v>
      </c>
      <c r="K211" s="191">
        <f t="shared" si="131"/>
        <v>3.8965876210799999E-3</v>
      </c>
      <c r="L211" s="191">
        <f t="shared" si="131"/>
        <v>5.9730357952980005E-2</v>
      </c>
      <c r="M211" s="191">
        <f t="shared" si="131"/>
        <v>3.4368561859499998E-2</v>
      </c>
      <c r="N211" s="191">
        <f t="shared" si="131"/>
        <v>2.1661270735499998E-2</v>
      </c>
      <c r="O211" s="202">
        <v>2.1554961105063407E-2</v>
      </c>
      <c r="P211" s="202">
        <v>2.0492724225028777E-2</v>
      </c>
      <c r="Q211" s="202">
        <v>2.4153358250614348E-2</v>
      </c>
      <c r="R211" s="202">
        <v>2.3553347601943525E-2</v>
      </c>
      <c r="S211" s="202">
        <v>2.7719312695059881E-2</v>
      </c>
      <c r="T211" s="202">
        <v>2.9281217220360495E-2</v>
      </c>
      <c r="U211" s="202">
        <v>3.1001125012102729E-2</v>
      </c>
      <c r="V211" s="202">
        <v>3.248658850546457E-2</v>
      </c>
      <c r="W211" s="202">
        <v>3.4421140087545266E-2</v>
      </c>
      <c r="X211" s="202">
        <v>3.6254273363392236E-2</v>
      </c>
      <c r="Y211" s="202">
        <v>3.8305886175691709E-2</v>
      </c>
      <c r="Z211" s="202">
        <v>4.0764390611304768E-2</v>
      </c>
      <c r="AA211" s="202">
        <v>4.3283064087494896E-2</v>
      </c>
      <c r="AB211" s="202">
        <v>4.6029518291207806E-2</v>
      </c>
      <c r="AC211" s="202">
        <v>4.8480685319180671E-2</v>
      </c>
      <c r="AD211" s="202">
        <v>5.1014973069614521E-2</v>
      </c>
      <c r="AE211" s="202">
        <v>5.3976135582917389E-2</v>
      </c>
      <c r="AF211" s="202">
        <v>5.7037084649482019E-2</v>
      </c>
      <c r="AG211" s="202">
        <v>6.0636154020176081E-2</v>
      </c>
      <c r="AH211" s="202">
        <v>6.4076489021035105E-2</v>
      </c>
      <c r="AI211" s="202">
        <v>6.7830303034070255E-2</v>
      </c>
      <c r="AJ211" s="202">
        <v>7.1519754389058415E-2</v>
      </c>
      <c r="AK211" s="202">
        <v>7.5427235168517889E-2</v>
      </c>
      <c r="AL211" s="202">
        <v>7.9263523531242316E-2</v>
      </c>
      <c r="AM211" s="202">
        <v>8.3698510291344952E-2</v>
      </c>
      <c r="AN211" s="202">
        <v>8.8050295806263751E-2</v>
      </c>
      <c r="AO211" s="202">
        <v>9.2950729330641607E-2</v>
      </c>
      <c r="AP211" s="202">
        <v>9.7815276350540367E-2</v>
      </c>
      <c r="AQ211" s="202">
        <v>0.10290240965586188</v>
      </c>
      <c r="AR211" s="182"/>
    </row>
    <row r="212" spans="1:75" ht="14.25" customHeight="1" x14ac:dyDescent="0.3">
      <c r="A212" s="995"/>
      <c r="B212" s="185" t="s">
        <v>417</v>
      </c>
      <c r="C212" s="190">
        <f t="shared" ref="C212:N212" si="132">C196*(1-$E$188/100)/1000000</f>
        <v>3.7808099999999999E-3</v>
      </c>
      <c r="D212" s="190">
        <f t="shared" si="132"/>
        <v>4.0015800000000002E-3</v>
      </c>
      <c r="E212" s="190">
        <f t="shared" si="132"/>
        <v>2.7452700000000002E-3</v>
      </c>
      <c r="F212" s="190">
        <f t="shared" si="132"/>
        <v>7.7318999999999999E-4</v>
      </c>
      <c r="G212" s="190">
        <f t="shared" si="132"/>
        <v>1.3652099999999999E-3</v>
      </c>
      <c r="H212" s="191">
        <f t="shared" si="132"/>
        <v>1.188E-4</v>
      </c>
      <c r="I212" s="191">
        <f t="shared" si="132"/>
        <v>5.346E-5</v>
      </c>
      <c r="J212" s="191">
        <f t="shared" si="132"/>
        <v>5.4450000000000002E-5</v>
      </c>
      <c r="K212" s="191">
        <f t="shared" si="132"/>
        <v>4.4549999999999999E-5</v>
      </c>
      <c r="L212" s="191">
        <f t="shared" si="132"/>
        <v>5.1915600000000004E-3</v>
      </c>
      <c r="M212" s="191">
        <f t="shared" si="132"/>
        <v>9.9000000000000001E-6</v>
      </c>
      <c r="N212" s="191">
        <f t="shared" si="132"/>
        <v>4.6064700000000005E-3</v>
      </c>
      <c r="O212" s="202">
        <v>4.5838622717047873E-3</v>
      </c>
      <c r="P212" s="202">
        <v>4.3579677533026944E-3</v>
      </c>
      <c r="Q212" s="202">
        <v>5.1364355092226449E-3</v>
      </c>
      <c r="R212" s="202">
        <v>5.0088376832902555E-3</v>
      </c>
      <c r="S212" s="202">
        <v>5.8947687746291003E-3</v>
      </c>
      <c r="T212" s="202">
        <v>6.2269222492112759E-3</v>
      </c>
      <c r="U212" s="202">
        <v>6.5926765829329151E-3</v>
      </c>
      <c r="V212" s="202">
        <v>6.90857416354217E-3</v>
      </c>
      <c r="W212" s="202">
        <v>7.3199744888103706E-3</v>
      </c>
      <c r="X212" s="202">
        <v>7.709807271212731E-3</v>
      </c>
      <c r="Y212" s="202">
        <v>8.1461017521262946E-3</v>
      </c>
      <c r="Z212" s="202">
        <v>8.6689255082117705E-3</v>
      </c>
      <c r="AA212" s="202">
        <v>9.2045447684821775E-3</v>
      </c>
      <c r="AB212" s="202">
        <v>9.7886037117575278E-3</v>
      </c>
      <c r="AC212" s="202">
        <v>1.030986710009796E-2</v>
      </c>
      <c r="AD212" s="202">
        <v>1.0848806880514842E-2</v>
      </c>
      <c r="AE212" s="202">
        <v>1.1478525535953613E-2</v>
      </c>
      <c r="AF212" s="202">
        <v>1.2129464726864034E-2</v>
      </c>
      <c r="AG212" s="202">
        <v>1.289484018827915E-2</v>
      </c>
      <c r="AH212" s="202">
        <v>1.3626459314641601E-2</v>
      </c>
      <c r="AI212" s="202">
        <v>1.4424742658577051E-2</v>
      </c>
      <c r="AJ212" s="202">
        <v>1.5209338686701993E-2</v>
      </c>
      <c r="AK212" s="202">
        <v>1.6040300692853254E-2</v>
      </c>
      <c r="AL212" s="202">
        <v>1.6856122971704027E-2</v>
      </c>
      <c r="AM212" s="202">
        <v>1.7799264014086571E-2</v>
      </c>
      <c r="AN212" s="202">
        <v>1.8724711540489287E-2</v>
      </c>
      <c r="AO212" s="202">
        <v>1.9766834151516234E-2</v>
      </c>
      <c r="AP212" s="202">
        <v>2.0801325164734059E-2</v>
      </c>
      <c r="AQ212" s="202">
        <v>2.1883151214697028E-2</v>
      </c>
      <c r="AR212" s="182"/>
    </row>
    <row r="213" spans="1:75" ht="14.25" customHeight="1" x14ac:dyDescent="0.3">
      <c r="A213" s="995"/>
      <c r="B213" s="185" t="s">
        <v>418</v>
      </c>
      <c r="C213" s="190">
        <f t="shared" ref="C213:N213" si="133">C197*(1-$E$188/100)/1000000</f>
        <v>0.14432342265000001</v>
      </c>
      <c r="D213" s="190">
        <f t="shared" si="133"/>
        <v>0.24738472538999989</v>
      </c>
      <c r="E213" s="190">
        <f t="shared" si="133"/>
        <v>0.27333066618000007</v>
      </c>
      <c r="F213" s="190">
        <f t="shared" si="133"/>
        <v>0.19977516701999989</v>
      </c>
      <c r="G213" s="190">
        <f t="shared" si="133"/>
        <v>0.21769958529000005</v>
      </c>
      <c r="H213" s="191">
        <f t="shared" si="133"/>
        <v>0.27236830103999998</v>
      </c>
      <c r="I213" s="191">
        <f t="shared" si="133"/>
        <v>0.30967504722000005</v>
      </c>
      <c r="J213" s="191">
        <f t="shared" si="133"/>
        <v>0.27880514066591999</v>
      </c>
      <c r="K213" s="191">
        <f t="shared" si="133"/>
        <v>0.28023870444768001</v>
      </c>
      <c r="L213" s="191">
        <f t="shared" si="133"/>
        <v>0.18561949282305001</v>
      </c>
      <c r="M213" s="191">
        <f t="shared" si="133"/>
        <v>0.16102851381539998</v>
      </c>
      <c r="N213" s="191">
        <f t="shared" si="133"/>
        <v>0.11199071555099999</v>
      </c>
      <c r="O213" s="202">
        <v>0.11144108521176765</v>
      </c>
      <c r="P213" s="202">
        <v>0.10594922512043982</v>
      </c>
      <c r="Q213" s="202">
        <v>0.12487503187026265</v>
      </c>
      <c r="R213" s="202">
        <v>0.12177292291722046</v>
      </c>
      <c r="S213" s="202">
        <v>0.14331133668045251</v>
      </c>
      <c r="T213" s="202">
        <v>0.151386523383331</v>
      </c>
      <c r="U213" s="202">
        <v>0.16027860116726655</v>
      </c>
      <c r="V213" s="202">
        <v>0.1679585808682654</v>
      </c>
      <c r="W213" s="202">
        <v>0.17796038632986613</v>
      </c>
      <c r="X213" s="202">
        <v>0.18743785003775473</v>
      </c>
      <c r="Y213" s="202">
        <v>0.19804487257528608</v>
      </c>
      <c r="Z213" s="202">
        <v>0.21075556135673343</v>
      </c>
      <c r="AA213" s="202">
        <v>0.223777329482995</v>
      </c>
      <c r="AB213" s="202">
        <v>0.2379767444322658</v>
      </c>
      <c r="AC213" s="202">
        <v>0.25064949815708842</v>
      </c>
      <c r="AD213" s="202">
        <v>0.26375199348383221</v>
      </c>
      <c r="AE213" s="202">
        <v>0.27906146968109424</v>
      </c>
      <c r="AF213" s="202">
        <v>0.29488685132262171</v>
      </c>
      <c r="AG213" s="202">
        <v>0.31349436327625557</v>
      </c>
      <c r="AH213" s="202">
        <v>0.3312812042786128</v>
      </c>
      <c r="AI213" s="202">
        <v>0.35068875993397924</v>
      </c>
      <c r="AJ213" s="202">
        <v>0.36976355486549617</v>
      </c>
      <c r="AK213" s="202">
        <v>0.38996558150727917</v>
      </c>
      <c r="AL213" s="202">
        <v>0.4097995369592729</v>
      </c>
      <c r="AM213" s="202">
        <v>0.43272881690724546</v>
      </c>
      <c r="AN213" s="202">
        <v>0.45522793894358632</v>
      </c>
      <c r="AO213" s="202">
        <v>0.48056362047429946</v>
      </c>
      <c r="AP213" s="202">
        <v>0.50571376555314362</v>
      </c>
      <c r="AQ213" s="202">
        <v>0.53201470172271914</v>
      </c>
      <c r="AR213" s="182"/>
    </row>
    <row r="214" spans="1:75" ht="14.25" customHeight="1" x14ac:dyDescent="0.3">
      <c r="A214" s="995"/>
      <c r="B214" s="185" t="s">
        <v>419</v>
      </c>
      <c r="C214" s="190">
        <f t="shared" ref="C214:N214" si="134">C198*(1-$E$188/100)/1000000</f>
        <v>3.2373E-7</v>
      </c>
      <c r="D214" s="190">
        <f t="shared" si="134"/>
        <v>9.4049999999999996E-5</v>
      </c>
      <c r="E214" s="190">
        <f t="shared" si="134"/>
        <v>1.0105920000000001E-4</v>
      </c>
      <c r="F214" s="190">
        <f t="shared" si="134"/>
        <v>1.4622300000000001E-6</v>
      </c>
      <c r="G214" s="190">
        <f t="shared" si="134"/>
        <v>3.8600100000000002E-6</v>
      </c>
      <c r="H214" s="191">
        <f t="shared" si="134"/>
        <v>1.1652300000000001E-6</v>
      </c>
      <c r="I214" s="191">
        <f t="shared" si="134"/>
        <v>0</v>
      </c>
      <c r="J214" s="191">
        <f t="shared" si="134"/>
        <v>0</v>
      </c>
      <c r="K214" s="191">
        <f t="shared" si="134"/>
        <v>8.6801219999999999E-7</v>
      </c>
      <c r="L214" s="191">
        <f t="shared" si="134"/>
        <v>4.6549205999999994E-6</v>
      </c>
      <c r="M214" s="191">
        <f t="shared" si="134"/>
        <v>4.9500000000000003E-7</v>
      </c>
      <c r="N214" s="191">
        <f t="shared" si="134"/>
        <v>8.9170784999999992E-6</v>
      </c>
      <c r="O214" s="202">
        <v>8.873315078569905E-6</v>
      </c>
      <c r="P214" s="202">
        <v>8.436034654880799E-6</v>
      </c>
      <c r="Q214" s="202">
        <v>9.9429712221995986E-6</v>
      </c>
      <c r="R214" s="202">
        <v>9.6959708444117373E-6</v>
      </c>
      <c r="S214" s="202">
        <v>1.1410931994068449E-5</v>
      </c>
      <c r="T214" s="202">
        <v>1.20539055957411E-5</v>
      </c>
      <c r="U214" s="202">
        <v>1.2761922820538191E-5</v>
      </c>
      <c r="V214" s="202">
        <v>1.3373428707747444E-5</v>
      </c>
      <c r="W214" s="202">
        <v>1.4169806193184684E-5</v>
      </c>
      <c r="X214" s="202">
        <v>1.4924433819665541E-5</v>
      </c>
      <c r="Y214" s="202">
        <v>1.5769000729994489E-5</v>
      </c>
      <c r="Z214" s="202">
        <v>1.6781068642013678E-5</v>
      </c>
      <c r="AA214" s="202">
        <v>1.7817905740690788E-5</v>
      </c>
      <c r="AB214" s="202">
        <v>1.8948511051441395E-5</v>
      </c>
      <c r="AC214" s="202">
        <v>1.9957558446302885E-5</v>
      </c>
      <c r="AD214" s="202">
        <v>2.100082331696309E-5</v>
      </c>
      <c r="AE214" s="202">
        <v>2.2219815448348289E-5</v>
      </c>
      <c r="AF214" s="202">
        <v>2.3479885711277324E-5</v>
      </c>
      <c r="AG214" s="202">
        <v>2.4961478573363112E-5</v>
      </c>
      <c r="AH214" s="202">
        <v>2.6377726846308644E-5</v>
      </c>
      <c r="AI214" s="202">
        <v>2.7923021886353387E-5</v>
      </c>
      <c r="AJ214" s="202">
        <v>2.9441821395213383E-5</v>
      </c>
      <c r="AK214" s="202">
        <v>3.1050374894827681E-5</v>
      </c>
      <c r="AL214" s="202">
        <v>3.2629621324862229E-5</v>
      </c>
      <c r="AM214" s="202">
        <v>3.4455327931330299E-5</v>
      </c>
      <c r="AN214" s="202">
        <v>3.6246783914016354E-5</v>
      </c>
      <c r="AO214" s="202">
        <v>3.8264096330932616E-5</v>
      </c>
      <c r="AP214" s="202">
        <v>4.0266635709764537E-5</v>
      </c>
      <c r="AQ214" s="202">
        <v>4.2360804956685652E-5</v>
      </c>
      <c r="AR214" s="182"/>
    </row>
    <row r="215" spans="1:75" ht="14.25" customHeight="1" x14ac:dyDescent="0.3">
      <c r="A215" s="995"/>
      <c r="B215" s="185" t="s">
        <v>420</v>
      </c>
      <c r="C215" s="190">
        <f t="shared" ref="C215:N215" si="135">C199*(1-$E$188/100)/1000000</f>
        <v>2.7381519990000016E-2</v>
      </c>
      <c r="D215" s="190">
        <f t="shared" si="135"/>
        <v>3.1443625619999978E-2</v>
      </c>
      <c r="E215" s="190">
        <f t="shared" si="135"/>
        <v>3.0245516729999988E-2</v>
      </c>
      <c r="F215" s="190">
        <f t="shared" si="135"/>
        <v>3.085188677999999E-2</v>
      </c>
      <c r="G215" s="190">
        <f t="shared" si="135"/>
        <v>3.48929163E-2</v>
      </c>
      <c r="H215" s="191">
        <f t="shared" si="135"/>
        <v>3.0459511169999998E-2</v>
      </c>
      <c r="I215" s="191">
        <f t="shared" si="135"/>
        <v>3.2092795349999995E-2</v>
      </c>
      <c r="J215" s="191">
        <f t="shared" si="135"/>
        <v>6.07492088874E-2</v>
      </c>
      <c r="K215" s="191">
        <f t="shared" si="135"/>
        <v>3.0641323775039996E-2</v>
      </c>
      <c r="L215" s="191">
        <f t="shared" si="135"/>
        <v>5.4142762469399995E-2</v>
      </c>
      <c r="M215" s="191">
        <f t="shared" si="135"/>
        <v>6.0311352231899998E-2</v>
      </c>
      <c r="N215" s="191">
        <f t="shared" si="135"/>
        <v>6.5032651292400004E-2</v>
      </c>
      <c r="O215" s="202">
        <v>6.4713482707619049E-2</v>
      </c>
      <c r="P215" s="202">
        <v>6.1524377070524279E-2</v>
      </c>
      <c r="Q215" s="202">
        <v>7.251453268059431E-2</v>
      </c>
      <c r="R215" s="202">
        <v>7.0713147906672102E-2</v>
      </c>
      <c r="S215" s="202">
        <v>8.3220436075733109E-2</v>
      </c>
      <c r="T215" s="202">
        <v>8.7909671235858258E-2</v>
      </c>
      <c r="U215" s="202">
        <v>9.3073272441033472E-2</v>
      </c>
      <c r="V215" s="202">
        <v>9.7533012155798682E-2</v>
      </c>
      <c r="W215" s="202">
        <v>0.10334102868358391</v>
      </c>
      <c r="X215" s="202">
        <v>0.10884456162753423</v>
      </c>
      <c r="Y215" s="202">
        <v>0.11500402578079051</v>
      </c>
      <c r="Z215" s="202">
        <v>0.12238508221161271</v>
      </c>
      <c r="AA215" s="202">
        <v>0.12994678142568739</v>
      </c>
      <c r="AB215" s="202">
        <v>0.13819233639342482</v>
      </c>
      <c r="AC215" s="202">
        <v>0.14555136405787031</v>
      </c>
      <c r="AD215" s="202">
        <v>0.15315994129976135</v>
      </c>
      <c r="AE215" s="202">
        <v>0.16205010529333314</v>
      </c>
      <c r="AF215" s="202">
        <v>0.17123985393275429</v>
      </c>
      <c r="AG215" s="202">
        <v>0.18204517676997434</v>
      </c>
      <c r="AH215" s="202">
        <v>0.19237393860356483</v>
      </c>
      <c r="AI215" s="202">
        <v>0.20364384426640103</v>
      </c>
      <c r="AJ215" s="202">
        <v>0.2147205168383382</v>
      </c>
      <c r="AK215" s="202">
        <v>0.22645176926878238</v>
      </c>
      <c r="AL215" s="202">
        <v>0.23796928393338967</v>
      </c>
      <c r="AM215" s="202">
        <v>0.25128424365934354</v>
      </c>
      <c r="AN215" s="202">
        <v>0.26434941205813089</v>
      </c>
      <c r="AO215" s="202">
        <v>0.27906176150724071</v>
      </c>
      <c r="AP215" s="202">
        <v>0.29366637053057454</v>
      </c>
      <c r="AQ215" s="202">
        <v>0.30893924026950181</v>
      </c>
      <c r="AR215" s="182"/>
    </row>
    <row r="216" spans="1:75" ht="14.25" customHeight="1" x14ac:dyDescent="0.3">
      <c r="A216" s="995"/>
      <c r="B216" s="185" t="s">
        <v>421</v>
      </c>
      <c r="C216" s="190">
        <f t="shared" ref="C216:N216" si="136">C201*(1-$E$188/100)/1000000</f>
        <v>2.0511810000000002E-2</v>
      </c>
      <c r="D216" s="190">
        <f t="shared" si="136"/>
        <v>2.2998689999999999E-2</v>
      </c>
      <c r="E216" s="190">
        <f t="shared" si="136"/>
        <v>2.274822E-2</v>
      </c>
      <c r="F216" s="190">
        <f t="shared" si="136"/>
        <v>2.4552000000000001E-2</v>
      </c>
      <c r="G216" s="190">
        <f t="shared" si="136"/>
        <v>2.039796E-2</v>
      </c>
      <c r="H216" s="191">
        <f t="shared" si="136"/>
        <v>1.1789910000000001E-2</v>
      </c>
      <c r="I216" s="191">
        <f t="shared" si="136"/>
        <v>8.3239200000000003E-3</v>
      </c>
      <c r="J216" s="191">
        <f t="shared" si="136"/>
        <v>1.1883959999999999E-2</v>
      </c>
      <c r="K216" s="191">
        <f t="shared" si="136"/>
        <v>9.3159000000000002E-3</v>
      </c>
      <c r="L216" s="191">
        <f t="shared" si="136"/>
        <v>2.4482699999999998E-3</v>
      </c>
      <c r="M216" s="191">
        <f t="shared" si="136"/>
        <v>1.0963260000000001E-2</v>
      </c>
      <c r="N216" s="191">
        <f t="shared" si="136"/>
        <v>1.1109780000000001E-2</v>
      </c>
      <c r="O216" s="202">
        <v>1.1055255193009053E-2</v>
      </c>
      <c r="P216" s="202">
        <v>1.0510447910501363E-2</v>
      </c>
      <c r="Q216" s="202">
        <v>1.2387938810336669E-2</v>
      </c>
      <c r="R216" s="202">
        <v>1.2080201264105576E-2</v>
      </c>
      <c r="S216" s="202">
        <v>1.4216869802039064E-2</v>
      </c>
      <c r="T216" s="202">
        <v>1.5017950028078431E-2</v>
      </c>
      <c r="U216" s="202">
        <v>1.5900068045061933E-2</v>
      </c>
      <c r="V216" s="202">
        <v>1.6661942674246775E-2</v>
      </c>
      <c r="W216" s="202">
        <v>1.7654148659666882E-2</v>
      </c>
      <c r="X216" s="202">
        <v>1.8594338533752267E-2</v>
      </c>
      <c r="Y216" s="202">
        <v>1.964658367985414E-2</v>
      </c>
      <c r="Z216" s="202">
        <v>2.0907518171749951E-2</v>
      </c>
      <c r="AA216" s="202">
        <v>2.2199312570794549E-2</v>
      </c>
      <c r="AB216" s="202">
        <v>2.360793270005223E-2</v>
      </c>
      <c r="AC216" s="202">
        <v>2.4865103932366076E-2</v>
      </c>
      <c r="AD216" s="202">
        <v>2.6164906686683347E-2</v>
      </c>
      <c r="AE216" s="202">
        <v>2.7683647875450572E-2</v>
      </c>
      <c r="AF216" s="202">
        <v>2.9253568270979639E-2</v>
      </c>
      <c r="AG216" s="202">
        <v>3.1099483471495531E-2</v>
      </c>
      <c r="AH216" s="202">
        <v>3.2863985907781675E-2</v>
      </c>
      <c r="AI216" s="202">
        <v>3.4789267593929023E-2</v>
      </c>
      <c r="AJ216" s="202">
        <v>3.6681538521850389E-2</v>
      </c>
      <c r="AK216" s="202">
        <v>3.8685633865291065E-2</v>
      </c>
      <c r="AL216" s="202">
        <v>4.065321555737432E-2</v>
      </c>
      <c r="AM216" s="202">
        <v>4.2927861759312194E-2</v>
      </c>
      <c r="AN216" s="202">
        <v>4.5159835140204364E-2</v>
      </c>
      <c r="AO216" s="202">
        <v>4.7673202847263126E-2</v>
      </c>
      <c r="AP216" s="202">
        <v>5.0168164839597199E-2</v>
      </c>
      <c r="AQ216" s="202">
        <v>5.2777288401317471E-2</v>
      </c>
      <c r="AR216" s="182"/>
    </row>
    <row r="217" spans="1:75" ht="14.25" customHeight="1" x14ac:dyDescent="0.3">
      <c r="A217" s="995"/>
      <c r="B217" s="185" t="s">
        <v>458</v>
      </c>
      <c r="C217" s="190">
        <f t="shared" ref="C217:N217" si="137">C202*(1-$E$188/100)/1000000</f>
        <v>3.7492290000000006E-5</v>
      </c>
      <c r="D217" s="190">
        <f t="shared" si="137"/>
        <v>9.9106920000000006E-5</v>
      </c>
      <c r="E217" s="190">
        <f t="shared" si="137"/>
        <v>4.5499409999999999E-4</v>
      </c>
      <c r="F217" s="190">
        <f t="shared" si="137"/>
        <v>9.9007919999999979E-5</v>
      </c>
      <c r="G217" s="190">
        <f t="shared" si="137"/>
        <v>7.2035567999999988E-4</v>
      </c>
      <c r="H217" s="191">
        <f t="shared" si="137"/>
        <v>1.4234041800000004E-3</v>
      </c>
      <c r="I217" s="191">
        <f t="shared" si="137"/>
        <v>1.75315635E-3</v>
      </c>
      <c r="J217" s="191">
        <f t="shared" si="137"/>
        <v>1.919047779E-3</v>
      </c>
      <c r="K217" s="191">
        <f t="shared" si="137"/>
        <v>1.7021578364999998E-3</v>
      </c>
      <c r="L217" s="191">
        <f t="shared" si="137"/>
        <v>2.3650077329999998E-3</v>
      </c>
      <c r="M217" s="191">
        <f t="shared" si="137"/>
        <v>1.7804449574999998E-3</v>
      </c>
      <c r="N217" s="191">
        <f t="shared" si="137"/>
        <v>1.424885517E-3</v>
      </c>
      <c r="O217" s="202">
        <v>1.4178924345268436E-3</v>
      </c>
      <c r="P217" s="202">
        <v>1.3480181430105998E-3</v>
      </c>
      <c r="Q217" s="202">
        <v>1.5888158538090698E-3</v>
      </c>
      <c r="R217" s="202">
        <v>1.5493469558955375E-3</v>
      </c>
      <c r="S217" s="202">
        <v>1.8233855106041807E-3</v>
      </c>
      <c r="T217" s="202">
        <v>1.9261281042503718E-3</v>
      </c>
      <c r="U217" s="202">
        <v>2.0392642047568224E-3</v>
      </c>
      <c r="V217" s="202">
        <v>2.1369784821678264E-3</v>
      </c>
      <c r="W217" s="202">
        <v>2.2642339218350224E-3</v>
      </c>
      <c r="X217" s="202">
        <v>2.384818031944702E-3</v>
      </c>
      <c r="Y217" s="202">
        <v>2.5197737978567281E-3</v>
      </c>
      <c r="Z217" s="202">
        <v>2.6814950286451048E-3</v>
      </c>
      <c r="AA217" s="202">
        <v>2.847174198722313E-3</v>
      </c>
      <c r="AB217" s="202">
        <v>3.0278368600111898E-3</v>
      </c>
      <c r="AC217" s="202">
        <v>3.1890754337104928E-3</v>
      </c>
      <c r="AD217" s="202">
        <v>3.3557817158856025E-3</v>
      </c>
      <c r="AE217" s="202">
        <v>3.5505679604328193E-3</v>
      </c>
      <c r="AF217" s="202">
        <v>3.7519181972901E-3</v>
      </c>
      <c r="AG217" s="202">
        <v>3.9886661648308834E-3</v>
      </c>
      <c r="AH217" s="202">
        <v>4.214972533289606E-3</v>
      </c>
      <c r="AI217" s="202">
        <v>4.4618996543250092E-3</v>
      </c>
      <c r="AJ217" s="202">
        <v>4.7045929785344267E-3</v>
      </c>
      <c r="AK217" s="202">
        <v>4.9616283500319505E-3</v>
      </c>
      <c r="AL217" s="202">
        <v>5.2139806609295368E-3</v>
      </c>
      <c r="AM217" s="202">
        <v>5.5057155494188078E-3</v>
      </c>
      <c r="AN217" s="202">
        <v>5.7919774326210651E-3</v>
      </c>
      <c r="AO217" s="202">
        <v>6.1143295624277337E-3</v>
      </c>
      <c r="AP217" s="202">
        <v>6.434321066160687E-3</v>
      </c>
      <c r="AQ217" s="202">
        <v>6.7689543689946471E-3</v>
      </c>
      <c r="AR217" s="182"/>
    </row>
    <row r="218" spans="1:75" ht="14.25" customHeight="1" x14ac:dyDescent="0.3">
      <c r="A218" s="995"/>
      <c r="B218" s="185" t="s">
        <v>423</v>
      </c>
      <c r="C218" s="190">
        <f t="shared" ref="C218:G218" si="138">C203*(1-$E$188/100)/1000000</f>
        <v>4.7638799999999999E-3</v>
      </c>
      <c r="D218" s="190">
        <f t="shared" si="138"/>
        <v>1.6896329999999998E-2</v>
      </c>
      <c r="E218" s="190">
        <f t="shared" si="138"/>
        <v>7.1101800000000007E-3</v>
      </c>
      <c r="F218" s="190">
        <f t="shared" si="138"/>
        <v>4.2173999999999998E-4</v>
      </c>
      <c r="G218" s="190">
        <f t="shared" si="138"/>
        <v>4.2965999999999995E-4</v>
      </c>
      <c r="H218" s="208">
        <v>0.91641784475333332</v>
      </c>
      <c r="I218" s="191">
        <f t="shared" ref="I218:N218" si="139">I203*(1-$E$188/100)/1000000</f>
        <v>4.2669000000000002E-4</v>
      </c>
      <c r="J218" s="191">
        <f t="shared" si="139"/>
        <v>4.5638999999999999E-4</v>
      </c>
      <c r="K218" s="191">
        <f t="shared" si="139"/>
        <v>3.5837999999999999E-4</v>
      </c>
      <c r="L218" s="191">
        <f t="shared" si="139"/>
        <v>2.1185999999999999E-4</v>
      </c>
      <c r="M218" s="191">
        <f t="shared" si="139"/>
        <v>1.1662199999999999E-3</v>
      </c>
      <c r="N218" s="191">
        <f t="shared" si="139"/>
        <v>5.3361000000000001E-4</v>
      </c>
      <c r="O218" s="202">
        <v>5.309911378570556E-4</v>
      </c>
      <c r="P218" s="202">
        <v>5.0482368773482737E-4</v>
      </c>
      <c r="Q218" s="202">
        <v>5.9500080366881687E-4</v>
      </c>
      <c r="R218" s="202">
        <v>5.8021996804071506E-4</v>
      </c>
      <c r="S218" s="202">
        <v>6.8284555545348904E-4</v>
      </c>
      <c r="T218" s="202">
        <v>7.2132196267459209E-4</v>
      </c>
      <c r="U218" s="202">
        <v>7.6369066799932103E-4</v>
      </c>
      <c r="V218" s="202">
        <v>8.0028400476020401E-4</v>
      </c>
      <c r="W218" s="202">
        <v>8.4794030721444002E-4</v>
      </c>
      <c r="X218" s="202">
        <v>8.9309824181896876E-4</v>
      </c>
      <c r="Y218" s="202">
        <v>9.4363826443070542E-4</v>
      </c>
      <c r="Z218" s="202">
        <v>1.0042017728188574E-3</v>
      </c>
      <c r="AA218" s="202">
        <v>1.066247502731978E-3</v>
      </c>
      <c r="AB218" s="202">
        <v>1.1339044488797136E-3</v>
      </c>
      <c r="AC218" s="202">
        <v>1.1942872054486998E-3</v>
      </c>
      <c r="AD218" s="202">
        <v>1.2567175819036107E-3</v>
      </c>
      <c r="AE218" s="202">
        <v>1.3296637145667307E-3</v>
      </c>
      <c r="AF218" s="202">
        <v>1.4050680180055265E-3</v>
      </c>
      <c r="AG218" s="202">
        <v>1.4937285324484123E-3</v>
      </c>
      <c r="AH218" s="202">
        <v>1.5784787385755049E-3</v>
      </c>
      <c r="AI218" s="202">
        <v>1.6709512772346941E-3</v>
      </c>
      <c r="AJ218" s="202">
        <v>1.7618382875848647E-3</v>
      </c>
      <c r="AK218" s="202">
        <v>1.858096297753687E-3</v>
      </c>
      <c r="AL218" s="202">
        <v>1.9526005333652425E-3</v>
      </c>
      <c r="AM218" s="202">
        <v>2.0618532782275228E-3</v>
      </c>
      <c r="AN218" s="202">
        <v>2.1690564195838659E-3</v>
      </c>
      <c r="AO218" s="202">
        <v>2.2897751144782402E-3</v>
      </c>
      <c r="AP218" s="202">
        <v>2.4096097708557187E-3</v>
      </c>
      <c r="AQ218" s="202">
        <v>2.5349276820807432E-3</v>
      </c>
      <c r="AR218" s="182"/>
    </row>
    <row r="219" spans="1:75" ht="14.25" customHeight="1" x14ac:dyDescent="0.3">
      <c r="A219" s="995"/>
      <c r="B219" s="185" t="s">
        <v>424</v>
      </c>
      <c r="C219" s="190">
        <f t="shared" ref="C219:G219" si="140">C204*(1-$E$188/100)/1000000</f>
        <v>0.22463616185999996</v>
      </c>
      <c r="D219" s="190">
        <f t="shared" si="140"/>
        <v>0.21493942074</v>
      </c>
      <c r="E219" s="190">
        <f t="shared" si="140"/>
        <v>0.15337220876999996</v>
      </c>
      <c r="F219" s="190">
        <f t="shared" si="140"/>
        <v>0.15408719765999995</v>
      </c>
      <c r="G219" s="190">
        <f t="shared" si="140"/>
        <v>0.15945497865000002</v>
      </c>
      <c r="H219" s="208">
        <v>0.34617512399333333</v>
      </c>
      <c r="I219" s="208">
        <v>0.20714637140000003</v>
      </c>
      <c r="J219" s="208">
        <v>0.23593725230999996</v>
      </c>
      <c r="K219" s="208">
        <v>0.19069549176</v>
      </c>
      <c r="L219" s="208">
        <v>7.8028522500000003E-2</v>
      </c>
      <c r="M219" s="208">
        <v>0.16121535272449858</v>
      </c>
      <c r="N219" s="208">
        <v>0.27764344030629629</v>
      </c>
      <c r="O219" s="202">
        <v>0.27628081611436772</v>
      </c>
      <c r="P219" s="202">
        <v>0.26266558987052135</v>
      </c>
      <c r="Q219" s="202">
        <v>0.30958578384142249</v>
      </c>
      <c r="R219" s="202">
        <v>0.30189514450859878</v>
      </c>
      <c r="S219" s="202">
        <v>0.35529242183236914</v>
      </c>
      <c r="T219" s="202">
        <v>0.37531214048736639</v>
      </c>
      <c r="U219" s="202">
        <v>0.39735706675876581</v>
      </c>
      <c r="V219" s="202">
        <v>0.41639700212462932</v>
      </c>
      <c r="W219" s="202">
        <v>0.4411931261959014</v>
      </c>
      <c r="X219" s="202">
        <v>0.4646893206463954</v>
      </c>
      <c r="Y219" s="202">
        <v>0.49098587759075663</v>
      </c>
      <c r="Z219" s="202">
        <v>0.52249776984522289</v>
      </c>
      <c r="AA219" s="202">
        <v>0.55478087906243034</v>
      </c>
      <c r="AB219" s="202">
        <v>0.58998356883412717</v>
      </c>
      <c r="AC219" s="202">
        <v>0.6214014138313928</v>
      </c>
      <c r="AD219" s="202">
        <v>0.65388465908271609</v>
      </c>
      <c r="AE219" s="202">
        <v>0.6918393736300974</v>
      </c>
      <c r="AF219" s="202">
        <v>0.7310731027968056</v>
      </c>
      <c r="AG219" s="202">
        <v>0.77720419151187636</v>
      </c>
      <c r="AH219" s="202">
        <v>0.821300701689335</v>
      </c>
      <c r="AI219" s="202">
        <v>0.8694152305909566</v>
      </c>
      <c r="AJ219" s="202">
        <v>0.91670479081804257</v>
      </c>
      <c r="AK219" s="202">
        <v>0.96678894422654371</v>
      </c>
      <c r="AL219" s="202">
        <v>1.0159605884961584</v>
      </c>
      <c r="AM219" s="202">
        <v>1.0728060523114349</v>
      </c>
      <c r="AN219" s="202">
        <v>1.128585083772272</v>
      </c>
      <c r="AO219" s="202">
        <v>1.1913964136944253</v>
      </c>
      <c r="AP219" s="202">
        <v>1.2537477681753497</v>
      </c>
      <c r="AQ219" s="202">
        <v>1.3189521234245296</v>
      </c>
      <c r="AR219" s="182"/>
    </row>
    <row r="220" spans="1:75" ht="14.25" customHeight="1" x14ac:dyDescent="0.3">
      <c r="A220" s="995"/>
      <c r="B220" s="185" t="s">
        <v>425</v>
      </c>
      <c r="C220" s="190">
        <f t="shared" ref="C220:N220" si="141">C205*(1-$E$188/100)/1000000</f>
        <v>7.5587390009999977E-2</v>
      </c>
      <c r="D220" s="190">
        <f t="shared" si="141"/>
        <v>8.237370438000001E-2</v>
      </c>
      <c r="E220" s="190">
        <f t="shared" si="141"/>
        <v>7.5283471889999995E-2</v>
      </c>
      <c r="F220" s="190">
        <f t="shared" si="141"/>
        <v>6.846228972E-2</v>
      </c>
      <c r="G220" s="190">
        <f t="shared" si="141"/>
        <v>7.0229968380000007E-2</v>
      </c>
      <c r="H220" s="191">
        <f t="shared" si="141"/>
        <v>6.0702336090000003E-2</v>
      </c>
      <c r="I220" s="191">
        <f t="shared" si="141"/>
        <v>6.1678576080000005E-2</v>
      </c>
      <c r="J220" s="191">
        <f t="shared" si="141"/>
        <v>3.5796937512599998E-2</v>
      </c>
      <c r="K220" s="191">
        <f t="shared" si="141"/>
        <v>7.3270773777959999E-2</v>
      </c>
      <c r="L220" s="191">
        <f t="shared" si="141"/>
        <v>5.2954798881599999E-2</v>
      </c>
      <c r="M220" s="191">
        <f t="shared" si="141"/>
        <v>8.7190961052689989E-2</v>
      </c>
      <c r="N220" s="191">
        <f t="shared" si="141"/>
        <v>5.2567395942600001E-2</v>
      </c>
      <c r="O220" s="202">
        <v>5.2309404594635678E-2</v>
      </c>
      <c r="P220" s="202">
        <v>4.973157675898153E-2</v>
      </c>
      <c r="Q220" s="202">
        <v>5.8615173689818223E-2</v>
      </c>
      <c r="R220" s="202">
        <v>5.7159072719399906E-2</v>
      </c>
      <c r="S220" s="202">
        <v>6.7269002981893478E-2</v>
      </c>
      <c r="T220" s="202">
        <v>7.1059420202036344E-2</v>
      </c>
      <c r="U220" s="202">
        <v>7.5233278466274964E-2</v>
      </c>
      <c r="V220" s="202">
        <v>7.8838189210770446E-2</v>
      </c>
      <c r="W220" s="202">
        <v>8.3532943282605909E-2</v>
      </c>
      <c r="X220" s="202">
        <v>8.7981576232337544E-2</v>
      </c>
      <c r="Y220" s="202">
        <v>9.2960413547191312E-2</v>
      </c>
      <c r="Z220" s="202">
        <v>9.8926692149753026E-2</v>
      </c>
      <c r="AA220" s="202">
        <v>0.10503898849144569</v>
      </c>
      <c r="AB220" s="202">
        <v>0.11170406125322899</v>
      </c>
      <c r="AC220" s="202">
        <v>0.11765253349450544</v>
      </c>
      <c r="AD220" s="202">
        <v>0.12380272243015294</v>
      </c>
      <c r="AE220" s="202">
        <v>0.13098884757432877</v>
      </c>
      <c r="AF220" s="202">
        <v>0.13841713391574503</v>
      </c>
      <c r="AG220" s="202">
        <v>0.14715132624196414</v>
      </c>
      <c r="AH220" s="202">
        <v>0.15550030328830855</v>
      </c>
      <c r="AI220" s="202">
        <v>0.1646100286561146</v>
      </c>
      <c r="AJ220" s="202">
        <v>0.17356355924796371</v>
      </c>
      <c r="AK220" s="202">
        <v>0.18304620187683365</v>
      </c>
      <c r="AL220" s="202">
        <v>0.19235607532681659</v>
      </c>
      <c r="AM220" s="202">
        <v>0.20311886518643571</v>
      </c>
      <c r="AN220" s="202">
        <v>0.21367974293979375</v>
      </c>
      <c r="AO220" s="202">
        <v>0.22557207522776906</v>
      </c>
      <c r="AP220" s="202">
        <v>0.23737731843805435</v>
      </c>
      <c r="AQ220" s="202">
        <v>0.2497227322385181</v>
      </c>
      <c r="AR220" s="182"/>
    </row>
    <row r="221" spans="1:75" ht="14.25" customHeight="1" x14ac:dyDescent="0.3">
      <c r="A221" s="995"/>
      <c r="B221" s="185" t="s">
        <v>426</v>
      </c>
      <c r="C221" s="190">
        <f t="shared" ref="C221:N221" si="142">C222*(1-$E$188/100)</f>
        <v>0.10549737000000001</v>
      </c>
      <c r="D221" s="190">
        <f t="shared" si="142"/>
        <v>0.11580525</v>
      </c>
      <c r="E221" s="190">
        <f t="shared" si="142"/>
        <v>0.11627451</v>
      </c>
      <c r="F221" s="190">
        <f t="shared" si="142"/>
        <v>0.15217784999999998</v>
      </c>
      <c r="G221" s="190">
        <f t="shared" si="142"/>
        <v>0.16353809999999999</v>
      </c>
      <c r="H221" s="191">
        <f t="shared" si="142"/>
        <v>0.14436576000000001</v>
      </c>
      <c r="I221" s="191">
        <f t="shared" si="142"/>
        <v>0.14175513000000001</v>
      </c>
      <c r="J221" s="191">
        <f t="shared" si="142"/>
        <v>0.14669126999999998</v>
      </c>
      <c r="K221" s="191">
        <f t="shared" si="142"/>
        <v>0.15325496999999999</v>
      </c>
      <c r="L221" s="191">
        <f t="shared" si="142"/>
        <v>0.15681698999999999</v>
      </c>
      <c r="M221" s="191">
        <f t="shared" si="142"/>
        <v>0.15137792999999999</v>
      </c>
      <c r="N221" s="191">
        <f t="shared" si="142"/>
        <v>0.16611704999999999</v>
      </c>
      <c r="O221" s="202">
        <v>0.16530177732230916</v>
      </c>
      <c r="P221" s="202">
        <v>0.15715564134223628</v>
      </c>
      <c r="Q221" s="202">
        <v>0.18522849694176088</v>
      </c>
      <c r="R221" s="202">
        <v>0.18062710489312017</v>
      </c>
      <c r="S221" s="202">
        <v>0.21257526897461629</v>
      </c>
      <c r="T221" s="202">
        <v>0.22455328149718584</v>
      </c>
      <c r="U221" s="202">
        <v>0.23774299747114297</v>
      </c>
      <c r="V221" s="202">
        <v>0.24913479513680598</v>
      </c>
      <c r="W221" s="202">
        <v>0.26397058228023551</v>
      </c>
      <c r="X221" s="202">
        <v>0.27802860758073067</v>
      </c>
      <c r="Y221" s="202">
        <v>0.29376211981474987</v>
      </c>
      <c r="Z221" s="202">
        <v>0.31261602313569598</v>
      </c>
      <c r="AA221" s="202">
        <v>0.33193135384213762</v>
      </c>
      <c r="AB221" s="202">
        <v>0.35299350092721982</v>
      </c>
      <c r="AC221" s="202">
        <v>0.37179113476486925</v>
      </c>
      <c r="AD221" s="202">
        <v>0.39122620900837901</v>
      </c>
      <c r="AE221" s="202">
        <v>0.41393492205143695</v>
      </c>
      <c r="AF221" s="202">
        <v>0.43740888326760158</v>
      </c>
      <c r="AG221" s="202">
        <v>0.46500960872389846</v>
      </c>
      <c r="AH221" s="202">
        <v>0.49139302400607932</v>
      </c>
      <c r="AI221" s="202">
        <v>0.5201804630122363</v>
      </c>
      <c r="AJ221" s="202">
        <v>0.54847431440686867</v>
      </c>
      <c r="AK221" s="202">
        <v>0.57844020089346893</v>
      </c>
      <c r="AL221" s="202">
        <v>0.60786012336924067</v>
      </c>
      <c r="AM221" s="202">
        <v>0.64187137443448439</v>
      </c>
      <c r="AN221" s="202">
        <v>0.67524456757713291</v>
      </c>
      <c r="AO221" s="202">
        <v>0.71282526035969618</v>
      </c>
      <c r="AP221" s="202">
        <v>0.7501307448993233</v>
      </c>
      <c r="AQ221" s="202">
        <v>0.78914321041695412</v>
      </c>
      <c r="AR221" s="182"/>
    </row>
    <row r="222" spans="1:75" ht="13.5" hidden="1" customHeight="1" x14ac:dyDescent="0.3">
      <c r="A222" s="324"/>
      <c r="B222" s="185" t="s">
        <v>426</v>
      </c>
      <c r="C222" s="190">
        <v>0.106563</v>
      </c>
      <c r="D222" s="190">
        <v>0.116975</v>
      </c>
      <c r="E222" s="190">
        <v>0.117449</v>
      </c>
      <c r="F222" s="190">
        <v>0.15371499999999999</v>
      </c>
      <c r="G222" s="190">
        <v>0.16519</v>
      </c>
      <c r="H222" s="191">
        <v>0.14582400000000001</v>
      </c>
      <c r="I222" s="191">
        <v>0.14318700000000001</v>
      </c>
      <c r="J222" s="191">
        <v>0.148173</v>
      </c>
      <c r="K222" s="191">
        <v>0.154803</v>
      </c>
      <c r="L222" s="191">
        <v>0.15840099999999999</v>
      </c>
      <c r="M222" s="191">
        <v>0.15290699999999999</v>
      </c>
      <c r="N222" s="191">
        <v>0.167795</v>
      </c>
      <c r="O222" s="202"/>
      <c r="P222" s="202"/>
      <c r="Q222" s="202"/>
      <c r="R222" s="202"/>
      <c r="S222" s="202"/>
      <c r="T222" s="202"/>
      <c r="U222" s="202"/>
      <c r="V222" s="202"/>
      <c r="W222" s="202"/>
      <c r="X222" s="202"/>
      <c r="Y222" s="202"/>
      <c r="Z222" s="202"/>
      <c r="AA222" s="202"/>
      <c r="AB222" s="202"/>
      <c r="AC222" s="202"/>
      <c r="AD222" s="202"/>
      <c r="AE222" s="202"/>
      <c r="AF222" s="202"/>
      <c r="AG222" s="202"/>
      <c r="AH222" s="202"/>
      <c r="AI222" s="202"/>
      <c r="AJ222" s="202"/>
      <c r="AK222" s="202"/>
      <c r="AL222" s="202"/>
      <c r="AM222" s="202"/>
      <c r="AN222" s="202"/>
      <c r="AO222" s="202"/>
      <c r="AP222" s="202"/>
      <c r="AQ222" s="202"/>
      <c r="AR222" s="182"/>
    </row>
    <row r="223" spans="1:75" ht="13.5" customHeight="1" x14ac:dyDescent="0.3">
      <c r="A223" s="324"/>
      <c r="B223" s="179" t="s">
        <v>427</v>
      </c>
      <c r="C223" s="195"/>
      <c r="D223" s="195"/>
      <c r="E223" s="195"/>
      <c r="F223" s="195"/>
      <c r="G223" s="195"/>
      <c r="H223" s="196">
        <f t="shared" ref="H223:AQ223" si="143">SUM(H208:H221)</f>
        <v>8.0802881387087311</v>
      </c>
      <c r="I223" s="196">
        <f t="shared" si="143"/>
        <v>7.0411976840320696</v>
      </c>
      <c r="J223" s="196">
        <f t="shared" si="143"/>
        <v>7.1623214437981266</v>
      </c>
      <c r="K223" s="196">
        <f t="shared" si="143"/>
        <v>7.127792890403823</v>
      </c>
      <c r="L223" s="196">
        <f t="shared" si="143"/>
        <v>7.4326291985133857</v>
      </c>
      <c r="M223" s="196">
        <f t="shared" si="143"/>
        <v>6.7437473044234526</v>
      </c>
      <c r="N223" s="196">
        <f t="shared" si="143"/>
        <v>7.6999950509908217</v>
      </c>
      <c r="O223" s="196">
        <f t="shared" si="143"/>
        <v>7.662204856766766</v>
      </c>
      <c r="P223" s="196">
        <f t="shared" si="143"/>
        <v>7.2846084165984664</v>
      </c>
      <c r="Q223" s="196">
        <f t="shared" si="143"/>
        <v>8.5858646644280494</v>
      </c>
      <c r="R223" s="196">
        <f t="shared" si="143"/>
        <v>8.3725771301129264</v>
      </c>
      <c r="S223" s="196">
        <f t="shared" si="143"/>
        <v>9.8534648855586369</v>
      </c>
      <c r="T223" s="196">
        <f t="shared" si="143"/>
        <v>10.40867964012171</v>
      </c>
      <c r="U223" s="196">
        <f t="shared" si="143"/>
        <v>11.020060276386589</v>
      </c>
      <c r="V223" s="196">
        <f t="shared" si="143"/>
        <v>11.548102314500644</v>
      </c>
      <c r="W223" s="196">
        <f t="shared" si="143"/>
        <v>12.23578300460416</v>
      </c>
      <c r="X223" s="196">
        <f t="shared" si="143"/>
        <v>12.887412233756237</v>
      </c>
      <c r="Y223" s="196">
        <f t="shared" si="143"/>
        <v>13.616705020599316</v>
      </c>
      <c r="Z223" s="196">
        <f t="shared" si="143"/>
        <v>14.490636758871485</v>
      </c>
      <c r="AA223" s="196">
        <f t="shared" si="143"/>
        <v>15.385956961390441</v>
      </c>
      <c r="AB223" s="196">
        <f t="shared" si="143"/>
        <v>16.362247043103149</v>
      </c>
      <c r="AC223" s="196">
        <f t="shared" si="143"/>
        <v>17.233570531692902</v>
      </c>
      <c r="AD223" s="196">
        <f t="shared" si="143"/>
        <v>18.134441185792912</v>
      </c>
      <c r="AE223" s="196">
        <f t="shared" si="143"/>
        <v>19.187054256190653</v>
      </c>
      <c r="AF223" s="196">
        <f t="shared" si="143"/>
        <v>20.275138743554354</v>
      </c>
      <c r="AG223" s="196">
        <f t="shared" si="143"/>
        <v>21.554510424048573</v>
      </c>
      <c r="AH223" s="196">
        <f t="shared" si="143"/>
        <v>22.777456335386557</v>
      </c>
      <c r="AI223" s="196">
        <f t="shared" si="143"/>
        <v>24.111835544974667</v>
      </c>
      <c r="AJ223" s="196">
        <f t="shared" si="143"/>
        <v>25.42333557288956</v>
      </c>
      <c r="AK223" s="196">
        <f t="shared" si="143"/>
        <v>26.812339155877424</v>
      </c>
      <c r="AL223" s="196">
        <f t="shared" si="143"/>
        <v>28.176035762962464</v>
      </c>
      <c r="AM223" s="196">
        <f t="shared" si="143"/>
        <v>29.75255343457043</v>
      </c>
      <c r="AN223" s="196">
        <f t="shared" si="143"/>
        <v>31.299495317021101</v>
      </c>
      <c r="AO223" s="196">
        <f t="shared" si="143"/>
        <v>33.041466706704121</v>
      </c>
      <c r="AP223" s="196">
        <f t="shared" si="143"/>
        <v>34.77068141603074</v>
      </c>
      <c r="AQ223" s="196">
        <f t="shared" si="143"/>
        <v>36.579019521075971</v>
      </c>
      <c r="AR223" s="197"/>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row>
    <row r="224" spans="1:75" ht="14.25" customHeight="1" x14ac:dyDescent="0.3">
      <c r="A224" s="324"/>
      <c r="B224" s="198"/>
      <c r="C224" s="198"/>
      <c r="D224" s="198"/>
      <c r="E224" s="198"/>
      <c r="F224" s="198"/>
      <c r="G224" s="198"/>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82"/>
    </row>
    <row r="225" spans="1:44" ht="14.25" hidden="1" customHeight="1" x14ac:dyDescent="0.3">
      <c r="A225" s="324"/>
      <c r="B225" s="184" t="s">
        <v>461</v>
      </c>
      <c r="C225" s="179"/>
      <c r="D225" s="179"/>
      <c r="E225" s="179"/>
      <c r="F225" s="179"/>
      <c r="G225" s="179"/>
      <c r="H225" s="180"/>
      <c r="I225" s="181"/>
      <c r="J225" s="181"/>
      <c r="K225" s="181"/>
      <c r="L225" s="181"/>
      <c r="M225" s="181"/>
      <c r="N225" s="181"/>
      <c r="O225" s="181"/>
      <c r="P225" s="181"/>
      <c r="Q225" s="181"/>
      <c r="R225" s="181"/>
      <c r="S225" s="181"/>
      <c r="T225" s="181"/>
      <c r="U225" s="181"/>
      <c r="V225" s="181"/>
      <c r="W225" s="181"/>
      <c r="X225" s="181"/>
      <c r="Y225" s="181"/>
      <c r="Z225" s="181"/>
      <c r="AA225" s="181"/>
      <c r="AB225" s="181"/>
      <c r="AC225" s="181"/>
      <c r="AD225" s="181"/>
      <c r="AE225" s="181"/>
      <c r="AF225" s="181"/>
      <c r="AG225" s="181"/>
      <c r="AH225" s="181"/>
      <c r="AI225" s="181"/>
      <c r="AJ225" s="181"/>
      <c r="AK225" s="181"/>
      <c r="AL225" s="181"/>
      <c r="AM225" s="181"/>
      <c r="AN225" s="181"/>
      <c r="AO225" s="181"/>
      <c r="AP225" s="181"/>
      <c r="AQ225" s="181"/>
      <c r="AR225" s="182"/>
    </row>
    <row r="226" spans="1:44" ht="14.25" hidden="1" customHeight="1" x14ac:dyDescent="0.3">
      <c r="A226" s="324"/>
      <c r="B226" s="185" t="s">
        <v>829</v>
      </c>
      <c r="C226" s="186">
        <v>0</v>
      </c>
      <c r="D226" s="186">
        <v>16.062999999999999</v>
      </c>
      <c r="E226" s="186">
        <v>8490.6669999999995</v>
      </c>
      <c r="F226" s="186">
        <v>124.32300000000001</v>
      </c>
      <c r="G226" s="186">
        <v>0</v>
      </c>
      <c r="H226" s="187">
        <v>0</v>
      </c>
      <c r="I226" s="187">
        <v>0</v>
      </c>
      <c r="J226" s="187">
        <v>0</v>
      </c>
      <c r="K226" s="187">
        <v>0</v>
      </c>
      <c r="L226" s="187">
        <v>0</v>
      </c>
      <c r="M226" s="187">
        <v>0</v>
      </c>
      <c r="N226" s="187">
        <v>22.534420000000001</v>
      </c>
      <c r="O226" s="202"/>
      <c r="P226" s="202"/>
      <c r="Q226" s="202"/>
      <c r="R226" s="202"/>
      <c r="S226" s="202"/>
      <c r="T226" s="202"/>
      <c r="U226" s="202"/>
      <c r="V226" s="202"/>
      <c r="W226" s="202"/>
      <c r="X226" s="202"/>
      <c r="Y226" s="202"/>
      <c r="Z226" s="202"/>
      <c r="AA226" s="202"/>
      <c r="AB226" s="202"/>
      <c r="AC226" s="202"/>
      <c r="AD226" s="202"/>
      <c r="AE226" s="202"/>
      <c r="AF226" s="202"/>
      <c r="AG226" s="202"/>
      <c r="AH226" s="202"/>
      <c r="AI226" s="202"/>
      <c r="AJ226" s="202"/>
      <c r="AK226" s="202"/>
      <c r="AL226" s="202"/>
      <c r="AM226" s="202"/>
      <c r="AN226" s="202"/>
      <c r="AO226" s="202"/>
      <c r="AP226" s="202"/>
      <c r="AQ226" s="202"/>
      <c r="AR226" s="182"/>
    </row>
    <row r="227" spans="1:44" ht="14.25" hidden="1" customHeight="1" x14ac:dyDescent="0.3">
      <c r="A227" s="324"/>
      <c r="B227" s="185" t="s">
        <v>400</v>
      </c>
      <c r="C227" s="186">
        <v>0</v>
      </c>
      <c r="D227" s="186">
        <v>0</v>
      </c>
      <c r="E227" s="186">
        <v>0</v>
      </c>
      <c r="F227" s="186">
        <v>0</v>
      </c>
      <c r="G227" s="186">
        <v>0</v>
      </c>
      <c r="H227" s="187">
        <v>0.51</v>
      </c>
      <c r="I227" s="187">
        <v>30</v>
      </c>
      <c r="J227" s="187">
        <v>60</v>
      </c>
      <c r="K227" s="187">
        <v>60</v>
      </c>
      <c r="L227" s="187">
        <v>60</v>
      </c>
      <c r="M227" s="187">
        <v>15.658855000000001</v>
      </c>
      <c r="N227" s="187">
        <v>15</v>
      </c>
      <c r="O227" s="202"/>
      <c r="P227" s="202"/>
      <c r="Q227" s="202"/>
      <c r="R227" s="202"/>
      <c r="S227" s="202"/>
      <c r="T227" s="202"/>
      <c r="U227" s="202"/>
      <c r="V227" s="202"/>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182"/>
    </row>
    <row r="228" spans="1:44" ht="14.25" hidden="1" customHeight="1" x14ac:dyDescent="0.3">
      <c r="A228" s="324"/>
      <c r="B228" s="185" t="s">
        <v>401</v>
      </c>
      <c r="C228" s="186">
        <v>2794.7180000000003</v>
      </c>
      <c r="D228" s="186">
        <v>6397.199999999998</v>
      </c>
      <c r="E228" s="186">
        <v>2282.7840000000001</v>
      </c>
      <c r="F228" s="186">
        <v>518.40899999999988</v>
      </c>
      <c r="G228" s="186">
        <v>134.65200000000002</v>
      </c>
      <c r="H228" s="187">
        <v>202.33999999999995</v>
      </c>
      <c r="I228" s="187">
        <v>484.5259999999999</v>
      </c>
      <c r="J228" s="187">
        <v>340.15158400000001</v>
      </c>
      <c r="K228" s="187">
        <v>1774.2951250000001</v>
      </c>
      <c r="L228" s="187">
        <v>312.24608000000001</v>
      </c>
      <c r="M228" s="187">
        <v>287.90874300000002</v>
      </c>
      <c r="N228" s="187">
        <v>361.24710299999998</v>
      </c>
      <c r="O228" s="202"/>
      <c r="P228" s="202"/>
      <c r="Q228" s="202"/>
      <c r="R228" s="202"/>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182"/>
    </row>
    <row r="229" spans="1:44" ht="14.25" hidden="1" customHeight="1" x14ac:dyDescent="0.3">
      <c r="A229" s="324"/>
      <c r="B229" s="185" t="s">
        <v>402</v>
      </c>
      <c r="C229" s="186">
        <v>41202.606</v>
      </c>
      <c r="D229" s="186">
        <v>58654.512999999992</v>
      </c>
      <c r="E229" s="186">
        <v>40378.918000000005</v>
      </c>
      <c r="F229" s="186">
        <v>2112.5790000000002</v>
      </c>
      <c r="G229" s="186">
        <v>22330.165999999997</v>
      </c>
      <c r="H229" s="187">
        <v>49898.688999999998</v>
      </c>
      <c r="I229" s="187">
        <v>47255.521000000001</v>
      </c>
      <c r="J229" s="187">
        <v>76128.718972999995</v>
      </c>
      <c r="K229" s="187">
        <v>38884.333965999998</v>
      </c>
      <c r="L229" s="187">
        <v>29212.890694999998</v>
      </c>
      <c r="M229" s="187">
        <v>28206.221514000001</v>
      </c>
      <c r="N229" s="187">
        <v>39545.418916000002</v>
      </c>
      <c r="O229" s="202"/>
      <c r="P229" s="202"/>
      <c r="Q229" s="202"/>
      <c r="R229" s="202"/>
      <c r="S229" s="202"/>
      <c r="T229" s="202"/>
      <c r="U229" s="202"/>
      <c r="V229" s="202"/>
      <c r="W229" s="202"/>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182"/>
    </row>
    <row r="230" spans="1:44" ht="14.25" hidden="1" customHeight="1" x14ac:dyDescent="0.3">
      <c r="A230" s="324"/>
      <c r="B230" s="185" t="s">
        <v>403</v>
      </c>
      <c r="C230" s="186">
        <v>475670</v>
      </c>
      <c r="D230" s="186">
        <v>535036</v>
      </c>
      <c r="E230" s="186">
        <v>305015</v>
      </c>
      <c r="F230" s="186">
        <v>133057</v>
      </c>
      <c r="G230" s="186">
        <v>116220</v>
      </c>
      <c r="H230" s="187">
        <v>33115</v>
      </c>
      <c r="I230" s="187">
        <v>63408</v>
      </c>
      <c r="J230" s="187">
        <v>78578</v>
      </c>
      <c r="K230" s="187">
        <v>57309</v>
      </c>
      <c r="L230" s="187">
        <v>27585</v>
      </c>
      <c r="M230" s="187">
        <v>49280</v>
      </c>
      <c r="N230" s="187">
        <v>57400</v>
      </c>
      <c r="O230" s="202"/>
      <c r="P230" s="202"/>
      <c r="Q230" s="202"/>
      <c r="R230" s="202"/>
      <c r="S230" s="202"/>
      <c r="T230" s="202"/>
      <c r="U230" s="202"/>
      <c r="V230" s="202"/>
      <c r="W230" s="202"/>
      <c r="X230" s="202"/>
      <c r="Y230" s="202"/>
      <c r="Z230" s="202"/>
      <c r="AA230" s="202"/>
      <c r="AB230" s="202"/>
      <c r="AC230" s="202"/>
      <c r="AD230" s="202"/>
      <c r="AE230" s="202"/>
      <c r="AF230" s="202"/>
      <c r="AG230" s="202"/>
      <c r="AH230" s="202"/>
      <c r="AI230" s="202"/>
      <c r="AJ230" s="202"/>
      <c r="AK230" s="202"/>
      <c r="AL230" s="202"/>
      <c r="AM230" s="202"/>
      <c r="AN230" s="202"/>
      <c r="AO230" s="202"/>
      <c r="AP230" s="202"/>
      <c r="AQ230" s="202"/>
      <c r="AR230" s="182"/>
    </row>
    <row r="231" spans="1:44" ht="14.25" hidden="1" customHeight="1" x14ac:dyDescent="0.3">
      <c r="A231" s="324"/>
      <c r="B231" s="185" t="s">
        <v>404</v>
      </c>
      <c r="C231" s="188">
        <v>15501.701000000001</v>
      </c>
      <c r="D231" s="188">
        <v>11828.72</v>
      </c>
      <c r="E231" s="188">
        <v>66.872</v>
      </c>
      <c r="F231" s="188">
        <v>2096.1979999999994</v>
      </c>
      <c r="G231" s="188">
        <v>5122.3940000000002</v>
      </c>
      <c r="H231" s="205">
        <v>11637.327000000001</v>
      </c>
      <c r="I231" s="205">
        <v>70.617000000000004</v>
      </c>
      <c r="J231" s="205">
        <v>113.679688</v>
      </c>
      <c r="K231" s="205">
        <v>6469.9062199999998</v>
      </c>
      <c r="L231" s="205">
        <v>19041.604111000001</v>
      </c>
      <c r="M231" s="205">
        <v>4963.9075599999996</v>
      </c>
      <c r="N231" s="205">
        <v>14267.527470000001</v>
      </c>
      <c r="O231" s="202"/>
      <c r="P231" s="202"/>
      <c r="Q231" s="202"/>
      <c r="R231" s="202"/>
      <c r="S231" s="202"/>
      <c r="T231" s="202"/>
      <c r="U231" s="202"/>
      <c r="V231" s="202"/>
      <c r="W231" s="202"/>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182"/>
    </row>
    <row r="232" spans="1:44" ht="14.25" hidden="1" customHeight="1" x14ac:dyDescent="0.3">
      <c r="A232" s="324"/>
      <c r="B232" s="185" t="s">
        <v>405</v>
      </c>
      <c r="C232" s="186">
        <v>4.0150000000000006</v>
      </c>
      <c r="D232" s="186">
        <v>9.9930000000000003</v>
      </c>
      <c r="E232" s="186">
        <v>3.3559999999999999</v>
      </c>
      <c r="F232" s="186">
        <v>5.2850000000000001</v>
      </c>
      <c r="G232" s="186">
        <v>6.1829999999999998</v>
      </c>
      <c r="H232" s="187">
        <v>4.069</v>
      </c>
      <c r="I232" s="187">
        <v>4.0140000000000002</v>
      </c>
      <c r="J232" s="187">
        <v>23.017800000000001</v>
      </c>
      <c r="K232" s="187">
        <v>4.0007299999999999</v>
      </c>
      <c r="L232" s="187">
        <v>0</v>
      </c>
      <c r="M232" s="187">
        <v>0</v>
      </c>
      <c r="N232" s="187">
        <v>0</v>
      </c>
      <c r="O232" s="202"/>
      <c r="P232" s="202"/>
      <c r="Q232" s="202"/>
      <c r="R232" s="202"/>
      <c r="S232" s="202"/>
      <c r="T232" s="202"/>
      <c r="U232" s="202"/>
      <c r="V232" s="202"/>
      <c r="W232" s="202"/>
      <c r="X232" s="202"/>
      <c r="Y232" s="202"/>
      <c r="Z232" s="202"/>
      <c r="AA232" s="202"/>
      <c r="AB232" s="202"/>
      <c r="AC232" s="202"/>
      <c r="AD232" s="202"/>
      <c r="AE232" s="202"/>
      <c r="AF232" s="202"/>
      <c r="AG232" s="202"/>
      <c r="AH232" s="202"/>
      <c r="AI232" s="202"/>
      <c r="AJ232" s="202"/>
      <c r="AK232" s="202"/>
      <c r="AL232" s="202"/>
      <c r="AM232" s="202"/>
      <c r="AN232" s="202"/>
      <c r="AO232" s="202"/>
      <c r="AP232" s="202"/>
      <c r="AQ232" s="202"/>
      <c r="AR232" s="182"/>
    </row>
    <row r="233" spans="1:44" ht="14.25" hidden="1" customHeight="1" x14ac:dyDescent="0.3">
      <c r="A233" s="324"/>
      <c r="B233" s="185" t="s">
        <v>420</v>
      </c>
      <c r="C233" s="206">
        <v>0</v>
      </c>
      <c r="D233" s="206">
        <v>17</v>
      </c>
      <c r="E233" s="206">
        <v>16.728000000000002</v>
      </c>
      <c r="F233" s="206">
        <v>0</v>
      </c>
      <c r="G233" s="206">
        <v>0</v>
      </c>
      <c r="H233" s="207">
        <v>0</v>
      </c>
      <c r="I233" s="207">
        <v>0</v>
      </c>
      <c r="J233" s="207">
        <v>0</v>
      </c>
      <c r="K233" s="207">
        <v>0</v>
      </c>
      <c r="L233" s="207">
        <v>0</v>
      </c>
      <c r="M233" s="207">
        <v>0</v>
      </c>
      <c r="N233" s="207">
        <v>0</v>
      </c>
      <c r="O233" s="202"/>
      <c r="P233" s="202"/>
      <c r="Q233" s="202"/>
      <c r="R233" s="202"/>
      <c r="S233" s="202"/>
      <c r="T233" s="202"/>
      <c r="U233" s="202"/>
      <c r="V233" s="202"/>
      <c r="W233" s="202"/>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182"/>
    </row>
    <row r="234" spans="1:44" ht="14.25" hidden="1" customHeight="1" x14ac:dyDescent="0.3">
      <c r="A234" s="324"/>
      <c r="B234" s="185" t="s">
        <v>831</v>
      </c>
      <c r="C234" s="206">
        <v>5072</v>
      </c>
      <c r="D234" s="206">
        <v>5010</v>
      </c>
      <c r="E234" s="206">
        <v>5319</v>
      </c>
      <c r="F234" s="206">
        <v>5381</v>
      </c>
      <c r="G234" s="206">
        <v>7405</v>
      </c>
      <c r="H234" s="207">
        <v>6992</v>
      </c>
      <c r="I234" s="207">
        <v>5748</v>
      </c>
      <c r="J234" s="207">
        <v>6135</v>
      </c>
      <c r="K234" s="207">
        <v>6260</v>
      </c>
      <c r="L234" s="207">
        <v>5599</v>
      </c>
      <c r="M234" s="207">
        <v>6969</v>
      </c>
      <c r="N234" s="207">
        <v>8058.8640400000004</v>
      </c>
      <c r="O234" s="202"/>
      <c r="P234" s="202"/>
      <c r="Q234" s="202"/>
      <c r="R234" s="202"/>
      <c r="S234" s="202"/>
      <c r="T234" s="202"/>
      <c r="U234" s="202"/>
      <c r="V234" s="202"/>
      <c r="W234" s="202"/>
      <c r="X234" s="202"/>
      <c r="Y234" s="202"/>
      <c r="Z234" s="202"/>
      <c r="AA234" s="202"/>
      <c r="AB234" s="202"/>
      <c r="AC234" s="202"/>
      <c r="AD234" s="202"/>
      <c r="AE234" s="202"/>
      <c r="AF234" s="202"/>
      <c r="AG234" s="202"/>
      <c r="AH234" s="202"/>
      <c r="AI234" s="202"/>
      <c r="AJ234" s="202"/>
      <c r="AK234" s="202"/>
      <c r="AL234" s="202"/>
      <c r="AM234" s="202"/>
      <c r="AN234" s="202"/>
      <c r="AO234" s="202"/>
      <c r="AP234" s="202"/>
      <c r="AQ234" s="202"/>
      <c r="AR234" s="182"/>
    </row>
    <row r="235" spans="1:44" ht="14.25" hidden="1" customHeight="1" x14ac:dyDescent="0.3">
      <c r="A235" s="324"/>
      <c r="B235" s="185" t="s">
        <v>406</v>
      </c>
      <c r="C235" s="186">
        <v>4562</v>
      </c>
      <c r="D235" s="186">
        <v>4387</v>
      </c>
      <c r="E235" s="186">
        <v>4869</v>
      </c>
      <c r="F235" s="186">
        <v>4792</v>
      </c>
      <c r="G235" s="186">
        <v>5033</v>
      </c>
      <c r="H235" s="187">
        <v>2577</v>
      </c>
      <c r="I235" s="187">
        <v>4418</v>
      </c>
      <c r="J235" s="187">
        <v>4858</v>
      </c>
      <c r="K235" s="187">
        <v>4799</v>
      </c>
      <c r="L235" s="187">
        <v>3731</v>
      </c>
      <c r="M235" s="187">
        <v>6365</v>
      </c>
      <c r="N235" s="187">
        <v>4289</v>
      </c>
      <c r="O235" s="202"/>
      <c r="P235" s="202"/>
      <c r="Q235" s="202"/>
      <c r="R235" s="202"/>
      <c r="S235" s="202"/>
      <c r="T235" s="202"/>
      <c r="U235" s="202"/>
      <c r="V235" s="202"/>
      <c r="W235" s="202"/>
      <c r="X235" s="202"/>
      <c r="Y235" s="202"/>
      <c r="Z235" s="202"/>
      <c r="AA235" s="202"/>
      <c r="AB235" s="202"/>
      <c r="AC235" s="202"/>
      <c r="AD235" s="202"/>
      <c r="AE235" s="202"/>
      <c r="AF235" s="202"/>
      <c r="AG235" s="202"/>
      <c r="AH235" s="202"/>
      <c r="AI235" s="202"/>
      <c r="AJ235" s="202"/>
      <c r="AK235" s="202"/>
      <c r="AL235" s="202"/>
      <c r="AM235" s="202"/>
      <c r="AN235" s="202"/>
      <c r="AO235" s="202"/>
      <c r="AP235" s="202"/>
      <c r="AQ235" s="202"/>
      <c r="AR235" s="182"/>
    </row>
    <row r="236" spans="1:44" ht="14.25" hidden="1" customHeight="1" x14ac:dyDescent="0.3">
      <c r="A236" s="324"/>
      <c r="B236" s="185" t="s">
        <v>462</v>
      </c>
      <c r="C236" s="186">
        <v>612007.51299999992</v>
      </c>
      <c r="D236" s="186">
        <v>565673.1540000001</v>
      </c>
      <c r="E236" s="186">
        <v>565354.38600000006</v>
      </c>
      <c r="F236" s="186">
        <v>591363.89200000011</v>
      </c>
      <c r="G236" s="186">
        <v>7941.73</v>
      </c>
      <c r="H236" s="187">
        <v>8428.9750000000004</v>
      </c>
      <c r="I236" s="187">
        <v>936338.47899999982</v>
      </c>
      <c r="J236" s="187">
        <v>1129032.9790000001</v>
      </c>
      <c r="K236" s="187">
        <v>1127659.3359999999</v>
      </c>
      <c r="L236" s="187">
        <v>1182966.8970000001</v>
      </c>
      <c r="M236" s="187">
        <v>1266249.29431</v>
      </c>
      <c r="N236" s="187">
        <v>1505322.5319399999</v>
      </c>
      <c r="O236" s="202"/>
      <c r="P236" s="202"/>
      <c r="Q236" s="202"/>
      <c r="R236" s="202"/>
      <c r="S236" s="202"/>
      <c r="T236" s="202"/>
      <c r="U236" s="202"/>
      <c r="V236" s="202"/>
      <c r="W236" s="202"/>
      <c r="X236" s="202"/>
      <c r="Y236" s="202"/>
      <c r="Z236" s="202"/>
      <c r="AA236" s="202"/>
      <c r="AB236" s="202"/>
      <c r="AC236" s="202"/>
      <c r="AD236" s="202"/>
      <c r="AE236" s="202"/>
      <c r="AF236" s="202"/>
      <c r="AG236" s="202"/>
      <c r="AH236" s="202"/>
      <c r="AI236" s="202"/>
      <c r="AJ236" s="202"/>
      <c r="AK236" s="202"/>
      <c r="AL236" s="202"/>
      <c r="AM236" s="202"/>
      <c r="AN236" s="202"/>
      <c r="AO236" s="202"/>
      <c r="AP236" s="202"/>
      <c r="AQ236" s="202"/>
      <c r="AR236" s="182"/>
    </row>
    <row r="237" spans="1:44" ht="14.25" hidden="1" customHeight="1" x14ac:dyDescent="0.3">
      <c r="A237" s="324"/>
      <c r="B237" s="185" t="s">
        <v>408</v>
      </c>
      <c r="C237" s="186">
        <v>6764</v>
      </c>
      <c r="D237" s="186">
        <v>7416</v>
      </c>
      <c r="E237" s="186">
        <v>7904</v>
      </c>
      <c r="F237" s="186">
        <v>8600</v>
      </c>
      <c r="G237" s="186">
        <v>798630.65700000001</v>
      </c>
      <c r="H237" s="187">
        <v>908200.65800000017</v>
      </c>
      <c r="I237" s="187">
        <v>8424</v>
      </c>
      <c r="J237" s="187">
        <v>9682</v>
      </c>
      <c r="K237" s="187">
        <v>10506</v>
      </c>
      <c r="L237" s="187">
        <v>12409</v>
      </c>
      <c r="M237" s="187">
        <v>9338</v>
      </c>
      <c r="N237" s="187">
        <v>13943</v>
      </c>
      <c r="O237" s="202"/>
      <c r="P237" s="202"/>
      <c r="Q237" s="202"/>
      <c r="R237" s="202"/>
      <c r="S237" s="202"/>
      <c r="T237" s="202"/>
      <c r="U237" s="202"/>
      <c r="V237" s="202"/>
      <c r="W237" s="202"/>
      <c r="X237" s="202"/>
      <c r="Y237" s="202"/>
      <c r="Z237" s="202"/>
      <c r="AA237" s="202"/>
      <c r="AB237" s="202"/>
      <c r="AC237" s="202"/>
      <c r="AD237" s="202"/>
      <c r="AE237" s="202"/>
      <c r="AF237" s="202"/>
      <c r="AG237" s="202"/>
      <c r="AH237" s="202"/>
      <c r="AI237" s="202"/>
      <c r="AJ237" s="202"/>
      <c r="AK237" s="202"/>
      <c r="AL237" s="202"/>
      <c r="AM237" s="202"/>
      <c r="AN237" s="202"/>
      <c r="AO237" s="202"/>
      <c r="AP237" s="202"/>
      <c r="AQ237" s="202"/>
      <c r="AR237" s="182"/>
    </row>
    <row r="238" spans="1:44" ht="14.25" hidden="1" customHeight="1" x14ac:dyDescent="0.3">
      <c r="A238" s="324"/>
      <c r="B238" s="185" t="s">
        <v>409</v>
      </c>
      <c r="C238" s="186">
        <v>5089</v>
      </c>
      <c r="D238" s="186">
        <v>5070.2240000000002</v>
      </c>
      <c r="E238" s="186">
        <v>6277.692</v>
      </c>
      <c r="F238" s="186">
        <v>5381</v>
      </c>
      <c r="G238" s="186">
        <v>6278</v>
      </c>
      <c r="H238" s="187">
        <v>6335.98</v>
      </c>
      <c r="I238" s="187">
        <v>5969</v>
      </c>
      <c r="J238" s="187">
        <v>6631</v>
      </c>
      <c r="K238" s="187">
        <v>6279.4</v>
      </c>
      <c r="L238" s="187">
        <v>6466.05</v>
      </c>
      <c r="M238" s="187">
        <v>7542.0001119999997</v>
      </c>
      <c r="N238" s="187">
        <v>8128.92</v>
      </c>
      <c r="O238" s="202"/>
      <c r="P238" s="202"/>
      <c r="Q238" s="202"/>
      <c r="R238" s="202"/>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c r="AR238" s="182"/>
    </row>
    <row r="239" spans="1:44" ht="13.5" hidden="1" customHeight="1" x14ac:dyDescent="0.3">
      <c r="A239" s="324"/>
      <c r="B239" s="185" t="s">
        <v>410</v>
      </c>
      <c r="C239" s="186">
        <v>53853.741000000002</v>
      </c>
      <c r="D239" s="186">
        <v>6397.199999999998</v>
      </c>
      <c r="E239" s="186">
        <v>2282.7840000000001</v>
      </c>
      <c r="F239" s="186">
        <v>518.40899999999988</v>
      </c>
      <c r="G239" s="186">
        <v>134.65200000000002</v>
      </c>
      <c r="H239" s="187">
        <v>202.33999999999995</v>
      </c>
      <c r="I239" s="187">
        <v>484.5259999999999</v>
      </c>
      <c r="J239" s="187">
        <v>340.15158400000001</v>
      </c>
      <c r="K239" s="187">
        <v>1774.2951250000001</v>
      </c>
      <c r="L239" s="187">
        <v>312.24608000000001</v>
      </c>
      <c r="M239" s="187">
        <v>287.90874300000002</v>
      </c>
      <c r="N239" s="187">
        <v>361.24710299999998</v>
      </c>
      <c r="O239" s="202"/>
      <c r="P239" s="202"/>
      <c r="Q239" s="202"/>
      <c r="R239" s="202"/>
      <c r="S239" s="202"/>
      <c r="T239" s="202"/>
      <c r="U239" s="202"/>
      <c r="V239" s="202"/>
      <c r="W239" s="202"/>
      <c r="X239" s="202"/>
      <c r="Y239" s="202"/>
      <c r="Z239" s="202"/>
      <c r="AA239" s="202"/>
      <c r="AB239" s="202"/>
      <c r="AC239" s="202"/>
      <c r="AD239" s="202"/>
      <c r="AE239" s="202"/>
      <c r="AF239" s="202"/>
      <c r="AG239" s="202"/>
      <c r="AH239" s="202"/>
      <c r="AI239" s="202"/>
      <c r="AJ239" s="202"/>
      <c r="AK239" s="202"/>
      <c r="AL239" s="202"/>
      <c r="AM239" s="202"/>
      <c r="AN239" s="202"/>
      <c r="AO239" s="202"/>
      <c r="AP239" s="202"/>
      <c r="AQ239" s="202"/>
      <c r="AR239" s="182"/>
    </row>
    <row r="240" spans="1:44" ht="13.5" hidden="1" customHeight="1" x14ac:dyDescent="0.3">
      <c r="A240" s="324"/>
      <c r="B240" s="185"/>
      <c r="C240" s="186"/>
      <c r="D240" s="186"/>
      <c r="E240" s="186"/>
      <c r="F240" s="186"/>
      <c r="G240" s="186"/>
      <c r="H240" s="187"/>
      <c r="I240" s="187"/>
      <c r="J240" s="187"/>
      <c r="K240" s="187"/>
      <c r="L240" s="187"/>
      <c r="M240" s="187"/>
      <c r="N240" s="187"/>
      <c r="O240" s="202"/>
      <c r="P240" s="202"/>
      <c r="Q240" s="202"/>
      <c r="R240" s="202"/>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c r="AR240" s="182"/>
    </row>
    <row r="241" spans="1:75" ht="14.25" customHeight="1" x14ac:dyDescent="0.3">
      <c r="A241" s="324"/>
      <c r="B241" s="184" t="s">
        <v>463</v>
      </c>
      <c r="C241" s="179"/>
      <c r="D241" s="179"/>
      <c r="E241" s="179"/>
      <c r="F241" s="179"/>
      <c r="G241" s="179"/>
      <c r="H241" s="180"/>
      <c r="I241" s="181"/>
      <c r="J241" s="181"/>
      <c r="K241" s="181"/>
      <c r="L241" s="181"/>
      <c r="M241" s="181"/>
      <c r="N241" s="181"/>
      <c r="O241" s="181"/>
      <c r="P241" s="181"/>
      <c r="Q241" s="181"/>
      <c r="R241" s="181"/>
      <c r="S241" s="181"/>
      <c r="T241" s="181"/>
      <c r="U241" s="181"/>
      <c r="V241" s="181"/>
      <c r="W241" s="181"/>
      <c r="X241" s="181"/>
      <c r="Y241" s="181"/>
      <c r="Z241" s="181"/>
      <c r="AA241" s="181"/>
      <c r="AB241" s="181"/>
      <c r="AC241" s="181"/>
      <c r="AD241" s="181"/>
      <c r="AE241" s="181"/>
      <c r="AF241" s="181"/>
      <c r="AG241" s="181"/>
      <c r="AH241" s="181"/>
      <c r="AI241" s="181"/>
      <c r="AJ241" s="181"/>
      <c r="AK241" s="181"/>
      <c r="AL241" s="181"/>
      <c r="AM241" s="181"/>
      <c r="AN241" s="181"/>
      <c r="AO241" s="181"/>
      <c r="AP241" s="181"/>
      <c r="AQ241" s="181"/>
      <c r="AR241" s="182"/>
    </row>
    <row r="242" spans="1:75" ht="13.5" customHeight="1" x14ac:dyDescent="0.3">
      <c r="A242" s="1206" t="s">
        <v>832</v>
      </c>
      <c r="B242" s="185" t="s">
        <v>505</v>
      </c>
      <c r="C242" s="190">
        <f t="shared" ref="C242:N242" si="144">C226*(1-$E$188/100)/1000000</f>
        <v>0</v>
      </c>
      <c r="D242" s="190">
        <f t="shared" si="144"/>
        <v>1.590237E-5</v>
      </c>
      <c r="E242" s="190">
        <f t="shared" si="144"/>
        <v>8.4057603299999995E-3</v>
      </c>
      <c r="F242" s="190">
        <f t="shared" si="144"/>
        <v>1.2307977000000002E-4</v>
      </c>
      <c r="G242" s="190">
        <f t="shared" si="144"/>
        <v>0</v>
      </c>
      <c r="H242" s="191">
        <f t="shared" si="144"/>
        <v>0</v>
      </c>
      <c r="I242" s="191">
        <f t="shared" si="144"/>
        <v>0</v>
      </c>
      <c r="J242" s="191">
        <f t="shared" si="144"/>
        <v>0</v>
      </c>
      <c r="K242" s="191">
        <f t="shared" si="144"/>
        <v>0</v>
      </c>
      <c r="L242" s="191">
        <f t="shared" si="144"/>
        <v>0</v>
      </c>
      <c r="M242" s="191">
        <f t="shared" si="144"/>
        <v>0</v>
      </c>
      <c r="N242" s="191">
        <f t="shared" si="144"/>
        <v>2.2309075800000001E-5</v>
      </c>
      <c r="O242" s="191">
        <v>2.5903107060609624E-5</v>
      </c>
      <c r="P242" s="191">
        <v>2.6018908538402525E-5</v>
      </c>
      <c r="Q242" s="191">
        <v>2.7155154860708326E-5</v>
      </c>
      <c r="R242" s="191">
        <v>3.1366146175057889E-5</v>
      </c>
      <c r="S242" s="191">
        <v>3.4518698137280859E-5</v>
      </c>
      <c r="T242" s="191">
        <v>3.9774839798785209E-5</v>
      </c>
      <c r="U242" s="191">
        <v>4.4961131812819149E-5</v>
      </c>
      <c r="V242" s="191">
        <v>5.0029036133504065E-5</v>
      </c>
      <c r="W242" s="191">
        <v>5.551265496569326E-5</v>
      </c>
      <c r="X242" s="191">
        <v>6.1485966508329897E-5</v>
      </c>
      <c r="Y242" s="191">
        <v>6.7717076658527727E-5</v>
      </c>
      <c r="Z242" s="191">
        <v>7.4164484335679286E-5</v>
      </c>
      <c r="AA242" s="191">
        <v>8.1304131238898187E-5</v>
      </c>
      <c r="AB242" s="191">
        <v>8.9583044833678341E-5</v>
      </c>
      <c r="AC242" s="191">
        <v>9.8058067025381029E-5</v>
      </c>
      <c r="AD242" s="191">
        <v>1.0765899300985317E-4</v>
      </c>
      <c r="AE242" s="191">
        <v>1.1798724675273753E-4</v>
      </c>
      <c r="AF242" s="191">
        <v>1.2941861396563244E-4</v>
      </c>
      <c r="AG242" s="191">
        <v>1.4200931012694283E-4</v>
      </c>
      <c r="AH242" s="191">
        <v>1.5529473373668994E-4</v>
      </c>
      <c r="AI242" s="191">
        <v>1.7010237091111589E-4</v>
      </c>
      <c r="AJ242" s="191">
        <v>1.8595716817442227E-4</v>
      </c>
      <c r="AK242" s="191">
        <v>2.0421837608520219E-4</v>
      </c>
      <c r="AL242" s="191">
        <v>2.2399428003416332E-4</v>
      </c>
      <c r="AM242" s="191">
        <v>2.4611480155477077E-4</v>
      </c>
      <c r="AN242" s="191">
        <v>2.6948204611384281E-4</v>
      </c>
      <c r="AO242" s="191">
        <v>2.9615803572076991E-4</v>
      </c>
      <c r="AP242" s="191">
        <v>3.2452484074292994E-4</v>
      </c>
      <c r="AQ242" s="191">
        <v>3.5636067019677954E-4</v>
      </c>
      <c r="AR242" s="182"/>
    </row>
    <row r="243" spans="1:75" ht="14.25" customHeight="1" x14ac:dyDescent="0.3">
      <c r="A243" s="995"/>
      <c r="B243" s="185" t="s">
        <v>414</v>
      </c>
      <c r="C243" s="190">
        <f t="shared" ref="C243:N243" si="145">C227*(1-$E$188/100)/1000000</f>
        <v>0</v>
      </c>
      <c r="D243" s="190">
        <f t="shared" si="145"/>
        <v>0</v>
      </c>
      <c r="E243" s="190">
        <f t="shared" si="145"/>
        <v>0</v>
      </c>
      <c r="F243" s="190">
        <f t="shared" si="145"/>
        <v>0</v>
      </c>
      <c r="G243" s="190">
        <f t="shared" si="145"/>
        <v>0</v>
      </c>
      <c r="H243" s="191">
        <f t="shared" si="145"/>
        <v>5.0490000000000003E-7</v>
      </c>
      <c r="I243" s="191">
        <f t="shared" si="145"/>
        <v>2.97E-5</v>
      </c>
      <c r="J243" s="191">
        <f t="shared" si="145"/>
        <v>5.94E-5</v>
      </c>
      <c r="K243" s="191">
        <f t="shared" si="145"/>
        <v>5.94E-5</v>
      </c>
      <c r="L243" s="191">
        <f t="shared" si="145"/>
        <v>5.94E-5</v>
      </c>
      <c r="M243" s="191">
        <f t="shared" si="145"/>
        <v>1.5502266450000002E-5</v>
      </c>
      <c r="N243" s="191">
        <f t="shared" si="145"/>
        <v>1.485E-5</v>
      </c>
      <c r="O243" s="191">
        <v>1.7242361059620985E-5</v>
      </c>
      <c r="P243" s="191">
        <v>1.7319444124856013E-5</v>
      </c>
      <c r="Q243" s="191">
        <v>1.8075784640147156E-5</v>
      </c>
      <c r="R243" s="191">
        <v>2.0878824155486067E-5</v>
      </c>
      <c r="S243" s="191">
        <v>2.2977315238608889E-5</v>
      </c>
      <c r="T243" s="191">
        <v>2.6476057381631217E-5</v>
      </c>
      <c r="U243" s="191">
        <v>2.9928304220489687E-5</v>
      </c>
      <c r="V243" s="191">
        <v>3.3301746483937061E-5</v>
      </c>
      <c r="W243" s="191">
        <v>3.6951908435424513E-5</v>
      </c>
      <c r="X243" s="191">
        <v>4.092803354268485E-5</v>
      </c>
      <c r="Y243" s="191">
        <v>4.50757618735213E-5</v>
      </c>
      <c r="Z243" s="191">
        <v>4.9367468301167251E-5</v>
      </c>
      <c r="AA243" s="191">
        <v>5.4119962643079915E-5</v>
      </c>
      <c r="AB243" s="191">
        <v>5.9630808004163201E-5</v>
      </c>
      <c r="AC243" s="191">
        <v>6.5272192733636621E-5</v>
      </c>
      <c r="AD243" s="191">
        <v>7.1663033490446969E-5</v>
      </c>
      <c r="AE243" s="191">
        <v>7.8538018785975568E-5</v>
      </c>
      <c r="AF243" s="191">
        <v>8.6147289767586079E-5</v>
      </c>
      <c r="AG243" s="191">
        <v>9.4528266176992475E-5</v>
      </c>
      <c r="AH243" s="191">
        <v>1.0337168678183638E-4</v>
      </c>
      <c r="AI243" s="191">
        <v>1.1322836636872563E-4</v>
      </c>
      <c r="AJ243" s="191">
        <v>1.2378208636460729E-4</v>
      </c>
      <c r="AK243" s="191">
        <v>1.3593762969173526E-4</v>
      </c>
      <c r="AL243" s="191">
        <v>1.4910142797162961E-4</v>
      </c>
      <c r="AM243" s="191">
        <v>1.6382591712240922E-4</v>
      </c>
      <c r="AN243" s="191">
        <v>1.793802854347989E-4</v>
      </c>
      <c r="AO243" s="191">
        <v>1.9713711450357042E-4</v>
      </c>
      <c r="AP243" s="191">
        <v>2.1601943210182236E-4</v>
      </c>
      <c r="AQ243" s="191">
        <v>2.3721090016746342E-4</v>
      </c>
      <c r="AR243" s="182"/>
    </row>
    <row r="244" spans="1:75" ht="14.25" customHeight="1" x14ac:dyDescent="0.3">
      <c r="A244" s="995"/>
      <c r="B244" s="185" t="s">
        <v>415</v>
      </c>
      <c r="C244" s="190">
        <f t="shared" ref="C244:G244" si="146">C228*(1-$E$188/100)/1000000</f>
        <v>2.7667708200000002E-3</v>
      </c>
      <c r="D244" s="190">
        <f t="shared" si="146"/>
        <v>6.333227999999998E-3</v>
      </c>
      <c r="E244" s="190">
        <f t="shared" si="146"/>
        <v>2.2599561600000003E-3</v>
      </c>
      <c r="F244" s="190">
        <f t="shared" si="146"/>
        <v>5.1322490999999989E-4</v>
      </c>
      <c r="G244" s="190">
        <f t="shared" si="146"/>
        <v>1.3330548000000002E-4</v>
      </c>
      <c r="H244" s="208">
        <v>1.2923006593695358E-2</v>
      </c>
      <c r="I244" s="208">
        <v>1.306622352772877E-2</v>
      </c>
      <c r="J244" s="208">
        <v>9.2879308381677433E-3</v>
      </c>
      <c r="K244" s="208">
        <v>1.2549685804750004E-2</v>
      </c>
      <c r="L244" s="208">
        <v>5.1538124631200135E-3</v>
      </c>
      <c r="M244" s="208">
        <v>8.488391902630012E-3</v>
      </c>
      <c r="N244" s="208">
        <v>9.1421000816264107E-3</v>
      </c>
      <c r="O244" s="191">
        <v>1.0614908447851384E-2</v>
      </c>
      <c r="P244" s="191">
        <v>1.0662363067176446E-2</v>
      </c>
      <c r="Q244" s="191">
        <v>1.1127988702636413E-2</v>
      </c>
      <c r="R244" s="191">
        <v>1.285362289670927E-2</v>
      </c>
      <c r="S244" s="191">
        <v>1.4145516196528086E-2</v>
      </c>
      <c r="T244" s="191">
        <v>1.6299445545438135E-2</v>
      </c>
      <c r="U244" s="191">
        <v>1.8424751007210697E-2</v>
      </c>
      <c r="V244" s="191">
        <v>2.0501542036976638E-2</v>
      </c>
      <c r="W244" s="191">
        <v>2.2748689907322973E-2</v>
      </c>
      <c r="X244" s="191">
        <v>2.5196510356322407E-2</v>
      </c>
      <c r="Y244" s="191">
        <v>2.7749974835238507E-2</v>
      </c>
      <c r="Z244" s="191">
        <v>3.039207649735963E-2</v>
      </c>
      <c r="AA244" s="191">
        <v>3.3317852855011404E-2</v>
      </c>
      <c r="AB244" s="191">
        <v>3.6710492573892889E-2</v>
      </c>
      <c r="AC244" s="191">
        <v>4.0183496196506019E-2</v>
      </c>
      <c r="AD244" s="191">
        <v>4.4117887159771829E-2</v>
      </c>
      <c r="AE244" s="191">
        <v>4.8350331848757172E-2</v>
      </c>
      <c r="AF244" s="191">
        <v>5.3034824566743639E-2</v>
      </c>
      <c r="AG244" s="191">
        <v>5.8194402015669111E-2</v>
      </c>
      <c r="AH244" s="191">
        <v>6.3638673815898078E-2</v>
      </c>
      <c r="AI244" s="191">
        <v>6.9706737873532126E-2</v>
      </c>
      <c r="AJ244" s="191">
        <v>7.6203920663822505E-2</v>
      </c>
      <c r="AK244" s="191">
        <v>8.368723336706492E-2</v>
      </c>
      <c r="AL244" s="191">
        <v>9.1791257698993253E-2</v>
      </c>
      <c r="AM244" s="191">
        <v>0.10085608958230972</v>
      </c>
      <c r="AN244" s="191">
        <v>0.11043181967108717</v>
      </c>
      <c r="AO244" s="191">
        <v>0.12136344987169609</v>
      </c>
      <c r="AP244" s="191">
        <v>0.13298796416504793</v>
      </c>
      <c r="AQ244" s="191">
        <v>0.1460340599180904</v>
      </c>
      <c r="AR244" s="182"/>
    </row>
    <row r="245" spans="1:75" ht="14.25" customHeight="1" x14ac:dyDescent="0.3">
      <c r="A245" s="995"/>
      <c r="B245" s="185" t="s">
        <v>416</v>
      </c>
      <c r="C245" s="190">
        <f t="shared" ref="C245:N245" si="147">C229*(1-$E$188/100)/1000000</f>
        <v>4.0790579939999995E-2</v>
      </c>
      <c r="D245" s="190">
        <f t="shared" si="147"/>
        <v>5.8067967869999994E-2</v>
      </c>
      <c r="E245" s="190">
        <f t="shared" si="147"/>
        <v>3.9975128820000004E-2</v>
      </c>
      <c r="F245" s="190">
        <f t="shared" si="147"/>
        <v>2.0914532100000001E-3</v>
      </c>
      <c r="G245" s="190">
        <f t="shared" si="147"/>
        <v>2.2106864339999997E-2</v>
      </c>
      <c r="H245" s="191">
        <f t="shared" si="147"/>
        <v>4.9399702109999999E-2</v>
      </c>
      <c r="I245" s="191">
        <f t="shared" si="147"/>
        <v>4.6782965789999999E-2</v>
      </c>
      <c r="J245" s="191">
        <f t="shared" si="147"/>
        <v>7.5367431783269989E-2</v>
      </c>
      <c r="K245" s="191">
        <f t="shared" si="147"/>
        <v>3.8495490626339994E-2</v>
      </c>
      <c r="L245" s="191">
        <f t="shared" si="147"/>
        <v>2.8920761788049996E-2</v>
      </c>
      <c r="M245" s="191">
        <f t="shared" si="147"/>
        <v>2.7924159298860003E-2</v>
      </c>
      <c r="N245" s="191">
        <f t="shared" si="147"/>
        <v>3.914996472684E-2</v>
      </c>
      <c r="O245" s="191">
        <v>4.5457092746909171E-2</v>
      </c>
      <c r="P245" s="191">
        <v>4.5660311553979073E-2</v>
      </c>
      <c r="Q245" s="191">
        <v>4.7654298388667839E-2</v>
      </c>
      <c r="R245" s="191">
        <v>5.5044123180146426E-2</v>
      </c>
      <c r="S245" s="191">
        <v>6.0576503778385256E-2</v>
      </c>
      <c r="T245" s="191">
        <v>6.9800452026710702E-2</v>
      </c>
      <c r="U245" s="191">
        <v>7.8901821856317028E-2</v>
      </c>
      <c r="V245" s="191">
        <v>8.7795434356114727E-2</v>
      </c>
      <c r="W245" s="191">
        <v>9.7418579921635759E-2</v>
      </c>
      <c r="X245" s="191">
        <v>0.10790108212357147</v>
      </c>
      <c r="Y245" s="191">
        <v>0.11883599241641739</v>
      </c>
      <c r="Z245" s="191">
        <v>0.13015048098613399</v>
      </c>
      <c r="AA245" s="191">
        <v>0.14267977296259107</v>
      </c>
      <c r="AB245" s="191">
        <v>0.15720835218828</v>
      </c>
      <c r="AC245" s="191">
        <v>0.17208108034783678</v>
      </c>
      <c r="AD245" s="191">
        <v>0.18892964534473755</v>
      </c>
      <c r="AE245" s="191">
        <v>0.20705459024827211</v>
      </c>
      <c r="AF245" s="191">
        <v>0.22711537748914881</v>
      </c>
      <c r="AG245" s="191">
        <v>0.24921065902482145</v>
      </c>
      <c r="AH245" s="191">
        <v>0.27252511052275069</v>
      </c>
      <c r="AI245" s="191">
        <v>0.29851087874837212</v>
      </c>
      <c r="AJ245" s="191">
        <v>0.32633429730565922</v>
      </c>
      <c r="AK245" s="191">
        <v>0.35838070084051682</v>
      </c>
      <c r="AL245" s="191">
        <v>0.39308522867412632</v>
      </c>
      <c r="AM245" s="191">
        <v>0.43190430146023817</v>
      </c>
      <c r="AN245" s="191">
        <v>0.47291123551938524</v>
      </c>
      <c r="AO245" s="191">
        <v>0.51972465179567695</v>
      </c>
      <c r="AP245" s="191">
        <v>0.56950526243086574</v>
      </c>
      <c r="AQ245" s="191">
        <v>0.62537362790425322</v>
      </c>
      <c r="AR245" s="182"/>
    </row>
    <row r="246" spans="1:75" ht="14.25" customHeight="1" x14ac:dyDescent="0.3">
      <c r="A246" s="995"/>
      <c r="B246" s="185" t="s">
        <v>417</v>
      </c>
      <c r="C246" s="190">
        <f t="shared" ref="C246:N246" si="148">C230*(1-$E$188/100)/1000000</f>
        <v>0.47091329999999998</v>
      </c>
      <c r="D246" s="190">
        <f t="shared" si="148"/>
        <v>0.52968564000000007</v>
      </c>
      <c r="E246" s="190">
        <f t="shared" si="148"/>
        <v>0.30196484999999995</v>
      </c>
      <c r="F246" s="190">
        <f t="shared" si="148"/>
        <v>0.13172643000000001</v>
      </c>
      <c r="G246" s="190">
        <f t="shared" si="148"/>
        <v>0.1150578</v>
      </c>
      <c r="H246" s="191">
        <f t="shared" si="148"/>
        <v>3.2783849999999996E-2</v>
      </c>
      <c r="I246" s="191">
        <f t="shared" si="148"/>
        <v>6.2773919999999997E-2</v>
      </c>
      <c r="J246" s="191">
        <f t="shared" si="148"/>
        <v>7.7792219999999995E-2</v>
      </c>
      <c r="K246" s="191">
        <f t="shared" si="148"/>
        <v>5.6735909999999994E-2</v>
      </c>
      <c r="L246" s="191">
        <f t="shared" si="148"/>
        <v>2.7309150000000001E-2</v>
      </c>
      <c r="M246" s="191">
        <f t="shared" si="148"/>
        <v>4.8787199999999996E-2</v>
      </c>
      <c r="N246" s="191">
        <f t="shared" si="148"/>
        <v>5.6826000000000002E-2</v>
      </c>
      <c r="O246" s="191">
        <v>6.5980768321482974E-2</v>
      </c>
      <c r="P246" s="191">
        <v>6.6275739517782345E-2</v>
      </c>
      <c r="Q246" s="191">
        <v>6.9170002556296448E-2</v>
      </c>
      <c r="R246" s="191">
        <v>7.989630043499335E-2</v>
      </c>
      <c r="S246" s="191">
        <v>8.7926526313076681E-2</v>
      </c>
      <c r="T246" s="191">
        <v>0.10131504624704213</v>
      </c>
      <c r="U246" s="191">
        <v>0.11452564415040721</v>
      </c>
      <c r="V246" s="191">
        <v>0.12743468321186582</v>
      </c>
      <c r="W246" s="191">
        <v>0.14140263627955782</v>
      </c>
      <c r="X246" s="191">
        <v>0.1566179416900074</v>
      </c>
      <c r="Y246" s="191">
        <v>0.17248991543600822</v>
      </c>
      <c r="Z246" s="191">
        <v>0.18891284536580008</v>
      </c>
      <c r="AA246" s="191">
        <v>0.20709905704751921</v>
      </c>
      <c r="AB246" s="191">
        <v>0.22818722529593125</v>
      </c>
      <c r="AC246" s="191">
        <v>0.24977492419404954</v>
      </c>
      <c r="AD246" s="191">
        <v>0.27423054149011045</v>
      </c>
      <c r="AE246" s="191">
        <v>0.30053881855433318</v>
      </c>
      <c r="AF246" s="191">
        <v>0.32965696217729606</v>
      </c>
      <c r="AG246" s="191">
        <v>0.36172816523729123</v>
      </c>
      <c r="AH246" s="191">
        <v>0.39556898808516061</v>
      </c>
      <c r="AI246" s="191">
        <v>0.43328721530432351</v>
      </c>
      <c r="AJ246" s="191">
        <v>0.47367278382189737</v>
      </c>
      <c r="AK246" s="191">
        <v>0.52018799628704038</v>
      </c>
      <c r="AL246" s="191">
        <v>0.57056146437143607</v>
      </c>
      <c r="AM246" s="191">
        <v>0.6269071761884194</v>
      </c>
      <c r="AN246" s="191">
        <v>0.68642855893049726</v>
      </c>
      <c r="AO246" s="191">
        <v>0.75437802483366301</v>
      </c>
      <c r="AP246" s="191">
        <v>0.82663436017630709</v>
      </c>
      <c r="AQ246" s="191">
        <v>0.90772704464082699</v>
      </c>
      <c r="AR246" s="182"/>
    </row>
    <row r="247" spans="1:75" ht="14.25" customHeight="1" x14ac:dyDescent="0.3">
      <c r="A247" s="995"/>
      <c r="B247" s="185" t="s">
        <v>465</v>
      </c>
      <c r="C247" s="190">
        <f t="shared" ref="C247:N247" si="149">C231*(1-$E$188/100)/1000000</f>
        <v>1.5346683990000002E-2</v>
      </c>
      <c r="D247" s="190">
        <f t="shared" si="149"/>
        <v>1.1710432799999998E-2</v>
      </c>
      <c r="E247" s="190">
        <f t="shared" si="149"/>
        <v>6.6203279999999995E-5</v>
      </c>
      <c r="F247" s="190">
        <f t="shared" si="149"/>
        <v>2.0752360199999993E-3</v>
      </c>
      <c r="G247" s="190">
        <f t="shared" si="149"/>
        <v>5.0711700600000005E-3</v>
      </c>
      <c r="H247" s="191">
        <f t="shared" si="149"/>
        <v>1.1520953730000002E-2</v>
      </c>
      <c r="I247" s="191">
        <f t="shared" si="149"/>
        <v>6.9910830000000004E-5</v>
      </c>
      <c r="J247" s="191">
        <f t="shared" si="149"/>
        <v>1.1254289112E-4</v>
      </c>
      <c r="K247" s="191">
        <f t="shared" si="149"/>
        <v>6.4052071577999992E-3</v>
      </c>
      <c r="L247" s="191">
        <f t="shared" si="149"/>
        <v>1.8851188069889998E-2</v>
      </c>
      <c r="M247" s="191">
        <f t="shared" si="149"/>
        <v>4.9142684843999996E-3</v>
      </c>
      <c r="N247" s="191">
        <f t="shared" si="149"/>
        <v>1.41248521953E-2</v>
      </c>
      <c r="O247" s="191">
        <v>1.640039067105338E-2</v>
      </c>
      <c r="P247" s="191">
        <v>1.6473709654434218E-2</v>
      </c>
      <c r="Q247" s="191">
        <v>1.7193116926340238E-2</v>
      </c>
      <c r="R247" s="191">
        <v>1.98592798119798E-2</v>
      </c>
      <c r="S247" s="191">
        <v>2.1855298423580125E-2</v>
      </c>
      <c r="T247" s="191">
        <v>2.5183191732647974E-2</v>
      </c>
      <c r="U247" s="191">
        <v>2.8466860173090233E-2</v>
      </c>
      <c r="V247" s="191">
        <v>3.167557218390319E-2</v>
      </c>
      <c r="W247" s="191">
        <v>3.514749124475626E-2</v>
      </c>
      <c r="X247" s="191">
        <v>3.8929456190889167E-2</v>
      </c>
      <c r="Y247" s="191">
        <v>4.2874644717442921E-2</v>
      </c>
      <c r="Z247" s="191">
        <v>4.6956780674083869E-2</v>
      </c>
      <c r="AA247" s="191">
        <v>5.1477203579034438E-2</v>
      </c>
      <c r="AB247" s="191">
        <v>5.671894608384629E-2</v>
      </c>
      <c r="AC247" s="191">
        <v>6.2084853523619657E-2</v>
      </c>
      <c r="AD247" s="191">
        <v>6.8163619927232133E-2</v>
      </c>
      <c r="AE247" s="191">
        <v>7.4702889364552147E-2</v>
      </c>
      <c r="AF247" s="191">
        <v>8.1940588215005605E-2</v>
      </c>
      <c r="AG247" s="191">
        <v>8.9912308958114126E-2</v>
      </c>
      <c r="AH247" s="191">
        <v>9.8323892052005757E-2</v>
      </c>
      <c r="AI247" s="191">
        <v>0.10769925516993448</v>
      </c>
      <c r="AJ247" s="191">
        <v>0.11773762116672981</v>
      </c>
      <c r="AK247" s="191">
        <v>0.12929959105556804</v>
      </c>
      <c r="AL247" s="191">
        <v>0.14182058129343014</v>
      </c>
      <c r="AM247" s="191">
        <v>0.1558260515227945</v>
      </c>
      <c r="AN247" s="191">
        <v>0.17062087666782899</v>
      </c>
      <c r="AO247" s="191">
        <v>0.18751061310241515</v>
      </c>
      <c r="AP247" s="191">
        <v>0.20547087877110343</v>
      </c>
      <c r="AQ247" s="191">
        <v>0.22562753562151422</v>
      </c>
      <c r="AR247" s="182"/>
    </row>
    <row r="248" spans="1:75" ht="13.5" customHeight="1" x14ac:dyDescent="0.3">
      <c r="A248" s="995"/>
      <c r="B248" s="185" t="s">
        <v>419</v>
      </c>
      <c r="C248" s="190">
        <f t="shared" ref="C248:N248" si="150">C232*(1-$E$188/100)/1000000</f>
        <v>3.9748500000000006E-6</v>
      </c>
      <c r="D248" s="190">
        <f t="shared" si="150"/>
        <v>9.8930699999999998E-6</v>
      </c>
      <c r="E248" s="190">
        <f t="shared" si="150"/>
        <v>3.32244E-6</v>
      </c>
      <c r="F248" s="190">
        <f t="shared" si="150"/>
        <v>5.2321499999999995E-6</v>
      </c>
      <c r="G248" s="190">
        <f t="shared" si="150"/>
        <v>6.1211699999999995E-6</v>
      </c>
      <c r="H248" s="191">
        <f t="shared" si="150"/>
        <v>4.0283099999999999E-6</v>
      </c>
      <c r="I248" s="191">
        <f t="shared" si="150"/>
        <v>3.9738599999999999E-6</v>
      </c>
      <c r="J248" s="191">
        <f t="shared" si="150"/>
        <v>2.2787622000000002E-5</v>
      </c>
      <c r="K248" s="191">
        <f t="shared" si="150"/>
        <v>3.9607226999999998E-6</v>
      </c>
      <c r="L248" s="191">
        <f t="shared" si="150"/>
        <v>0</v>
      </c>
      <c r="M248" s="191">
        <f t="shared" si="150"/>
        <v>0</v>
      </c>
      <c r="N248" s="191">
        <f t="shared" si="150"/>
        <v>0</v>
      </c>
      <c r="O248" s="191">
        <v>0</v>
      </c>
      <c r="P248" s="191">
        <v>0</v>
      </c>
      <c r="Q248" s="191">
        <v>0</v>
      </c>
      <c r="R248" s="191">
        <v>0</v>
      </c>
      <c r="S248" s="191">
        <v>0</v>
      </c>
      <c r="T248" s="191">
        <v>0</v>
      </c>
      <c r="U248" s="191">
        <v>0</v>
      </c>
      <c r="V248" s="191">
        <v>0</v>
      </c>
      <c r="W248" s="191">
        <v>0</v>
      </c>
      <c r="X248" s="191">
        <v>0</v>
      </c>
      <c r="Y248" s="191">
        <v>0</v>
      </c>
      <c r="Z248" s="191">
        <v>0</v>
      </c>
      <c r="AA248" s="191">
        <v>0</v>
      </c>
      <c r="AB248" s="191">
        <v>0</v>
      </c>
      <c r="AC248" s="191">
        <v>0</v>
      </c>
      <c r="AD248" s="191">
        <v>0</v>
      </c>
      <c r="AE248" s="191">
        <v>0</v>
      </c>
      <c r="AF248" s="191">
        <v>0</v>
      </c>
      <c r="AG248" s="191">
        <v>0</v>
      </c>
      <c r="AH248" s="191">
        <v>0</v>
      </c>
      <c r="AI248" s="191">
        <v>0</v>
      </c>
      <c r="AJ248" s="191">
        <v>0</v>
      </c>
      <c r="AK248" s="191">
        <v>0</v>
      </c>
      <c r="AL248" s="191">
        <v>0</v>
      </c>
      <c r="AM248" s="191">
        <v>0</v>
      </c>
      <c r="AN248" s="191">
        <v>0</v>
      </c>
      <c r="AO248" s="191">
        <v>0</v>
      </c>
      <c r="AP248" s="191">
        <v>0</v>
      </c>
      <c r="AQ248" s="191">
        <v>0</v>
      </c>
      <c r="AR248" s="182"/>
    </row>
    <row r="249" spans="1:75" ht="14.25" customHeight="1" x14ac:dyDescent="0.3">
      <c r="A249" s="995"/>
      <c r="B249" s="185" t="s">
        <v>420</v>
      </c>
      <c r="C249" s="190">
        <f t="shared" ref="C249:K249" si="151">C233*(1-$E$188/100)/1000000</f>
        <v>0</v>
      </c>
      <c r="D249" s="190">
        <f t="shared" si="151"/>
        <v>1.683E-5</v>
      </c>
      <c r="E249" s="190">
        <f t="shared" si="151"/>
        <v>1.656072E-5</v>
      </c>
      <c r="F249" s="190">
        <f t="shared" si="151"/>
        <v>0</v>
      </c>
      <c r="G249" s="190">
        <f t="shared" si="151"/>
        <v>0</v>
      </c>
      <c r="H249" s="191">
        <f t="shared" si="151"/>
        <v>0</v>
      </c>
      <c r="I249" s="191">
        <f t="shared" si="151"/>
        <v>0</v>
      </c>
      <c r="J249" s="191">
        <f t="shared" si="151"/>
        <v>0</v>
      </c>
      <c r="K249" s="191">
        <f t="shared" si="151"/>
        <v>0</v>
      </c>
      <c r="L249" s="208">
        <v>3.3937667803175621E-2</v>
      </c>
      <c r="M249" s="208">
        <v>3.3177234568879888E-2</v>
      </c>
      <c r="N249" s="208">
        <v>4.7858902209213905E-2</v>
      </c>
      <c r="O249" s="191">
        <v>5.5569055340630211E-2</v>
      </c>
      <c r="P249" s="191">
        <v>5.581748031578642E-2</v>
      </c>
      <c r="Q249" s="191">
        <v>5.8255030939233239E-2</v>
      </c>
      <c r="R249" s="191">
        <v>6.7288727508470092E-2</v>
      </c>
      <c r="S249" s="191">
        <v>7.4051790103357801E-2</v>
      </c>
      <c r="T249" s="191">
        <v>8.5327612196163263E-2</v>
      </c>
      <c r="U249" s="191">
        <v>9.6453588213873384E-2</v>
      </c>
      <c r="V249" s="191">
        <v>0.10732559113607924</v>
      </c>
      <c r="W249" s="191">
        <v>0.11908941227305106</v>
      </c>
      <c r="X249" s="191">
        <v>0.13190375454106271</v>
      </c>
      <c r="Y249" s="191">
        <v>0.14527114340139186</v>
      </c>
      <c r="Z249" s="191">
        <v>0.15910254799609638</v>
      </c>
      <c r="AA249" s="191">
        <v>0.17441898987888699</v>
      </c>
      <c r="AB249" s="191">
        <v>0.1921794618806503</v>
      </c>
      <c r="AC249" s="191">
        <v>0.21036063899125104</v>
      </c>
      <c r="AD249" s="191">
        <v>0.23095717924814294</v>
      </c>
      <c r="AE249" s="191">
        <v>0.25311403102918578</v>
      </c>
      <c r="AF249" s="191">
        <v>0.27763735465156336</v>
      </c>
      <c r="AG249" s="191">
        <v>0.30464774727078958</v>
      </c>
      <c r="AH249" s="191">
        <v>0.33314851507699644</v>
      </c>
      <c r="AI249" s="191">
        <v>0.36491483591581719</v>
      </c>
      <c r="AJ249" s="191">
        <v>0.39892759370883579</v>
      </c>
      <c r="AK249" s="191">
        <v>0.4381027424895011</v>
      </c>
      <c r="AL249" s="191">
        <v>0.48052731720864467</v>
      </c>
      <c r="AM249" s="191">
        <v>0.52798172032970814</v>
      </c>
      <c r="AN249" s="191">
        <v>0.57811067601918653</v>
      </c>
      <c r="AO249" s="191">
        <v>0.63533777002242309</v>
      </c>
      <c r="AP249" s="191">
        <v>0.69619211287885796</v>
      </c>
      <c r="AQ249" s="191">
        <v>0.76448843596459504</v>
      </c>
      <c r="AR249" s="182"/>
    </row>
    <row r="250" spans="1:75" ht="14.25" customHeight="1" x14ac:dyDescent="0.3">
      <c r="A250" s="995"/>
      <c r="B250" s="185" t="s">
        <v>421</v>
      </c>
      <c r="C250" s="190">
        <f t="shared" ref="C250:N250" si="152">C235*(1-$E$188/100)/1000000</f>
        <v>4.5163800000000004E-3</v>
      </c>
      <c r="D250" s="190">
        <f t="shared" si="152"/>
        <v>4.3431299999999997E-3</v>
      </c>
      <c r="E250" s="190">
        <f t="shared" si="152"/>
        <v>4.8203100000000004E-3</v>
      </c>
      <c r="F250" s="190">
        <f t="shared" si="152"/>
        <v>4.7440800000000003E-3</v>
      </c>
      <c r="G250" s="190">
        <f t="shared" si="152"/>
        <v>4.9826699999999998E-3</v>
      </c>
      <c r="H250" s="191">
        <f t="shared" si="152"/>
        <v>2.5512299999999998E-3</v>
      </c>
      <c r="I250" s="191">
        <f t="shared" si="152"/>
        <v>4.3738199999999996E-3</v>
      </c>
      <c r="J250" s="191">
        <f t="shared" si="152"/>
        <v>4.80942E-3</v>
      </c>
      <c r="K250" s="191">
        <f t="shared" si="152"/>
        <v>4.75101E-3</v>
      </c>
      <c r="L250" s="191">
        <f t="shared" si="152"/>
        <v>3.6936899999999999E-3</v>
      </c>
      <c r="M250" s="191">
        <f t="shared" si="152"/>
        <v>6.3013500000000007E-3</v>
      </c>
      <c r="N250" s="191">
        <f t="shared" si="152"/>
        <v>4.24611E-3</v>
      </c>
      <c r="O250" s="191">
        <v>4.9301657723142935E-3</v>
      </c>
      <c r="P250" s="191">
        <v>4.952206390100496E-3</v>
      </c>
      <c r="Q250" s="191">
        <v>5.1684693547727435E-3</v>
      </c>
      <c r="R250" s="191">
        <v>5.9699517868586497E-3</v>
      </c>
      <c r="S250" s="191">
        <v>6.5699803372262344E-3</v>
      </c>
      <c r="T250" s="191">
        <v>7.5703873406544192E-3</v>
      </c>
      <c r="U250" s="191">
        <v>8.5574997867786853E-3</v>
      </c>
      <c r="V250" s="191">
        <v>9.5220793779737366E-3</v>
      </c>
      <c r="W250" s="191">
        <v>1.0565782351969049E-2</v>
      </c>
      <c r="X250" s="191">
        <v>1.1702689057638355E-2</v>
      </c>
      <c r="Y250" s="191">
        <v>1.2888662845035525E-2</v>
      </c>
      <c r="Z250" s="191">
        <v>1.4115804769580425E-2</v>
      </c>
      <c r="AA250" s="191">
        <v>1.5474701318411319E-2</v>
      </c>
      <c r="AB250" s="191">
        <v>1.7050435701990399E-2</v>
      </c>
      <c r="AC250" s="191">
        <v>1.86634956423045E-2</v>
      </c>
      <c r="AD250" s="191">
        <v>2.0490850042701805E-2</v>
      </c>
      <c r="AE250" s="191">
        <v>2.2456637504869949E-2</v>
      </c>
      <c r="AF250" s="191">
        <v>2.4632381720878449E-2</v>
      </c>
      <c r="AG250" s="191">
        <v>2.7028782242208053E-2</v>
      </c>
      <c r="AH250" s="191">
        <v>2.9557410973819757E-2</v>
      </c>
      <c r="AI250" s="191">
        <v>3.2375764223697624E-2</v>
      </c>
      <c r="AJ250" s="191">
        <v>3.5393424561186722E-2</v>
      </c>
      <c r="AK250" s="191">
        <v>3.8869099583190174E-2</v>
      </c>
      <c r="AL250" s="191">
        <v>4.2633068304687965E-2</v>
      </c>
      <c r="AM250" s="191">
        <v>4.6843290569200891E-2</v>
      </c>
      <c r="AN250" s="191">
        <v>5.1290802948656851E-2</v>
      </c>
      <c r="AO250" s="191">
        <v>5.6368072273720926E-2</v>
      </c>
      <c r="AP250" s="191">
        <v>6.1767156285647766E-2</v>
      </c>
      <c r="AQ250" s="191">
        <v>6.7826503387883402E-2</v>
      </c>
      <c r="AR250" s="182"/>
    </row>
    <row r="251" spans="1:75" ht="14.25" customHeight="1" x14ac:dyDescent="0.3">
      <c r="A251" s="995"/>
      <c r="B251" s="185" t="s">
        <v>458</v>
      </c>
      <c r="C251" s="190">
        <f t="shared" ref="C251:G251" si="153">C236*(1-$E$188/100)/1000000</f>
        <v>0.60588743786999988</v>
      </c>
      <c r="D251" s="190">
        <f t="shared" si="153"/>
        <v>0.56001642246000016</v>
      </c>
      <c r="E251" s="190">
        <f t="shared" si="153"/>
        <v>0.55970084214000004</v>
      </c>
      <c r="F251" s="190">
        <f t="shared" si="153"/>
        <v>0.58545025308000009</v>
      </c>
      <c r="G251" s="190">
        <f t="shared" si="153"/>
        <v>7.8623126999999987E-3</v>
      </c>
      <c r="H251" s="208">
        <v>1.0556057788781665</v>
      </c>
      <c r="I251" s="191">
        <f t="shared" ref="I251:N251" si="154">I236*(1-$E$188/100)/1000000</f>
        <v>0.92697509420999979</v>
      </c>
      <c r="J251" s="191">
        <f t="shared" si="154"/>
        <v>1.11774264921</v>
      </c>
      <c r="K251" s="191">
        <f t="shared" si="154"/>
        <v>1.1163827426399999</v>
      </c>
      <c r="L251" s="191">
        <f t="shared" si="154"/>
        <v>1.1711372280300001</v>
      </c>
      <c r="M251" s="191">
        <f t="shared" si="154"/>
        <v>1.2535868013669</v>
      </c>
      <c r="N251" s="191">
        <f t="shared" si="154"/>
        <v>1.4902693066205999</v>
      </c>
      <c r="O251" s="191">
        <v>1.7303543071261547</v>
      </c>
      <c r="P251" s="191">
        <v>1.7380899654547739</v>
      </c>
      <c r="Q251" s="191">
        <v>1.8139923934205651</v>
      </c>
      <c r="R251" s="191">
        <v>2.0952909627777543</v>
      </c>
      <c r="S251" s="191">
        <v>2.3058846901444179</v>
      </c>
      <c r="T251" s="191">
        <v>2.6570003822337216</v>
      </c>
      <c r="U251" s="191">
        <v>3.0034500457238744</v>
      </c>
      <c r="V251" s="191">
        <v>3.341991289014941</v>
      </c>
      <c r="W251" s="191">
        <v>3.7083026910685506</v>
      </c>
      <c r="X251" s="191">
        <v>4.1073260719866393</v>
      </c>
      <c r="Y251" s="191">
        <v>4.5235706661715724</v>
      </c>
      <c r="Z251" s="191">
        <v>4.9542641585720508</v>
      </c>
      <c r="AA251" s="191">
        <v>5.43119994629195</v>
      </c>
      <c r="AB251" s="191">
        <v>5.9842399257636627</v>
      </c>
      <c r="AC251" s="191">
        <v>6.5503801620715674</v>
      </c>
      <c r="AD251" s="191">
        <v>7.1917319346893729</v>
      </c>
      <c r="AE251" s="191">
        <v>7.8816699528303973</v>
      </c>
      <c r="AF251" s="191">
        <v>8.6452970901807635</v>
      </c>
      <c r="AG251" s="191">
        <v>9.4863685987632334</v>
      </c>
      <c r="AH251" s="191">
        <v>10.3738486184895</v>
      </c>
      <c r="AI251" s="191">
        <v>11.363014076639997</v>
      </c>
      <c r="AJ251" s="191">
        <v>12.422130910345757</v>
      </c>
      <c r="AK251" s="191">
        <v>13.641998460898998</v>
      </c>
      <c r="AL251" s="191">
        <v>14.96304927134153</v>
      </c>
      <c r="AM251" s="191">
        <v>16.44072295733984</v>
      </c>
      <c r="AN251" s="191">
        <v>18.001679030055424</v>
      </c>
      <c r="AO251" s="191">
        <v>19.783662689590688</v>
      </c>
      <c r="AP251" s="191">
        <v>21.678594565317077</v>
      </c>
      <c r="AQ251" s="191">
        <v>23.805260856256844</v>
      </c>
      <c r="AR251" s="182"/>
    </row>
    <row r="252" spans="1:75" ht="14.25" customHeight="1" x14ac:dyDescent="0.3">
      <c r="A252" s="995"/>
      <c r="B252" s="185" t="s">
        <v>423</v>
      </c>
      <c r="C252" s="190">
        <f t="shared" ref="C252:N252" si="155">C237*(1-$E$188/100)/1000000</f>
        <v>6.6963599999999993E-3</v>
      </c>
      <c r="D252" s="190">
        <f t="shared" si="155"/>
        <v>7.3418400000000005E-3</v>
      </c>
      <c r="E252" s="190">
        <f t="shared" si="155"/>
        <v>7.8249600000000006E-3</v>
      </c>
      <c r="F252" s="190">
        <f t="shared" si="155"/>
        <v>8.5140000000000007E-3</v>
      </c>
      <c r="G252" s="190">
        <f t="shared" si="155"/>
        <v>0.79064435043000003</v>
      </c>
      <c r="H252" s="191">
        <f t="shared" si="155"/>
        <v>0.89911865142000014</v>
      </c>
      <c r="I252" s="191">
        <f t="shared" si="155"/>
        <v>8.3397599999999999E-3</v>
      </c>
      <c r="J252" s="191">
        <f t="shared" si="155"/>
        <v>9.5851800000000004E-3</v>
      </c>
      <c r="K252" s="191">
        <f t="shared" si="155"/>
        <v>1.0400940000000001E-2</v>
      </c>
      <c r="L252" s="191">
        <f t="shared" si="155"/>
        <v>1.228491E-2</v>
      </c>
      <c r="M252" s="191">
        <f t="shared" si="155"/>
        <v>9.2446200000000003E-3</v>
      </c>
      <c r="N252" s="191">
        <f t="shared" si="155"/>
        <v>1.3803569999999999E-2</v>
      </c>
      <c r="O252" s="191">
        <v>1.6027349350286359E-2</v>
      </c>
      <c r="P252" s="191">
        <v>1.6099000628857826E-2</v>
      </c>
      <c r="Q252" s="191">
        <v>1.6802044349171451E-2</v>
      </c>
      <c r="R252" s="191">
        <v>1.9407563013329479E-2</v>
      </c>
      <c r="S252" s="191">
        <v>2.1358180424794912E-2</v>
      </c>
      <c r="T252" s="191">
        <v>2.4610377871472269E-2</v>
      </c>
      <c r="U252" s="191">
        <v>2.7819356383085844E-2</v>
      </c>
      <c r="V252" s="191">
        <v>3.0955083415035625E-2</v>
      </c>
      <c r="W252" s="191">
        <v>3.434803062100826E-2</v>
      </c>
      <c r="X252" s="191">
        <v>3.8043971445710319E-2</v>
      </c>
      <c r="Y252" s="191">
        <v>4.1899423186833824E-2</v>
      </c>
      <c r="Z252" s="191">
        <v>4.5888707368211656E-2</v>
      </c>
      <c r="AA252" s="191">
        <v>5.0306309275497542E-2</v>
      </c>
      <c r="AB252" s="191">
        <v>5.5428823733469822E-2</v>
      </c>
      <c r="AC252" s="191">
        <v>6.0672678885673015E-2</v>
      </c>
      <c r="AD252" s="191">
        <v>6.6613178397153458E-2</v>
      </c>
      <c r="AE252" s="191">
        <v>7.3003706395523796E-2</v>
      </c>
      <c r="AF252" s="191">
        <v>8.0076777415296826E-2</v>
      </c>
      <c r="AG252" s="191">
        <v>8.7867174353720379E-2</v>
      </c>
      <c r="AH252" s="191">
        <v>9.6087428586609611E-2</v>
      </c>
      <c r="AI252" s="191">
        <v>0.10524954081860941</v>
      </c>
      <c r="AJ252" s="191">
        <v>0.11505957534544793</v>
      </c>
      <c r="AK252" s="191">
        <v>0.12635855805279095</v>
      </c>
      <c r="AL252" s="191">
        <v>0.13859474734722874</v>
      </c>
      <c r="AM252" s="191">
        <v>0.15228165082918341</v>
      </c>
      <c r="AN252" s="191">
        <v>0.16673995465449337</v>
      </c>
      <c r="AO252" s="191">
        <v>0.1832455191682188</v>
      </c>
      <c r="AP252" s="191">
        <v>0.20079726278638058</v>
      </c>
      <c r="AQ252" s="191">
        <v>0.2204954387356628</v>
      </c>
      <c r="AR252" s="182"/>
    </row>
    <row r="253" spans="1:75" ht="14.25" customHeight="1" x14ac:dyDescent="0.3">
      <c r="A253" s="995"/>
      <c r="B253" s="185" t="s">
        <v>424</v>
      </c>
      <c r="C253" s="190">
        <f t="shared" ref="C253:N253" si="156">C238*(1-$E$188/100)/1000000</f>
        <v>5.0381099999999993E-3</v>
      </c>
      <c r="D253" s="190">
        <f t="shared" si="156"/>
        <v>5.0195217600000003E-3</v>
      </c>
      <c r="E253" s="190">
        <f t="shared" si="156"/>
        <v>6.2149150799999994E-3</v>
      </c>
      <c r="F253" s="190">
        <f t="shared" si="156"/>
        <v>5.3271899999999999E-3</v>
      </c>
      <c r="G253" s="190">
        <f t="shared" si="156"/>
        <v>6.2152200000000005E-3</v>
      </c>
      <c r="H253" s="191">
        <f t="shared" si="156"/>
        <v>6.2726201999999997E-3</v>
      </c>
      <c r="I253" s="191">
        <f t="shared" si="156"/>
        <v>5.9093100000000001E-3</v>
      </c>
      <c r="J253" s="191">
        <f t="shared" si="156"/>
        <v>6.5646899999999998E-3</v>
      </c>
      <c r="K253" s="191">
        <f t="shared" si="156"/>
        <v>6.2166059999999995E-3</v>
      </c>
      <c r="L253" s="191">
        <f t="shared" si="156"/>
        <v>6.4013895000000001E-3</v>
      </c>
      <c r="M253" s="191">
        <f t="shared" si="156"/>
        <v>7.4665801108800001E-3</v>
      </c>
      <c r="N253" s="191">
        <f t="shared" si="156"/>
        <v>8.0476308000000003E-3</v>
      </c>
      <c r="O253" s="191">
        <v>9.3441182443182811E-3</v>
      </c>
      <c r="P253" s="191">
        <v>9.3858917156949689E-3</v>
      </c>
      <c r="Q253" s="191">
        <v>9.7957738184656674E-3</v>
      </c>
      <c r="R253" s="191">
        <v>1.1314819416934253E-2</v>
      </c>
      <c r="S253" s="191">
        <v>1.2452050492628836E-2</v>
      </c>
      <c r="T253" s="191">
        <v>1.4348116824712641E-2</v>
      </c>
      <c r="U253" s="191">
        <v>1.6218986049601532E-2</v>
      </c>
      <c r="V253" s="191">
        <v>1.8047148868547039E-2</v>
      </c>
      <c r="W253" s="191">
        <v>2.0025273834592731E-2</v>
      </c>
      <c r="X253" s="191">
        <v>2.2180047361720114E-2</v>
      </c>
      <c r="Y253" s="191">
        <v>2.4427817480593649E-2</v>
      </c>
      <c r="Z253" s="191">
        <v>2.6753613361514963E-2</v>
      </c>
      <c r="AA253" s="191">
        <v>2.9329123115239008E-2</v>
      </c>
      <c r="AB253" s="191">
        <v>3.231560452008015E-2</v>
      </c>
      <c r="AC253" s="191">
        <v>3.5372828863754223E-2</v>
      </c>
      <c r="AD253" s="191">
        <v>3.8836204413410937E-2</v>
      </c>
      <c r="AE253" s="191">
        <v>4.2561951444646154E-2</v>
      </c>
      <c r="AF253" s="191">
        <v>4.6685628449168376E-2</v>
      </c>
      <c r="AG253" s="191">
        <v>5.1227514232765163E-2</v>
      </c>
      <c r="AH253" s="191">
        <v>5.6020011474307012E-2</v>
      </c>
      <c r="AI253" s="191">
        <v>6.136162212947073E-2</v>
      </c>
      <c r="AJ253" s="191">
        <v>6.7080978499398883E-2</v>
      </c>
      <c r="AK253" s="191">
        <v>7.3668407783582676E-2</v>
      </c>
      <c r="AL253" s="191">
        <v>8.0802238657809264E-2</v>
      </c>
      <c r="AM253" s="191">
        <v>8.8781851614312957E-2</v>
      </c>
      <c r="AN253" s="191">
        <v>9.7211199325109673E-2</v>
      </c>
      <c r="AO253" s="191">
        <v>0.10683412218869089</v>
      </c>
      <c r="AP253" s="191">
        <v>0.11706697880007635</v>
      </c>
      <c r="AQ253" s="191">
        <v>0.12855122870595309</v>
      </c>
      <c r="AR253" s="182"/>
    </row>
    <row r="254" spans="1:75" ht="14.25" customHeight="1" x14ac:dyDescent="0.3">
      <c r="A254" s="995"/>
      <c r="B254" s="185" t="s">
        <v>425</v>
      </c>
      <c r="C254" s="190">
        <f t="shared" ref="C254:N254" si="157">C239*(1-$E$188/100)/1000000</f>
        <v>5.3315203590000006E-2</v>
      </c>
      <c r="D254" s="190">
        <f t="shared" si="157"/>
        <v>6.333227999999998E-3</v>
      </c>
      <c r="E254" s="190">
        <f t="shared" si="157"/>
        <v>2.2599561600000003E-3</v>
      </c>
      <c r="F254" s="190">
        <f t="shared" si="157"/>
        <v>5.1322490999999989E-4</v>
      </c>
      <c r="G254" s="190">
        <f t="shared" si="157"/>
        <v>1.3330548000000002E-4</v>
      </c>
      <c r="H254" s="191">
        <f t="shared" si="157"/>
        <v>2.0031659999999993E-4</v>
      </c>
      <c r="I254" s="191">
        <f t="shared" si="157"/>
        <v>4.7968073999999988E-4</v>
      </c>
      <c r="J254" s="191">
        <f t="shared" si="157"/>
        <v>3.3675006816000002E-4</v>
      </c>
      <c r="K254" s="191">
        <f t="shared" si="157"/>
        <v>1.75655217375E-3</v>
      </c>
      <c r="L254" s="191">
        <f t="shared" si="157"/>
        <v>3.0912361919999999E-4</v>
      </c>
      <c r="M254" s="191">
        <f t="shared" si="157"/>
        <v>2.8502965556999999E-4</v>
      </c>
      <c r="N254" s="191">
        <f t="shared" si="157"/>
        <v>3.5763463197E-4</v>
      </c>
      <c r="O254" s="191">
        <v>4.1525019877787273E-4</v>
      </c>
      <c r="P254" s="191">
        <v>4.1710660104497365E-4</v>
      </c>
      <c r="Q254" s="191">
        <v>4.353216557136705E-4</v>
      </c>
      <c r="R254" s="191">
        <v>5.0282764934771759E-4</v>
      </c>
      <c r="S254" s="191">
        <v>5.5336590431101431E-4</v>
      </c>
      <c r="T254" s="191">
        <v>6.3762660186506958E-4</v>
      </c>
      <c r="U254" s="191">
        <v>7.2076754649030492E-4</v>
      </c>
      <c r="V254" s="191">
        <v>8.0201062947751333E-4</v>
      </c>
      <c r="W254" s="191">
        <v>8.8991799150789125E-4</v>
      </c>
      <c r="X254" s="191">
        <v>9.8567556991878197E-4</v>
      </c>
      <c r="Y254" s="191">
        <v>1.0855658928218281E-3</v>
      </c>
      <c r="Z254" s="191">
        <v>1.1889236604160668E-3</v>
      </c>
      <c r="AA254" s="191">
        <v>1.3033786479520562E-3</v>
      </c>
      <c r="AB254" s="191">
        <v>1.4360971094035445E-3</v>
      </c>
      <c r="AC254" s="191">
        <v>1.5719593687655918E-3</v>
      </c>
      <c r="AD254" s="191">
        <v>1.7258708827077294E-3</v>
      </c>
      <c r="AE254" s="191">
        <v>1.8914421174528828E-3</v>
      </c>
      <c r="AF254" s="191">
        <v>2.0746972573228006E-3</v>
      </c>
      <c r="AG254" s="191">
        <v>2.2765374872034273E-3</v>
      </c>
      <c r="AH254" s="191">
        <v>2.489514825477452E-3</v>
      </c>
      <c r="AI254" s="191">
        <v>2.7268946218749839E-3</v>
      </c>
      <c r="AJ254" s="191">
        <v>2.9810613401673454E-3</v>
      </c>
      <c r="AK254" s="191">
        <v>3.2738049943217425E-3</v>
      </c>
      <c r="AL254" s="191">
        <v>3.5908305938609571E-3</v>
      </c>
      <c r="AM254" s="191">
        <v>3.9454425304525616E-3</v>
      </c>
      <c r="AN254" s="191">
        <v>4.3200405632422799E-3</v>
      </c>
      <c r="AO254" s="191">
        <v>4.7476807672129397E-3</v>
      </c>
      <c r="AP254" s="191">
        <v>5.2024262692325681E-3</v>
      </c>
      <c r="AQ254" s="191">
        <v>5.7127833657012253E-3</v>
      </c>
      <c r="AR254" s="182"/>
    </row>
    <row r="255" spans="1:75" ht="14.25" customHeight="1" x14ac:dyDescent="0.3">
      <c r="A255" s="995"/>
      <c r="B255" s="185" t="s">
        <v>426</v>
      </c>
      <c r="C255" s="190">
        <v>3.0000000000000001E-6</v>
      </c>
      <c r="D255" s="190">
        <v>3.0000000000000001E-6</v>
      </c>
      <c r="E255" s="190">
        <v>5.0000000000000004E-6</v>
      </c>
      <c r="F255" s="190">
        <v>3.9999999999999998E-6</v>
      </c>
      <c r="G255" s="190">
        <v>9.0000000000000002E-6</v>
      </c>
      <c r="H255" s="191">
        <v>0</v>
      </c>
      <c r="I255" s="191">
        <v>9.9999999999999995E-7</v>
      </c>
      <c r="J255" s="191">
        <v>0</v>
      </c>
      <c r="K255" s="191">
        <v>1.0000000000000001E-5</v>
      </c>
      <c r="L255" s="191">
        <v>6.4999999999999994E-5</v>
      </c>
      <c r="M255" s="191">
        <v>1.5999999999999999E-5</v>
      </c>
      <c r="N255" s="191">
        <v>4.3000000000000002E-5</v>
      </c>
      <c r="O255" s="191">
        <v>4.9927375458835177E-5</v>
      </c>
      <c r="P255" s="191">
        <v>5.0150578947394521E-5</v>
      </c>
      <c r="Q255" s="191">
        <v>5.234065586035877E-5</v>
      </c>
      <c r="R255" s="191">
        <v>6.0457201258309823E-5</v>
      </c>
      <c r="S255" s="191">
        <v>6.6533640084860747E-5</v>
      </c>
      <c r="T255" s="191">
        <v>7.6664677940076916E-5</v>
      </c>
      <c r="U255" s="191">
        <v>8.6661082928017266E-5</v>
      </c>
      <c r="V255" s="191">
        <v>9.6429299583117395E-5</v>
      </c>
      <c r="W255" s="191">
        <v>1.0699879210257602E-4</v>
      </c>
      <c r="X255" s="191">
        <v>1.185121509990201E-4</v>
      </c>
      <c r="Y255" s="191">
        <v>1.3052240811861385E-4</v>
      </c>
      <c r="Z255" s="191">
        <v>1.429495715117974E-4</v>
      </c>
      <c r="AA255" s="191">
        <v>1.5671100293955796E-4</v>
      </c>
      <c r="AB255" s="191">
        <v>1.7266833294134795E-4</v>
      </c>
      <c r="AC255" s="191">
        <v>1.8900365572702854E-4</v>
      </c>
      <c r="AD255" s="191">
        <v>2.075091205447285E-4</v>
      </c>
      <c r="AE255" s="191">
        <v>2.2741648537353182E-4</v>
      </c>
      <c r="AF255" s="191">
        <v>2.494500646468821E-4</v>
      </c>
      <c r="AG255" s="191">
        <v>2.7371821182563461E-4</v>
      </c>
      <c r="AH255" s="191">
        <v>2.9932542300464387E-4</v>
      </c>
      <c r="AI255" s="191">
        <v>3.2786665009125921E-4</v>
      </c>
      <c r="AJ255" s="191">
        <v>3.584262433453273E-4</v>
      </c>
      <c r="AK255" s="191">
        <v>3.9362411291209512E-4</v>
      </c>
      <c r="AL255" s="191">
        <v>4.3174150860471848E-4</v>
      </c>
      <c r="AM255" s="191">
        <v>4.7437807651606688E-4</v>
      </c>
      <c r="AN255" s="191">
        <v>5.1941766152837374E-4</v>
      </c>
      <c r="AO255" s="191">
        <v>5.7083474233357069E-4</v>
      </c>
      <c r="AP255" s="191">
        <v>6.255108134934921E-4</v>
      </c>
      <c r="AQ255" s="191">
        <v>6.8687331361622376E-4</v>
      </c>
      <c r="AR255" s="182"/>
    </row>
    <row r="256" spans="1:75" ht="13.5" customHeight="1" x14ac:dyDescent="0.3">
      <c r="A256" s="324"/>
      <c r="B256" s="179" t="s">
        <v>427</v>
      </c>
      <c r="C256" s="195"/>
      <c r="D256" s="195"/>
      <c r="E256" s="195"/>
      <c r="F256" s="195"/>
      <c r="G256" s="195"/>
      <c r="H256" s="196">
        <f t="shared" ref="H256:AQ256" si="158">SUM(H242:H255)</f>
        <v>2.0703806427418621</v>
      </c>
      <c r="I256" s="196">
        <f t="shared" si="158"/>
        <v>1.0688053589577284</v>
      </c>
      <c r="J256" s="196">
        <f t="shared" si="158"/>
        <v>1.3016810024127177</v>
      </c>
      <c r="K256" s="196">
        <f t="shared" si="158"/>
        <v>1.2537675051253399</v>
      </c>
      <c r="L256" s="196">
        <f t="shared" si="158"/>
        <v>1.3081233212734358</v>
      </c>
      <c r="M256" s="196">
        <f t="shared" si="158"/>
        <v>1.4002071376545699</v>
      </c>
      <c r="N256" s="196">
        <f t="shared" si="158"/>
        <v>1.6839062303413503</v>
      </c>
      <c r="O256" s="196">
        <f t="shared" si="158"/>
        <v>1.9551864790633577</v>
      </c>
      <c r="P256" s="196">
        <f t="shared" si="158"/>
        <v>1.9639272638312413</v>
      </c>
      <c r="Q256" s="196">
        <f t="shared" si="158"/>
        <v>2.0496920117072244</v>
      </c>
      <c r="R256" s="196">
        <f t="shared" si="158"/>
        <v>2.3675408806481122</v>
      </c>
      <c r="S256" s="196">
        <f t="shared" si="158"/>
        <v>2.6054979317717675</v>
      </c>
      <c r="T256" s="196">
        <f t="shared" si="158"/>
        <v>3.0022355541955492</v>
      </c>
      <c r="U256" s="196">
        <f t="shared" si="158"/>
        <v>3.3937008714096901</v>
      </c>
      <c r="V256" s="196">
        <f t="shared" si="158"/>
        <v>3.7762301943131154</v>
      </c>
      <c r="W256" s="196">
        <f t="shared" si="158"/>
        <v>4.1901379688494567</v>
      </c>
      <c r="X256" s="196">
        <f t="shared" si="158"/>
        <v>4.6410081264745315</v>
      </c>
      <c r="Y256" s="196">
        <f t="shared" si="158"/>
        <v>5.1113371216300072</v>
      </c>
      <c r="Z256" s="196">
        <f t="shared" si="158"/>
        <v>5.5979924207753955</v>
      </c>
      <c r="AA256" s="196">
        <f t="shared" si="158"/>
        <v>6.1368984700689149</v>
      </c>
      <c r="AB256" s="196">
        <f t="shared" si="158"/>
        <v>6.761797247036986</v>
      </c>
      <c r="AC256" s="196">
        <f t="shared" si="158"/>
        <v>7.4014984520008147</v>
      </c>
      <c r="AD256" s="196">
        <f t="shared" si="158"/>
        <v>8.1261837427423878</v>
      </c>
      <c r="AE256" s="196">
        <f t="shared" si="158"/>
        <v>8.9057682930889026</v>
      </c>
      <c r="AF256" s="196">
        <f t="shared" si="158"/>
        <v>9.7686166980915665</v>
      </c>
      <c r="AG256" s="196">
        <f t="shared" si="158"/>
        <v>10.718972145373945</v>
      </c>
      <c r="AH256" s="196">
        <f t="shared" si="158"/>
        <v>11.721766155746048</v>
      </c>
      <c r="AI256" s="196">
        <f t="shared" si="158"/>
        <v>12.839458018833001</v>
      </c>
      <c r="AJ256" s="196">
        <f t="shared" si="158"/>
        <v>14.036190332256787</v>
      </c>
      <c r="AK256" s="196">
        <f t="shared" si="158"/>
        <v>15.414560375471265</v>
      </c>
      <c r="AL256" s="196">
        <f t="shared" si="158"/>
        <v>16.907260842708361</v>
      </c>
      <c r="AM256" s="196">
        <f t="shared" si="158"/>
        <v>18.576934850761653</v>
      </c>
      <c r="AN256" s="196">
        <f t="shared" si="158"/>
        <v>20.340712474347988</v>
      </c>
      <c r="AO256" s="196">
        <f t="shared" si="158"/>
        <v>22.354236723506961</v>
      </c>
      <c r="AP256" s="196">
        <f t="shared" si="158"/>
        <v>24.495385022966932</v>
      </c>
      <c r="AQ256" s="196">
        <f t="shared" si="158"/>
        <v>26.898377959385304</v>
      </c>
      <c r="AR256" s="197"/>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row>
    <row r="257" spans="1:47" ht="14.25" customHeight="1" x14ac:dyDescent="0.3">
      <c r="A257" s="98"/>
      <c r="B257" s="200"/>
      <c r="C257" s="200"/>
      <c r="D257" s="200"/>
      <c r="E257" s="200"/>
      <c r="F257" s="200"/>
      <c r="G257" s="200"/>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52"/>
    </row>
    <row r="258" spans="1:47" ht="14.25" customHeight="1" x14ac:dyDescent="0.3">
      <c r="A258" s="95"/>
      <c r="B258" s="45"/>
      <c r="C258" s="45"/>
      <c r="D258" s="45"/>
      <c r="E258" s="45"/>
      <c r="F258" s="45"/>
      <c r="G258" s="45"/>
      <c r="H258" s="944"/>
      <c r="I258" s="944"/>
      <c r="J258" s="944"/>
      <c r="K258" s="944"/>
      <c r="L258" s="944"/>
      <c r="M258" s="944"/>
      <c r="N258" s="944"/>
      <c r="O258" s="944"/>
      <c r="P258" s="944"/>
      <c r="Q258" s="944"/>
      <c r="R258" s="944"/>
      <c r="S258" s="944"/>
      <c r="T258" s="944"/>
      <c r="U258" s="944"/>
      <c r="V258" s="944"/>
      <c r="W258" s="944"/>
      <c r="X258" s="944"/>
      <c r="Y258" s="944"/>
      <c r="Z258" s="944"/>
      <c r="AA258" s="944"/>
      <c r="AB258" s="944"/>
      <c r="AC258" s="944"/>
      <c r="AD258" s="944"/>
      <c r="AE258" s="944"/>
      <c r="AF258" s="944"/>
      <c r="AG258" s="944"/>
      <c r="AH258" s="944"/>
      <c r="AI258" s="944"/>
      <c r="AJ258" s="944"/>
      <c r="AK258" s="944"/>
      <c r="AL258" s="944"/>
      <c r="AM258" s="944"/>
      <c r="AN258" s="944"/>
      <c r="AO258" s="944"/>
      <c r="AP258" s="944"/>
      <c r="AQ258" s="944"/>
      <c r="AR258" s="45"/>
    </row>
    <row r="259" spans="1:47" ht="15.75" customHeight="1" x14ac:dyDescent="0.3">
      <c r="A259" s="96"/>
      <c r="B259" s="44" t="s">
        <v>509</v>
      </c>
      <c r="C259" s="44"/>
      <c r="D259" s="45"/>
      <c r="E259" s="45"/>
      <c r="F259" s="45"/>
      <c r="G259" s="45"/>
      <c r="H259" s="944"/>
      <c r="I259" s="944"/>
      <c r="J259" s="944"/>
      <c r="K259" s="944"/>
      <c r="L259" s="944"/>
      <c r="M259" s="944"/>
      <c r="N259" s="944"/>
      <c r="O259" s="944"/>
      <c r="P259" s="944"/>
      <c r="Q259" s="944"/>
      <c r="R259" s="944"/>
      <c r="S259" s="944"/>
      <c r="T259" s="944"/>
      <c r="U259" s="944"/>
      <c r="V259" s="944"/>
      <c r="W259" s="944"/>
      <c r="X259" s="944"/>
      <c r="Y259" s="944"/>
      <c r="Z259" s="944"/>
      <c r="AA259" s="944"/>
      <c r="AB259" s="944"/>
      <c r="AC259" s="944"/>
      <c r="AD259" s="944"/>
      <c r="AE259" s="944"/>
      <c r="AF259" s="944"/>
      <c r="AG259" s="944"/>
      <c r="AH259" s="944"/>
      <c r="AI259" s="944"/>
      <c r="AJ259" s="944"/>
      <c r="AK259" s="944"/>
      <c r="AL259" s="944"/>
      <c r="AM259" s="944"/>
      <c r="AN259" s="944"/>
      <c r="AO259" s="944"/>
      <c r="AP259" s="944"/>
      <c r="AQ259" s="944"/>
      <c r="AR259" s="45"/>
      <c r="AS259" s="45"/>
      <c r="AT259" s="45"/>
      <c r="AU259" s="45"/>
    </row>
    <row r="260" spans="1:47" ht="14.25" customHeight="1" x14ac:dyDescent="0.3">
      <c r="A260" s="95"/>
      <c r="B260" s="45"/>
      <c r="C260" s="45"/>
      <c r="D260" s="45"/>
      <c r="E260" s="45"/>
      <c r="F260" s="45"/>
      <c r="G260" s="45"/>
      <c r="H260" s="944"/>
      <c r="I260" s="944"/>
      <c r="J260" s="944"/>
      <c r="K260" s="944"/>
      <c r="L260" s="944"/>
      <c r="M260" s="944"/>
      <c r="N260" s="944"/>
      <c r="O260" s="944"/>
      <c r="P260" s="944"/>
      <c r="Q260" s="944"/>
      <c r="R260" s="944"/>
      <c r="S260" s="944"/>
      <c r="T260" s="944"/>
      <c r="U260" s="944"/>
      <c r="V260" s="944"/>
      <c r="W260" s="944"/>
      <c r="X260" s="944"/>
      <c r="Y260" s="944"/>
      <c r="Z260" s="944"/>
      <c r="AA260" s="944"/>
      <c r="AB260" s="944"/>
      <c r="AC260" s="944"/>
      <c r="AD260" s="944"/>
      <c r="AE260" s="944"/>
      <c r="AF260" s="944"/>
      <c r="AG260" s="944"/>
      <c r="AH260" s="944"/>
      <c r="AI260" s="944"/>
      <c r="AJ260" s="944"/>
      <c r="AK260" s="944"/>
      <c r="AL260" s="944"/>
      <c r="AM260" s="944"/>
      <c r="AN260" s="944"/>
      <c r="AO260" s="944"/>
      <c r="AP260" s="944"/>
      <c r="AQ260" s="944"/>
      <c r="AR260" s="45"/>
    </row>
    <row r="261" spans="1:47" ht="14.25" customHeight="1" x14ac:dyDescent="0.3">
      <c r="A261" s="97"/>
      <c r="B261" s="175"/>
      <c r="C261" s="175"/>
      <c r="D261" s="175"/>
      <c r="E261" s="175"/>
      <c r="F261" s="175"/>
      <c r="G261" s="175"/>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47"/>
    </row>
    <row r="262" spans="1:47" ht="14.25" customHeight="1" x14ac:dyDescent="0.3">
      <c r="A262" s="324"/>
      <c r="B262" s="184" t="s">
        <v>511</v>
      </c>
      <c r="C262" s="179"/>
      <c r="D262" s="179"/>
      <c r="E262" s="179"/>
      <c r="F262" s="179"/>
      <c r="G262" s="179"/>
      <c r="H262" s="180"/>
      <c r="I262" s="181"/>
      <c r="J262" s="181"/>
      <c r="K262" s="181"/>
      <c r="L262" s="181"/>
      <c r="M262" s="181"/>
      <c r="N262" s="181"/>
      <c r="O262" s="181"/>
      <c r="P262" s="181"/>
      <c r="Q262" s="181"/>
      <c r="R262" s="181"/>
      <c r="S262" s="181"/>
      <c r="T262" s="181"/>
      <c r="U262" s="181"/>
      <c r="V262" s="181"/>
      <c r="W262" s="181"/>
      <c r="X262" s="181"/>
      <c r="Y262" s="181"/>
      <c r="Z262" s="181"/>
      <c r="AA262" s="181"/>
      <c r="AB262" s="181"/>
      <c r="AC262" s="181"/>
      <c r="AD262" s="181"/>
      <c r="AE262" s="181"/>
      <c r="AF262" s="181"/>
      <c r="AG262" s="181"/>
      <c r="AH262" s="181"/>
      <c r="AI262" s="181"/>
      <c r="AJ262" s="181"/>
      <c r="AK262" s="181"/>
      <c r="AL262" s="181"/>
      <c r="AM262" s="181"/>
      <c r="AN262" s="181"/>
      <c r="AO262" s="181"/>
      <c r="AP262" s="181"/>
      <c r="AQ262" s="181"/>
      <c r="AR262" s="182"/>
    </row>
    <row r="263" spans="1:47" ht="14.25" customHeight="1" x14ac:dyDescent="0.3">
      <c r="A263" s="324" t="s">
        <v>833</v>
      </c>
      <c r="B263" s="185" t="s">
        <v>513</v>
      </c>
      <c r="C263" s="186">
        <v>393137</v>
      </c>
      <c r="D263" s="186">
        <v>329957</v>
      </c>
      <c r="E263" s="186">
        <v>371170</v>
      </c>
      <c r="F263" s="186">
        <v>396770</v>
      </c>
      <c r="G263" s="186">
        <v>354136</v>
      </c>
      <c r="H263" s="191">
        <v>0.37511699999999998</v>
      </c>
      <c r="I263" s="191">
        <v>0.36619400000000002</v>
      </c>
      <c r="J263" s="191">
        <v>0.35809999999999997</v>
      </c>
      <c r="K263" s="191">
        <v>0.29829800000000001</v>
      </c>
      <c r="L263" s="191">
        <v>0.25727299999999997</v>
      </c>
      <c r="M263" s="191">
        <v>0.31287599999999999</v>
      </c>
      <c r="N263" s="191">
        <v>0.340281</v>
      </c>
      <c r="O263" s="325">
        <v>0.34304457354460055</v>
      </c>
      <c r="P263" s="325">
        <v>0.34134529398127594</v>
      </c>
      <c r="Q263" s="325">
        <v>0.36214509244286475</v>
      </c>
      <c r="R263" s="325">
        <v>0.36277029076194584</v>
      </c>
      <c r="S263" s="325">
        <v>0.38454328564982726</v>
      </c>
      <c r="T263" s="325">
        <v>0.39410448399031489</v>
      </c>
      <c r="U263" s="325">
        <v>0.40409687737375111</v>
      </c>
      <c r="V263" s="325">
        <v>0.41299466558914855</v>
      </c>
      <c r="W263" s="325">
        <v>0.42339861229730236</v>
      </c>
      <c r="X263" s="325">
        <v>0.43320746537353155</v>
      </c>
      <c r="Y263" s="325">
        <v>0.44357600061669406</v>
      </c>
      <c r="Z263" s="325">
        <v>0.45508049399809875</v>
      </c>
      <c r="AA263" s="325">
        <v>0.46647737207580281</v>
      </c>
      <c r="AB263" s="325">
        <v>0.47829301396634277</v>
      </c>
      <c r="AC263" s="325">
        <v>0.48889944519485323</v>
      </c>
      <c r="AD263" s="325">
        <v>0.4995064469729712</v>
      </c>
      <c r="AE263" s="325">
        <v>0.51108274054617819</v>
      </c>
      <c r="AF263" s="325">
        <v>0.52263060265195793</v>
      </c>
      <c r="AG263" s="325">
        <v>0.53530794903306023</v>
      </c>
      <c r="AH263" s="325">
        <v>0.54720440135342208</v>
      </c>
      <c r="AI263" s="325">
        <v>0.55955655226982859</v>
      </c>
      <c r="AJ263" s="325">
        <v>0.57140387706372986</v>
      </c>
      <c r="AK263" s="325">
        <v>0.58343829693877491</v>
      </c>
      <c r="AL263" s="325">
        <v>0.59498165452700458</v>
      </c>
      <c r="AM263" s="325">
        <v>0.60752554244315948</v>
      </c>
      <c r="AN263" s="325">
        <v>0.61953033922127665</v>
      </c>
      <c r="AO263" s="325">
        <v>0.63232153778175981</v>
      </c>
      <c r="AP263" s="325">
        <v>0.64465987190596252</v>
      </c>
      <c r="AQ263" s="325">
        <v>0.65707046289251936</v>
      </c>
      <c r="AR263" s="182"/>
    </row>
    <row r="264" spans="1:47" ht="14.25" customHeight="1" x14ac:dyDescent="0.3">
      <c r="A264" s="324" t="s">
        <v>834</v>
      </c>
      <c r="B264" s="185" t="s">
        <v>513</v>
      </c>
      <c r="C264" s="190">
        <v>0.39313700000000001</v>
      </c>
      <c r="D264" s="190">
        <v>0.329957</v>
      </c>
      <c r="E264" s="190">
        <v>0.37117</v>
      </c>
      <c r="F264" s="190">
        <v>0.39677000000000001</v>
      </c>
      <c r="G264" s="190">
        <v>0.35413600000000001</v>
      </c>
      <c r="H264" s="191">
        <v>0.37511699999999998</v>
      </c>
      <c r="I264" s="191">
        <v>0.36619400000000002</v>
      </c>
      <c r="J264" s="191">
        <v>0.35809999999999997</v>
      </c>
      <c r="K264" s="191">
        <v>0.29829800000000001</v>
      </c>
      <c r="L264" s="191">
        <v>0.25727299999999997</v>
      </c>
      <c r="M264" s="191">
        <v>0.31287599999999999</v>
      </c>
      <c r="N264" s="191">
        <v>0.340281</v>
      </c>
      <c r="O264" s="191">
        <v>0.349468587</v>
      </c>
      <c r="P264" s="191">
        <v>0.36030211319699995</v>
      </c>
      <c r="Q264" s="191">
        <v>0.37111117659290999</v>
      </c>
      <c r="R264" s="191">
        <v>0.38113117836091853</v>
      </c>
      <c r="S264" s="191">
        <v>0.3898971954632196</v>
      </c>
      <c r="T264" s="191">
        <v>0.40231472943836849</v>
      </c>
      <c r="U264" s="191">
        <v>0.4137653004970418</v>
      </c>
      <c r="V264" s="191">
        <v>0.42285149219411333</v>
      </c>
      <c r="W264" s="191">
        <v>0.43292399409092353</v>
      </c>
      <c r="X264" s="191">
        <v>0.44663824814693881</v>
      </c>
      <c r="Y264" s="191">
        <v>0.4576561987881721</v>
      </c>
      <c r="Z264" s="191">
        <v>0.47088902223109091</v>
      </c>
      <c r="AA264" s="191">
        <v>0.48203334538241377</v>
      </c>
      <c r="AB264" s="191">
        <v>0.49343081339176748</v>
      </c>
      <c r="AC264" s="191">
        <v>0.5060319840821238</v>
      </c>
      <c r="AD264" s="191">
        <v>0.5175144816359033</v>
      </c>
      <c r="AE264" s="191">
        <v>0.52963828779061017</v>
      </c>
      <c r="AF264" s="191">
        <v>0.54299096568678806</v>
      </c>
      <c r="AG264" s="191">
        <v>0.55532481330329841</v>
      </c>
      <c r="AH264" s="191">
        <v>0.56800051771210158</v>
      </c>
      <c r="AI264" s="191">
        <v>0.58065608560578597</v>
      </c>
      <c r="AJ264" s="191">
        <v>0.5908134018983896</v>
      </c>
      <c r="AK264" s="191">
        <v>0.60376191984412719</v>
      </c>
      <c r="AL264" s="191">
        <v>0.61498626228771258</v>
      </c>
      <c r="AM264" s="191">
        <v>0.62904563991377738</v>
      </c>
      <c r="AN264" s="191">
        <v>0.64063912680229773</v>
      </c>
      <c r="AO264" s="191">
        <v>0.65211926567159606</v>
      </c>
      <c r="AP264" s="191">
        <v>0.664022459105718</v>
      </c>
      <c r="AQ264" s="191">
        <v>0.67601460360792731</v>
      </c>
      <c r="AR264" s="182"/>
    </row>
    <row r="265" spans="1:47" ht="14.25" customHeight="1" x14ac:dyDescent="0.3">
      <c r="A265" s="324" t="s">
        <v>835</v>
      </c>
      <c r="B265" s="185" t="s">
        <v>513</v>
      </c>
      <c r="C265" s="190">
        <v>0.39313700000000001</v>
      </c>
      <c r="D265" s="190">
        <v>0.329957</v>
      </c>
      <c r="E265" s="190">
        <v>0.37117</v>
      </c>
      <c r="F265" s="190">
        <v>0.39677000000000001</v>
      </c>
      <c r="G265" s="190">
        <v>0.35413600000000001</v>
      </c>
      <c r="H265" s="191">
        <v>0.37511699999999998</v>
      </c>
      <c r="I265" s="191">
        <v>0.36619400000000002</v>
      </c>
      <c r="J265" s="191">
        <v>0.35809999999999997</v>
      </c>
      <c r="K265" s="191">
        <v>0.29829800000000001</v>
      </c>
      <c r="L265" s="191">
        <v>0.25727299999999997</v>
      </c>
      <c r="M265" s="191">
        <v>0.31287599999999999</v>
      </c>
      <c r="N265" s="191">
        <v>0.340281</v>
      </c>
      <c r="O265" s="191">
        <v>0.34485548534181515</v>
      </c>
      <c r="P265" s="191">
        <v>0.34939096099238387</v>
      </c>
      <c r="Q265" s="191">
        <v>0.35388472406892196</v>
      </c>
      <c r="R265" s="191">
        <v>0.35833593111864581</v>
      </c>
      <c r="S265" s="191">
        <v>0.36273959810237888</v>
      </c>
      <c r="T265" s="191">
        <v>0.36709405728393524</v>
      </c>
      <c r="U265" s="191">
        <v>0.37139618405413882</v>
      </c>
      <c r="V265" s="191">
        <v>0.37564536499278345</v>
      </c>
      <c r="W265" s="191">
        <v>0.37983682692388848</v>
      </c>
      <c r="X265" s="191">
        <v>0.38396832702982453</v>
      </c>
      <c r="Y265" s="191">
        <v>0.38803697073399296</v>
      </c>
      <c r="Z265" s="191">
        <v>0.39203940339464038</v>
      </c>
      <c r="AA265" s="191">
        <v>0.39597397644496235</v>
      </c>
      <c r="AB265" s="191">
        <v>0.39983781447774164</v>
      </c>
      <c r="AC265" s="191">
        <v>0.40362923058741085</v>
      </c>
      <c r="AD265" s="191">
        <v>0.40734498514850526</v>
      </c>
      <c r="AE265" s="191">
        <v>0.41098379381246791</v>
      </c>
      <c r="AF265" s="191">
        <v>0.41454326040661776</v>
      </c>
      <c r="AG265" s="191">
        <v>0.41802171719476883</v>
      </c>
      <c r="AH265" s="191">
        <v>0.42141872328114782</v>
      </c>
      <c r="AI265" s="191">
        <v>0.42473310933348646</v>
      </c>
      <c r="AJ265" s="191">
        <v>0.42796282422796977</v>
      </c>
      <c r="AK265" s="191">
        <v>0.43110744623820596</v>
      </c>
      <c r="AL265" s="191">
        <v>0.43416492424038011</v>
      </c>
      <c r="AM265" s="191">
        <v>0.43713474066119312</v>
      </c>
      <c r="AN265" s="191">
        <v>0.44001737473518121</v>
      </c>
      <c r="AO265" s="191">
        <v>0.44281035361213744</v>
      </c>
      <c r="AP265" s="191">
        <v>0.44551442489793847</v>
      </c>
      <c r="AQ265" s="191">
        <v>0.44813052789227514</v>
      </c>
      <c r="AR265" s="182"/>
    </row>
    <row r="266" spans="1:47" ht="14.25" customHeight="1" x14ac:dyDescent="0.3">
      <c r="A266" s="324"/>
      <c r="B266" s="184" t="s">
        <v>520</v>
      </c>
      <c r="C266" s="195"/>
      <c r="D266" s="195"/>
      <c r="E266" s="195"/>
      <c r="F266" s="195"/>
      <c r="G266" s="195"/>
      <c r="H266" s="196"/>
      <c r="I266" s="191"/>
      <c r="J266" s="191"/>
      <c r="K266" s="191"/>
      <c r="L266" s="191"/>
      <c r="M266" s="191"/>
      <c r="N266" s="191"/>
      <c r="O266" s="181"/>
      <c r="P266" s="181"/>
      <c r="Q266" s="181"/>
      <c r="R266" s="181"/>
      <c r="S266" s="181"/>
      <c r="T266" s="181"/>
      <c r="U266" s="181"/>
      <c r="V266" s="181"/>
      <c r="W266" s="181"/>
      <c r="X266" s="181"/>
      <c r="Y266" s="181"/>
      <c r="Z266" s="181"/>
      <c r="AA266" s="181"/>
      <c r="AB266" s="181"/>
      <c r="AC266" s="181"/>
      <c r="AD266" s="181"/>
      <c r="AE266" s="181"/>
      <c r="AF266" s="181"/>
      <c r="AG266" s="181"/>
      <c r="AH266" s="181"/>
      <c r="AI266" s="181"/>
      <c r="AJ266" s="181"/>
      <c r="AK266" s="181"/>
      <c r="AL266" s="181"/>
      <c r="AM266" s="181"/>
      <c r="AN266" s="181"/>
      <c r="AO266" s="181"/>
      <c r="AP266" s="181"/>
      <c r="AQ266" s="181"/>
      <c r="AR266" s="182"/>
    </row>
    <row r="267" spans="1:47" ht="14.25" hidden="1" customHeight="1" x14ac:dyDescent="0.3">
      <c r="A267" s="324"/>
      <c r="B267" s="185" t="s">
        <v>515</v>
      </c>
      <c r="C267" s="190">
        <v>12826.722000000002</v>
      </c>
      <c r="D267" s="190">
        <v>25369.691999999995</v>
      </c>
      <c r="E267" s="190">
        <v>14418.439999999999</v>
      </c>
      <c r="F267" s="190">
        <v>43176.637000000002</v>
      </c>
      <c r="G267" s="190">
        <v>16054.075000000001</v>
      </c>
      <c r="H267" s="191">
        <v>1112.3330000000001</v>
      </c>
      <c r="I267" s="191">
        <v>210.28700000000003</v>
      </c>
      <c r="J267" s="191">
        <v>446.59800000000001</v>
      </c>
      <c r="K267" s="191">
        <v>31556.05904</v>
      </c>
      <c r="L267" s="191">
        <v>29026.78066</v>
      </c>
      <c r="M267" s="191">
        <v>44062.796729000002</v>
      </c>
      <c r="N267" s="191">
        <v>19135.541829999998</v>
      </c>
      <c r="O267" s="202"/>
      <c r="P267" s="202"/>
      <c r="Q267" s="202"/>
      <c r="R267" s="202"/>
      <c r="S267" s="202"/>
      <c r="T267" s="202"/>
      <c r="U267" s="202"/>
      <c r="V267" s="202"/>
      <c r="W267" s="202"/>
      <c r="X267" s="202"/>
      <c r="Y267" s="202"/>
      <c r="Z267" s="202"/>
      <c r="AA267" s="202"/>
      <c r="AB267" s="202"/>
      <c r="AC267" s="202"/>
      <c r="AD267" s="202"/>
      <c r="AE267" s="202"/>
      <c r="AF267" s="202"/>
      <c r="AG267" s="202"/>
      <c r="AH267" s="202"/>
      <c r="AI267" s="202"/>
      <c r="AJ267" s="202"/>
      <c r="AK267" s="202"/>
      <c r="AL267" s="202"/>
      <c r="AM267" s="202"/>
      <c r="AN267" s="202"/>
      <c r="AO267" s="202"/>
      <c r="AP267" s="202"/>
      <c r="AQ267" s="202"/>
      <c r="AR267" s="182"/>
    </row>
    <row r="268" spans="1:47" ht="14.25" customHeight="1" x14ac:dyDescent="0.3">
      <c r="A268" s="324" t="s">
        <v>833</v>
      </c>
      <c r="B268" s="185" t="s">
        <v>516</v>
      </c>
      <c r="C268" s="190">
        <f t="shared" ref="C268:N268" si="159">C267/1000000</f>
        <v>1.2826722000000002E-2</v>
      </c>
      <c r="D268" s="190">
        <f t="shared" si="159"/>
        <v>2.5369691999999996E-2</v>
      </c>
      <c r="E268" s="190">
        <f t="shared" si="159"/>
        <v>1.4418439999999999E-2</v>
      </c>
      <c r="F268" s="190">
        <f t="shared" si="159"/>
        <v>4.3176637000000004E-2</v>
      </c>
      <c r="G268" s="190">
        <f t="shared" si="159"/>
        <v>1.6054075000000001E-2</v>
      </c>
      <c r="H268" s="191">
        <f t="shared" si="159"/>
        <v>1.1123330000000001E-3</v>
      </c>
      <c r="I268" s="191">
        <f t="shared" si="159"/>
        <v>2.1028700000000003E-4</v>
      </c>
      <c r="J268" s="191">
        <f t="shared" si="159"/>
        <v>4.4659800000000004E-4</v>
      </c>
      <c r="K268" s="191">
        <f t="shared" si="159"/>
        <v>3.1556059040000001E-2</v>
      </c>
      <c r="L268" s="191">
        <f t="shared" si="159"/>
        <v>2.9026780660000001E-2</v>
      </c>
      <c r="M268" s="191">
        <f t="shared" si="159"/>
        <v>4.4062796729000001E-2</v>
      </c>
      <c r="N268" s="191">
        <f t="shared" si="159"/>
        <v>1.9135541829999998E-2</v>
      </c>
      <c r="O268" s="191">
        <v>1.9041628023880708E-2</v>
      </c>
      <c r="P268" s="191">
        <v>1.8103249177160562E-2</v>
      </c>
      <c r="Q268" s="191">
        <v>2.1337049094822553E-2</v>
      </c>
      <c r="R268" s="191">
        <v>2.0807000373014684E-2</v>
      </c>
      <c r="S268" s="191">
        <v>2.4487209178632004E-2</v>
      </c>
      <c r="T268" s="191">
        <v>2.5866993852546535E-2</v>
      </c>
      <c r="U268" s="191">
        <v>2.7386358431591706E-2</v>
      </c>
      <c r="V268" s="191">
        <v>2.8698615185189191E-2</v>
      </c>
      <c r="W268" s="191">
        <v>3.0407595843490506E-2</v>
      </c>
      <c r="X268" s="191">
        <v>3.2026983685887321E-2</v>
      </c>
      <c r="Y268" s="191">
        <v>3.3839376101276901E-2</v>
      </c>
      <c r="Z268" s="191">
        <v>3.6011216112020773E-2</v>
      </c>
      <c r="AA268" s="191">
        <v>3.8236209384495796E-2</v>
      </c>
      <c r="AB268" s="191">
        <v>4.0662423891532871E-2</v>
      </c>
      <c r="AC268" s="191">
        <v>4.2827782044746909E-2</v>
      </c>
      <c r="AD268" s="191">
        <v>4.5066568949256931E-2</v>
      </c>
      <c r="AE268" s="191">
        <v>4.7682456531783241E-2</v>
      </c>
      <c r="AF268" s="191">
        <v>5.0386495441502116E-2</v>
      </c>
      <c r="AG268" s="191">
        <v>5.3565909213341402E-2</v>
      </c>
      <c r="AH268" s="191">
        <v>5.6605097224147236E-2</v>
      </c>
      <c r="AI268" s="191">
        <v>5.992121223630819E-2</v>
      </c>
      <c r="AJ268" s="191">
        <v>6.3180469349854287E-2</v>
      </c>
      <c r="AK268" s="191">
        <v>6.663233340798301E-2</v>
      </c>
      <c r="AL268" s="191">
        <v>7.0021306166471606E-2</v>
      </c>
      <c r="AM268" s="191">
        <v>7.3939168405474792E-2</v>
      </c>
      <c r="AN268" s="191">
        <v>7.7783530759500577E-2</v>
      </c>
      <c r="AO268" s="191">
        <v>8.2112568138512046E-2</v>
      </c>
      <c r="AP268" s="191">
        <v>8.6409903420450018E-2</v>
      </c>
      <c r="AQ268" s="191">
        <v>9.0903871172731063E-2</v>
      </c>
      <c r="AR268" s="182"/>
    </row>
    <row r="269" spans="1:47" ht="14.25" customHeight="1" x14ac:dyDescent="0.3">
      <c r="A269" s="324"/>
      <c r="B269" s="184" t="s">
        <v>522</v>
      </c>
      <c r="C269" s="195"/>
      <c r="D269" s="195"/>
      <c r="E269" s="195"/>
      <c r="F269" s="195"/>
      <c r="G269" s="195"/>
      <c r="H269" s="196"/>
      <c r="I269" s="191"/>
      <c r="J269" s="191"/>
      <c r="K269" s="191"/>
      <c r="L269" s="191"/>
      <c r="M269" s="191"/>
      <c r="N269" s="191"/>
      <c r="O269" s="181"/>
      <c r="P269" s="181"/>
      <c r="Q269" s="181"/>
      <c r="R269" s="181"/>
      <c r="S269" s="181"/>
      <c r="T269" s="181"/>
      <c r="U269" s="181"/>
      <c r="V269" s="181"/>
      <c r="W269" s="181"/>
      <c r="X269" s="181"/>
      <c r="Y269" s="181"/>
      <c r="Z269" s="181"/>
      <c r="AA269" s="181"/>
      <c r="AB269" s="181"/>
      <c r="AC269" s="181"/>
      <c r="AD269" s="181"/>
      <c r="AE269" s="181"/>
      <c r="AF269" s="181"/>
      <c r="AG269" s="181"/>
      <c r="AH269" s="181"/>
      <c r="AI269" s="181"/>
      <c r="AJ269" s="181"/>
      <c r="AK269" s="181"/>
      <c r="AL269" s="181"/>
      <c r="AM269" s="181"/>
      <c r="AN269" s="181"/>
      <c r="AO269" s="181"/>
      <c r="AP269" s="181"/>
      <c r="AQ269" s="181"/>
      <c r="AR269" s="182"/>
    </row>
    <row r="270" spans="1:47" ht="14.25" hidden="1" customHeight="1" x14ac:dyDescent="0.3">
      <c r="A270" s="324"/>
      <c r="B270" s="185" t="s">
        <v>515</v>
      </c>
      <c r="C270" s="190">
        <v>168.89099999999999</v>
      </c>
      <c r="D270" s="190">
        <v>152.65700000000001</v>
      </c>
      <c r="E270" s="190">
        <v>44886.485999999997</v>
      </c>
      <c r="F270" s="190">
        <v>256.69699999999995</v>
      </c>
      <c r="G270" s="190">
        <v>189.05099999999999</v>
      </c>
      <c r="H270" s="191">
        <v>193.44400000000002</v>
      </c>
      <c r="I270" s="191">
        <v>94.97399999999999</v>
      </c>
      <c r="J270" s="191">
        <v>148.82771199999999</v>
      </c>
      <c r="K270" s="191">
        <v>177.96131</v>
      </c>
      <c r="L270" s="191">
        <v>229.41244</v>
      </c>
      <c r="M270" s="191">
        <v>1036.779215</v>
      </c>
      <c r="N270" s="191">
        <v>651.10694000000001</v>
      </c>
      <c r="O270" s="202"/>
      <c r="P270" s="202"/>
      <c r="Q270" s="202"/>
      <c r="R270" s="202"/>
      <c r="S270" s="202"/>
      <c r="T270" s="202"/>
      <c r="U270" s="202"/>
      <c r="V270" s="202"/>
      <c r="W270" s="202"/>
      <c r="X270" s="202"/>
      <c r="Y270" s="202"/>
      <c r="Z270" s="202"/>
      <c r="AA270" s="202"/>
      <c r="AB270" s="202"/>
      <c r="AC270" s="202"/>
      <c r="AD270" s="202"/>
      <c r="AE270" s="202"/>
      <c r="AF270" s="202"/>
      <c r="AG270" s="202"/>
      <c r="AH270" s="202"/>
      <c r="AI270" s="202"/>
      <c r="AJ270" s="202"/>
      <c r="AK270" s="202"/>
      <c r="AL270" s="202"/>
      <c r="AM270" s="202"/>
      <c r="AN270" s="202"/>
      <c r="AO270" s="202"/>
      <c r="AP270" s="202"/>
      <c r="AQ270" s="202"/>
      <c r="AR270" s="182"/>
    </row>
    <row r="271" spans="1:47" ht="14.25" customHeight="1" x14ac:dyDescent="0.3">
      <c r="A271" s="324" t="s">
        <v>833</v>
      </c>
      <c r="B271" s="185" t="s">
        <v>516</v>
      </c>
      <c r="C271" s="190">
        <f t="shared" ref="C271:N271" si="160">C270/1000000</f>
        <v>1.6889099999999998E-4</v>
      </c>
      <c r="D271" s="190">
        <f t="shared" si="160"/>
        <v>1.52657E-4</v>
      </c>
      <c r="E271" s="190">
        <f t="shared" si="160"/>
        <v>4.4886485999999996E-2</v>
      </c>
      <c r="F271" s="190">
        <f t="shared" si="160"/>
        <v>2.5669699999999996E-4</v>
      </c>
      <c r="G271" s="190">
        <f t="shared" si="160"/>
        <v>1.8905099999999998E-4</v>
      </c>
      <c r="H271" s="191">
        <f t="shared" si="160"/>
        <v>1.9344400000000003E-4</v>
      </c>
      <c r="I271" s="191">
        <f t="shared" si="160"/>
        <v>9.4973999999999989E-5</v>
      </c>
      <c r="J271" s="191">
        <f t="shared" si="160"/>
        <v>1.48827712E-4</v>
      </c>
      <c r="K271" s="191">
        <f t="shared" si="160"/>
        <v>1.7796131000000001E-4</v>
      </c>
      <c r="L271" s="191">
        <f t="shared" si="160"/>
        <v>2.2941244E-4</v>
      </c>
      <c r="M271" s="191">
        <f t="shared" si="160"/>
        <v>1.0367792150000001E-3</v>
      </c>
      <c r="N271" s="191">
        <f t="shared" si="160"/>
        <v>6.5110693999999997E-4</v>
      </c>
      <c r="O271" s="191">
        <v>7.5600141063333177E-4</v>
      </c>
      <c r="P271" s="191">
        <v>7.5938116273642942E-4</v>
      </c>
      <c r="Q271" s="191">
        <v>7.925433552286341E-4</v>
      </c>
      <c r="R271" s="191">
        <v>9.154442630758665E-4</v>
      </c>
      <c r="S271" s="191">
        <v>1.0074538326212796E-3</v>
      </c>
      <c r="T271" s="191">
        <v>1.1608582292941625E-3</v>
      </c>
      <c r="U271" s="191">
        <v>1.3122240121476178E-3</v>
      </c>
      <c r="V271" s="191">
        <v>1.4601345622769035E-3</v>
      </c>
      <c r="W271" s="191">
        <v>1.6201780490605684E-3</v>
      </c>
      <c r="X271" s="191">
        <v>1.7945135811579052E-3</v>
      </c>
      <c r="Y271" s="191">
        <v>1.9763731570126009E-3</v>
      </c>
      <c r="Z271" s="191">
        <v>2.1645455367757583E-3</v>
      </c>
      <c r="AA271" s="191">
        <v>2.3729214322862008E-3</v>
      </c>
      <c r="AB271" s="191">
        <v>2.6145476720079606E-3</v>
      </c>
      <c r="AC271" s="191">
        <v>2.8618974867264902E-3</v>
      </c>
      <c r="AD271" s="191">
        <v>3.1421076395341716E-3</v>
      </c>
      <c r="AE271" s="191">
        <v>3.443545392956166E-3</v>
      </c>
      <c r="AF271" s="191">
        <v>3.7771783319775275E-3</v>
      </c>
      <c r="AG271" s="191">
        <v>4.1446471470711829E-3</v>
      </c>
      <c r="AH271" s="191">
        <v>4.5323920985292886E-3</v>
      </c>
      <c r="AI271" s="191">
        <v>4.9645639829993173E-3</v>
      </c>
      <c r="AJ271" s="191">
        <v>5.4272980120993394E-3</v>
      </c>
      <c r="AK271" s="191">
        <v>5.9602649225211374E-3</v>
      </c>
      <c r="AL271" s="191">
        <v>6.5374393613628397E-3</v>
      </c>
      <c r="AM271" s="191">
        <v>7.1830432047316831E-3</v>
      </c>
      <c r="AN271" s="191">
        <v>7.86503358557431E-3</v>
      </c>
      <c r="AO271" s="191">
        <v>8.6435921471279039E-3</v>
      </c>
      <c r="AP271" s="191">
        <v>9.4714984118757801E-3</v>
      </c>
      <c r="AQ271" s="191">
        <v>1.0400650730146977E-2</v>
      </c>
      <c r="AR271" s="182"/>
    </row>
    <row r="272" spans="1:47" ht="14.25" customHeight="1" x14ac:dyDescent="0.3">
      <c r="A272" s="98"/>
      <c r="B272" s="200"/>
      <c r="C272" s="200"/>
      <c r="D272" s="200"/>
      <c r="E272" s="200"/>
      <c r="F272" s="200"/>
      <c r="G272" s="200"/>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52"/>
    </row>
    <row r="273" spans="1:75" ht="14.25" customHeight="1" x14ac:dyDescent="0.3">
      <c r="A273" s="95"/>
      <c r="B273" s="45"/>
      <c r="C273" s="45"/>
      <c r="D273" s="45"/>
      <c r="E273" s="45"/>
      <c r="F273" s="45"/>
      <c r="G273" s="45"/>
      <c r="H273" s="944"/>
      <c r="I273" s="944"/>
      <c r="J273" s="944"/>
      <c r="K273" s="944"/>
      <c r="L273" s="944"/>
      <c r="M273" s="944"/>
      <c r="N273" s="944"/>
      <c r="O273" s="944"/>
      <c r="P273" s="944"/>
      <c r="Q273" s="944"/>
      <c r="R273" s="944"/>
      <c r="S273" s="944"/>
      <c r="T273" s="944"/>
      <c r="U273" s="944"/>
      <c r="V273" s="944"/>
      <c r="W273" s="944"/>
      <c r="X273" s="944"/>
      <c r="Y273" s="944"/>
      <c r="Z273" s="944"/>
      <c r="AA273" s="944"/>
      <c r="AB273" s="944"/>
      <c r="AC273" s="944"/>
      <c r="AD273" s="944"/>
      <c r="AE273" s="944"/>
      <c r="AF273" s="944"/>
      <c r="AG273" s="944"/>
      <c r="AH273" s="944"/>
      <c r="AI273" s="944"/>
      <c r="AJ273" s="944"/>
      <c r="AK273" s="944"/>
      <c r="AL273" s="944"/>
      <c r="AM273" s="944"/>
      <c r="AN273" s="944"/>
      <c r="AO273" s="944"/>
      <c r="AP273" s="944"/>
      <c r="AQ273" s="944"/>
      <c r="AR273" s="45"/>
    </row>
    <row r="274" spans="1:75" ht="15.75" customHeight="1" x14ac:dyDescent="0.3">
      <c r="A274" s="96"/>
      <c r="B274" s="44" t="s">
        <v>525</v>
      </c>
      <c r="C274" s="44"/>
      <c r="D274" s="45"/>
      <c r="E274" s="45"/>
      <c r="F274" s="45"/>
      <c r="G274" s="45"/>
      <c r="H274" s="944"/>
      <c r="I274" s="944"/>
      <c r="J274" s="944"/>
      <c r="K274" s="944"/>
      <c r="L274" s="944"/>
      <c r="M274" s="944"/>
      <c r="N274" s="944"/>
      <c r="O274" s="944"/>
      <c r="P274" s="944"/>
      <c r="Q274" s="944"/>
      <c r="R274" s="944"/>
      <c r="S274" s="944"/>
      <c r="T274" s="944"/>
      <c r="U274" s="944"/>
      <c r="V274" s="944"/>
      <c r="W274" s="944"/>
      <c r="X274" s="944"/>
      <c r="Y274" s="944"/>
      <c r="Z274" s="944"/>
      <c r="AA274" s="944"/>
      <c r="AB274" s="944"/>
      <c r="AC274" s="944"/>
      <c r="AD274" s="944"/>
      <c r="AE274" s="944"/>
      <c r="AF274" s="944"/>
      <c r="AG274" s="944"/>
      <c r="AH274" s="944"/>
      <c r="AI274" s="944"/>
      <c r="AJ274" s="944"/>
      <c r="AK274" s="944"/>
      <c r="AL274" s="944"/>
      <c r="AM274" s="944"/>
      <c r="AN274" s="944"/>
      <c r="AO274" s="944"/>
      <c r="AP274" s="944"/>
      <c r="AQ274" s="944"/>
      <c r="AR274" s="45"/>
      <c r="AS274" s="45"/>
      <c r="AT274" s="45"/>
      <c r="AU274" s="45"/>
    </row>
    <row r="275" spans="1:75" ht="14.25" customHeight="1" x14ac:dyDescent="0.3">
      <c r="A275" s="95"/>
      <c r="B275" s="45"/>
      <c r="C275" s="45"/>
      <c r="D275" s="45"/>
      <c r="E275" s="45"/>
      <c r="F275" s="45"/>
      <c r="G275" s="45"/>
      <c r="H275" s="944"/>
      <c r="I275" s="944"/>
      <c r="J275" s="944"/>
      <c r="K275" s="944"/>
      <c r="L275" s="944"/>
      <c r="M275" s="944"/>
      <c r="N275" s="944"/>
      <c r="O275" s="944"/>
      <c r="P275" s="944"/>
      <c r="Q275" s="944"/>
      <c r="R275" s="944"/>
      <c r="S275" s="944"/>
      <c r="T275" s="944"/>
      <c r="U275" s="944"/>
      <c r="V275" s="944"/>
      <c r="W275" s="944"/>
      <c r="X275" s="944"/>
      <c r="Y275" s="944"/>
      <c r="Z275" s="944"/>
      <c r="AA275" s="944"/>
      <c r="AB275" s="944"/>
      <c r="AC275" s="944"/>
      <c r="AD275" s="944"/>
      <c r="AE275" s="944"/>
      <c r="AF275" s="944"/>
      <c r="AG275" s="944"/>
      <c r="AH275" s="944"/>
      <c r="AI275" s="944"/>
      <c r="AJ275" s="944"/>
      <c r="AK275" s="944"/>
      <c r="AL275" s="944"/>
      <c r="AM275" s="944"/>
      <c r="AN275" s="944"/>
      <c r="AO275" s="944"/>
      <c r="AP275" s="944"/>
      <c r="AQ275" s="944"/>
      <c r="AR275" s="45"/>
    </row>
    <row r="276" spans="1:75" ht="13.5" customHeight="1" x14ac:dyDescent="0.3">
      <c r="A276" s="99"/>
      <c r="B276" s="224"/>
      <c r="C276" s="224"/>
      <c r="D276" s="224"/>
      <c r="E276" s="224"/>
      <c r="F276" s="224"/>
      <c r="G276" s="224"/>
      <c r="H276" s="225"/>
      <c r="I276" s="225"/>
      <c r="J276" s="225"/>
      <c r="K276" s="225"/>
      <c r="L276" s="225"/>
      <c r="M276" s="225"/>
      <c r="N276" s="225"/>
      <c r="O276" s="225"/>
      <c r="P276" s="225"/>
      <c r="Q276" s="225"/>
      <c r="R276" s="225"/>
      <c r="S276" s="225"/>
      <c r="T276" s="225"/>
      <c r="U276" s="225"/>
      <c r="V276" s="225"/>
      <c r="W276" s="225"/>
      <c r="X276" s="225"/>
      <c r="Y276" s="225"/>
      <c r="Z276" s="225"/>
      <c r="AA276" s="225"/>
      <c r="AB276" s="225"/>
      <c r="AC276" s="225"/>
      <c r="AD276" s="225"/>
      <c r="AE276" s="225"/>
      <c r="AF276" s="225"/>
      <c r="AG276" s="225"/>
      <c r="AH276" s="225"/>
      <c r="AI276" s="225"/>
      <c r="AJ276" s="225"/>
      <c r="AK276" s="225"/>
      <c r="AL276" s="225"/>
      <c r="AM276" s="225"/>
      <c r="AN276" s="225"/>
      <c r="AO276" s="225"/>
      <c r="AP276" s="225"/>
      <c r="AQ276" s="225"/>
      <c r="AR276" s="55"/>
    </row>
    <row r="277" spans="1:75" ht="14.25" customHeight="1" x14ac:dyDescent="0.3">
      <c r="A277" s="326"/>
      <c r="B277" s="233" t="s">
        <v>527</v>
      </c>
      <c r="C277" s="228"/>
      <c r="D277" s="228"/>
      <c r="E277" s="228"/>
      <c r="F277" s="228"/>
      <c r="G277" s="228"/>
      <c r="H277" s="229"/>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c r="AF277" s="230"/>
      <c r="AG277" s="230"/>
      <c r="AH277" s="230"/>
      <c r="AI277" s="230"/>
      <c r="AJ277" s="230"/>
      <c r="AK277" s="230"/>
      <c r="AL277" s="230"/>
      <c r="AM277" s="230"/>
      <c r="AN277" s="230"/>
      <c r="AO277" s="230"/>
      <c r="AP277" s="230"/>
      <c r="AQ277" s="230"/>
      <c r="AR277" s="231"/>
    </row>
    <row r="278" spans="1:75" ht="13.5" customHeight="1" x14ac:dyDescent="0.35">
      <c r="A278" s="1208" t="s">
        <v>836</v>
      </c>
      <c r="B278" s="234" t="s">
        <v>528</v>
      </c>
      <c r="C278" s="234">
        <v>5253536</v>
      </c>
      <c r="D278" s="234">
        <v>5358904</v>
      </c>
      <c r="E278" s="234">
        <v>5235550</v>
      </c>
      <c r="F278" s="234">
        <v>5134122</v>
      </c>
      <c r="G278" s="234">
        <v>4604624</v>
      </c>
      <c r="H278" s="230">
        <v>4115213</v>
      </c>
      <c r="I278" s="230">
        <v>4127311</v>
      </c>
      <c r="J278" s="230">
        <v>4190611</v>
      </c>
      <c r="K278" s="230">
        <v>4056796</v>
      </c>
      <c r="L278" s="230">
        <v>4306244</v>
      </c>
      <c r="M278" s="230">
        <v>4335924</v>
      </c>
      <c r="N278" s="230">
        <v>4066930</v>
      </c>
      <c r="O278" s="237">
        <v>4121602.7900505415</v>
      </c>
      <c r="P278" s="237">
        <v>4175809.3487110822</v>
      </c>
      <c r="Q278" s="237">
        <v>4229517.3719885061</v>
      </c>
      <c r="R278" s="237">
        <v>4282716.7792041115</v>
      </c>
      <c r="S278" s="237">
        <v>4335348.0027110176</v>
      </c>
      <c r="T278" s="237">
        <v>4387391.1102581536</v>
      </c>
      <c r="U278" s="237">
        <v>4438808.7575130519</v>
      </c>
      <c r="V278" s="237">
        <v>4489593.6130730212</v>
      </c>
      <c r="W278" s="237">
        <v>4539688.6294608563</v>
      </c>
      <c r="X278" s="237">
        <v>4589067.0012354618</v>
      </c>
      <c r="Y278" s="237">
        <v>4637694.1333403802</v>
      </c>
      <c r="Z278" s="237">
        <v>4685529.9321671342</v>
      </c>
      <c r="AA278" s="237">
        <v>4732554.6945709884</v>
      </c>
      <c r="AB278" s="237">
        <v>4778734.0546018193</v>
      </c>
      <c r="AC278" s="237">
        <v>4824047.8509022212</v>
      </c>
      <c r="AD278" s="237">
        <v>4868457.3645017222</v>
      </c>
      <c r="AE278" s="237">
        <v>4911947.2452759342</v>
      </c>
      <c r="AF278" s="237">
        <v>4954488.8549330877</v>
      </c>
      <c r="AG278" s="237">
        <v>4996062.2612221111</v>
      </c>
      <c r="AH278" s="237">
        <v>5036662.1946973195</v>
      </c>
      <c r="AI278" s="237">
        <v>5076274.6798723293</v>
      </c>
      <c r="AJ278" s="237">
        <v>5114875.2023693863</v>
      </c>
      <c r="AK278" s="237">
        <v>5152458.7218491398</v>
      </c>
      <c r="AL278" s="237">
        <v>5189000.7239338346</v>
      </c>
      <c r="AM278" s="237">
        <v>5224495.0227524498</v>
      </c>
      <c r="AN278" s="237">
        <v>5258947.3459633384</v>
      </c>
      <c r="AO278" s="237">
        <v>5292328.1388493935</v>
      </c>
      <c r="AP278" s="237">
        <v>5324646.3365576481</v>
      </c>
      <c r="AQ278" s="237">
        <v>5355913.1652984759</v>
      </c>
      <c r="AR278" s="23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row>
    <row r="279" spans="1:75" ht="14.25" customHeight="1" x14ac:dyDescent="0.3">
      <c r="A279" s="995"/>
      <c r="B279" s="234" t="s">
        <v>529</v>
      </c>
      <c r="C279" s="234">
        <v>1088862</v>
      </c>
      <c r="D279" s="234">
        <v>1127363</v>
      </c>
      <c r="E279" s="234">
        <v>1053311</v>
      </c>
      <c r="F279" s="234">
        <v>1127627</v>
      </c>
      <c r="G279" s="234">
        <v>999037</v>
      </c>
      <c r="H279" s="230">
        <v>860886</v>
      </c>
      <c r="I279" s="230">
        <v>896170</v>
      </c>
      <c r="J279" s="230">
        <v>856164</v>
      </c>
      <c r="K279" s="230">
        <v>832528</v>
      </c>
      <c r="L279" s="230">
        <v>996503</v>
      </c>
      <c r="M279" s="230">
        <v>962520</v>
      </c>
      <c r="N279" s="230">
        <v>846715</v>
      </c>
      <c r="O279" s="237">
        <v>858097.60836248577</v>
      </c>
      <c r="P279" s="237">
        <v>869383.14962241892</v>
      </c>
      <c r="Q279" s="237">
        <v>880564.89824591228</v>
      </c>
      <c r="R279" s="237">
        <v>891640.75548480288</v>
      </c>
      <c r="S279" s="237">
        <v>902598.31964539818</v>
      </c>
      <c r="T279" s="237">
        <v>913433.44093019364</v>
      </c>
      <c r="U279" s="237">
        <v>924138.34443122055</v>
      </c>
      <c r="V279" s="237">
        <v>934711.50378617854</v>
      </c>
      <c r="W279" s="237">
        <v>945141.04198841611</v>
      </c>
      <c r="X279" s="237">
        <v>955421.37827577163</v>
      </c>
      <c r="Y279" s="237">
        <v>965545.3101261392</v>
      </c>
      <c r="Z279" s="237">
        <v>975504.49024568766</v>
      </c>
      <c r="AA279" s="237">
        <v>985294.81653573434</v>
      </c>
      <c r="AB279" s="237">
        <v>994909.13417299511</v>
      </c>
      <c r="AC279" s="237">
        <v>1004343.2456611433</v>
      </c>
      <c r="AD279" s="237">
        <v>1013589.0898992791</v>
      </c>
      <c r="AE279" s="237">
        <v>1022643.4710663354</v>
      </c>
      <c r="AF279" s="237">
        <v>1031500.4268095758</v>
      </c>
      <c r="AG279" s="237">
        <v>1040155.8073314953</v>
      </c>
      <c r="AH279" s="237">
        <v>1048608.5155591907</v>
      </c>
      <c r="AI279" s="237">
        <v>1056855.6418645263</v>
      </c>
      <c r="AJ279" s="237">
        <v>1064892.0824735595</v>
      </c>
      <c r="AK279" s="237">
        <v>1072716.7880122089</v>
      </c>
      <c r="AL279" s="237">
        <v>1080324.6547065317</v>
      </c>
      <c r="AM279" s="237">
        <v>1087714.3946883371</v>
      </c>
      <c r="AN279" s="237">
        <v>1094887.2004281722</v>
      </c>
      <c r="AO279" s="237">
        <v>1101836.9187780125</v>
      </c>
      <c r="AP279" s="237">
        <v>1108565.4099919121</v>
      </c>
      <c r="AQ279" s="237">
        <v>1115075.0113121439</v>
      </c>
      <c r="AR279" s="231"/>
    </row>
    <row r="280" spans="1:75" ht="14.25" customHeight="1" x14ac:dyDescent="0.3">
      <c r="A280" s="995"/>
      <c r="B280" s="234" t="s">
        <v>531</v>
      </c>
      <c r="C280" s="236">
        <f t="shared" ref="C280:G280" si="161">C278*0.07</f>
        <v>367747.52</v>
      </c>
      <c r="D280" s="236">
        <f t="shared" si="161"/>
        <v>375123.28</v>
      </c>
      <c r="E280" s="236">
        <f t="shared" si="161"/>
        <v>366488.50000000006</v>
      </c>
      <c r="F280" s="236">
        <f t="shared" si="161"/>
        <v>359388.54000000004</v>
      </c>
      <c r="G280" s="236">
        <f t="shared" si="161"/>
        <v>322323.68000000005</v>
      </c>
      <c r="H280" s="237">
        <v>288064.91000000003</v>
      </c>
      <c r="I280" s="237">
        <v>288911.77</v>
      </c>
      <c r="J280" s="237">
        <v>293342.77</v>
      </c>
      <c r="K280" s="237">
        <v>283975.72000000003</v>
      </c>
      <c r="L280" s="237">
        <v>301437.08</v>
      </c>
      <c r="M280" s="237">
        <v>303514.68000000005</v>
      </c>
      <c r="N280" s="237">
        <v>284685.10000000003</v>
      </c>
      <c r="O280" s="237">
        <v>288512.19530353794</v>
      </c>
      <c r="P280" s="237">
        <v>292306.6544097758</v>
      </c>
      <c r="Q280" s="237">
        <v>296066.21603919548</v>
      </c>
      <c r="R280" s="237">
        <v>299790.17454428785</v>
      </c>
      <c r="S280" s="237">
        <v>303474.36018977128</v>
      </c>
      <c r="T280" s="237">
        <v>307117.37771807081</v>
      </c>
      <c r="U280" s="237">
        <v>310716.61302591371</v>
      </c>
      <c r="V280" s="237">
        <v>314271.55291511159</v>
      </c>
      <c r="W280" s="237">
        <v>317778.20406226005</v>
      </c>
      <c r="X280" s="237">
        <v>321234.69008648238</v>
      </c>
      <c r="Y280" s="237">
        <v>324638.58933382662</v>
      </c>
      <c r="Z280" s="237">
        <v>327987.09525169944</v>
      </c>
      <c r="AA280" s="237">
        <v>331278.82861996925</v>
      </c>
      <c r="AB280" s="237">
        <v>334511.38382212742</v>
      </c>
      <c r="AC280" s="237">
        <v>337683.34956315556</v>
      </c>
      <c r="AD280" s="237">
        <v>340792.01551512058</v>
      </c>
      <c r="AE280" s="237">
        <v>343836.30716931541</v>
      </c>
      <c r="AF280" s="237">
        <v>346814.21984531614</v>
      </c>
      <c r="AG280" s="237">
        <v>349724.35828554776</v>
      </c>
      <c r="AH280" s="237">
        <v>352566.35362881236</v>
      </c>
      <c r="AI280" s="237">
        <v>355339.22759106307</v>
      </c>
      <c r="AJ280" s="237">
        <v>358041.26416585705</v>
      </c>
      <c r="AK280" s="237">
        <v>360672.11052943976</v>
      </c>
      <c r="AL280" s="237">
        <v>363230.0506753684</v>
      </c>
      <c r="AM280" s="237">
        <v>365714.65159267146</v>
      </c>
      <c r="AN280" s="237">
        <v>368126.31421743362</v>
      </c>
      <c r="AO280" s="237">
        <v>370462.9697194575</v>
      </c>
      <c r="AP280" s="237">
        <v>372725.24355903536</v>
      </c>
      <c r="AQ280" s="237">
        <v>374913.92157089332</v>
      </c>
      <c r="AR280" s="231"/>
    </row>
    <row r="281" spans="1:75" ht="14.25" customHeight="1" x14ac:dyDescent="0.3">
      <c r="A281" s="995"/>
      <c r="B281" s="234" t="s">
        <v>532</v>
      </c>
      <c r="C281" s="236">
        <f t="shared" ref="C281:G281" si="162">C278*0.31</f>
        <v>1628596.16</v>
      </c>
      <c r="D281" s="236">
        <f t="shared" si="162"/>
        <v>1661260.24</v>
      </c>
      <c r="E281" s="236">
        <f t="shared" si="162"/>
        <v>1623020.5</v>
      </c>
      <c r="F281" s="236">
        <f t="shared" si="162"/>
        <v>1591577.82</v>
      </c>
      <c r="G281" s="236">
        <f t="shared" si="162"/>
        <v>1427433.44</v>
      </c>
      <c r="H281" s="237">
        <v>1275716.03</v>
      </c>
      <c r="I281" s="237">
        <v>1279466.4099999999</v>
      </c>
      <c r="J281" s="237">
        <v>1299089.4099999999</v>
      </c>
      <c r="K281" s="237">
        <v>1257606.76</v>
      </c>
      <c r="L281" s="237">
        <v>1334935.6399999999</v>
      </c>
      <c r="M281" s="237">
        <v>1344136.44</v>
      </c>
      <c r="N281" s="237">
        <v>1260748.3</v>
      </c>
      <c r="O281" s="237">
        <v>1277696.8649156678</v>
      </c>
      <c r="P281" s="237">
        <v>1294500.8981004355</v>
      </c>
      <c r="Q281" s="237">
        <v>1311150.3853164369</v>
      </c>
      <c r="R281" s="237">
        <v>1327642.2015532744</v>
      </c>
      <c r="S281" s="237">
        <v>1343957.8808404154</v>
      </c>
      <c r="T281" s="237">
        <v>1360091.2441800276</v>
      </c>
      <c r="U281" s="237">
        <v>1376030.7148290463</v>
      </c>
      <c r="V281" s="237">
        <v>1391774.0200526367</v>
      </c>
      <c r="W281" s="237">
        <v>1407303.4751328656</v>
      </c>
      <c r="X281" s="237">
        <v>1422610.7703829932</v>
      </c>
      <c r="Y281" s="237">
        <v>1437685.1813355177</v>
      </c>
      <c r="Z281" s="237">
        <v>1452514.2789718115</v>
      </c>
      <c r="AA281" s="237">
        <v>1467091.9553170064</v>
      </c>
      <c r="AB281" s="237">
        <v>1481407.5569265641</v>
      </c>
      <c r="AC281" s="237">
        <v>1495454.8337796887</v>
      </c>
      <c r="AD281" s="237">
        <v>1509221.7829955339</v>
      </c>
      <c r="AE281" s="237">
        <v>1522703.6460355397</v>
      </c>
      <c r="AF281" s="237">
        <v>1535891.5450292572</v>
      </c>
      <c r="AG281" s="237">
        <v>1548779.3009788545</v>
      </c>
      <c r="AH281" s="237">
        <v>1561365.2803561692</v>
      </c>
      <c r="AI281" s="237">
        <v>1573645.1507604222</v>
      </c>
      <c r="AJ281" s="237">
        <v>1585611.3127345098</v>
      </c>
      <c r="AK281" s="237">
        <v>1597262.2037732333</v>
      </c>
      <c r="AL281" s="237">
        <v>1608590.2244194888</v>
      </c>
      <c r="AM281" s="237">
        <v>1619593.4570532595</v>
      </c>
      <c r="AN281" s="237">
        <v>1630273.6772486349</v>
      </c>
      <c r="AO281" s="237">
        <v>1640621.7230433119</v>
      </c>
      <c r="AP281" s="237">
        <v>1650640.3643328708</v>
      </c>
      <c r="AQ281" s="237">
        <v>1660333.0812425276</v>
      </c>
      <c r="AR281" s="231"/>
    </row>
    <row r="282" spans="1:75" ht="13.5" customHeight="1" x14ac:dyDescent="0.3">
      <c r="A282" s="995"/>
      <c r="B282" s="234" t="s">
        <v>533</v>
      </c>
      <c r="C282" s="236">
        <f t="shared" ref="C282:G282" si="163">C278*0.47</f>
        <v>2469161.92</v>
      </c>
      <c r="D282" s="236">
        <f t="shared" si="163"/>
        <v>2518684.88</v>
      </c>
      <c r="E282" s="236">
        <f t="shared" si="163"/>
        <v>2460708.5</v>
      </c>
      <c r="F282" s="236">
        <f t="shared" si="163"/>
        <v>2413037.34</v>
      </c>
      <c r="G282" s="236">
        <f t="shared" si="163"/>
        <v>2164173.2799999998</v>
      </c>
      <c r="H282" s="237">
        <v>1934150.1099999999</v>
      </c>
      <c r="I282" s="237">
        <v>1939836.17</v>
      </c>
      <c r="J282" s="237">
        <v>1969587.17</v>
      </c>
      <c r="K282" s="237">
        <v>1906694.1199999999</v>
      </c>
      <c r="L282" s="237">
        <v>2023934.68</v>
      </c>
      <c r="M282" s="237">
        <v>2037884.2799999998</v>
      </c>
      <c r="N282" s="237">
        <v>1911457.0999999999</v>
      </c>
      <c r="O282" s="237">
        <v>1937153.3113237543</v>
      </c>
      <c r="P282" s="237">
        <v>1962630.3938942084</v>
      </c>
      <c r="Q282" s="237">
        <v>1987873.1648345976</v>
      </c>
      <c r="R282" s="237">
        <v>2012876.886225932</v>
      </c>
      <c r="S282" s="237">
        <v>2037613.5612741779</v>
      </c>
      <c r="T282" s="237">
        <v>2062073.8218213317</v>
      </c>
      <c r="U282" s="237">
        <v>2086240.116031134</v>
      </c>
      <c r="V282" s="237">
        <v>2110108.9981443197</v>
      </c>
      <c r="W282" s="237">
        <v>2133653.6558466023</v>
      </c>
      <c r="X282" s="237">
        <v>2156861.4905806668</v>
      </c>
      <c r="Y282" s="237">
        <v>2179716.2426699782</v>
      </c>
      <c r="Z282" s="237">
        <v>2202199.0681185527</v>
      </c>
      <c r="AA282" s="237">
        <v>2224300.7064483641</v>
      </c>
      <c r="AB282" s="237">
        <v>2246005.0056628548</v>
      </c>
      <c r="AC282" s="237">
        <v>2267302.4899240434</v>
      </c>
      <c r="AD282" s="237">
        <v>2288174.9613158088</v>
      </c>
      <c r="AE282" s="237">
        <v>2308615.2052796884</v>
      </c>
      <c r="AF282" s="237">
        <v>2328609.7618185505</v>
      </c>
      <c r="AG282" s="237">
        <v>2348149.2627743916</v>
      </c>
      <c r="AH282" s="237">
        <v>2367231.2315077395</v>
      </c>
      <c r="AI282" s="237">
        <v>2385849.0995399943</v>
      </c>
      <c r="AJ282" s="237">
        <v>2403991.3451136108</v>
      </c>
      <c r="AK282" s="237">
        <v>2421655.5992690949</v>
      </c>
      <c r="AL282" s="237">
        <v>2438830.3402489014</v>
      </c>
      <c r="AM282" s="237">
        <v>2455512.6606936506</v>
      </c>
      <c r="AN282" s="237">
        <v>2471705.2526027681</v>
      </c>
      <c r="AO282" s="237">
        <v>2487394.2252592142</v>
      </c>
      <c r="AP282" s="237">
        <v>2502583.778182094</v>
      </c>
      <c r="AQ282" s="237">
        <v>2517279.1876902832</v>
      </c>
      <c r="AR282" s="231"/>
    </row>
    <row r="283" spans="1:75" ht="13.5" customHeight="1" x14ac:dyDescent="0.3">
      <c r="A283" s="326"/>
      <c r="B283" s="234"/>
      <c r="C283" s="236"/>
      <c r="D283" s="236"/>
      <c r="E283" s="236"/>
      <c r="F283" s="236"/>
      <c r="G283" s="236"/>
      <c r="H283" s="237"/>
      <c r="I283" s="237"/>
      <c r="J283" s="237"/>
      <c r="K283" s="237"/>
      <c r="L283" s="237"/>
      <c r="M283" s="237"/>
      <c r="N283" s="237"/>
      <c r="O283" s="230"/>
      <c r="P283" s="230"/>
      <c r="Q283" s="230"/>
      <c r="R283" s="230"/>
      <c r="S283" s="230"/>
      <c r="T283" s="230"/>
      <c r="U283" s="230"/>
      <c r="V283" s="230"/>
      <c r="W283" s="230"/>
      <c r="X283" s="230"/>
      <c r="Y283" s="230"/>
      <c r="Z283" s="230"/>
      <c r="AA283" s="230"/>
      <c r="AB283" s="230"/>
      <c r="AC283" s="230"/>
      <c r="AD283" s="230"/>
      <c r="AE283" s="230"/>
      <c r="AF283" s="230"/>
      <c r="AG283" s="230"/>
      <c r="AH283" s="230"/>
      <c r="AI283" s="230"/>
      <c r="AJ283" s="230"/>
      <c r="AK283" s="230"/>
      <c r="AL283" s="230"/>
      <c r="AM283" s="230"/>
      <c r="AN283" s="230"/>
      <c r="AO283" s="230"/>
      <c r="AP283" s="230"/>
      <c r="AQ283" s="230"/>
      <c r="AR283" s="231"/>
    </row>
    <row r="284" spans="1:75" ht="13.5" customHeight="1" x14ac:dyDescent="0.35">
      <c r="A284" s="1208" t="s">
        <v>837</v>
      </c>
      <c r="B284" s="234" t="s">
        <v>528</v>
      </c>
      <c r="C284" s="234">
        <v>5253536</v>
      </c>
      <c r="D284" s="234">
        <v>5358904</v>
      </c>
      <c r="E284" s="234">
        <v>5235550</v>
      </c>
      <c r="F284" s="234">
        <v>5134122</v>
      </c>
      <c r="G284" s="234">
        <v>4604624</v>
      </c>
      <c r="H284" s="230">
        <v>4115213</v>
      </c>
      <c r="I284" s="230">
        <v>4127311</v>
      </c>
      <c r="J284" s="230">
        <v>4190611</v>
      </c>
      <c r="K284" s="230">
        <v>4056796</v>
      </c>
      <c r="L284" s="230">
        <v>4306244</v>
      </c>
      <c r="M284" s="230">
        <v>4335924</v>
      </c>
      <c r="N284" s="230">
        <v>4066930</v>
      </c>
      <c r="O284" s="237">
        <v>4206988.2371525951</v>
      </c>
      <c r="P284" s="237">
        <v>4330740.2398350509</v>
      </c>
      <c r="Q284" s="237">
        <v>4465633.0592687586</v>
      </c>
      <c r="R284" s="237">
        <v>4571128.095144093</v>
      </c>
      <c r="S284" s="237">
        <v>4660262.001910314</v>
      </c>
      <c r="T284" s="237">
        <v>4778675.3228829894</v>
      </c>
      <c r="U284" s="237">
        <v>4881575.0785911316</v>
      </c>
      <c r="V284" s="237">
        <v>4942590.7047294863</v>
      </c>
      <c r="W284" s="237">
        <v>5014375.1061119754</v>
      </c>
      <c r="X284" s="237">
        <v>5119216.4738153471</v>
      </c>
      <c r="Y284" s="237">
        <v>5188268.1474053357</v>
      </c>
      <c r="Z284" s="237">
        <v>5277492.7481722357</v>
      </c>
      <c r="AA284" s="237">
        <v>5340666.6328182928</v>
      </c>
      <c r="AB284" s="237">
        <v>5407003.3052476533</v>
      </c>
      <c r="AC284" s="237">
        <v>5487302.6724135922</v>
      </c>
      <c r="AD284" s="237">
        <v>5559887.1824108167</v>
      </c>
      <c r="AE284" s="237">
        <v>5643271.8563960837</v>
      </c>
      <c r="AF284" s="237">
        <v>5747121.9507978959</v>
      </c>
      <c r="AG284" s="237">
        <v>5845986.176949014</v>
      </c>
      <c r="AH284" s="237">
        <v>5957631.18412048</v>
      </c>
      <c r="AI284" s="237">
        <v>6075725.4594288589</v>
      </c>
      <c r="AJ284" s="237">
        <v>6177085.3161521628</v>
      </c>
      <c r="AK284" s="237">
        <v>6313922.9213938499</v>
      </c>
      <c r="AL284" s="237">
        <v>6441057.2640335169</v>
      </c>
      <c r="AM284" s="237">
        <v>6602843.4681977555</v>
      </c>
      <c r="AN284" s="237">
        <v>6745193.1052778298</v>
      </c>
      <c r="AO284" s="237">
        <v>6889232.4064647695</v>
      </c>
      <c r="AP284" s="237">
        <v>7041669.2973264027</v>
      </c>
      <c r="AQ284" s="237">
        <v>7195625.9515367988</v>
      </c>
      <c r="AR284" s="23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row>
    <row r="285" spans="1:75" ht="14.25" customHeight="1" x14ac:dyDescent="0.3">
      <c r="A285" s="995"/>
      <c r="B285" s="234" t="s">
        <v>529</v>
      </c>
      <c r="C285" s="234">
        <v>1088862</v>
      </c>
      <c r="D285" s="234">
        <v>1127363</v>
      </c>
      <c r="E285" s="234">
        <v>1053311</v>
      </c>
      <c r="F285" s="234">
        <v>1127627</v>
      </c>
      <c r="G285" s="234">
        <v>999037</v>
      </c>
      <c r="H285" s="230">
        <v>860886</v>
      </c>
      <c r="I285" s="230">
        <v>896170</v>
      </c>
      <c r="J285" s="230">
        <v>856164</v>
      </c>
      <c r="K285" s="230">
        <v>832528</v>
      </c>
      <c r="L285" s="230">
        <v>996503</v>
      </c>
      <c r="M285" s="230">
        <v>962520</v>
      </c>
      <c r="N285" s="230">
        <v>846715</v>
      </c>
      <c r="O285" s="237">
        <v>875874.44220103603</v>
      </c>
      <c r="P285" s="237">
        <v>901639.00587714452</v>
      </c>
      <c r="Q285" s="237">
        <v>929723.03329015919</v>
      </c>
      <c r="R285" s="237">
        <v>951686.58547846437</v>
      </c>
      <c r="S285" s="237">
        <v>970243.83034561505</v>
      </c>
      <c r="T285" s="237">
        <v>994896.90651544812</v>
      </c>
      <c r="U285" s="237">
        <v>1016320.1340247537</v>
      </c>
      <c r="V285" s="237">
        <v>1029023.2899398388</v>
      </c>
      <c r="W285" s="237">
        <v>1043968.4523637247</v>
      </c>
      <c r="X285" s="237">
        <v>1065795.9140252138</v>
      </c>
      <c r="Y285" s="237">
        <v>1080172.1358445585</v>
      </c>
      <c r="Z285" s="237">
        <v>1098748.2627605235</v>
      </c>
      <c r="AA285" s="237">
        <v>1111900.7575755524</v>
      </c>
      <c r="AB285" s="237">
        <v>1125711.7293886957</v>
      </c>
      <c r="AC285" s="237">
        <v>1142429.6661788316</v>
      </c>
      <c r="AD285" s="237">
        <v>1157541.4073158316</v>
      </c>
      <c r="AE285" s="237">
        <v>1174901.6899450964</v>
      </c>
      <c r="AF285" s="237">
        <v>1196522.7733375891</v>
      </c>
      <c r="AG285" s="237">
        <v>1217105.8232660473</v>
      </c>
      <c r="AH285" s="237">
        <v>1240349.7694975261</v>
      </c>
      <c r="AI285" s="237">
        <v>1264936.421915378</v>
      </c>
      <c r="AJ285" s="237">
        <v>1286039.0499629402</v>
      </c>
      <c r="AK285" s="237">
        <v>1314527.9723004811</v>
      </c>
      <c r="AL285" s="237">
        <v>1340996.7226670093</v>
      </c>
      <c r="AM285" s="237">
        <v>1374679.8216775465</v>
      </c>
      <c r="AN285" s="237">
        <v>1404316.322173069</v>
      </c>
      <c r="AO285" s="237">
        <v>1434304.6024986464</v>
      </c>
      <c r="AP285" s="237">
        <v>1466041.2200568309</v>
      </c>
      <c r="AQ285" s="237">
        <v>1498094.2449354876</v>
      </c>
      <c r="AR285" s="231"/>
    </row>
    <row r="286" spans="1:75" ht="14.25" customHeight="1" x14ac:dyDescent="0.3">
      <c r="A286" s="995"/>
      <c r="B286" s="234" t="s">
        <v>531</v>
      </c>
      <c r="C286" s="236">
        <f t="shared" ref="C286:G286" si="164">C284*0.07</f>
        <v>367747.52</v>
      </c>
      <c r="D286" s="236">
        <f t="shared" si="164"/>
        <v>375123.28</v>
      </c>
      <c r="E286" s="236">
        <f t="shared" si="164"/>
        <v>366488.50000000006</v>
      </c>
      <c r="F286" s="236">
        <f t="shared" si="164"/>
        <v>359388.54000000004</v>
      </c>
      <c r="G286" s="236">
        <f t="shared" si="164"/>
        <v>322323.68000000005</v>
      </c>
      <c r="H286" s="237">
        <v>288064.91000000003</v>
      </c>
      <c r="I286" s="237">
        <v>288911.77</v>
      </c>
      <c r="J286" s="237">
        <v>293342.77</v>
      </c>
      <c r="K286" s="237">
        <v>283975.72000000003</v>
      </c>
      <c r="L286" s="237">
        <v>301437.08</v>
      </c>
      <c r="M286" s="237">
        <v>303514.68000000005</v>
      </c>
      <c r="N286" s="237">
        <v>284685.10000000003</v>
      </c>
      <c r="O286" s="237">
        <v>294489.17660068168</v>
      </c>
      <c r="P286" s="237">
        <v>303151.81678845361</v>
      </c>
      <c r="Q286" s="237">
        <v>312594.31414881314</v>
      </c>
      <c r="R286" s="237">
        <v>319978.96666008659</v>
      </c>
      <c r="S286" s="237">
        <v>326218.34013372206</v>
      </c>
      <c r="T286" s="237">
        <v>334507.27260180935</v>
      </c>
      <c r="U286" s="237">
        <v>341710.25550137932</v>
      </c>
      <c r="V286" s="237">
        <v>345981.34933106415</v>
      </c>
      <c r="W286" s="237">
        <v>351006.2574278384</v>
      </c>
      <c r="X286" s="237">
        <v>358345.15316707443</v>
      </c>
      <c r="Y286" s="237">
        <v>363178.77031837363</v>
      </c>
      <c r="Z286" s="237">
        <v>369424.49237205659</v>
      </c>
      <c r="AA286" s="237">
        <v>373846.6642972806</v>
      </c>
      <c r="AB286" s="237">
        <v>378490.23136733583</v>
      </c>
      <c r="AC286" s="237">
        <v>384111.18706895155</v>
      </c>
      <c r="AD286" s="237">
        <v>389192.10276875726</v>
      </c>
      <c r="AE286" s="237">
        <v>395029.02994772594</v>
      </c>
      <c r="AF286" s="237">
        <v>402298.5365558528</v>
      </c>
      <c r="AG286" s="237">
        <v>409219.03238643106</v>
      </c>
      <c r="AH286" s="237">
        <v>417034.18288843369</v>
      </c>
      <c r="AI286" s="237">
        <v>425300.7821600202</v>
      </c>
      <c r="AJ286" s="237">
        <v>432395.97213065147</v>
      </c>
      <c r="AK286" s="237">
        <v>441974.60449756955</v>
      </c>
      <c r="AL286" s="237">
        <v>450874.00848234619</v>
      </c>
      <c r="AM286" s="237">
        <v>462199.04277384293</v>
      </c>
      <c r="AN286" s="237">
        <v>472163.51736944815</v>
      </c>
      <c r="AO286" s="237">
        <v>482246.26845253393</v>
      </c>
      <c r="AP286" s="237">
        <v>492916.85081284825</v>
      </c>
      <c r="AQ286" s="237">
        <v>503693.81660757598</v>
      </c>
      <c r="AR286" s="231"/>
    </row>
    <row r="287" spans="1:75" ht="14.25" customHeight="1" x14ac:dyDescent="0.3">
      <c r="A287" s="995"/>
      <c r="B287" s="234" t="s">
        <v>532</v>
      </c>
      <c r="C287" s="236">
        <f t="shared" ref="C287:G287" si="165">C284*0.31</f>
        <v>1628596.16</v>
      </c>
      <c r="D287" s="236">
        <f t="shared" si="165"/>
        <v>1661260.24</v>
      </c>
      <c r="E287" s="236">
        <f t="shared" si="165"/>
        <v>1623020.5</v>
      </c>
      <c r="F287" s="236">
        <f t="shared" si="165"/>
        <v>1591577.82</v>
      </c>
      <c r="G287" s="236">
        <f t="shared" si="165"/>
        <v>1427433.44</v>
      </c>
      <c r="H287" s="237">
        <v>1275716.03</v>
      </c>
      <c r="I287" s="237">
        <v>1279466.4099999999</v>
      </c>
      <c r="J287" s="237">
        <v>1299089.4099999999</v>
      </c>
      <c r="K287" s="237">
        <v>1257606.76</v>
      </c>
      <c r="L287" s="237">
        <v>1334935.6399999999</v>
      </c>
      <c r="M287" s="237">
        <v>1344136.44</v>
      </c>
      <c r="N287" s="237">
        <v>1260748.3</v>
      </c>
      <c r="O287" s="237">
        <v>1304166.3535173046</v>
      </c>
      <c r="P287" s="237">
        <v>1342529.4743488661</v>
      </c>
      <c r="Q287" s="237">
        <v>1384346.2483733157</v>
      </c>
      <c r="R287" s="237">
        <v>1417049.7094946695</v>
      </c>
      <c r="S287" s="237">
        <v>1444681.220592198</v>
      </c>
      <c r="T287" s="237">
        <v>1481389.3500937275</v>
      </c>
      <c r="U287" s="237">
        <v>1513288.2743632516</v>
      </c>
      <c r="V287" s="237">
        <v>1532203.1184661416</v>
      </c>
      <c r="W287" s="237">
        <v>1554456.2828947131</v>
      </c>
      <c r="X287" s="237">
        <v>1586957.1068827582</v>
      </c>
      <c r="Y287" s="237">
        <v>1608363.1256956547</v>
      </c>
      <c r="Z287" s="237">
        <v>1636022.7519333935</v>
      </c>
      <c r="AA287" s="237">
        <v>1655606.6561736711</v>
      </c>
      <c r="AB287" s="237">
        <v>1676171.0246267731</v>
      </c>
      <c r="AC287" s="237">
        <v>1701063.8284482141</v>
      </c>
      <c r="AD287" s="237">
        <v>1723565.0265473537</v>
      </c>
      <c r="AE287" s="237">
        <v>1749414.2754827866</v>
      </c>
      <c r="AF287" s="237">
        <v>1781607.8047473484</v>
      </c>
      <c r="AG287" s="237">
        <v>1812255.714854195</v>
      </c>
      <c r="AH287" s="237">
        <v>1846865.6670773495</v>
      </c>
      <c r="AI287" s="237">
        <v>1883474.8924229469</v>
      </c>
      <c r="AJ287" s="237">
        <v>1914896.4480071713</v>
      </c>
      <c r="AK287" s="237">
        <v>1957316.1056320944</v>
      </c>
      <c r="AL287" s="237">
        <v>1996727.751850391</v>
      </c>
      <c r="AM287" s="237">
        <v>2046881.475141305</v>
      </c>
      <c r="AN287" s="237">
        <v>2091009.8626361282</v>
      </c>
      <c r="AO287" s="237">
        <v>2135662.0460040797</v>
      </c>
      <c r="AP287" s="237">
        <v>2182917.4821711862</v>
      </c>
      <c r="AQ287" s="237">
        <v>2230644.0449764091</v>
      </c>
      <c r="AR287" s="231"/>
    </row>
    <row r="288" spans="1:75" ht="13.5" customHeight="1" x14ac:dyDescent="0.3">
      <c r="A288" s="995"/>
      <c r="B288" s="234" t="s">
        <v>533</v>
      </c>
      <c r="C288" s="236">
        <f t="shared" ref="C288:G288" si="166">C284*0.47</f>
        <v>2469161.92</v>
      </c>
      <c r="D288" s="236">
        <f t="shared" si="166"/>
        <v>2518684.88</v>
      </c>
      <c r="E288" s="236">
        <f t="shared" si="166"/>
        <v>2460708.5</v>
      </c>
      <c r="F288" s="236">
        <f t="shared" si="166"/>
        <v>2413037.34</v>
      </c>
      <c r="G288" s="236">
        <f t="shared" si="166"/>
        <v>2164173.2799999998</v>
      </c>
      <c r="H288" s="237">
        <v>1934150.1099999999</v>
      </c>
      <c r="I288" s="237">
        <v>1939836.17</v>
      </c>
      <c r="J288" s="237">
        <v>1969587.17</v>
      </c>
      <c r="K288" s="237">
        <v>1906694.1199999999</v>
      </c>
      <c r="L288" s="237">
        <v>2023934.68</v>
      </c>
      <c r="M288" s="237">
        <v>2037884.2799999998</v>
      </c>
      <c r="N288" s="237">
        <v>1911457.0999999999</v>
      </c>
      <c r="O288" s="237">
        <v>1977284.4714617196</v>
      </c>
      <c r="P288" s="237">
        <v>2035447.912722474</v>
      </c>
      <c r="Q288" s="237">
        <v>2098847.5378563167</v>
      </c>
      <c r="R288" s="237">
        <v>2148430.2047177241</v>
      </c>
      <c r="S288" s="237">
        <v>2190323.1408978482</v>
      </c>
      <c r="T288" s="237">
        <v>2245977.4017550056</v>
      </c>
      <c r="U288" s="237">
        <v>2294340.2869378324</v>
      </c>
      <c r="V288" s="237">
        <v>2323017.631222859</v>
      </c>
      <c r="W288" s="237">
        <v>2356756.2998726289</v>
      </c>
      <c r="X288" s="237">
        <v>2406031.7426932137</v>
      </c>
      <c r="Y288" s="237">
        <v>2438486.0292805084</v>
      </c>
      <c r="Z288" s="237">
        <v>2480421.5916409511</v>
      </c>
      <c r="AA288" s="237">
        <v>2510113.3174245977</v>
      </c>
      <c r="AB288" s="237">
        <v>2541291.5534663973</v>
      </c>
      <c r="AC288" s="237">
        <v>2579032.2560343887</v>
      </c>
      <c r="AD288" s="237">
        <v>2613146.9757330841</v>
      </c>
      <c r="AE288" s="237">
        <v>2652337.7725061597</v>
      </c>
      <c r="AF288" s="237">
        <v>2701147.3168750112</v>
      </c>
      <c r="AG288" s="237">
        <v>2747613.5031660367</v>
      </c>
      <c r="AH288" s="237">
        <v>2800086.6565366257</v>
      </c>
      <c r="AI288" s="237">
        <v>2855590.9659315636</v>
      </c>
      <c r="AJ288" s="237">
        <v>2903230.0985915167</v>
      </c>
      <c r="AK288" s="237">
        <v>2967543.7730551097</v>
      </c>
      <c r="AL288" s="237">
        <v>3027296.9140957529</v>
      </c>
      <c r="AM288" s="237">
        <v>3103336.4300529449</v>
      </c>
      <c r="AN288" s="237">
        <v>3170240.7594805802</v>
      </c>
      <c r="AO288" s="237">
        <v>3237939.2310384419</v>
      </c>
      <c r="AP288" s="237">
        <v>3309584.5697434098</v>
      </c>
      <c r="AQ288" s="237">
        <v>3381944.1972222961</v>
      </c>
      <c r="AR288" s="231"/>
    </row>
    <row r="289" spans="1:75" ht="12.75" customHeight="1" x14ac:dyDescent="0.3">
      <c r="A289" s="326"/>
      <c r="B289" s="238"/>
      <c r="C289" s="241"/>
      <c r="D289" s="241"/>
      <c r="E289" s="241"/>
      <c r="F289" s="241"/>
      <c r="G289" s="241"/>
      <c r="H289" s="242"/>
      <c r="I289" s="242"/>
      <c r="J289" s="242"/>
      <c r="K289" s="242"/>
      <c r="L289" s="242"/>
      <c r="M289" s="242"/>
      <c r="N289" s="242"/>
      <c r="O289" s="242"/>
      <c r="P289" s="242"/>
      <c r="Q289" s="242"/>
      <c r="R289" s="242"/>
      <c r="S289" s="242"/>
      <c r="T289" s="242"/>
      <c r="U289" s="242"/>
      <c r="V289" s="242"/>
      <c r="W289" s="242"/>
      <c r="X289" s="242"/>
      <c r="Y289" s="242"/>
      <c r="Z289" s="242"/>
      <c r="AA289" s="242"/>
      <c r="AB289" s="242"/>
      <c r="AC289" s="242"/>
      <c r="AD289" s="242"/>
      <c r="AE289" s="242"/>
      <c r="AF289" s="242"/>
      <c r="AG289" s="242"/>
      <c r="AH289" s="242"/>
      <c r="AI289" s="242"/>
      <c r="AJ289" s="242"/>
      <c r="AK289" s="242"/>
      <c r="AL289" s="242"/>
      <c r="AM289" s="242"/>
      <c r="AN289" s="242"/>
      <c r="AO289" s="242"/>
      <c r="AP289" s="242"/>
      <c r="AQ289" s="242"/>
      <c r="AR289" s="231"/>
    </row>
    <row r="290" spans="1:75" ht="14.25" customHeight="1" x14ac:dyDescent="0.3">
      <c r="A290" s="326"/>
      <c r="B290" s="233" t="s">
        <v>546</v>
      </c>
      <c r="C290" s="228"/>
      <c r="D290" s="228"/>
      <c r="E290" s="228"/>
      <c r="F290" s="228"/>
      <c r="G290" s="228"/>
      <c r="H290" s="229"/>
      <c r="I290" s="230"/>
      <c r="J290" s="230"/>
      <c r="K290" s="230"/>
      <c r="L290" s="230"/>
      <c r="M290" s="230"/>
      <c r="N290" s="230"/>
      <c r="O290" s="230"/>
      <c r="P290" s="230"/>
      <c r="Q290" s="230"/>
      <c r="R290" s="230"/>
      <c r="S290" s="230"/>
      <c r="T290" s="230"/>
      <c r="U290" s="230"/>
      <c r="V290" s="230"/>
      <c r="W290" s="230"/>
      <c r="X290" s="230"/>
      <c r="Y290" s="230"/>
      <c r="Z290" s="230"/>
      <c r="AA290" s="230"/>
      <c r="AB290" s="230"/>
      <c r="AC290" s="230"/>
      <c r="AD290" s="230"/>
      <c r="AE290" s="230"/>
      <c r="AF290" s="230"/>
      <c r="AG290" s="230"/>
      <c r="AH290" s="230"/>
      <c r="AI290" s="230"/>
      <c r="AJ290" s="230"/>
      <c r="AK290" s="230"/>
      <c r="AL290" s="230"/>
      <c r="AM290" s="230"/>
      <c r="AN290" s="230"/>
      <c r="AO290" s="230"/>
      <c r="AP290" s="230"/>
      <c r="AQ290" s="230"/>
      <c r="AR290" s="231"/>
    </row>
    <row r="291" spans="1:75" ht="24" customHeight="1" x14ac:dyDescent="0.3">
      <c r="A291" s="970" t="s">
        <v>838</v>
      </c>
      <c r="B291" s="234" t="s">
        <v>547</v>
      </c>
      <c r="C291" s="243">
        <v>4.919924</v>
      </c>
      <c r="D291" s="243">
        <v>4.8109590000000004</v>
      </c>
      <c r="E291" s="243">
        <v>4.9761220000000002</v>
      </c>
      <c r="F291" s="243">
        <v>4.8506799999999997</v>
      </c>
      <c r="G291" s="243">
        <v>3.0877800000000004</v>
      </c>
      <c r="H291" s="244">
        <v>3.238219</v>
      </c>
      <c r="I291" s="244">
        <v>3.101035</v>
      </c>
      <c r="J291" s="244">
        <v>3.1255449999999998</v>
      </c>
      <c r="K291" s="244">
        <v>3.0943149999999999</v>
      </c>
      <c r="L291" s="244">
        <v>2.9013369999999998</v>
      </c>
      <c r="M291" s="244">
        <v>2.9091149999999999</v>
      </c>
      <c r="N291" s="244">
        <v>3.0226899999999999</v>
      </c>
      <c r="O291" s="891">
        <v>3.1267863657743744</v>
      </c>
      <c r="P291" s="891">
        <v>3.218763346196519</v>
      </c>
      <c r="Q291" s="891">
        <v>3.3190205860246138</v>
      </c>
      <c r="R291" s="891">
        <v>3.3974283260127658</v>
      </c>
      <c r="S291" s="891">
        <v>3.4636758809604018</v>
      </c>
      <c r="T291" s="891">
        <v>3.551684959348989</v>
      </c>
      <c r="U291" s="891">
        <v>3.6281637929117614</v>
      </c>
      <c r="V291" s="891">
        <v>3.6735128210416148</v>
      </c>
      <c r="W291" s="891">
        <v>3.7268655938247304</v>
      </c>
      <c r="X291" s="891">
        <v>3.8047875039002181</v>
      </c>
      <c r="Y291" s="891">
        <v>3.8561092141936637</v>
      </c>
      <c r="Z291" s="891">
        <v>3.9224241762146721</v>
      </c>
      <c r="AA291" s="891">
        <v>3.9693773004092834</v>
      </c>
      <c r="AB291" s="891">
        <v>4.0186811232893191</v>
      </c>
      <c r="AC291" s="891">
        <v>4.0783625277243134</v>
      </c>
      <c r="AD291" s="891">
        <v>4.1323099702727495</v>
      </c>
      <c r="AE291" s="891">
        <v>4.1942844867282894</v>
      </c>
      <c r="AF291" s="891">
        <v>4.2714696465041921</v>
      </c>
      <c r="AG291" s="891">
        <v>4.3449491280159771</v>
      </c>
      <c r="AH291" s="891">
        <v>4.4279277499069654</v>
      </c>
      <c r="AI291" s="891">
        <v>4.5156997019769261</v>
      </c>
      <c r="AJ291" s="891">
        <v>4.5910340267179386</v>
      </c>
      <c r="AK291" s="891">
        <v>4.6927367019515902</v>
      </c>
      <c r="AL291" s="891">
        <v>4.7872275602042507</v>
      </c>
      <c r="AM291" s="891">
        <v>4.9074729397571817</v>
      </c>
      <c r="AN291" s="891">
        <v>5.0132723571323448</v>
      </c>
      <c r="AO291" s="891">
        <v>5.1203275942042277</v>
      </c>
      <c r="AP291" s="891">
        <v>5.2336242247433695</v>
      </c>
      <c r="AQ291" s="891">
        <v>5.3480503985686436</v>
      </c>
      <c r="AR291" s="231"/>
    </row>
    <row r="292" spans="1:75" ht="14.25" customHeight="1" x14ac:dyDescent="0.35">
      <c r="A292" s="100"/>
      <c r="B292" s="247"/>
      <c r="C292" s="247"/>
      <c r="D292" s="247"/>
      <c r="E292" s="247"/>
      <c r="F292" s="247"/>
      <c r="G292" s="247"/>
      <c r="H292" s="248"/>
      <c r="I292" s="248"/>
      <c r="J292" s="248"/>
      <c r="K292" s="249"/>
      <c r="L292" s="249"/>
      <c r="M292" s="249"/>
      <c r="N292" s="249"/>
      <c r="O292" s="249"/>
      <c r="P292" s="249"/>
      <c r="Q292" s="249"/>
      <c r="R292" s="249"/>
      <c r="S292" s="249"/>
      <c r="T292" s="249"/>
      <c r="U292" s="249"/>
      <c r="V292" s="249"/>
      <c r="W292" s="249"/>
      <c r="X292" s="249"/>
      <c r="Y292" s="249"/>
      <c r="Z292" s="249"/>
      <c r="AA292" s="249"/>
      <c r="AB292" s="249"/>
      <c r="AC292" s="249"/>
      <c r="AD292" s="249"/>
      <c r="AE292" s="249"/>
      <c r="AF292" s="249"/>
      <c r="AG292" s="249"/>
      <c r="AH292" s="249"/>
      <c r="AI292" s="249"/>
      <c r="AJ292" s="249"/>
      <c r="AK292" s="249"/>
      <c r="AL292" s="249"/>
      <c r="AM292" s="249"/>
      <c r="AN292" s="249"/>
      <c r="AO292" s="249"/>
      <c r="AP292" s="249"/>
      <c r="AQ292" s="249"/>
      <c r="AR292" s="60"/>
    </row>
    <row r="293" spans="1:75" ht="14.25" customHeight="1" x14ac:dyDescent="0.3">
      <c r="A293" s="95"/>
      <c r="B293" s="45"/>
      <c r="C293" s="45"/>
      <c r="D293" s="45"/>
      <c r="E293" s="45"/>
      <c r="F293" s="45"/>
      <c r="G293" s="45"/>
      <c r="H293" s="944"/>
      <c r="I293" s="944"/>
      <c r="J293" s="944"/>
      <c r="K293" s="944"/>
      <c r="L293" s="944"/>
      <c r="M293" s="944"/>
      <c r="N293" s="944"/>
      <c r="O293" s="944"/>
      <c r="P293" s="944"/>
      <c r="Q293" s="944"/>
      <c r="R293" s="944"/>
      <c r="S293" s="944"/>
      <c r="T293" s="944"/>
      <c r="U293" s="944"/>
      <c r="V293" s="944"/>
      <c r="W293" s="944"/>
      <c r="X293" s="944"/>
      <c r="Y293" s="944"/>
      <c r="Z293" s="944"/>
      <c r="AA293" s="944"/>
      <c r="AB293" s="944"/>
      <c r="AC293" s="944"/>
      <c r="AD293" s="944"/>
      <c r="AE293" s="944"/>
      <c r="AF293" s="944"/>
      <c r="AG293" s="944"/>
      <c r="AH293" s="944"/>
      <c r="AI293" s="944"/>
      <c r="AJ293" s="944"/>
      <c r="AK293" s="944"/>
      <c r="AL293" s="944"/>
      <c r="AM293" s="944"/>
      <c r="AN293" s="944"/>
      <c r="AO293" s="944"/>
      <c r="AP293" s="944"/>
      <c r="AQ293" s="944"/>
      <c r="AR293" s="45"/>
    </row>
    <row r="294" spans="1:75" ht="15.75" customHeight="1" x14ac:dyDescent="0.3">
      <c r="A294" s="96"/>
      <c r="B294" s="44" t="s">
        <v>552</v>
      </c>
      <c r="C294" s="44"/>
      <c r="D294" s="45"/>
      <c r="E294" s="45"/>
      <c r="F294" s="45"/>
      <c r="G294" s="45"/>
      <c r="H294" s="944"/>
      <c r="I294" s="944"/>
      <c r="J294" s="944"/>
      <c r="K294" s="944"/>
      <c r="L294" s="944"/>
      <c r="M294" s="944"/>
      <c r="N294" s="944"/>
      <c r="O294" s="944"/>
      <c r="P294" s="944"/>
      <c r="Q294" s="944"/>
      <c r="R294" s="944"/>
      <c r="S294" s="944"/>
      <c r="T294" s="944"/>
      <c r="U294" s="944"/>
      <c r="V294" s="944"/>
      <c r="W294" s="944"/>
      <c r="X294" s="944"/>
      <c r="Y294" s="944"/>
      <c r="Z294" s="944"/>
      <c r="AA294" s="944"/>
      <c r="AB294" s="944"/>
      <c r="AC294" s="944"/>
      <c r="AD294" s="944"/>
      <c r="AE294" s="944"/>
      <c r="AF294" s="944"/>
      <c r="AG294" s="944"/>
      <c r="AH294" s="944"/>
      <c r="AI294" s="944"/>
      <c r="AJ294" s="944"/>
      <c r="AK294" s="944"/>
      <c r="AL294" s="944"/>
      <c r="AM294" s="944"/>
      <c r="AN294" s="944"/>
      <c r="AO294" s="944"/>
      <c r="AP294" s="944"/>
      <c r="AQ294" s="944"/>
      <c r="AR294" s="45"/>
      <c r="AS294" s="45"/>
      <c r="AT294" s="45"/>
      <c r="AU294" s="45"/>
    </row>
    <row r="295" spans="1:75" ht="14.25" customHeight="1" x14ac:dyDescent="0.3">
      <c r="A295" s="95"/>
      <c r="B295" s="45"/>
      <c r="C295" s="45"/>
      <c r="D295" s="45"/>
      <c r="E295" s="45"/>
      <c r="F295" s="45"/>
      <c r="G295" s="45"/>
      <c r="H295" s="944"/>
      <c r="I295" s="944"/>
      <c r="J295" s="944"/>
      <c r="K295" s="944"/>
      <c r="L295" s="944"/>
      <c r="M295" s="944"/>
      <c r="N295" s="944"/>
      <c r="O295" s="944"/>
      <c r="P295" s="944"/>
      <c r="Q295" s="944"/>
      <c r="R295" s="944"/>
      <c r="S295" s="944"/>
      <c r="T295" s="944"/>
      <c r="U295" s="944"/>
      <c r="V295" s="944"/>
      <c r="W295" s="944"/>
      <c r="X295" s="944"/>
      <c r="Y295" s="944"/>
      <c r="Z295" s="944"/>
      <c r="AA295" s="944"/>
      <c r="AB295" s="944"/>
      <c r="AC295" s="944"/>
      <c r="AD295" s="944"/>
      <c r="AE295" s="944"/>
      <c r="AF295" s="944"/>
      <c r="AG295" s="944"/>
      <c r="AH295" s="944"/>
      <c r="AI295" s="944"/>
      <c r="AJ295" s="944"/>
      <c r="AK295" s="944"/>
      <c r="AL295" s="944"/>
      <c r="AM295" s="944"/>
      <c r="AN295" s="944"/>
      <c r="AO295" s="944"/>
      <c r="AP295" s="944"/>
      <c r="AQ295" s="944"/>
      <c r="AR295" s="45"/>
    </row>
    <row r="296" spans="1:75" ht="13.5" customHeight="1" x14ac:dyDescent="0.3">
      <c r="A296" s="99"/>
      <c r="B296" s="224"/>
      <c r="C296" s="224"/>
      <c r="D296" s="224"/>
      <c r="E296" s="224"/>
      <c r="F296" s="224"/>
      <c r="G296" s="224"/>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c r="AE296" s="225"/>
      <c r="AF296" s="225"/>
      <c r="AG296" s="225"/>
      <c r="AH296" s="225"/>
      <c r="AI296" s="225"/>
      <c r="AJ296" s="225"/>
      <c r="AK296" s="225"/>
      <c r="AL296" s="225"/>
      <c r="AM296" s="225"/>
      <c r="AN296" s="225"/>
      <c r="AO296" s="225"/>
      <c r="AP296" s="225"/>
      <c r="AQ296" s="225"/>
      <c r="AR296" s="55"/>
    </row>
    <row r="297" spans="1:75" ht="14.25" hidden="1" customHeight="1" x14ac:dyDescent="0.3">
      <c r="A297" s="326"/>
      <c r="B297" s="233" t="s">
        <v>565</v>
      </c>
      <c r="C297" s="228"/>
      <c r="D297" s="228"/>
      <c r="E297" s="228"/>
      <c r="F297" s="228"/>
      <c r="G297" s="228"/>
      <c r="H297" s="229"/>
      <c r="I297" s="230"/>
      <c r="J297" s="230"/>
      <c r="K297" s="230"/>
      <c r="L297" s="230"/>
      <c r="M297" s="230"/>
      <c r="N297" s="230"/>
      <c r="O297" s="230"/>
      <c r="P297" s="230"/>
      <c r="Q297" s="230"/>
      <c r="R297" s="230"/>
      <c r="S297" s="230"/>
      <c r="T297" s="230"/>
      <c r="U297" s="230"/>
      <c r="V297" s="230"/>
      <c r="W297" s="230"/>
      <c r="X297" s="230"/>
      <c r="Y297" s="230"/>
      <c r="Z297" s="230"/>
      <c r="AA297" s="230"/>
      <c r="AB297" s="230"/>
      <c r="AC297" s="230"/>
      <c r="AD297" s="230"/>
      <c r="AE297" s="230"/>
      <c r="AF297" s="230"/>
      <c r="AG297" s="230"/>
      <c r="AH297" s="230"/>
      <c r="AI297" s="230"/>
      <c r="AJ297" s="230"/>
      <c r="AK297" s="230"/>
      <c r="AL297" s="230"/>
      <c r="AM297" s="230"/>
      <c r="AN297" s="230"/>
      <c r="AO297" s="230"/>
      <c r="AP297" s="230"/>
      <c r="AQ297" s="230"/>
      <c r="AR297" s="231"/>
    </row>
    <row r="298" spans="1:75" ht="14.25" hidden="1" customHeight="1" x14ac:dyDescent="0.3">
      <c r="A298" s="326"/>
      <c r="B298" s="234" t="s">
        <v>566</v>
      </c>
      <c r="C298" s="246">
        <v>0</v>
      </c>
      <c r="D298" s="246">
        <v>0</v>
      </c>
      <c r="E298" s="246">
        <v>0</v>
      </c>
      <c r="F298" s="246">
        <v>0</v>
      </c>
      <c r="G298" s="246">
        <v>1.6520000000000001</v>
      </c>
      <c r="H298" s="891">
        <v>0.505</v>
      </c>
      <c r="I298" s="891">
        <v>0</v>
      </c>
      <c r="J298" s="891">
        <v>0.26</v>
      </c>
      <c r="K298" s="891">
        <v>0.5</v>
      </c>
      <c r="L298" s="891">
        <v>0</v>
      </c>
      <c r="M298" s="891">
        <v>3.0000000000000001E-3</v>
      </c>
      <c r="N298" s="891">
        <v>0</v>
      </c>
      <c r="O298" s="891"/>
      <c r="P298" s="891"/>
      <c r="Q298" s="891"/>
      <c r="R298" s="891"/>
      <c r="S298" s="891"/>
      <c r="T298" s="891"/>
      <c r="U298" s="891"/>
      <c r="V298" s="891"/>
      <c r="W298" s="891"/>
      <c r="X298" s="891"/>
      <c r="Y298" s="891"/>
      <c r="Z298" s="891"/>
      <c r="AA298" s="891"/>
      <c r="AB298" s="891"/>
      <c r="AC298" s="891"/>
      <c r="AD298" s="891"/>
      <c r="AE298" s="891"/>
      <c r="AF298" s="891"/>
      <c r="AG298" s="891"/>
      <c r="AH298" s="891"/>
      <c r="AI298" s="891"/>
      <c r="AJ298" s="891"/>
      <c r="AK298" s="891"/>
      <c r="AL298" s="891"/>
      <c r="AM298" s="891"/>
      <c r="AN298" s="891"/>
      <c r="AO298" s="891"/>
      <c r="AP298" s="891"/>
      <c r="AQ298" s="891"/>
      <c r="AR298" s="231"/>
    </row>
    <row r="299" spans="1:75" ht="14.25" hidden="1" customHeight="1" x14ac:dyDescent="0.35">
      <c r="A299" s="326"/>
      <c r="B299" s="234" t="s">
        <v>567</v>
      </c>
      <c r="C299" s="246">
        <v>10313.996000000001</v>
      </c>
      <c r="D299" s="253">
        <v>19429.969999999994</v>
      </c>
      <c r="E299" s="246">
        <v>19693.512999999999</v>
      </c>
      <c r="F299" s="246">
        <v>5047.5109999999995</v>
      </c>
      <c r="G299" s="246">
        <v>8285.5679999999993</v>
      </c>
      <c r="H299" s="891">
        <v>3121.2689999999993</v>
      </c>
      <c r="I299" s="891">
        <v>267.87599999999998</v>
      </c>
      <c r="J299" s="891">
        <v>53.98321</v>
      </c>
      <c r="K299" s="891">
        <v>8.0000000000000004E-4</v>
      </c>
      <c r="L299" s="891">
        <v>26.648029999999999</v>
      </c>
      <c r="M299" s="891">
        <v>0.03</v>
      </c>
      <c r="N299" s="891">
        <v>537.36009999999999</v>
      </c>
      <c r="O299" s="891"/>
      <c r="P299" s="891"/>
      <c r="Q299" s="891"/>
      <c r="R299" s="891"/>
      <c r="S299" s="891"/>
      <c r="T299" s="891"/>
      <c r="U299" s="891"/>
      <c r="V299" s="891"/>
      <c r="W299" s="891"/>
      <c r="X299" s="891"/>
      <c r="Y299" s="891"/>
      <c r="Z299" s="891"/>
      <c r="AA299" s="891"/>
      <c r="AB299" s="891"/>
      <c r="AC299" s="891"/>
      <c r="AD299" s="891"/>
      <c r="AE299" s="891"/>
      <c r="AF299" s="891"/>
      <c r="AG299" s="891"/>
      <c r="AH299" s="891"/>
      <c r="AI299" s="891"/>
      <c r="AJ299" s="891"/>
      <c r="AK299" s="891"/>
      <c r="AL299" s="891"/>
      <c r="AM299" s="891"/>
      <c r="AN299" s="891"/>
      <c r="AO299" s="891"/>
      <c r="AP299" s="891"/>
      <c r="AQ299" s="891"/>
      <c r="AR299" s="231"/>
    </row>
    <row r="300" spans="1:75" ht="14.25" customHeight="1" x14ac:dyDescent="0.3">
      <c r="A300" s="326"/>
      <c r="B300" s="233" t="s">
        <v>568</v>
      </c>
      <c r="C300" s="228"/>
      <c r="D300" s="228"/>
      <c r="E300" s="228"/>
      <c r="F300" s="228"/>
      <c r="G300" s="228"/>
      <c r="H300" s="229"/>
      <c r="I300" s="230"/>
      <c r="J300" s="230"/>
      <c r="K300" s="230"/>
      <c r="L300" s="230"/>
      <c r="M300" s="230"/>
      <c r="N300" s="230"/>
      <c r="O300" s="230"/>
      <c r="P300" s="230"/>
      <c r="Q300" s="230"/>
      <c r="R300" s="230"/>
      <c r="S300" s="230"/>
      <c r="T300" s="230"/>
      <c r="U300" s="230"/>
      <c r="V300" s="230"/>
      <c r="W300" s="230"/>
      <c r="X300" s="230"/>
      <c r="Y300" s="230"/>
      <c r="Z300" s="230"/>
      <c r="AA300" s="230"/>
      <c r="AB300" s="230"/>
      <c r="AC300" s="230"/>
      <c r="AD300" s="230"/>
      <c r="AE300" s="230"/>
      <c r="AF300" s="230"/>
      <c r="AG300" s="230"/>
      <c r="AH300" s="230"/>
      <c r="AI300" s="230"/>
      <c r="AJ300" s="230"/>
      <c r="AK300" s="230"/>
      <c r="AL300" s="230"/>
      <c r="AM300" s="230"/>
      <c r="AN300" s="230"/>
      <c r="AO300" s="230"/>
      <c r="AP300" s="230"/>
      <c r="AQ300" s="230"/>
      <c r="AR300" s="231"/>
    </row>
    <row r="301" spans="1:75" ht="38.25" customHeight="1" x14ac:dyDescent="0.3">
      <c r="A301" s="1208" t="s">
        <v>839</v>
      </c>
      <c r="B301" s="234" t="s">
        <v>569</v>
      </c>
      <c r="C301" s="246">
        <f t="shared" ref="C301:N301" si="167">C298/1000000</f>
        <v>0</v>
      </c>
      <c r="D301" s="246">
        <f t="shared" si="167"/>
        <v>0</v>
      </c>
      <c r="E301" s="246">
        <f t="shared" si="167"/>
        <v>0</v>
      </c>
      <c r="F301" s="246">
        <f t="shared" si="167"/>
        <v>0</v>
      </c>
      <c r="G301" s="246">
        <f t="shared" si="167"/>
        <v>1.6520000000000002E-6</v>
      </c>
      <c r="H301" s="891">
        <f t="shared" si="167"/>
        <v>5.0500000000000004E-7</v>
      </c>
      <c r="I301" s="891">
        <f t="shared" si="167"/>
        <v>0</v>
      </c>
      <c r="J301" s="891">
        <f t="shared" si="167"/>
        <v>2.6E-7</v>
      </c>
      <c r="K301" s="891">
        <f t="shared" si="167"/>
        <v>4.9999999999999998E-7</v>
      </c>
      <c r="L301" s="891">
        <f t="shared" si="167"/>
        <v>0</v>
      </c>
      <c r="M301" s="891">
        <f t="shared" si="167"/>
        <v>3E-9</v>
      </c>
      <c r="N301" s="891">
        <f t="shared" si="167"/>
        <v>0</v>
      </c>
      <c r="O301" s="891">
        <v>0</v>
      </c>
      <c r="P301" s="891">
        <v>0</v>
      </c>
      <c r="Q301" s="891">
        <v>0</v>
      </c>
      <c r="R301" s="891">
        <v>0</v>
      </c>
      <c r="S301" s="891">
        <v>0</v>
      </c>
      <c r="T301" s="891">
        <v>0</v>
      </c>
      <c r="U301" s="891">
        <v>0</v>
      </c>
      <c r="V301" s="891">
        <v>0</v>
      </c>
      <c r="W301" s="891">
        <v>0</v>
      </c>
      <c r="X301" s="891">
        <v>0</v>
      </c>
      <c r="Y301" s="891">
        <v>0</v>
      </c>
      <c r="Z301" s="891">
        <v>0</v>
      </c>
      <c r="AA301" s="891">
        <v>0</v>
      </c>
      <c r="AB301" s="891">
        <v>0</v>
      </c>
      <c r="AC301" s="891">
        <v>0</v>
      </c>
      <c r="AD301" s="891">
        <v>0</v>
      </c>
      <c r="AE301" s="891">
        <v>0</v>
      </c>
      <c r="AF301" s="891">
        <v>0</v>
      </c>
      <c r="AG301" s="891">
        <v>0</v>
      </c>
      <c r="AH301" s="891">
        <v>0</v>
      </c>
      <c r="AI301" s="891">
        <v>0</v>
      </c>
      <c r="AJ301" s="891">
        <v>0</v>
      </c>
      <c r="AK301" s="891">
        <v>0</v>
      </c>
      <c r="AL301" s="891">
        <v>0</v>
      </c>
      <c r="AM301" s="891">
        <v>0</v>
      </c>
      <c r="AN301" s="891">
        <v>0</v>
      </c>
      <c r="AO301" s="891">
        <v>0</v>
      </c>
      <c r="AP301" s="891">
        <v>0</v>
      </c>
      <c r="AQ301" s="891">
        <v>0</v>
      </c>
      <c r="AR301" s="231"/>
    </row>
    <row r="302" spans="1:75" ht="38.25" customHeight="1" x14ac:dyDescent="0.3">
      <c r="A302" s="995"/>
      <c r="B302" s="234" t="s">
        <v>570</v>
      </c>
      <c r="C302" s="246">
        <f t="shared" ref="C302:N302" si="168">C299/1000000</f>
        <v>1.0313996000000001E-2</v>
      </c>
      <c r="D302" s="246">
        <f t="shared" si="168"/>
        <v>1.9429969999999994E-2</v>
      </c>
      <c r="E302" s="246">
        <f t="shared" si="168"/>
        <v>1.9693512999999999E-2</v>
      </c>
      <c r="F302" s="246">
        <f t="shared" si="168"/>
        <v>5.0475109999999993E-3</v>
      </c>
      <c r="G302" s="246">
        <f t="shared" si="168"/>
        <v>8.2855680000000001E-3</v>
      </c>
      <c r="H302" s="891">
        <f t="shared" si="168"/>
        <v>3.1212689999999994E-3</v>
      </c>
      <c r="I302" s="891">
        <f t="shared" si="168"/>
        <v>2.6787599999999995E-4</v>
      </c>
      <c r="J302" s="891">
        <f t="shared" si="168"/>
        <v>5.3983210000000002E-5</v>
      </c>
      <c r="K302" s="891">
        <f t="shared" si="168"/>
        <v>8.0000000000000003E-10</v>
      </c>
      <c r="L302" s="891">
        <f t="shared" si="168"/>
        <v>2.6648029999999998E-5</v>
      </c>
      <c r="M302" s="891">
        <f t="shared" si="168"/>
        <v>2.9999999999999997E-8</v>
      </c>
      <c r="N302" s="891">
        <f t="shared" si="168"/>
        <v>5.373601E-4</v>
      </c>
      <c r="O302" s="891">
        <v>5.0722226212641486E-4</v>
      </c>
      <c r="P302" s="891">
        <v>5.4117822918335211E-4</v>
      </c>
      <c r="Q302" s="891">
        <v>5.9649239502015049E-4</v>
      </c>
      <c r="R302" s="891">
        <v>6.57460256399798E-4</v>
      </c>
      <c r="S302" s="891">
        <v>7.9936670078232434E-4</v>
      </c>
      <c r="T302" s="891">
        <v>9.7190228017532594E-4</v>
      </c>
      <c r="U302" s="891">
        <v>1.0712410210997443E-3</v>
      </c>
      <c r="V302" s="891">
        <v>1.3024580458571031E-3</v>
      </c>
      <c r="W302" s="891">
        <v>1.5835810315370201E-3</v>
      </c>
      <c r="X302" s="891">
        <v>1.9253816976450876E-3</v>
      </c>
      <c r="Y302" s="891">
        <v>2.1221761671554162E-3</v>
      </c>
      <c r="Z302" s="891">
        <v>2.5802273897242755E-3</v>
      </c>
      <c r="AA302" s="891">
        <v>2.8439540476632506E-3</v>
      </c>
      <c r="AB302" s="891">
        <v>3.1346363725270284E-3</v>
      </c>
      <c r="AC302" s="891">
        <v>3.8112173486810536E-3</v>
      </c>
      <c r="AD302" s="891">
        <v>4.200764261503378E-3</v>
      </c>
      <c r="AE302" s="891">
        <v>5.1074586422457467E-3</v>
      </c>
      <c r="AF302" s="891">
        <v>5.629495189739704E-3</v>
      </c>
      <c r="AG302" s="891">
        <v>6.2048894197932955E-3</v>
      </c>
      <c r="AH302" s="891">
        <v>6.8390950545679334E-3</v>
      </c>
      <c r="AI302" s="891">
        <v>7.5381232445837412E-3</v>
      </c>
      <c r="AJ302" s="891">
        <v>8.3085995438213107E-3</v>
      </c>
      <c r="AK302" s="891">
        <v>9.1578267082843001E-3</v>
      </c>
      <c r="AL302" s="891">
        <v>1.0093853913242461E-2</v>
      </c>
      <c r="AM302" s="891">
        <v>1.1125553045212431E-2</v>
      </c>
      <c r="AN302" s="891">
        <v>1.226270279178969E-2</v>
      </c>
      <c r="AO302" s="891">
        <v>1.3516081326354901E-2</v>
      </c>
      <c r="AP302" s="891">
        <v>1.4897568466142172E-2</v>
      </c>
      <c r="AQ302" s="891">
        <v>1.6420258271947458E-2</v>
      </c>
      <c r="AR302" s="231"/>
    </row>
    <row r="303" spans="1:75" ht="15.75" customHeight="1" x14ac:dyDescent="0.3">
      <c r="A303" s="970"/>
      <c r="B303" s="228" t="s">
        <v>427</v>
      </c>
      <c r="C303" s="327"/>
      <c r="D303" s="327"/>
      <c r="E303" s="327"/>
      <c r="F303" s="327"/>
      <c r="G303" s="327"/>
      <c r="H303" s="305">
        <f t="shared" ref="H303:AQ303" si="169">SUM(H301:H302)</f>
        <v>3.1217739999999995E-3</v>
      </c>
      <c r="I303" s="305">
        <f t="shared" si="169"/>
        <v>2.6787599999999995E-4</v>
      </c>
      <c r="J303" s="305">
        <f t="shared" si="169"/>
        <v>5.4243210000000003E-5</v>
      </c>
      <c r="K303" s="305">
        <f t="shared" si="169"/>
        <v>5.0079999999999993E-7</v>
      </c>
      <c r="L303" s="305">
        <f t="shared" si="169"/>
        <v>2.6648029999999998E-5</v>
      </c>
      <c r="M303" s="305">
        <f t="shared" si="169"/>
        <v>3.2999999999999998E-8</v>
      </c>
      <c r="N303" s="305">
        <f t="shared" si="169"/>
        <v>5.373601E-4</v>
      </c>
      <c r="O303" s="305">
        <f t="shared" si="169"/>
        <v>5.0722226212641486E-4</v>
      </c>
      <c r="P303" s="305">
        <f t="shared" si="169"/>
        <v>5.4117822918335211E-4</v>
      </c>
      <c r="Q303" s="305">
        <f t="shared" si="169"/>
        <v>5.9649239502015049E-4</v>
      </c>
      <c r="R303" s="305">
        <f t="shared" si="169"/>
        <v>6.57460256399798E-4</v>
      </c>
      <c r="S303" s="305">
        <f t="shared" si="169"/>
        <v>7.9936670078232434E-4</v>
      </c>
      <c r="T303" s="305">
        <f t="shared" si="169"/>
        <v>9.7190228017532594E-4</v>
      </c>
      <c r="U303" s="305">
        <f t="shared" si="169"/>
        <v>1.0712410210997443E-3</v>
      </c>
      <c r="V303" s="305">
        <f t="shared" si="169"/>
        <v>1.3024580458571031E-3</v>
      </c>
      <c r="W303" s="305">
        <f t="shared" si="169"/>
        <v>1.5835810315370201E-3</v>
      </c>
      <c r="X303" s="305">
        <f t="shared" si="169"/>
        <v>1.9253816976450876E-3</v>
      </c>
      <c r="Y303" s="305">
        <f t="shared" si="169"/>
        <v>2.1221761671554162E-3</v>
      </c>
      <c r="Z303" s="305">
        <f t="shared" si="169"/>
        <v>2.5802273897242755E-3</v>
      </c>
      <c r="AA303" s="305">
        <f t="shared" si="169"/>
        <v>2.8439540476632506E-3</v>
      </c>
      <c r="AB303" s="305">
        <f t="shared" si="169"/>
        <v>3.1346363725270284E-3</v>
      </c>
      <c r="AC303" s="305">
        <f t="shared" si="169"/>
        <v>3.8112173486810536E-3</v>
      </c>
      <c r="AD303" s="305">
        <f t="shared" si="169"/>
        <v>4.200764261503378E-3</v>
      </c>
      <c r="AE303" s="305">
        <f t="shared" si="169"/>
        <v>5.1074586422457467E-3</v>
      </c>
      <c r="AF303" s="305">
        <f t="shared" si="169"/>
        <v>5.629495189739704E-3</v>
      </c>
      <c r="AG303" s="305">
        <f t="shared" si="169"/>
        <v>6.2048894197932955E-3</v>
      </c>
      <c r="AH303" s="305">
        <f t="shared" si="169"/>
        <v>6.8390950545679334E-3</v>
      </c>
      <c r="AI303" s="305">
        <f t="shared" si="169"/>
        <v>7.5381232445837412E-3</v>
      </c>
      <c r="AJ303" s="305">
        <f t="shared" si="169"/>
        <v>8.3085995438213107E-3</v>
      </c>
      <c r="AK303" s="305">
        <f t="shared" si="169"/>
        <v>9.1578267082843001E-3</v>
      </c>
      <c r="AL303" s="305">
        <f t="shared" si="169"/>
        <v>1.0093853913242461E-2</v>
      </c>
      <c r="AM303" s="305">
        <f t="shared" si="169"/>
        <v>1.1125553045212431E-2</v>
      </c>
      <c r="AN303" s="305">
        <f t="shared" si="169"/>
        <v>1.226270279178969E-2</v>
      </c>
      <c r="AO303" s="305">
        <f t="shared" si="169"/>
        <v>1.3516081326354901E-2</v>
      </c>
      <c r="AP303" s="305">
        <f t="shared" si="169"/>
        <v>1.4897568466142172E-2</v>
      </c>
      <c r="AQ303" s="305">
        <f t="shared" si="169"/>
        <v>1.6420258271947458E-2</v>
      </c>
      <c r="AR303" s="328"/>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row>
    <row r="304" spans="1:75" ht="13.5" customHeight="1" x14ac:dyDescent="0.35">
      <c r="A304" s="326"/>
      <c r="B304" s="250"/>
      <c r="C304" s="250"/>
      <c r="D304" s="250"/>
      <c r="E304" s="250"/>
      <c r="F304" s="250"/>
      <c r="G304" s="250"/>
      <c r="H304" s="251"/>
      <c r="I304" s="251"/>
      <c r="J304" s="251"/>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c r="AK304" s="252"/>
      <c r="AL304" s="252"/>
      <c r="AM304" s="252"/>
      <c r="AN304" s="252"/>
      <c r="AO304" s="252"/>
      <c r="AP304" s="252"/>
      <c r="AQ304" s="252"/>
      <c r="AR304" s="231"/>
    </row>
    <row r="305" spans="1:75" ht="14.25" hidden="1" customHeight="1" x14ac:dyDescent="0.3">
      <c r="A305" s="326"/>
      <c r="B305" s="233" t="s">
        <v>572</v>
      </c>
      <c r="C305" s="228"/>
      <c r="D305" s="228"/>
      <c r="E305" s="228"/>
      <c r="F305" s="228"/>
      <c r="G305" s="228"/>
      <c r="H305" s="229"/>
      <c r="I305" s="230"/>
      <c r="J305" s="230"/>
      <c r="K305" s="230"/>
      <c r="L305" s="230"/>
      <c r="M305" s="230"/>
      <c r="N305" s="230"/>
      <c r="O305" s="230"/>
      <c r="P305" s="230"/>
      <c r="Q305" s="230"/>
      <c r="R305" s="230"/>
      <c r="S305" s="230"/>
      <c r="T305" s="230"/>
      <c r="U305" s="230"/>
      <c r="V305" s="230"/>
      <c r="W305" s="230"/>
      <c r="X305" s="230"/>
      <c r="Y305" s="230"/>
      <c r="Z305" s="230"/>
      <c r="AA305" s="230"/>
      <c r="AB305" s="230"/>
      <c r="AC305" s="230"/>
      <c r="AD305" s="230"/>
      <c r="AE305" s="230"/>
      <c r="AF305" s="230"/>
      <c r="AG305" s="230"/>
      <c r="AH305" s="230"/>
      <c r="AI305" s="230"/>
      <c r="AJ305" s="230"/>
      <c r="AK305" s="230"/>
      <c r="AL305" s="230"/>
      <c r="AM305" s="230"/>
      <c r="AN305" s="230"/>
      <c r="AO305" s="230"/>
      <c r="AP305" s="230"/>
      <c r="AQ305" s="230"/>
      <c r="AR305" s="231"/>
    </row>
    <row r="306" spans="1:75" ht="14.25" hidden="1" customHeight="1" x14ac:dyDescent="0.3">
      <c r="A306" s="326"/>
      <c r="B306" s="234" t="s">
        <v>566</v>
      </c>
      <c r="C306" s="246">
        <v>1203.5489999999998</v>
      </c>
      <c r="D306" s="246">
        <v>1147.1089999999999</v>
      </c>
      <c r="E306" s="246">
        <v>1121.2549999999999</v>
      </c>
      <c r="F306" s="246">
        <v>1006.304</v>
      </c>
      <c r="G306" s="246">
        <v>1050.048</v>
      </c>
      <c r="H306" s="891">
        <v>1053.1539999999998</v>
      </c>
      <c r="I306" s="891">
        <v>941.81799999999987</v>
      </c>
      <c r="J306" s="891">
        <v>1035.35257</v>
      </c>
      <c r="K306" s="891">
        <v>1422.06591</v>
      </c>
      <c r="L306" s="891">
        <v>1615.844531</v>
      </c>
      <c r="M306" s="891">
        <v>1679.1366089999999</v>
      </c>
      <c r="N306" s="891">
        <v>2253.0822370000001</v>
      </c>
      <c r="O306" s="891"/>
      <c r="P306" s="891"/>
      <c r="Q306" s="891"/>
      <c r="R306" s="891"/>
      <c r="S306" s="891"/>
      <c r="T306" s="891"/>
      <c r="U306" s="891"/>
      <c r="V306" s="891"/>
      <c r="W306" s="891"/>
      <c r="X306" s="891"/>
      <c r="Y306" s="891"/>
      <c r="Z306" s="891"/>
      <c r="AA306" s="891"/>
      <c r="AB306" s="891"/>
      <c r="AC306" s="891"/>
      <c r="AD306" s="891"/>
      <c r="AE306" s="891"/>
      <c r="AF306" s="891"/>
      <c r="AG306" s="891"/>
      <c r="AH306" s="891"/>
      <c r="AI306" s="891"/>
      <c r="AJ306" s="891"/>
      <c r="AK306" s="891"/>
      <c r="AL306" s="891"/>
      <c r="AM306" s="891"/>
      <c r="AN306" s="891"/>
      <c r="AO306" s="891"/>
      <c r="AP306" s="891"/>
      <c r="AQ306" s="891"/>
      <c r="AR306" s="231"/>
    </row>
    <row r="307" spans="1:75" ht="14.25" hidden="1" customHeight="1" x14ac:dyDescent="0.35">
      <c r="A307" s="326"/>
      <c r="B307" s="234" t="s">
        <v>567</v>
      </c>
      <c r="C307" s="246">
        <v>0</v>
      </c>
      <c r="D307" s="253">
        <v>0</v>
      </c>
      <c r="E307" s="246">
        <v>387.58500000000004</v>
      </c>
      <c r="F307" s="246">
        <v>0</v>
      </c>
      <c r="G307" s="246">
        <v>0</v>
      </c>
      <c r="H307" s="891">
        <v>0</v>
      </c>
      <c r="I307" s="891">
        <v>0</v>
      </c>
      <c r="J307" s="891">
        <v>0</v>
      </c>
      <c r="K307" s="891">
        <v>0</v>
      </c>
      <c r="L307" s="891">
        <v>0</v>
      </c>
      <c r="M307" s="891">
        <v>0</v>
      </c>
      <c r="N307" s="891">
        <v>0</v>
      </c>
      <c r="O307" s="891"/>
      <c r="P307" s="891"/>
      <c r="Q307" s="891"/>
      <c r="R307" s="891"/>
      <c r="S307" s="891"/>
      <c r="T307" s="891"/>
      <c r="U307" s="891"/>
      <c r="V307" s="891"/>
      <c r="W307" s="891"/>
      <c r="X307" s="891"/>
      <c r="Y307" s="891"/>
      <c r="Z307" s="891"/>
      <c r="AA307" s="891"/>
      <c r="AB307" s="891"/>
      <c r="AC307" s="891"/>
      <c r="AD307" s="891"/>
      <c r="AE307" s="891"/>
      <c r="AF307" s="891"/>
      <c r="AG307" s="891"/>
      <c r="AH307" s="891"/>
      <c r="AI307" s="891"/>
      <c r="AJ307" s="891"/>
      <c r="AK307" s="891"/>
      <c r="AL307" s="891"/>
      <c r="AM307" s="891"/>
      <c r="AN307" s="891"/>
      <c r="AO307" s="891"/>
      <c r="AP307" s="891"/>
      <c r="AQ307" s="891"/>
      <c r="AR307" s="231"/>
    </row>
    <row r="308" spans="1:75" ht="14.25" customHeight="1" x14ac:dyDescent="0.3">
      <c r="A308" s="326"/>
      <c r="B308" s="233" t="s">
        <v>573</v>
      </c>
      <c r="C308" s="228"/>
      <c r="D308" s="228"/>
      <c r="E308" s="228"/>
      <c r="F308" s="228"/>
      <c r="G308" s="228"/>
      <c r="H308" s="229"/>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c r="AE308" s="230"/>
      <c r="AF308" s="230"/>
      <c r="AG308" s="230"/>
      <c r="AH308" s="230"/>
      <c r="AI308" s="230"/>
      <c r="AJ308" s="230"/>
      <c r="AK308" s="230"/>
      <c r="AL308" s="230"/>
      <c r="AM308" s="230"/>
      <c r="AN308" s="230"/>
      <c r="AO308" s="230"/>
      <c r="AP308" s="230"/>
      <c r="AQ308" s="230"/>
      <c r="AR308" s="231"/>
    </row>
    <row r="309" spans="1:75" ht="33.75" customHeight="1" x14ac:dyDescent="0.3">
      <c r="A309" s="1208" t="s">
        <v>832</v>
      </c>
      <c r="B309" s="234" t="s">
        <v>569</v>
      </c>
      <c r="C309" s="246">
        <f t="shared" ref="C309:N309" si="170">C306/1000000</f>
        <v>1.2035489999999997E-3</v>
      </c>
      <c r="D309" s="246">
        <f t="shared" si="170"/>
        <v>1.1471089999999999E-3</v>
      </c>
      <c r="E309" s="246">
        <f t="shared" si="170"/>
        <v>1.1212549999999998E-3</v>
      </c>
      <c r="F309" s="246">
        <f t="shared" si="170"/>
        <v>1.006304E-3</v>
      </c>
      <c r="G309" s="246">
        <f t="shared" si="170"/>
        <v>1.050048E-3</v>
      </c>
      <c r="H309" s="891">
        <f t="shared" si="170"/>
        <v>1.0531539999999997E-3</v>
      </c>
      <c r="I309" s="891">
        <f t="shared" si="170"/>
        <v>9.4181799999999987E-4</v>
      </c>
      <c r="J309" s="891">
        <f t="shared" si="170"/>
        <v>1.0353525699999999E-3</v>
      </c>
      <c r="K309" s="891">
        <f t="shared" si="170"/>
        <v>1.42206591E-3</v>
      </c>
      <c r="L309" s="891">
        <f t="shared" si="170"/>
        <v>1.615844531E-3</v>
      </c>
      <c r="M309" s="891">
        <f t="shared" si="170"/>
        <v>1.6791366089999999E-3</v>
      </c>
      <c r="N309" s="891">
        <f t="shared" si="170"/>
        <v>2.2530822369999999E-3</v>
      </c>
      <c r="O309" s="891">
        <v>2.6160577392170059E-3</v>
      </c>
      <c r="P309" s="891">
        <v>2.6277529907358312E-3</v>
      </c>
      <c r="Q309" s="891">
        <v>2.7425070230675417E-3</v>
      </c>
      <c r="R309" s="891">
        <v>3.1677917733449281E-3</v>
      </c>
      <c r="S309" s="891">
        <v>3.4861805264686263E-3</v>
      </c>
      <c r="T309" s="891">
        <v>4.017019164467746E-3</v>
      </c>
      <c r="U309" s="891">
        <v>4.5408034089372022E-3</v>
      </c>
      <c r="V309" s="891">
        <v>5.0526312096993804E-3</v>
      </c>
      <c r="W309" s="891">
        <v>5.6064436713202312E-3</v>
      </c>
      <c r="X309" s="891">
        <v>6.2097121461524192E-3</v>
      </c>
      <c r="Y309" s="891">
        <v>6.8390167270351984E-3</v>
      </c>
      <c r="Z309" s="891">
        <v>7.4901660548835364E-3</v>
      </c>
      <c r="AA309" s="891">
        <v>8.2112273736179766E-3</v>
      </c>
      <c r="AB309" s="891">
        <v>9.0473477637803071E-3</v>
      </c>
      <c r="AC309" s="891">
        <v>9.9032739406193383E-3</v>
      </c>
      <c r="AD309" s="891">
        <v>1.0872909616623717E-2</v>
      </c>
      <c r="AE309" s="891">
        <v>1.1916001013862214E-2</v>
      </c>
      <c r="AF309" s="891">
        <v>1.3070500224985866E-2</v>
      </c>
      <c r="AG309" s="891">
        <v>1.4342084674598634E-2</v>
      </c>
      <c r="AH309" s="891">
        <v>1.5683832410564532E-2</v>
      </c>
      <c r="AI309" s="891">
        <v>1.7179314544774681E-2</v>
      </c>
      <c r="AJ309" s="891">
        <v>1.8780553538511564E-2</v>
      </c>
      <c r="AK309" s="891">
        <v>2.0624825508305227E-2</v>
      </c>
      <c r="AL309" s="891">
        <v>2.2622072651462207E-2</v>
      </c>
      <c r="AM309" s="891">
        <v>2.4856112042339028E-2</v>
      </c>
      <c r="AN309" s="891">
        <v>2.7216062948224609E-2</v>
      </c>
      <c r="AO309" s="891">
        <v>2.9910177167773052E-2</v>
      </c>
      <c r="AP309" s="891">
        <v>3.2775053556595539E-2</v>
      </c>
      <c r="AQ309" s="891">
        <v>3.5990280511117335E-2</v>
      </c>
      <c r="AR309" s="231"/>
      <c r="AT309" s="62" t="str">
        <f t="shared" ref="AT309:BW309" si="171">IF(N309&lt;0,"PROBLEMA","")</f>
        <v/>
      </c>
      <c r="AU309" s="62" t="str">
        <f t="shared" si="171"/>
        <v/>
      </c>
      <c r="AV309" s="62" t="str">
        <f t="shared" si="171"/>
        <v/>
      </c>
      <c r="AW309" s="62" t="str">
        <f t="shared" si="171"/>
        <v/>
      </c>
      <c r="AX309" s="62" t="str">
        <f t="shared" si="171"/>
        <v/>
      </c>
      <c r="AY309" s="62" t="str">
        <f t="shared" si="171"/>
        <v/>
      </c>
      <c r="AZ309" s="62" t="str">
        <f t="shared" si="171"/>
        <v/>
      </c>
      <c r="BA309" s="62" t="str">
        <f t="shared" si="171"/>
        <v/>
      </c>
      <c r="BB309" s="62" t="str">
        <f t="shared" si="171"/>
        <v/>
      </c>
      <c r="BC309" s="62" t="str">
        <f t="shared" si="171"/>
        <v/>
      </c>
      <c r="BD309" s="62" t="str">
        <f t="shared" si="171"/>
        <v/>
      </c>
      <c r="BE309" s="62" t="str">
        <f t="shared" si="171"/>
        <v/>
      </c>
      <c r="BF309" s="62" t="str">
        <f t="shared" si="171"/>
        <v/>
      </c>
      <c r="BG309" s="62" t="str">
        <f t="shared" si="171"/>
        <v/>
      </c>
      <c r="BH309" s="62" t="str">
        <f t="shared" si="171"/>
        <v/>
      </c>
      <c r="BI309" s="62" t="str">
        <f t="shared" si="171"/>
        <v/>
      </c>
      <c r="BJ309" s="62" t="str">
        <f t="shared" si="171"/>
        <v/>
      </c>
      <c r="BK309" s="62" t="str">
        <f t="shared" si="171"/>
        <v/>
      </c>
      <c r="BL309" s="62" t="str">
        <f t="shared" si="171"/>
        <v/>
      </c>
      <c r="BM309" s="62" t="str">
        <f t="shared" si="171"/>
        <v/>
      </c>
      <c r="BN309" s="62" t="str">
        <f t="shared" si="171"/>
        <v/>
      </c>
      <c r="BO309" s="62" t="str">
        <f t="shared" si="171"/>
        <v/>
      </c>
      <c r="BP309" s="62" t="str">
        <f t="shared" si="171"/>
        <v/>
      </c>
      <c r="BQ309" s="62" t="str">
        <f t="shared" si="171"/>
        <v/>
      </c>
      <c r="BR309" s="62" t="str">
        <f t="shared" si="171"/>
        <v/>
      </c>
      <c r="BS309" s="62" t="str">
        <f t="shared" si="171"/>
        <v/>
      </c>
      <c r="BT309" s="62" t="str">
        <f t="shared" si="171"/>
        <v/>
      </c>
      <c r="BU309" s="62" t="str">
        <f t="shared" si="171"/>
        <v/>
      </c>
      <c r="BV309" s="62" t="str">
        <f t="shared" si="171"/>
        <v/>
      </c>
      <c r="BW309" s="62" t="str">
        <f t="shared" si="171"/>
        <v/>
      </c>
    </row>
    <row r="310" spans="1:75" ht="34.5" customHeight="1" x14ac:dyDescent="0.3">
      <c r="A310" s="995"/>
      <c r="B310" s="234" t="s">
        <v>570</v>
      </c>
      <c r="C310" s="246">
        <f t="shared" ref="C310:N310" si="172">C307/1000000</f>
        <v>0</v>
      </c>
      <c r="D310" s="246">
        <f t="shared" si="172"/>
        <v>0</v>
      </c>
      <c r="E310" s="246">
        <f t="shared" si="172"/>
        <v>3.8758500000000002E-4</v>
      </c>
      <c r="F310" s="246">
        <f t="shared" si="172"/>
        <v>0</v>
      </c>
      <c r="G310" s="246">
        <f t="shared" si="172"/>
        <v>0</v>
      </c>
      <c r="H310" s="891">
        <f t="shared" si="172"/>
        <v>0</v>
      </c>
      <c r="I310" s="891">
        <f t="shared" si="172"/>
        <v>0</v>
      </c>
      <c r="J310" s="891">
        <f t="shared" si="172"/>
        <v>0</v>
      </c>
      <c r="K310" s="891">
        <f t="shared" si="172"/>
        <v>0</v>
      </c>
      <c r="L310" s="891">
        <f t="shared" si="172"/>
        <v>0</v>
      </c>
      <c r="M310" s="891">
        <f t="shared" si="172"/>
        <v>0</v>
      </c>
      <c r="N310" s="891">
        <f t="shared" si="172"/>
        <v>0</v>
      </c>
      <c r="O310" s="891">
        <v>0</v>
      </c>
      <c r="P310" s="891">
        <v>0</v>
      </c>
      <c r="Q310" s="891">
        <v>0</v>
      </c>
      <c r="R310" s="891">
        <v>0</v>
      </c>
      <c r="S310" s="891">
        <v>0</v>
      </c>
      <c r="T310" s="891">
        <v>0</v>
      </c>
      <c r="U310" s="891">
        <v>0</v>
      </c>
      <c r="V310" s="891">
        <v>0</v>
      </c>
      <c r="W310" s="891">
        <v>0</v>
      </c>
      <c r="X310" s="891">
        <v>0</v>
      </c>
      <c r="Y310" s="891">
        <v>0</v>
      </c>
      <c r="Z310" s="891">
        <v>0</v>
      </c>
      <c r="AA310" s="891">
        <v>0</v>
      </c>
      <c r="AB310" s="891">
        <v>0</v>
      </c>
      <c r="AC310" s="891">
        <v>0</v>
      </c>
      <c r="AD310" s="891">
        <v>0</v>
      </c>
      <c r="AE310" s="891">
        <v>0</v>
      </c>
      <c r="AF310" s="891">
        <v>0</v>
      </c>
      <c r="AG310" s="891">
        <v>0</v>
      </c>
      <c r="AH310" s="891">
        <v>0</v>
      </c>
      <c r="AI310" s="891">
        <v>0</v>
      </c>
      <c r="AJ310" s="891">
        <v>0</v>
      </c>
      <c r="AK310" s="891">
        <v>0</v>
      </c>
      <c r="AL310" s="891">
        <v>0</v>
      </c>
      <c r="AM310" s="891">
        <v>0</v>
      </c>
      <c r="AN310" s="891">
        <v>0</v>
      </c>
      <c r="AO310" s="891">
        <v>0</v>
      </c>
      <c r="AP310" s="891">
        <v>0</v>
      </c>
      <c r="AQ310" s="891">
        <v>0</v>
      </c>
      <c r="AR310" s="231"/>
      <c r="AT310" s="62" t="str">
        <f t="shared" ref="AT310:BW310" si="173">IF(N310&lt;0,"PROBLEMA","")</f>
        <v/>
      </c>
      <c r="AU310" s="62" t="str">
        <f t="shared" si="173"/>
        <v/>
      </c>
      <c r="AV310" s="62" t="str">
        <f t="shared" si="173"/>
        <v/>
      </c>
      <c r="AW310" s="62" t="str">
        <f t="shared" si="173"/>
        <v/>
      </c>
      <c r="AX310" s="62" t="str">
        <f t="shared" si="173"/>
        <v/>
      </c>
      <c r="AY310" s="62" t="str">
        <f t="shared" si="173"/>
        <v/>
      </c>
      <c r="AZ310" s="62" t="str">
        <f t="shared" si="173"/>
        <v/>
      </c>
      <c r="BA310" s="62" t="str">
        <f t="shared" si="173"/>
        <v/>
      </c>
      <c r="BB310" s="62" t="str">
        <f t="shared" si="173"/>
        <v/>
      </c>
      <c r="BC310" s="62" t="str">
        <f t="shared" si="173"/>
        <v/>
      </c>
      <c r="BD310" s="62" t="str">
        <f t="shared" si="173"/>
        <v/>
      </c>
      <c r="BE310" s="62" t="str">
        <f t="shared" si="173"/>
        <v/>
      </c>
      <c r="BF310" s="62" t="str">
        <f t="shared" si="173"/>
        <v/>
      </c>
      <c r="BG310" s="62" t="str">
        <f t="shared" si="173"/>
        <v/>
      </c>
      <c r="BH310" s="62" t="str">
        <f t="shared" si="173"/>
        <v/>
      </c>
      <c r="BI310" s="62" t="str">
        <f t="shared" si="173"/>
        <v/>
      </c>
      <c r="BJ310" s="62" t="str">
        <f t="shared" si="173"/>
        <v/>
      </c>
      <c r="BK310" s="62" t="str">
        <f t="shared" si="173"/>
        <v/>
      </c>
      <c r="BL310" s="62" t="str">
        <f t="shared" si="173"/>
        <v/>
      </c>
      <c r="BM310" s="62" t="str">
        <f t="shared" si="173"/>
        <v/>
      </c>
      <c r="BN310" s="62" t="str">
        <f t="shared" si="173"/>
        <v/>
      </c>
      <c r="BO310" s="62" t="str">
        <f t="shared" si="173"/>
        <v/>
      </c>
      <c r="BP310" s="62" t="str">
        <f t="shared" si="173"/>
        <v/>
      </c>
      <c r="BQ310" s="62" t="str">
        <f t="shared" si="173"/>
        <v/>
      </c>
      <c r="BR310" s="62" t="str">
        <f t="shared" si="173"/>
        <v/>
      </c>
      <c r="BS310" s="62" t="str">
        <f t="shared" si="173"/>
        <v/>
      </c>
      <c r="BT310" s="62" t="str">
        <f t="shared" si="173"/>
        <v/>
      </c>
      <c r="BU310" s="62" t="str">
        <f t="shared" si="173"/>
        <v/>
      </c>
      <c r="BV310" s="62" t="str">
        <f t="shared" si="173"/>
        <v/>
      </c>
      <c r="BW310" s="62" t="str">
        <f t="shared" si="173"/>
        <v/>
      </c>
    </row>
    <row r="311" spans="1:75" ht="15.75" customHeight="1" x14ac:dyDescent="0.3">
      <c r="A311" s="970"/>
      <c r="B311" s="228" t="s">
        <v>427</v>
      </c>
      <c r="C311" s="327"/>
      <c r="D311" s="327"/>
      <c r="E311" s="327"/>
      <c r="F311" s="327"/>
      <c r="G311" s="327"/>
      <c r="H311" s="305">
        <f t="shared" ref="H311:AQ311" si="174">SUM(H309:H310)</f>
        <v>1.0531539999999997E-3</v>
      </c>
      <c r="I311" s="305">
        <f t="shared" si="174"/>
        <v>9.4181799999999987E-4</v>
      </c>
      <c r="J311" s="305">
        <f t="shared" si="174"/>
        <v>1.0353525699999999E-3</v>
      </c>
      <c r="K311" s="305">
        <f t="shared" si="174"/>
        <v>1.42206591E-3</v>
      </c>
      <c r="L311" s="305">
        <f t="shared" si="174"/>
        <v>1.615844531E-3</v>
      </c>
      <c r="M311" s="305">
        <f t="shared" si="174"/>
        <v>1.6791366089999999E-3</v>
      </c>
      <c r="N311" s="305">
        <f t="shared" si="174"/>
        <v>2.2530822369999999E-3</v>
      </c>
      <c r="O311" s="305">
        <f t="shared" si="174"/>
        <v>2.6160577392170059E-3</v>
      </c>
      <c r="P311" s="305">
        <f t="shared" si="174"/>
        <v>2.6277529907358312E-3</v>
      </c>
      <c r="Q311" s="305">
        <f t="shared" si="174"/>
        <v>2.7425070230675417E-3</v>
      </c>
      <c r="R311" s="305">
        <f t="shared" si="174"/>
        <v>3.1677917733449281E-3</v>
      </c>
      <c r="S311" s="305">
        <f t="shared" si="174"/>
        <v>3.4861805264686263E-3</v>
      </c>
      <c r="T311" s="305">
        <f t="shared" si="174"/>
        <v>4.017019164467746E-3</v>
      </c>
      <c r="U311" s="305">
        <f t="shared" si="174"/>
        <v>4.5408034089372022E-3</v>
      </c>
      <c r="V311" s="305">
        <f t="shared" si="174"/>
        <v>5.0526312096993804E-3</v>
      </c>
      <c r="W311" s="305">
        <f t="shared" si="174"/>
        <v>5.6064436713202312E-3</v>
      </c>
      <c r="X311" s="305">
        <f t="shared" si="174"/>
        <v>6.2097121461524192E-3</v>
      </c>
      <c r="Y311" s="305">
        <f t="shared" si="174"/>
        <v>6.8390167270351984E-3</v>
      </c>
      <c r="Z311" s="305">
        <f t="shared" si="174"/>
        <v>7.4901660548835364E-3</v>
      </c>
      <c r="AA311" s="305">
        <f t="shared" si="174"/>
        <v>8.2112273736179766E-3</v>
      </c>
      <c r="AB311" s="305">
        <f t="shared" si="174"/>
        <v>9.0473477637803071E-3</v>
      </c>
      <c r="AC311" s="305">
        <f t="shared" si="174"/>
        <v>9.9032739406193383E-3</v>
      </c>
      <c r="AD311" s="305">
        <f t="shared" si="174"/>
        <v>1.0872909616623717E-2</v>
      </c>
      <c r="AE311" s="305">
        <f t="shared" si="174"/>
        <v>1.1916001013862214E-2</v>
      </c>
      <c r="AF311" s="305">
        <f t="shared" si="174"/>
        <v>1.3070500224985866E-2</v>
      </c>
      <c r="AG311" s="305">
        <f t="shared" si="174"/>
        <v>1.4342084674598634E-2</v>
      </c>
      <c r="AH311" s="305">
        <f t="shared" si="174"/>
        <v>1.5683832410564532E-2</v>
      </c>
      <c r="AI311" s="305">
        <f t="shared" si="174"/>
        <v>1.7179314544774681E-2</v>
      </c>
      <c r="AJ311" s="305">
        <f t="shared" si="174"/>
        <v>1.8780553538511564E-2</v>
      </c>
      <c r="AK311" s="305">
        <f t="shared" si="174"/>
        <v>2.0624825508305227E-2</v>
      </c>
      <c r="AL311" s="305">
        <f t="shared" si="174"/>
        <v>2.2622072651462207E-2</v>
      </c>
      <c r="AM311" s="305">
        <f t="shared" si="174"/>
        <v>2.4856112042339028E-2</v>
      </c>
      <c r="AN311" s="305">
        <f t="shared" si="174"/>
        <v>2.7216062948224609E-2</v>
      </c>
      <c r="AO311" s="305">
        <f t="shared" si="174"/>
        <v>2.9910177167773052E-2</v>
      </c>
      <c r="AP311" s="305">
        <f t="shared" si="174"/>
        <v>3.2775053556595539E-2</v>
      </c>
      <c r="AQ311" s="305">
        <f t="shared" si="174"/>
        <v>3.5990280511117335E-2</v>
      </c>
      <c r="AR311" s="328"/>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row>
    <row r="312" spans="1:75" ht="14.25" customHeight="1" x14ac:dyDescent="0.35">
      <c r="A312" s="100"/>
      <c r="B312" s="247"/>
      <c r="C312" s="247"/>
      <c r="D312" s="247"/>
      <c r="E312" s="247"/>
      <c r="F312" s="247"/>
      <c r="G312" s="247"/>
      <c r="H312" s="248"/>
      <c r="I312" s="248"/>
      <c r="J312" s="248"/>
      <c r="K312" s="249"/>
      <c r="L312" s="249"/>
      <c r="M312" s="249"/>
      <c r="N312" s="249"/>
      <c r="O312" s="249"/>
      <c r="P312" s="249"/>
      <c r="Q312" s="249"/>
      <c r="R312" s="249"/>
      <c r="S312" s="249"/>
      <c r="T312" s="249"/>
      <c r="U312" s="249"/>
      <c r="V312" s="249"/>
      <c r="W312" s="249"/>
      <c r="X312" s="249"/>
      <c r="Y312" s="249"/>
      <c r="Z312" s="249"/>
      <c r="AA312" s="249"/>
      <c r="AB312" s="249"/>
      <c r="AC312" s="249"/>
      <c r="AD312" s="249"/>
      <c r="AE312" s="249"/>
      <c r="AF312" s="249"/>
      <c r="AG312" s="249"/>
      <c r="AH312" s="249"/>
      <c r="AI312" s="249"/>
      <c r="AJ312" s="249"/>
      <c r="AK312" s="249"/>
      <c r="AL312" s="249"/>
      <c r="AM312" s="249"/>
      <c r="AN312" s="249"/>
      <c r="AO312" s="249"/>
      <c r="AP312" s="249"/>
      <c r="AQ312" s="249"/>
      <c r="AR312" s="60"/>
    </row>
    <row r="313" spans="1:75" ht="14.25" customHeight="1" x14ac:dyDescent="0.3">
      <c r="A313" s="95"/>
      <c r="B313" s="45"/>
      <c r="C313" s="45"/>
      <c r="D313" s="45"/>
      <c r="E313" s="45"/>
      <c r="F313" s="45"/>
      <c r="G313" s="45"/>
      <c r="H313" s="944"/>
      <c r="I313" s="944"/>
      <c r="J313" s="944"/>
      <c r="K313" s="944"/>
      <c r="L313" s="944"/>
      <c r="M313" s="944"/>
      <c r="N313" s="944"/>
      <c r="O313" s="944"/>
      <c r="P313" s="944"/>
      <c r="Q313" s="944"/>
      <c r="R313" s="944"/>
      <c r="S313" s="944"/>
      <c r="T313" s="944"/>
      <c r="U313" s="944"/>
      <c r="V313" s="944"/>
      <c r="W313" s="944"/>
      <c r="X313" s="944"/>
      <c r="Y313" s="944"/>
      <c r="Z313" s="944"/>
      <c r="AA313" s="944"/>
      <c r="AB313" s="944"/>
      <c r="AC313" s="944"/>
      <c r="AD313" s="944"/>
      <c r="AE313" s="944"/>
      <c r="AF313" s="944"/>
      <c r="AG313" s="944"/>
      <c r="AH313" s="944"/>
      <c r="AI313" s="944"/>
      <c r="AJ313" s="944"/>
      <c r="AK313" s="944"/>
      <c r="AL313" s="944"/>
      <c r="AM313" s="944"/>
      <c r="AN313" s="944"/>
      <c r="AO313" s="944"/>
      <c r="AP313" s="944"/>
      <c r="AQ313" s="944"/>
      <c r="AR313" s="45"/>
    </row>
    <row r="314" spans="1:75" ht="15.75" customHeight="1" x14ac:dyDescent="0.3">
      <c r="A314" s="96"/>
      <c r="B314" s="44" t="s">
        <v>577</v>
      </c>
      <c r="C314" s="44"/>
      <c r="D314" s="45"/>
      <c r="E314" s="45"/>
      <c r="F314" s="45"/>
      <c r="G314" s="45"/>
      <c r="H314" s="944"/>
      <c r="I314" s="944"/>
      <c r="J314" s="944"/>
      <c r="K314" s="944"/>
      <c r="L314" s="944"/>
      <c r="M314" s="944"/>
      <c r="N314" s="944"/>
      <c r="O314" s="944"/>
      <c r="P314" s="944"/>
      <c r="Q314" s="944"/>
      <c r="R314" s="944"/>
      <c r="S314" s="944"/>
      <c r="T314" s="944"/>
      <c r="U314" s="944"/>
      <c r="V314" s="944"/>
      <c r="W314" s="944"/>
      <c r="X314" s="944"/>
      <c r="Y314" s="944"/>
      <c r="Z314" s="944"/>
      <c r="AA314" s="944"/>
      <c r="AB314" s="944"/>
      <c r="AC314" s="944"/>
      <c r="AD314" s="944"/>
      <c r="AE314" s="944"/>
      <c r="AF314" s="944"/>
      <c r="AG314" s="944"/>
      <c r="AH314" s="944"/>
      <c r="AI314" s="944"/>
      <c r="AJ314" s="944"/>
      <c r="AK314" s="944"/>
      <c r="AL314" s="944"/>
      <c r="AM314" s="944"/>
      <c r="AN314" s="944"/>
      <c r="AO314" s="944"/>
      <c r="AP314" s="944"/>
      <c r="AQ314" s="944"/>
      <c r="AR314" s="45"/>
      <c r="AS314" s="45"/>
      <c r="AT314" s="45"/>
      <c r="AU314" s="45"/>
    </row>
    <row r="315" spans="1:75" ht="13.5" customHeight="1" x14ac:dyDescent="0.3">
      <c r="A315" s="101"/>
      <c r="H315" s="26"/>
      <c r="I315" s="26"/>
      <c r="J315" s="26"/>
      <c r="K315" s="944"/>
      <c r="L315" s="944"/>
      <c r="M315" s="944"/>
      <c r="N315" s="944"/>
      <c r="O315" s="944"/>
      <c r="P315" s="944"/>
      <c r="Q315" s="944"/>
      <c r="R315" s="944"/>
      <c r="S315" s="944"/>
      <c r="T315" s="944"/>
      <c r="U315" s="944"/>
      <c r="V315" s="944"/>
      <c r="W315" s="944"/>
      <c r="X315" s="944"/>
      <c r="Y315" s="944"/>
      <c r="Z315" s="944"/>
      <c r="AA315" s="944"/>
      <c r="AB315" s="944"/>
      <c r="AC315" s="944"/>
      <c r="AD315" s="944"/>
      <c r="AE315" s="944"/>
      <c r="AF315" s="944"/>
      <c r="AG315" s="944"/>
      <c r="AH315" s="944"/>
      <c r="AI315" s="944"/>
      <c r="AJ315" s="944"/>
      <c r="AK315" s="944"/>
      <c r="AL315" s="944"/>
      <c r="AM315" s="944"/>
      <c r="AN315" s="944"/>
      <c r="AO315" s="944"/>
      <c r="AP315" s="944"/>
      <c r="AQ315" s="944"/>
    </row>
    <row r="316" spans="1:75" ht="13.5" customHeight="1" x14ac:dyDescent="0.3">
      <c r="A316" s="102"/>
      <c r="B316" s="254"/>
      <c r="C316" s="254"/>
      <c r="D316" s="254"/>
      <c r="E316" s="254"/>
      <c r="F316" s="254"/>
      <c r="G316" s="254"/>
      <c r="H316" s="255"/>
      <c r="I316" s="255"/>
      <c r="J316" s="255"/>
      <c r="K316" s="255"/>
      <c r="L316" s="255"/>
      <c r="M316" s="255"/>
      <c r="N316" s="255"/>
      <c r="O316" s="255"/>
      <c r="P316" s="255"/>
      <c r="Q316" s="255"/>
      <c r="R316" s="255"/>
      <c r="S316" s="255"/>
      <c r="T316" s="255"/>
      <c r="U316" s="255"/>
      <c r="V316" s="255"/>
      <c r="W316" s="255"/>
      <c r="X316" s="255"/>
      <c r="Y316" s="255"/>
      <c r="Z316" s="255"/>
      <c r="AA316" s="255"/>
      <c r="AB316" s="255"/>
      <c r="AC316" s="255"/>
      <c r="AD316" s="255"/>
      <c r="AE316" s="255"/>
      <c r="AF316" s="255"/>
      <c r="AG316" s="255"/>
      <c r="AH316" s="255"/>
      <c r="AI316" s="255"/>
      <c r="AJ316" s="255"/>
      <c r="AK316" s="255"/>
      <c r="AL316" s="255"/>
      <c r="AM316" s="255"/>
      <c r="AN316" s="255"/>
      <c r="AO316" s="255"/>
      <c r="AP316" s="255"/>
      <c r="AQ316" s="255"/>
      <c r="AR316" s="64"/>
    </row>
    <row r="317" spans="1:75" ht="14.25" customHeight="1" x14ac:dyDescent="0.3">
      <c r="A317" s="329"/>
      <c r="B317" s="263" t="s">
        <v>579</v>
      </c>
      <c r="C317" s="258"/>
      <c r="D317" s="258"/>
      <c r="E317" s="258"/>
      <c r="F317" s="258"/>
      <c r="G317" s="258"/>
      <c r="H317" s="259"/>
      <c r="I317" s="260"/>
      <c r="J317" s="260"/>
      <c r="K317" s="260"/>
      <c r="L317" s="260"/>
      <c r="M317" s="260"/>
      <c r="N317" s="260"/>
      <c r="O317" s="260"/>
      <c r="P317" s="260"/>
      <c r="Q317" s="260"/>
      <c r="R317" s="260"/>
      <c r="S317" s="260"/>
      <c r="T317" s="260"/>
      <c r="U317" s="260"/>
      <c r="V317" s="260"/>
      <c r="W317" s="260"/>
      <c r="X317" s="260"/>
      <c r="Y317" s="260"/>
      <c r="Z317" s="260"/>
      <c r="AA317" s="260"/>
      <c r="AB317" s="260"/>
      <c r="AC317" s="260"/>
      <c r="AD317" s="260"/>
      <c r="AE317" s="260"/>
      <c r="AF317" s="260"/>
      <c r="AG317" s="260"/>
      <c r="AH317" s="260"/>
      <c r="AI317" s="260"/>
      <c r="AJ317" s="260"/>
      <c r="AK317" s="260"/>
      <c r="AL317" s="260"/>
      <c r="AM317" s="260"/>
      <c r="AN317" s="260"/>
      <c r="AO317" s="260"/>
      <c r="AP317" s="260"/>
      <c r="AQ317" s="260"/>
      <c r="AR317" s="261"/>
    </row>
    <row r="318" spans="1:75" ht="13.5" customHeight="1" x14ac:dyDescent="0.3">
      <c r="A318" s="1207" t="s">
        <v>840</v>
      </c>
      <c r="B318" s="264" t="s">
        <v>580</v>
      </c>
      <c r="C318" s="264">
        <v>5103324</v>
      </c>
      <c r="D318" s="264">
        <v>4751549</v>
      </c>
      <c r="E318" s="265">
        <v>4720671.6523124119</v>
      </c>
      <c r="F318" s="264">
        <v>5243671</v>
      </c>
      <c r="G318" s="264">
        <v>5742914</v>
      </c>
      <c r="H318" s="260">
        <v>2616788</v>
      </c>
      <c r="I318" s="260">
        <v>3478581</v>
      </c>
      <c r="J318" s="260">
        <v>3344602</v>
      </c>
      <c r="K318" s="260">
        <v>3196303</v>
      </c>
      <c r="L318" s="260">
        <v>4775794</v>
      </c>
      <c r="M318" s="260">
        <v>3759096</v>
      </c>
      <c r="N318" s="260">
        <v>4591351</v>
      </c>
      <c r="O318" s="269">
        <v>4715317.477</v>
      </c>
      <c r="P318" s="269">
        <v>4861492.3187869992</v>
      </c>
      <c r="Q318" s="269">
        <v>5007337.0883506089</v>
      </c>
      <c r="R318" s="269">
        <v>5142535.1897360748</v>
      </c>
      <c r="S318" s="269">
        <v>5260813.4991000043</v>
      </c>
      <c r="T318" s="269">
        <v>5428361.0760565009</v>
      </c>
      <c r="U318" s="269">
        <v>5582861.5943951998</v>
      </c>
      <c r="V318" s="269">
        <v>5705459.962610119</v>
      </c>
      <c r="W318" s="269">
        <v>5841366.4388941936</v>
      </c>
      <c r="X318" s="269">
        <v>6026410.4292267123</v>
      </c>
      <c r="Y318" s="269">
        <v>6175073.6772322645</v>
      </c>
      <c r="Z318" s="269">
        <v>6353621.8099445486</v>
      </c>
      <c r="AA318" s="269">
        <v>6503990.1797481794</v>
      </c>
      <c r="AB318" s="269">
        <v>6657774.188088974</v>
      </c>
      <c r="AC318" s="269">
        <v>6827799.5425764071</v>
      </c>
      <c r="AD318" s="269">
        <v>6982730.839434131</v>
      </c>
      <c r="AE318" s="269">
        <v>7146315.1991610015</v>
      </c>
      <c r="AF318" s="269">
        <v>7326480.506690057</v>
      </c>
      <c r="AG318" s="269">
        <v>7492898.9184965128</v>
      </c>
      <c r="AH318" s="269">
        <v>7663929.9431880554</v>
      </c>
      <c r="AI318" s="269">
        <v>7834689.2694632094</v>
      </c>
      <c r="AJ318" s="269">
        <v>7971740.1313019898</v>
      </c>
      <c r="AK318" s="269">
        <v>8146452.180516257</v>
      </c>
      <c r="AL318" s="269">
        <v>8297900.2363956571</v>
      </c>
      <c r="AM318" s="269">
        <v>8487600.9176644031</v>
      </c>
      <c r="AN318" s="269">
        <v>8644029.7738717571</v>
      </c>
      <c r="AO318" s="269">
        <v>8798929.2454193663</v>
      </c>
      <c r="AP318" s="269">
        <v>8959536.9169524498</v>
      </c>
      <c r="AQ318" s="269">
        <v>9121344.7894236222</v>
      </c>
      <c r="AR318" s="261"/>
    </row>
    <row r="319" spans="1:75" ht="13.5" customHeight="1" x14ac:dyDescent="0.3">
      <c r="A319" s="995"/>
      <c r="B319" s="264" t="s">
        <v>581</v>
      </c>
      <c r="C319" s="264">
        <v>13189288</v>
      </c>
      <c r="D319" s="264">
        <v>8697936</v>
      </c>
      <c r="E319" s="266">
        <v>10180560</v>
      </c>
      <c r="F319" s="266">
        <v>11129097</v>
      </c>
      <c r="G319" s="266">
        <v>10487005</v>
      </c>
      <c r="H319" s="260">
        <v>12275062</v>
      </c>
      <c r="I319" s="260">
        <v>10828280</v>
      </c>
      <c r="J319" s="260">
        <v>10061652</v>
      </c>
      <c r="K319" s="260">
        <v>9759176</v>
      </c>
      <c r="L319" s="260">
        <v>11336435</v>
      </c>
      <c r="M319" s="260">
        <v>13972704</v>
      </c>
      <c r="N319" s="260">
        <v>16613863</v>
      </c>
      <c r="O319" s="269">
        <v>17062437.300999999</v>
      </c>
      <c r="P319" s="269">
        <v>17591372.857330997</v>
      </c>
      <c r="Q319" s="269">
        <v>18119114.043050926</v>
      </c>
      <c r="R319" s="269">
        <v>18608330.1222133</v>
      </c>
      <c r="S319" s="269">
        <v>19036321.715024203</v>
      </c>
      <c r="T319" s="269">
        <v>19642594.790103238</v>
      </c>
      <c r="U319" s="269">
        <v>20201656.914760694</v>
      </c>
      <c r="V319" s="269">
        <v>20645280.696420215</v>
      </c>
      <c r="W319" s="269">
        <v>21137060.039318714</v>
      </c>
      <c r="X319" s="269">
        <v>21806644.112581201</v>
      </c>
      <c r="Y319" s="269">
        <v>22344583.99901098</v>
      </c>
      <c r="Z319" s="269">
        <v>22990662.727426145</v>
      </c>
      <c r="AA319" s="269">
        <v>23534772.619144477</v>
      </c>
      <c r="AB319" s="269">
        <v>24091242.043103747</v>
      </c>
      <c r="AC319" s="269">
        <v>24706480.988237903</v>
      </c>
      <c r="AD319" s="269">
        <v>25267101.890540201</v>
      </c>
      <c r="AE319" s="269">
        <v>25859034.012794621</v>
      </c>
      <c r="AF319" s="269">
        <v>26510964.509208553</v>
      </c>
      <c r="AG319" s="269">
        <v>27113151.685582139</v>
      </c>
      <c r="AH319" s="269">
        <v>27732029.661362015</v>
      </c>
      <c r="AI319" s="269">
        <v>28349924.492906738</v>
      </c>
      <c r="AJ319" s="269">
        <v>28845844.809741896</v>
      </c>
      <c r="AK319" s="269">
        <v>29478042.62038523</v>
      </c>
      <c r="AL319" s="269">
        <v>30026059.370138559</v>
      </c>
      <c r="AM319" s="269">
        <v>30712493.739805702</v>
      </c>
      <c r="AN319" s="269">
        <v>31278533.579991236</v>
      </c>
      <c r="AO319" s="269">
        <v>31839039.321997099</v>
      </c>
      <c r="AP319" s="269">
        <v>32420200.25950757</v>
      </c>
      <c r="AQ319" s="269">
        <v>33005704.139641657</v>
      </c>
      <c r="AR319" s="261"/>
    </row>
    <row r="320" spans="1:75" ht="13.5" customHeight="1" x14ac:dyDescent="0.3">
      <c r="A320" s="971"/>
      <c r="B320" s="258" t="s">
        <v>841</v>
      </c>
      <c r="C320" s="258"/>
      <c r="D320" s="258"/>
      <c r="E320" s="330"/>
      <c r="F320" s="330"/>
      <c r="G320" s="330"/>
      <c r="H320" s="259">
        <f t="shared" ref="H320:AQ320" si="175">SUM(H318:H319)</f>
        <v>14891850</v>
      </c>
      <c r="I320" s="259">
        <f t="shared" si="175"/>
        <v>14306861</v>
      </c>
      <c r="J320" s="259">
        <f t="shared" si="175"/>
        <v>13406254</v>
      </c>
      <c r="K320" s="259">
        <f t="shared" si="175"/>
        <v>12955479</v>
      </c>
      <c r="L320" s="259">
        <f t="shared" si="175"/>
        <v>16112229</v>
      </c>
      <c r="M320" s="259">
        <f t="shared" si="175"/>
        <v>17731800</v>
      </c>
      <c r="N320" s="259">
        <f t="shared" si="175"/>
        <v>21205214</v>
      </c>
      <c r="O320" s="331">
        <f t="shared" si="175"/>
        <v>21777754.777999997</v>
      </c>
      <c r="P320" s="331">
        <f t="shared" si="175"/>
        <v>22452865.176117994</v>
      </c>
      <c r="Q320" s="331">
        <f t="shared" si="175"/>
        <v>23126451.131401535</v>
      </c>
      <c r="R320" s="331">
        <f t="shared" si="175"/>
        <v>23750865.311949376</v>
      </c>
      <c r="S320" s="331">
        <f t="shared" si="175"/>
        <v>24297135.214124206</v>
      </c>
      <c r="T320" s="331">
        <f t="shared" si="175"/>
        <v>25070955.866159737</v>
      </c>
      <c r="U320" s="331">
        <f t="shared" si="175"/>
        <v>25784518.509155892</v>
      </c>
      <c r="V320" s="331">
        <f t="shared" si="175"/>
        <v>26350740.659030333</v>
      </c>
      <c r="W320" s="331">
        <f t="shared" si="175"/>
        <v>26978426.478212908</v>
      </c>
      <c r="X320" s="331">
        <f t="shared" si="175"/>
        <v>27833054.541807912</v>
      </c>
      <c r="Y320" s="331">
        <f t="shared" si="175"/>
        <v>28519657.676243246</v>
      </c>
      <c r="Z320" s="331">
        <f t="shared" si="175"/>
        <v>29344284.537370693</v>
      </c>
      <c r="AA320" s="331">
        <f t="shared" si="175"/>
        <v>30038762.798892654</v>
      </c>
      <c r="AB320" s="331">
        <f t="shared" si="175"/>
        <v>30749016.231192723</v>
      </c>
      <c r="AC320" s="331">
        <f t="shared" si="175"/>
        <v>31534280.530814309</v>
      </c>
      <c r="AD320" s="331">
        <f t="shared" si="175"/>
        <v>32249832.729974333</v>
      </c>
      <c r="AE320" s="331">
        <f t="shared" si="175"/>
        <v>33005349.211955622</v>
      </c>
      <c r="AF320" s="331">
        <f t="shared" si="175"/>
        <v>33837445.015898608</v>
      </c>
      <c r="AG320" s="331">
        <f t="shared" si="175"/>
        <v>34606050.60407865</v>
      </c>
      <c r="AH320" s="331">
        <f t="shared" si="175"/>
        <v>35395959.604550071</v>
      </c>
      <c r="AI320" s="331">
        <f t="shared" si="175"/>
        <v>36184613.762369946</v>
      </c>
      <c r="AJ320" s="331">
        <f t="shared" si="175"/>
        <v>36817584.941043884</v>
      </c>
      <c r="AK320" s="331">
        <f t="shared" si="175"/>
        <v>37624494.800901487</v>
      </c>
      <c r="AL320" s="331">
        <f t="shared" si="175"/>
        <v>38323959.606534213</v>
      </c>
      <c r="AM320" s="331">
        <f t="shared" si="175"/>
        <v>39200094.657470107</v>
      </c>
      <c r="AN320" s="331">
        <f t="shared" si="175"/>
        <v>39922563.353862993</v>
      </c>
      <c r="AO320" s="331">
        <f t="shared" si="175"/>
        <v>40637968.567416467</v>
      </c>
      <c r="AP320" s="331">
        <f t="shared" si="175"/>
        <v>41379737.17646002</v>
      </c>
      <c r="AQ320" s="331">
        <f t="shared" si="175"/>
        <v>42127048.92906528</v>
      </c>
      <c r="AR320" s="332"/>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row>
    <row r="321" spans="1:44" ht="12.75" customHeight="1" x14ac:dyDescent="0.3">
      <c r="A321" s="329"/>
      <c r="B321" s="267"/>
      <c r="C321" s="267"/>
      <c r="D321" s="267"/>
      <c r="E321" s="267"/>
      <c r="F321" s="267"/>
      <c r="G321" s="267"/>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c r="AI321" s="268"/>
      <c r="AJ321" s="268"/>
      <c r="AK321" s="268"/>
      <c r="AL321" s="268"/>
      <c r="AM321" s="268"/>
      <c r="AN321" s="268"/>
      <c r="AO321" s="268"/>
      <c r="AP321" s="268"/>
      <c r="AQ321" s="268"/>
      <c r="AR321" s="261"/>
    </row>
    <row r="322" spans="1:44" ht="14.25" customHeight="1" x14ac:dyDescent="0.3">
      <c r="A322" s="329"/>
      <c r="B322" s="263" t="s">
        <v>583</v>
      </c>
      <c r="C322" s="258"/>
      <c r="D322" s="258"/>
      <c r="E322" s="258"/>
      <c r="F322" s="258"/>
      <c r="G322" s="258"/>
      <c r="H322" s="259"/>
      <c r="I322" s="260"/>
      <c r="J322" s="260"/>
      <c r="K322" s="260"/>
      <c r="L322" s="260"/>
      <c r="M322" s="260"/>
      <c r="N322" s="260"/>
      <c r="O322" s="260"/>
      <c r="P322" s="260"/>
      <c r="Q322" s="260"/>
      <c r="R322" s="260"/>
      <c r="S322" s="260"/>
      <c r="T322" s="260"/>
      <c r="U322" s="260"/>
      <c r="V322" s="260"/>
      <c r="W322" s="260"/>
      <c r="X322" s="260"/>
      <c r="Y322" s="260"/>
      <c r="Z322" s="260"/>
      <c r="AA322" s="260"/>
      <c r="AB322" s="260"/>
      <c r="AC322" s="260"/>
      <c r="AD322" s="260"/>
      <c r="AE322" s="260"/>
      <c r="AF322" s="260"/>
      <c r="AG322" s="260"/>
      <c r="AH322" s="260"/>
      <c r="AI322" s="260"/>
      <c r="AJ322" s="260"/>
      <c r="AK322" s="260"/>
      <c r="AL322" s="260"/>
      <c r="AM322" s="260"/>
      <c r="AN322" s="260"/>
      <c r="AO322" s="260"/>
      <c r="AP322" s="260"/>
      <c r="AQ322" s="260"/>
      <c r="AR322" s="261"/>
    </row>
    <row r="323" spans="1:44" ht="14.25" customHeight="1" x14ac:dyDescent="0.3">
      <c r="A323" s="1207" t="s">
        <v>836</v>
      </c>
      <c r="B323" s="264" t="s">
        <v>584</v>
      </c>
      <c r="C323" s="265">
        <f>7885770+46676634</f>
        <v>54562404</v>
      </c>
      <c r="D323" s="265">
        <f>8753527+39396564</f>
        <v>48150091</v>
      </c>
      <c r="E323" s="265">
        <v>47431058</v>
      </c>
      <c r="F323" s="265">
        <v>42468054</v>
      </c>
      <c r="G323" s="265">
        <v>55427095</v>
      </c>
      <c r="H323" s="269">
        <v>64332941</v>
      </c>
      <c r="I323" s="269">
        <v>59156593</v>
      </c>
      <c r="J323" s="269">
        <v>47961551</v>
      </c>
      <c r="K323" s="269">
        <v>44411748</v>
      </c>
      <c r="L323" s="269">
        <v>89393421</v>
      </c>
      <c r="M323" s="269">
        <v>86434176</v>
      </c>
      <c r="N323" s="269">
        <v>85369879</v>
      </c>
      <c r="O323" s="269">
        <v>86517528.325463459</v>
      </c>
      <c r="P323" s="269">
        <v>87655390.878754705</v>
      </c>
      <c r="Q323" s="269">
        <v>88782788.559197411</v>
      </c>
      <c r="R323" s="269">
        <v>89899509.760906801</v>
      </c>
      <c r="S323" s="269">
        <v>91004304.085472628</v>
      </c>
      <c r="T323" s="269">
        <v>92096753.130349964</v>
      </c>
      <c r="U323" s="269">
        <v>93176072.991920084</v>
      </c>
      <c r="V323" s="269">
        <v>94242109.77499406</v>
      </c>
      <c r="W323" s="269">
        <v>95293665.982632875</v>
      </c>
      <c r="X323" s="269">
        <v>96330178.935551926</v>
      </c>
      <c r="Y323" s="269">
        <v>97350922.440828353</v>
      </c>
      <c r="Z323" s="269">
        <v>98355054.884147599</v>
      </c>
      <c r="AA323" s="269">
        <v>99342162.672189385</v>
      </c>
      <c r="AB323" s="269">
        <v>100311524.4212555</v>
      </c>
      <c r="AC323" s="269">
        <v>101262716.91957633</v>
      </c>
      <c r="AD323" s="269">
        <v>102194927.40818524</v>
      </c>
      <c r="AE323" s="269">
        <v>103107833.66903037</v>
      </c>
      <c r="AF323" s="269">
        <v>104000834.54902987</v>
      </c>
      <c r="AG323" s="269">
        <v>104873511.64563881</v>
      </c>
      <c r="AH323" s="269">
        <v>105725754.34669012</v>
      </c>
      <c r="AI323" s="269">
        <v>106557269.28947987</v>
      </c>
      <c r="AJ323" s="269">
        <v>107367541.88697</v>
      </c>
      <c r="AK323" s="269">
        <v>108156466.33621812</v>
      </c>
      <c r="AL323" s="269">
        <v>108923528.05018619</v>
      </c>
      <c r="AM323" s="269">
        <v>109668597.17980853</v>
      </c>
      <c r="AN323" s="269">
        <v>110391793.9557015</v>
      </c>
      <c r="AO323" s="269">
        <v>111092497.98788464</v>
      </c>
      <c r="AP323" s="269">
        <v>111770896.8361195</v>
      </c>
      <c r="AQ323" s="269">
        <v>112427226.15241416</v>
      </c>
      <c r="AR323" s="261"/>
    </row>
    <row r="324" spans="1:44" ht="14.25" customHeight="1" x14ac:dyDescent="0.3">
      <c r="A324" s="995"/>
      <c r="B324" s="264" t="s">
        <v>585</v>
      </c>
      <c r="C324" s="265">
        <f>6240594+329192</f>
        <v>6569786</v>
      </c>
      <c r="D324" s="265">
        <f>6792358+6564</f>
        <v>6798922</v>
      </c>
      <c r="E324" s="265">
        <v>5849938</v>
      </c>
      <c r="F324" s="265">
        <v>6541108</v>
      </c>
      <c r="G324" s="265">
        <v>7861318</v>
      </c>
      <c r="H324" s="269">
        <v>2966045</v>
      </c>
      <c r="I324" s="269">
        <v>4362341</v>
      </c>
      <c r="J324" s="269">
        <v>4021186</v>
      </c>
      <c r="K324" s="269">
        <v>3426364</v>
      </c>
      <c r="L324" s="269">
        <v>6107526</v>
      </c>
      <c r="M324" s="269">
        <v>3917999</v>
      </c>
      <c r="N324" s="260">
        <v>5412876</v>
      </c>
      <c r="O324" s="269">
        <v>5485642.6896449197</v>
      </c>
      <c r="P324" s="269">
        <v>5557788.8491353048</v>
      </c>
      <c r="Q324" s="269">
        <v>5629271.4835071303</v>
      </c>
      <c r="R324" s="269">
        <v>5700077.175892191</v>
      </c>
      <c r="S324" s="269">
        <v>5770126.644796541</v>
      </c>
      <c r="T324" s="269">
        <v>5839393.3614125904</v>
      </c>
      <c r="U324" s="269">
        <v>5907827.6223422121</v>
      </c>
      <c r="V324" s="269">
        <v>5975419.669863075</v>
      </c>
      <c r="W324" s="269">
        <v>6042093.5766982846</v>
      </c>
      <c r="X324" s="269">
        <v>6107813.6661755657</v>
      </c>
      <c r="Y324" s="269">
        <v>6172533.8940426642</v>
      </c>
      <c r="Z324" s="269">
        <v>6236200.89775558</v>
      </c>
      <c r="AA324" s="269">
        <v>6298788.4534355467</v>
      </c>
      <c r="AB324" s="269">
        <v>6360250.8217591327</v>
      </c>
      <c r="AC324" s="269">
        <v>6420561.1689899266</v>
      </c>
      <c r="AD324" s="269">
        <v>6479667.9621568639</v>
      </c>
      <c r="AE324" s="269">
        <v>6537550.771028812</v>
      </c>
      <c r="AF324" s="269">
        <v>6594171.4795029126</v>
      </c>
      <c r="AG324" s="269">
        <v>6649503.5587715758</v>
      </c>
      <c r="AH324" s="269">
        <v>6703539.9954718761</v>
      </c>
      <c r="AI324" s="269">
        <v>6756262.1889456185</v>
      </c>
      <c r="AJ324" s="269">
        <v>6807637.5118087558</v>
      </c>
      <c r="AK324" s="269">
        <v>6857659.255627186</v>
      </c>
      <c r="AL324" s="269">
        <v>6906294.7930168621</v>
      </c>
      <c r="AM324" s="269">
        <v>6953535.8908995669</v>
      </c>
      <c r="AN324" s="269">
        <v>6999390.1724958718</v>
      </c>
      <c r="AO324" s="269">
        <v>7043818.3019876257</v>
      </c>
      <c r="AP324" s="269">
        <v>7086832.1715989215</v>
      </c>
      <c r="AQ324" s="269">
        <v>7128446.7228420805</v>
      </c>
      <c r="AR324" s="261"/>
    </row>
    <row r="325" spans="1:44" ht="14.25" customHeight="1" x14ac:dyDescent="0.3">
      <c r="A325" s="103"/>
      <c r="B325" s="270"/>
      <c r="C325" s="270"/>
      <c r="D325" s="270"/>
      <c r="E325" s="270"/>
      <c r="F325" s="270"/>
      <c r="G325" s="270"/>
      <c r="H325" s="271"/>
      <c r="I325" s="271"/>
      <c r="J325" s="271"/>
      <c r="K325" s="271"/>
      <c r="L325" s="271"/>
      <c r="M325" s="271"/>
      <c r="N325" s="271"/>
      <c r="O325" s="271"/>
      <c r="P325" s="271"/>
      <c r="Q325" s="271"/>
      <c r="R325" s="271"/>
      <c r="S325" s="271"/>
      <c r="T325" s="271"/>
      <c r="U325" s="271"/>
      <c r="V325" s="271"/>
      <c r="W325" s="271"/>
      <c r="X325" s="271"/>
      <c r="Y325" s="271"/>
      <c r="Z325" s="271"/>
      <c r="AA325" s="271"/>
      <c r="AB325" s="271"/>
      <c r="AC325" s="271"/>
      <c r="AD325" s="271"/>
      <c r="AE325" s="271"/>
      <c r="AF325" s="271"/>
      <c r="AG325" s="271"/>
      <c r="AH325" s="271"/>
      <c r="AI325" s="271"/>
      <c r="AJ325" s="271"/>
      <c r="AK325" s="271"/>
      <c r="AL325" s="271"/>
      <c r="AM325" s="271"/>
      <c r="AN325" s="271"/>
      <c r="AO325" s="271"/>
      <c r="AP325" s="271"/>
      <c r="AQ325" s="271"/>
      <c r="AR325" s="66"/>
    </row>
    <row r="326" spans="1:44" ht="14.25" customHeight="1" x14ac:dyDescent="0.3">
      <c r="A326" s="95"/>
      <c r="B326" s="45"/>
      <c r="C326" s="45"/>
      <c r="D326" s="45"/>
      <c r="E326" s="45"/>
      <c r="F326" s="45"/>
      <c r="G326" s="45"/>
      <c r="H326" s="944"/>
      <c r="I326" s="944"/>
      <c r="J326" s="944"/>
      <c r="K326" s="944"/>
      <c r="L326" s="944"/>
      <c r="M326" s="944"/>
      <c r="N326" s="944"/>
      <c r="O326" s="944"/>
      <c r="P326" s="944"/>
      <c r="Q326" s="944"/>
      <c r="R326" s="944"/>
      <c r="S326" s="944"/>
      <c r="T326" s="944"/>
      <c r="U326" s="944"/>
      <c r="V326" s="944"/>
      <c r="W326" s="944"/>
      <c r="X326" s="944"/>
      <c r="Y326" s="944"/>
      <c r="Z326" s="944"/>
      <c r="AA326" s="944"/>
      <c r="AB326" s="944"/>
      <c r="AC326" s="944"/>
      <c r="AD326" s="944"/>
      <c r="AE326" s="944"/>
      <c r="AF326" s="944"/>
      <c r="AG326" s="944"/>
      <c r="AH326" s="944"/>
      <c r="AI326" s="944"/>
      <c r="AJ326" s="944"/>
      <c r="AK326" s="944"/>
      <c r="AL326" s="944"/>
      <c r="AM326" s="944"/>
      <c r="AN326" s="944"/>
      <c r="AO326" s="944"/>
      <c r="AP326" s="944"/>
      <c r="AQ326" s="944"/>
      <c r="AR326" s="45"/>
    </row>
    <row r="327" spans="1:44" ht="15.75" customHeight="1" x14ac:dyDescent="0.3">
      <c r="A327" s="96"/>
      <c r="B327" s="44" t="s">
        <v>702</v>
      </c>
      <c r="C327" s="941"/>
      <c r="D327" s="944"/>
      <c r="E327" s="944"/>
      <c r="F327" s="944"/>
      <c r="G327" s="944"/>
      <c r="H327" s="944"/>
      <c r="I327" s="944"/>
      <c r="J327" s="944"/>
      <c r="K327" s="944"/>
      <c r="L327" s="944"/>
      <c r="M327" s="944"/>
      <c r="N327" s="944"/>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row>
    <row r="328" spans="1:44" ht="14.25" customHeight="1" x14ac:dyDescent="0.3">
      <c r="A328" s="104"/>
      <c r="B328" s="81"/>
      <c r="C328" s="82"/>
      <c r="D328" s="944"/>
      <c r="E328" s="944"/>
      <c r="F328" s="944"/>
      <c r="G328" s="944"/>
      <c r="H328" s="944"/>
      <c r="I328" s="944"/>
      <c r="J328" s="944"/>
      <c r="K328" s="944"/>
      <c r="L328" s="944"/>
      <c r="M328" s="944"/>
      <c r="N328" s="944"/>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row>
    <row r="329" spans="1:44" ht="14.25" customHeight="1" x14ac:dyDescent="0.3">
      <c r="A329" s="105"/>
      <c r="B329" s="175"/>
      <c r="C329" s="176"/>
      <c r="D329" s="176"/>
      <c r="E329" s="176"/>
      <c r="F329" s="176"/>
      <c r="G329" s="176"/>
      <c r="H329" s="176"/>
      <c r="I329" s="176"/>
      <c r="J329" s="176"/>
      <c r="K329" s="176"/>
      <c r="L329" s="176"/>
      <c r="M329" s="176"/>
      <c r="N329" s="176"/>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c r="AP329" s="175"/>
      <c r="AQ329" s="175"/>
      <c r="AR329" s="47"/>
    </row>
    <row r="330" spans="1:44" ht="14.25" customHeight="1" x14ac:dyDescent="0.3">
      <c r="A330" s="324"/>
      <c r="B330" s="184" t="s">
        <v>704</v>
      </c>
      <c r="C330" s="180"/>
      <c r="D330" s="180"/>
      <c r="E330" s="180"/>
      <c r="F330" s="180"/>
      <c r="G330" s="180"/>
      <c r="H330" s="180"/>
      <c r="I330" s="181"/>
      <c r="J330" s="181"/>
      <c r="K330" s="181"/>
      <c r="L330" s="181"/>
      <c r="M330" s="181"/>
      <c r="N330" s="181"/>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2"/>
    </row>
    <row r="331" spans="1:44" ht="14.25" customHeight="1" x14ac:dyDescent="0.3">
      <c r="A331" s="1206" t="s">
        <v>838</v>
      </c>
      <c r="B331" s="185" t="s">
        <v>705</v>
      </c>
      <c r="C331" s="1203" t="s">
        <v>623</v>
      </c>
      <c r="D331" s="977"/>
      <c r="E331" s="977"/>
      <c r="F331" s="977"/>
      <c r="G331" s="977"/>
      <c r="H331" s="977"/>
      <c r="I331" s="977"/>
      <c r="J331" s="202">
        <v>203.37577932876076</v>
      </c>
      <c r="K331" s="202">
        <v>168.86544963795106</v>
      </c>
      <c r="L331" s="202">
        <v>148.33635557383047</v>
      </c>
      <c r="M331" s="202">
        <v>164.93146787757703</v>
      </c>
      <c r="N331" s="202">
        <v>157.4</v>
      </c>
      <c r="O331" s="291">
        <v>162.82059158328727</v>
      </c>
      <c r="P331" s="291">
        <v>167.61009256368737</v>
      </c>
      <c r="Q331" s="291">
        <v>172.83077002281885</v>
      </c>
      <c r="R331" s="291">
        <v>176.9136823539329</v>
      </c>
      <c r="S331" s="291">
        <v>180.36337952723147</v>
      </c>
      <c r="T331" s="291">
        <v>184.94626064913402</v>
      </c>
      <c r="U331" s="291">
        <v>188.92872937823967</v>
      </c>
      <c r="V331" s="291">
        <v>191.29018127295561</v>
      </c>
      <c r="W331" s="291">
        <v>194.06841074275314</v>
      </c>
      <c r="X331" s="291">
        <v>198.12602453903455</v>
      </c>
      <c r="Y331" s="291">
        <v>200.79849085221531</v>
      </c>
      <c r="Z331" s="291">
        <v>204.25169810208439</v>
      </c>
      <c r="AA331" s="291">
        <v>206.69667980653699</v>
      </c>
      <c r="AB331" s="291">
        <v>209.26406902650916</v>
      </c>
      <c r="AC331" s="291">
        <v>212.37184820931259</v>
      </c>
      <c r="AD331" s="291">
        <v>215.18104381227676</v>
      </c>
      <c r="AE331" s="291">
        <v>218.40823181041813</v>
      </c>
      <c r="AF331" s="291">
        <v>222.42748093908403</v>
      </c>
      <c r="AG331" s="291">
        <v>226.25376494106735</v>
      </c>
      <c r="AH331" s="291">
        <v>230.57469599441441</v>
      </c>
      <c r="AI331" s="291">
        <v>235.14522927960468</v>
      </c>
      <c r="AJ331" s="291">
        <v>239.0681002039255</v>
      </c>
      <c r="AK331" s="291">
        <v>244.36404556444106</v>
      </c>
      <c r="AL331" s="291">
        <v>249.28445125902726</v>
      </c>
      <c r="AM331" s="291">
        <v>255.54596757119668</v>
      </c>
      <c r="AN331" s="291">
        <v>261.05524185828887</v>
      </c>
      <c r="AO331" s="291">
        <v>266.62991022160577</v>
      </c>
      <c r="AP331" s="291">
        <v>272.52958555942104</v>
      </c>
      <c r="AQ331" s="291">
        <v>278.48807940434</v>
      </c>
      <c r="AR331" s="182"/>
    </row>
    <row r="332" spans="1:44" ht="14.25" customHeight="1" x14ac:dyDescent="0.3">
      <c r="A332" s="995"/>
      <c r="B332" s="185" t="s">
        <v>842</v>
      </c>
      <c r="C332" s="977"/>
      <c r="D332" s="982"/>
      <c r="E332" s="982"/>
      <c r="F332" s="982"/>
      <c r="G332" s="982"/>
      <c r="H332" s="982"/>
      <c r="I332" s="977"/>
      <c r="J332" s="202">
        <v>768.06</v>
      </c>
      <c r="K332" s="202">
        <v>769</v>
      </c>
      <c r="L332" s="202">
        <v>567</v>
      </c>
      <c r="M332" s="202">
        <v>831.7</v>
      </c>
      <c r="N332" s="202">
        <v>1015.3</v>
      </c>
      <c r="O332" s="291">
        <v>1050.2652263946095</v>
      </c>
      <c r="P332" s="291">
        <v>1081.1596377376859</v>
      </c>
      <c r="Q332" s="291">
        <v>1114.83532912432</v>
      </c>
      <c r="R332" s="291">
        <v>1141.1719294405848</v>
      </c>
      <c r="S332" s="291">
        <v>1163.4240103811824</v>
      </c>
      <c r="T332" s="291">
        <v>1192.985631747559</v>
      </c>
      <c r="U332" s="291">
        <v>1218.674326160907</v>
      </c>
      <c r="V332" s="291">
        <v>1233.9067410827945</v>
      </c>
      <c r="W332" s="291">
        <v>1251.8275567161202</v>
      </c>
      <c r="X332" s="291">
        <v>1278.0009702317777</v>
      </c>
      <c r="Y332" s="291">
        <v>1295.2395664692137</v>
      </c>
      <c r="Z332" s="291">
        <v>1317.5142889647161</v>
      </c>
      <c r="AA332" s="291">
        <v>1333.2855083073509</v>
      </c>
      <c r="AB332" s="291">
        <v>1349.846310562991</v>
      </c>
      <c r="AC332" s="291">
        <v>1369.8928684047974</v>
      </c>
      <c r="AD332" s="291">
        <v>1388.0134293685173</v>
      </c>
      <c r="AE332" s="291">
        <v>1408.8302271735549</v>
      </c>
      <c r="AF332" s="291">
        <v>1434.7561715212962</v>
      </c>
      <c r="AG332" s="291">
        <v>1459.4374049851695</v>
      </c>
      <c r="AH332" s="291">
        <v>1487.3093319131444</v>
      </c>
      <c r="AI332" s="291">
        <v>1516.7913042413127</v>
      </c>
      <c r="AJ332" s="291">
        <v>1542.0955663090569</v>
      </c>
      <c r="AK332" s="291">
        <v>1576.256769133272</v>
      </c>
      <c r="AL332" s="291">
        <v>1607.9955740996847</v>
      </c>
      <c r="AM332" s="291">
        <v>1648.385138977357</v>
      </c>
      <c r="AN332" s="291">
        <v>1683.9224082510843</v>
      </c>
      <c r="AO332" s="291">
        <v>1719.88149839896</v>
      </c>
      <c r="AP332" s="291">
        <v>1757.9370280716655</v>
      </c>
      <c r="AQ332" s="291">
        <v>1796.3719632733571</v>
      </c>
      <c r="AR332" s="182"/>
    </row>
    <row r="333" spans="1:44" ht="14.25" customHeight="1" x14ac:dyDescent="0.3">
      <c r="A333" s="995"/>
      <c r="B333" s="185" t="s">
        <v>707</v>
      </c>
      <c r="C333" s="977"/>
      <c r="D333" s="982"/>
      <c r="E333" s="982"/>
      <c r="F333" s="982"/>
      <c r="G333" s="982"/>
      <c r="H333" s="982"/>
      <c r="I333" s="977"/>
      <c r="J333" s="202">
        <v>122.25383807632522</v>
      </c>
      <c r="K333" s="202">
        <v>30.379732311994736</v>
      </c>
      <c r="L333" s="202">
        <v>115.22607457378612</v>
      </c>
      <c r="M333" s="202">
        <v>123.19989497262668</v>
      </c>
      <c r="N333" s="202">
        <v>131.33708370927823</v>
      </c>
      <c r="O333" s="291">
        <v>135.86011223868107</v>
      </c>
      <c r="P333" s="291">
        <v>139.85654865029784</v>
      </c>
      <c r="Q333" s="291">
        <v>144.21276562913579</v>
      </c>
      <c r="R333" s="291">
        <v>147.61961314253585</v>
      </c>
      <c r="S333" s="291">
        <v>150.49809577545312</v>
      </c>
      <c r="T333" s="291">
        <v>154.32212526425226</v>
      </c>
      <c r="U333" s="291">
        <v>157.64516102565082</v>
      </c>
      <c r="V333" s="291">
        <v>159.61559434948654</v>
      </c>
      <c r="W333" s="291">
        <v>161.93379356446994</v>
      </c>
      <c r="X333" s="291">
        <v>165.31953157477574</v>
      </c>
      <c r="Y333" s="291">
        <v>167.54948031610004</v>
      </c>
      <c r="Z333" s="291">
        <v>170.43089181318734</v>
      </c>
      <c r="AA333" s="291">
        <v>172.47102374956182</v>
      </c>
      <c r="AB333" s="291">
        <v>174.61329447953503</v>
      </c>
      <c r="AC333" s="291">
        <v>177.206475258962</v>
      </c>
      <c r="AD333" s="291">
        <v>179.55051311196226</v>
      </c>
      <c r="AE333" s="291">
        <v>182.24333052147605</v>
      </c>
      <c r="AF333" s="291">
        <v>185.59705643799472</v>
      </c>
      <c r="AG333" s="291">
        <v>188.78976915885849</v>
      </c>
      <c r="AH333" s="291">
        <v>192.39522331041798</v>
      </c>
      <c r="AI333" s="291">
        <v>196.20894956628248</v>
      </c>
      <c r="AJ333" s="291">
        <v>199.48225596379339</v>
      </c>
      <c r="AK333" s="291">
        <v>203.90127768637151</v>
      </c>
      <c r="AL333" s="291">
        <v>208.00694309039616</v>
      </c>
      <c r="AM333" s="291">
        <v>213.23165269673927</v>
      </c>
      <c r="AN333" s="291">
        <v>217.82867949611156</v>
      </c>
      <c r="AO333" s="291">
        <v>222.48027216119681</v>
      </c>
      <c r="AP333" s="291">
        <v>227.40305585687793</v>
      </c>
      <c r="AQ333" s="291">
        <v>232.3749186579665</v>
      </c>
      <c r="AR333" s="182"/>
    </row>
    <row r="334" spans="1:44" ht="14.25" customHeight="1" x14ac:dyDescent="0.3">
      <c r="A334" s="995"/>
      <c r="B334" s="185" t="s">
        <v>708</v>
      </c>
      <c r="C334" s="977"/>
      <c r="D334" s="982"/>
      <c r="E334" s="982"/>
      <c r="F334" s="982"/>
      <c r="G334" s="982"/>
      <c r="H334" s="982"/>
      <c r="I334" s="977"/>
      <c r="J334" s="202">
        <v>150.85779409882147</v>
      </c>
      <c r="K334" s="202">
        <v>200</v>
      </c>
      <c r="L334" s="202">
        <v>0</v>
      </c>
      <c r="M334" s="202">
        <v>0</v>
      </c>
      <c r="N334" s="202">
        <v>170</v>
      </c>
      <c r="O334" s="291">
        <v>175.85451441651102</v>
      </c>
      <c r="P334" s="291">
        <v>181.02741890614266</v>
      </c>
      <c r="Q334" s="291">
        <v>186.6660159077459</v>
      </c>
      <c r="R334" s="291">
        <v>191.07576874312957</v>
      </c>
      <c r="S334" s="291">
        <v>194.80161702432881</v>
      </c>
      <c r="T334" s="291">
        <v>199.75136156513844</v>
      </c>
      <c r="U334" s="291">
        <v>204.05263020521443</v>
      </c>
      <c r="V334" s="291">
        <v>206.60311827447561</v>
      </c>
      <c r="W334" s="291">
        <v>209.60374730792913</v>
      </c>
      <c r="X334" s="291">
        <v>213.9861764398722</v>
      </c>
      <c r="Y334" s="291">
        <v>216.8725758886697</v>
      </c>
      <c r="Z334" s="291">
        <v>220.60221523096794</v>
      </c>
      <c r="AA334" s="291">
        <v>223.24291974022424</v>
      </c>
      <c r="AB334" s="291">
        <v>226.01583058771641</v>
      </c>
      <c r="AC334" s="291">
        <v>229.37239006088402</v>
      </c>
      <c r="AD334" s="291">
        <v>232.40646409203973</v>
      </c>
      <c r="AE334" s="291">
        <v>235.89199115483535</v>
      </c>
      <c r="AF334" s="291">
        <v>240.2329844958341</v>
      </c>
      <c r="AG334" s="291">
        <v>244.36556569238533</v>
      </c>
      <c r="AH334" s="291">
        <v>249.03239084530148</v>
      </c>
      <c r="AI334" s="291">
        <v>253.96879909487166</v>
      </c>
      <c r="AJ334" s="291">
        <v>258.20569907666669</v>
      </c>
      <c r="AK334" s="291">
        <v>263.9255892373252</v>
      </c>
      <c r="AL334" s="291">
        <v>269.23987747163051</v>
      </c>
      <c r="AM334" s="291">
        <v>276.00263333610826</v>
      </c>
      <c r="AN334" s="291">
        <v>281.95292958010867</v>
      </c>
      <c r="AO334" s="291">
        <v>287.97385475014596</v>
      </c>
      <c r="AP334" s="291">
        <v>294.34580397142042</v>
      </c>
      <c r="AQ334" s="291">
        <v>300.78128016987165</v>
      </c>
      <c r="AR334" s="182"/>
    </row>
    <row r="335" spans="1:44" ht="14.25" customHeight="1" x14ac:dyDescent="0.3">
      <c r="A335" s="995"/>
      <c r="B335" s="185" t="s">
        <v>709</v>
      </c>
      <c r="C335" s="977"/>
      <c r="D335" s="982"/>
      <c r="E335" s="982"/>
      <c r="F335" s="982"/>
      <c r="G335" s="982"/>
      <c r="H335" s="982"/>
      <c r="I335" s="977"/>
      <c r="J335" s="202">
        <v>501.71135388656484</v>
      </c>
      <c r="K335" s="202">
        <v>466</v>
      </c>
      <c r="L335" s="202">
        <v>438</v>
      </c>
      <c r="M335" s="202">
        <v>367.7</v>
      </c>
      <c r="N335" s="202">
        <v>421.4</v>
      </c>
      <c r="O335" s="291">
        <v>435.91230808892789</v>
      </c>
      <c r="P335" s="291">
        <v>448.73502545322651</v>
      </c>
      <c r="Q335" s="291">
        <v>462.71211237367129</v>
      </c>
      <c r="R335" s="291">
        <v>473.64311146091057</v>
      </c>
      <c r="S335" s="291">
        <v>482.87883184736563</v>
      </c>
      <c r="T335" s="291">
        <v>495.14837507970196</v>
      </c>
      <c r="U335" s="291">
        <v>505.81046099104327</v>
      </c>
      <c r="V335" s="291">
        <v>512.13267082861182</v>
      </c>
      <c r="W335" s="291">
        <v>519.57070067977247</v>
      </c>
      <c r="X335" s="291">
        <v>530.43396912801245</v>
      </c>
      <c r="Y335" s="291">
        <v>537.58884399697286</v>
      </c>
      <c r="Z335" s="291">
        <v>546.83396175488156</v>
      </c>
      <c r="AA335" s="291">
        <v>553.37980222664976</v>
      </c>
      <c r="AB335" s="291">
        <v>560.25335888037444</v>
      </c>
      <c r="AC335" s="291">
        <v>568.57367748033232</v>
      </c>
      <c r="AD335" s="291">
        <v>576.0946115787383</v>
      </c>
      <c r="AE335" s="291">
        <v>584.73461807439753</v>
      </c>
      <c r="AF335" s="291">
        <v>595.49517450908502</v>
      </c>
      <c r="AG335" s="291">
        <v>605.73911401630085</v>
      </c>
      <c r="AH335" s="291">
        <v>617.30735001300002</v>
      </c>
      <c r="AI335" s="291">
        <v>629.54383493281694</v>
      </c>
      <c r="AJ335" s="291">
        <v>640.04636229945481</v>
      </c>
      <c r="AK335" s="291">
        <v>654.22496061534594</v>
      </c>
      <c r="AL335" s="291">
        <v>667.39814333261802</v>
      </c>
      <c r="AM335" s="291">
        <v>684.16182169315289</v>
      </c>
      <c r="AN335" s="291">
        <v>698.91155602975164</v>
      </c>
      <c r="AO335" s="291">
        <v>713.83636701006765</v>
      </c>
      <c r="AP335" s="291">
        <v>729.63130466797975</v>
      </c>
      <c r="AQ335" s="291">
        <v>745.58371449167009</v>
      </c>
      <c r="AR335" s="182"/>
    </row>
    <row r="336" spans="1:44" ht="14.25" customHeight="1" x14ac:dyDescent="0.3">
      <c r="A336" s="995"/>
      <c r="B336" s="185" t="s">
        <v>710</v>
      </c>
      <c r="C336" s="977"/>
      <c r="D336" s="982"/>
      <c r="E336" s="982"/>
      <c r="F336" s="982"/>
      <c r="G336" s="982"/>
      <c r="H336" s="982"/>
      <c r="I336" s="977"/>
      <c r="J336" s="202">
        <v>325.44090052128229</v>
      </c>
      <c r="K336" s="202">
        <v>517</v>
      </c>
      <c r="L336" s="202">
        <v>742</v>
      </c>
      <c r="M336" s="202">
        <v>650.4</v>
      </c>
      <c r="N336" s="202">
        <v>620.6</v>
      </c>
      <c r="O336" s="291">
        <v>641.97242145227494</v>
      </c>
      <c r="P336" s="291">
        <v>660.85656572442429</v>
      </c>
      <c r="Q336" s="291">
        <v>681.44076160204179</v>
      </c>
      <c r="R336" s="291">
        <v>697.53895342344822</v>
      </c>
      <c r="S336" s="291">
        <v>711.14049132528498</v>
      </c>
      <c r="T336" s="291">
        <v>729.2099705136759</v>
      </c>
      <c r="U336" s="291">
        <v>744.91213120797681</v>
      </c>
      <c r="V336" s="291">
        <v>754.22291294787965</v>
      </c>
      <c r="W336" s="291">
        <v>765.17697399588701</v>
      </c>
      <c r="X336" s="291">
        <v>781.17541822696853</v>
      </c>
      <c r="Y336" s="291">
        <v>791.71247409710816</v>
      </c>
      <c r="Z336" s="291">
        <v>805.32785160199217</v>
      </c>
      <c r="AA336" s="291">
        <v>814.96797641637136</v>
      </c>
      <c r="AB336" s="291">
        <v>825.09073213374575</v>
      </c>
      <c r="AC336" s="291">
        <v>837.3441486575565</v>
      </c>
      <c r="AD336" s="291">
        <v>848.420303620705</v>
      </c>
      <c r="AE336" s="291">
        <v>861.14452770994603</v>
      </c>
      <c r="AF336" s="291">
        <v>876.99170693008614</v>
      </c>
      <c r="AG336" s="291">
        <v>892.07805922761372</v>
      </c>
      <c r="AH336" s="291">
        <v>909.11471622702402</v>
      </c>
      <c r="AI336" s="291">
        <v>927.13551010751371</v>
      </c>
      <c r="AJ336" s="291">
        <v>942.60268733517262</v>
      </c>
      <c r="AK336" s="291">
        <v>963.48365106284712</v>
      </c>
      <c r="AL336" s="291">
        <v>982.88392916996406</v>
      </c>
      <c r="AM336" s="291">
        <v>1007.571966166993</v>
      </c>
      <c r="AN336" s="291">
        <v>1029.2940476318558</v>
      </c>
      <c r="AO336" s="291">
        <v>1051.2739662231802</v>
      </c>
      <c r="AP336" s="291">
        <v>1074.5353290862563</v>
      </c>
      <c r="AQ336" s="291">
        <v>1098.0286027848379</v>
      </c>
      <c r="AR336" s="182"/>
    </row>
    <row r="337" spans="1:44" ht="14.25" customHeight="1" x14ac:dyDescent="0.3">
      <c r="A337" s="995"/>
      <c r="B337" s="185" t="s">
        <v>711</v>
      </c>
      <c r="C337" s="977"/>
      <c r="D337" s="982"/>
      <c r="E337" s="982"/>
      <c r="F337" s="982"/>
      <c r="G337" s="982"/>
      <c r="H337" s="982"/>
      <c r="I337" s="977"/>
      <c r="J337" s="202">
        <v>276.75341671727637</v>
      </c>
      <c r="K337" s="202">
        <v>201.02416595832574</v>
      </c>
      <c r="L337" s="202">
        <v>247.82375039928598</v>
      </c>
      <c r="M337" s="202">
        <v>199.73610791490233</v>
      </c>
      <c r="N337" s="202">
        <v>268.89999999999998</v>
      </c>
      <c r="O337" s="291">
        <v>278.16046427411652</v>
      </c>
      <c r="P337" s="291">
        <v>286.34278202271616</v>
      </c>
      <c r="Q337" s="291">
        <v>295.26171575054627</v>
      </c>
      <c r="R337" s="291">
        <v>302.23690714722079</v>
      </c>
      <c r="S337" s="291">
        <v>308.13032245789418</v>
      </c>
      <c r="T337" s="291">
        <v>315.95965367568067</v>
      </c>
      <c r="U337" s="291">
        <v>322.76324860107144</v>
      </c>
      <c r="V337" s="291">
        <v>326.79752061180278</v>
      </c>
      <c r="W337" s="291">
        <v>331.54380971236543</v>
      </c>
      <c r="X337" s="291">
        <v>338.4757814393036</v>
      </c>
      <c r="Y337" s="291">
        <v>343.04138621448976</v>
      </c>
      <c r="Z337" s="291">
        <v>348.94079809180738</v>
      </c>
      <c r="AA337" s="291">
        <v>353.11777128321336</v>
      </c>
      <c r="AB337" s="291">
        <v>357.50386379433479</v>
      </c>
      <c r="AC337" s="291">
        <v>362.8131511021864</v>
      </c>
      <c r="AD337" s="291">
        <v>367.61234231970269</v>
      </c>
      <c r="AE337" s="291">
        <v>373.12562600903061</v>
      </c>
      <c r="AF337" s="291">
        <v>379.99205606429274</v>
      </c>
      <c r="AG337" s="291">
        <v>386.52882714519052</v>
      </c>
      <c r="AH337" s="291">
        <v>393.91064646059726</v>
      </c>
      <c r="AI337" s="291">
        <v>401.71888280359383</v>
      </c>
      <c r="AJ337" s="291">
        <v>408.42066165715079</v>
      </c>
      <c r="AK337" s="291">
        <v>417.46818203480416</v>
      </c>
      <c r="AL337" s="291">
        <v>425.87413560071417</v>
      </c>
      <c r="AM337" s="291">
        <v>436.571224141644</v>
      </c>
      <c r="AN337" s="291">
        <v>445.9831927299482</v>
      </c>
      <c r="AO337" s="291">
        <v>455.50687966067193</v>
      </c>
      <c r="AP337" s="291">
        <v>465.58580404655839</v>
      </c>
      <c r="AQ337" s="291">
        <v>475.76521316281452</v>
      </c>
      <c r="AR337" s="182"/>
    </row>
    <row r="338" spans="1:44" ht="14.25" customHeight="1" x14ac:dyDescent="0.3">
      <c r="A338" s="995"/>
      <c r="B338" s="185" t="s">
        <v>712</v>
      </c>
      <c r="C338" s="977"/>
      <c r="D338" s="982"/>
      <c r="E338" s="982"/>
      <c r="F338" s="982"/>
      <c r="G338" s="982"/>
      <c r="H338" s="982"/>
      <c r="I338" s="977"/>
      <c r="J338" s="202">
        <v>0</v>
      </c>
      <c r="K338" s="202">
        <v>107.77264867839591</v>
      </c>
      <c r="L338" s="202">
        <v>121.71801820253535</v>
      </c>
      <c r="M338" s="202">
        <v>156.70408071033322</v>
      </c>
      <c r="N338" s="202">
        <v>106.5</v>
      </c>
      <c r="O338" s="291">
        <v>110.16768109034368</v>
      </c>
      <c r="P338" s="291">
        <v>113.4083536088482</v>
      </c>
      <c r="Q338" s="291">
        <v>116.94076878926435</v>
      </c>
      <c r="R338" s="291">
        <v>119.70334924201941</v>
      </c>
      <c r="S338" s="291">
        <v>122.03748360641775</v>
      </c>
      <c r="T338" s="291">
        <v>125.13835298051319</v>
      </c>
      <c r="U338" s="291">
        <v>127.83297127561961</v>
      </c>
      <c r="V338" s="291">
        <v>129.43077703665676</v>
      </c>
      <c r="W338" s="291">
        <v>131.31058287232028</v>
      </c>
      <c r="X338" s="291">
        <v>134.05604582850813</v>
      </c>
      <c r="Y338" s="291">
        <v>135.86429018907833</v>
      </c>
      <c r="Z338" s="291">
        <v>138.20079954175341</v>
      </c>
      <c r="AA338" s="291">
        <v>139.8551232490228</v>
      </c>
      <c r="AB338" s="291">
        <v>141.59227033877525</v>
      </c>
      <c r="AC338" s="291">
        <v>143.69505612637732</v>
      </c>
      <c r="AD338" s="291">
        <v>145.59581426942486</v>
      </c>
      <c r="AE338" s="291">
        <v>147.77939445876447</v>
      </c>
      <c r="AF338" s="291">
        <v>150.49889911062544</v>
      </c>
      <c r="AG338" s="291">
        <v>153.087839683759</v>
      </c>
      <c r="AH338" s="291">
        <v>156.01146838249764</v>
      </c>
      <c r="AI338" s="291">
        <v>159.10398296237543</v>
      </c>
      <c r="AJ338" s="291">
        <v>161.75827618626468</v>
      </c>
      <c r="AK338" s="291">
        <v>165.34161913985369</v>
      </c>
      <c r="AL338" s="291">
        <v>168.67086441605085</v>
      </c>
      <c r="AM338" s="291">
        <v>172.90753206056192</v>
      </c>
      <c r="AN338" s="291">
        <v>176.63521764871513</v>
      </c>
      <c r="AO338" s="291">
        <v>180.40715018170908</v>
      </c>
      <c r="AP338" s="291">
        <v>184.39898895856632</v>
      </c>
      <c r="AQ338" s="291">
        <v>188.43062551818431</v>
      </c>
      <c r="AR338" s="182"/>
    </row>
    <row r="339" spans="1:44" ht="14.25" customHeight="1" x14ac:dyDescent="0.3">
      <c r="A339" s="995"/>
      <c r="B339" s="185" t="s">
        <v>713</v>
      </c>
      <c r="C339" s="977"/>
      <c r="D339" s="982"/>
      <c r="E339" s="982"/>
      <c r="F339" s="982"/>
      <c r="G339" s="982"/>
      <c r="H339" s="982"/>
      <c r="I339" s="977"/>
      <c r="J339" s="202">
        <v>0</v>
      </c>
      <c r="K339" s="202">
        <v>133.29921508867</v>
      </c>
      <c r="L339" s="202">
        <v>196.93190017375747</v>
      </c>
      <c r="M339" s="202">
        <v>211.50616730098926</v>
      </c>
      <c r="N339" s="202">
        <v>219.59911059084641</v>
      </c>
      <c r="O339" s="291">
        <v>227.16173505441765</v>
      </c>
      <c r="P339" s="291">
        <v>233.84388343732647</v>
      </c>
      <c r="Q339" s="291">
        <v>241.12759453457522</v>
      </c>
      <c r="R339" s="291">
        <v>246.82393453796178</v>
      </c>
      <c r="S339" s="291">
        <v>251.63683435412523</v>
      </c>
      <c r="T339" s="291">
        <v>258.03071375891165</v>
      </c>
      <c r="U339" s="291">
        <v>263.58691827522335</v>
      </c>
      <c r="V339" s="291">
        <v>266.88153540217814</v>
      </c>
      <c r="W339" s="291">
        <v>270.75762638429262</v>
      </c>
      <c r="X339" s="291">
        <v>276.41867073489328</v>
      </c>
      <c r="Y339" s="291">
        <v>280.14720456881003</v>
      </c>
      <c r="Z339" s="291">
        <v>284.96500152406486</v>
      </c>
      <c r="AA339" s="291">
        <v>288.37615659209968</v>
      </c>
      <c r="AB339" s="291">
        <v>291.95809045008195</v>
      </c>
      <c r="AC339" s="291">
        <v>296.29395794980485</v>
      </c>
      <c r="AD339" s="291">
        <v>300.21325182456121</v>
      </c>
      <c r="AE339" s="291">
        <v>304.71571443003324</v>
      </c>
      <c r="AF339" s="291">
        <v>310.32323370511625</v>
      </c>
      <c r="AG339" s="291">
        <v>315.66153461809921</v>
      </c>
      <c r="AH339" s="291">
        <v>321.6899502231779</v>
      </c>
      <c r="AI339" s="291">
        <v>328.0666023474069</v>
      </c>
      <c r="AJ339" s="291">
        <v>333.5396580395514</v>
      </c>
      <c r="AK339" s="291">
        <v>340.92838034518633</v>
      </c>
      <c r="AL339" s="291">
        <v>347.79316251975604</v>
      </c>
      <c r="AM339" s="291">
        <v>356.52901647847574</v>
      </c>
      <c r="AN339" s="291">
        <v>364.21536802514959</v>
      </c>
      <c r="AO339" s="291">
        <v>371.9929551561745</v>
      </c>
      <c r="AP339" s="291">
        <v>380.22398093100924</v>
      </c>
      <c r="AQ339" s="291">
        <v>388.53706828047075</v>
      </c>
      <c r="AR339" s="182"/>
    </row>
    <row r="340" spans="1:44" ht="14.25" customHeight="1" x14ac:dyDescent="0.3">
      <c r="A340" s="995"/>
      <c r="B340" s="185" t="s">
        <v>714</v>
      </c>
      <c r="C340" s="977"/>
      <c r="D340" s="982"/>
      <c r="E340" s="982"/>
      <c r="F340" s="982"/>
      <c r="G340" s="982"/>
      <c r="H340" s="982"/>
      <c r="I340" s="977"/>
      <c r="J340" s="301">
        <v>105.71304470928307</v>
      </c>
      <c r="K340" s="301">
        <v>1048.1144799708336</v>
      </c>
      <c r="L340" s="301">
        <v>683.87502065145532</v>
      </c>
      <c r="M340" s="301">
        <v>503.48773330439957</v>
      </c>
      <c r="N340" s="301">
        <v>496.74178998435787</v>
      </c>
      <c r="O340" s="291">
        <v>513.84874275345737</v>
      </c>
      <c r="P340" s="291">
        <v>528.9640241393264</v>
      </c>
      <c r="Q340" s="291">
        <v>545.44006394860185</v>
      </c>
      <c r="R340" s="291">
        <v>558.32540816529058</v>
      </c>
      <c r="S340" s="291">
        <v>569.21237607360263</v>
      </c>
      <c r="T340" s="291">
        <v>583.67558173929126</v>
      </c>
      <c r="U340" s="291">
        <v>596.24393399502617</v>
      </c>
      <c r="V340" s="291">
        <v>603.69648698831168</v>
      </c>
      <c r="W340" s="291">
        <v>612.46435661864541</v>
      </c>
      <c r="X340" s="291">
        <v>625.26986068618066</v>
      </c>
      <c r="Y340" s="291">
        <v>633.7039502673897</v>
      </c>
      <c r="Z340" s="291">
        <v>644.60199569615031</v>
      </c>
      <c r="AA340" s="291">
        <v>652.31816207701934</v>
      </c>
      <c r="AB340" s="291">
        <v>660.42063677025646</v>
      </c>
      <c r="AC340" s="291">
        <v>670.22853889314024</v>
      </c>
      <c r="AD340" s="291">
        <v>679.09413515891288</v>
      </c>
      <c r="AE340" s="291">
        <v>689.27888193663068</v>
      </c>
      <c r="AF340" s="291">
        <v>701.96331018673595</v>
      </c>
      <c r="AG340" s="291">
        <v>714.03875595632746</v>
      </c>
      <c r="AH340" s="291">
        <v>727.67526819164266</v>
      </c>
      <c r="AI340" s="291">
        <v>742.09950507390761</v>
      </c>
      <c r="AJ340" s="291">
        <v>754.47977143238734</v>
      </c>
      <c r="AK340" s="291">
        <v>771.19335070838395</v>
      </c>
      <c r="AL340" s="291">
        <v>786.72175688486413</v>
      </c>
      <c r="AM340" s="291">
        <v>806.48260072808705</v>
      </c>
      <c r="AN340" s="291">
        <v>823.86942900562815</v>
      </c>
      <c r="AO340" s="291">
        <v>841.46263574872353</v>
      </c>
      <c r="AP340" s="291">
        <v>860.08153846557821</v>
      </c>
      <c r="AQ340" s="291">
        <v>878.88606767863939</v>
      </c>
      <c r="AR340" s="182"/>
    </row>
    <row r="341" spans="1:44" ht="14.25" customHeight="1" x14ac:dyDescent="0.3">
      <c r="A341" s="995"/>
      <c r="B341" s="185" t="s">
        <v>715</v>
      </c>
      <c r="C341" s="977"/>
      <c r="D341" s="982"/>
      <c r="E341" s="982"/>
      <c r="F341" s="982"/>
      <c r="G341" s="982"/>
      <c r="H341" s="982"/>
      <c r="I341" s="977"/>
      <c r="J341" s="301">
        <v>388.76177507084674</v>
      </c>
      <c r="K341" s="301">
        <v>330.0776224697172</v>
      </c>
      <c r="L341" s="301">
        <v>414.51562066941744</v>
      </c>
      <c r="M341" s="301">
        <v>370.99405287354472</v>
      </c>
      <c r="N341" s="301">
        <v>469.70000000000005</v>
      </c>
      <c r="O341" s="291">
        <v>485.87567894961904</v>
      </c>
      <c r="P341" s="291">
        <v>500.16810976597185</v>
      </c>
      <c r="Q341" s="291">
        <v>515.7472215992251</v>
      </c>
      <c r="R341" s="291">
        <v>527.93110928616454</v>
      </c>
      <c r="S341" s="291">
        <v>538.22540891957203</v>
      </c>
      <c r="T341" s="291">
        <v>551.90126192438549</v>
      </c>
      <c r="U341" s="291">
        <v>563.78541416111307</v>
      </c>
      <c r="V341" s="291">
        <v>570.83226266777172</v>
      </c>
      <c r="W341" s="291">
        <v>579.12282417961353</v>
      </c>
      <c r="X341" s="291">
        <v>591.23121808122323</v>
      </c>
      <c r="Y341" s="291">
        <v>599.20616997004788</v>
      </c>
      <c r="Z341" s="291">
        <v>609.51094408226834</v>
      </c>
      <c r="AA341" s="291">
        <v>616.80705530578416</v>
      </c>
      <c r="AB341" s="291">
        <v>624.4684448650022</v>
      </c>
      <c r="AC341" s="291">
        <v>633.74242124468947</v>
      </c>
      <c r="AD341" s="291">
        <v>642.12538931782967</v>
      </c>
      <c r="AE341" s="291">
        <v>651.7556955613303</v>
      </c>
      <c r="AF341" s="291">
        <v>663.74960480996037</v>
      </c>
      <c r="AG341" s="291">
        <v>675.16768356301986</v>
      </c>
      <c r="AH341" s="291">
        <v>688.06184694140052</v>
      </c>
      <c r="AI341" s="291">
        <v>701.700852558007</v>
      </c>
      <c r="AJ341" s="291">
        <v>713.40715797829603</v>
      </c>
      <c r="AK341" s="291">
        <v>729.21087802806835</v>
      </c>
      <c r="AL341" s="291">
        <v>743.89394381426371</v>
      </c>
      <c r="AM341" s="291">
        <v>762.57904045864734</v>
      </c>
      <c r="AN341" s="291">
        <v>779.01935896339444</v>
      </c>
      <c r="AO341" s="291">
        <v>795.65482103613874</v>
      </c>
      <c r="AP341" s="291">
        <v>813.26014191397758</v>
      </c>
      <c r="AQ341" s="291">
        <v>831.04098409287496</v>
      </c>
      <c r="AR341" s="182"/>
    </row>
    <row r="342" spans="1:44" ht="14.25" customHeight="1" x14ac:dyDescent="0.3">
      <c r="A342" s="995"/>
      <c r="B342" s="185" t="s">
        <v>716</v>
      </c>
      <c r="C342" s="977"/>
      <c r="D342" s="982"/>
      <c r="E342" s="982"/>
      <c r="F342" s="982"/>
      <c r="G342" s="982"/>
      <c r="H342" s="982"/>
      <c r="I342" s="977"/>
      <c r="J342" s="301">
        <v>1016.4744417270931</v>
      </c>
      <c r="K342" s="301">
        <v>462</v>
      </c>
      <c r="L342" s="301">
        <v>486</v>
      </c>
      <c r="M342" s="301">
        <v>495.5</v>
      </c>
      <c r="N342" s="301">
        <v>538.70000000000005</v>
      </c>
      <c r="O342" s="291">
        <v>557.25192303632059</v>
      </c>
      <c r="P342" s="291">
        <v>573.64394449846509</v>
      </c>
      <c r="Q342" s="291">
        <v>591.51166335001608</v>
      </c>
      <c r="R342" s="291">
        <v>605.48539189367011</v>
      </c>
      <c r="S342" s="291">
        <v>617.29194759415259</v>
      </c>
      <c r="T342" s="291">
        <v>632.97681455964755</v>
      </c>
      <c r="U342" s="291">
        <v>646.60677583264123</v>
      </c>
      <c r="V342" s="291">
        <v>654.68882243799999</v>
      </c>
      <c r="W342" s="291">
        <v>664.1972863222436</v>
      </c>
      <c r="X342" s="291">
        <v>678.08443087152432</v>
      </c>
      <c r="Y342" s="291">
        <v>687.23092136015498</v>
      </c>
      <c r="Z342" s="291">
        <v>699.04949026424947</v>
      </c>
      <c r="AA342" s="291">
        <v>707.41741684740452</v>
      </c>
      <c r="AB342" s="291">
        <v>716.20428198589889</v>
      </c>
      <c r="AC342" s="291">
        <v>726.84062662234237</v>
      </c>
      <c r="AD342" s="291">
        <v>736.45507180224581</v>
      </c>
      <c r="AE342" s="291">
        <v>747.50009197123404</v>
      </c>
      <c r="AF342" s="291">
        <v>761.25593381121064</v>
      </c>
      <c r="AG342" s="291">
        <v>774.35135434404685</v>
      </c>
      <c r="AH342" s="291">
        <v>789.13969969625816</v>
      </c>
      <c r="AI342" s="291">
        <v>804.78230630827841</v>
      </c>
      <c r="AJ342" s="291">
        <v>818.20829466235477</v>
      </c>
      <c r="AK342" s="291">
        <v>836.33361718910021</v>
      </c>
      <c r="AL342" s="291">
        <v>853.17365878804299</v>
      </c>
      <c r="AM342" s="291">
        <v>874.6036386950675</v>
      </c>
      <c r="AN342" s="291">
        <v>893.45907744002648</v>
      </c>
      <c r="AO342" s="291">
        <v>912.53832678766821</v>
      </c>
      <c r="AP342" s="291">
        <v>932.72990940825969</v>
      </c>
      <c r="AQ342" s="291">
        <v>953.12279780888139</v>
      </c>
      <c r="AR342" s="182"/>
    </row>
    <row r="343" spans="1:44" ht="14.25" customHeight="1" x14ac:dyDescent="0.3">
      <c r="A343" s="995"/>
      <c r="B343" s="185" t="s">
        <v>717</v>
      </c>
      <c r="C343" s="977"/>
      <c r="D343" s="982"/>
      <c r="E343" s="982"/>
      <c r="F343" s="982"/>
      <c r="G343" s="982"/>
      <c r="H343" s="982"/>
      <c r="I343" s="977"/>
      <c r="J343" s="301">
        <v>185.67</v>
      </c>
      <c r="K343" s="301">
        <v>1244.0659714179023</v>
      </c>
      <c r="L343" s="301">
        <v>618.36073373563374</v>
      </c>
      <c r="M343" s="301">
        <v>607.660123075569</v>
      </c>
      <c r="N343" s="301">
        <v>584.38572887216105</v>
      </c>
      <c r="O343" s="291">
        <v>604.5109916632515</v>
      </c>
      <c r="P343" s="291">
        <v>622.29317731360118</v>
      </c>
      <c r="Q343" s="291">
        <v>641.67621036417938</v>
      </c>
      <c r="R343" s="291">
        <v>656.835014039778</v>
      </c>
      <c r="S343" s="291">
        <v>669.64285264845864</v>
      </c>
      <c r="T343" s="291">
        <v>686.65791189088236</v>
      </c>
      <c r="U343" s="291">
        <v>701.44379429856338</v>
      </c>
      <c r="V343" s="291">
        <v>710.21125800053358</v>
      </c>
      <c r="W343" s="291">
        <v>720.52610967576709</v>
      </c>
      <c r="X343" s="291">
        <v>735.59098639636204</v>
      </c>
      <c r="Y343" s="291">
        <v>745.51316666519574</v>
      </c>
      <c r="Z343" s="291">
        <v>758.33403728566191</v>
      </c>
      <c r="AA343" s="291">
        <v>767.41162569376627</v>
      </c>
      <c r="AB343" s="291">
        <v>776.94368173323232</v>
      </c>
      <c r="AC343" s="291">
        <v>788.48206675811355</v>
      </c>
      <c r="AD343" s="291">
        <v>798.91188772369605</v>
      </c>
      <c r="AE343" s="291">
        <v>810.89360697719883</v>
      </c>
      <c r="AF343" s="291">
        <v>825.81604555136801</v>
      </c>
      <c r="AG343" s="291">
        <v>840.02205422589725</v>
      </c>
      <c r="AH343" s="291">
        <v>856.06456021710801</v>
      </c>
      <c r="AI343" s="291">
        <v>873.0337751167292</v>
      </c>
      <c r="AJ343" s="291">
        <v>887.59838619919833</v>
      </c>
      <c r="AK343" s="291">
        <v>907.26086961452256</v>
      </c>
      <c r="AL343" s="291">
        <v>925.52907081005935</v>
      </c>
      <c r="AM343" s="291">
        <v>948.77647089857305</v>
      </c>
      <c r="AN343" s="291">
        <v>969.23098976654649</v>
      </c>
      <c r="AO343" s="291">
        <v>989.92830002523465</v>
      </c>
      <c r="AP343" s="291">
        <v>1011.8322776135338</v>
      </c>
      <c r="AQ343" s="291">
        <v>1033.9546331951301</v>
      </c>
      <c r="AR343" s="182"/>
    </row>
    <row r="344" spans="1:44" ht="14.25" customHeight="1" x14ac:dyDescent="0.3">
      <c r="A344" s="995"/>
      <c r="B344" s="185" t="s">
        <v>718</v>
      </c>
      <c r="C344" s="977"/>
      <c r="D344" s="982"/>
      <c r="E344" s="982"/>
      <c r="F344" s="982"/>
      <c r="G344" s="982"/>
      <c r="H344" s="982"/>
      <c r="I344" s="977"/>
      <c r="J344" s="301">
        <v>483.70721151232755</v>
      </c>
      <c r="K344" s="301">
        <v>901.23942272500881</v>
      </c>
      <c r="L344" s="301">
        <v>955.62587592882051</v>
      </c>
      <c r="M344" s="301">
        <v>618.24892948451316</v>
      </c>
      <c r="N344" s="301">
        <v>816.25433898912627</v>
      </c>
      <c r="O344" s="291">
        <v>844.36476719589984</v>
      </c>
      <c r="P344" s="291">
        <v>869.20244798906538</v>
      </c>
      <c r="Q344" s="291">
        <v>896.27614956771083</v>
      </c>
      <c r="R344" s="291">
        <v>917.44956066036684</v>
      </c>
      <c r="S344" s="291">
        <v>935.33920669533188</v>
      </c>
      <c r="T344" s="291">
        <v>959.10538586194127</v>
      </c>
      <c r="U344" s="291">
        <v>979.7579105126465</v>
      </c>
      <c r="V344" s="291">
        <v>992.00406906014314</v>
      </c>
      <c r="W344" s="291">
        <v>1006.4115776969265</v>
      </c>
      <c r="X344" s="291">
        <v>1027.4537941337551</v>
      </c>
      <c r="Y344" s="291">
        <v>1041.3128298639715</v>
      </c>
      <c r="Z344" s="291">
        <v>1059.2206786640627</v>
      </c>
      <c r="AA344" s="291">
        <v>1071.9000110974073</v>
      </c>
      <c r="AB344" s="291">
        <v>1085.2141317497337</v>
      </c>
      <c r="AC344" s="291">
        <v>1101.3306390088403</v>
      </c>
      <c r="AD344" s="291">
        <v>1115.8987336720468</v>
      </c>
      <c r="AE344" s="291">
        <v>1132.6344783112877</v>
      </c>
      <c r="AF344" s="291">
        <v>1153.477740959012</v>
      </c>
      <c r="AG344" s="291">
        <v>1173.3203135055403</v>
      </c>
      <c r="AH344" s="291">
        <v>1195.7280563312543</v>
      </c>
      <c r="AI344" s="291">
        <v>1219.430201347333</v>
      </c>
      <c r="AJ344" s="291">
        <v>1239.7736601355869</v>
      </c>
      <c r="AK344" s="291">
        <v>1267.2376905013439</v>
      </c>
      <c r="AL344" s="291">
        <v>1292.7542247948179</v>
      </c>
      <c r="AM344" s="291">
        <v>1325.2255707824893</v>
      </c>
      <c r="AN344" s="291">
        <v>1353.795895061525</v>
      </c>
      <c r="AO344" s="291">
        <v>1382.7053438543003</v>
      </c>
      <c r="AP344" s="291">
        <v>1413.3002332642041</v>
      </c>
      <c r="AQ344" s="291">
        <v>1444.2001472080103</v>
      </c>
      <c r="AR344" s="182"/>
    </row>
    <row r="345" spans="1:44" ht="14.25" customHeight="1" x14ac:dyDescent="0.3">
      <c r="A345" s="995"/>
      <c r="B345" s="185" t="s">
        <v>719</v>
      </c>
      <c r="C345" s="977"/>
      <c r="D345" s="977"/>
      <c r="E345" s="977"/>
      <c r="F345" s="977"/>
      <c r="G345" s="977"/>
      <c r="H345" s="977"/>
      <c r="I345" s="977"/>
      <c r="J345" s="202">
        <v>0</v>
      </c>
      <c r="K345" s="202">
        <v>0</v>
      </c>
      <c r="L345" s="202">
        <v>0</v>
      </c>
      <c r="M345" s="202">
        <v>0</v>
      </c>
      <c r="N345" s="202">
        <v>0</v>
      </c>
      <c r="O345" s="291">
        <v>0</v>
      </c>
      <c r="P345" s="291">
        <v>0</v>
      </c>
      <c r="Q345" s="291">
        <v>0</v>
      </c>
      <c r="R345" s="291">
        <v>0</v>
      </c>
      <c r="S345" s="291">
        <v>0</v>
      </c>
      <c r="T345" s="291">
        <v>0</v>
      </c>
      <c r="U345" s="291">
        <v>0</v>
      </c>
      <c r="V345" s="291">
        <v>0</v>
      </c>
      <c r="W345" s="291">
        <v>0</v>
      </c>
      <c r="X345" s="291">
        <v>0</v>
      </c>
      <c r="Y345" s="291">
        <v>0</v>
      </c>
      <c r="Z345" s="291">
        <v>0</v>
      </c>
      <c r="AA345" s="291">
        <v>0</v>
      </c>
      <c r="AB345" s="291">
        <v>0</v>
      </c>
      <c r="AC345" s="291">
        <v>0</v>
      </c>
      <c r="AD345" s="291">
        <v>0</v>
      </c>
      <c r="AE345" s="291">
        <v>0</v>
      </c>
      <c r="AF345" s="291">
        <v>0</v>
      </c>
      <c r="AG345" s="291">
        <v>0</v>
      </c>
      <c r="AH345" s="291">
        <v>0</v>
      </c>
      <c r="AI345" s="291">
        <v>0</v>
      </c>
      <c r="AJ345" s="291">
        <v>0</v>
      </c>
      <c r="AK345" s="291">
        <v>0</v>
      </c>
      <c r="AL345" s="291">
        <v>0</v>
      </c>
      <c r="AM345" s="291">
        <v>0</v>
      </c>
      <c r="AN345" s="291">
        <v>0</v>
      </c>
      <c r="AO345" s="291">
        <v>0</v>
      </c>
      <c r="AP345" s="291">
        <v>0</v>
      </c>
      <c r="AQ345" s="291">
        <v>0</v>
      </c>
      <c r="AR345" s="182"/>
    </row>
    <row r="346" spans="1:44" ht="14.25" customHeight="1" x14ac:dyDescent="0.3">
      <c r="A346" s="324"/>
      <c r="B346" s="179" t="s">
        <v>720</v>
      </c>
      <c r="C346" s="302"/>
      <c r="D346" s="302"/>
      <c r="E346" s="302"/>
      <c r="F346" s="302"/>
      <c r="G346" s="302"/>
      <c r="H346" s="302"/>
      <c r="I346" s="302"/>
      <c r="J346" s="303">
        <f t="shared" ref="J346:AQ346" si="176">SUM(J331:J345)</f>
        <v>4528.7795556485817</v>
      </c>
      <c r="K346" s="303">
        <f t="shared" si="176"/>
        <v>6578.8387082587988</v>
      </c>
      <c r="L346" s="303">
        <f t="shared" si="176"/>
        <v>5735.4133499085219</v>
      </c>
      <c r="M346" s="303">
        <f t="shared" si="176"/>
        <v>5301.7685575144551</v>
      </c>
      <c r="N346" s="303">
        <f t="shared" si="176"/>
        <v>6016.8180521457698</v>
      </c>
      <c r="O346" s="303">
        <f t="shared" si="176"/>
        <v>6224.0271581917177</v>
      </c>
      <c r="P346" s="303">
        <f t="shared" si="176"/>
        <v>6407.1120118107856</v>
      </c>
      <c r="Q346" s="303">
        <f t="shared" si="176"/>
        <v>6606.6791425638521</v>
      </c>
      <c r="R346" s="303">
        <f t="shared" si="176"/>
        <v>6762.7537335370143</v>
      </c>
      <c r="S346" s="303">
        <f t="shared" si="176"/>
        <v>6894.622858230402</v>
      </c>
      <c r="T346" s="303">
        <f t="shared" si="176"/>
        <v>7069.8094012107149</v>
      </c>
      <c r="U346" s="303">
        <f t="shared" si="176"/>
        <v>7222.0444059209385</v>
      </c>
      <c r="V346" s="303">
        <f t="shared" si="176"/>
        <v>7312.3139509616012</v>
      </c>
      <c r="W346" s="303">
        <f t="shared" si="176"/>
        <v>7418.5153564691054</v>
      </c>
      <c r="X346" s="303">
        <f t="shared" si="176"/>
        <v>7573.6228783121915</v>
      </c>
      <c r="Y346" s="303">
        <f t="shared" si="176"/>
        <v>7675.7813507194169</v>
      </c>
      <c r="Z346" s="303">
        <f t="shared" si="176"/>
        <v>7807.7846526178473</v>
      </c>
      <c r="AA346" s="303">
        <f t="shared" si="176"/>
        <v>7901.2472323924121</v>
      </c>
      <c r="AB346" s="303">
        <f t="shared" si="176"/>
        <v>7999.3889973581872</v>
      </c>
      <c r="AC346" s="303">
        <f t="shared" si="176"/>
        <v>8118.1878657773395</v>
      </c>
      <c r="AD346" s="303">
        <f t="shared" si="176"/>
        <v>8225.5729916726596</v>
      </c>
      <c r="AE346" s="303">
        <f t="shared" si="176"/>
        <v>8348.9364161001376</v>
      </c>
      <c r="AF346" s="303">
        <f t="shared" si="176"/>
        <v>8502.5773990317011</v>
      </c>
      <c r="AG346" s="303">
        <f t="shared" si="176"/>
        <v>8648.8420410632752</v>
      </c>
      <c r="AH346" s="303">
        <f t="shared" si="176"/>
        <v>8814.0152047472384</v>
      </c>
      <c r="AI346" s="303">
        <f t="shared" si="176"/>
        <v>8988.729735740033</v>
      </c>
      <c r="AJ346" s="303">
        <f t="shared" si="176"/>
        <v>9138.6865374788613</v>
      </c>
      <c r="AK346" s="303">
        <f t="shared" si="176"/>
        <v>9341.1308808608665</v>
      </c>
      <c r="AL346" s="303">
        <f t="shared" si="176"/>
        <v>9529.2197360518912</v>
      </c>
      <c r="AM346" s="303">
        <f t="shared" si="176"/>
        <v>9768.574274685092</v>
      </c>
      <c r="AN346" s="303">
        <f t="shared" si="176"/>
        <v>9979.1733914881352</v>
      </c>
      <c r="AO346" s="303">
        <f t="shared" si="176"/>
        <v>10192.272281215777</v>
      </c>
      <c r="AP346" s="303">
        <f t="shared" si="176"/>
        <v>10417.79498181531</v>
      </c>
      <c r="AQ346" s="303">
        <f t="shared" si="176"/>
        <v>10645.566095727048</v>
      </c>
      <c r="AR346" s="197"/>
    </row>
    <row r="347" spans="1:44" ht="14.25" customHeight="1" x14ac:dyDescent="0.3">
      <c r="A347" s="324"/>
      <c r="B347" s="179"/>
      <c r="C347" s="302"/>
      <c r="D347" s="302"/>
      <c r="E347" s="302"/>
      <c r="F347" s="302"/>
      <c r="G347" s="302"/>
      <c r="H347" s="302"/>
      <c r="I347" s="302"/>
      <c r="J347" s="303"/>
      <c r="K347" s="303"/>
      <c r="L347" s="303"/>
      <c r="M347" s="303"/>
      <c r="N347" s="303"/>
      <c r="O347" s="304"/>
      <c r="P347" s="304"/>
      <c r="Q347" s="304"/>
      <c r="R347" s="304"/>
      <c r="S347" s="304"/>
      <c r="T347" s="304"/>
      <c r="U347" s="304"/>
      <c r="V347" s="304"/>
      <c r="W347" s="304"/>
      <c r="X347" s="304"/>
      <c r="Y347" s="304"/>
      <c r="Z347" s="304"/>
      <c r="AA347" s="304"/>
      <c r="AB347" s="304"/>
      <c r="AC347" s="304"/>
      <c r="AD347" s="304"/>
      <c r="AE347" s="304"/>
      <c r="AF347" s="304"/>
      <c r="AG347" s="304"/>
      <c r="AH347" s="304"/>
      <c r="AI347" s="304"/>
      <c r="AJ347" s="304"/>
      <c r="AK347" s="304"/>
      <c r="AL347" s="304"/>
      <c r="AM347" s="304"/>
      <c r="AN347" s="304"/>
      <c r="AO347" s="304"/>
      <c r="AP347" s="304"/>
      <c r="AQ347" s="304"/>
      <c r="AR347" s="197"/>
    </row>
    <row r="348" spans="1:44" ht="14.25" customHeight="1" x14ac:dyDescent="0.3">
      <c r="A348" s="1206" t="s">
        <v>843</v>
      </c>
      <c r="B348" s="185" t="s">
        <v>705</v>
      </c>
      <c r="C348" s="1203" t="s">
        <v>623</v>
      </c>
      <c r="D348" s="977"/>
      <c r="E348" s="977"/>
      <c r="F348" s="977"/>
      <c r="G348" s="977"/>
      <c r="H348" s="977"/>
      <c r="I348" s="977"/>
      <c r="J348" s="202">
        <v>203.37577932876076</v>
      </c>
      <c r="K348" s="202">
        <v>168.86544963795106</v>
      </c>
      <c r="L348" s="202">
        <v>148.33635557383047</v>
      </c>
      <c r="M348" s="202">
        <v>164.93146787757703</v>
      </c>
      <c r="N348" s="202">
        <v>157.4</v>
      </c>
      <c r="O348" s="291">
        <v>159.5159688398756</v>
      </c>
      <c r="P348" s="291">
        <v>161.61389340045793</v>
      </c>
      <c r="Q348" s="291">
        <v>163.69252343929963</v>
      </c>
      <c r="R348" s="291">
        <v>165.75146880982143</v>
      </c>
      <c r="S348" s="291">
        <v>167.78842410041827</v>
      </c>
      <c r="T348" s="291">
        <v>169.80261788489923</v>
      </c>
      <c r="U348" s="291">
        <v>171.79260484752731</v>
      </c>
      <c r="V348" s="291">
        <v>173.75810124533578</v>
      </c>
      <c r="W348" s="291">
        <v>175.69689920336438</v>
      </c>
      <c r="X348" s="291">
        <v>177.60796128639086</v>
      </c>
      <c r="Y348" s="291">
        <v>179.48994858229074</v>
      </c>
      <c r="Z348" s="291">
        <v>181.34130937171449</v>
      </c>
      <c r="AA348" s="291">
        <v>183.16128109543894</v>
      </c>
      <c r="AB348" s="291">
        <v>184.94853370830731</v>
      </c>
      <c r="AC348" s="291">
        <v>186.70228691716096</v>
      </c>
      <c r="AD348" s="291">
        <v>188.42104220445665</v>
      </c>
      <c r="AE348" s="291">
        <v>190.10420548335767</v>
      </c>
      <c r="AF348" s="291">
        <v>191.75066838290007</v>
      </c>
      <c r="AG348" s="291">
        <v>193.35965947689292</v>
      </c>
      <c r="AH348" s="291">
        <v>194.93097482507883</v>
      </c>
      <c r="AI348" s="291">
        <v>196.46407354242746</v>
      </c>
      <c r="AJ348" s="291">
        <v>197.95800686339359</v>
      </c>
      <c r="AK348" s="291">
        <v>199.41257971468761</v>
      </c>
      <c r="AL348" s="291">
        <v>200.82684333076435</v>
      </c>
      <c r="AM348" s="291">
        <v>202.20055830349563</v>
      </c>
      <c r="AN348" s="291">
        <v>203.53394630707419</v>
      </c>
      <c r="AO348" s="291">
        <v>204.82586350266521</v>
      </c>
      <c r="AP348" s="291">
        <v>206.0766557020095</v>
      </c>
      <c r="AQ348" s="291">
        <v>207.28675738652493</v>
      </c>
      <c r="AR348" s="182"/>
    </row>
    <row r="349" spans="1:44" ht="14.25" customHeight="1" x14ac:dyDescent="0.3">
      <c r="A349" s="995"/>
      <c r="B349" s="185" t="s">
        <v>842</v>
      </c>
      <c r="C349" s="977"/>
      <c r="D349" s="982"/>
      <c r="E349" s="982"/>
      <c r="F349" s="982"/>
      <c r="G349" s="982"/>
      <c r="H349" s="982"/>
      <c r="I349" s="977"/>
      <c r="J349" s="202">
        <v>768.06</v>
      </c>
      <c r="K349" s="202">
        <v>769</v>
      </c>
      <c r="L349" s="202">
        <v>567</v>
      </c>
      <c r="M349" s="202">
        <v>831.7</v>
      </c>
      <c r="N349" s="202">
        <v>1015.3</v>
      </c>
      <c r="O349" s="291">
        <v>1028.948940045271</v>
      </c>
      <c r="P349" s="291">
        <v>1042.4814864643258</v>
      </c>
      <c r="Q349" s="291">
        <v>1055.8895746373626</v>
      </c>
      <c r="R349" s="291">
        <v>1069.1706879454362</v>
      </c>
      <c r="S349" s="291">
        <v>1082.3099554584157</v>
      </c>
      <c r="T349" s="291">
        <v>1095.3024011342959</v>
      </c>
      <c r="U349" s="291">
        <v>1108.1387020438021</v>
      </c>
      <c r="V349" s="291">
        <v>1120.8170279186111</v>
      </c>
      <c r="W349" s="291">
        <v>1133.3231369833279</v>
      </c>
      <c r="X349" s="291">
        <v>1145.6503373193939</v>
      </c>
      <c r="Y349" s="291">
        <v>1157.7899923481559</v>
      </c>
      <c r="Z349" s="291">
        <v>1169.7320927897183</v>
      </c>
      <c r="AA349" s="291">
        <v>1181.4717197979612</v>
      </c>
      <c r="AB349" s="291">
        <v>1193.0002939901167</v>
      </c>
      <c r="AC349" s="291">
        <v>1204.3127821282942</v>
      </c>
      <c r="AD349" s="291">
        <v>1215.3995181079085</v>
      </c>
      <c r="AE349" s="291">
        <v>1226.2566698046571</v>
      </c>
      <c r="AF349" s="291">
        <v>1236.8770877328998</v>
      </c>
      <c r="AG349" s="291">
        <v>1247.2557958506313</v>
      </c>
      <c r="AH349" s="291">
        <v>1257.391478652494</v>
      </c>
      <c r="AI349" s="291">
        <v>1267.2806471894955</v>
      </c>
      <c r="AJ349" s="291">
        <v>1276.9171815019283</v>
      </c>
      <c r="AK349" s="291">
        <v>1286.2998232803197</v>
      </c>
      <c r="AL349" s="291">
        <v>1295.4224525649622</v>
      </c>
      <c r="AM349" s="291">
        <v>1304.2835250669575</v>
      </c>
      <c r="AN349" s="291">
        <v>1312.8844706834336</v>
      </c>
      <c r="AO349" s="291">
        <v>1321.2179111452099</v>
      </c>
      <c r="AP349" s="291">
        <v>1329.2860770918062</v>
      </c>
      <c r="AQ349" s="291">
        <v>1337.0917711215934</v>
      </c>
      <c r="AR349" s="182"/>
    </row>
    <row r="350" spans="1:44" ht="14.25" customHeight="1" x14ac:dyDescent="0.3">
      <c r="A350" s="995"/>
      <c r="B350" s="185" t="s">
        <v>707</v>
      </c>
      <c r="C350" s="977"/>
      <c r="D350" s="982"/>
      <c r="E350" s="982"/>
      <c r="F350" s="982"/>
      <c r="G350" s="982"/>
      <c r="H350" s="982"/>
      <c r="I350" s="977"/>
      <c r="J350" s="202">
        <v>122.25383807632522</v>
      </c>
      <c r="K350" s="202">
        <v>30.379732311994736</v>
      </c>
      <c r="L350" s="202">
        <v>115.22607457378612</v>
      </c>
      <c r="M350" s="202">
        <v>123.19989497262668</v>
      </c>
      <c r="N350" s="202">
        <v>131.33708370927823</v>
      </c>
      <c r="O350" s="291">
        <v>133.10268203614586</v>
      </c>
      <c r="P350" s="291">
        <v>134.85322392705407</v>
      </c>
      <c r="Q350" s="291">
        <v>136.58766615965874</v>
      </c>
      <c r="R350" s="291">
        <v>138.30568318939859</v>
      </c>
      <c r="S350" s="291">
        <v>140.00535134386604</v>
      </c>
      <c r="T350" s="291">
        <v>141.68602693267852</v>
      </c>
      <c r="U350" s="291">
        <v>143.34650396121128</v>
      </c>
      <c r="V350" s="291">
        <v>144.98654566978342</v>
      </c>
      <c r="W350" s="291">
        <v>146.60430977212764</v>
      </c>
      <c r="X350" s="291">
        <v>148.19893061566052</v>
      </c>
      <c r="Y350" s="291">
        <v>149.76929099063764</v>
      </c>
      <c r="Z350" s="291">
        <v>151.31409611755393</v>
      </c>
      <c r="AA350" s="291">
        <v>152.83270970476687</v>
      </c>
      <c r="AB350" s="291">
        <v>154.32402194127206</v>
      </c>
      <c r="AC350" s="291">
        <v>155.78738173794696</v>
      </c>
      <c r="AD350" s="291">
        <v>157.22153870772661</v>
      </c>
      <c r="AE350" s="291">
        <v>158.62599713502908</v>
      </c>
      <c r="AF350" s="291">
        <v>159.99983217735067</v>
      </c>
      <c r="AG350" s="291">
        <v>161.34240014430887</v>
      </c>
      <c r="AH350" s="291">
        <v>162.65353086488301</v>
      </c>
      <c r="AI350" s="291">
        <v>163.9327730159313</v>
      </c>
      <c r="AJ350" s="291">
        <v>165.17933493227062</v>
      </c>
      <c r="AK350" s="291">
        <v>166.39305384162034</v>
      </c>
      <c r="AL350" s="291">
        <v>167.57313807879734</v>
      </c>
      <c r="AM350" s="291">
        <v>168.71938787782082</v>
      </c>
      <c r="AN350" s="291">
        <v>169.8319882071915</v>
      </c>
      <c r="AO350" s="291">
        <v>170.9099846294456</v>
      </c>
      <c r="AP350" s="291">
        <v>171.9536656954443</v>
      </c>
      <c r="AQ350" s="291">
        <v>172.96339394344901</v>
      </c>
      <c r="AR350" s="182"/>
    </row>
    <row r="351" spans="1:44" ht="14.25" customHeight="1" x14ac:dyDescent="0.3">
      <c r="A351" s="995"/>
      <c r="B351" s="185" t="s">
        <v>708</v>
      </c>
      <c r="C351" s="977"/>
      <c r="D351" s="982"/>
      <c r="E351" s="982"/>
      <c r="F351" s="982"/>
      <c r="G351" s="982"/>
      <c r="H351" s="982"/>
      <c r="I351" s="977"/>
      <c r="J351" s="202">
        <v>150.85779409882147</v>
      </c>
      <c r="K351" s="202">
        <v>200</v>
      </c>
      <c r="L351" s="202">
        <v>0</v>
      </c>
      <c r="M351" s="202">
        <v>0</v>
      </c>
      <c r="N351" s="202">
        <v>170</v>
      </c>
      <c r="O351" s="291">
        <v>172.2853538931312</v>
      </c>
      <c r="P351" s="291">
        <v>174.55121904750857</v>
      </c>
      <c r="Q351" s="291">
        <v>176.79624513774422</v>
      </c>
      <c r="R351" s="291">
        <v>179.02001078570296</v>
      </c>
      <c r="S351" s="291">
        <v>181.22002602967669</v>
      </c>
      <c r="T351" s="291">
        <v>183.39545769017076</v>
      </c>
      <c r="U351" s="291">
        <v>185.54474475272968</v>
      </c>
      <c r="V351" s="291">
        <v>187.6675807605279</v>
      </c>
      <c r="W351" s="291">
        <v>189.76158109639107</v>
      </c>
      <c r="X351" s="291">
        <v>191.82562527755053</v>
      </c>
      <c r="Y351" s="291">
        <v>193.85826721086045</v>
      </c>
      <c r="Z351" s="291">
        <v>195.85783096055573</v>
      </c>
      <c r="AA351" s="291">
        <v>197.8234929239176</v>
      </c>
      <c r="AB351" s="291">
        <v>199.75381658457593</v>
      </c>
      <c r="AC351" s="291">
        <v>201.64795918626032</v>
      </c>
      <c r="AD351" s="291">
        <v>203.50430225386049</v>
      </c>
      <c r="AE351" s="291">
        <v>205.32220414339781</v>
      </c>
      <c r="AF351" s="291">
        <v>207.10046775789721</v>
      </c>
      <c r="AG351" s="291">
        <v>208.83825991786406</v>
      </c>
      <c r="AH351" s="291">
        <v>210.53536035745498</v>
      </c>
      <c r="AI351" s="291">
        <v>212.1911848933461</v>
      </c>
      <c r="AJ351" s="291">
        <v>213.80470881052679</v>
      </c>
      <c r="AK351" s="291">
        <v>215.37572141992948</v>
      </c>
      <c r="AL351" s="291">
        <v>216.90319800654351</v>
      </c>
      <c r="AM351" s="291">
        <v>218.38687999742226</v>
      </c>
      <c r="AN351" s="291">
        <v>219.82700681196073</v>
      </c>
      <c r="AO351" s="291">
        <v>221.22234304608065</v>
      </c>
      <c r="AP351" s="291">
        <v>222.57326219403828</v>
      </c>
      <c r="AQ351" s="291">
        <v>223.88023351784784</v>
      </c>
      <c r="AR351" s="182"/>
    </row>
    <row r="352" spans="1:44" ht="14.25" customHeight="1" x14ac:dyDescent="0.3">
      <c r="A352" s="995"/>
      <c r="B352" s="185" t="s">
        <v>709</v>
      </c>
      <c r="C352" s="977"/>
      <c r="D352" s="982"/>
      <c r="E352" s="982"/>
      <c r="F352" s="982"/>
      <c r="G352" s="982"/>
      <c r="H352" s="982"/>
      <c r="I352" s="977"/>
      <c r="J352" s="202">
        <v>501.71135388656484</v>
      </c>
      <c r="K352" s="202">
        <v>466</v>
      </c>
      <c r="L352" s="202">
        <v>438</v>
      </c>
      <c r="M352" s="202">
        <v>367.7</v>
      </c>
      <c r="N352" s="202">
        <v>421.4</v>
      </c>
      <c r="O352" s="291">
        <v>427.06498900332633</v>
      </c>
      <c r="P352" s="291">
        <v>432.68166886247116</v>
      </c>
      <c r="Q352" s="291">
        <v>438.24669235909062</v>
      </c>
      <c r="R352" s="291">
        <v>443.75901497114836</v>
      </c>
      <c r="S352" s="291">
        <v>449.21246452297498</v>
      </c>
      <c r="T352" s="291">
        <v>454.60497570963497</v>
      </c>
      <c r="U352" s="291">
        <v>459.93267905176634</v>
      </c>
      <c r="V352" s="291">
        <v>465.1948148969791</v>
      </c>
      <c r="W352" s="291">
        <v>470.38547220011282</v>
      </c>
      <c r="X352" s="291">
        <v>475.50187348211631</v>
      </c>
      <c r="Y352" s="291">
        <v>480.54043413327395</v>
      </c>
      <c r="Z352" s="291">
        <v>485.49699980457746</v>
      </c>
      <c r="AA352" s="291">
        <v>490.36952893022857</v>
      </c>
      <c r="AB352" s="291">
        <v>495.15446063964873</v>
      </c>
      <c r="AC352" s="291">
        <v>499.84970588876519</v>
      </c>
      <c r="AD352" s="291">
        <v>504.45125276339286</v>
      </c>
      <c r="AE352" s="291">
        <v>508.95751074134006</v>
      </c>
      <c r="AF352" s="291">
        <v>513.36551243045801</v>
      </c>
      <c r="AG352" s="291">
        <v>517.67319252581115</v>
      </c>
      <c r="AH352" s="291">
        <v>521.88000502724412</v>
      </c>
      <c r="AI352" s="291">
        <v>525.9845018473884</v>
      </c>
      <c r="AJ352" s="291">
        <v>529.98414289856453</v>
      </c>
      <c r="AK352" s="291">
        <v>533.87840591975441</v>
      </c>
      <c r="AL352" s="291">
        <v>537.66475082327884</v>
      </c>
      <c r="AM352" s="291">
        <v>541.34253665243364</v>
      </c>
      <c r="AN352" s="291">
        <v>544.91235688564848</v>
      </c>
      <c r="AO352" s="291">
        <v>548.37114917422571</v>
      </c>
      <c r="AP352" s="291">
        <v>551.719839344516</v>
      </c>
      <c r="AQ352" s="291">
        <v>554.95959061424162</v>
      </c>
      <c r="AR352" s="182"/>
    </row>
    <row r="353" spans="1:44" ht="14.25" customHeight="1" x14ac:dyDescent="0.3">
      <c r="A353" s="995"/>
      <c r="B353" s="185" t="s">
        <v>710</v>
      </c>
      <c r="C353" s="977"/>
      <c r="D353" s="982"/>
      <c r="E353" s="982"/>
      <c r="F353" s="982"/>
      <c r="G353" s="982"/>
      <c r="H353" s="982"/>
      <c r="I353" s="977"/>
      <c r="J353" s="202">
        <v>325.44090052128229</v>
      </c>
      <c r="K353" s="202">
        <v>517</v>
      </c>
      <c r="L353" s="202">
        <v>742</v>
      </c>
      <c r="M353" s="202">
        <v>650.4</v>
      </c>
      <c r="N353" s="202">
        <v>620.6</v>
      </c>
      <c r="O353" s="291">
        <v>628.9428860357483</v>
      </c>
      <c r="P353" s="291">
        <v>637.21462671108122</v>
      </c>
      <c r="Q353" s="291">
        <v>645.41029254402383</v>
      </c>
      <c r="R353" s="291">
        <v>653.52834525651326</v>
      </c>
      <c r="S353" s="291">
        <v>661.55969502363143</v>
      </c>
      <c r="T353" s="291">
        <v>669.50130025011742</v>
      </c>
      <c r="U353" s="291">
        <v>677.3474623149649</v>
      </c>
      <c r="V353" s="291">
        <v>685.09706247049178</v>
      </c>
      <c r="W353" s="291">
        <v>692.74139546129572</v>
      </c>
      <c r="X353" s="291">
        <v>700.27637086616369</v>
      </c>
      <c r="Y353" s="291">
        <v>707.69670959447035</v>
      </c>
      <c r="Z353" s="291">
        <v>714.99629349482859</v>
      </c>
      <c r="AA353" s="291">
        <v>722.17211593284253</v>
      </c>
      <c r="AB353" s="291">
        <v>729.21893277875176</v>
      </c>
      <c r="AC353" s="291">
        <v>736.13366747643022</v>
      </c>
      <c r="AD353" s="291">
        <v>742.91041163968112</v>
      </c>
      <c r="AE353" s="291">
        <v>749.54682289054506</v>
      </c>
      <c r="AF353" s="291">
        <v>756.03853112088814</v>
      </c>
      <c r="AG353" s="291">
        <v>762.38249473544943</v>
      </c>
      <c r="AH353" s="291">
        <v>768.5779096343324</v>
      </c>
      <c r="AI353" s="291">
        <v>774.62264320476788</v>
      </c>
      <c r="AJ353" s="291">
        <v>780.51295463419342</v>
      </c>
      <c r="AK353" s="291">
        <v>786.24807478357752</v>
      </c>
      <c r="AL353" s="291">
        <v>791.82426284035785</v>
      </c>
      <c r="AM353" s="291">
        <v>797.24057486117761</v>
      </c>
      <c r="AN353" s="291">
        <v>802.4978848676634</v>
      </c>
      <c r="AO353" s="291">
        <v>807.59168290822117</v>
      </c>
      <c r="AP353" s="291">
        <v>812.52333245658883</v>
      </c>
      <c r="AQ353" s="291">
        <v>817.29454659515477</v>
      </c>
      <c r="AR353" s="182"/>
    </row>
    <row r="354" spans="1:44" ht="14.25" customHeight="1" x14ac:dyDescent="0.3">
      <c r="A354" s="995"/>
      <c r="B354" s="185" t="s">
        <v>711</v>
      </c>
      <c r="C354" s="977"/>
      <c r="D354" s="982"/>
      <c r="E354" s="982"/>
      <c r="F354" s="982"/>
      <c r="G354" s="982"/>
      <c r="H354" s="982"/>
      <c r="I354" s="977"/>
      <c r="J354" s="202">
        <v>276.75341671727637</v>
      </c>
      <c r="K354" s="202">
        <v>201.02416595832574</v>
      </c>
      <c r="L354" s="202">
        <v>247.82375039928598</v>
      </c>
      <c r="M354" s="202">
        <v>199.73610791490233</v>
      </c>
      <c r="N354" s="202">
        <v>268.89999999999998</v>
      </c>
      <c r="O354" s="291">
        <v>272.51489212860571</v>
      </c>
      <c r="P354" s="291">
        <v>276.09895765808847</v>
      </c>
      <c r="Q354" s="291">
        <v>279.65006069140827</v>
      </c>
      <c r="R354" s="291">
        <v>283.16753470750302</v>
      </c>
      <c r="S354" s="291">
        <v>286.64744117282379</v>
      </c>
      <c r="T354" s="291">
        <v>290.08846219345236</v>
      </c>
      <c r="U354" s="291">
        <v>293.48812861181761</v>
      </c>
      <c r="V354" s="291">
        <v>296.84595568532905</v>
      </c>
      <c r="W354" s="291">
        <v>300.1581715107032</v>
      </c>
      <c r="X354" s="291">
        <v>303.4230037478431</v>
      </c>
      <c r="Y354" s="291">
        <v>306.63816501764916</v>
      </c>
      <c r="Z354" s="291">
        <v>309.80100438407891</v>
      </c>
      <c r="AA354" s="291">
        <v>312.91021910142013</v>
      </c>
      <c r="AB354" s="291">
        <v>315.9635369387791</v>
      </c>
      <c r="AC354" s="291">
        <v>318.95962485403163</v>
      </c>
      <c r="AD354" s="291">
        <v>321.89592280037095</v>
      </c>
      <c r="AE354" s="291">
        <v>324.7714158479979</v>
      </c>
      <c r="AF354" s="291">
        <v>327.58421047116786</v>
      </c>
      <c r="AG354" s="291">
        <v>330.33298877596252</v>
      </c>
      <c r="AH354" s="291">
        <v>333.01740235364485</v>
      </c>
      <c r="AI354" s="291">
        <v>335.63652716365146</v>
      </c>
      <c r="AJ354" s="291">
        <v>338.18874234794492</v>
      </c>
      <c r="AK354" s="291">
        <v>340.67371464599421</v>
      </c>
      <c r="AL354" s="291">
        <v>343.0898231997619</v>
      </c>
      <c r="AM354" s="291">
        <v>345.43665900768718</v>
      </c>
      <c r="AN354" s="291">
        <v>347.71460077491895</v>
      </c>
      <c r="AO354" s="291">
        <v>349.92169438288863</v>
      </c>
      <c r="AP354" s="291">
        <v>352.05853061162867</v>
      </c>
      <c r="AQ354" s="291">
        <v>354.12585172323094</v>
      </c>
      <c r="AR354" s="182"/>
    </row>
    <row r="355" spans="1:44" ht="14.25" customHeight="1" x14ac:dyDescent="0.3">
      <c r="A355" s="995"/>
      <c r="B355" s="185" t="s">
        <v>712</v>
      </c>
      <c r="C355" s="977"/>
      <c r="D355" s="982"/>
      <c r="E355" s="982"/>
      <c r="F355" s="982"/>
      <c r="G355" s="982"/>
      <c r="H355" s="982"/>
      <c r="I355" s="977"/>
      <c r="J355" s="202">
        <v>0</v>
      </c>
      <c r="K355" s="202">
        <v>107.77264867839591</v>
      </c>
      <c r="L355" s="202">
        <v>121.71801820253535</v>
      </c>
      <c r="M355" s="202">
        <v>156.70408071033322</v>
      </c>
      <c r="N355" s="202">
        <v>106.5</v>
      </c>
      <c r="O355" s="291">
        <v>107.93170699775571</v>
      </c>
      <c r="P355" s="291">
        <v>109.35120487388035</v>
      </c>
      <c r="Q355" s="291">
        <v>110.75764768923386</v>
      </c>
      <c r="R355" s="291">
        <v>112.15077146280802</v>
      </c>
      <c r="S355" s="291">
        <v>113.52901630682685</v>
      </c>
      <c r="T355" s="291">
        <v>114.89186025884224</v>
      </c>
      <c r="U355" s="291">
        <v>116.23832538921003</v>
      </c>
      <c r="V355" s="291">
        <v>117.56821971174244</v>
      </c>
      <c r="W355" s="291">
        <v>118.88004933391554</v>
      </c>
      <c r="X355" s="291">
        <v>120.17311230623014</v>
      </c>
      <c r="Y355" s="291">
        <v>121.44650269386253</v>
      </c>
      <c r="Z355" s="291">
        <v>122.69917057234811</v>
      </c>
      <c r="AA355" s="291">
        <v>123.93059997880715</v>
      </c>
      <c r="AB355" s="291">
        <v>125.13989097798429</v>
      </c>
      <c r="AC355" s="291">
        <v>126.32651560786304</v>
      </c>
      <c r="AD355" s="291">
        <v>127.48945994138903</v>
      </c>
      <c r="AE355" s="291">
        <v>128.62832200748153</v>
      </c>
      <c r="AF355" s="291">
        <v>129.7423518600944</v>
      </c>
      <c r="AG355" s="291">
        <v>130.83102753677952</v>
      </c>
      <c r="AH355" s="291">
        <v>131.89421104746441</v>
      </c>
      <c r="AI355" s="291">
        <v>132.93153641847854</v>
      </c>
      <c r="AJ355" s="291">
        <v>133.94236169600646</v>
      </c>
      <c r="AK355" s="291">
        <v>134.92655488954401</v>
      </c>
      <c r="AL355" s="291">
        <v>135.88347404527573</v>
      </c>
      <c r="AM355" s="291">
        <v>136.81295717485565</v>
      </c>
      <c r="AN355" s="291">
        <v>137.71515426749301</v>
      </c>
      <c r="AO355" s="291">
        <v>138.58929137886813</v>
      </c>
      <c r="AP355" s="291">
        <v>139.43560249214747</v>
      </c>
      <c r="AQ355" s="291">
        <v>140.2543815861811</v>
      </c>
      <c r="AR355" s="182"/>
    </row>
    <row r="356" spans="1:44" ht="14.25" customHeight="1" x14ac:dyDescent="0.3">
      <c r="A356" s="995"/>
      <c r="B356" s="185" t="s">
        <v>713</v>
      </c>
      <c r="C356" s="977"/>
      <c r="D356" s="982"/>
      <c r="E356" s="982"/>
      <c r="F356" s="982"/>
      <c r="G356" s="982"/>
      <c r="H356" s="982"/>
      <c r="I356" s="977"/>
      <c r="J356" s="202">
        <v>0</v>
      </c>
      <c r="K356" s="202">
        <v>133.29921508867</v>
      </c>
      <c r="L356" s="202">
        <v>196.93190017375747</v>
      </c>
      <c r="M356" s="202">
        <v>211.50616730098926</v>
      </c>
      <c r="N356" s="202">
        <v>219.59911059084641</v>
      </c>
      <c r="O356" s="291">
        <v>222.55123813388721</v>
      </c>
      <c r="P356" s="291">
        <v>225.47819091400521</v>
      </c>
      <c r="Q356" s="291">
        <v>228.37822463558754</v>
      </c>
      <c r="R356" s="291">
        <v>231.25079497943588</v>
      </c>
      <c r="S356" s="291">
        <v>234.09268551392373</v>
      </c>
      <c r="T356" s="291">
        <v>236.90281997154528</v>
      </c>
      <c r="U356" s="291">
        <v>239.67918189708854</v>
      </c>
      <c r="V356" s="291">
        <v>242.42137542204566</v>
      </c>
      <c r="W356" s="291">
        <v>245.12632019458968</v>
      </c>
      <c r="X356" s="291">
        <v>247.79256882048867</v>
      </c>
      <c r="Y356" s="291">
        <v>250.41825329522109</v>
      </c>
      <c r="Z356" s="291">
        <v>253.00120871288451</v>
      </c>
      <c r="AA356" s="291">
        <v>255.54037117686406</v>
      </c>
      <c r="AB356" s="291">
        <v>258.03388505352899</v>
      </c>
      <c r="AC356" s="291">
        <v>260.48066170448266</v>
      </c>
      <c r="AD356" s="291">
        <v>262.87861044916781</v>
      </c>
      <c r="AE356" s="291">
        <v>265.22690243789611</v>
      </c>
      <c r="AF356" s="291">
        <v>267.52399130930866</v>
      </c>
      <c r="AG356" s="291">
        <v>269.76880079589961</v>
      </c>
      <c r="AH356" s="291">
        <v>271.96104636717899</v>
      </c>
      <c r="AI356" s="291">
        <v>274.09997339880368</v>
      </c>
      <c r="AJ356" s="291">
        <v>276.18425820545036</v>
      </c>
      <c r="AK356" s="291">
        <v>278.21362862751994</v>
      </c>
      <c r="AL356" s="291">
        <v>280.18676097968921</v>
      </c>
      <c r="AM356" s="291">
        <v>282.10332124790472</v>
      </c>
      <c r="AN356" s="291">
        <v>283.96361870443815</v>
      </c>
      <c r="AO356" s="291">
        <v>285.76605750436704</v>
      </c>
      <c r="AP356" s="291">
        <v>287.51112011243549</v>
      </c>
      <c r="AQ356" s="291">
        <v>289.19941270229617</v>
      </c>
      <c r="AR356" s="182"/>
    </row>
    <row r="357" spans="1:44" ht="14.25" customHeight="1" x14ac:dyDescent="0.3">
      <c r="A357" s="995"/>
      <c r="B357" s="185" t="s">
        <v>714</v>
      </c>
      <c r="C357" s="977"/>
      <c r="D357" s="982"/>
      <c r="E357" s="982"/>
      <c r="F357" s="982"/>
      <c r="G357" s="982"/>
      <c r="H357" s="982"/>
      <c r="I357" s="977"/>
      <c r="J357" s="301">
        <v>105.71304470928307</v>
      </c>
      <c r="K357" s="301">
        <v>1048.1144799708336</v>
      </c>
      <c r="L357" s="301">
        <v>683.87502065145532</v>
      </c>
      <c r="M357" s="301">
        <v>503.48773330439957</v>
      </c>
      <c r="N357" s="301">
        <v>496.74178998435787</v>
      </c>
      <c r="O357" s="291">
        <v>503.41961812330908</v>
      </c>
      <c r="P357" s="291">
        <v>510.04049996241844</v>
      </c>
      <c r="Q357" s="291">
        <v>516.60048983668457</v>
      </c>
      <c r="R357" s="291">
        <v>523.09835647475961</v>
      </c>
      <c r="S357" s="291">
        <v>529.52682418231473</v>
      </c>
      <c r="T357" s="291">
        <v>535.8834584000939</v>
      </c>
      <c r="U357" s="291">
        <v>542.16369782742174</v>
      </c>
      <c r="V357" s="291">
        <v>548.36664699422727</v>
      </c>
      <c r="W357" s="291">
        <v>554.48533802401857</v>
      </c>
      <c r="X357" s="291">
        <v>560.51649685434768</v>
      </c>
      <c r="Y357" s="291">
        <v>566.45589798581614</v>
      </c>
      <c r="Z357" s="291">
        <v>572.29864431647184</v>
      </c>
      <c r="AA357" s="291">
        <v>578.0423292704985</v>
      </c>
      <c r="AB357" s="291">
        <v>583.68275533193719</v>
      </c>
      <c r="AC357" s="291">
        <v>589.21745995809204</v>
      </c>
      <c r="AD357" s="291">
        <v>594.64171394764946</v>
      </c>
      <c r="AE357" s="291">
        <v>599.95364241014784</v>
      </c>
      <c r="AF357" s="291">
        <v>605.14974741562128</v>
      </c>
      <c r="AG357" s="291">
        <v>610.22759440481377</v>
      </c>
      <c r="AH357" s="291">
        <v>615.1865397586115</v>
      </c>
      <c r="AI357" s="291">
        <v>620.02487648719136</v>
      </c>
      <c r="AJ357" s="291">
        <v>624.73961036250262</v>
      </c>
      <c r="AK357" s="291">
        <v>629.3301257488713</v>
      </c>
      <c r="AL357" s="291">
        <v>633.79342841824689</v>
      </c>
      <c r="AM357" s="291">
        <v>638.12876281775675</v>
      </c>
      <c r="AN357" s="291">
        <v>642.33682853339394</v>
      </c>
      <c r="AO357" s="291">
        <v>646.41401570143375</v>
      </c>
      <c r="AP357" s="291">
        <v>650.36141567602567</v>
      </c>
      <c r="AQ357" s="291">
        <v>654.18039964571619</v>
      </c>
      <c r="AR357" s="182"/>
    </row>
    <row r="358" spans="1:44" ht="14.25" customHeight="1" x14ac:dyDescent="0.3">
      <c r="A358" s="995"/>
      <c r="B358" s="185" t="s">
        <v>715</v>
      </c>
      <c r="C358" s="977"/>
      <c r="D358" s="982"/>
      <c r="E358" s="982"/>
      <c r="F358" s="982"/>
      <c r="G358" s="982"/>
      <c r="H358" s="982"/>
      <c r="I358" s="977"/>
      <c r="J358" s="301">
        <v>388.76177507084674</v>
      </c>
      <c r="K358" s="301">
        <v>330.0776224697172</v>
      </c>
      <c r="L358" s="301">
        <v>414.51562066941744</v>
      </c>
      <c r="M358" s="301">
        <v>370.99405287354472</v>
      </c>
      <c r="N358" s="301">
        <v>469.70000000000005</v>
      </c>
      <c r="O358" s="291">
        <v>476.01429837413957</v>
      </c>
      <c r="P358" s="291">
        <v>482.27475050949869</v>
      </c>
      <c r="Q358" s="291">
        <v>488.47762553646157</v>
      </c>
      <c r="R358" s="291">
        <v>494.6217592120276</v>
      </c>
      <c r="S358" s="291">
        <v>500.70027191846555</v>
      </c>
      <c r="T358" s="291">
        <v>506.71086162984238</v>
      </c>
      <c r="U358" s="291">
        <v>512.64921535504197</v>
      </c>
      <c r="V358" s="291">
        <v>518.51448637188207</v>
      </c>
      <c r="W358" s="291">
        <v>524.30008612338167</v>
      </c>
      <c r="X358" s="291">
        <v>530.00291878156168</v>
      </c>
      <c r="Y358" s="291">
        <v>535.61898887612438</v>
      </c>
      <c r="Z358" s="291">
        <v>541.14366589513543</v>
      </c>
      <c r="AA358" s="291">
        <v>546.57467427272991</v>
      </c>
      <c r="AB358" s="291">
        <v>551.90804499867829</v>
      </c>
      <c r="AC358" s="291">
        <v>557.14144958697921</v>
      </c>
      <c r="AD358" s="291">
        <v>562.27041628610743</v>
      </c>
      <c r="AE358" s="291">
        <v>567.29317227149375</v>
      </c>
      <c r="AF358" s="291">
        <v>572.20641003461355</v>
      </c>
      <c r="AG358" s="291">
        <v>577.00782754953377</v>
      </c>
      <c r="AH358" s="291">
        <v>581.6968162346858</v>
      </c>
      <c r="AI358" s="291">
        <v>586.27176202590965</v>
      </c>
      <c r="AJ358" s="291">
        <v>590.72983369590827</v>
      </c>
      <c r="AK358" s="291">
        <v>595.07044912318145</v>
      </c>
      <c r="AL358" s="291">
        <v>599.29077708043212</v>
      </c>
      <c r="AM358" s="291">
        <v>603.3901031458189</v>
      </c>
      <c r="AN358" s="291">
        <v>607.36908882104672</v>
      </c>
      <c r="AO358" s="291">
        <v>611.22432075731808</v>
      </c>
      <c r="AP358" s="291">
        <v>614.95683089729278</v>
      </c>
      <c r="AQ358" s="291">
        <v>618.5679157843125</v>
      </c>
      <c r="AR358" s="182"/>
    </row>
    <row r="359" spans="1:44" ht="14.25" customHeight="1" x14ac:dyDescent="0.3">
      <c r="A359" s="995"/>
      <c r="B359" s="185" t="s">
        <v>716</v>
      </c>
      <c r="C359" s="977"/>
      <c r="D359" s="982"/>
      <c r="E359" s="982"/>
      <c r="F359" s="982"/>
      <c r="G359" s="982"/>
      <c r="H359" s="982"/>
      <c r="I359" s="977"/>
      <c r="J359" s="301">
        <v>1016.4744417270931</v>
      </c>
      <c r="K359" s="301">
        <v>462</v>
      </c>
      <c r="L359" s="301">
        <v>486</v>
      </c>
      <c r="M359" s="301">
        <v>495.5</v>
      </c>
      <c r="N359" s="301">
        <v>538.70000000000005</v>
      </c>
      <c r="O359" s="291">
        <v>545.94188318958697</v>
      </c>
      <c r="P359" s="291">
        <v>553.12201000525215</v>
      </c>
      <c r="Q359" s="291">
        <v>560.23610150413424</v>
      </c>
      <c r="R359" s="291">
        <v>567.2828224132835</v>
      </c>
      <c r="S359" s="291">
        <v>574.25428248345202</v>
      </c>
      <c r="T359" s="291">
        <v>581.14784151585286</v>
      </c>
      <c r="U359" s="291">
        <v>587.95855293114982</v>
      </c>
      <c r="V359" s="291">
        <v>594.68544562174338</v>
      </c>
      <c r="W359" s="291">
        <v>601.32096315662272</v>
      </c>
      <c r="X359" s="291">
        <v>607.86155492362627</v>
      </c>
      <c r="Y359" s="291">
        <v>614.3026385087677</v>
      </c>
      <c r="Z359" s="291">
        <v>620.63890316736092</v>
      </c>
      <c r="AA359" s="291">
        <v>626.86773904773167</v>
      </c>
      <c r="AB359" s="291">
        <v>632.98459408300607</v>
      </c>
      <c r="AC359" s="291">
        <v>638.98679772728474</v>
      </c>
      <c r="AD359" s="291">
        <v>644.86922131855658</v>
      </c>
      <c r="AE359" s="291">
        <v>650.62983160028455</v>
      </c>
      <c r="AF359" s="291">
        <v>656.26483518340706</v>
      </c>
      <c r="AG359" s="291">
        <v>661.7715918691373</v>
      </c>
      <c r="AH359" s="291">
        <v>667.14940367388795</v>
      </c>
      <c r="AI359" s="291">
        <v>672.39641942379706</v>
      </c>
      <c r="AJ359" s="291">
        <v>677.50939197782793</v>
      </c>
      <c r="AK359" s="291">
        <v>682.4876536995057</v>
      </c>
      <c r="AL359" s="291">
        <v>687.32795744779378</v>
      </c>
      <c r="AM359" s="291">
        <v>692.02948385065486</v>
      </c>
      <c r="AN359" s="291">
        <v>696.59299158590125</v>
      </c>
      <c r="AO359" s="291">
        <v>701.01456587602127</v>
      </c>
      <c r="AP359" s="291">
        <v>705.29539025840234</v>
      </c>
      <c r="AQ359" s="291">
        <v>709.43695174155653</v>
      </c>
      <c r="AR359" s="182"/>
    </row>
    <row r="360" spans="1:44" ht="14.25" customHeight="1" x14ac:dyDescent="0.3">
      <c r="A360" s="995"/>
      <c r="B360" s="185" t="s">
        <v>717</v>
      </c>
      <c r="C360" s="977"/>
      <c r="D360" s="982"/>
      <c r="E360" s="982"/>
      <c r="F360" s="982"/>
      <c r="G360" s="982"/>
      <c r="H360" s="982"/>
      <c r="I360" s="977"/>
      <c r="J360" s="301">
        <v>185.67</v>
      </c>
      <c r="K360" s="301">
        <v>1244.0659714179023</v>
      </c>
      <c r="L360" s="301">
        <v>618.36073373563374</v>
      </c>
      <c r="M360" s="301">
        <v>607.660123075569</v>
      </c>
      <c r="N360" s="301">
        <v>584.38572887216105</v>
      </c>
      <c r="O360" s="291">
        <v>592.24177711079813</v>
      </c>
      <c r="P360" s="291">
        <v>600.03083158001482</v>
      </c>
      <c r="Q360" s="291">
        <v>607.74825045107002</v>
      </c>
      <c r="R360" s="291">
        <v>615.39258521003035</v>
      </c>
      <c r="S360" s="291">
        <v>622.95527645638003</v>
      </c>
      <c r="T360" s="291">
        <v>630.43346008302353</v>
      </c>
      <c r="U360" s="291">
        <v>637.82177000425293</v>
      </c>
      <c r="V360" s="291">
        <v>645.11915275538956</v>
      </c>
      <c r="W360" s="291">
        <v>652.31741106440097</v>
      </c>
      <c r="X360" s="291">
        <v>659.41269320105516</v>
      </c>
      <c r="Y360" s="291">
        <v>666.40002812889884</v>
      </c>
      <c r="Z360" s="291">
        <v>673.27365471296957</v>
      </c>
      <c r="AA360" s="291">
        <v>680.03074176694315</v>
      </c>
      <c r="AB360" s="291">
        <v>686.66635117513727</v>
      </c>
      <c r="AC360" s="291">
        <v>693.17758590968515</v>
      </c>
      <c r="AD360" s="291">
        <v>699.55888236025169</v>
      </c>
      <c r="AE360" s="291">
        <v>705.80803483516547</v>
      </c>
      <c r="AF360" s="291">
        <v>711.92092823802477</v>
      </c>
      <c r="AG360" s="291">
        <v>717.89469846173392</v>
      </c>
      <c r="AH360" s="291">
        <v>723.72858832855502</v>
      </c>
      <c r="AI360" s="291">
        <v>729.42058967144408</v>
      </c>
      <c r="AJ360" s="291">
        <v>734.96717996788118</v>
      </c>
      <c r="AK360" s="291">
        <v>740.36763496089964</v>
      </c>
      <c r="AL360" s="291">
        <v>745.61843212797964</v>
      </c>
      <c r="AM360" s="291">
        <v>750.71868260829831</v>
      </c>
      <c r="AN360" s="291">
        <v>755.66920942113609</v>
      </c>
      <c r="AO360" s="291">
        <v>760.46576578700615</v>
      </c>
      <c r="AP360" s="291">
        <v>765.10963561598601</v>
      </c>
      <c r="AQ360" s="291">
        <v>769.60243202586514</v>
      </c>
      <c r="AR360" s="182"/>
    </row>
    <row r="361" spans="1:44" ht="14.25" customHeight="1" x14ac:dyDescent="0.3">
      <c r="A361" s="995"/>
      <c r="B361" s="185" t="s">
        <v>718</v>
      </c>
      <c r="C361" s="977"/>
      <c r="D361" s="982"/>
      <c r="E361" s="982"/>
      <c r="F361" s="982"/>
      <c r="G361" s="982"/>
      <c r="H361" s="982"/>
      <c r="I361" s="977"/>
      <c r="J361" s="301">
        <v>483.70721151232755</v>
      </c>
      <c r="K361" s="301">
        <v>901.23942272500881</v>
      </c>
      <c r="L361" s="301">
        <v>955.62587592882051</v>
      </c>
      <c r="M361" s="301">
        <v>618.24892948451316</v>
      </c>
      <c r="N361" s="301">
        <v>816.25433898912627</v>
      </c>
      <c r="O361" s="291">
        <v>827.22745682085588</v>
      </c>
      <c r="P361" s="291">
        <v>838.106999549237</v>
      </c>
      <c r="Q361" s="291">
        <v>848.88648359217018</v>
      </c>
      <c r="R361" s="291">
        <v>859.56388570417778</v>
      </c>
      <c r="S361" s="291">
        <v>870.12725034379991</v>
      </c>
      <c r="T361" s="291">
        <v>880.5725770029328</v>
      </c>
      <c r="U361" s="291">
        <v>890.89237047673817</v>
      </c>
      <c r="V361" s="291">
        <v>901.08515931395959</v>
      </c>
      <c r="W361" s="291">
        <v>911.13949378450661</v>
      </c>
      <c r="X361" s="291">
        <v>921.04999389472232</v>
      </c>
      <c r="Y361" s="291">
        <v>930.80971623398966</v>
      </c>
      <c r="Z361" s="291">
        <v>940.41061380324936</v>
      </c>
      <c r="AA361" s="291">
        <v>949.84873207724934</v>
      </c>
      <c r="AB361" s="291">
        <v>959.11717362822435</v>
      </c>
      <c r="AC361" s="291">
        <v>968.21189196521868</v>
      </c>
      <c r="AD361" s="291">
        <v>977.1251159862835</v>
      </c>
      <c r="AE361" s="291">
        <v>985.85376484035044</v>
      </c>
      <c r="AF361" s="291">
        <v>994.39209067094828</v>
      </c>
      <c r="AG361" s="291">
        <v>1002.7360929699731</v>
      </c>
      <c r="AH361" s="291">
        <v>1010.8847141318345</v>
      </c>
      <c r="AI361" s="291">
        <v>1018.8351492025744</v>
      </c>
      <c r="AJ361" s="291">
        <v>1026.5824780170537</v>
      </c>
      <c r="AK361" s="291">
        <v>1034.1256889525334</v>
      </c>
      <c r="AL361" s="291">
        <v>1041.4598618438745</v>
      </c>
      <c r="AM361" s="291">
        <v>1048.5837551540792</v>
      </c>
      <c r="AN361" s="291">
        <v>1055.4985184544416</v>
      </c>
      <c r="AO361" s="291">
        <v>1062.1982199570837</v>
      </c>
      <c r="AP361" s="291">
        <v>1068.6846529932243</v>
      </c>
      <c r="AQ361" s="291">
        <v>1074.9600707226002</v>
      </c>
      <c r="AR361" s="182"/>
    </row>
    <row r="362" spans="1:44" ht="14.25" customHeight="1" x14ac:dyDescent="0.3">
      <c r="A362" s="995"/>
      <c r="B362" s="185" t="s">
        <v>719</v>
      </c>
      <c r="C362" s="977"/>
      <c r="D362" s="977"/>
      <c r="E362" s="977"/>
      <c r="F362" s="977"/>
      <c r="G362" s="977"/>
      <c r="H362" s="977"/>
      <c r="I362" s="977"/>
      <c r="J362" s="202">
        <v>0</v>
      </c>
      <c r="K362" s="202">
        <v>0</v>
      </c>
      <c r="L362" s="202">
        <v>0</v>
      </c>
      <c r="M362" s="202">
        <v>0</v>
      </c>
      <c r="N362" s="202">
        <v>0</v>
      </c>
      <c r="O362" s="291">
        <v>0</v>
      </c>
      <c r="P362" s="291">
        <v>0</v>
      </c>
      <c r="Q362" s="291">
        <v>0</v>
      </c>
      <c r="R362" s="291">
        <v>0</v>
      </c>
      <c r="S362" s="291">
        <v>0</v>
      </c>
      <c r="T362" s="291">
        <v>0</v>
      </c>
      <c r="U362" s="291">
        <v>0</v>
      </c>
      <c r="V362" s="291">
        <v>0</v>
      </c>
      <c r="W362" s="291">
        <v>0</v>
      </c>
      <c r="X362" s="291">
        <v>0</v>
      </c>
      <c r="Y362" s="291">
        <v>0</v>
      </c>
      <c r="Z362" s="291">
        <v>0</v>
      </c>
      <c r="AA362" s="291">
        <v>0</v>
      </c>
      <c r="AB362" s="291">
        <v>0</v>
      </c>
      <c r="AC362" s="291">
        <v>0</v>
      </c>
      <c r="AD362" s="291">
        <v>0</v>
      </c>
      <c r="AE362" s="291">
        <v>0</v>
      </c>
      <c r="AF362" s="291">
        <v>0</v>
      </c>
      <c r="AG362" s="291">
        <v>0</v>
      </c>
      <c r="AH362" s="291">
        <v>0</v>
      </c>
      <c r="AI362" s="291">
        <v>0</v>
      </c>
      <c r="AJ362" s="291">
        <v>0</v>
      </c>
      <c r="AK362" s="291">
        <v>0</v>
      </c>
      <c r="AL362" s="291">
        <v>0</v>
      </c>
      <c r="AM362" s="291">
        <v>0</v>
      </c>
      <c r="AN362" s="291">
        <v>0</v>
      </c>
      <c r="AO362" s="291">
        <v>0</v>
      </c>
      <c r="AP362" s="291">
        <v>0</v>
      </c>
      <c r="AQ362" s="291">
        <v>0</v>
      </c>
      <c r="AR362" s="182"/>
    </row>
    <row r="363" spans="1:44" ht="14.25" customHeight="1" x14ac:dyDescent="0.3">
      <c r="A363" s="324"/>
      <c r="B363" s="179" t="s">
        <v>720</v>
      </c>
      <c r="C363" s="302"/>
      <c r="D363" s="302"/>
      <c r="E363" s="302"/>
      <c r="F363" s="302"/>
      <c r="G363" s="302"/>
      <c r="H363" s="302"/>
      <c r="I363" s="302"/>
      <c r="J363" s="303">
        <f t="shared" ref="J363:AQ363" si="177">SUM(J348:J362)</f>
        <v>4528.7795556485817</v>
      </c>
      <c r="K363" s="303">
        <f t="shared" si="177"/>
        <v>6578.8387082587988</v>
      </c>
      <c r="L363" s="303">
        <f t="shared" si="177"/>
        <v>5735.4133499085219</v>
      </c>
      <c r="M363" s="303">
        <f t="shared" si="177"/>
        <v>5301.7685575144551</v>
      </c>
      <c r="N363" s="303">
        <f t="shared" si="177"/>
        <v>6016.8180521457698</v>
      </c>
      <c r="O363" s="303">
        <f t="shared" si="177"/>
        <v>6097.7036907324373</v>
      </c>
      <c r="P363" s="303">
        <f t="shared" si="177"/>
        <v>6177.8995634652938</v>
      </c>
      <c r="Q363" s="303">
        <f t="shared" si="177"/>
        <v>6257.3578782139293</v>
      </c>
      <c r="R363" s="303">
        <f t="shared" si="177"/>
        <v>6336.0637211220455</v>
      </c>
      <c r="S363" s="303">
        <f t="shared" si="177"/>
        <v>6413.9289648569684</v>
      </c>
      <c r="T363" s="303">
        <f t="shared" si="177"/>
        <v>6490.9241206573824</v>
      </c>
      <c r="U363" s="303">
        <f t="shared" si="177"/>
        <v>6566.9939394647236</v>
      </c>
      <c r="V363" s="303">
        <f t="shared" si="177"/>
        <v>6642.1275748380476</v>
      </c>
      <c r="W363" s="303">
        <f t="shared" si="177"/>
        <v>6716.2406279087591</v>
      </c>
      <c r="X363" s="303">
        <f t="shared" si="177"/>
        <v>6789.2934413771509</v>
      </c>
      <c r="Y363" s="303">
        <f t="shared" si="177"/>
        <v>6861.2348336000186</v>
      </c>
      <c r="Z363" s="303">
        <f t="shared" si="177"/>
        <v>6932.0054881034466</v>
      </c>
      <c r="AA363" s="303">
        <f t="shared" si="177"/>
        <v>7001.5762550773989</v>
      </c>
      <c r="AB363" s="303">
        <f t="shared" si="177"/>
        <v>7069.8962918299485</v>
      </c>
      <c r="AC363" s="303">
        <f t="shared" si="177"/>
        <v>7136.9357706484952</v>
      </c>
      <c r="AD363" s="303">
        <f t="shared" si="177"/>
        <v>7202.6374087668037</v>
      </c>
      <c r="AE363" s="303">
        <f t="shared" si="177"/>
        <v>7266.9784964491446</v>
      </c>
      <c r="AF363" s="303">
        <f t="shared" si="177"/>
        <v>7329.91666478558</v>
      </c>
      <c r="AG363" s="303">
        <f t="shared" si="177"/>
        <v>7391.4224250147909</v>
      </c>
      <c r="AH363" s="303">
        <f t="shared" si="177"/>
        <v>7451.4879812573499</v>
      </c>
      <c r="AI363" s="303">
        <f t="shared" si="177"/>
        <v>7510.0926574852065</v>
      </c>
      <c r="AJ363" s="303">
        <f t="shared" si="177"/>
        <v>7567.2001859114534</v>
      </c>
      <c r="AK363" s="303">
        <f t="shared" si="177"/>
        <v>7622.8031096079394</v>
      </c>
      <c r="AL363" s="303">
        <f t="shared" si="177"/>
        <v>7676.8651607877582</v>
      </c>
      <c r="AM363" s="303">
        <f t="shared" si="177"/>
        <v>7729.3771877663621</v>
      </c>
      <c r="AN363" s="303">
        <f t="shared" si="177"/>
        <v>7780.3476643257418</v>
      </c>
      <c r="AO363" s="303">
        <f t="shared" si="177"/>
        <v>7829.732865750836</v>
      </c>
      <c r="AP363" s="303">
        <f t="shared" si="177"/>
        <v>7877.5460111415459</v>
      </c>
      <c r="AQ363" s="303">
        <f t="shared" si="177"/>
        <v>7923.8037091105698</v>
      </c>
      <c r="AR363" s="197"/>
    </row>
    <row r="364" spans="1:44" ht="14.25" customHeight="1" x14ac:dyDescent="0.3">
      <c r="A364" s="106"/>
      <c r="B364" s="200"/>
      <c r="C364" s="201"/>
      <c r="D364" s="201"/>
      <c r="E364" s="201"/>
      <c r="F364" s="201"/>
      <c r="G364" s="201"/>
      <c r="H364" s="201"/>
      <c r="I364" s="201"/>
      <c r="J364" s="201"/>
      <c r="K364" s="201"/>
      <c r="L364" s="201"/>
      <c r="M364" s="201"/>
      <c r="N364" s="201"/>
      <c r="O364" s="200"/>
      <c r="P364" s="200"/>
      <c r="Q364" s="200"/>
      <c r="R364" s="200"/>
      <c r="S364" s="200"/>
      <c r="T364" s="200"/>
      <c r="U364" s="200"/>
      <c r="V364" s="200"/>
      <c r="W364" s="200"/>
      <c r="X364" s="200"/>
      <c r="Y364" s="200"/>
      <c r="Z364" s="200"/>
      <c r="AA364" s="200"/>
      <c r="AB364" s="200"/>
      <c r="AC364" s="200"/>
      <c r="AD364" s="200"/>
      <c r="AE364" s="200"/>
      <c r="AF364" s="200"/>
      <c r="AG364" s="200"/>
      <c r="AH364" s="200"/>
      <c r="AI364" s="200"/>
      <c r="AJ364" s="200"/>
      <c r="AK364" s="200"/>
      <c r="AL364" s="200"/>
      <c r="AM364" s="200"/>
      <c r="AN364" s="200"/>
      <c r="AO364" s="200"/>
      <c r="AP364" s="200"/>
      <c r="AQ364" s="200"/>
      <c r="AR364" s="52"/>
    </row>
    <row r="365" spans="1:44" ht="14.25" customHeight="1" x14ac:dyDescent="0.3">
      <c r="A365" s="95"/>
      <c r="B365" s="45"/>
      <c r="C365" s="45"/>
      <c r="D365" s="45"/>
      <c r="E365" s="45"/>
      <c r="F365" s="45"/>
      <c r="G365" s="45"/>
      <c r="H365" s="944"/>
      <c r="I365" s="944"/>
      <c r="J365" s="944"/>
      <c r="K365" s="944"/>
      <c r="L365" s="944"/>
      <c r="M365" s="944"/>
      <c r="N365" s="944"/>
      <c r="O365" s="944"/>
      <c r="P365" s="944"/>
      <c r="Q365" s="944"/>
      <c r="R365" s="944"/>
      <c r="S365" s="944"/>
      <c r="T365" s="944"/>
      <c r="U365" s="944"/>
      <c r="V365" s="944"/>
      <c r="W365" s="944"/>
      <c r="X365" s="944"/>
      <c r="Y365" s="944"/>
      <c r="Z365" s="944"/>
      <c r="AA365" s="944"/>
      <c r="AB365" s="944"/>
      <c r="AC365" s="944"/>
      <c r="AD365" s="944"/>
      <c r="AE365" s="944"/>
      <c r="AF365" s="944"/>
      <c r="AG365" s="944"/>
      <c r="AH365" s="944"/>
      <c r="AI365" s="944"/>
      <c r="AJ365" s="944"/>
      <c r="AK365" s="944"/>
      <c r="AL365" s="944"/>
      <c r="AM365" s="944"/>
      <c r="AN365" s="944"/>
      <c r="AO365" s="944"/>
      <c r="AP365" s="944"/>
      <c r="AQ365" s="944"/>
      <c r="AR365" s="45"/>
    </row>
    <row r="366" spans="1:44" ht="14.25" customHeight="1" x14ac:dyDescent="0.3">
      <c r="A366" s="95"/>
      <c r="B366" s="45"/>
      <c r="C366" s="45"/>
      <c r="D366" s="45"/>
      <c r="E366" s="45"/>
      <c r="F366" s="45"/>
      <c r="G366" s="45"/>
      <c r="H366" s="944"/>
      <c r="I366" s="944"/>
      <c r="J366" s="944"/>
      <c r="K366" s="944"/>
      <c r="L366" s="944"/>
      <c r="M366" s="944"/>
      <c r="N366" s="944"/>
      <c r="O366" s="944"/>
      <c r="P366" s="944"/>
      <c r="Q366" s="944"/>
      <c r="R366" s="944"/>
      <c r="S366" s="944"/>
      <c r="T366" s="944"/>
      <c r="U366" s="944"/>
      <c r="V366" s="944"/>
      <c r="W366" s="944"/>
      <c r="X366" s="944"/>
      <c r="Y366" s="944"/>
      <c r="Z366" s="944"/>
      <c r="AA366" s="944"/>
      <c r="AB366" s="944"/>
      <c r="AC366" s="944"/>
      <c r="AD366" s="944"/>
      <c r="AE366" s="944"/>
      <c r="AF366" s="944"/>
      <c r="AG366" s="944"/>
      <c r="AH366" s="944"/>
      <c r="AI366" s="944"/>
      <c r="AJ366" s="944"/>
      <c r="AK366" s="944"/>
      <c r="AL366" s="944"/>
      <c r="AM366" s="944"/>
      <c r="AN366" s="944"/>
      <c r="AO366" s="944"/>
      <c r="AP366" s="944"/>
      <c r="AQ366" s="944"/>
      <c r="AR366" s="45"/>
    </row>
    <row r="367" spans="1:44" ht="14.25" customHeight="1" x14ac:dyDescent="0.3">
      <c r="A367" s="95"/>
      <c r="B367" s="45"/>
      <c r="C367" s="45"/>
      <c r="D367" s="45"/>
      <c r="E367" s="45"/>
      <c r="F367" s="45"/>
      <c r="G367" s="45"/>
      <c r="H367" s="944"/>
      <c r="I367" s="944"/>
      <c r="J367" s="944"/>
      <c r="K367" s="944"/>
      <c r="L367" s="944"/>
      <c r="M367" s="944"/>
      <c r="N367" s="944"/>
      <c r="O367" s="944"/>
      <c r="P367" s="944"/>
      <c r="Q367" s="944"/>
      <c r="R367" s="944"/>
      <c r="S367" s="944"/>
      <c r="T367" s="944"/>
      <c r="U367" s="944"/>
      <c r="V367" s="944"/>
      <c r="W367" s="944"/>
      <c r="X367" s="944"/>
      <c r="Y367" s="944"/>
      <c r="Z367" s="944"/>
      <c r="AA367" s="944"/>
      <c r="AB367" s="944"/>
      <c r="AC367" s="944"/>
      <c r="AD367" s="944"/>
      <c r="AE367" s="944"/>
      <c r="AF367" s="944"/>
      <c r="AG367" s="944"/>
      <c r="AH367" s="944"/>
      <c r="AI367" s="944"/>
      <c r="AJ367" s="944"/>
      <c r="AK367" s="944"/>
      <c r="AL367" s="944"/>
      <c r="AM367" s="944"/>
      <c r="AN367" s="944"/>
      <c r="AO367" s="944"/>
      <c r="AP367" s="944"/>
      <c r="AQ367" s="944"/>
      <c r="AR367" s="45"/>
    </row>
    <row r="368" spans="1:44" ht="14.25" customHeight="1" x14ac:dyDescent="0.3">
      <c r="A368" s="95"/>
      <c r="B368" s="45"/>
      <c r="C368" s="45"/>
      <c r="D368" s="45"/>
      <c r="E368" s="45"/>
      <c r="F368" s="45"/>
      <c r="G368" s="45"/>
      <c r="H368" s="944"/>
      <c r="I368" s="944"/>
      <c r="J368" s="944"/>
      <c r="K368" s="944"/>
      <c r="L368" s="944"/>
      <c r="M368" s="944"/>
      <c r="N368" s="944"/>
      <c r="O368" s="944"/>
      <c r="P368" s="944"/>
      <c r="Q368" s="944"/>
      <c r="R368" s="944"/>
      <c r="S368" s="944"/>
      <c r="T368" s="944"/>
      <c r="U368" s="944"/>
      <c r="V368" s="944"/>
      <c r="W368" s="944"/>
      <c r="X368" s="944"/>
      <c r="Y368" s="944"/>
      <c r="Z368" s="944"/>
      <c r="AA368" s="944"/>
      <c r="AB368" s="944"/>
      <c r="AC368" s="944"/>
      <c r="AD368" s="944"/>
      <c r="AE368" s="944"/>
      <c r="AF368" s="944"/>
      <c r="AG368" s="944"/>
      <c r="AH368" s="944"/>
      <c r="AI368" s="944"/>
      <c r="AJ368" s="944"/>
      <c r="AK368" s="944"/>
      <c r="AL368" s="944"/>
      <c r="AM368" s="944"/>
      <c r="AN368" s="944"/>
      <c r="AO368" s="944"/>
      <c r="AP368" s="944"/>
      <c r="AQ368" s="944"/>
      <c r="AR368" s="45"/>
    </row>
    <row r="369" spans="1:44" ht="14.25" customHeight="1" x14ac:dyDescent="0.3">
      <c r="A369" s="95"/>
      <c r="B369" s="45"/>
      <c r="C369" s="45"/>
      <c r="D369" s="45"/>
      <c r="E369" s="45"/>
      <c r="F369" s="45"/>
      <c r="G369" s="45"/>
      <c r="H369" s="944"/>
      <c r="I369" s="944"/>
      <c r="J369" s="944"/>
      <c r="K369" s="944"/>
      <c r="L369" s="944"/>
      <c r="M369" s="944"/>
      <c r="N369" s="944"/>
      <c r="O369" s="944"/>
      <c r="P369" s="944"/>
      <c r="Q369" s="944"/>
      <c r="R369" s="944"/>
      <c r="S369" s="944"/>
      <c r="T369" s="944"/>
      <c r="U369" s="944"/>
      <c r="V369" s="944"/>
      <c r="W369" s="944"/>
      <c r="X369" s="944"/>
      <c r="Y369" s="944"/>
      <c r="Z369" s="944"/>
      <c r="AA369" s="944"/>
      <c r="AB369" s="944"/>
      <c r="AC369" s="944"/>
      <c r="AD369" s="944"/>
      <c r="AE369" s="944"/>
      <c r="AF369" s="944"/>
      <c r="AG369" s="944"/>
      <c r="AH369" s="944"/>
      <c r="AI369" s="944"/>
      <c r="AJ369" s="944"/>
      <c r="AK369" s="944"/>
      <c r="AL369" s="944"/>
      <c r="AM369" s="944"/>
      <c r="AN369" s="944"/>
      <c r="AO369" s="944"/>
      <c r="AP369" s="944"/>
      <c r="AQ369" s="944"/>
      <c r="AR369" s="45"/>
    </row>
    <row r="370" spans="1:44" ht="14.25" customHeight="1" x14ac:dyDescent="0.3">
      <c r="A370" s="95"/>
      <c r="B370" s="45"/>
      <c r="C370" s="45"/>
      <c r="D370" s="45"/>
      <c r="E370" s="45"/>
      <c r="F370" s="45"/>
      <c r="G370" s="45"/>
      <c r="H370" s="944"/>
      <c r="I370" s="944"/>
      <c r="J370" s="944"/>
      <c r="K370" s="944"/>
      <c r="L370" s="944"/>
      <c r="M370" s="944"/>
      <c r="N370" s="944"/>
      <c r="O370" s="944"/>
      <c r="P370" s="944"/>
      <c r="Q370" s="944"/>
      <c r="R370" s="944"/>
      <c r="S370" s="944"/>
      <c r="T370" s="944"/>
      <c r="U370" s="944"/>
      <c r="V370" s="944"/>
      <c r="W370" s="944"/>
      <c r="X370" s="944"/>
      <c r="Y370" s="944"/>
      <c r="Z370" s="944"/>
      <c r="AA370" s="944"/>
      <c r="AB370" s="944"/>
      <c r="AC370" s="944"/>
      <c r="AD370" s="944"/>
      <c r="AE370" s="944"/>
      <c r="AF370" s="944"/>
      <c r="AG370" s="944"/>
      <c r="AH370" s="944"/>
      <c r="AI370" s="944"/>
      <c r="AJ370" s="944"/>
      <c r="AK370" s="944"/>
      <c r="AL370" s="944"/>
      <c r="AM370" s="944"/>
      <c r="AN370" s="944"/>
      <c r="AO370" s="944"/>
      <c r="AP370" s="944"/>
      <c r="AQ370" s="944"/>
      <c r="AR370" s="45"/>
    </row>
    <row r="371" spans="1:44" ht="14.25" customHeight="1" x14ac:dyDescent="0.3">
      <c r="A371" s="95"/>
      <c r="B371" s="45"/>
      <c r="C371" s="45"/>
      <c r="D371" s="45"/>
      <c r="E371" s="45"/>
      <c r="F371" s="45"/>
      <c r="G371" s="45"/>
      <c r="H371" s="944"/>
      <c r="I371" s="944"/>
      <c r="J371" s="944"/>
      <c r="K371" s="944"/>
      <c r="L371" s="944"/>
      <c r="M371" s="944"/>
      <c r="N371" s="944"/>
      <c r="O371" s="944"/>
      <c r="P371" s="944"/>
      <c r="Q371" s="944"/>
      <c r="R371" s="944"/>
      <c r="S371" s="944"/>
      <c r="T371" s="944"/>
      <c r="U371" s="944"/>
      <c r="V371" s="944"/>
      <c r="W371" s="944"/>
      <c r="X371" s="944"/>
      <c r="Y371" s="944"/>
      <c r="Z371" s="944"/>
      <c r="AA371" s="944"/>
      <c r="AB371" s="944"/>
      <c r="AC371" s="944"/>
      <c r="AD371" s="944"/>
      <c r="AE371" s="944"/>
      <c r="AF371" s="944"/>
      <c r="AG371" s="944"/>
      <c r="AH371" s="944"/>
      <c r="AI371" s="944"/>
      <c r="AJ371" s="944"/>
      <c r="AK371" s="944"/>
      <c r="AL371" s="944"/>
      <c r="AM371" s="944"/>
      <c r="AN371" s="944"/>
      <c r="AO371" s="944"/>
      <c r="AP371" s="944"/>
      <c r="AQ371" s="944"/>
      <c r="AR371" s="45"/>
    </row>
    <row r="372" spans="1:44" ht="14.25" customHeight="1" x14ac:dyDescent="0.3">
      <c r="A372" s="95"/>
      <c r="B372" s="45"/>
      <c r="C372" s="45"/>
      <c r="D372" s="45"/>
      <c r="E372" s="45"/>
      <c r="F372" s="45"/>
      <c r="G372" s="45"/>
      <c r="H372" s="944"/>
      <c r="I372" s="944"/>
      <c r="J372" s="944"/>
      <c r="K372" s="944"/>
      <c r="L372" s="944"/>
      <c r="M372" s="944"/>
      <c r="N372" s="944"/>
      <c r="O372" s="944"/>
      <c r="P372" s="944"/>
      <c r="Q372" s="944"/>
      <c r="R372" s="944"/>
      <c r="S372" s="944"/>
      <c r="T372" s="944"/>
      <c r="U372" s="944"/>
      <c r="V372" s="944"/>
      <c r="W372" s="944"/>
      <c r="X372" s="944"/>
      <c r="Y372" s="944"/>
      <c r="Z372" s="944"/>
      <c r="AA372" s="944"/>
      <c r="AB372" s="944"/>
      <c r="AC372" s="944"/>
      <c r="AD372" s="944"/>
      <c r="AE372" s="944"/>
      <c r="AF372" s="944"/>
      <c r="AG372" s="944"/>
      <c r="AH372" s="944"/>
      <c r="AI372" s="944"/>
      <c r="AJ372" s="944"/>
      <c r="AK372" s="944"/>
      <c r="AL372" s="944"/>
      <c r="AM372" s="944"/>
      <c r="AN372" s="944"/>
      <c r="AO372" s="944"/>
      <c r="AP372" s="944"/>
      <c r="AQ372" s="944"/>
      <c r="AR372" s="45"/>
    </row>
    <row r="373" spans="1:44" ht="14.25" customHeight="1" x14ac:dyDescent="0.3">
      <c r="A373" s="95"/>
      <c r="B373" s="45"/>
      <c r="C373" s="45"/>
      <c r="D373" s="45"/>
      <c r="E373" s="45"/>
      <c r="F373" s="45"/>
      <c r="G373" s="45"/>
      <c r="H373" s="944"/>
      <c r="I373" s="944"/>
      <c r="J373" s="944"/>
      <c r="K373" s="944"/>
      <c r="L373" s="944"/>
      <c r="M373" s="944"/>
      <c r="N373" s="944"/>
      <c r="O373" s="944"/>
      <c r="P373" s="944"/>
      <c r="Q373" s="944"/>
      <c r="R373" s="944"/>
      <c r="S373" s="944"/>
      <c r="T373" s="944"/>
      <c r="U373" s="944"/>
      <c r="V373" s="944"/>
      <c r="W373" s="944"/>
      <c r="X373" s="944"/>
      <c r="Y373" s="944"/>
      <c r="Z373" s="944"/>
      <c r="AA373" s="944"/>
      <c r="AB373" s="944"/>
      <c r="AC373" s="944"/>
      <c r="AD373" s="944"/>
      <c r="AE373" s="944"/>
      <c r="AF373" s="944"/>
      <c r="AG373" s="944"/>
      <c r="AH373" s="944"/>
      <c r="AI373" s="944"/>
      <c r="AJ373" s="944"/>
      <c r="AK373" s="944"/>
      <c r="AL373" s="944"/>
      <c r="AM373" s="944"/>
      <c r="AN373" s="944"/>
      <c r="AO373" s="944"/>
      <c r="AP373" s="944"/>
      <c r="AQ373" s="944"/>
      <c r="AR373" s="45"/>
    </row>
    <row r="374" spans="1:44" ht="14.25" customHeight="1" x14ac:dyDescent="0.3">
      <c r="A374" s="95"/>
      <c r="B374" s="45"/>
      <c r="C374" s="45"/>
      <c r="D374" s="45"/>
      <c r="E374" s="45"/>
      <c r="F374" s="45"/>
      <c r="G374" s="45"/>
      <c r="H374" s="944"/>
      <c r="I374" s="944"/>
      <c r="J374" s="944"/>
      <c r="K374" s="944"/>
      <c r="L374" s="944"/>
      <c r="M374" s="944"/>
      <c r="N374" s="944"/>
      <c r="O374" s="944"/>
      <c r="P374" s="944"/>
      <c r="Q374" s="944"/>
      <c r="R374" s="944"/>
      <c r="S374" s="944"/>
      <c r="T374" s="944"/>
      <c r="U374" s="944"/>
      <c r="V374" s="944"/>
      <c r="W374" s="944"/>
      <c r="X374" s="944"/>
      <c r="Y374" s="944"/>
      <c r="Z374" s="944"/>
      <c r="AA374" s="944"/>
      <c r="AB374" s="944"/>
      <c r="AC374" s="944"/>
      <c r="AD374" s="944"/>
      <c r="AE374" s="944"/>
      <c r="AF374" s="944"/>
      <c r="AG374" s="944"/>
      <c r="AH374" s="944"/>
      <c r="AI374" s="944"/>
      <c r="AJ374" s="944"/>
      <c r="AK374" s="944"/>
      <c r="AL374" s="944"/>
      <c r="AM374" s="944"/>
      <c r="AN374" s="944"/>
      <c r="AO374" s="944"/>
      <c r="AP374" s="944"/>
      <c r="AQ374" s="944"/>
      <c r="AR374" s="45"/>
    </row>
    <row r="375" spans="1:44" ht="14.25" customHeight="1" x14ac:dyDescent="0.3">
      <c r="A375" s="95"/>
      <c r="B375" s="45"/>
      <c r="C375" s="45"/>
      <c r="D375" s="45"/>
      <c r="E375" s="45"/>
      <c r="F375" s="45"/>
      <c r="G375" s="45"/>
      <c r="H375" s="944"/>
      <c r="I375" s="944"/>
      <c r="J375" s="944"/>
      <c r="K375" s="944"/>
      <c r="L375" s="944"/>
      <c r="M375" s="944"/>
      <c r="N375" s="944"/>
      <c r="O375" s="944"/>
      <c r="P375" s="944"/>
      <c r="Q375" s="944"/>
      <c r="R375" s="944"/>
      <c r="S375" s="944"/>
      <c r="T375" s="944"/>
      <c r="U375" s="944"/>
      <c r="V375" s="944"/>
      <c r="W375" s="944"/>
      <c r="X375" s="944"/>
      <c r="Y375" s="944"/>
      <c r="Z375" s="944"/>
      <c r="AA375" s="944"/>
      <c r="AB375" s="944"/>
      <c r="AC375" s="944"/>
      <c r="AD375" s="944"/>
      <c r="AE375" s="944"/>
      <c r="AF375" s="944"/>
      <c r="AG375" s="944"/>
      <c r="AH375" s="944"/>
      <c r="AI375" s="944"/>
      <c r="AJ375" s="944"/>
      <c r="AK375" s="944"/>
      <c r="AL375" s="944"/>
      <c r="AM375" s="944"/>
      <c r="AN375" s="944"/>
      <c r="AO375" s="944"/>
      <c r="AP375" s="944"/>
      <c r="AQ375" s="944"/>
      <c r="AR375" s="45"/>
    </row>
    <row r="376" spans="1:44" ht="14.25" customHeight="1" x14ac:dyDescent="0.3">
      <c r="A376" s="95"/>
      <c r="B376" s="45"/>
      <c r="C376" s="45"/>
      <c r="D376" s="45"/>
      <c r="E376" s="45"/>
      <c r="F376" s="45"/>
      <c r="G376" s="45"/>
      <c r="H376" s="944"/>
      <c r="I376" s="944"/>
      <c r="J376" s="944"/>
      <c r="K376" s="944"/>
      <c r="L376" s="944"/>
      <c r="M376" s="944"/>
      <c r="N376" s="944"/>
      <c r="O376" s="944"/>
      <c r="P376" s="944"/>
      <c r="Q376" s="944"/>
      <c r="R376" s="944"/>
      <c r="S376" s="944"/>
      <c r="T376" s="944"/>
      <c r="U376" s="944"/>
      <c r="V376" s="944"/>
      <c r="W376" s="944"/>
      <c r="X376" s="944"/>
      <c r="Y376" s="944"/>
      <c r="Z376" s="944"/>
      <c r="AA376" s="944"/>
      <c r="AB376" s="944"/>
      <c r="AC376" s="944"/>
      <c r="AD376" s="944"/>
      <c r="AE376" s="944"/>
      <c r="AF376" s="944"/>
      <c r="AG376" s="944"/>
      <c r="AH376" s="944"/>
      <c r="AI376" s="944"/>
      <c r="AJ376" s="944"/>
      <c r="AK376" s="944"/>
      <c r="AL376" s="944"/>
      <c r="AM376" s="944"/>
      <c r="AN376" s="944"/>
      <c r="AO376" s="944"/>
      <c r="AP376" s="944"/>
      <c r="AQ376" s="944"/>
      <c r="AR376" s="45"/>
    </row>
    <row r="377" spans="1:44" ht="14.25" customHeight="1" x14ac:dyDescent="0.3">
      <c r="A377" s="95"/>
      <c r="B377" s="45"/>
      <c r="C377" s="45"/>
      <c r="D377" s="45"/>
      <c r="E377" s="45"/>
      <c r="F377" s="45"/>
      <c r="G377" s="45"/>
      <c r="H377" s="944"/>
      <c r="I377" s="944"/>
      <c r="J377" s="944"/>
      <c r="K377" s="944"/>
      <c r="L377" s="944"/>
      <c r="M377" s="944"/>
      <c r="N377" s="944"/>
      <c r="O377" s="944"/>
      <c r="P377" s="944"/>
      <c r="Q377" s="944"/>
      <c r="R377" s="944"/>
      <c r="S377" s="944"/>
      <c r="T377" s="944"/>
      <c r="U377" s="944"/>
      <c r="V377" s="944"/>
      <c r="W377" s="944"/>
      <c r="X377" s="944"/>
      <c r="Y377" s="944"/>
      <c r="Z377" s="944"/>
      <c r="AA377" s="944"/>
      <c r="AB377" s="944"/>
      <c r="AC377" s="944"/>
      <c r="AD377" s="944"/>
      <c r="AE377" s="944"/>
      <c r="AF377" s="944"/>
      <c r="AG377" s="944"/>
      <c r="AH377" s="944"/>
      <c r="AI377" s="944"/>
      <c r="AJ377" s="944"/>
      <c r="AK377" s="944"/>
      <c r="AL377" s="944"/>
      <c r="AM377" s="944"/>
      <c r="AN377" s="944"/>
      <c r="AO377" s="944"/>
      <c r="AP377" s="944"/>
      <c r="AQ377" s="944"/>
      <c r="AR377" s="45"/>
    </row>
    <row r="378" spans="1:44" ht="14.25" customHeight="1" x14ac:dyDescent="0.3">
      <c r="A378" s="95"/>
      <c r="B378" s="45"/>
      <c r="C378" s="45"/>
      <c r="D378" s="45"/>
      <c r="E378" s="45"/>
      <c r="F378" s="45"/>
      <c r="G378" s="45"/>
      <c r="H378" s="944"/>
      <c r="I378" s="944"/>
      <c r="J378" s="944"/>
      <c r="K378" s="944"/>
      <c r="L378" s="944"/>
      <c r="M378" s="944"/>
      <c r="N378" s="944"/>
      <c r="O378" s="944"/>
      <c r="P378" s="944"/>
      <c r="Q378" s="944"/>
      <c r="R378" s="944"/>
      <c r="S378" s="944"/>
      <c r="T378" s="944"/>
      <c r="U378" s="944"/>
      <c r="V378" s="944"/>
      <c r="W378" s="944"/>
      <c r="X378" s="944"/>
      <c r="Y378" s="944"/>
      <c r="Z378" s="944"/>
      <c r="AA378" s="944"/>
      <c r="AB378" s="944"/>
      <c r="AC378" s="944"/>
      <c r="AD378" s="944"/>
      <c r="AE378" s="944"/>
      <c r="AF378" s="944"/>
      <c r="AG378" s="944"/>
      <c r="AH378" s="944"/>
      <c r="AI378" s="944"/>
      <c r="AJ378" s="944"/>
      <c r="AK378" s="944"/>
      <c r="AL378" s="944"/>
      <c r="AM378" s="944"/>
      <c r="AN378" s="944"/>
      <c r="AO378" s="944"/>
      <c r="AP378" s="944"/>
      <c r="AQ378" s="944"/>
      <c r="AR378" s="45"/>
    </row>
    <row r="379" spans="1:44" ht="14.25" customHeight="1" x14ac:dyDescent="0.3">
      <c r="A379" s="95"/>
      <c r="B379" s="45"/>
      <c r="C379" s="45"/>
      <c r="D379" s="45"/>
      <c r="E379" s="45"/>
      <c r="F379" s="45"/>
      <c r="G379" s="45"/>
      <c r="H379" s="944"/>
      <c r="I379" s="944"/>
      <c r="J379" s="944"/>
      <c r="K379" s="944"/>
      <c r="L379" s="944"/>
      <c r="M379" s="944"/>
      <c r="N379" s="944"/>
      <c r="O379" s="944"/>
      <c r="P379" s="944"/>
      <c r="Q379" s="944"/>
      <c r="R379" s="944"/>
      <c r="S379" s="944"/>
      <c r="T379" s="944"/>
      <c r="U379" s="944"/>
      <c r="V379" s="944"/>
      <c r="W379" s="944"/>
      <c r="X379" s="944"/>
      <c r="Y379" s="944"/>
      <c r="Z379" s="944"/>
      <c r="AA379" s="944"/>
      <c r="AB379" s="944"/>
      <c r="AC379" s="944"/>
      <c r="AD379" s="944"/>
      <c r="AE379" s="944"/>
      <c r="AF379" s="944"/>
      <c r="AG379" s="944"/>
      <c r="AH379" s="944"/>
      <c r="AI379" s="944"/>
      <c r="AJ379" s="944"/>
      <c r="AK379" s="944"/>
      <c r="AL379" s="944"/>
      <c r="AM379" s="944"/>
      <c r="AN379" s="944"/>
      <c r="AO379" s="944"/>
      <c r="AP379" s="944"/>
      <c r="AQ379" s="944"/>
      <c r="AR379" s="45"/>
    </row>
    <row r="380" spans="1:44" ht="14.25" customHeight="1" x14ac:dyDescent="0.3">
      <c r="A380" s="95"/>
      <c r="B380" s="45"/>
      <c r="C380" s="45"/>
      <c r="D380" s="45"/>
      <c r="E380" s="45"/>
      <c r="F380" s="45"/>
      <c r="G380" s="45"/>
      <c r="H380" s="944"/>
      <c r="I380" s="944"/>
      <c r="J380" s="944"/>
      <c r="K380" s="944"/>
      <c r="L380" s="944"/>
      <c r="M380" s="944"/>
      <c r="N380" s="944"/>
      <c r="O380" s="944"/>
      <c r="P380" s="944"/>
      <c r="Q380" s="944"/>
      <c r="R380" s="944"/>
      <c r="S380" s="944"/>
      <c r="T380" s="944"/>
      <c r="U380" s="944"/>
      <c r="V380" s="944"/>
      <c r="W380" s="944"/>
      <c r="X380" s="944"/>
      <c r="Y380" s="944"/>
      <c r="Z380" s="944"/>
      <c r="AA380" s="944"/>
      <c r="AB380" s="944"/>
      <c r="AC380" s="944"/>
      <c r="AD380" s="944"/>
      <c r="AE380" s="944"/>
      <c r="AF380" s="944"/>
      <c r="AG380" s="944"/>
      <c r="AH380" s="944"/>
      <c r="AI380" s="944"/>
      <c r="AJ380" s="944"/>
      <c r="AK380" s="944"/>
      <c r="AL380" s="944"/>
      <c r="AM380" s="944"/>
      <c r="AN380" s="944"/>
      <c r="AO380" s="944"/>
      <c r="AP380" s="944"/>
      <c r="AQ380" s="944"/>
      <c r="AR380" s="45"/>
    </row>
    <row r="381" spans="1:44" ht="14.25" customHeight="1" x14ac:dyDescent="0.3">
      <c r="A381" s="95"/>
      <c r="B381" s="45"/>
      <c r="C381" s="45"/>
      <c r="D381" s="45"/>
      <c r="E381" s="45"/>
      <c r="F381" s="45"/>
      <c r="G381" s="45"/>
      <c r="H381" s="944"/>
      <c r="I381" s="944"/>
      <c r="J381" s="944"/>
      <c r="K381" s="944"/>
      <c r="L381" s="944"/>
      <c r="M381" s="944"/>
      <c r="N381" s="944"/>
      <c r="O381" s="944"/>
      <c r="P381" s="944"/>
      <c r="Q381" s="944"/>
      <c r="R381" s="944"/>
      <c r="S381" s="944"/>
      <c r="T381" s="944"/>
      <c r="U381" s="944"/>
      <c r="V381" s="944"/>
      <c r="W381" s="944"/>
      <c r="X381" s="944"/>
      <c r="Y381" s="944"/>
      <c r="Z381" s="944"/>
      <c r="AA381" s="944"/>
      <c r="AB381" s="944"/>
      <c r="AC381" s="944"/>
      <c r="AD381" s="944"/>
      <c r="AE381" s="944"/>
      <c r="AF381" s="944"/>
      <c r="AG381" s="944"/>
      <c r="AH381" s="944"/>
      <c r="AI381" s="944"/>
      <c r="AJ381" s="944"/>
      <c r="AK381" s="944"/>
      <c r="AL381" s="944"/>
      <c r="AM381" s="944"/>
      <c r="AN381" s="944"/>
      <c r="AO381" s="944"/>
      <c r="AP381" s="944"/>
      <c r="AQ381" s="944"/>
      <c r="AR381" s="45"/>
    </row>
    <row r="382" spans="1:44" ht="14.25" customHeight="1" x14ac:dyDescent="0.3">
      <c r="A382" s="95"/>
      <c r="B382" s="45"/>
      <c r="C382" s="45"/>
      <c r="D382" s="45"/>
      <c r="E382" s="45"/>
      <c r="F382" s="45"/>
      <c r="G382" s="45"/>
      <c r="H382" s="944"/>
      <c r="I382" s="944"/>
      <c r="J382" s="944"/>
      <c r="K382" s="944"/>
      <c r="L382" s="944"/>
      <c r="M382" s="944"/>
      <c r="N382" s="944"/>
      <c r="O382" s="944"/>
      <c r="P382" s="944"/>
      <c r="Q382" s="944"/>
      <c r="R382" s="944"/>
      <c r="S382" s="944"/>
      <c r="T382" s="944"/>
      <c r="U382" s="944"/>
      <c r="V382" s="944"/>
      <c r="W382" s="944"/>
      <c r="X382" s="944"/>
      <c r="Y382" s="944"/>
      <c r="Z382" s="944"/>
      <c r="AA382" s="944"/>
      <c r="AB382" s="944"/>
      <c r="AC382" s="944"/>
      <c r="AD382" s="944"/>
      <c r="AE382" s="944"/>
      <c r="AF382" s="944"/>
      <c r="AG382" s="944"/>
      <c r="AH382" s="944"/>
      <c r="AI382" s="944"/>
      <c r="AJ382" s="944"/>
      <c r="AK382" s="944"/>
      <c r="AL382" s="944"/>
      <c r="AM382" s="944"/>
      <c r="AN382" s="944"/>
      <c r="AO382" s="944"/>
      <c r="AP382" s="944"/>
      <c r="AQ382" s="944"/>
      <c r="AR382" s="45"/>
    </row>
    <row r="383" spans="1:44" ht="14.25" customHeight="1" x14ac:dyDescent="0.3">
      <c r="A383" s="95"/>
      <c r="B383" s="45"/>
      <c r="C383" s="45"/>
      <c r="D383" s="45"/>
      <c r="E383" s="45"/>
      <c r="F383" s="45"/>
      <c r="G383" s="45"/>
      <c r="H383" s="944"/>
      <c r="I383" s="944"/>
      <c r="J383" s="944"/>
      <c r="K383" s="944"/>
      <c r="L383" s="944"/>
      <c r="M383" s="944"/>
      <c r="N383" s="944"/>
      <c r="O383" s="944"/>
      <c r="P383" s="944"/>
      <c r="Q383" s="944"/>
      <c r="R383" s="944"/>
      <c r="S383" s="944"/>
      <c r="T383" s="944"/>
      <c r="U383" s="944"/>
      <c r="V383" s="944"/>
      <c r="W383" s="944"/>
      <c r="X383" s="944"/>
      <c r="Y383" s="944"/>
      <c r="Z383" s="944"/>
      <c r="AA383" s="944"/>
      <c r="AB383" s="944"/>
      <c r="AC383" s="944"/>
      <c r="AD383" s="944"/>
      <c r="AE383" s="944"/>
      <c r="AF383" s="944"/>
      <c r="AG383" s="944"/>
      <c r="AH383" s="944"/>
      <c r="AI383" s="944"/>
      <c r="AJ383" s="944"/>
      <c r="AK383" s="944"/>
      <c r="AL383" s="944"/>
      <c r="AM383" s="944"/>
      <c r="AN383" s="944"/>
      <c r="AO383" s="944"/>
      <c r="AP383" s="944"/>
      <c r="AQ383" s="944"/>
      <c r="AR383" s="45"/>
    </row>
    <row r="384" spans="1:44" ht="14.25" customHeight="1" x14ac:dyDescent="0.3">
      <c r="A384" s="95"/>
      <c r="B384" s="45"/>
      <c r="C384" s="45"/>
      <c r="D384" s="45"/>
      <c r="E384" s="45"/>
      <c r="F384" s="45"/>
      <c r="G384" s="45"/>
      <c r="H384" s="944"/>
      <c r="I384" s="944"/>
      <c r="J384" s="944"/>
      <c r="K384" s="944"/>
      <c r="L384" s="944"/>
      <c r="M384" s="944"/>
      <c r="N384" s="944"/>
      <c r="O384" s="944"/>
      <c r="P384" s="944"/>
      <c r="Q384" s="944"/>
      <c r="R384" s="944"/>
      <c r="S384" s="944"/>
      <c r="T384" s="944"/>
      <c r="U384" s="944"/>
      <c r="V384" s="944"/>
      <c r="W384" s="944"/>
      <c r="X384" s="944"/>
      <c r="Y384" s="944"/>
      <c r="Z384" s="944"/>
      <c r="AA384" s="944"/>
      <c r="AB384" s="944"/>
      <c r="AC384" s="944"/>
      <c r="AD384" s="944"/>
      <c r="AE384" s="944"/>
      <c r="AF384" s="944"/>
      <c r="AG384" s="944"/>
      <c r="AH384" s="944"/>
      <c r="AI384" s="944"/>
      <c r="AJ384" s="944"/>
      <c r="AK384" s="944"/>
      <c r="AL384" s="944"/>
      <c r="AM384" s="944"/>
      <c r="AN384" s="944"/>
      <c r="AO384" s="944"/>
      <c r="AP384" s="944"/>
      <c r="AQ384" s="944"/>
      <c r="AR384" s="45"/>
    </row>
    <row r="385" spans="1:44" ht="14.25" customHeight="1" x14ac:dyDescent="0.3">
      <c r="A385" s="95"/>
      <c r="B385" s="45"/>
      <c r="C385" s="45"/>
      <c r="D385" s="45"/>
      <c r="E385" s="45"/>
      <c r="F385" s="45"/>
      <c r="G385" s="45"/>
      <c r="H385" s="944"/>
      <c r="I385" s="944"/>
      <c r="J385" s="944"/>
      <c r="K385" s="944"/>
      <c r="L385" s="944"/>
      <c r="M385" s="944"/>
      <c r="N385" s="944"/>
      <c r="O385" s="944"/>
      <c r="P385" s="944"/>
      <c r="Q385" s="944"/>
      <c r="R385" s="944"/>
      <c r="S385" s="944"/>
      <c r="T385" s="944"/>
      <c r="U385" s="944"/>
      <c r="V385" s="944"/>
      <c r="W385" s="944"/>
      <c r="X385" s="944"/>
      <c r="Y385" s="944"/>
      <c r="Z385" s="944"/>
      <c r="AA385" s="944"/>
      <c r="AB385" s="944"/>
      <c r="AC385" s="944"/>
      <c r="AD385" s="944"/>
      <c r="AE385" s="944"/>
      <c r="AF385" s="944"/>
      <c r="AG385" s="944"/>
      <c r="AH385" s="944"/>
      <c r="AI385" s="944"/>
      <c r="AJ385" s="944"/>
      <c r="AK385" s="944"/>
      <c r="AL385" s="944"/>
      <c r="AM385" s="944"/>
      <c r="AN385" s="944"/>
      <c r="AO385" s="944"/>
      <c r="AP385" s="944"/>
      <c r="AQ385" s="944"/>
      <c r="AR385" s="45"/>
    </row>
    <row r="386" spans="1:44" ht="14.25" customHeight="1" x14ac:dyDescent="0.3">
      <c r="A386" s="95"/>
      <c r="B386" s="45"/>
      <c r="C386" s="45"/>
      <c r="D386" s="45"/>
      <c r="E386" s="45"/>
      <c r="F386" s="45"/>
      <c r="G386" s="45"/>
      <c r="H386" s="944"/>
      <c r="I386" s="944"/>
      <c r="J386" s="944"/>
      <c r="K386" s="944"/>
      <c r="L386" s="944"/>
      <c r="M386" s="944"/>
      <c r="N386" s="944"/>
      <c r="O386" s="944"/>
      <c r="P386" s="944"/>
      <c r="Q386" s="944"/>
      <c r="R386" s="944"/>
      <c r="S386" s="944"/>
      <c r="T386" s="944"/>
      <c r="U386" s="944"/>
      <c r="V386" s="944"/>
      <c r="W386" s="944"/>
      <c r="X386" s="944"/>
      <c r="Y386" s="944"/>
      <c r="Z386" s="944"/>
      <c r="AA386" s="944"/>
      <c r="AB386" s="944"/>
      <c r="AC386" s="944"/>
      <c r="AD386" s="944"/>
      <c r="AE386" s="944"/>
      <c r="AF386" s="944"/>
      <c r="AG386" s="944"/>
      <c r="AH386" s="944"/>
      <c r="AI386" s="944"/>
      <c r="AJ386" s="944"/>
      <c r="AK386" s="944"/>
      <c r="AL386" s="944"/>
      <c r="AM386" s="944"/>
      <c r="AN386" s="944"/>
      <c r="AO386" s="944"/>
      <c r="AP386" s="944"/>
      <c r="AQ386" s="944"/>
      <c r="AR386" s="45"/>
    </row>
    <row r="387" spans="1:44" ht="14.25" customHeight="1" x14ac:dyDescent="0.3">
      <c r="A387" s="95"/>
      <c r="B387" s="45"/>
      <c r="C387" s="45"/>
      <c r="D387" s="45"/>
      <c r="E387" s="45"/>
      <c r="F387" s="45"/>
      <c r="G387" s="45"/>
      <c r="H387" s="944"/>
      <c r="I387" s="944"/>
      <c r="J387" s="944"/>
      <c r="K387" s="944"/>
      <c r="L387" s="944"/>
      <c r="M387" s="944"/>
      <c r="N387" s="944"/>
      <c r="O387" s="944"/>
      <c r="P387" s="944"/>
      <c r="Q387" s="944"/>
      <c r="R387" s="944"/>
      <c r="S387" s="944"/>
      <c r="T387" s="944"/>
      <c r="U387" s="944"/>
      <c r="V387" s="944"/>
      <c r="W387" s="944"/>
      <c r="X387" s="944"/>
      <c r="Y387" s="944"/>
      <c r="Z387" s="944"/>
      <c r="AA387" s="944"/>
      <c r="AB387" s="944"/>
      <c r="AC387" s="944"/>
      <c r="AD387" s="944"/>
      <c r="AE387" s="944"/>
      <c r="AF387" s="944"/>
      <c r="AG387" s="944"/>
      <c r="AH387" s="944"/>
      <c r="AI387" s="944"/>
      <c r="AJ387" s="944"/>
      <c r="AK387" s="944"/>
      <c r="AL387" s="944"/>
      <c r="AM387" s="944"/>
      <c r="AN387" s="944"/>
      <c r="AO387" s="944"/>
      <c r="AP387" s="944"/>
      <c r="AQ387" s="944"/>
      <c r="AR387" s="45"/>
    </row>
    <row r="388" spans="1:44" ht="14.25" customHeight="1" x14ac:dyDescent="0.3">
      <c r="A388" s="95"/>
      <c r="B388" s="45"/>
      <c r="C388" s="45"/>
      <c r="D388" s="45"/>
      <c r="E388" s="45"/>
      <c r="F388" s="45"/>
      <c r="G388" s="45"/>
      <c r="H388" s="944"/>
      <c r="I388" s="944"/>
      <c r="J388" s="944"/>
      <c r="K388" s="944"/>
      <c r="L388" s="944"/>
      <c r="M388" s="944"/>
      <c r="N388" s="944"/>
      <c r="O388" s="944"/>
      <c r="P388" s="944"/>
      <c r="Q388" s="944"/>
      <c r="R388" s="944"/>
      <c r="S388" s="944"/>
      <c r="T388" s="944"/>
      <c r="U388" s="944"/>
      <c r="V388" s="944"/>
      <c r="W388" s="944"/>
      <c r="X388" s="944"/>
      <c r="Y388" s="944"/>
      <c r="Z388" s="944"/>
      <c r="AA388" s="944"/>
      <c r="AB388" s="944"/>
      <c r="AC388" s="944"/>
      <c r="AD388" s="944"/>
      <c r="AE388" s="944"/>
      <c r="AF388" s="944"/>
      <c r="AG388" s="944"/>
      <c r="AH388" s="944"/>
      <c r="AI388" s="944"/>
      <c r="AJ388" s="944"/>
      <c r="AK388" s="944"/>
      <c r="AL388" s="944"/>
      <c r="AM388" s="944"/>
      <c r="AN388" s="944"/>
      <c r="AO388" s="944"/>
      <c r="AP388" s="944"/>
      <c r="AQ388" s="944"/>
      <c r="AR388" s="45"/>
    </row>
    <row r="389" spans="1:44" ht="14.25" customHeight="1" x14ac:dyDescent="0.3">
      <c r="A389" s="95"/>
      <c r="B389" s="45"/>
      <c r="C389" s="45"/>
      <c r="D389" s="45"/>
      <c r="E389" s="45"/>
      <c r="F389" s="45"/>
      <c r="G389" s="45"/>
      <c r="H389" s="944"/>
      <c r="I389" s="944"/>
      <c r="J389" s="944"/>
      <c r="K389" s="944"/>
      <c r="L389" s="944"/>
      <c r="M389" s="944"/>
      <c r="N389" s="944"/>
      <c r="O389" s="944"/>
      <c r="P389" s="944"/>
      <c r="Q389" s="944"/>
      <c r="R389" s="944"/>
      <c r="S389" s="944"/>
      <c r="T389" s="944"/>
      <c r="U389" s="944"/>
      <c r="V389" s="944"/>
      <c r="W389" s="944"/>
      <c r="X389" s="944"/>
      <c r="Y389" s="944"/>
      <c r="Z389" s="944"/>
      <c r="AA389" s="944"/>
      <c r="AB389" s="944"/>
      <c r="AC389" s="944"/>
      <c r="AD389" s="944"/>
      <c r="AE389" s="944"/>
      <c r="AF389" s="944"/>
      <c r="AG389" s="944"/>
      <c r="AH389" s="944"/>
      <c r="AI389" s="944"/>
      <c r="AJ389" s="944"/>
      <c r="AK389" s="944"/>
      <c r="AL389" s="944"/>
      <c r="AM389" s="944"/>
      <c r="AN389" s="944"/>
      <c r="AO389" s="944"/>
      <c r="AP389" s="944"/>
      <c r="AQ389" s="944"/>
      <c r="AR389" s="45"/>
    </row>
    <row r="390" spans="1:44" ht="14.25" customHeight="1" x14ac:dyDescent="0.3">
      <c r="A390" s="95"/>
      <c r="B390" s="45"/>
      <c r="C390" s="45"/>
      <c r="D390" s="45"/>
      <c r="E390" s="45"/>
      <c r="F390" s="45"/>
      <c r="G390" s="45"/>
      <c r="H390" s="944"/>
      <c r="I390" s="944"/>
      <c r="J390" s="944"/>
      <c r="K390" s="944"/>
      <c r="L390" s="944"/>
      <c r="M390" s="944"/>
      <c r="N390" s="944"/>
      <c r="O390" s="944"/>
      <c r="P390" s="944"/>
      <c r="Q390" s="944"/>
      <c r="R390" s="944"/>
      <c r="S390" s="944"/>
      <c r="T390" s="944"/>
      <c r="U390" s="944"/>
      <c r="V390" s="944"/>
      <c r="W390" s="944"/>
      <c r="X390" s="944"/>
      <c r="Y390" s="944"/>
      <c r="Z390" s="944"/>
      <c r="AA390" s="944"/>
      <c r="AB390" s="944"/>
      <c r="AC390" s="944"/>
      <c r="AD390" s="944"/>
      <c r="AE390" s="944"/>
      <c r="AF390" s="944"/>
      <c r="AG390" s="944"/>
      <c r="AH390" s="944"/>
      <c r="AI390" s="944"/>
      <c r="AJ390" s="944"/>
      <c r="AK390" s="944"/>
      <c r="AL390" s="944"/>
      <c r="AM390" s="944"/>
      <c r="AN390" s="944"/>
      <c r="AO390" s="944"/>
      <c r="AP390" s="944"/>
      <c r="AQ390" s="944"/>
      <c r="AR390" s="45"/>
    </row>
    <row r="391" spans="1:44" ht="14.25" customHeight="1" x14ac:dyDescent="0.3">
      <c r="A391" s="95"/>
      <c r="B391" s="45"/>
      <c r="C391" s="45"/>
      <c r="D391" s="45"/>
      <c r="E391" s="45"/>
      <c r="F391" s="45"/>
      <c r="G391" s="45"/>
      <c r="H391" s="944"/>
      <c r="I391" s="944"/>
      <c r="J391" s="944"/>
      <c r="K391" s="944"/>
      <c r="L391" s="944"/>
      <c r="M391" s="944"/>
      <c r="N391" s="944"/>
      <c r="O391" s="944"/>
      <c r="P391" s="944"/>
      <c r="Q391" s="944"/>
      <c r="R391" s="944"/>
      <c r="S391" s="944"/>
      <c r="T391" s="944"/>
      <c r="U391" s="944"/>
      <c r="V391" s="944"/>
      <c r="W391" s="944"/>
      <c r="X391" s="944"/>
      <c r="Y391" s="944"/>
      <c r="Z391" s="944"/>
      <c r="AA391" s="944"/>
      <c r="AB391" s="944"/>
      <c r="AC391" s="944"/>
      <c r="AD391" s="944"/>
      <c r="AE391" s="944"/>
      <c r="AF391" s="944"/>
      <c r="AG391" s="944"/>
      <c r="AH391" s="944"/>
      <c r="AI391" s="944"/>
      <c r="AJ391" s="944"/>
      <c r="AK391" s="944"/>
      <c r="AL391" s="944"/>
      <c r="AM391" s="944"/>
      <c r="AN391" s="944"/>
      <c r="AO391" s="944"/>
      <c r="AP391" s="944"/>
      <c r="AQ391" s="944"/>
      <c r="AR391" s="45"/>
    </row>
    <row r="392" spans="1:44" ht="14.25" customHeight="1" x14ac:dyDescent="0.3">
      <c r="A392" s="95"/>
      <c r="B392" s="45"/>
      <c r="C392" s="45"/>
      <c r="D392" s="45"/>
      <c r="E392" s="45"/>
      <c r="F392" s="45"/>
      <c r="G392" s="45"/>
      <c r="H392" s="944"/>
      <c r="I392" s="944"/>
      <c r="J392" s="944"/>
      <c r="K392" s="944"/>
      <c r="L392" s="944"/>
      <c r="M392" s="944"/>
      <c r="N392" s="944"/>
      <c r="O392" s="944"/>
      <c r="P392" s="944"/>
      <c r="Q392" s="944"/>
      <c r="R392" s="944"/>
      <c r="S392" s="944"/>
      <c r="T392" s="944"/>
      <c r="U392" s="944"/>
      <c r="V392" s="944"/>
      <c r="W392" s="944"/>
      <c r="X392" s="944"/>
      <c r="Y392" s="944"/>
      <c r="Z392" s="944"/>
      <c r="AA392" s="944"/>
      <c r="AB392" s="944"/>
      <c r="AC392" s="944"/>
      <c r="AD392" s="944"/>
      <c r="AE392" s="944"/>
      <c r="AF392" s="944"/>
      <c r="AG392" s="944"/>
      <c r="AH392" s="944"/>
      <c r="AI392" s="944"/>
      <c r="AJ392" s="944"/>
      <c r="AK392" s="944"/>
      <c r="AL392" s="944"/>
      <c r="AM392" s="944"/>
      <c r="AN392" s="944"/>
      <c r="AO392" s="944"/>
      <c r="AP392" s="944"/>
      <c r="AQ392" s="944"/>
      <c r="AR392" s="45"/>
    </row>
    <row r="393" spans="1:44" ht="14.25" customHeight="1" x14ac:dyDescent="0.3">
      <c r="A393" s="95"/>
      <c r="B393" s="45"/>
      <c r="C393" s="45"/>
      <c r="D393" s="45"/>
      <c r="E393" s="45"/>
      <c r="F393" s="45"/>
      <c r="G393" s="45"/>
      <c r="H393" s="944"/>
      <c r="I393" s="944"/>
      <c r="J393" s="944"/>
      <c r="K393" s="944"/>
      <c r="L393" s="944"/>
      <c r="M393" s="944"/>
      <c r="N393" s="944"/>
      <c r="O393" s="944"/>
      <c r="P393" s="944"/>
      <c r="Q393" s="944"/>
      <c r="R393" s="944"/>
      <c r="S393" s="944"/>
      <c r="T393" s="944"/>
      <c r="U393" s="944"/>
      <c r="V393" s="944"/>
      <c r="W393" s="944"/>
      <c r="X393" s="944"/>
      <c r="Y393" s="944"/>
      <c r="Z393" s="944"/>
      <c r="AA393" s="944"/>
      <c r="AB393" s="944"/>
      <c r="AC393" s="944"/>
      <c r="AD393" s="944"/>
      <c r="AE393" s="944"/>
      <c r="AF393" s="944"/>
      <c r="AG393" s="944"/>
      <c r="AH393" s="944"/>
      <c r="AI393" s="944"/>
      <c r="AJ393" s="944"/>
      <c r="AK393" s="944"/>
      <c r="AL393" s="944"/>
      <c r="AM393" s="944"/>
      <c r="AN393" s="944"/>
      <c r="AO393" s="944"/>
      <c r="AP393" s="944"/>
      <c r="AQ393" s="944"/>
      <c r="AR393" s="45"/>
    </row>
    <row r="394" spans="1:44" ht="14.25" customHeight="1" x14ac:dyDescent="0.3">
      <c r="A394" s="95"/>
      <c r="B394" s="45"/>
      <c r="C394" s="45"/>
      <c r="D394" s="45"/>
      <c r="E394" s="45"/>
      <c r="F394" s="45"/>
      <c r="G394" s="45"/>
      <c r="H394" s="944"/>
      <c r="I394" s="944"/>
      <c r="J394" s="944"/>
      <c r="K394" s="944"/>
      <c r="L394" s="944"/>
      <c r="M394" s="944"/>
      <c r="N394" s="944"/>
      <c r="O394" s="944"/>
      <c r="P394" s="944"/>
      <c r="Q394" s="944"/>
      <c r="R394" s="944"/>
      <c r="S394" s="944"/>
      <c r="T394" s="944"/>
      <c r="U394" s="944"/>
      <c r="V394" s="944"/>
      <c r="W394" s="944"/>
      <c r="X394" s="944"/>
      <c r="Y394" s="944"/>
      <c r="Z394" s="944"/>
      <c r="AA394" s="944"/>
      <c r="AB394" s="944"/>
      <c r="AC394" s="944"/>
      <c r="AD394" s="944"/>
      <c r="AE394" s="944"/>
      <c r="AF394" s="944"/>
      <c r="AG394" s="944"/>
      <c r="AH394" s="944"/>
      <c r="AI394" s="944"/>
      <c r="AJ394" s="944"/>
      <c r="AK394" s="944"/>
      <c r="AL394" s="944"/>
      <c r="AM394" s="944"/>
      <c r="AN394" s="944"/>
      <c r="AO394" s="944"/>
      <c r="AP394" s="944"/>
      <c r="AQ394" s="944"/>
      <c r="AR394" s="45"/>
    </row>
    <row r="395" spans="1:44" ht="14.25" customHeight="1" x14ac:dyDescent="0.3">
      <c r="A395" s="95"/>
      <c r="B395" s="45"/>
      <c r="C395" s="45"/>
      <c r="D395" s="45"/>
      <c r="E395" s="45"/>
      <c r="F395" s="45"/>
      <c r="G395" s="45"/>
      <c r="H395" s="944"/>
      <c r="I395" s="944"/>
      <c r="J395" s="944"/>
      <c r="K395" s="944"/>
      <c r="L395" s="944"/>
      <c r="M395" s="944"/>
      <c r="N395" s="944"/>
      <c r="O395" s="944"/>
      <c r="P395" s="944"/>
      <c r="Q395" s="944"/>
      <c r="R395" s="944"/>
      <c r="S395" s="944"/>
      <c r="T395" s="944"/>
      <c r="U395" s="944"/>
      <c r="V395" s="944"/>
      <c r="W395" s="944"/>
      <c r="X395" s="944"/>
      <c r="Y395" s="944"/>
      <c r="Z395" s="944"/>
      <c r="AA395" s="944"/>
      <c r="AB395" s="944"/>
      <c r="AC395" s="944"/>
      <c r="AD395" s="944"/>
      <c r="AE395" s="944"/>
      <c r="AF395" s="944"/>
      <c r="AG395" s="944"/>
      <c r="AH395" s="944"/>
      <c r="AI395" s="944"/>
      <c r="AJ395" s="944"/>
      <c r="AK395" s="944"/>
      <c r="AL395" s="944"/>
      <c r="AM395" s="944"/>
      <c r="AN395" s="944"/>
      <c r="AO395" s="944"/>
      <c r="AP395" s="944"/>
      <c r="AQ395" s="944"/>
      <c r="AR395" s="45"/>
    </row>
    <row r="396" spans="1:44" ht="14.25" customHeight="1" x14ac:dyDescent="0.3">
      <c r="A396" s="95"/>
      <c r="B396" s="45"/>
      <c r="C396" s="45"/>
      <c r="D396" s="45"/>
      <c r="E396" s="45"/>
      <c r="F396" s="45"/>
      <c r="G396" s="45"/>
      <c r="H396" s="944"/>
      <c r="I396" s="944"/>
      <c r="J396" s="944"/>
      <c r="K396" s="944"/>
      <c r="L396" s="944"/>
      <c r="M396" s="944"/>
      <c r="N396" s="944"/>
      <c r="O396" s="944"/>
      <c r="P396" s="944"/>
      <c r="Q396" s="944"/>
      <c r="R396" s="944"/>
      <c r="S396" s="944"/>
      <c r="T396" s="944"/>
      <c r="U396" s="944"/>
      <c r="V396" s="944"/>
      <c r="W396" s="944"/>
      <c r="X396" s="944"/>
      <c r="Y396" s="944"/>
      <c r="Z396" s="944"/>
      <c r="AA396" s="944"/>
      <c r="AB396" s="944"/>
      <c r="AC396" s="944"/>
      <c r="AD396" s="944"/>
      <c r="AE396" s="944"/>
      <c r="AF396" s="944"/>
      <c r="AG396" s="944"/>
      <c r="AH396" s="944"/>
      <c r="AI396" s="944"/>
      <c r="AJ396" s="944"/>
      <c r="AK396" s="944"/>
      <c r="AL396" s="944"/>
      <c r="AM396" s="944"/>
      <c r="AN396" s="944"/>
      <c r="AO396" s="944"/>
      <c r="AP396" s="944"/>
      <c r="AQ396" s="944"/>
      <c r="AR396" s="45"/>
    </row>
    <row r="397" spans="1:44" ht="14.25" customHeight="1" x14ac:dyDescent="0.3">
      <c r="A397" s="95"/>
      <c r="B397" s="45"/>
      <c r="C397" s="45"/>
      <c r="D397" s="45"/>
      <c r="E397" s="45"/>
      <c r="F397" s="45"/>
      <c r="G397" s="45"/>
      <c r="H397" s="944"/>
      <c r="I397" s="944"/>
      <c r="J397" s="944"/>
      <c r="K397" s="944"/>
      <c r="L397" s="944"/>
      <c r="M397" s="944"/>
      <c r="N397" s="944"/>
      <c r="O397" s="944"/>
      <c r="P397" s="944"/>
      <c r="Q397" s="944"/>
      <c r="R397" s="944"/>
      <c r="S397" s="944"/>
      <c r="T397" s="944"/>
      <c r="U397" s="944"/>
      <c r="V397" s="944"/>
      <c r="W397" s="944"/>
      <c r="X397" s="944"/>
      <c r="Y397" s="944"/>
      <c r="Z397" s="944"/>
      <c r="AA397" s="944"/>
      <c r="AB397" s="944"/>
      <c r="AC397" s="944"/>
      <c r="AD397" s="944"/>
      <c r="AE397" s="944"/>
      <c r="AF397" s="944"/>
      <c r="AG397" s="944"/>
      <c r="AH397" s="944"/>
      <c r="AI397" s="944"/>
      <c r="AJ397" s="944"/>
      <c r="AK397" s="944"/>
      <c r="AL397" s="944"/>
      <c r="AM397" s="944"/>
      <c r="AN397" s="944"/>
      <c r="AO397" s="944"/>
      <c r="AP397" s="944"/>
      <c r="AQ397" s="944"/>
      <c r="AR397" s="45"/>
    </row>
    <row r="398" spans="1:44" ht="14.25" customHeight="1" x14ac:dyDescent="0.3">
      <c r="A398" s="95"/>
      <c r="B398" s="45"/>
      <c r="C398" s="45"/>
      <c r="D398" s="45"/>
      <c r="E398" s="45"/>
      <c r="F398" s="45"/>
      <c r="G398" s="45"/>
      <c r="H398" s="944"/>
      <c r="I398" s="944"/>
      <c r="J398" s="944"/>
      <c r="K398" s="944"/>
      <c r="L398" s="944"/>
      <c r="M398" s="944"/>
      <c r="N398" s="944"/>
      <c r="O398" s="944"/>
      <c r="P398" s="944"/>
      <c r="Q398" s="944"/>
      <c r="R398" s="944"/>
      <c r="S398" s="944"/>
      <c r="T398" s="944"/>
      <c r="U398" s="944"/>
      <c r="V398" s="944"/>
      <c r="W398" s="944"/>
      <c r="X398" s="944"/>
      <c r="Y398" s="944"/>
      <c r="Z398" s="944"/>
      <c r="AA398" s="944"/>
      <c r="AB398" s="944"/>
      <c r="AC398" s="944"/>
      <c r="AD398" s="944"/>
      <c r="AE398" s="944"/>
      <c r="AF398" s="944"/>
      <c r="AG398" s="944"/>
      <c r="AH398" s="944"/>
      <c r="AI398" s="944"/>
      <c r="AJ398" s="944"/>
      <c r="AK398" s="944"/>
      <c r="AL398" s="944"/>
      <c r="AM398" s="944"/>
      <c r="AN398" s="944"/>
      <c r="AO398" s="944"/>
      <c r="AP398" s="944"/>
      <c r="AQ398" s="944"/>
      <c r="AR398" s="45"/>
    </row>
    <row r="399" spans="1:44" ht="14.25" customHeight="1" x14ac:dyDescent="0.3">
      <c r="A399" s="95"/>
      <c r="B399" s="45"/>
      <c r="C399" s="45"/>
      <c r="D399" s="45"/>
      <c r="E399" s="45"/>
      <c r="F399" s="45"/>
      <c r="G399" s="45"/>
      <c r="H399" s="944"/>
      <c r="I399" s="944"/>
      <c r="J399" s="944"/>
      <c r="K399" s="944"/>
      <c r="L399" s="944"/>
      <c r="M399" s="944"/>
      <c r="N399" s="944"/>
      <c r="O399" s="944"/>
      <c r="P399" s="944"/>
      <c r="Q399" s="944"/>
      <c r="R399" s="944"/>
      <c r="S399" s="944"/>
      <c r="T399" s="944"/>
      <c r="U399" s="944"/>
      <c r="V399" s="944"/>
      <c r="W399" s="944"/>
      <c r="X399" s="944"/>
      <c r="Y399" s="944"/>
      <c r="Z399" s="944"/>
      <c r="AA399" s="944"/>
      <c r="AB399" s="944"/>
      <c r="AC399" s="944"/>
      <c r="AD399" s="944"/>
      <c r="AE399" s="944"/>
      <c r="AF399" s="944"/>
      <c r="AG399" s="944"/>
      <c r="AH399" s="944"/>
      <c r="AI399" s="944"/>
      <c r="AJ399" s="944"/>
      <c r="AK399" s="944"/>
      <c r="AL399" s="944"/>
      <c r="AM399" s="944"/>
      <c r="AN399" s="944"/>
      <c r="AO399" s="944"/>
      <c r="AP399" s="944"/>
      <c r="AQ399" s="944"/>
      <c r="AR399" s="45"/>
    </row>
    <row r="400" spans="1:44" ht="14.25" customHeight="1" x14ac:dyDescent="0.3">
      <c r="A400" s="95"/>
      <c r="B400" s="45"/>
      <c r="C400" s="45"/>
      <c r="D400" s="45"/>
      <c r="E400" s="45"/>
      <c r="F400" s="45"/>
      <c r="G400" s="45"/>
      <c r="H400" s="944"/>
      <c r="I400" s="944"/>
      <c r="J400" s="944"/>
      <c r="K400" s="944"/>
      <c r="L400" s="944"/>
      <c r="M400" s="944"/>
      <c r="N400" s="944"/>
      <c r="O400" s="944"/>
      <c r="P400" s="944"/>
      <c r="Q400" s="944"/>
      <c r="R400" s="944"/>
      <c r="S400" s="944"/>
      <c r="T400" s="944"/>
      <c r="U400" s="944"/>
      <c r="V400" s="944"/>
      <c r="W400" s="944"/>
      <c r="X400" s="944"/>
      <c r="Y400" s="944"/>
      <c r="Z400" s="944"/>
      <c r="AA400" s="944"/>
      <c r="AB400" s="944"/>
      <c r="AC400" s="944"/>
      <c r="AD400" s="944"/>
      <c r="AE400" s="944"/>
      <c r="AF400" s="944"/>
      <c r="AG400" s="944"/>
      <c r="AH400" s="944"/>
      <c r="AI400" s="944"/>
      <c r="AJ400" s="944"/>
      <c r="AK400" s="944"/>
      <c r="AL400" s="944"/>
      <c r="AM400" s="944"/>
      <c r="AN400" s="944"/>
      <c r="AO400" s="944"/>
      <c r="AP400" s="944"/>
      <c r="AQ400" s="944"/>
      <c r="AR400" s="45"/>
    </row>
    <row r="401" spans="1:44" ht="14.25" customHeight="1" x14ac:dyDescent="0.3">
      <c r="A401" s="95"/>
      <c r="B401" s="45"/>
      <c r="C401" s="45"/>
      <c r="D401" s="45"/>
      <c r="E401" s="45"/>
      <c r="F401" s="45"/>
      <c r="G401" s="45"/>
      <c r="H401" s="944"/>
      <c r="I401" s="944"/>
      <c r="J401" s="944"/>
      <c r="K401" s="944"/>
      <c r="L401" s="944"/>
      <c r="M401" s="944"/>
      <c r="N401" s="944"/>
      <c r="O401" s="944"/>
      <c r="P401" s="944"/>
      <c r="Q401" s="944"/>
      <c r="R401" s="944"/>
      <c r="S401" s="944"/>
      <c r="T401" s="944"/>
      <c r="U401" s="944"/>
      <c r="V401" s="944"/>
      <c r="W401" s="944"/>
      <c r="X401" s="944"/>
      <c r="Y401" s="944"/>
      <c r="Z401" s="944"/>
      <c r="AA401" s="944"/>
      <c r="AB401" s="944"/>
      <c r="AC401" s="944"/>
      <c r="AD401" s="944"/>
      <c r="AE401" s="944"/>
      <c r="AF401" s="944"/>
      <c r="AG401" s="944"/>
      <c r="AH401" s="944"/>
      <c r="AI401" s="944"/>
      <c r="AJ401" s="944"/>
      <c r="AK401" s="944"/>
      <c r="AL401" s="944"/>
      <c r="AM401" s="944"/>
      <c r="AN401" s="944"/>
      <c r="AO401" s="944"/>
      <c r="AP401" s="944"/>
      <c r="AQ401" s="944"/>
      <c r="AR401" s="45"/>
    </row>
    <row r="402" spans="1:44" ht="14.25" customHeight="1" x14ac:dyDescent="0.3">
      <c r="A402" s="95"/>
      <c r="B402" s="45"/>
      <c r="C402" s="45"/>
      <c r="D402" s="45"/>
      <c r="E402" s="45"/>
      <c r="F402" s="45"/>
      <c r="G402" s="45"/>
      <c r="H402" s="944"/>
      <c r="I402" s="944"/>
      <c r="J402" s="944"/>
      <c r="K402" s="944"/>
      <c r="L402" s="944"/>
      <c r="M402" s="944"/>
      <c r="N402" s="944"/>
      <c r="O402" s="944"/>
      <c r="P402" s="944"/>
      <c r="Q402" s="944"/>
      <c r="R402" s="944"/>
      <c r="S402" s="944"/>
      <c r="T402" s="944"/>
      <c r="U402" s="944"/>
      <c r="V402" s="944"/>
      <c r="W402" s="944"/>
      <c r="X402" s="944"/>
      <c r="Y402" s="944"/>
      <c r="Z402" s="944"/>
      <c r="AA402" s="944"/>
      <c r="AB402" s="944"/>
      <c r="AC402" s="944"/>
      <c r="AD402" s="944"/>
      <c r="AE402" s="944"/>
      <c r="AF402" s="944"/>
      <c r="AG402" s="944"/>
      <c r="AH402" s="944"/>
      <c r="AI402" s="944"/>
      <c r="AJ402" s="944"/>
      <c r="AK402" s="944"/>
      <c r="AL402" s="944"/>
      <c r="AM402" s="944"/>
      <c r="AN402" s="944"/>
      <c r="AO402" s="944"/>
      <c r="AP402" s="944"/>
      <c r="AQ402" s="944"/>
      <c r="AR402" s="45"/>
    </row>
    <row r="403" spans="1:44" ht="14.25" customHeight="1" x14ac:dyDescent="0.3">
      <c r="A403" s="95"/>
      <c r="B403" s="45"/>
      <c r="C403" s="45"/>
      <c r="D403" s="45"/>
      <c r="E403" s="45"/>
      <c r="F403" s="45"/>
      <c r="G403" s="45"/>
      <c r="H403" s="944"/>
      <c r="I403" s="944"/>
      <c r="J403" s="944"/>
      <c r="K403" s="944"/>
      <c r="L403" s="944"/>
      <c r="M403" s="944"/>
      <c r="N403" s="944"/>
      <c r="O403" s="944"/>
      <c r="P403" s="944"/>
      <c r="Q403" s="944"/>
      <c r="R403" s="944"/>
      <c r="S403" s="944"/>
      <c r="T403" s="944"/>
      <c r="U403" s="944"/>
      <c r="V403" s="944"/>
      <c r="W403" s="944"/>
      <c r="X403" s="944"/>
      <c r="Y403" s="944"/>
      <c r="Z403" s="944"/>
      <c r="AA403" s="944"/>
      <c r="AB403" s="944"/>
      <c r="AC403" s="944"/>
      <c r="AD403" s="944"/>
      <c r="AE403" s="944"/>
      <c r="AF403" s="944"/>
      <c r="AG403" s="944"/>
      <c r="AH403" s="944"/>
      <c r="AI403" s="944"/>
      <c r="AJ403" s="944"/>
      <c r="AK403" s="944"/>
      <c r="AL403" s="944"/>
      <c r="AM403" s="944"/>
      <c r="AN403" s="944"/>
      <c r="AO403" s="944"/>
      <c r="AP403" s="944"/>
      <c r="AQ403" s="944"/>
      <c r="AR403" s="45"/>
    </row>
    <row r="404" spans="1:44" ht="14.25" customHeight="1" x14ac:dyDescent="0.3">
      <c r="A404" s="95"/>
      <c r="B404" s="45"/>
      <c r="C404" s="45"/>
      <c r="D404" s="45"/>
      <c r="E404" s="45"/>
      <c r="F404" s="45"/>
      <c r="G404" s="45"/>
      <c r="H404" s="944"/>
      <c r="I404" s="944"/>
      <c r="J404" s="944"/>
      <c r="K404" s="944"/>
      <c r="L404" s="944"/>
      <c r="M404" s="944"/>
      <c r="N404" s="944"/>
      <c r="O404" s="944"/>
      <c r="P404" s="944"/>
      <c r="Q404" s="944"/>
      <c r="R404" s="944"/>
      <c r="S404" s="944"/>
      <c r="T404" s="944"/>
      <c r="U404" s="944"/>
      <c r="V404" s="944"/>
      <c r="W404" s="944"/>
      <c r="X404" s="944"/>
      <c r="Y404" s="944"/>
      <c r="Z404" s="944"/>
      <c r="AA404" s="944"/>
      <c r="AB404" s="944"/>
      <c r="AC404" s="944"/>
      <c r="AD404" s="944"/>
      <c r="AE404" s="944"/>
      <c r="AF404" s="944"/>
      <c r="AG404" s="944"/>
      <c r="AH404" s="944"/>
      <c r="AI404" s="944"/>
      <c r="AJ404" s="944"/>
      <c r="AK404" s="944"/>
      <c r="AL404" s="944"/>
      <c r="AM404" s="944"/>
      <c r="AN404" s="944"/>
      <c r="AO404" s="944"/>
      <c r="AP404" s="944"/>
      <c r="AQ404" s="944"/>
      <c r="AR404" s="45"/>
    </row>
    <row r="405" spans="1:44" ht="14.25" customHeight="1" x14ac:dyDescent="0.3">
      <c r="A405" s="95"/>
      <c r="B405" s="45"/>
      <c r="C405" s="45"/>
      <c r="D405" s="45"/>
      <c r="E405" s="45"/>
      <c r="F405" s="45"/>
      <c r="G405" s="45"/>
      <c r="H405" s="944"/>
      <c r="I405" s="944"/>
      <c r="J405" s="944"/>
      <c r="K405" s="944"/>
      <c r="L405" s="944"/>
      <c r="M405" s="944"/>
      <c r="N405" s="944"/>
      <c r="O405" s="944"/>
      <c r="P405" s="944"/>
      <c r="Q405" s="944"/>
      <c r="R405" s="944"/>
      <c r="S405" s="944"/>
      <c r="T405" s="944"/>
      <c r="U405" s="944"/>
      <c r="V405" s="944"/>
      <c r="W405" s="944"/>
      <c r="X405" s="944"/>
      <c r="Y405" s="944"/>
      <c r="Z405" s="944"/>
      <c r="AA405" s="944"/>
      <c r="AB405" s="944"/>
      <c r="AC405" s="944"/>
      <c r="AD405" s="944"/>
      <c r="AE405" s="944"/>
      <c r="AF405" s="944"/>
      <c r="AG405" s="944"/>
      <c r="AH405" s="944"/>
      <c r="AI405" s="944"/>
      <c r="AJ405" s="944"/>
      <c r="AK405" s="944"/>
      <c r="AL405" s="944"/>
      <c r="AM405" s="944"/>
      <c r="AN405" s="944"/>
      <c r="AO405" s="944"/>
      <c r="AP405" s="944"/>
      <c r="AQ405" s="944"/>
      <c r="AR405" s="45"/>
    </row>
    <row r="406" spans="1:44" ht="14.25" customHeight="1" x14ac:dyDescent="0.3">
      <c r="A406" s="95"/>
      <c r="B406" s="45"/>
      <c r="C406" s="45"/>
      <c r="D406" s="45"/>
      <c r="E406" s="45"/>
      <c r="F406" s="45"/>
      <c r="G406" s="45"/>
      <c r="H406" s="944"/>
      <c r="I406" s="944"/>
      <c r="J406" s="944"/>
      <c r="K406" s="944"/>
      <c r="L406" s="944"/>
      <c r="M406" s="944"/>
      <c r="N406" s="944"/>
      <c r="O406" s="944"/>
      <c r="P406" s="944"/>
      <c r="Q406" s="944"/>
      <c r="R406" s="944"/>
      <c r="S406" s="944"/>
      <c r="T406" s="944"/>
      <c r="U406" s="944"/>
      <c r="V406" s="944"/>
      <c r="W406" s="944"/>
      <c r="X406" s="944"/>
      <c r="Y406" s="944"/>
      <c r="Z406" s="944"/>
      <c r="AA406" s="944"/>
      <c r="AB406" s="944"/>
      <c r="AC406" s="944"/>
      <c r="AD406" s="944"/>
      <c r="AE406" s="944"/>
      <c r="AF406" s="944"/>
      <c r="AG406" s="944"/>
      <c r="AH406" s="944"/>
      <c r="AI406" s="944"/>
      <c r="AJ406" s="944"/>
      <c r="AK406" s="944"/>
      <c r="AL406" s="944"/>
      <c r="AM406" s="944"/>
      <c r="AN406" s="944"/>
      <c r="AO406" s="944"/>
      <c r="AP406" s="944"/>
      <c r="AQ406" s="944"/>
      <c r="AR406" s="45"/>
    </row>
    <row r="407" spans="1:44" ht="14.25" customHeight="1" x14ac:dyDescent="0.3">
      <c r="A407" s="95"/>
      <c r="B407" s="45"/>
      <c r="C407" s="45"/>
      <c r="D407" s="45"/>
      <c r="E407" s="45"/>
      <c r="F407" s="45"/>
      <c r="G407" s="45"/>
      <c r="H407" s="944"/>
      <c r="I407" s="944"/>
      <c r="J407" s="944"/>
      <c r="K407" s="944"/>
      <c r="L407" s="944"/>
      <c r="M407" s="944"/>
      <c r="N407" s="944"/>
      <c r="O407" s="944"/>
      <c r="P407" s="944"/>
      <c r="Q407" s="944"/>
      <c r="R407" s="944"/>
      <c r="S407" s="944"/>
      <c r="T407" s="944"/>
      <c r="U407" s="944"/>
      <c r="V407" s="944"/>
      <c r="W407" s="944"/>
      <c r="X407" s="944"/>
      <c r="Y407" s="944"/>
      <c r="Z407" s="944"/>
      <c r="AA407" s="944"/>
      <c r="AB407" s="944"/>
      <c r="AC407" s="944"/>
      <c r="AD407" s="944"/>
      <c r="AE407" s="944"/>
      <c r="AF407" s="944"/>
      <c r="AG407" s="944"/>
      <c r="AH407" s="944"/>
      <c r="AI407" s="944"/>
      <c r="AJ407" s="944"/>
      <c r="AK407" s="944"/>
      <c r="AL407" s="944"/>
      <c r="AM407" s="944"/>
      <c r="AN407" s="944"/>
      <c r="AO407" s="944"/>
      <c r="AP407" s="944"/>
      <c r="AQ407" s="944"/>
      <c r="AR407" s="45"/>
    </row>
    <row r="408" spans="1:44" ht="14.25" customHeight="1" x14ac:dyDescent="0.3">
      <c r="A408" s="95"/>
      <c r="B408" s="45"/>
      <c r="C408" s="45"/>
      <c r="D408" s="45"/>
      <c r="E408" s="45"/>
      <c r="F408" s="45"/>
      <c r="G408" s="45"/>
      <c r="H408" s="944"/>
      <c r="I408" s="944"/>
      <c r="J408" s="944"/>
      <c r="K408" s="944"/>
      <c r="L408" s="944"/>
      <c r="M408" s="944"/>
      <c r="N408" s="944"/>
      <c r="O408" s="944"/>
      <c r="P408" s="944"/>
      <c r="Q408" s="944"/>
      <c r="R408" s="944"/>
      <c r="S408" s="944"/>
      <c r="T408" s="944"/>
      <c r="U408" s="944"/>
      <c r="V408" s="944"/>
      <c r="W408" s="944"/>
      <c r="X408" s="944"/>
      <c r="Y408" s="944"/>
      <c r="Z408" s="944"/>
      <c r="AA408" s="944"/>
      <c r="AB408" s="944"/>
      <c r="AC408" s="944"/>
      <c r="AD408" s="944"/>
      <c r="AE408" s="944"/>
      <c r="AF408" s="944"/>
      <c r="AG408" s="944"/>
      <c r="AH408" s="944"/>
      <c r="AI408" s="944"/>
      <c r="AJ408" s="944"/>
      <c r="AK408" s="944"/>
      <c r="AL408" s="944"/>
      <c r="AM408" s="944"/>
      <c r="AN408" s="944"/>
      <c r="AO408" s="944"/>
      <c r="AP408" s="944"/>
      <c r="AQ408" s="944"/>
      <c r="AR408" s="45"/>
    </row>
    <row r="409" spans="1:44" ht="14.25" customHeight="1" x14ac:dyDescent="0.3">
      <c r="A409" s="95"/>
      <c r="B409" s="45"/>
      <c r="C409" s="45"/>
      <c r="D409" s="45"/>
      <c r="E409" s="45"/>
      <c r="F409" s="45"/>
      <c r="G409" s="45"/>
      <c r="H409" s="944"/>
      <c r="I409" s="944"/>
      <c r="J409" s="944"/>
      <c r="K409" s="944"/>
      <c r="L409" s="944"/>
      <c r="M409" s="944"/>
      <c r="N409" s="944"/>
      <c r="O409" s="944"/>
      <c r="P409" s="944"/>
      <c r="Q409" s="944"/>
      <c r="R409" s="944"/>
      <c r="S409" s="944"/>
      <c r="T409" s="944"/>
      <c r="U409" s="944"/>
      <c r="V409" s="944"/>
      <c r="W409" s="944"/>
      <c r="X409" s="944"/>
      <c r="Y409" s="944"/>
      <c r="Z409" s="944"/>
      <c r="AA409" s="944"/>
      <c r="AB409" s="944"/>
      <c r="AC409" s="944"/>
      <c r="AD409" s="944"/>
      <c r="AE409" s="944"/>
      <c r="AF409" s="944"/>
      <c r="AG409" s="944"/>
      <c r="AH409" s="944"/>
      <c r="AI409" s="944"/>
      <c r="AJ409" s="944"/>
      <c r="AK409" s="944"/>
      <c r="AL409" s="944"/>
      <c r="AM409" s="944"/>
      <c r="AN409" s="944"/>
      <c r="AO409" s="944"/>
      <c r="AP409" s="944"/>
      <c r="AQ409" s="944"/>
      <c r="AR409" s="45"/>
    </row>
    <row r="410" spans="1:44" ht="14.25" customHeight="1" x14ac:dyDescent="0.3">
      <c r="A410" s="95"/>
      <c r="B410" s="45"/>
      <c r="C410" s="45"/>
      <c r="D410" s="45"/>
      <c r="E410" s="45"/>
      <c r="F410" s="45"/>
      <c r="G410" s="45"/>
      <c r="H410" s="944"/>
      <c r="I410" s="944"/>
      <c r="J410" s="944"/>
      <c r="K410" s="944"/>
      <c r="L410" s="944"/>
      <c r="M410" s="944"/>
      <c r="N410" s="944"/>
      <c r="O410" s="944"/>
      <c r="P410" s="944"/>
      <c r="Q410" s="944"/>
      <c r="R410" s="944"/>
      <c r="S410" s="944"/>
      <c r="T410" s="944"/>
      <c r="U410" s="944"/>
      <c r="V410" s="944"/>
      <c r="W410" s="944"/>
      <c r="X410" s="944"/>
      <c r="Y410" s="944"/>
      <c r="Z410" s="944"/>
      <c r="AA410" s="944"/>
      <c r="AB410" s="944"/>
      <c r="AC410" s="944"/>
      <c r="AD410" s="944"/>
      <c r="AE410" s="944"/>
      <c r="AF410" s="944"/>
      <c r="AG410" s="944"/>
      <c r="AH410" s="944"/>
      <c r="AI410" s="944"/>
      <c r="AJ410" s="944"/>
      <c r="AK410" s="944"/>
      <c r="AL410" s="944"/>
      <c r="AM410" s="944"/>
      <c r="AN410" s="944"/>
      <c r="AO410" s="944"/>
      <c r="AP410" s="944"/>
      <c r="AQ410" s="944"/>
      <c r="AR410" s="45"/>
    </row>
    <row r="411" spans="1:44" ht="14.25" customHeight="1" x14ac:dyDescent="0.3">
      <c r="A411" s="95"/>
      <c r="B411" s="45"/>
      <c r="C411" s="45"/>
      <c r="D411" s="45"/>
      <c r="E411" s="45"/>
      <c r="F411" s="45"/>
      <c r="G411" s="45"/>
      <c r="H411" s="944"/>
      <c r="I411" s="944"/>
      <c r="J411" s="944"/>
      <c r="K411" s="944"/>
      <c r="L411" s="944"/>
      <c r="M411" s="944"/>
      <c r="N411" s="944"/>
      <c r="O411" s="944"/>
      <c r="P411" s="944"/>
      <c r="Q411" s="944"/>
      <c r="R411" s="944"/>
      <c r="S411" s="944"/>
      <c r="T411" s="944"/>
      <c r="U411" s="944"/>
      <c r="V411" s="944"/>
      <c r="W411" s="944"/>
      <c r="X411" s="944"/>
      <c r="Y411" s="944"/>
      <c r="Z411" s="944"/>
      <c r="AA411" s="944"/>
      <c r="AB411" s="944"/>
      <c r="AC411" s="944"/>
      <c r="AD411" s="944"/>
      <c r="AE411" s="944"/>
      <c r="AF411" s="944"/>
      <c r="AG411" s="944"/>
      <c r="AH411" s="944"/>
      <c r="AI411" s="944"/>
      <c r="AJ411" s="944"/>
      <c r="AK411" s="944"/>
      <c r="AL411" s="944"/>
      <c r="AM411" s="944"/>
      <c r="AN411" s="944"/>
      <c r="AO411" s="944"/>
      <c r="AP411" s="944"/>
      <c r="AQ411" s="944"/>
      <c r="AR411" s="45"/>
    </row>
    <row r="412" spans="1:44" ht="14.25" customHeight="1" x14ac:dyDescent="0.3">
      <c r="A412" s="95"/>
      <c r="B412" s="45"/>
      <c r="C412" s="45"/>
      <c r="D412" s="45"/>
      <c r="E412" s="45"/>
      <c r="F412" s="45"/>
      <c r="G412" s="45"/>
      <c r="H412" s="944"/>
      <c r="I412" s="944"/>
      <c r="J412" s="944"/>
      <c r="K412" s="944"/>
      <c r="L412" s="944"/>
      <c r="M412" s="944"/>
      <c r="N412" s="944"/>
      <c r="O412" s="944"/>
      <c r="P412" s="944"/>
      <c r="Q412" s="944"/>
      <c r="R412" s="944"/>
      <c r="S412" s="944"/>
      <c r="T412" s="944"/>
      <c r="U412" s="944"/>
      <c r="V412" s="944"/>
      <c r="W412" s="944"/>
      <c r="X412" s="944"/>
      <c r="Y412" s="944"/>
      <c r="Z412" s="944"/>
      <c r="AA412" s="944"/>
      <c r="AB412" s="944"/>
      <c r="AC412" s="944"/>
      <c r="AD412" s="944"/>
      <c r="AE412" s="944"/>
      <c r="AF412" s="944"/>
      <c r="AG412" s="944"/>
      <c r="AH412" s="944"/>
      <c r="AI412" s="944"/>
      <c r="AJ412" s="944"/>
      <c r="AK412" s="944"/>
      <c r="AL412" s="944"/>
      <c r="AM412" s="944"/>
      <c r="AN412" s="944"/>
      <c r="AO412" s="944"/>
      <c r="AP412" s="944"/>
      <c r="AQ412" s="944"/>
      <c r="AR412" s="45"/>
    </row>
    <row r="413" spans="1:44" ht="14.25" customHeight="1" x14ac:dyDescent="0.3">
      <c r="A413" s="95"/>
      <c r="B413" s="45"/>
      <c r="C413" s="45"/>
      <c r="D413" s="45"/>
      <c r="E413" s="45"/>
      <c r="F413" s="45"/>
      <c r="G413" s="45"/>
      <c r="H413" s="944"/>
      <c r="I413" s="944"/>
      <c r="J413" s="944"/>
      <c r="K413" s="944"/>
      <c r="L413" s="944"/>
      <c r="M413" s="944"/>
      <c r="N413" s="944"/>
      <c r="O413" s="944"/>
      <c r="P413" s="944"/>
      <c r="Q413" s="944"/>
      <c r="R413" s="944"/>
      <c r="S413" s="944"/>
      <c r="T413" s="944"/>
      <c r="U413" s="944"/>
      <c r="V413" s="944"/>
      <c r="W413" s="944"/>
      <c r="X413" s="944"/>
      <c r="Y413" s="944"/>
      <c r="Z413" s="944"/>
      <c r="AA413" s="944"/>
      <c r="AB413" s="944"/>
      <c r="AC413" s="944"/>
      <c r="AD413" s="944"/>
      <c r="AE413" s="944"/>
      <c r="AF413" s="944"/>
      <c r="AG413" s="944"/>
      <c r="AH413" s="944"/>
      <c r="AI413" s="944"/>
      <c r="AJ413" s="944"/>
      <c r="AK413" s="944"/>
      <c r="AL413" s="944"/>
      <c r="AM413" s="944"/>
      <c r="AN413" s="944"/>
      <c r="AO413" s="944"/>
      <c r="AP413" s="944"/>
      <c r="AQ413" s="944"/>
      <c r="AR413" s="45"/>
    </row>
    <row r="414" spans="1:44" ht="14.25" customHeight="1" x14ac:dyDescent="0.3">
      <c r="A414" s="95"/>
      <c r="B414" s="45"/>
      <c r="C414" s="45"/>
      <c r="D414" s="45"/>
      <c r="E414" s="45"/>
      <c r="F414" s="45"/>
      <c r="G414" s="45"/>
      <c r="H414" s="944"/>
      <c r="I414" s="944"/>
      <c r="J414" s="944"/>
      <c r="K414" s="944"/>
      <c r="L414" s="944"/>
      <c r="M414" s="944"/>
      <c r="N414" s="944"/>
      <c r="O414" s="944"/>
      <c r="P414" s="944"/>
      <c r="Q414" s="944"/>
      <c r="R414" s="944"/>
      <c r="S414" s="944"/>
      <c r="T414" s="944"/>
      <c r="U414" s="944"/>
      <c r="V414" s="944"/>
      <c r="W414" s="944"/>
      <c r="X414" s="944"/>
      <c r="Y414" s="944"/>
      <c r="Z414" s="944"/>
      <c r="AA414" s="944"/>
      <c r="AB414" s="944"/>
      <c r="AC414" s="944"/>
      <c r="AD414" s="944"/>
      <c r="AE414" s="944"/>
      <c r="AF414" s="944"/>
      <c r="AG414" s="944"/>
      <c r="AH414" s="944"/>
      <c r="AI414" s="944"/>
      <c r="AJ414" s="944"/>
      <c r="AK414" s="944"/>
      <c r="AL414" s="944"/>
      <c r="AM414" s="944"/>
      <c r="AN414" s="944"/>
      <c r="AO414" s="944"/>
      <c r="AP414" s="944"/>
      <c r="AQ414" s="944"/>
      <c r="AR414" s="45"/>
    </row>
    <row r="415" spans="1:44" ht="14.25" customHeight="1" x14ac:dyDescent="0.3">
      <c r="A415" s="95"/>
      <c r="B415" s="45"/>
      <c r="C415" s="45"/>
      <c r="D415" s="45"/>
      <c r="E415" s="45"/>
      <c r="F415" s="45"/>
      <c r="G415" s="45"/>
      <c r="H415" s="944"/>
      <c r="I415" s="944"/>
      <c r="J415" s="944"/>
      <c r="K415" s="944"/>
      <c r="L415" s="944"/>
      <c r="M415" s="944"/>
      <c r="N415" s="944"/>
      <c r="O415" s="944"/>
      <c r="P415" s="944"/>
      <c r="Q415" s="944"/>
      <c r="R415" s="944"/>
      <c r="S415" s="944"/>
      <c r="T415" s="944"/>
      <c r="U415" s="944"/>
      <c r="V415" s="944"/>
      <c r="W415" s="944"/>
      <c r="X415" s="944"/>
      <c r="Y415" s="944"/>
      <c r="Z415" s="944"/>
      <c r="AA415" s="944"/>
      <c r="AB415" s="944"/>
      <c r="AC415" s="944"/>
      <c r="AD415" s="944"/>
      <c r="AE415" s="944"/>
      <c r="AF415" s="944"/>
      <c r="AG415" s="944"/>
      <c r="AH415" s="944"/>
      <c r="AI415" s="944"/>
      <c r="AJ415" s="944"/>
      <c r="AK415" s="944"/>
      <c r="AL415" s="944"/>
      <c r="AM415" s="944"/>
      <c r="AN415" s="944"/>
      <c r="AO415" s="944"/>
      <c r="AP415" s="944"/>
      <c r="AQ415" s="944"/>
      <c r="AR415" s="45"/>
    </row>
    <row r="416" spans="1:44" ht="14.25" customHeight="1" x14ac:dyDescent="0.3">
      <c r="A416" s="95"/>
      <c r="B416" s="45"/>
      <c r="C416" s="45"/>
      <c r="D416" s="45"/>
      <c r="E416" s="45"/>
      <c r="F416" s="45"/>
      <c r="G416" s="45"/>
      <c r="H416" s="944"/>
      <c r="I416" s="944"/>
      <c r="J416" s="944"/>
      <c r="K416" s="944"/>
      <c r="L416" s="944"/>
      <c r="M416" s="944"/>
      <c r="N416" s="944"/>
      <c r="O416" s="944"/>
      <c r="P416" s="944"/>
      <c r="Q416" s="944"/>
      <c r="R416" s="944"/>
      <c r="S416" s="944"/>
      <c r="T416" s="944"/>
      <c r="U416" s="944"/>
      <c r="V416" s="944"/>
      <c r="W416" s="944"/>
      <c r="X416" s="944"/>
      <c r="Y416" s="944"/>
      <c r="Z416" s="944"/>
      <c r="AA416" s="944"/>
      <c r="AB416" s="944"/>
      <c r="AC416" s="944"/>
      <c r="AD416" s="944"/>
      <c r="AE416" s="944"/>
      <c r="AF416" s="944"/>
      <c r="AG416" s="944"/>
      <c r="AH416" s="944"/>
      <c r="AI416" s="944"/>
      <c r="AJ416" s="944"/>
      <c r="AK416" s="944"/>
      <c r="AL416" s="944"/>
      <c r="AM416" s="944"/>
      <c r="AN416" s="944"/>
      <c r="AO416" s="944"/>
      <c r="AP416" s="944"/>
      <c r="AQ416" s="944"/>
      <c r="AR416" s="45"/>
    </row>
    <row r="417" spans="1:44" ht="14.25" customHeight="1" x14ac:dyDescent="0.3">
      <c r="A417" s="95"/>
      <c r="B417" s="45"/>
      <c r="C417" s="45"/>
      <c r="D417" s="45"/>
      <c r="E417" s="45"/>
      <c r="F417" s="45"/>
      <c r="G417" s="45"/>
      <c r="H417" s="944"/>
      <c r="I417" s="944"/>
      <c r="J417" s="944"/>
      <c r="K417" s="944"/>
      <c r="L417" s="944"/>
      <c r="M417" s="944"/>
      <c r="N417" s="944"/>
      <c r="O417" s="944"/>
      <c r="P417" s="944"/>
      <c r="Q417" s="944"/>
      <c r="R417" s="944"/>
      <c r="S417" s="944"/>
      <c r="T417" s="944"/>
      <c r="U417" s="944"/>
      <c r="V417" s="944"/>
      <c r="W417" s="944"/>
      <c r="X417" s="944"/>
      <c r="Y417" s="944"/>
      <c r="Z417" s="944"/>
      <c r="AA417" s="944"/>
      <c r="AB417" s="944"/>
      <c r="AC417" s="944"/>
      <c r="AD417" s="944"/>
      <c r="AE417" s="944"/>
      <c r="AF417" s="944"/>
      <c r="AG417" s="944"/>
      <c r="AH417" s="944"/>
      <c r="AI417" s="944"/>
      <c r="AJ417" s="944"/>
      <c r="AK417" s="944"/>
      <c r="AL417" s="944"/>
      <c r="AM417" s="944"/>
      <c r="AN417" s="944"/>
      <c r="AO417" s="944"/>
      <c r="AP417" s="944"/>
      <c r="AQ417" s="944"/>
      <c r="AR417" s="45"/>
    </row>
    <row r="418" spans="1:44" ht="14.25" customHeight="1" x14ac:dyDescent="0.3">
      <c r="A418" s="95"/>
      <c r="B418" s="45"/>
      <c r="C418" s="45"/>
      <c r="D418" s="45"/>
      <c r="E418" s="45"/>
      <c r="F418" s="45"/>
      <c r="G418" s="45"/>
      <c r="H418" s="944"/>
      <c r="I418" s="944"/>
      <c r="J418" s="944"/>
      <c r="K418" s="944"/>
      <c r="L418" s="944"/>
      <c r="M418" s="944"/>
      <c r="N418" s="944"/>
      <c r="O418" s="944"/>
      <c r="P418" s="944"/>
      <c r="Q418" s="944"/>
      <c r="R418" s="944"/>
      <c r="S418" s="944"/>
      <c r="T418" s="944"/>
      <c r="U418" s="944"/>
      <c r="V418" s="944"/>
      <c r="W418" s="944"/>
      <c r="X418" s="944"/>
      <c r="Y418" s="944"/>
      <c r="Z418" s="944"/>
      <c r="AA418" s="944"/>
      <c r="AB418" s="944"/>
      <c r="AC418" s="944"/>
      <c r="AD418" s="944"/>
      <c r="AE418" s="944"/>
      <c r="AF418" s="944"/>
      <c r="AG418" s="944"/>
      <c r="AH418" s="944"/>
      <c r="AI418" s="944"/>
      <c r="AJ418" s="944"/>
      <c r="AK418" s="944"/>
      <c r="AL418" s="944"/>
      <c r="AM418" s="944"/>
      <c r="AN418" s="944"/>
      <c r="AO418" s="944"/>
      <c r="AP418" s="944"/>
      <c r="AQ418" s="944"/>
      <c r="AR418" s="45"/>
    </row>
    <row r="419" spans="1:44" ht="14.25" customHeight="1" x14ac:dyDescent="0.3">
      <c r="A419" s="95"/>
      <c r="B419" s="45"/>
      <c r="C419" s="45"/>
      <c r="D419" s="45"/>
      <c r="E419" s="45"/>
      <c r="F419" s="45"/>
      <c r="G419" s="45"/>
      <c r="H419" s="944"/>
      <c r="I419" s="944"/>
      <c r="J419" s="944"/>
      <c r="K419" s="944"/>
      <c r="L419" s="944"/>
      <c r="M419" s="944"/>
      <c r="N419" s="944"/>
      <c r="O419" s="944"/>
      <c r="P419" s="944"/>
      <c r="Q419" s="944"/>
      <c r="R419" s="944"/>
      <c r="S419" s="944"/>
      <c r="T419" s="944"/>
      <c r="U419" s="944"/>
      <c r="V419" s="944"/>
      <c r="W419" s="944"/>
      <c r="X419" s="944"/>
      <c r="Y419" s="944"/>
      <c r="Z419" s="944"/>
      <c r="AA419" s="944"/>
      <c r="AB419" s="944"/>
      <c r="AC419" s="944"/>
      <c r="AD419" s="944"/>
      <c r="AE419" s="944"/>
      <c r="AF419" s="944"/>
      <c r="AG419" s="944"/>
      <c r="AH419" s="944"/>
      <c r="AI419" s="944"/>
      <c r="AJ419" s="944"/>
      <c r="AK419" s="944"/>
      <c r="AL419" s="944"/>
      <c r="AM419" s="944"/>
      <c r="AN419" s="944"/>
      <c r="AO419" s="944"/>
      <c r="AP419" s="944"/>
      <c r="AQ419" s="944"/>
      <c r="AR419" s="45"/>
    </row>
    <row r="420" spans="1:44" ht="14.25" customHeight="1" x14ac:dyDescent="0.3">
      <c r="A420" s="95"/>
      <c r="B420" s="45"/>
      <c r="C420" s="45"/>
      <c r="D420" s="45"/>
      <c r="E420" s="45"/>
      <c r="F420" s="45"/>
      <c r="G420" s="45"/>
      <c r="H420" s="944"/>
      <c r="I420" s="944"/>
      <c r="J420" s="944"/>
      <c r="K420" s="944"/>
      <c r="L420" s="944"/>
      <c r="M420" s="944"/>
      <c r="N420" s="944"/>
      <c r="O420" s="944"/>
      <c r="P420" s="944"/>
      <c r="Q420" s="944"/>
      <c r="R420" s="944"/>
      <c r="S420" s="944"/>
      <c r="T420" s="944"/>
      <c r="U420" s="944"/>
      <c r="V420" s="944"/>
      <c r="W420" s="944"/>
      <c r="X420" s="944"/>
      <c r="Y420" s="944"/>
      <c r="Z420" s="944"/>
      <c r="AA420" s="944"/>
      <c r="AB420" s="944"/>
      <c r="AC420" s="944"/>
      <c r="AD420" s="944"/>
      <c r="AE420" s="944"/>
      <c r="AF420" s="944"/>
      <c r="AG420" s="944"/>
      <c r="AH420" s="944"/>
      <c r="AI420" s="944"/>
      <c r="AJ420" s="944"/>
      <c r="AK420" s="944"/>
      <c r="AL420" s="944"/>
      <c r="AM420" s="944"/>
      <c r="AN420" s="944"/>
      <c r="AO420" s="944"/>
      <c r="AP420" s="944"/>
      <c r="AQ420" s="944"/>
      <c r="AR420" s="45"/>
    </row>
    <row r="421" spans="1:44" ht="14.25" customHeight="1" x14ac:dyDescent="0.3">
      <c r="A421" s="95"/>
      <c r="B421" s="45"/>
      <c r="C421" s="45"/>
      <c r="D421" s="45"/>
      <c r="E421" s="45"/>
      <c r="F421" s="45"/>
      <c r="G421" s="45"/>
      <c r="H421" s="944"/>
      <c r="I421" s="944"/>
      <c r="J421" s="944"/>
      <c r="K421" s="944"/>
      <c r="L421" s="944"/>
      <c r="M421" s="944"/>
      <c r="N421" s="944"/>
      <c r="O421" s="944"/>
      <c r="P421" s="944"/>
      <c r="Q421" s="944"/>
      <c r="R421" s="944"/>
      <c r="S421" s="944"/>
      <c r="T421" s="944"/>
      <c r="U421" s="944"/>
      <c r="V421" s="944"/>
      <c r="W421" s="944"/>
      <c r="X421" s="944"/>
      <c r="Y421" s="944"/>
      <c r="Z421" s="944"/>
      <c r="AA421" s="944"/>
      <c r="AB421" s="944"/>
      <c r="AC421" s="944"/>
      <c r="AD421" s="944"/>
      <c r="AE421" s="944"/>
      <c r="AF421" s="944"/>
      <c r="AG421" s="944"/>
      <c r="AH421" s="944"/>
      <c r="AI421" s="944"/>
      <c r="AJ421" s="944"/>
      <c r="AK421" s="944"/>
      <c r="AL421" s="944"/>
      <c r="AM421" s="944"/>
      <c r="AN421" s="944"/>
      <c r="AO421" s="944"/>
      <c r="AP421" s="944"/>
      <c r="AQ421" s="944"/>
      <c r="AR421" s="45"/>
    </row>
    <row r="422" spans="1:44" ht="14.25" customHeight="1" x14ac:dyDescent="0.3">
      <c r="A422" s="95"/>
      <c r="B422" s="45"/>
      <c r="C422" s="45"/>
      <c r="D422" s="45"/>
      <c r="E422" s="45"/>
      <c r="F422" s="45"/>
      <c r="G422" s="45"/>
      <c r="H422" s="944"/>
      <c r="I422" s="944"/>
      <c r="J422" s="944"/>
      <c r="K422" s="944"/>
      <c r="L422" s="944"/>
      <c r="M422" s="944"/>
      <c r="N422" s="944"/>
      <c r="O422" s="944"/>
      <c r="P422" s="944"/>
      <c r="Q422" s="944"/>
      <c r="R422" s="944"/>
      <c r="S422" s="944"/>
      <c r="T422" s="944"/>
      <c r="U422" s="944"/>
      <c r="V422" s="944"/>
      <c r="W422" s="944"/>
      <c r="X422" s="944"/>
      <c r="Y422" s="944"/>
      <c r="Z422" s="944"/>
      <c r="AA422" s="944"/>
      <c r="AB422" s="944"/>
      <c r="AC422" s="944"/>
      <c r="AD422" s="944"/>
      <c r="AE422" s="944"/>
      <c r="AF422" s="944"/>
      <c r="AG422" s="944"/>
      <c r="AH422" s="944"/>
      <c r="AI422" s="944"/>
      <c r="AJ422" s="944"/>
      <c r="AK422" s="944"/>
      <c r="AL422" s="944"/>
      <c r="AM422" s="944"/>
      <c r="AN422" s="944"/>
      <c r="AO422" s="944"/>
      <c r="AP422" s="944"/>
      <c r="AQ422" s="944"/>
      <c r="AR422" s="45"/>
    </row>
    <row r="423" spans="1:44" ht="14.25" customHeight="1" x14ac:dyDescent="0.3">
      <c r="A423" s="95"/>
      <c r="B423" s="45"/>
      <c r="C423" s="45"/>
      <c r="D423" s="45"/>
      <c r="E423" s="45"/>
      <c r="F423" s="45"/>
      <c r="G423" s="45"/>
      <c r="H423" s="944"/>
      <c r="I423" s="944"/>
      <c r="J423" s="944"/>
      <c r="K423" s="944"/>
      <c r="L423" s="944"/>
      <c r="M423" s="944"/>
      <c r="N423" s="944"/>
      <c r="O423" s="944"/>
      <c r="P423" s="944"/>
      <c r="Q423" s="944"/>
      <c r="R423" s="944"/>
      <c r="S423" s="944"/>
      <c r="T423" s="944"/>
      <c r="U423" s="944"/>
      <c r="V423" s="944"/>
      <c r="W423" s="944"/>
      <c r="X423" s="944"/>
      <c r="Y423" s="944"/>
      <c r="Z423" s="944"/>
      <c r="AA423" s="944"/>
      <c r="AB423" s="944"/>
      <c r="AC423" s="944"/>
      <c r="AD423" s="944"/>
      <c r="AE423" s="944"/>
      <c r="AF423" s="944"/>
      <c r="AG423" s="944"/>
      <c r="AH423" s="944"/>
      <c r="AI423" s="944"/>
      <c r="AJ423" s="944"/>
      <c r="AK423" s="944"/>
      <c r="AL423" s="944"/>
      <c r="AM423" s="944"/>
      <c r="AN423" s="944"/>
      <c r="AO423" s="944"/>
      <c r="AP423" s="944"/>
      <c r="AQ423" s="944"/>
      <c r="AR423" s="45"/>
    </row>
    <row r="424" spans="1:44" ht="14.25" customHeight="1" x14ac:dyDescent="0.3">
      <c r="A424" s="95"/>
      <c r="B424" s="45"/>
      <c r="C424" s="45"/>
      <c r="D424" s="45"/>
      <c r="E424" s="45"/>
      <c r="F424" s="45"/>
      <c r="G424" s="45"/>
      <c r="H424" s="944"/>
      <c r="I424" s="944"/>
      <c r="J424" s="944"/>
      <c r="K424" s="944"/>
      <c r="L424" s="944"/>
      <c r="M424" s="944"/>
      <c r="N424" s="944"/>
      <c r="O424" s="944"/>
      <c r="P424" s="944"/>
      <c r="Q424" s="944"/>
      <c r="R424" s="944"/>
      <c r="S424" s="944"/>
      <c r="T424" s="944"/>
      <c r="U424" s="944"/>
      <c r="V424" s="944"/>
      <c r="W424" s="944"/>
      <c r="X424" s="944"/>
      <c r="Y424" s="944"/>
      <c r="Z424" s="944"/>
      <c r="AA424" s="944"/>
      <c r="AB424" s="944"/>
      <c r="AC424" s="944"/>
      <c r="AD424" s="944"/>
      <c r="AE424" s="944"/>
      <c r="AF424" s="944"/>
      <c r="AG424" s="944"/>
      <c r="AH424" s="944"/>
      <c r="AI424" s="944"/>
      <c r="AJ424" s="944"/>
      <c r="AK424" s="944"/>
      <c r="AL424" s="944"/>
      <c r="AM424" s="944"/>
      <c r="AN424" s="944"/>
      <c r="AO424" s="944"/>
      <c r="AP424" s="944"/>
      <c r="AQ424" s="944"/>
      <c r="AR424" s="45"/>
    </row>
    <row r="425" spans="1:44" ht="14.25" customHeight="1" x14ac:dyDescent="0.3">
      <c r="A425" s="95"/>
      <c r="B425" s="45"/>
      <c r="C425" s="45"/>
      <c r="D425" s="45"/>
      <c r="E425" s="45"/>
      <c r="F425" s="45"/>
      <c r="G425" s="45"/>
      <c r="H425" s="944"/>
      <c r="I425" s="944"/>
      <c r="J425" s="944"/>
      <c r="K425" s="944"/>
      <c r="L425" s="944"/>
      <c r="M425" s="944"/>
      <c r="N425" s="944"/>
      <c r="O425" s="944"/>
      <c r="P425" s="944"/>
      <c r="Q425" s="944"/>
      <c r="R425" s="944"/>
      <c r="S425" s="944"/>
      <c r="T425" s="944"/>
      <c r="U425" s="944"/>
      <c r="V425" s="944"/>
      <c r="W425" s="944"/>
      <c r="X425" s="944"/>
      <c r="Y425" s="944"/>
      <c r="Z425" s="944"/>
      <c r="AA425" s="944"/>
      <c r="AB425" s="944"/>
      <c r="AC425" s="944"/>
      <c r="AD425" s="944"/>
      <c r="AE425" s="944"/>
      <c r="AF425" s="944"/>
      <c r="AG425" s="944"/>
      <c r="AH425" s="944"/>
      <c r="AI425" s="944"/>
      <c r="AJ425" s="944"/>
      <c r="AK425" s="944"/>
      <c r="AL425" s="944"/>
      <c r="AM425" s="944"/>
      <c r="AN425" s="944"/>
      <c r="AO425" s="944"/>
      <c r="AP425" s="944"/>
      <c r="AQ425" s="944"/>
      <c r="AR425" s="45"/>
    </row>
    <row r="426" spans="1:44" ht="14.25" customHeight="1" x14ac:dyDescent="0.3">
      <c r="A426" s="95"/>
      <c r="B426" s="45"/>
      <c r="C426" s="45"/>
      <c r="D426" s="45"/>
      <c r="E426" s="45"/>
      <c r="F426" s="45"/>
      <c r="G426" s="45"/>
      <c r="H426" s="944"/>
      <c r="I426" s="944"/>
      <c r="J426" s="944"/>
      <c r="K426" s="944"/>
      <c r="L426" s="944"/>
      <c r="M426" s="944"/>
      <c r="N426" s="944"/>
      <c r="O426" s="944"/>
      <c r="P426" s="944"/>
      <c r="Q426" s="944"/>
      <c r="R426" s="944"/>
      <c r="S426" s="944"/>
      <c r="T426" s="944"/>
      <c r="U426" s="944"/>
      <c r="V426" s="944"/>
      <c r="W426" s="944"/>
      <c r="X426" s="944"/>
      <c r="Y426" s="944"/>
      <c r="Z426" s="944"/>
      <c r="AA426" s="944"/>
      <c r="AB426" s="944"/>
      <c r="AC426" s="944"/>
      <c r="AD426" s="944"/>
      <c r="AE426" s="944"/>
      <c r="AF426" s="944"/>
      <c r="AG426" s="944"/>
      <c r="AH426" s="944"/>
      <c r="AI426" s="944"/>
      <c r="AJ426" s="944"/>
      <c r="AK426" s="944"/>
      <c r="AL426" s="944"/>
      <c r="AM426" s="944"/>
      <c r="AN426" s="944"/>
      <c r="AO426" s="944"/>
      <c r="AP426" s="944"/>
      <c r="AQ426" s="944"/>
      <c r="AR426" s="45"/>
    </row>
    <row r="427" spans="1:44" ht="14.25" customHeight="1" x14ac:dyDescent="0.3">
      <c r="A427" s="95"/>
      <c r="B427" s="45"/>
      <c r="C427" s="45"/>
      <c r="D427" s="45"/>
      <c r="E427" s="45"/>
      <c r="F427" s="45"/>
      <c r="G427" s="45"/>
      <c r="H427" s="944"/>
      <c r="I427" s="944"/>
      <c r="J427" s="944"/>
      <c r="K427" s="944"/>
      <c r="L427" s="944"/>
      <c r="M427" s="944"/>
      <c r="N427" s="944"/>
      <c r="O427" s="944"/>
      <c r="P427" s="944"/>
      <c r="Q427" s="944"/>
      <c r="R427" s="944"/>
      <c r="S427" s="944"/>
      <c r="T427" s="944"/>
      <c r="U427" s="944"/>
      <c r="V427" s="944"/>
      <c r="W427" s="944"/>
      <c r="X427" s="944"/>
      <c r="Y427" s="944"/>
      <c r="Z427" s="944"/>
      <c r="AA427" s="944"/>
      <c r="AB427" s="944"/>
      <c r="AC427" s="944"/>
      <c r="AD427" s="944"/>
      <c r="AE427" s="944"/>
      <c r="AF427" s="944"/>
      <c r="AG427" s="944"/>
      <c r="AH427" s="944"/>
      <c r="AI427" s="944"/>
      <c r="AJ427" s="944"/>
      <c r="AK427" s="944"/>
      <c r="AL427" s="944"/>
      <c r="AM427" s="944"/>
      <c r="AN427" s="944"/>
      <c r="AO427" s="944"/>
      <c r="AP427" s="944"/>
      <c r="AQ427" s="944"/>
      <c r="AR427" s="45"/>
    </row>
    <row r="428" spans="1:44" ht="14.25" customHeight="1" x14ac:dyDescent="0.3">
      <c r="A428" s="95"/>
      <c r="B428" s="45"/>
      <c r="C428" s="45"/>
      <c r="D428" s="45"/>
      <c r="E428" s="45"/>
      <c r="F428" s="45"/>
      <c r="G428" s="45"/>
      <c r="H428" s="944"/>
      <c r="I428" s="944"/>
      <c r="J428" s="944"/>
      <c r="K428" s="944"/>
      <c r="L428" s="944"/>
      <c r="M428" s="944"/>
      <c r="N428" s="944"/>
      <c r="O428" s="944"/>
      <c r="P428" s="944"/>
      <c r="Q428" s="944"/>
      <c r="R428" s="944"/>
      <c r="S428" s="944"/>
      <c r="T428" s="944"/>
      <c r="U428" s="944"/>
      <c r="V428" s="944"/>
      <c r="W428" s="944"/>
      <c r="X428" s="944"/>
      <c r="Y428" s="944"/>
      <c r="Z428" s="944"/>
      <c r="AA428" s="944"/>
      <c r="AB428" s="944"/>
      <c r="AC428" s="944"/>
      <c r="AD428" s="944"/>
      <c r="AE428" s="944"/>
      <c r="AF428" s="944"/>
      <c r="AG428" s="944"/>
      <c r="AH428" s="944"/>
      <c r="AI428" s="944"/>
      <c r="AJ428" s="944"/>
      <c r="AK428" s="944"/>
      <c r="AL428" s="944"/>
      <c r="AM428" s="944"/>
      <c r="AN428" s="944"/>
      <c r="AO428" s="944"/>
      <c r="AP428" s="944"/>
      <c r="AQ428" s="944"/>
      <c r="AR428" s="45"/>
    </row>
    <row r="429" spans="1:44" ht="14.25" customHeight="1" x14ac:dyDescent="0.3">
      <c r="A429" s="95"/>
      <c r="B429" s="45"/>
      <c r="C429" s="45"/>
      <c r="D429" s="45"/>
      <c r="E429" s="45"/>
      <c r="F429" s="45"/>
      <c r="G429" s="45"/>
      <c r="H429" s="944"/>
      <c r="I429" s="944"/>
      <c r="J429" s="944"/>
      <c r="K429" s="944"/>
      <c r="L429" s="944"/>
      <c r="M429" s="944"/>
      <c r="N429" s="944"/>
      <c r="O429" s="944"/>
      <c r="P429" s="944"/>
      <c r="Q429" s="944"/>
      <c r="R429" s="944"/>
      <c r="S429" s="944"/>
      <c r="T429" s="944"/>
      <c r="U429" s="944"/>
      <c r="V429" s="944"/>
      <c r="W429" s="944"/>
      <c r="X429" s="944"/>
      <c r="Y429" s="944"/>
      <c r="Z429" s="944"/>
      <c r="AA429" s="944"/>
      <c r="AB429" s="944"/>
      <c r="AC429" s="944"/>
      <c r="AD429" s="944"/>
      <c r="AE429" s="944"/>
      <c r="AF429" s="944"/>
      <c r="AG429" s="944"/>
      <c r="AH429" s="944"/>
      <c r="AI429" s="944"/>
      <c r="AJ429" s="944"/>
      <c r="AK429" s="944"/>
      <c r="AL429" s="944"/>
      <c r="AM429" s="944"/>
      <c r="AN429" s="944"/>
      <c r="AO429" s="944"/>
      <c r="AP429" s="944"/>
      <c r="AQ429" s="944"/>
      <c r="AR429" s="45"/>
    </row>
    <row r="430" spans="1:44" ht="14.25" customHeight="1" x14ac:dyDescent="0.3">
      <c r="A430" s="95"/>
      <c r="B430" s="45"/>
      <c r="C430" s="45"/>
      <c r="D430" s="45"/>
      <c r="E430" s="45"/>
      <c r="F430" s="45"/>
      <c r="G430" s="45"/>
      <c r="H430" s="944"/>
      <c r="I430" s="944"/>
      <c r="J430" s="944"/>
      <c r="K430" s="944"/>
      <c r="L430" s="944"/>
      <c r="M430" s="944"/>
      <c r="N430" s="944"/>
      <c r="O430" s="944"/>
      <c r="P430" s="944"/>
      <c r="Q430" s="944"/>
      <c r="R430" s="944"/>
      <c r="S430" s="944"/>
      <c r="T430" s="944"/>
      <c r="U430" s="944"/>
      <c r="V430" s="944"/>
      <c r="W430" s="944"/>
      <c r="X430" s="944"/>
      <c r="Y430" s="944"/>
      <c r="Z430" s="944"/>
      <c r="AA430" s="944"/>
      <c r="AB430" s="944"/>
      <c r="AC430" s="944"/>
      <c r="AD430" s="944"/>
      <c r="AE430" s="944"/>
      <c r="AF430" s="944"/>
      <c r="AG430" s="944"/>
      <c r="AH430" s="944"/>
      <c r="AI430" s="944"/>
      <c r="AJ430" s="944"/>
      <c r="AK430" s="944"/>
      <c r="AL430" s="944"/>
      <c r="AM430" s="944"/>
      <c r="AN430" s="944"/>
      <c r="AO430" s="944"/>
      <c r="AP430" s="944"/>
      <c r="AQ430" s="944"/>
      <c r="AR430" s="45"/>
    </row>
    <row r="431" spans="1:44" ht="14.25" customHeight="1" x14ac:dyDescent="0.3">
      <c r="A431" s="95"/>
      <c r="B431" s="45"/>
      <c r="C431" s="45"/>
      <c r="D431" s="45"/>
      <c r="E431" s="45"/>
      <c r="F431" s="45"/>
      <c r="G431" s="45"/>
      <c r="H431" s="944"/>
      <c r="I431" s="944"/>
      <c r="J431" s="944"/>
      <c r="K431" s="944"/>
      <c r="L431" s="944"/>
      <c r="M431" s="944"/>
      <c r="N431" s="944"/>
      <c r="O431" s="944"/>
      <c r="P431" s="944"/>
      <c r="Q431" s="944"/>
      <c r="R431" s="944"/>
      <c r="S431" s="944"/>
      <c r="T431" s="944"/>
      <c r="U431" s="944"/>
      <c r="V431" s="944"/>
      <c r="W431" s="944"/>
      <c r="X431" s="944"/>
      <c r="Y431" s="944"/>
      <c r="Z431" s="944"/>
      <c r="AA431" s="944"/>
      <c r="AB431" s="944"/>
      <c r="AC431" s="944"/>
      <c r="AD431" s="944"/>
      <c r="AE431" s="944"/>
      <c r="AF431" s="944"/>
      <c r="AG431" s="944"/>
      <c r="AH431" s="944"/>
      <c r="AI431" s="944"/>
      <c r="AJ431" s="944"/>
      <c r="AK431" s="944"/>
      <c r="AL431" s="944"/>
      <c r="AM431" s="944"/>
      <c r="AN431" s="944"/>
      <c r="AO431" s="944"/>
      <c r="AP431" s="944"/>
      <c r="AQ431" s="944"/>
      <c r="AR431" s="45"/>
    </row>
    <row r="432" spans="1:44" ht="14.25" customHeight="1" x14ac:dyDescent="0.3">
      <c r="A432" s="95"/>
      <c r="B432" s="45"/>
      <c r="C432" s="45"/>
      <c r="D432" s="45"/>
      <c r="E432" s="45"/>
      <c r="F432" s="45"/>
      <c r="G432" s="45"/>
      <c r="H432" s="944"/>
      <c r="I432" s="944"/>
      <c r="J432" s="944"/>
      <c r="K432" s="944"/>
      <c r="L432" s="944"/>
      <c r="M432" s="944"/>
      <c r="N432" s="944"/>
      <c r="O432" s="944"/>
      <c r="P432" s="944"/>
      <c r="Q432" s="944"/>
      <c r="R432" s="944"/>
      <c r="S432" s="944"/>
      <c r="T432" s="944"/>
      <c r="U432" s="944"/>
      <c r="V432" s="944"/>
      <c r="W432" s="944"/>
      <c r="X432" s="944"/>
      <c r="Y432" s="944"/>
      <c r="Z432" s="944"/>
      <c r="AA432" s="944"/>
      <c r="AB432" s="944"/>
      <c r="AC432" s="944"/>
      <c r="AD432" s="944"/>
      <c r="AE432" s="944"/>
      <c r="AF432" s="944"/>
      <c r="AG432" s="944"/>
      <c r="AH432" s="944"/>
      <c r="AI432" s="944"/>
      <c r="AJ432" s="944"/>
      <c r="AK432" s="944"/>
      <c r="AL432" s="944"/>
      <c r="AM432" s="944"/>
      <c r="AN432" s="944"/>
      <c r="AO432" s="944"/>
      <c r="AP432" s="944"/>
      <c r="AQ432" s="944"/>
      <c r="AR432" s="45"/>
    </row>
    <row r="433" spans="1:44" ht="14.25" customHeight="1" x14ac:dyDescent="0.3">
      <c r="A433" s="95"/>
      <c r="B433" s="45"/>
      <c r="C433" s="45"/>
      <c r="D433" s="45"/>
      <c r="E433" s="45"/>
      <c r="F433" s="45"/>
      <c r="G433" s="45"/>
      <c r="H433" s="944"/>
      <c r="I433" s="944"/>
      <c r="J433" s="944"/>
      <c r="K433" s="944"/>
      <c r="L433" s="944"/>
      <c r="M433" s="944"/>
      <c r="N433" s="944"/>
      <c r="O433" s="944"/>
      <c r="P433" s="944"/>
      <c r="Q433" s="944"/>
      <c r="R433" s="944"/>
      <c r="S433" s="944"/>
      <c r="T433" s="944"/>
      <c r="U433" s="944"/>
      <c r="V433" s="944"/>
      <c r="W433" s="944"/>
      <c r="X433" s="944"/>
      <c r="Y433" s="944"/>
      <c r="Z433" s="944"/>
      <c r="AA433" s="944"/>
      <c r="AB433" s="944"/>
      <c r="AC433" s="944"/>
      <c r="AD433" s="944"/>
      <c r="AE433" s="944"/>
      <c r="AF433" s="944"/>
      <c r="AG433" s="944"/>
      <c r="AH433" s="944"/>
      <c r="AI433" s="944"/>
      <c r="AJ433" s="944"/>
      <c r="AK433" s="944"/>
      <c r="AL433" s="944"/>
      <c r="AM433" s="944"/>
      <c r="AN433" s="944"/>
      <c r="AO433" s="944"/>
      <c r="AP433" s="944"/>
      <c r="AQ433" s="944"/>
      <c r="AR433" s="45"/>
    </row>
    <row r="434" spans="1:44" ht="14.25" customHeight="1" x14ac:dyDescent="0.3">
      <c r="A434" s="95"/>
      <c r="B434" s="45"/>
      <c r="C434" s="45"/>
      <c r="D434" s="45"/>
      <c r="E434" s="45"/>
      <c r="F434" s="45"/>
      <c r="G434" s="45"/>
      <c r="H434" s="944"/>
      <c r="I434" s="944"/>
      <c r="J434" s="944"/>
      <c r="K434" s="944"/>
      <c r="L434" s="944"/>
      <c r="M434" s="944"/>
      <c r="N434" s="944"/>
      <c r="O434" s="944"/>
      <c r="P434" s="944"/>
      <c r="Q434" s="944"/>
      <c r="R434" s="944"/>
      <c r="S434" s="944"/>
      <c r="T434" s="944"/>
      <c r="U434" s="944"/>
      <c r="V434" s="944"/>
      <c r="W434" s="944"/>
      <c r="X434" s="944"/>
      <c r="Y434" s="944"/>
      <c r="Z434" s="944"/>
      <c r="AA434" s="944"/>
      <c r="AB434" s="944"/>
      <c r="AC434" s="944"/>
      <c r="AD434" s="944"/>
      <c r="AE434" s="944"/>
      <c r="AF434" s="944"/>
      <c r="AG434" s="944"/>
      <c r="AH434" s="944"/>
      <c r="AI434" s="944"/>
      <c r="AJ434" s="944"/>
      <c r="AK434" s="944"/>
      <c r="AL434" s="944"/>
      <c r="AM434" s="944"/>
      <c r="AN434" s="944"/>
      <c r="AO434" s="944"/>
      <c r="AP434" s="944"/>
      <c r="AQ434" s="944"/>
      <c r="AR434" s="45"/>
    </row>
    <row r="435" spans="1:44" ht="14.25" customHeight="1" x14ac:dyDescent="0.3">
      <c r="A435" s="95"/>
      <c r="B435" s="45"/>
      <c r="C435" s="45"/>
      <c r="D435" s="45"/>
      <c r="E435" s="45"/>
      <c r="F435" s="45"/>
      <c r="G435" s="45"/>
      <c r="H435" s="944"/>
      <c r="I435" s="944"/>
      <c r="J435" s="944"/>
      <c r="K435" s="944"/>
      <c r="L435" s="944"/>
      <c r="M435" s="944"/>
      <c r="N435" s="944"/>
      <c r="O435" s="944"/>
      <c r="P435" s="944"/>
      <c r="Q435" s="944"/>
      <c r="R435" s="944"/>
      <c r="S435" s="944"/>
      <c r="T435" s="944"/>
      <c r="U435" s="944"/>
      <c r="V435" s="944"/>
      <c r="W435" s="944"/>
      <c r="X435" s="944"/>
      <c r="Y435" s="944"/>
      <c r="Z435" s="944"/>
      <c r="AA435" s="944"/>
      <c r="AB435" s="944"/>
      <c r="AC435" s="944"/>
      <c r="AD435" s="944"/>
      <c r="AE435" s="944"/>
      <c r="AF435" s="944"/>
      <c r="AG435" s="944"/>
      <c r="AH435" s="944"/>
      <c r="AI435" s="944"/>
      <c r="AJ435" s="944"/>
      <c r="AK435" s="944"/>
      <c r="AL435" s="944"/>
      <c r="AM435" s="944"/>
      <c r="AN435" s="944"/>
      <c r="AO435" s="944"/>
      <c r="AP435" s="944"/>
      <c r="AQ435" s="944"/>
      <c r="AR435" s="45"/>
    </row>
    <row r="436" spans="1:44" ht="14.25" customHeight="1" x14ac:dyDescent="0.3">
      <c r="A436" s="95"/>
      <c r="B436" s="45"/>
      <c r="C436" s="45"/>
      <c r="D436" s="45"/>
      <c r="E436" s="45"/>
      <c r="F436" s="45"/>
      <c r="G436" s="45"/>
      <c r="H436" s="944"/>
      <c r="I436" s="944"/>
      <c r="J436" s="944"/>
      <c r="K436" s="944"/>
      <c r="L436" s="944"/>
      <c r="M436" s="944"/>
      <c r="N436" s="944"/>
      <c r="O436" s="944"/>
      <c r="P436" s="944"/>
      <c r="Q436" s="944"/>
      <c r="R436" s="944"/>
      <c r="S436" s="944"/>
      <c r="T436" s="944"/>
      <c r="U436" s="944"/>
      <c r="V436" s="944"/>
      <c r="W436" s="944"/>
      <c r="X436" s="944"/>
      <c r="Y436" s="944"/>
      <c r="Z436" s="944"/>
      <c r="AA436" s="944"/>
      <c r="AB436" s="944"/>
      <c r="AC436" s="944"/>
      <c r="AD436" s="944"/>
      <c r="AE436" s="944"/>
      <c r="AF436" s="944"/>
      <c r="AG436" s="944"/>
      <c r="AH436" s="944"/>
      <c r="AI436" s="944"/>
      <c r="AJ436" s="944"/>
      <c r="AK436" s="944"/>
      <c r="AL436" s="944"/>
      <c r="AM436" s="944"/>
      <c r="AN436" s="944"/>
      <c r="AO436" s="944"/>
      <c r="AP436" s="944"/>
      <c r="AQ436" s="944"/>
      <c r="AR436" s="45"/>
    </row>
    <row r="437" spans="1:44" ht="14.25" customHeight="1" x14ac:dyDescent="0.3">
      <c r="A437" s="95"/>
      <c r="B437" s="45"/>
      <c r="C437" s="45"/>
      <c r="D437" s="45"/>
      <c r="E437" s="45"/>
      <c r="F437" s="45"/>
      <c r="G437" s="45"/>
      <c r="H437" s="944"/>
      <c r="I437" s="944"/>
      <c r="J437" s="944"/>
      <c r="K437" s="944"/>
      <c r="L437" s="944"/>
      <c r="M437" s="944"/>
      <c r="N437" s="944"/>
      <c r="O437" s="944"/>
      <c r="P437" s="944"/>
      <c r="Q437" s="944"/>
      <c r="R437" s="944"/>
      <c r="S437" s="944"/>
      <c r="T437" s="944"/>
      <c r="U437" s="944"/>
      <c r="V437" s="944"/>
      <c r="W437" s="944"/>
      <c r="X437" s="944"/>
      <c r="Y437" s="944"/>
      <c r="Z437" s="944"/>
      <c r="AA437" s="944"/>
      <c r="AB437" s="944"/>
      <c r="AC437" s="944"/>
      <c r="AD437" s="944"/>
      <c r="AE437" s="944"/>
      <c r="AF437" s="944"/>
      <c r="AG437" s="944"/>
      <c r="AH437" s="944"/>
      <c r="AI437" s="944"/>
      <c r="AJ437" s="944"/>
      <c r="AK437" s="944"/>
      <c r="AL437" s="944"/>
      <c r="AM437" s="944"/>
      <c r="AN437" s="944"/>
      <c r="AO437" s="944"/>
      <c r="AP437" s="944"/>
      <c r="AQ437" s="944"/>
      <c r="AR437" s="45"/>
    </row>
    <row r="438" spans="1:44" ht="14.25" customHeight="1" x14ac:dyDescent="0.3">
      <c r="A438" s="95"/>
      <c r="B438" s="45"/>
      <c r="C438" s="45"/>
      <c r="D438" s="45"/>
      <c r="E438" s="45"/>
      <c r="F438" s="45"/>
      <c r="G438" s="45"/>
      <c r="H438" s="944"/>
      <c r="I438" s="944"/>
      <c r="J438" s="944"/>
      <c r="K438" s="944"/>
      <c r="L438" s="944"/>
      <c r="M438" s="944"/>
      <c r="N438" s="944"/>
      <c r="O438" s="944"/>
      <c r="P438" s="944"/>
      <c r="Q438" s="944"/>
      <c r="R438" s="944"/>
      <c r="S438" s="944"/>
      <c r="T438" s="944"/>
      <c r="U438" s="944"/>
      <c r="V438" s="944"/>
      <c r="W438" s="944"/>
      <c r="X438" s="944"/>
      <c r="Y438" s="944"/>
      <c r="Z438" s="944"/>
      <c r="AA438" s="944"/>
      <c r="AB438" s="944"/>
      <c r="AC438" s="944"/>
      <c r="AD438" s="944"/>
      <c r="AE438" s="944"/>
      <c r="AF438" s="944"/>
      <c r="AG438" s="944"/>
      <c r="AH438" s="944"/>
      <c r="AI438" s="944"/>
      <c r="AJ438" s="944"/>
      <c r="AK438" s="944"/>
      <c r="AL438" s="944"/>
      <c r="AM438" s="944"/>
      <c r="AN438" s="944"/>
      <c r="AO438" s="944"/>
      <c r="AP438" s="944"/>
      <c r="AQ438" s="944"/>
      <c r="AR438" s="45"/>
    </row>
    <row r="439" spans="1:44" ht="14.25" customHeight="1" x14ac:dyDescent="0.3">
      <c r="A439" s="95"/>
      <c r="B439" s="45"/>
      <c r="C439" s="45"/>
      <c r="D439" s="45"/>
      <c r="E439" s="45"/>
      <c r="F439" s="45"/>
      <c r="G439" s="45"/>
      <c r="H439" s="944"/>
      <c r="I439" s="944"/>
      <c r="J439" s="944"/>
      <c r="K439" s="944"/>
      <c r="L439" s="944"/>
      <c r="M439" s="944"/>
      <c r="N439" s="944"/>
      <c r="O439" s="944"/>
      <c r="P439" s="944"/>
      <c r="Q439" s="944"/>
      <c r="R439" s="944"/>
      <c r="S439" s="944"/>
      <c r="T439" s="944"/>
      <c r="U439" s="944"/>
      <c r="V439" s="944"/>
      <c r="W439" s="944"/>
      <c r="X439" s="944"/>
      <c r="Y439" s="944"/>
      <c r="Z439" s="944"/>
      <c r="AA439" s="944"/>
      <c r="AB439" s="944"/>
      <c r="AC439" s="944"/>
      <c r="AD439" s="944"/>
      <c r="AE439" s="944"/>
      <c r="AF439" s="944"/>
      <c r="AG439" s="944"/>
      <c r="AH439" s="944"/>
      <c r="AI439" s="944"/>
      <c r="AJ439" s="944"/>
      <c r="AK439" s="944"/>
      <c r="AL439" s="944"/>
      <c r="AM439" s="944"/>
      <c r="AN439" s="944"/>
      <c r="AO439" s="944"/>
      <c r="AP439" s="944"/>
      <c r="AQ439" s="944"/>
      <c r="AR439" s="45"/>
    </row>
    <row r="440" spans="1:44" ht="14.25" customHeight="1" x14ac:dyDescent="0.3">
      <c r="A440" s="95"/>
      <c r="B440" s="45"/>
      <c r="C440" s="45"/>
      <c r="D440" s="45"/>
      <c r="E440" s="45"/>
      <c r="F440" s="45"/>
      <c r="G440" s="45"/>
      <c r="H440" s="944"/>
      <c r="I440" s="944"/>
      <c r="J440" s="944"/>
      <c r="K440" s="944"/>
      <c r="L440" s="944"/>
      <c r="M440" s="944"/>
      <c r="N440" s="944"/>
      <c r="O440" s="944"/>
      <c r="P440" s="944"/>
      <c r="Q440" s="944"/>
      <c r="R440" s="944"/>
      <c r="S440" s="944"/>
      <c r="T440" s="944"/>
      <c r="U440" s="944"/>
      <c r="V440" s="944"/>
      <c r="W440" s="944"/>
      <c r="X440" s="944"/>
      <c r="Y440" s="944"/>
      <c r="Z440" s="944"/>
      <c r="AA440" s="944"/>
      <c r="AB440" s="944"/>
      <c r="AC440" s="944"/>
      <c r="AD440" s="944"/>
      <c r="AE440" s="944"/>
      <c r="AF440" s="944"/>
      <c r="AG440" s="944"/>
      <c r="AH440" s="944"/>
      <c r="AI440" s="944"/>
      <c r="AJ440" s="944"/>
      <c r="AK440" s="944"/>
      <c r="AL440" s="944"/>
      <c r="AM440" s="944"/>
      <c r="AN440" s="944"/>
      <c r="AO440" s="944"/>
      <c r="AP440" s="944"/>
      <c r="AQ440" s="944"/>
      <c r="AR440" s="45"/>
    </row>
    <row r="441" spans="1:44" ht="14.25" customHeight="1" x14ac:dyDescent="0.3">
      <c r="A441" s="95"/>
      <c r="B441" s="45"/>
      <c r="C441" s="45"/>
      <c r="D441" s="45"/>
      <c r="E441" s="45"/>
      <c r="F441" s="45"/>
      <c r="G441" s="45"/>
      <c r="H441" s="944"/>
      <c r="I441" s="944"/>
      <c r="J441" s="944"/>
      <c r="K441" s="944"/>
      <c r="L441" s="944"/>
      <c r="M441" s="944"/>
      <c r="N441" s="944"/>
      <c r="O441" s="944"/>
      <c r="P441" s="944"/>
      <c r="Q441" s="944"/>
      <c r="R441" s="944"/>
      <c r="S441" s="944"/>
      <c r="T441" s="944"/>
      <c r="U441" s="944"/>
      <c r="V441" s="944"/>
      <c r="W441" s="944"/>
      <c r="X441" s="944"/>
      <c r="Y441" s="944"/>
      <c r="Z441" s="944"/>
      <c r="AA441" s="944"/>
      <c r="AB441" s="944"/>
      <c r="AC441" s="944"/>
      <c r="AD441" s="944"/>
      <c r="AE441" s="944"/>
      <c r="AF441" s="944"/>
      <c r="AG441" s="944"/>
      <c r="AH441" s="944"/>
      <c r="AI441" s="944"/>
      <c r="AJ441" s="944"/>
      <c r="AK441" s="944"/>
      <c r="AL441" s="944"/>
      <c r="AM441" s="944"/>
      <c r="AN441" s="944"/>
      <c r="AO441" s="944"/>
      <c r="AP441" s="944"/>
      <c r="AQ441" s="944"/>
      <c r="AR441" s="45"/>
    </row>
    <row r="442" spans="1:44" ht="14.25" customHeight="1" x14ac:dyDescent="0.3">
      <c r="A442" s="95"/>
      <c r="B442" s="45"/>
      <c r="C442" s="45"/>
      <c r="D442" s="45"/>
      <c r="E442" s="45"/>
      <c r="F442" s="45"/>
      <c r="G442" s="45"/>
      <c r="H442" s="944"/>
      <c r="I442" s="944"/>
      <c r="J442" s="944"/>
      <c r="K442" s="944"/>
      <c r="L442" s="944"/>
      <c r="M442" s="944"/>
      <c r="N442" s="944"/>
      <c r="O442" s="944"/>
      <c r="P442" s="944"/>
      <c r="Q442" s="944"/>
      <c r="R442" s="944"/>
      <c r="S442" s="944"/>
      <c r="T442" s="944"/>
      <c r="U442" s="944"/>
      <c r="V442" s="944"/>
      <c r="W442" s="944"/>
      <c r="X442" s="944"/>
      <c r="Y442" s="944"/>
      <c r="Z442" s="944"/>
      <c r="AA442" s="944"/>
      <c r="AB442" s="944"/>
      <c r="AC442" s="944"/>
      <c r="AD442" s="944"/>
      <c r="AE442" s="944"/>
      <c r="AF442" s="944"/>
      <c r="AG442" s="944"/>
      <c r="AH442" s="944"/>
      <c r="AI442" s="944"/>
      <c r="AJ442" s="944"/>
      <c r="AK442" s="944"/>
      <c r="AL442" s="944"/>
      <c r="AM442" s="944"/>
      <c r="AN442" s="944"/>
      <c r="AO442" s="944"/>
      <c r="AP442" s="944"/>
      <c r="AQ442" s="944"/>
      <c r="AR442" s="45"/>
    </row>
    <row r="443" spans="1:44" ht="14.25" customHeight="1" x14ac:dyDescent="0.3">
      <c r="A443" s="95"/>
      <c r="B443" s="45"/>
      <c r="C443" s="45"/>
      <c r="D443" s="45"/>
      <c r="E443" s="45"/>
      <c r="F443" s="45"/>
      <c r="G443" s="45"/>
      <c r="H443" s="944"/>
      <c r="I443" s="944"/>
      <c r="J443" s="944"/>
      <c r="K443" s="944"/>
      <c r="L443" s="944"/>
      <c r="M443" s="944"/>
      <c r="N443" s="944"/>
      <c r="O443" s="944"/>
      <c r="P443" s="944"/>
      <c r="Q443" s="944"/>
      <c r="R443" s="944"/>
      <c r="S443" s="944"/>
      <c r="T443" s="944"/>
      <c r="U443" s="944"/>
      <c r="V443" s="944"/>
      <c r="W443" s="944"/>
      <c r="X443" s="944"/>
      <c r="Y443" s="944"/>
      <c r="Z443" s="944"/>
      <c r="AA443" s="944"/>
      <c r="AB443" s="944"/>
      <c r="AC443" s="944"/>
      <c r="AD443" s="944"/>
      <c r="AE443" s="944"/>
      <c r="AF443" s="944"/>
      <c r="AG443" s="944"/>
      <c r="AH443" s="944"/>
      <c r="AI443" s="944"/>
      <c r="AJ443" s="944"/>
      <c r="AK443" s="944"/>
      <c r="AL443" s="944"/>
      <c r="AM443" s="944"/>
      <c r="AN443" s="944"/>
      <c r="AO443" s="944"/>
      <c r="AP443" s="944"/>
      <c r="AQ443" s="944"/>
      <c r="AR443" s="45"/>
    </row>
    <row r="444" spans="1:44" ht="14.25" customHeight="1" x14ac:dyDescent="0.3">
      <c r="A444" s="95"/>
      <c r="B444" s="45"/>
      <c r="C444" s="45"/>
      <c r="D444" s="45"/>
      <c r="E444" s="45"/>
      <c r="F444" s="45"/>
      <c r="G444" s="45"/>
      <c r="H444" s="944"/>
      <c r="I444" s="944"/>
      <c r="J444" s="944"/>
      <c r="K444" s="944"/>
      <c r="L444" s="944"/>
      <c r="M444" s="944"/>
      <c r="N444" s="944"/>
      <c r="O444" s="944"/>
      <c r="P444" s="944"/>
      <c r="Q444" s="944"/>
      <c r="R444" s="944"/>
      <c r="S444" s="944"/>
      <c r="T444" s="944"/>
      <c r="U444" s="944"/>
      <c r="V444" s="944"/>
      <c r="W444" s="944"/>
      <c r="X444" s="944"/>
      <c r="Y444" s="944"/>
      <c r="Z444" s="944"/>
      <c r="AA444" s="944"/>
      <c r="AB444" s="944"/>
      <c r="AC444" s="944"/>
      <c r="AD444" s="944"/>
      <c r="AE444" s="944"/>
      <c r="AF444" s="944"/>
      <c r="AG444" s="944"/>
      <c r="AH444" s="944"/>
      <c r="AI444" s="944"/>
      <c r="AJ444" s="944"/>
      <c r="AK444" s="944"/>
      <c r="AL444" s="944"/>
      <c r="AM444" s="944"/>
      <c r="AN444" s="944"/>
      <c r="AO444" s="944"/>
      <c r="AP444" s="944"/>
      <c r="AQ444" s="944"/>
      <c r="AR444" s="45"/>
    </row>
    <row r="445" spans="1:44" ht="14.25" customHeight="1" x14ac:dyDescent="0.3">
      <c r="A445" s="95"/>
      <c r="B445" s="45"/>
      <c r="C445" s="45"/>
      <c r="D445" s="45"/>
      <c r="E445" s="45"/>
      <c r="F445" s="45"/>
      <c r="G445" s="45"/>
      <c r="H445" s="944"/>
      <c r="I445" s="944"/>
      <c r="J445" s="944"/>
      <c r="K445" s="944"/>
      <c r="L445" s="944"/>
      <c r="M445" s="944"/>
      <c r="N445" s="944"/>
      <c r="O445" s="944"/>
      <c r="P445" s="944"/>
      <c r="Q445" s="944"/>
      <c r="R445" s="944"/>
      <c r="S445" s="944"/>
      <c r="T445" s="944"/>
      <c r="U445" s="944"/>
      <c r="V445" s="944"/>
      <c r="W445" s="944"/>
      <c r="X445" s="944"/>
      <c r="Y445" s="944"/>
      <c r="Z445" s="944"/>
      <c r="AA445" s="944"/>
      <c r="AB445" s="944"/>
      <c r="AC445" s="944"/>
      <c r="AD445" s="944"/>
      <c r="AE445" s="944"/>
      <c r="AF445" s="944"/>
      <c r="AG445" s="944"/>
      <c r="AH445" s="944"/>
      <c r="AI445" s="944"/>
      <c r="AJ445" s="944"/>
      <c r="AK445" s="944"/>
      <c r="AL445" s="944"/>
      <c r="AM445" s="944"/>
      <c r="AN445" s="944"/>
      <c r="AO445" s="944"/>
      <c r="AP445" s="944"/>
      <c r="AQ445" s="944"/>
      <c r="AR445" s="45"/>
    </row>
    <row r="446" spans="1:44" ht="14.25" customHeight="1" x14ac:dyDescent="0.3">
      <c r="A446" s="95"/>
      <c r="B446" s="45"/>
      <c r="C446" s="45"/>
      <c r="D446" s="45"/>
      <c r="E446" s="45"/>
      <c r="F446" s="45"/>
      <c r="G446" s="45"/>
      <c r="H446" s="944"/>
      <c r="I446" s="944"/>
      <c r="J446" s="944"/>
      <c r="K446" s="944"/>
      <c r="L446" s="944"/>
      <c r="M446" s="944"/>
      <c r="N446" s="944"/>
      <c r="O446" s="944"/>
      <c r="P446" s="944"/>
      <c r="Q446" s="944"/>
      <c r="R446" s="944"/>
      <c r="S446" s="944"/>
      <c r="T446" s="944"/>
      <c r="U446" s="944"/>
      <c r="V446" s="944"/>
      <c r="W446" s="944"/>
      <c r="X446" s="944"/>
      <c r="Y446" s="944"/>
      <c r="Z446" s="944"/>
      <c r="AA446" s="944"/>
      <c r="AB446" s="944"/>
      <c r="AC446" s="944"/>
      <c r="AD446" s="944"/>
      <c r="AE446" s="944"/>
      <c r="AF446" s="944"/>
      <c r="AG446" s="944"/>
      <c r="AH446" s="944"/>
      <c r="AI446" s="944"/>
      <c r="AJ446" s="944"/>
      <c r="AK446" s="944"/>
      <c r="AL446" s="944"/>
      <c r="AM446" s="944"/>
      <c r="AN446" s="944"/>
      <c r="AO446" s="944"/>
      <c r="AP446" s="944"/>
      <c r="AQ446" s="944"/>
      <c r="AR446" s="45"/>
    </row>
    <row r="447" spans="1:44" ht="14.25" customHeight="1" x14ac:dyDescent="0.3">
      <c r="A447" s="95"/>
      <c r="B447" s="45"/>
      <c r="C447" s="45"/>
      <c r="D447" s="45"/>
      <c r="E447" s="45"/>
      <c r="F447" s="45"/>
      <c r="G447" s="45"/>
      <c r="H447" s="944"/>
      <c r="I447" s="944"/>
      <c r="J447" s="944"/>
      <c r="K447" s="944"/>
      <c r="L447" s="944"/>
      <c r="M447" s="944"/>
      <c r="N447" s="944"/>
      <c r="O447" s="944"/>
      <c r="P447" s="944"/>
      <c r="Q447" s="944"/>
      <c r="R447" s="944"/>
      <c r="S447" s="944"/>
      <c r="T447" s="944"/>
      <c r="U447" s="944"/>
      <c r="V447" s="944"/>
      <c r="W447" s="944"/>
      <c r="X447" s="944"/>
      <c r="Y447" s="944"/>
      <c r="Z447" s="944"/>
      <c r="AA447" s="944"/>
      <c r="AB447" s="944"/>
      <c r="AC447" s="944"/>
      <c r="AD447" s="944"/>
      <c r="AE447" s="944"/>
      <c r="AF447" s="944"/>
      <c r="AG447" s="944"/>
      <c r="AH447" s="944"/>
      <c r="AI447" s="944"/>
      <c r="AJ447" s="944"/>
      <c r="AK447" s="944"/>
      <c r="AL447" s="944"/>
      <c r="AM447" s="944"/>
      <c r="AN447" s="944"/>
      <c r="AO447" s="944"/>
      <c r="AP447" s="944"/>
      <c r="AQ447" s="944"/>
      <c r="AR447" s="45"/>
    </row>
    <row r="448" spans="1:44" ht="14.25" customHeight="1" x14ac:dyDescent="0.3">
      <c r="A448" s="95"/>
      <c r="B448" s="45"/>
      <c r="C448" s="45"/>
      <c r="D448" s="45"/>
      <c r="E448" s="45"/>
      <c r="F448" s="45"/>
      <c r="G448" s="45"/>
      <c r="H448" s="944"/>
      <c r="I448" s="944"/>
      <c r="J448" s="944"/>
      <c r="K448" s="944"/>
      <c r="L448" s="944"/>
      <c r="M448" s="944"/>
      <c r="N448" s="944"/>
      <c r="O448" s="944"/>
      <c r="P448" s="944"/>
      <c r="Q448" s="944"/>
      <c r="R448" s="944"/>
      <c r="S448" s="944"/>
      <c r="T448" s="944"/>
      <c r="U448" s="944"/>
      <c r="V448" s="944"/>
      <c r="W448" s="944"/>
      <c r="X448" s="944"/>
      <c r="Y448" s="944"/>
      <c r="Z448" s="944"/>
      <c r="AA448" s="944"/>
      <c r="AB448" s="944"/>
      <c r="AC448" s="944"/>
      <c r="AD448" s="944"/>
      <c r="AE448" s="944"/>
      <c r="AF448" s="944"/>
      <c r="AG448" s="944"/>
      <c r="AH448" s="944"/>
      <c r="AI448" s="944"/>
      <c r="AJ448" s="944"/>
      <c r="AK448" s="944"/>
      <c r="AL448" s="944"/>
      <c r="AM448" s="944"/>
      <c r="AN448" s="944"/>
      <c r="AO448" s="944"/>
      <c r="AP448" s="944"/>
      <c r="AQ448" s="944"/>
      <c r="AR448" s="45"/>
    </row>
    <row r="449" spans="1:44" ht="14.25" customHeight="1" x14ac:dyDescent="0.3">
      <c r="A449" s="95"/>
      <c r="B449" s="45"/>
      <c r="C449" s="45"/>
      <c r="D449" s="45"/>
      <c r="E449" s="45"/>
      <c r="F449" s="45"/>
      <c r="G449" s="45"/>
      <c r="H449" s="944"/>
      <c r="I449" s="944"/>
      <c r="J449" s="944"/>
      <c r="K449" s="944"/>
      <c r="L449" s="944"/>
      <c r="M449" s="944"/>
      <c r="N449" s="944"/>
      <c r="O449" s="944"/>
      <c r="P449" s="944"/>
      <c r="Q449" s="944"/>
      <c r="R449" s="944"/>
      <c r="S449" s="944"/>
      <c r="T449" s="944"/>
      <c r="U449" s="944"/>
      <c r="V449" s="944"/>
      <c r="W449" s="944"/>
      <c r="X449" s="944"/>
      <c r="Y449" s="944"/>
      <c r="Z449" s="944"/>
      <c r="AA449" s="944"/>
      <c r="AB449" s="944"/>
      <c r="AC449" s="944"/>
      <c r="AD449" s="944"/>
      <c r="AE449" s="944"/>
      <c r="AF449" s="944"/>
      <c r="AG449" s="944"/>
      <c r="AH449" s="944"/>
      <c r="AI449" s="944"/>
      <c r="AJ449" s="944"/>
      <c r="AK449" s="944"/>
      <c r="AL449" s="944"/>
      <c r="AM449" s="944"/>
      <c r="AN449" s="944"/>
      <c r="AO449" s="944"/>
      <c r="AP449" s="944"/>
      <c r="AQ449" s="944"/>
      <c r="AR449" s="45"/>
    </row>
    <row r="450" spans="1:44" ht="14.25" customHeight="1" x14ac:dyDescent="0.3">
      <c r="A450" s="95"/>
      <c r="B450" s="45"/>
      <c r="C450" s="45"/>
      <c r="D450" s="45"/>
      <c r="E450" s="45"/>
      <c r="F450" s="45"/>
      <c r="G450" s="45"/>
      <c r="H450" s="944"/>
      <c r="I450" s="944"/>
      <c r="J450" s="944"/>
      <c r="K450" s="944"/>
      <c r="L450" s="944"/>
      <c r="M450" s="944"/>
      <c r="N450" s="944"/>
      <c r="O450" s="944"/>
      <c r="P450" s="944"/>
      <c r="Q450" s="944"/>
      <c r="R450" s="944"/>
      <c r="S450" s="944"/>
      <c r="T450" s="944"/>
      <c r="U450" s="944"/>
      <c r="V450" s="944"/>
      <c r="W450" s="944"/>
      <c r="X450" s="944"/>
      <c r="Y450" s="944"/>
      <c r="Z450" s="944"/>
      <c r="AA450" s="944"/>
      <c r="AB450" s="944"/>
      <c r="AC450" s="944"/>
      <c r="AD450" s="944"/>
      <c r="AE450" s="944"/>
      <c r="AF450" s="944"/>
      <c r="AG450" s="944"/>
      <c r="AH450" s="944"/>
      <c r="AI450" s="944"/>
      <c r="AJ450" s="944"/>
      <c r="AK450" s="944"/>
      <c r="AL450" s="944"/>
      <c r="AM450" s="944"/>
      <c r="AN450" s="944"/>
      <c r="AO450" s="944"/>
      <c r="AP450" s="944"/>
      <c r="AQ450" s="944"/>
      <c r="AR450" s="45"/>
    </row>
    <row r="451" spans="1:44" ht="14.25" customHeight="1" x14ac:dyDescent="0.3">
      <c r="A451" s="95"/>
      <c r="B451" s="45"/>
      <c r="C451" s="45"/>
      <c r="D451" s="45"/>
      <c r="E451" s="45"/>
      <c r="F451" s="45"/>
      <c r="G451" s="45"/>
      <c r="H451" s="944"/>
      <c r="I451" s="944"/>
      <c r="J451" s="944"/>
      <c r="K451" s="944"/>
      <c r="L451" s="944"/>
      <c r="M451" s="944"/>
      <c r="N451" s="944"/>
      <c r="O451" s="944"/>
      <c r="P451" s="944"/>
      <c r="Q451" s="944"/>
      <c r="R451" s="944"/>
      <c r="S451" s="944"/>
      <c r="T451" s="944"/>
      <c r="U451" s="944"/>
      <c r="V451" s="944"/>
      <c r="W451" s="944"/>
      <c r="X451" s="944"/>
      <c r="Y451" s="944"/>
      <c r="Z451" s="944"/>
      <c r="AA451" s="944"/>
      <c r="AB451" s="944"/>
      <c r="AC451" s="944"/>
      <c r="AD451" s="944"/>
      <c r="AE451" s="944"/>
      <c r="AF451" s="944"/>
      <c r="AG451" s="944"/>
      <c r="AH451" s="944"/>
      <c r="AI451" s="944"/>
      <c r="AJ451" s="944"/>
      <c r="AK451" s="944"/>
      <c r="AL451" s="944"/>
      <c r="AM451" s="944"/>
      <c r="AN451" s="944"/>
      <c r="AO451" s="944"/>
      <c r="AP451" s="944"/>
      <c r="AQ451" s="944"/>
      <c r="AR451" s="45"/>
    </row>
    <row r="452" spans="1:44" ht="14.25" customHeight="1" x14ac:dyDescent="0.3">
      <c r="A452" s="95"/>
      <c r="B452" s="45"/>
      <c r="C452" s="45"/>
      <c r="D452" s="45"/>
      <c r="E452" s="45"/>
      <c r="F452" s="45"/>
      <c r="G452" s="45"/>
      <c r="H452" s="944"/>
      <c r="I452" s="944"/>
      <c r="J452" s="944"/>
      <c r="K452" s="944"/>
      <c r="L452" s="944"/>
      <c r="M452" s="944"/>
      <c r="N452" s="944"/>
      <c r="O452" s="944"/>
      <c r="P452" s="944"/>
      <c r="Q452" s="944"/>
      <c r="R452" s="944"/>
      <c r="S452" s="944"/>
      <c r="T452" s="944"/>
      <c r="U452" s="944"/>
      <c r="V452" s="944"/>
      <c r="W452" s="944"/>
      <c r="X452" s="944"/>
      <c r="Y452" s="944"/>
      <c r="Z452" s="944"/>
      <c r="AA452" s="944"/>
      <c r="AB452" s="944"/>
      <c r="AC452" s="944"/>
      <c r="AD452" s="944"/>
      <c r="AE452" s="944"/>
      <c r="AF452" s="944"/>
      <c r="AG452" s="944"/>
      <c r="AH452" s="944"/>
      <c r="AI452" s="944"/>
      <c r="AJ452" s="944"/>
      <c r="AK452" s="944"/>
      <c r="AL452" s="944"/>
      <c r="AM452" s="944"/>
      <c r="AN452" s="944"/>
      <c r="AO452" s="944"/>
      <c r="AP452" s="944"/>
      <c r="AQ452" s="944"/>
      <c r="AR452" s="45"/>
    </row>
    <row r="453" spans="1:44" ht="14.25" customHeight="1" x14ac:dyDescent="0.3">
      <c r="A453" s="95"/>
      <c r="B453" s="45"/>
      <c r="C453" s="45"/>
      <c r="D453" s="45"/>
      <c r="E453" s="45"/>
      <c r="F453" s="45"/>
      <c r="G453" s="45"/>
      <c r="H453" s="944"/>
      <c r="I453" s="944"/>
      <c r="J453" s="944"/>
      <c r="K453" s="944"/>
      <c r="L453" s="944"/>
      <c r="M453" s="944"/>
      <c r="N453" s="944"/>
      <c r="O453" s="944"/>
      <c r="P453" s="944"/>
      <c r="Q453" s="944"/>
      <c r="R453" s="944"/>
      <c r="S453" s="944"/>
      <c r="T453" s="944"/>
      <c r="U453" s="944"/>
      <c r="V453" s="944"/>
      <c r="W453" s="944"/>
      <c r="X453" s="944"/>
      <c r="Y453" s="944"/>
      <c r="Z453" s="944"/>
      <c r="AA453" s="944"/>
      <c r="AB453" s="944"/>
      <c r="AC453" s="944"/>
      <c r="AD453" s="944"/>
      <c r="AE453" s="944"/>
      <c r="AF453" s="944"/>
      <c r="AG453" s="944"/>
      <c r="AH453" s="944"/>
      <c r="AI453" s="944"/>
      <c r="AJ453" s="944"/>
      <c r="AK453" s="944"/>
      <c r="AL453" s="944"/>
      <c r="AM453" s="944"/>
      <c r="AN453" s="944"/>
      <c r="AO453" s="944"/>
      <c r="AP453" s="944"/>
      <c r="AQ453" s="944"/>
      <c r="AR453" s="45"/>
    </row>
    <row r="454" spans="1:44" ht="14.25" customHeight="1" x14ac:dyDescent="0.3">
      <c r="A454" s="95"/>
      <c r="B454" s="45"/>
      <c r="C454" s="45"/>
      <c r="D454" s="45"/>
      <c r="E454" s="45"/>
      <c r="F454" s="45"/>
      <c r="G454" s="45"/>
      <c r="H454" s="944"/>
      <c r="I454" s="944"/>
      <c r="J454" s="944"/>
      <c r="K454" s="944"/>
      <c r="L454" s="944"/>
      <c r="M454" s="944"/>
      <c r="N454" s="944"/>
      <c r="O454" s="944"/>
      <c r="P454" s="944"/>
      <c r="Q454" s="944"/>
      <c r="R454" s="944"/>
      <c r="S454" s="944"/>
      <c r="T454" s="944"/>
      <c r="U454" s="944"/>
      <c r="V454" s="944"/>
      <c r="W454" s="944"/>
      <c r="X454" s="944"/>
      <c r="Y454" s="944"/>
      <c r="Z454" s="944"/>
      <c r="AA454" s="944"/>
      <c r="AB454" s="944"/>
      <c r="AC454" s="944"/>
      <c r="AD454" s="944"/>
      <c r="AE454" s="944"/>
      <c r="AF454" s="944"/>
      <c r="AG454" s="944"/>
      <c r="AH454" s="944"/>
      <c r="AI454" s="944"/>
      <c r="AJ454" s="944"/>
      <c r="AK454" s="944"/>
      <c r="AL454" s="944"/>
      <c r="AM454" s="944"/>
      <c r="AN454" s="944"/>
      <c r="AO454" s="944"/>
      <c r="AP454" s="944"/>
      <c r="AQ454" s="944"/>
      <c r="AR454" s="45"/>
    </row>
    <row r="455" spans="1:44" ht="14.25" customHeight="1" x14ac:dyDescent="0.3">
      <c r="A455" s="95"/>
      <c r="B455" s="45"/>
      <c r="C455" s="45"/>
      <c r="D455" s="45"/>
      <c r="E455" s="45"/>
      <c r="F455" s="45"/>
      <c r="G455" s="45"/>
      <c r="H455" s="944"/>
      <c r="I455" s="944"/>
      <c r="J455" s="944"/>
      <c r="K455" s="944"/>
      <c r="L455" s="944"/>
      <c r="M455" s="944"/>
      <c r="N455" s="944"/>
      <c r="O455" s="944"/>
      <c r="P455" s="944"/>
      <c r="Q455" s="944"/>
      <c r="R455" s="944"/>
      <c r="S455" s="944"/>
      <c r="T455" s="944"/>
      <c r="U455" s="944"/>
      <c r="V455" s="944"/>
      <c r="W455" s="944"/>
      <c r="X455" s="944"/>
      <c r="Y455" s="944"/>
      <c r="Z455" s="944"/>
      <c r="AA455" s="944"/>
      <c r="AB455" s="944"/>
      <c r="AC455" s="944"/>
      <c r="AD455" s="944"/>
      <c r="AE455" s="944"/>
      <c r="AF455" s="944"/>
      <c r="AG455" s="944"/>
      <c r="AH455" s="944"/>
      <c r="AI455" s="944"/>
      <c r="AJ455" s="944"/>
      <c r="AK455" s="944"/>
      <c r="AL455" s="944"/>
      <c r="AM455" s="944"/>
      <c r="AN455" s="944"/>
      <c r="AO455" s="944"/>
      <c r="AP455" s="944"/>
      <c r="AQ455" s="944"/>
      <c r="AR455" s="45"/>
    </row>
    <row r="456" spans="1:44" ht="14.25" customHeight="1" x14ac:dyDescent="0.3">
      <c r="A456" s="95"/>
      <c r="B456" s="45"/>
      <c r="C456" s="45"/>
      <c r="D456" s="45"/>
      <c r="E456" s="45"/>
      <c r="F456" s="45"/>
      <c r="G456" s="45"/>
      <c r="H456" s="944"/>
      <c r="I456" s="944"/>
      <c r="J456" s="944"/>
      <c r="K456" s="944"/>
      <c r="L456" s="944"/>
      <c r="M456" s="944"/>
      <c r="N456" s="944"/>
      <c r="O456" s="944"/>
      <c r="P456" s="944"/>
      <c r="Q456" s="944"/>
      <c r="R456" s="944"/>
      <c r="S456" s="944"/>
      <c r="T456" s="944"/>
      <c r="U456" s="944"/>
      <c r="V456" s="944"/>
      <c r="W456" s="944"/>
      <c r="X456" s="944"/>
      <c r="Y456" s="944"/>
      <c r="Z456" s="944"/>
      <c r="AA456" s="944"/>
      <c r="AB456" s="944"/>
      <c r="AC456" s="944"/>
      <c r="AD456" s="944"/>
      <c r="AE456" s="944"/>
      <c r="AF456" s="944"/>
      <c r="AG456" s="944"/>
      <c r="AH456" s="944"/>
      <c r="AI456" s="944"/>
      <c r="AJ456" s="944"/>
      <c r="AK456" s="944"/>
      <c r="AL456" s="944"/>
      <c r="AM456" s="944"/>
      <c r="AN456" s="944"/>
      <c r="AO456" s="944"/>
      <c r="AP456" s="944"/>
      <c r="AQ456" s="944"/>
      <c r="AR456" s="45"/>
    </row>
    <row r="457" spans="1:44" ht="14.25" customHeight="1" x14ac:dyDescent="0.3">
      <c r="A457" s="95"/>
      <c r="B457" s="45"/>
      <c r="C457" s="45"/>
      <c r="D457" s="45"/>
      <c r="E457" s="45"/>
      <c r="F457" s="45"/>
      <c r="G457" s="45"/>
      <c r="H457" s="944"/>
      <c r="I457" s="944"/>
      <c r="J457" s="944"/>
      <c r="K457" s="944"/>
      <c r="L457" s="944"/>
      <c r="M457" s="944"/>
      <c r="N457" s="944"/>
      <c r="O457" s="944"/>
      <c r="P457" s="944"/>
      <c r="Q457" s="944"/>
      <c r="R457" s="944"/>
      <c r="S457" s="944"/>
      <c r="T457" s="944"/>
      <c r="U457" s="944"/>
      <c r="V457" s="944"/>
      <c r="W457" s="944"/>
      <c r="X457" s="944"/>
      <c r="Y457" s="944"/>
      <c r="Z457" s="944"/>
      <c r="AA457" s="944"/>
      <c r="AB457" s="944"/>
      <c r="AC457" s="944"/>
      <c r="AD457" s="944"/>
      <c r="AE457" s="944"/>
      <c r="AF457" s="944"/>
      <c r="AG457" s="944"/>
      <c r="AH457" s="944"/>
      <c r="AI457" s="944"/>
      <c r="AJ457" s="944"/>
      <c r="AK457" s="944"/>
      <c r="AL457" s="944"/>
      <c r="AM457" s="944"/>
      <c r="AN457" s="944"/>
      <c r="AO457" s="944"/>
      <c r="AP457" s="944"/>
      <c r="AQ457" s="944"/>
      <c r="AR457" s="45"/>
    </row>
    <row r="458" spans="1:44" ht="14.25" customHeight="1" x14ac:dyDescent="0.3">
      <c r="A458" s="95"/>
      <c r="B458" s="45"/>
      <c r="C458" s="45"/>
      <c r="D458" s="45"/>
      <c r="E458" s="45"/>
      <c r="F458" s="45"/>
      <c r="G458" s="45"/>
      <c r="H458" s="944"/>
      <c r="I458" s="944"/>
      <c r="J458" s="944"/>
      <c r="K458" s="944"/>
      <c r="L458" s="944"/>
      <c r="M458" s="944"/>
      <c r="N458" s="944"/>
      <c r="O458" s="944"/>
      <c r="P458" s="944"/>
      <c r="Q458" s="944"/>
      <c r="R458" s="944"/>
      <c r="S458" s="944"/>
      <c r="T458" s="944"/>
      <c r="U458" s="944"/>
      <c r="V458" s="944"/>
      <c r="W458" s="944"/>
      <c r="X458" s="944"/>
      <c r="Y458" s="944"/>
      <c r="Z458" s="944"/>
      <c r="AA458" s="944"/>
      <c r="AB458" s="944"/>
      <c r="AC458" s="944"/>
      <c r="AD458" s="944"/>
      <c r="AE458" s="944"/>
      <c r="AF458" s="944"/>
      <c r="AG458" s="944"/>
      <c r="AH458" s="944"/>
      <c r="AI458" s="944"/>
      <c r="AJ458" s="944"/>
      <c r="AK458" s="944"/>
      <c r="AL458" s="944"/>
      <c r="AM458" s="944"/>
      <c r="AN458" s="944"/>
      <c r="AO458" s="944"/>
      <c r="AP458" s="944"/>
      <c r="AQ458" s="944"/>
      <c r="AR458" s="45"/>
    </row>
    <row r="459" spans="1:44" ht="14.25" customHeight="1" x14ac:dyDescent="0.3">
      <c r="A459" s="95"/>
      <c r="B459" s="45"/>
      <c r="C459" s="45"/>
      <c r="D459" s="45"/>
      <c r="E459" s="45"/>
      <c r="F459" s="45"/>
      <c r="G459" s="45"/>
      <c r="H459" s="944"/>
      <c r="I459" s="944"/>
      <c r="J459" s="944"/>
      <c r="K459" s="944"/>
      <c r="L459" s="944"/>
      <c r="M459" s="944"/>
      <c r="N459" s="944"/>
      <c r="O459" s="944"/>
      <c r="P459" s="944"/>
      <c r="Q459" s="944"/>
      <c r="R459" s="944"/>
      <c r="S459" s="944"/>
      <c r="T459" s="944"/>
      <c r="U459" s="944"/>
      <c r="V459" s="944"/>
      <c r="W459" s="944"/>
      <c r="X459" s="944"/>
      <c r="Y459" s="944"/>
      <c r="Z459" s="944"/>
      <c r="AA459" s="944"/>
      <c r="AB459" s="944"/>
      <c r="AC459" s="944"/>
      <c r="AD459" s="944"/>
      <c r="AE459" s="944"/>
      <c r="AF459" s="944"/>
      <c r="AG459" s="944"/>
      <c r="AH459" s="944"/>
      <c r="AI459" s="944"/>
      <c r="AJ459" s="944"/>
      <c r="AK459" s="944"/>
      <c r="AL459" s="944"/>
      <c r="AM459" s="944"/>
      <c r="AN459" s="944"/>
      <c r="AO459" s="944"/>
      <c r="AP459" s="944"/>
      <c r="AQ459" s="944"/>
      <c r="AR459" s="45"/>
    </row>
    <row r="460" spans="1:44" ht="14.25" customHeight="1" x14ac:dyDescent="0.3">
      <c r="A460" s="95"/>
      <c r="B460" s="45"/>
      <c r="C460" s="45"/>
      <c r="D460" s="45"/>
      <c r="E460" s="45"/>
      <c r="F460" s="45"/>
      <c r="G460" s="45"/>
      <c r="H460" s="944"/>
      <c r="I460" s="944"/>
      <c r="J460" s="944"/>
      <c r="K460" s="944"/>
      <c r="L460" s="944"/>
      <c r="M460" s="944"/>
      <c r="N460" s="944"/>
      <c r="O460" s="944"/>
      <c r="P460" s="944"/>
      <c r="Q460" s="944"/>
      <c r="R460" s="944"/>
      <c r="S460" s="944"/>
      <c r="T460" s="944"/>
      <c r="U460" s="944"/>
      <c r="V460" s="944"/>
      <c r="W460" s="944"/>
      <c r="X460" s="944"/>
      <c r="Y460" s="944"/>
      <c r="Z460" s="944"/>
      <c r="AA460" s="944"/>
      <c r="AB460" s="944"/>
      <c r="AC460" s="944"/>
      <c r="AD460" s="944"/>
      <c r="AE460" s="944"/>
      <c r="AF460" s="944"/>
      <c r="AG460" s="944"/>
      <c r="AH460" s="944"/>
      <c r="AI460" s="944"/>
      <c r="AJ460" s="944"/>
      <c r="AK460" s="944"/>
      <c r="AL460" s="944"/>
      <c r="AM460" s="944"/>
      <c r="AN460" s="944"/>
      <c r="AO460" s="944"/>
      <c r="AP460" s="944"/>
      <c r="AQ460" s="944"/>
      <c r="AR460" s="45"/>
    </row>
    <row r="461" spans="1:44" ht="14.25" customHeight="1" x14ac:dyDescent="0.3">
      <c r="A461" s="95"/>
      <c r="B461" s="45"/>
      <c r="C461" s="45"/>
      <c r="D461" s="45"/>
      <c r="E461" s="45"/>
      <c r="F461" s="45"/>
      <c r="G461" s="45"/>
      <c r="H461" s="944"/>
      <c r="I461" s="944"/>
      <c r="J461" s="944"/>
      <c r="K461" s="944"/>
      <c r="L461" s="944"/>
      <c r="M461" s="944"/>
      <c r="N461" s="944"/>
      <c r="O461" s="944"/>
      <c r="P461" s="944"/>
      <c r="Q461" s="944"/>
      <c r="R461" s="944"/>
      <c r="S461" s="944"/>
      <c r="T461" s="944"/>
      <c r="U461" s="944"/>
      <c r="V461" s="944"/>
      <c r="W461" s="944"/>
      <c r="X461" s="944"/>
      <c r="Y461" s="944"/>
      <c r="Z461" s="944"/>
      <c r="AA461" s="944"/>
      <c r="AB461" s="944"/>
      <c r="AC461" s="944"/>
      <c r="AD461" s="944"/>
      <c r="AE461" s="944"/>
      <c r="AF461" s="944"/>
      <c r="AG461" s="944"/>
      <c r="AH461" s="944"/>
      <c r="AI461" s="944"/>
      <c r="AJ461" s="944"/>
      <c r="AK461" s="944"/>
      <c r="AL461" s="944"/>
      <c r="AM461" s="944"/>
      <c r="AN461" s="944"/>
      <c r="AO461" s="944"/>
      <c r="AP461" s="944"/>
      <c r="AQ461" s="944"/>
      <c r="AR461" s="45"/>
    </row>
    <row r="462" spans="1:44" ht="14.25" customHeight="1" x14ac:dyDescent="0.3">
      <c r="A462" s="95"/>
      <c r="B462" s="45"/>
      <c r="C462" s="45"/>
      <c r="D462" s="45"/>
      <c r="E462" s="45"/>
      <c r="F462" s="45"/>
      <c r="G462" s="45"/>
      <c r="H462" s="944"/>
      <c r="I462" s="944"/>
      <c r="J462" s="944"/>
      <c r="K462" s="944"/>
      <c r="L462" s="944"/>
      <c r="M462" s="944"/>
      <c r="N462" s="944"/>
      <c r="O462" s="944"/>
      <c r="P462" s="944"/>
      <c r="Q462" s="944"/>
      <c r="R462" s="944"/>
      <c r="S462" s="944"/>
      <c r="T462" s="944"/>
      <c r="U462" s="944"/>
      <c r="V462" s="944"/>
      <c r="W462" s="944"/>
      <c r="X462" s="944"/>
      <c r="Y462" s="944"/>
      <c r="Z462" s="944"/>
      <c r="AA462" s="944"/>
      <c r="AB462" s="944"/>
      <c r="AC462" s="944"/>
      <c r="AD462" s="944"/>
      <c r="AE462" s="944"/>
      <c r="AF462" s="944"/>
      <c r="AG462" s="944"/>
      <c r="AH462" s="944"/>
      <c r="AI462" s="944"/>
      <c r="AJ462" s="944"/>
      <c r="AK462" s="944"/>
      <c r="AL462" s="944"/>
      <c r="AM462" s="944"/>
      <c r="AN462" s="944"/>
      <c r="AO462" s="944"/>
      <c r="AP462" s="944"/>
      <c r="AQ462" s="944"/>
      <c r="AR462" s="45"/>
    </row>
    <row r="463" spans="1:44" ht="14.25" customHeight="1" x14ac:dyDescent="0.3">
      <c r="A463" s="95"/>
      <c r="B463" s="45"/>
      <c r="C463" s="45"/>
      <c r="D463" s="45"/>
      <c r="E463" s="45"/>
      <c r="F463" s="45"/>
      <c r="G463" s="45"/>
      <c r="H463" s="944"/>
      <c r="I463" s="944"/>
      <c r="J463" s="944"/>
      <c r="K463" s="944"/>
      <c r="L463" s="944"/>
      <c r="M463" s="944"/>
      <c r="N463" s="944"/>
      <c r="O463" s="944"/>
      <c r="P463" s="944"/>
      <c r="Q463" s="944"/>
      <c r="R463" s="944"/>
      <c r="S463" s="944"/>
      <c r="T463" s="944"/>
      <c r="U463" s="944"/>
      <c r="V463" s="944"/>
      <c r="W463" s="944"/>
      <c r="X463" s="944"/>
      <c r="Y463" s="944"/>
      <c r="Z463" s="944"/>
      <c r="AA463" s="944"/>
      <c r="AB463" s="944"/>
      <c r="AC463" s="944"/>
      <c r="AD463" s="944"/>
      <c r="AE463" s="944"/>
      <c r="AF463" s="944"/>
      <c r="AG463" s="944"/>
      <c r="AH463" s="944"/>
      <c r="AI463" s="944"/>
      <c r="AJ463" s="944"/>
      <c r="AK463" s="944"/>
      <c r="AL463" s="944"/>
      <c r="AM463" s="944"/>
      <c r="AN463" s="944"/>
      <c r="AO463" s="944"/>
      <c r="AP463" s="944"/>
      <c r="AQ463" s="944"/>
      <c r="AR463" s="45"/>
    </row>
    <row r="464" spans="1:44" ht="14.25" customHeight="1" x14ac:dyDescent="0.3">
      <c r="A464" s="95"/>
      <c r="B464" s="45"/>
      <c r="C464" s="45"/>
      <c r="D464" s="45"/>
      <c r="E464" s="45"/>
      <c r="F464" s="45"/>
      <c r="G464" s="45"/>
      <c r="H464" s="944"/>
      <c r="I464" s="944"/>
      <c r="J464" s="944"/>
      <c r="K464" s="944"/>
      <c r="L464" s="944"/>
      <c r="M464" s="944"/>
      <c r="N464" s="944"/>
      <c r="O464" s="944"/>
      <c r="P464" s="944"/>
      <c r="Q464" s="944"/>
      <c r="R464" s="944"/>
      <c r="S464" s="944"/>
      <c r="T464" s="944"/>
      <c r="U464" s="944"/>
      <c r="V464" s="944"/>
      <c r="W464" s="944"/>
      <c r="X464" s="944"/>
      <c r="Y464" s="944"/>
      <c r="Z464" s="944"/>
      <c r="AA464" s="944"/>
      <c r="AB464" s="944"/>
      <c r="AC464" s="944"/>
      <c r="AD464" s="944"/>
      <c r="AE464" s="944"/>
      <c r="AF464" s="944"/>
      <c r="AG464" s="944"/>
      <c r="AH464" s="944"/>
      <c r="AI464" s="944"/>
      <c r="AJ464" s="944"/>
      <c r="AK464" s="944"/>
      <c r="AL464" s="944"/>
      <c r="AM464" s="944"/>
      <c r="AN464" s="944"/>
      <c r="AO464" s="944"/>
      <c r="AP464" s="944"/>
      <c r="AQ464" s="944"/>
      <c r="AR464" s="45"/>
    </row>
    <row r="465" spans="1:44" ht="14.25" customHeight="1" x14ac:dyDescent="0.3">
      <c r="A465" s="95"/>
      <c r="B465" s="45"/>
      <c r="C465" s="45"/>
      <c r="D465" s="45"/>
      <c r="E465" s="45"/>
      <c r="F465" s="45"/>
      <c r="G465" s="45"/>
      <c r="H465" s="944"/>
      <c r="I465" s="944"/>
      <c r="J465" s="944"/>
      <c r="K465" s="944"/>
      <c r="L465" s="944"/>
      <c r="M465" s="944"/>
      <c r="N465" s="944"/>
      <c r="O465" s="944"/>
      <c r="P465" s="944"/>
      <c r="Q465" s="944"/>
      <c r="R465" s="944"/>
      <c r="S465" s="944"/>
      <c r="T465" s="944"/>
      <c r="U465" s="944"/>
      <c r="V465" s="944"/>
      <c r="W465" s="944"/>
      <c r="X465" s="944"/>
      <c r="Y465" s="944"/>
      <c r="Z465" s="944"/>
      <c r="AA465" s="944"/>
      <c r="AB465" s="944"/>
      <c r="AC465" s="944"/>
      <c r="AD465" s="944"/>
      <c r="AE465" s="944"/>
      <c r="AF465" s="944"/>
      <c r="AG465" s="944"/>
      <c r="AH465" s="944"/>
      <c r="AI465" s="944"/>
      <c r="AJ465" s="944"/>
      <c r="AK465" s="944"/>
      <c r="AL465" s="944"/>
      <c r="AM465" s="944"/>
      <c r="AN465" s="944"/>
      <c r="AO465" s="944"/>
      <c r="AP465" s="944"/>
      <c r="AQ465" s="944"/>
      <c r="AR465" s="45"/>
    </row>
    <row r="466" spans="1:44" ht="14.25" customHeight="1" x14ac:dyDescent="0.3">
      <c r="A466" s="95"/>
      <c r="B466" s="45"/>
      <c r="C466" s="45"/>
      <c r="D466" s="45"/>
      <c r="E466" s="45"/>
      <c r="F466" s="45"/>
      <c r="G466" s="45"/>
      <c r="H466" s="944"/>
      <c r="I466" s="944"/>
      <c r="J466" s="944"/>
      <c r="K466" s="944"/>
      <c r="L466" s="944"/>
      <c r="M466" s="944"/>
      <c r="N466" s="944"/>
      <c r="O466" s="944"/>
      <c r="P466" s="944"/>
      <c r="Q466" s="944"/>
      <c r="R466" s="944"/>
      <c r="S466" s="944"/>
      <c r="T466" s="944"/>
      <c r="U466" s="944"/>
      <c r="V466" s="944"/>
      <c r="W466" s="944"/>
      <c r="X466" s="944"/>
      <c r="Y466" s="944"/>
      <c r="Z466" s="944"/>
      <c r="AA466" s="944"/>
      <c r="AB466" s="944"/>
      <c r="AC466" s="944"/>
      <c r="AD466" s="944"/>
      <c r="AE466" s="944"/>
      <c r="AF466" s="944"/>
      <c r="AG466" s="944"/>
      <c r="AH466" s="944"/>
      <c r="AI466" s="944"/>
      <c r="AJ466" s="944"/>
      <c r="AK466" s="944"/>
      <c r="AL466" s="944"/>
      <c r="AM466" s="944"/>
      <c r="AN466" s="944"/>
      <c r="AO466" s="944"/>
      <c r="AP466" s="944"/>
      <c r="AQ466" s="944"/>
      <c r="AR466" s="45"/>
    </row>
    <row r="467" spans="1:44" ht="14.25" customHeight="1" x14ac:dyDescent="0.3">
      <c r="A467" s="95"/>
      <c r="B467" s="45"/>
      <c r="C467" s="45"/>
      <c r="D467" s="45"/>
      <c r="E467" s="45"/>
      <c r="F467" s="45"/>
      <c r="G467" s="45"/>
      <c r="H467" s="944"/>
      <c r="I467" s="944"/>
      <c r="J467" s="944"/>
      <c r="K467" s="944"/>
      <c r="L467" s="944"/>
      <c r="M467" s="944"/>
      <c r="N467" s="944"/>
      <c r="O467" s="944"/>
      <c r="P467" s="944"/>
      <c r="Q467" s="944"/>
      <c r="R467" s="944"/>
      <c r="S467" s="944"/>
      <c r="T467" s="944"/>
      <c r="U467" s="944"/>
      <c r="V467" s="944"/>
      <c r="W467" s="944"/>
      <c r="X467" s="944"/>
      <c r="Y467" s="944"/>
      <c r="Z467" s="944"/>
      <c r="AA467" s="944"/>
      <c r="AB467" s="944"/>
      <c r="AC467" s="944"/>
      <c r="AD467" s="944"/>
      <c r="AE467" s="944"/>
      <c r="AF467" s="944"/>
      <c r="AG467" s="944"/>
      <c r="AH467" s="944"/>
      <c r="AI467" s="944"/>
      <c r="AJ467" s="944"/>
      <c r="AK467" s="944"/>
      <c r="AL467" s="944"/>
      <c r="AM467" s="944"/>
      <c r="AN467" s="944"/>
      <c r="AO467" s="944"/>
      <c r="AP467" s="944"/>
      <c r="AQ467" s="944"/>
      <c r="AR467" s="45"/>
    </row>
    <row r="468" spans="1:44" ht="14.25" customHeight="1" x14ac:dyDescent="0.3">
      <c r="A468" s="95"/>
      <c r="B468" s="45"/>
      <c r="C468" s="45"/>
      <c r="D468" s="45"/>
      <c r="E468" s="45"/>
      <c r="F468" s="45"/>
      <c r="G468" s="45"/>
      <c r="H468" s="944"/>
      <c r="I468" s="944"/>
      <c r="J468" s="944"/>
      <c r="K468" s="944"/>
      <c r="L468" s="944"/>
      <c r="M468" s="944"/>
      <c r="N468" s="944"/>
      <c r="O468" s="944"/>
      <c r="P468" s="944"/>
      <c r="Q468" s="944"/>
      <c r="R468" s="944"/>
      <c r="S468" s="944"/>
      <c r="T468" s="944"/>
      <c r="U468" s="944"/>
      <c r="V468" s="944"/>
      <c r="W468" s="944"/>
      <c r="X468" s="944"/>
      <c r="Y468" s="944"/>
      <c r="Z468" s="944"/>
      <c r="AA468" s="944"/>
      <c r="AB468" s="944"/>
      <c r="AC468" s="944"/>
      <c r="AD468" s="944"/>
      <c r="AE468" s="944"/>
      <c r="AF468" s="944"/>
      <c r="AG468" s="944"/>
      <c r="AH468" s="944"/>
      <c r="AI468" s="944"/>
      <c r="AJ468" s="944"/>
      <c r="AK468" s="944"/>
      <c r="AL468" s="944"/>
      <c r="AM468" s="944"/>
      <c r="AN468" s="944"/>
      <c r="AO468" s="944"/>
      <c r="AP468" s="944"/>
      <c r="AQ468" s="944"/>
      <c r="AR468" s="45"/>
    </row>
    <row r="469" spans="1:44" ht="14.25" customHeight="1" x14ac:dyDescent="0.3">
      <c r="A469" s="95"/>
      <c r="B469" s="45"/>
      <c r="C469" s="45"/>
      <c r="D469" s="45"/>
      <c r="E469" s="45"/>
      <c r="F469" s="45"/>
      <c r="G469" s="45"/>
      <c r="H469" s="944"/>
      <c r="I469" s="944"/>
      <c r="J469" s="944"/>
      <c r="K469" s="944"/>
      <c r="L469" s="944"/>
      <c r="M469" s="944"/>
      <c r="N469" s="944"/>
      <c r="O469" s="944"/>
      <c r="P469" s="944"/>
      <c r="Q469" s="944"/>
      <c r="R469" s="944"/>
      <c r="S469" s="944"/>
      <c r="T469" s="944"/>
      <c r="U469" s="944"/>
      <c r="V469" s="944"/>
      <c r="W469" s="944"/>
      <c r="X469" s="944"/>
      <c r="Y469" s="944"/>
      <c r="Z469" s="944"/>
      <c r="AA469" s="944"/>
      <c r="AB469" s="944"/>
      <c r="AC469" s="944"/>
      <c r="AD469" s="944"/>
      <c r="AE469" s="944"/>
      <c r="AF469" s="944"/>
      <c r="AG469" s="944"/>
      <c r="AH469" s="944"/>
      <c r="AI469" s="944"/>
      <c r="AJ469" s="944"/>
      <c r="AK469" s="944"/>
      <c r="AL469" s="944"/>
      <c r="AM469" s="944"/>
      <c r="AN469" s="944"/>
      <c r="AO469" s="944"/>
      <c r="AP469" s="944"/>
      <c r="AQ469" s="944"/>
      <c r="AR469" s="45"/>
    </row>
    <row r="470" spans="1:44" ht="14.25" customHeight="1" x14ac:dyDescent="0.3">
      <c r="A470" s="95"/>
      <c r="B470" s="45"/>
      <c r="C470" s="45"/>
      <c r="D470" s="45"/>
      <c r="E470" s="45"/>
      <c r="F470" s="45"/>
      <c r="G470" s="45"/>
      <c r="H470" s="944"/>
      <c r="I470" s="944"/>
      <c r="J470" s="944"/>
      <c r="K470" s="944"/>
      <c r="L470" s="944"/>
      <c r="M470" s="944"/>
      <c r="N470" s="944"/>
      <c r="O470" s="944"/>
      <c r="P470" s="944"/>
      <c r="Q470" s="944"/>
      <c r="R470" s="944"/>
      <c r="S470" s="944"/>
      <c r="T470" s="944"/>
      <c r="U470" s="944"/>
      <c r="V470" s="944"/>
      <c r="W470" s="944"/>
      <c r="X470" s="944"/>
      <c r="Y470" s="944"/>
      <c r="Z470" s="944"/>
      <c r="AA470" s="944"/>
      <c r="AB470" s="944"/>
      <c r="AC470" s="944"/>
      <c r="AD470" s="944"/>
      <c r="AE470" s="944"/>
      <c r="AF470" s="944"/>
      <c r="AG470" s="944"/>
      <c r="AH470" s="944"/>
      <c r="AI470" s="944"/>
      <c r="AJ470" s="944"/>
      <c r="AK470" s="944"/>
      <c r="AL470" s="944"/>
      <c r="AM470" s="944"/>
      <c r="AN470" s="944"/>
      <c r="AO470" s="944"/>
      <c r="AP470" s="944"/>
      <c r="AQ470" s="944"/>
      <c r="AR470" s="45"/>
    </row>
    <row r="471" spans="1:44" ht="14.25" customHeight="1" x14ac:dyDescent="0.3">
      <c r="A471" s="95"/>
      <c r="B471" s="45"/>
      <c r="C471" s="45"/>
      <c r="D471" s="45"/>
      <c r="E471" s="45"/>
      <c r="F471" s="45"/>
      <c r="G471" s="45"/>
      <c r="H471" s="944"/>
      <c r="I471" s="944"/>
      <c r="J471" s="944"/>
      <c r="K471" s="944"/>
      <c r="L471" s="944"/>
      <c r="M471" s="944"/>
      <c r="N471" s="944"/>
      <c r="O471" s="944"/>
      <c r="P471" s="944"/>
      <c r="Q471" s="944"/>
      <c r="R471" s="944"/>
      <c r="S471" s="944"/>
      <c r="T471" s="944"/>
      <c r="U471" s="944"/>
      <c r="V471" s="944"/>
      <c r="W471" s="944"/>
      <c r="X471" s="944"/>
      <c r="Y471" s="944"/>
      <c r="Z471" s="944"/>
      <c r="AA471" s="944"/>
      <c r="AB471" s="944"/>
      <c r="AC471" s="944"/>
      <c r="AD471" s="944"/>
      <c r="AE471" s="944"/>
      <c r="AF471" s="944"/>
      <c r="AG471" s="944"/>
      <c r="AH471" s="944"/>
      <c r="AI471" s="944"/>
      <c r="AJ471" s="944"/>
      <c r="AK471" s="944"/>
      <c r="AL471" s="944"/>
      <c r="AM471" s="944"/>
      <c r="AN471" s="944"/>
      <c r="AO471" s="944"/>
      <c r="AP471" s="944"/>
      <c r="AQ471" s="944"/>
      <c r="AR471" s="45"/>
    </row>
    <row r="472" spans="1:44" ht="14.25" customHeight="1" x14ac:dyDescent="0.3">
      <c r="A472" s="95"/>
      <c r="B472" s="45"/>
      <c r="C472" s="45"/>
      <c r="D472" s="45"/>
      <c r="E472" s="45"/>
      <c r="F472" s="45"/>
      <c r="G472" s="45"/>
      <c r="H472" s="944"/>
      <c r="I472" s="944"/>
      <c r="J472" s="944"/>
      <c r="K472" s="944"/>
      <c r="L472" s="944"/>
      <c r="M472" s="944"/>
      <c r="N472" s="944"/>
      <c r="O472" s="944"/>
      <c r="P472" s="944"/>
      <c r="Q472" s="944"/>
      <c r="R472" s="944"/>
      <c r="S472" s="944"/>
      <c r="T472" s="944"/>
      <c r="U472" s="944"/>
      <c r="V472" s="944"/>
      <c r="W472" s="944"/>
      <c r="X472" s="944"/>
      <c r="Y472" s="944"/>
      <c r="Z472" s="944"/>
      <c r="AA472" s="944"/>
      <c r="AB472" s="944"/>
      <c r="AC472" s="944"/>
      <c r="AD472" s="944"/>
      <c r="AE472" s="944"/>
      <c r="AF472" s="944"/>
      <c r="AG472" s="944"/>
      <c r="AH472" s="944"/>
      <c r="AI472" s="944"/>
      <c r="AJ472" s="944"/>
      <c r="AK472" s="944"/>
      <c r="AL472" s="944"/>
      <c r="AM472" s="944"/>
      <c r="AN472" s="944"/>
      <c r="AO472" s="944"/>
      <c r="AP472" s="944"/>
      <c r="AQ472" s="944"/>
      <c r="AR472" s="45"/>
    </row>
    <row r="473" spans="1:44" ht="14.25" customHeight="1" x14ac:dyDescent="0.3">
      <c r="A473" s="95"/>
      <c r="B473" s="45"/>
      <c r="C473" s="45"/>
      <c r="D473" s="45"/>
      <c r="E473" s="45"/>
      <c r="F473" s="45"/>
      <c r="G473" s="45"/>
      <c r="H473" s="944"/>
      <c r="I473" s="944"/>
      <c r="J473" s="944"/>
      <c r="K473" s="944"/>
      <c r="L473" s="944"/>
      <c r="M473" s="944"/>
      <c r="N473" s="944"/>
      <c r="O473" s="944"/>
      <c r="P473" s="944"/>
      <c r="Q473" s="944"/>
      <c r="R473" s="944"/>
      <c r="S473" s="944"/>
      <c r="T473" s="944"/>
      <c r="U473" s="944"/>
      <c r="V473" s="944"/>
      <c r="W473" s="944"/>
      <c r="X473" s="944"/>
      <c r="Y473" s="944"/>
      <c r="Z473" s="944"/>
      <c r="AA473" s="944"/>
      <c r="AB473" s="944"/>
      <c r="AC473" s="944"/>
      <c r="AD473" s="944"/>
      <c r="AE473" s="944"/>
      <c r="AF473" s="944"/>
      <c r="AG473" s="944"/>
      <c r="AH473" s="944"/>
      <c r="AI473" s="944"/>
      <c r="AJ473" s="944"/>
      <c r="AK473" s="944"/>
      <c r="AL473" s="944"/>
      <c r="AM473" s="944"/>
      <c r="AN473" s="944"/>
      <c r="AO473" s="944"/>
      <c r="AP473" s="944"/>
      <c r="AQ473" s="944"/>
      <c r="AR473" s="45"/>
    </row>
    <row r="474" spans="1:44" ht="14.25" customHeight="1" x14ac:dyDescent="0.3">
      <c r="A474" s="95"/>
      <c r="B474" s="45"/>
      <c r="C474" s="45"/>
      <c r="D474" s="45"/>
      <c r="E474" s="45"/>
      <c r="F474" s="45"/>
      <c r="G474" s="45"/>
      <c r="H474" s="944"/>
      <c r="I474" s="944"/>
      <c r="J474" s="944"/>
      <c r="K474" s="944"/>
      <c r="L474" s="944"/>
      <c r="M474" s="944"/>
      <c r="N474" s="944"/>
      <c r="O474" s="944"/>
      <c r="P474" s="944"/>
      <c r="Q474" s="944"/>
      <c r="R474" s="944"/>
      <c r="S474" s="944"/>
      <c r="T474" s="944"/>
      <c r="U474" s="944"/>
      <c r="V474" s="944"/>
      <c r="W474" s="944"/>
      <c r="X474" s="944"/>
      <c r="Y474" s="944"/>
      <c r="Z474" s="944"/>
      <c r="AA474" s="944"/>
      <c r="AB474" s="944"/>
      <c r="AC474" s="944"/>
      <c r="AD474" s="944"/>
      <c r="AE474" s="944"/>
      <c r="AF474" s="944"/>
      <c r="AG474" s="944"/>
      <c r="AH474" s="944"/>
      <c r="AI474" s="944"/>
      <c r="AJ474" s="944"/>
      <c r="AK474" s="944"/>
      <c r="AL474" s="944"/>
      <c r="AM474" s="944"/>
      <c r="AN474" s="944"/>
      <c r="AO474" s="944"/>
      <c r="AP474" s="944"/>
      <c r="AQ474" s="944"/>
      <c r="AR474" s="45"/>
    </row>
    <row r="475" spans="1:44" ht="14.25" customHeight="1" x14ac:dyDescent="0.3">
      <c r="A475" s="95"/>
      <c r="B475" s="45"/>
      <c r="C475" s="45"/>
      <c r="D475" s="45"/>
      <c r="E475" s="45"/>
      <c r="F475" s="45"/>
      <c r="G475" s="45"/>
      <c r="H475" s="944"/>
      <c r="I475" s="944"/>
      <c r="J475" s="944"/>
      <c r="K475" s="944"/>
      <c r="L475" s="944"/>
      <c r="M475" s="944"/>
      <c r="N475" s="944"/>
      <c r="O475" s="944"/>
      <c r="P475" s="944"/>
      <c r="Q475" s="944"/>
      <c r="R475" s="944"/>
      <c r="S475" s="944"/>
      <c r="T475" s="944"/>
      <c r="U475" s="944"/>
      <c r="V475" s="944"/>
      <c r="W475" s="944"/>
      <c r="X475" s="944"/>
      <c r="Y475" s="944"/>
      <c r="Z475" s="944"/>
      <c r="AA475" s="944"/>
      <c r="AB475" s="944"/>
      <c r="AC475" s="944"/>
      <c r="AD475" s="944"/>
      <c r="AE475" s="944"/>
      <c r="AF475" s="944"/>
      <c r="AG475" s="944"/>
      <c r="AH475" s="944"/>
      <c r="AI475" s="944"/>
      <c r="AJ475" s="944"/>
      <c r="AK475" s="944"/>
      <c r="AL475" s="944"/>
      <c r="AM475" s="944"/>
      <c r="AN475" s="944"/>
      <c r="AO475" s="944"/>
      <c r="AP475" s="944"/>
      <c r="AQ475" s="944"/>
      <c r="AR475" s="45"/>
    </row>
    <row r="476" spans="1:44" ht="14.25" customHeight="1" x14ac:dyDescent="0.3">
      <c r="A476" s="95"/>
      <c r="B476" s="45"/>
      <c r="C476" s="45"/>
      <c r="D476" s="45"/>
      <c r="E476" s="45"/>
      <c r="F476" s="45"/>
      <c r="G476" s="45"/>
      <c r="H476" s="944"/>
      <c r="I476" s="944"/>
      <c r="J476" s="944"/>
      <c r="K476" s="944"/>
      <c r="L476" s="944"/>
      <c r="M476" s="944"/>
      <c r="N476" s="944"/>
      <c r="O476" s="944"/>
      <c r="P476" s="944"/>
      <c r="Q476" s="944"/>
      <c r="R476" s="944"/>
      <c r="S476" s="944"/>
      <c r="T476" s="944"/>
      <c r="U476" s="944"/>
      <c r="V476" s="944"/>
      <c r="W476" s="944"/>
      <c r="X476" s="944"/>
      <c r="Y476" s="944"/>
      <c r="Z476" s="944"/>
      <c r="AA476" s="944"/>
      <c r="AB476" s="944"/>
      <c r="AC476" s="944"/>
      <c r="AD476" s="944"/>
      <c r="AE476" s="944"/>
      <c r="AF476" s="944"/>
      <c r="AG476" s="944"/>
      <c r="AH476" s="944"/>
      <c r="AI476" s="944"/>
      <c r="AJ476" s="944"/>
      <c r="AK476" s="944"/>
      <c r="AL476" s="944"/>
      <c r="AM476" s="944"/>
      <c r="AN476" s="944"/>
      <c r="AO476" s="944"/>
      <c r="AP476" s="944"/>
      <c r="AQ476" s="944"/>
      <c r="AR476" s="45"/>
    </row>
    <row r="477" spans="1:44" ht="14.25" customHeight="1" x14ac:dyDescent="0.3">
      <c r="A477" s="95"/>
      <c r="B477" s="45"/>
      <c r="C477" s="45"/>
      <c r="D477" s="45"/>
      <c r="E477" s="45"/>
      <c r="F477" s="45"/>
      <c r="G477" s="45"/>
      <c r="H477" s="944"/>
      <c r="I477" s="944"/>
      <c r="J477" s="944"/>
      <c r="K477" s="944"/>
      <c r="L477" s="944"/>
      <c r="M477" s="944"/>
      <c r="N477" s="944"/>
      <c r="O477" s="944"/>
      <c r="P477" s="944"/>
      <c r="Q477" s="944"/>
      <c r="R477" s="944"/>
      <c r="S477" s="944"/>
      <c r="T477" s="944"/>
      <c r="U477" s="944"/>
      <c r="V477" s="944"/>
      <c r="W477" s="944"/>
      <c r="X477" s="944"/>
      <c r="Y477" s="944"/>
      <c r="Z477" s="944"/>
      <c r="AA477" s="944"/>
      <c r="AB477" s="944"/>
      <c r="AC477" s="944"/>
      <c r="AD477" s="944"/>
      <c r="AE477" s="944"/>
      <c r="AF477" s="944"/>
      <c r="AG477" s="944"/>
      <c r="AH477" s="944"/>
      <c r="AI477" s="944"/>
      <c r="AJ477" s="944"/>
      <c r="AK477" s="944"/>
      <c r="AL477" s="944"/>
      <c r="AM477" s="944"/>
      <c r="AN477" s="944"/>
      <c r="AO477" s="944"/>
      <c r="AP477" s="944"/>
      <c r="AQ477" s="944"/>
      <c r="AR477" s="45"/>
    </row>
    <row r="478" spans="1:44" ht="14.25" customHeight="1" x14ac:dyDescent="0.3">
      <c r="A478" s="95"/>
      <c r="B478" s="45"/>
      <c r="C478" s="45"/>
      <c r="D478" s="45"/>
      <c r="E478" s="45"/>
      <c r="F478" s="45"/>
      <c r="G478" s="45"/>
      <c r="H478" s="944"/>
      <c r="I478" s="944"/>
      <c r="J478" s="944"/>
      <c r="K478" s="944"/>
      <c r="L478" s="944"/>
      <c r="M478" s="944"/>
      <c r="N478" s="944"/>
      <c r="O478" s="944"/>
      <c r="P478" s="944"/>
      <c r="Q478" s="944"/>
      <c r="R478" s="944"/>
      <c r="S478" s="944"/>
      <c r="T478" s="944"/>
      <c r="U478" s="944"/>
      <c r="V478" s="944"/>
      <c r="W478" s="944"/>
      <c r="X478" s="944"/>
      <c r="Y478" s="944"/>
      <c r="Z478" s="944"/>
      <c r="AA478" s="944"/>
      <c r="AB478" s="944"/>
      <c r="AC478" s="944"/>
      <c r="AD478" s="944"/>
      <c r="AE478" s="944"/>
      <c r="AF478" s="944"/>
      <c r="AG478" s="944"/>
      <c r="AH478" s="944"/>
      <c r="AI478" s="944"/>
      <c r="AJ478" s="944"/>
      <c r="AK478" s="944"/>
      <c r="AL478" s="944"/>
      <c r="AM478" s="944"/>
      <c r="AN478" s="944"/>
      <c r="AO478" s="944"/>
      <c r="AP478" s="944"/>
      <c r="AQ478" s="944"/>
      <c r="AR478" s="45"/>
    </row>
    <row r="479" spans="1:44" ht="14.25" customHeight="1" x14ac:dyDescent="0.3">
      <c r="A479" s="95"/>
      <c r="B479" s="45"/>
      <c r="C479" s="45"/>
      <c r="D479" s="45"/>
      <c r="E479" s="45"/>
      <c r="F479" s="45"/>
      <c r="G479" s="45"/>
      <c r="H479" s="944"/>
      <c r="I479" s="944"/>
      <c r="J479" s="944"/>
      <c r="K479" s="944"/>
      <c r="L479" s="944"/>
      <c r="M479" s="944"/>
      <c r="N479" s="944"/>
      <c r="O479" s="944"/>
      <c r="P479" s="944"/>
      <c r="Q479" s="944"/>
      <c r="R479" s="944"/>
      <c r="S479" s="944"/>
      <c r="T479" s="944"/>
      <c r="U479" s="944"/>
      <c r="V479" s="944"/>
      <c r="W479" s="944"/>
      <c r="X479" s="944"/>
      <c r="Y479" s="944"/>
      <c r="Z479" s="944"/>
      <c r="AA479" s="944"/>
      <c r="AB479" s="944"/>
      <c r="AC479" s="944"/>
      <c r="AD479" s="944"/>
      <c r="AE479" s="944"/>
      <c r="AF479" s="944"/>
      <c r="AG479" s="944"/>
      <c r="AH479" s="944"/>
      <c r="AI479" s="944"/>
      <c r="AJ479" s="944"/>
      <c r="AK479" s="944"/>
      <c r="AL479" s="944"/>
      <c r="AM479" s="944"/>
      <c r="AN479" s="944"/>
      <c r="AO479" s="944"/>
      <c r="AP479" s="944"/>
      <c r="AQ479" s="944"/>
      <c r="AR479" s="45"/>
    </row>
    <row r="480" spans="1:44" ht="14.25" customHeight="1" x14ac:dyDescent="0.3">
      <c r="A480" s="95"/>
      <c r="B480" s="45"/>
      <c r="C480" s="45"/>
      <c r="D480" s="45"/>
      <c r="E480" s="45"/>
      <c r="F480" s="45"/>
      <c r="G480" s="45"/>
      <c r="H480" s="944"/>
      <c r="I480" s="944"/>
      <c r="J480" s="944"/>
      <c r="K480" s="944"/>
      <c r="L480" s="944"/>
      <c r="M480" s="944"/>
      <c r="N480" s="944"/>
      <c r="O480" s="944"/>
      <c r="P480" s="944"/>
      <c r="Q480" s="944"/>
      <c r="R480" s="944"/>
      <c r="S480" s="944"/>
      <c r="T480" s="944"/>
      <c r="U480" s="944"/>
      <c r="V480" s="944"/>
      <c r="W480" s="944"/>
      <c r="X480" s="944"/>
      <c r="Y480" s="944"/>
      <c r="Z480" s="944"/>
      <c r="AA480" s="944"/>
      <c r="AB480" s="944"/>
      <c r="AC480" s="944"/>
      <c r="AD480" s="944"/>
      <c r="AE480" s="944"/>
      <c r="AF480" s="944"/>
      <c r="AG480" s="944"/>
      <c r="AH480" s="944"/>
      <c r="AI480" s="944"/>
      <c r="AJ480" s="944"/>
      <c r="AK480" s="944"/>
      <c r="AL480" s="944"/>
      <c r="AM480" s="944"/>
      <c r="AN480" s="944"/>
      <c r="AO480" s="944"/>
      <c r="AP480" s="944"/>
      <c r="AQ480" s="944"/>
      <c r="AR480" s="45"/>
    </row>
    <row r="481" spans="1:44" ht="14.25" customHeight="1" x14ac:dyDescent="0.3">
      <c r="A481" s="95"/>
      <c r="B481" s="45"/>
      <c r="C481" s="45"/>
      <c r="D481" s="45"/>
      <c r="E481" s="45"/>
      <c r="F481" s="45"/>
      <c r="G481" s="45"/>
      <c r="H481" s="944"/>
      <c r="I481" s="944"/>
      <c r="J481" s="944"/>
      <c r="K481" s="944"/>
      <c r="L481" s="944"/>
      <c r="M481" s="944"/>
      <c r="N481" s="944"/>
      <c r="O481" s="944"/>
      <c r="P481" s="944"/>
      <c r="Q481" s="944"/>
      <c r="R481" s="944"/>
      <c r="S481" s="944"/>
      <c r="T481" s="944"/>
      <c r="U481" s="944"/>
      <c r="V481" s="944"/>
      <c r="W481" s="944"/>
      <c r="X481" s="944"/>
      <c r="Y481" s="944"/>
      <c r="Z481" s="944"/>
      <c r="AA481" s="944"/>
      <c r="AB481" s="944"/>
      <c r="AC481" s="944"/>
      <c r="AD481" s="944"/>
      <c r="AE481" s="944"/>
      <c r="AF481" s="944"/>
      <c r="AG481" s="944"/>
      <c r="AH481" s="944"/>
      <c r="AI481" s="944"/>
      <c r="AJ481" s="944"/>
      <c r="AK481" s="944"/>
      <c r="AL481" s="944"/>
      <c r="AM481" s="944"/>
      <c r="AN481" s="944"/>
      <c r="AO481" s="944"/>
      <c r="AP481" s="944"/>
      <c r="AQ481" s="944"/>
      <c r="AR481" s="45"/>
    </row>
    <row r="482" spans="1:44" ht="14.25" customHeight="1" x14ac:dyDescent="0.3">
      <c r="A482" s="95"/>
      <c r="B482" s="45"/>
      <c r="C482" s="45"/>
      <c r="D482" s="45"/>
      <c r="E482" s="45"/>
      <c r="F482" s="45"/>
      <c r="G482" s="45"/>
      <c r="H482" s="944"/>
      <c r="I482" s="944"/>
      <c r="J482" s="944"/>
      <c r="K482" s="944"/>
      <c r="L482" s="944"/>
      <c r="M482" s="944"/>
      <c r="N482" s="944"/>
      <c r="O482" s="944"/>
      <c r="P482" s="944"/>
      <c r="Q482" s="944"/>
      <c r="R482" s="944"/>
      <c r="S482" s="944"/>
      <c r="T482" s="944"/>
      <c r="U482" s="944"/>
      <c r="V482" s="944"/>
      <c r="W482" s="944"/>
      <c r="X482" s="944"/>
      <c r="Y482" s="944"/>
      <c r="Z482" s="944"/>
      <c r="AA482" s="944"/>
      <c r="AB482" s="944"/>
      <c r="AC482" s="944"/>
      <c r="AD482" s="944"/>
      <c r="AE482" s="944"/>
      <c r="AF482" s="944"/>
      <c r="AG482" s="944"/>
      <c r="AH482" s="944"/>
      <c r="AI482" s="944"/>
      <c r="AJ482" s="944"/>
      <c r="AK482" s="944"/>
      <c r="AL482" s="944"/>
      <c r="AM482" s="944"/>
      <c r="AN482" s="944"/>
      <c r="AO482" s="944"/>
      <c r="AP482" s="944"/>
      <c r="AQ482" s="944"/>
      <c r="AR482" s="45"/>
    </row>
    <row r="483" spans="1:44" ht="14.25" customHeight="1" x14ac:dyDescent="0.3">
      <c r="A483" s="95"/>
      <c r="B483" s="45"/>
      <c r="C483" s="45"/>
      <c r="D483" s="45"/>
      <c r="E483" s="45"/>
      <c r="F483" s="45"/>
      <c r="G483" s="45"/>
      <c r="H483" s="944"/>
      <c r="I483" s="944"/>
      <c r="J483" s="944"/>
      <c r="K483" s="944"/>
      <c r="L483" s="944"/>
      <c r="M483" s="944"/>
      <c r="N483" s="944"/>
      <c r="O483" s="944"/>
      <c r="P483" s="944"/>
      <c r="Q483" s="944"/>
      <c r="R483" s="944"/>
      <c r="S483" s="944"/>
      <c r="T483" s="944"/>
      <c r="U483" s="944"/>
      <c r="V483" s="944"/>
      <c r="W483" s="944"/>
      <c r="X483" s="944"/>
      <c r="Y483" s="944"/>
      <c r="Z483" s="944"/>
      <c r="AA483" s="944"/>
      <c r="AB483" s="944"/>
      <c r="AC483" s="944"/>
      <c r="AD483" s="944"/>
      <c r="AE483" s="944"/>
      <c r="AF483" s="944"/>
      <c r="AG483" s="944"/>
      <c r="AH483" s="944"/>
      <c r="AI483" s="944"/>
      <c r="AJ483" s="944"/>
      <c r="AK483" s="944"/>
      <c r="AL483" s="944"/>
      <c r="AM483" s="944"/>
      <c r="AN483" s="944"/>
      <c r="AO483" s="944"/>
      <c r="AP483" s="944"/>
      <c r="AQ483" s="944"/>
      <c r="AR483" s="45"/>
    </row>
    <row r="484" spans="1:44" ht="14.25" customHeight="1" x14ac:dyDescent="0.3">
      <c r="A484" s="95"/>
      <c r="B484" s="45"/>
      <c r="C484" s="45"/>
      <c r="D484" s="45"/>
      <c r="E484" s="45"/>
      <c r="F484" s="45"/>
      <c r="G484" s="45"/>
      <c r="H484" s="944"/>
      <c r="I484" s="944"/>
      <c r="J484" s="944"/>
      <c r="K484" s="944"/>
      <c r="L484" s="944"/>
      <c r="M484" s="944"/>
      <c r="N484" s="944"/>
      <c r="O484" s="944"/>
      <c r="P484" s="944"/>
      <c r="Q484" s="944"/>
      <c r="R484" s="944"/>
      <c r="S484" s="944"/>
      <c r="T484" s="944"/>
      <c r="U484" s="944"/>
      <c r="V484" s="944"/>
      <c r="W484" s="944"/>
      <c r="X484" s="944"/>
      <c r="Y484" s="944"/>
      <c r="Z484" s="944"/>
      <c r="AA484" s="944"/>
      <c r="AB484" s="944"/>
      <c r="AC484" s="944"/>
      <c r="AD484" s="944"/>
      <c r="AE484" s="944"/>
      <c r="AF484" s="944"/>
      <c r="AG484" s="944"/>
      <c r="AH484" s="944"/>
      <c r="AI484" s="944"/>
      <c r="AJ484" s="944"/>
      <c r="AK484" s="944"/>
      <c r="AL484" s="944"/>
      <c r="AM484" s="944"/>
      <c r="AN484" s="944"/>
      <c r="AO484" s="944"/>
      <c r="AP484" s="944"/>
      <c r="AQ484" s="944"/>
      <c r="AR484" s="45"/>
    </row>
    <row r="485" spans="1:44" ht="14.25" customHeight="1" x14ac:dyDescent="0.3">
      <c r="A485" s="95"/>
      <c r="B485" s="45"/>
      <c r="C485" s="45"/>
      <c r="D485" s="45"/>
      <c r="E485" s="45"/>
      <c r="F485" s="45"/>
      <c r="G485" s="45"/>
      <c r="H485" s="944"/>
      <c r="I485" s="944"/>
      <c r="J485" s="944"/>
      <c r="K485" s="944"/>
      <c r="L485" s="944"/>
      <c r="M485" s="944"/>
      <c r="N485" s="944"/>
      <c r="O485" s="944"/>
      <c r="P485" s="944"/>
      <c r="Q485" s="944"/>
      <c r="R485" s="944"/>
      <c r="S485" s="944"/>
      <c r="T485" s="944"/>
      <c r="U485" s="944"/>
      <c r="V485" s="944"/>
      <c r="W485" s="944"/>
      <c r="X485" s="944"/>
      <c r="Y485" s="944"/>
      <c r="Z485" s="944"/>
      <c r="AA485" s="944"/>
      <c r="AB485" s="944"/>
      <c r="AC485" s="944"/>
      <c r="AD485" s="944"/>
      <c r="AE485" s="944"/>
      <c r="AF485" s="944"/>
      <c r="AG485" s="944"/>
      <c r="AH485" s="944"/>
      <c r="AI485" s="944"/>
      <c r="AJ485" s="944"/>
      <c r="AK485" s="944"/>
      <c r="AL485" s="944"/>
      <c r="AM485" s="944"/>
      <c r="AN485" s="944"/>
      <c r="AO485" s="944"/>
      <c r="AP485" s="944"/>
      <c r="AQ485" s="944"/>
      <c r="AR485" s="45"/>
    </row>
    <row r="486" spans="1:44" ht="14.25" customHeight="1" x14ac:dyDescent="0.3">
      <c r="A486" s="95"/>
      <c r="B486" s="45"/>
      <c r="C486" s="45"/>
      <c r="D486" s="45"/>
      <c r="E486" s="45"/>
      <c r="F486" s="45"/>
      <c r="G486" s="45"/>
      <c r="H486" s="944"/>
      <c r="I486" s="944"/>
      <c r="J486" s="944"/>
      <c r="K486" s="944"/>
      <c r="L486" s="944"/>
      <c r="M486" s="944"/>
      <c r="N486" s="944"/>
      <c r="O486" s="944"/>
      <c r="P486" s="944"/>
      <c r="Q486" s="944"/>
      <c r="R486" s="944"/>
      <c r="S486" s="944"/>
      <c r="T486" s="944"/>
      <c r="U486" s="944"/>
      <c r="V486" s="944"/>
      <c r="W486" s="944"/>
      <c r="X486" s="944"/>
      <c r="Y486" s="944"/>
      <c r="Z486" s="944"/>
      <c r="AA486" s="944"/>
      <c r="AB486" s="944"/>
      <c r="AC486" s="944"/>
      <c r="AD486" s="944"/>
      <c r="AE486" s="944"/>
      <c r="AF486" s="944"/>
      <c r="AG486" s="944"/>
      <c r="AH486" s="944"/>
      <c r="AI486" s="944"/>
      <c r="AJ486" s="944"/>
      <c r="AK486" s="944"/>
      <c r="AL486" s="944"/>
      <c r="AM486" s="944"/>
      <c r="AN486" s="944"/>
      <c r="AO486" s="944"/>
      <c r="AP486" s="944"/>
      <c r="AQ486" s="944"/>
      <c r="AR486" s="45"/>
    </row>
    <row r="487" spans="1:44" ht="14.25" customHeight="1" x14ac:dyDescent="0.3">
      <c r="A487" s="95"/>
      <c r="B487" s="45"/>
      <c r="C487" s="45"/>
      <c r="D487" s="45"/>
      <c r="E487" s="45"/>
      <c r="F487" s="45"/>
      <c r="G487" s="45"/>
      <c r="H487" s="944"/>
      <c r="I487" s="944"/>
      <c r="J487" s="944"/>
      <c r="K487" s="944"/>
      <c r="L487" s="944"/>
      <c r="M487" s="944"/>
      <c r="N487" s="944"/>
      <c r="O487" s="944"/>
      <c r="P487" s="944"/>
      <c r="Q487" s="944"/>
      <c r="R487" s="944"/>
      <c r="S487" s="944"/>
      <c r="T487" s="944"/>
      <c r="U487" s="944"/>
      <c r="V487" s="944"/>
      <c r="W487" s="944"/>
      <c r="X487" s="944"/>
      <c r="Y487" s="944"/>
      <c r="Z487" s="944"/>
      <c r="AA487" s="944"/>
      <c r="AB487" s="944"/>
      <c r="AC487" s="944"/>
      <c r="AD487" s="944"/>
      <c r="AE487" s="944"/>
      <c r="AF487" s="944"/>
      <c r="AG487" s="944"/>
      <c r="AH487" s="944"/>
      <c r="AI487" s="944"/>
      <c r="AJ487" s="944"/>
      <c r="AK487" s="944"/>
      <c r="AL487" s="944"/>
      <c r="AM487" s="944"/>
      <c r="AN487" s="944"/>
      <c r="AO487" s="944"/>
      <c r="AP487" s="944"/>
      <c r="AQ487" s="944"/>
      <c r="AR487" s="45"/>
    </row>
    <row r="488" spans="1:44" ht="14.25" customHeight="1" x14ac:dyDescent="0.3">
      <c r="A488" s="95"/>
      <c r="B488" s="45"/>
      <c r="C488" s="45"/>
      <c r="D488" s="45"/>
      <c r="E488" s="45"/>
      <c r="F488" s="45"/>
      <c r="G488" s="45"/>
      <c r="H488" s="944"/>
      <c r="I488" s="944"/>
      <c r="J488" s="944"/>
      <c r="K488" s="944"/>
      <c r="L488" s="944"/>
      <c r="M488" s="944"/>
      <c r="N488" s="944"/>
      <c r="O488" s="944"/>
      <c r="P488" s="944"/>
      <c r="Q488" s="944"/>
      <c r="R488" s="944"/>
      <c r="S488" s="944"/>
      <c r="T488" s="944"/>
      <c r="U488" s="944"/>
      <c r="V488" s="944"/>
      <c r="W488" s="944"/>
      <c r="X488" s="944"/>
      <c r="Y488" s="944"/>
      <c r="Z488" s="944"/>
      <c r="AA488" s="944"/>
      <c r="AB488" s="944"/>
      <c r="AC488" s="944"/>
      <c r="AD488" s="944"/>
      <c r="AE488" s="944"/>
      <c r="AF488" s="944"/>
      <c r="AG488" s="944"/>
      <c r="AH488" s="944"/>
      <c r="AI488" s="944"/>
      <c r="AJ488" s="944"/>
      <c r="AK488" s="944"/>
      <c r="AL488" s="944"/>
      <c r="AM488" s="944"/>
      <c r="AN488" s="944"/>
      <c r="AO488" s="944"/>
      <c r="AP488" s="944"/>
      <c r="AQ488" s="944"/>
      <c r="AR488" s="45"/>
    </row>
    <row r="489" spans="1:44" ht="14.25" customHeight="1" x14ac:dyDescent="0.3">
      <c r="A489" s="95"/>
      <c r="B489" s="45"/>
      <c r="C489" s="45"/>
      <c r="D489" s="45"/>
      <c r="E489" s="45"/>
      <c r="F489" s="45"/>
      <c r="G489" s="45"/>
      <c r="H489" s="944"/>
      <c r="I489" s="944"/>
      <c r="J489" s="944"/>
      <c r="K489" s="944"/>
      <c r="L489" s="944"/>
      <c r="M489" s="944"/>
      <c r="N489" s="944"/>
      <c r="O489" s="944"/>
      <c r="P489" s="944"/>
      <c r="Q489" s="944"/>
      <c r="R489" s="944"/>
      <c r="S489" s="944"/>
      <c r="T489" s="944"/>
      <c r="U489" s="944"/>
      <c r="V489" s="944"/>
      <c r="W489" s="944"/>
      <c r="X489" s="944"/>
      <c r="Y489" s="944"/>
      <c r="Z489" s="944"/>
      <c r="AA489" s="944"/>
      <c r="AB489" s="944"/>
      <c r="AC489" s="944"/>
      <c r="AD489" s="944"/>
      <c r="AE489" s="944"/>
      <c r="AF489" s="944"/>
      <c r="AG489" s="944"/>
      <c r="AH489" s="944"/>
      <c r="AI489" s="944"/>
      <c r="AJ489" s="944"/>
      <c r="AK489" s="944"/>
      <c r="AL489" s="944"/>
      <c r="AM489" s="944"/>
      <c r="AN489" s="944"/>
      <c r="AO489" s="944"/>
      <c r="AP489" s="944"/>
      <c r="AQ489" s="944"/>
      <c r="AR489" s="45"/>
    </row>
    <row r="490" spans="1:44" ht="14.25" customHeight="1" x14ac:dyDescent="0.3">
      <c r="A490" s="95"/>
      <c r="B490" s="45"/>
      <c r="C490" s="45"/>
      <c r="D490" s="45"/>
      <c r="E490" s="45"/>
      <c r="F490" s="45"/>
      <c r="G490" s="45"/>
      <c r="H490" s="944"/>
      <c r="I490" s="944"/>
      <c r="J490" s="944"/>
      <c r="K490" s="944"/>
      <c r="L490" s="944"/>
      <c r="M490" s="944"/>
      <c r="N490" s="944"/>
      <c r="O490" s="944"/>
      <c r="P490" s="944"/>
      <c r="Q490" s="944"/>
      <c r="R490" s="944"/>
      <c r="S490" s="944"/>
      <c r="T490" s="944"/>
      <c r="U490" s="944"/>
      <c r="V490" s="944"/>
      <c r="W490" s="944"/>
      <c r="X490" s="944"/>
      <c r="Y490" s="944"/>
      <c r="Z490" s="944"/>
      <c r="AA490" s="944"/>
      <c r="AB490" s="944"/>
      <c r="AC490" s="944"/>
      <c r="AD490" s="944"/>
      <c r="AE490" s="944"/>
      <c r="AF490" s="944"/>
      <c r="AG490" s="944"/>
      <c r="AH490" s="944"/>
      <c r="AI490" s="944"/>
      <c r="AJ490" s="944"/>
      <c r="AK490" s="944"/>
      <c r="AL490" s="944"/>
      <c r="AM490" s="944"/>
      <c r="AN490" s="944"/>
      <c r="AO490" s="944"/>
      <c r="AP490" s="944"/>
      <c r="AQ490" s="944"/>
      <c r="AR490" s="45"/>
    </row>
    <row r="491" spans="1:44" ht="14.25" customHeight="1" x14ac:dyDescent="0.3">
      <c r="A491" s="95"/>
      <c r="B491" s="45"/>
      <c r="C491" s="45"/>
      <c r="D491" s="45"/>
      <c r="E491" s="45"/>
      <c r="F491" s="45"/>
      <c r="G491" s="45"/>
      <c r="H491" s="944"/>
      <c r="I491" s="944"/>
      <c r="J491" s="944"/>
      <c r="K491" s="944"/>
      <c r="L491" s="944"/>
      <c r="M491" s="944"/>
      <c r="N491" s="944"/>
      <c r="O491" s="944"/>
      <c r="P491" s="944"/>
      <c r="Q491" s="944"/>
      <c r="R491" s="944"/>
      <c r="S491" s="944"/>
      <c r="T491" s="944"/>
      <c r="U491" s="944"/>
      <c r="V491" s="944"/>
      <c r="W491" s="944"/>
      <c r="X491" s="944"/>
      <c r="Y491" s="944"/>
      <c r="Z491" s="944"/>
      <c r="AA491" s="944"/>
      <c r="AB491" s="944"/>
      <c r="AC491" s="944"/>
      <c r="AD491" s="944"/>
      <c r="AE491" s="944"/>
      <c r="AF491" s="944"/>
      <c r="AG491" s="944"/>
      <c r="AH491" s="944"/>
      <c r="AI491" s="944"/>
      <c r="AJ491" s="944"/>
      <c r="AK491" s="944"/>
      <c r="AL491" s="944"/>
      <c r="AM491" s="944"/>
      <c r="AN491" s="944"/>
      <c r="AO491" s="944"/>
      <c r="AP491" s="944"/>
      <c r="AQ491" s="944"/>
      <c r="AR491" s="45"/>
    </row>
    <row r="492" spans="1:44" ht="14.25" customHeight="1" x14ac:dyDescent="0.3">
      <c r="A492" s="95"/>
      <c r="B492" s="45"/>
      <c r="C492" s="45"/>
      <c r="D492" s="45"/>
      <c r="E492" s="45"/>
      <c r="F492" s="45"/>
      <c r="G492" s="45"/>
      <c r="H492" s="944"/>
      <c r="I492" s="944"/>
      <c r="J492" s="944"/>
      <c r="K492" s="944"/>
      <c r="L492" s="944"/>
      <c r="M492" s="944"/>
      <c r="N492" s="944"/>
      <c r="O492" s="944"/>
      <c r="P492" s="944"/>
      <c r="Q492" s="944"/>
      <c r="R492" s="944"/>
      <c r="S492" s="944"/>
      <c r="T492" s="944"/>
      <c r="U492" s="944"/>
      <c r="V492" s="944"/>
      <c r="W492" s="944"/>
      <c r="X492" s="944"/>
      <c r="Y492" s="944"/>
      <c r="Z492" s="944"/>
      <c r="AA492" s="944"/>
      <c r="AB492" s="944"/>
      <c r="AC492" s="944"/>
      <c r="AD492" s="944"/>
      <c r="AE492" s="944"/>
      <c r="AF492" s="944"/>
      <c r="AG492" s="944"/>
      <c r="AH492" s="944"/>
      <c r="AI492" s="944"/>
      <c r="AJ492" s="944"/>
      <c r="AK492" s="944"/>
      <c r="AL492" s="944"/>
      <c r="AM492" s="944"/>
      <c r="AN492" s="944"/>
      <c r="AO492" s="944"/>
      <c r="AP492" s="944"/>
      <c r="AQ492" s="944"/>
      <c r="AR492" s="45"/>
    </row>
    <row r="493" spans="1:44" ht="14.25" customHeight="1" x14ac:dyDescent="0.3">
      <c r="A493" s="95"/>
      <c r="B493" s="45"/>
      <c r="C493" s="45"/>
      <c r="D493" s="45"/>
      <c r="E493" s="45"/>
      <c r="F493" s="45"/>
      <c r="G493" s="45"/>
      <c r="H493" s="944"/>
      <c r="I493" s="944"/>
      <c r="J493" s="944"/>
      <c r="K493" s="944"/>
      <c r="L493" s="944"/>
      <c r="M493" s="944"/>
      <c r="N493" s="944"/>
      <c r="O493" s="944"/>
      <c r="P493" s="944"/>
      <c r="Q493" s="944"/>
      <c r="R493" s="944"/>
      <c r="S493" s="944"/>
      <c r="T493" s="944"/>
      <c r="U493" s="944"/>
      <c r="V493" s="944"/>
      <c r="W493" s="944"/>
      <c r="X493" s="944"/>
      <c r="Y493" s="944"/>
      <c r="Z493" s="944"/>
      <c r="AA493" s="944"/>
      <c r="AB493" s="944"/>
      <c r="AC493" s="944"/>
      <c r="AD493" s="944"/>
      <c r="AE493" s="944"/>
      <c r="AF493" s="944"/>
      <c r="AG493" s="944"/>
      <c r="AH493" s="944"/>
      <c r="AI493" s="944"/>
      <c r="AJ493" s="944"/>
      <c r="AK493" s="944"/>
      <c r="AL493" s="944"/>
      <c r="AM493" s="944"/>
      <c r="AN493" s="944"/>
      <c r="AO493" s="944"/>
      <c r="AP493" s="944"/>
      <c r="AQ493" s="944"/>
      <c r="AR493" s="45"/>
    </row>
    <row r="494" spans="1:44" ht="14.25" customHeight="1" x14ac:dyDescent="0.3">
      <c r="A494" s="95"/>
      <c r="B494" s="45"/>
      <c r="C494" s="45"/>
      <c r="D494" s="45"/>
      <c r="E494" s="45"/>
      <c r="F494" s="45"/>
      <c r="G494" s="45"/>
      <c r="H494" s="944"/>
      <c r="I494" s="944"/>
      <c r="J494" s="944"/>
      <c r="K494" s="944"/>
      <c r="L494" s="944"/>
      <c r="M494" s="944"/>
      <c r="N494" s="944"/>
      <c r="O494" s="944"/>
      <c r="P494" s="944"/>
      <c r="Q494" s="944"/>
      <c r="R494" s="944"/>
      <c r="S494" s="944"/>
      <c r="T494" s="944"/>
      <c r="U494" s="944"/>
      <c r="V494" s="944"/>
      <c r="W494" s="944"/>
      <c r="X494" s="944"/>
      <c r="Y494" s="944"/>
      <c r="Z494" s="944"/>
      <c r="AA494" s="944"/>
      <c r="AB494" s="944"/>
      <c r="AC494" s="944"/>
      <c r="AD494" s="944"/>
      <c r="AE494" s="944"/>
      <c r="AF494" s="944"/>
      <c r="AG494" s="944"/>
      <c r="AH494" s="944"/>
      <c r="AI494" s="944"/>
      <c r="AJ494" s="944"/>
      <c r="AK494" s="944"/>
      <c r="AL494" s="944"/>
      <c r="AM494" s="944"/>
      <c r="AN494" s="944"/>
      <c r="AO494" s="944"/>
      <c r="AP494" s="944"/>
      <c r="AQ494" s="944"/>
      <c r="AR494" s="45"/>
    </row>
    <row r="495" spans="1:44" ht="14.25" customHeight="1" x14ac:dyDescent="0.3">
      <c r="A495" s="95"/>
      <c r="B495" s="45"/>
      <c r="C495" s="45"/>
      <c r="D495" s="45"/>
      <c r="E495" s="45"/>
      <c r="F495" s="45"/>
      <c r="G495" s="45"/>
      <c r="H495" s="944"/>
      <c r="I495" s="944"/>
      <c r="J495" s="944"/>
      <c r="K495" s="944"/>
      <c r="L495" s="944"/>
      <c r="M495" s="944"/>
      <c r="N495" s="944"/>
      <c r="O495" s="944"/>
      <c r="P495" s="944"/>
      <c r="Q495" s="944"/>
      <c r="R495" s="944"/>
      <c r="S495" s="944"/>
      <c r="T495" s="944"/>
      <c r="U495" s="944"/>
      <c r="V495" s="944"/>
      <c r="W495" s="944"/>
      <c r="X495" s="944"/>
      <c r="Y495" s="944"/>
      <c r="Z495" s="944"/>
      <c r="AA495" s="944"/>
      <c r="AB495" s="944"/>
      <c r="AC495" s="944"/>
      <c r="AD495" s="944"/>
      <c r="AE495" s="944"/>
      <c r="AF495" s="944"/>
      <c r="AG495" s="944"/>
      <c r="AH495" s="944"/>
      <c r="AI495" s="944"/>
      <c r="AJ495" s="944"/>
      <c r="AK495" s="944"/>
      <c r="AL495" s="944"/>
      <c r="AM495" s="944"/>
      <c r="AN495" s="944"/>
      <c r="AO495" s="944"/>
      <c r="AP495" s="944"/>
      <c r="AQ495" s="944"/>
      <c r="AR495" s="45"/>
    </row>
    <row r="496" spans="1:44" ht="14.25" customHeight="1" x14ac:dyDescent="0.3">
      <c r="A496" s="95"/>
      <c r="B496" s="45"/>
      <c r="C496" s="45"/>
      <c r="D496" s="45"/>
      <c r="E496" s="45"/>
      <c r="F496" s="45"/>
      <c r="G496" s="45"/>
      <c r="H496" s="944"/>
      <c r="I496" s="944"/>
      <c r="J496" s="944"/>
      <c r="K496" s="944"/>
      <c r="L496" s="944"/>
      <c r="M496" s="944"/>
      <c r="N496" s="944"/>
      <c r="O496" s="944"/>
      <c r="P496" s="944"/>
      <c r="Q496" s="944"/>
      <c r="R496" s="944"/>
      <c r="S496" s="944"/>
      <c r="T496" s="944"/>
      <c r="U496" s="944"/>
      <c r="V496" s="944"/>
      <c r="W496" s="944"/>
      <c r="X496" s="944"/>
      <c r="Y496" s="944"/>
      <c r="Z496" s="944"/>
      <c r="AA496" s="944"/>
      <c r="AB496" s="944"/>
      <c r="AC496" s="944"/>
      <c r="AD496" s="944"/>
      <c r="AE496" s="944"/>
      <c r="AF496" s="944"/>
      <c r="AG496" s="944"/>
      <c r="AH496" s="944"/>
      <c r="AI496" s="944"/>
      <c r="AJ496" s="944"/>
      <c r="AK496" s="944"/>
      <c r="AL496" s="944"/>
      <c r="AM496" s="944"/>
      <c r="AN496" s="944"/>
      <c r="AO496" s="944"/>
      <c r="AP496" s="944"/>
      <c r="AQ496" s="944"/>
      <c r="AR496" s="45"/>
    </row>
    <row r="497" spans="1:44" ht="14.25" customHeight="1" x14ac:dyDescent="0.3">
      <c r="A497" s="95"/>
      <c r="B497" s="45"/>
      <c r="C497" s="45"/>
      <c r="D497" s="45"/>
      <c r="E497" s="45"/>
      <c r="F497" s="45"/>
      <c r="G497" s="45"/>
      <c r="H497" s="944"/>
      <c r="I497" s="944"/>
      <c r="J497" s="944"/>
      <c r="K497" s="944"/>
      <c r="L497" s="944"/>
      <c r="M497" s="944"/>
      <c r="N497" s="944"/>
      <c r="O497" s="944"/>
      <c r="P497" s="944"/>
      <c r="Q497" s="944"/>
      <c r="R497" s="944"/>
      <c r="S497" s="944"/>
      <c r="T497" s="944"/>
      <c r="U497" s="944"/>
      <c r="V497" s="944"/>
      <c r="W497" s="944"/>
      <c r="X497" s="944"/>
      <c r="Y497" s="944"/>
      <c r="Z497" s="944"/>
      <c r="AA497" s="944"/>
      <c r="AB497" s="944"/>
      <c r="AC497" s="944"/>
      <c r="AD497" s="944"/>
      <c r="AE497" s="944"/>
      <c r="AF497" s="944"/>
      <c r="AG497" s="944"/>
      <c r="AH497" s="944"/>
      <c r="AI497" s="944"/>
      <c r="AJ497" s="944"/>
      <c r="AK497" s="944"/>
      <c r="AL497" s="944"/>
      <c r="AM497" s="944"/>
      <c r="AN497" s="944"/>
      <c r="AO497" s="944"/>
      <c r="AP497" s="944"/>
      <c r="AQ497" s="944"/>
      <c r="AR497" s="45"/>
    </row>
    <row r="498" spans="1:44" ht="14.25" customHeight="1" x14ac:dyDescent="0.3">
      <c r="A498" s="95"/>
      <c r="B498" s="45"/>
      <c r="C498" s="45"/>
      <c r="D498" s="45"/>
      <c r="E498" s="45"/>
      <c r="F498" s="45"/>
      <c r="G498" s="45"/>
      <c r="H498" s="944"/>
      <c r="I498" s="944"/>
      <c r="J498" s="944"/>
      <c r="K498" s="944"/>
      <c r="L498" s="944"/>
      <c r="M498" s="944"/>
      <c r="N498" s="944"/>
      <c r="O498" s="944"/>
      <c r="P498" s="944"/>
      <c r="Q498" s="944"/>
      <c r="R498" s="944"/>
      <c r="S498" s="944"/>
      <c r="T498" s="944"/>
      <c r="U498" s="944"/>
      <c r="V498" s="944"/>
      <c r="W498" s="944"/>
      <c r="X498" s="944"/>
      <c r="Y498" s="944"/>
      <c r="Z498" s="944"/>
      <c r="AA498" s="944"/>
      <c r="AB498" s="944"/>
      <c r="AC498" s="944"/>
      <c r="AD498" s="944"/>
      <c r="AE498" s="944"/>
      <c r="AF498" s="944"/>
      <c r="AG498" s="944"/>
      <c r="AH498" s="944"/>
      <c r="AI498" s="944"/>
      <c r="AJ498" s="944"/>
      <c r="AK498" s="944"/>
      <c r="AL498" s="944"/>
      <c r="AM498" s="944"/>
      <c r="AN498" s="944"/>
      <c r="AO498" s="944"/>
      <c r="AP498" s="944"/>
      <c r="AQ498" s="944"/>
      <c r="AR498" s="45"/>
    </row>
    <row r="499" spans="1:44" ht="14.25" customHeight="1" x14ac:dyDescent="0.3">
      <c r="A499" s="95"/>
      <c r="B499" s="45"/>
      <c r="C499" s="45"/>
      <c r="D499" s="45"/>
      <c r="E499" s="45"/>
      <c r="F499" s="45"/>
      <c r="G499" s="45"/>
      <c r="H499" s="944"/>
      <c r="I499" s="944"/>
      <c r="J499" s="944"/>
      <c r="K499" s="944"/>
      <c r="L499" s="944"/>
      <c r="M499" s="944"/>
      <c r="N499" s="944"/>
      <c r="O499" s="944"/>
      <c r="P499" s="944"/>
      <c r="Q499" s="944"/>
      <c r="R499" s="944"/>
      <c r="S499" s="944"/>
      <c r="T499" s="944"/>
      <c r="U499" s="944"/>
      <c r="V499" s="944"/>
      <c r="W499" s="944"/>
      <c r="X499" s="944"/>
      <c r="Y499" s="944"/>
      <c r="Z499" s="944"/>
      <c r="AA499" s="944"/>
      <c r="AB499" s="944"/>
      <c r="AC499" s="944"/>
      <c r="AD499" s="944"/>
      <c r="AE499" s="944"/>
      <c r="AF499" s="944"/>
      <c r="AG499" s="944"/>
      <c r="AH499" s="944"/>
      <c r="AI499" s="944"/>
      <c r="AJ499" s="944"/>
      <c r="AK499" s="944"/>
      <c r="AL499" s="944"/>
      <c r="AM499" s="944"/>
      <c r="AN499" s="944"/>
      <c r="AO499" s="944"/>
      <c r="AP499" s="944"/>
      <c r="AQ499" s="944"/>
      <c r="AR499" s="45"/>
    </row>
    <row r="500" spans="1:44" ht="14.25" customHeight="1" x14ac:dyDescent="0.3">
      <c r="A500" s="95"/>
      <c r="B500" s="45"/>
      <c r="C500" s="45"/>
      <c r="D500" s="45"/>
      <c r="E500" s="45"/>
      <c r="F500" s="45"/>
      <c r="G500" s="45"/>
      <c r="H500" s="944"/>
      <c r="I500" s="944"/>
      <c r="J500" s="944"/>
      <c r="K500" s="944"/>
      <c r="L500" s="944"/>
      <c r="M500" s="944"/>
      <c r="N500" s="944"/>
      <c r="O500" s="944"/>
      <c r="P500" s="944"/>
      <c r="Q500" s="944"/>
      <c r="R500" s="944"/>
      <c r="S500" s="944"/>
      <c r="T500" s="944"/>
      <c r="U500" s="944"/>
      <c r="V500" s="944"/>
      <c r="W500" s="944"/>
      <c r="X500" s="944"/>
      <c r="Y500" s="944"/>
      <c r="Z500" s="944"/>
      <c r="AA500" s="944"/>
      <c r="AB500" s="944"/>
      <c r="AC500" s="944"/>
      <c r="AD500" s="944"/>
      <c r="AE500" s="944"/>
      <c r="AF500" s="944"/>
      <c r="AG500" s="944"/>
      <c r="AH500" s="944"/>
      <c r="AI500" s="944"/>
      <c r="AJ500" s="944"/>
      <c r="AK500" s="944"/>
      <c r="AL500" s="944"/>
      <c r="AM500" s="944"/>
      <c r="AN500" s="944"/>
      <c r="AO500" s="944"/>
      <c r="AP500" s="944"/>
      <c r="AQ500" s="944"/>
      <c r="AR500" s="45"/>
    </row>
    <row r="501" spans="1:44" ht="14.25" customHeight="1" x14ac:dyDescent="0.3">
      <c r="A501" s="95"/>
      <c r="B501" s="45"/>
      <c r="C501" s="45"/>
      <c r="D501" s="45"/>
      <c r="E501" s="45"/>
      <c r="F501" s="45"/>
      <c r="G501" s="45"/>
      <c r="H501" s="944"/>
      <c r="I501" s="944"/>
      <c r="J501" s="944"/>
      <c r="K501" s="944"/>
      <c r="L501" s="944"/>
      <c r="M501" s="944"/>
      <c r="N501" s="944"/>
      <c r="O501" s="944"/>
      <c r="P501" s="944"/>
      <c r="Q501" s="944"/>
      <c r="R501" s="944"/>
      <c r="S501" s="944"/>
      <c r="T501" s="944"/>
      <c r="U501" s="944"/>
      <c r="V501" s="944"/>
      <c r="W501" s="944"/>
      <c r="X501" s="944"/>
      <c r="Y501" s="944"/>
      <c r="Z501" s="944"/>
      <c r="AA501" s="944"/>
      <c r="AB501" s="944"/>
      <c r="AC501" s="944"/>
      <c r="AD501" s="944"/>
      <c r="AE501" s="944"/>
      <c r="AF501" s="944"/>
      <c r="AG501" s="944"/>
      <c r="AH501" s="944"/>
      <c r="AI501" s="944"/>
      <c r="AJ501" s="944"/>
      <c r="AK501" s="944"/>
      <c r="AL501" s="944"/>
      <c r="AM501" s="944"/>
      <c r="AN501" s="944"/>
      <c r="AO501" s="944"/>
      <c r="AP501" s="944"/>
      <c r="AQ501" s="944"/>
      <c r="AR501" s="45"/>
    </row>
    <row r="502" spans="1:44" ht="14.25" customHeight="1" x14ac:dyDescent="0.3">
      <c r="A502" s="95"/>
      <c r="B502" s="45"/>
      <c r="C502" s="45"/>
      <c r="D502" s="45"/>
      <c r="E502" s="45"/>
      <c r="F502" s="45"/>
      <c r="G502" s="45"/>
      <c r="H502" s="944"/>
      <c r="I502" s="944"/>
      <c r="J502" s="944"/>
      <c r="K502" s="944"/>
      <c r="L502" s="944"/>
      <c r="M502" s="944"/>
      <c r="N502" s="944"/>
      <c r="O502" s="944"/>
      <c r="P502" s="944"/>
      <c r="Q502" s="944"/>
      <c r="R502" s="944"/>
      <c r="S502" s="944"/>
      <c r="T502" s="944"/>
      <c r="U502" s="944"/>
      <c r="V502" s="944"/>
      <c r="W502" s="944"/>
      <c r="X502" s="944"/>
      <c r="Y502" s="944"/>
      <c r="Z502" s="944"/>
      <c r="AA502" s="944"/>
      <c r="AB502" s="944"/>
      <c r="AC502" s="944"/>
      <c r="AD502" s="944"/>
      <c r="AE502" s="944"/>
      <c r="AF502" s="944"/>
      <c r="AG502" s="944"/>
      <c r="AH502" s="944"/>
      <c r="AI502" s="944"/>
      <c r="AJ502" s="944"/>
      <c r="AK502" s="944"/>
      <c r="AL502" s="944"/>
      <c r="AM502" s="944"/>
      <c r="AN502" s="944"/>
      <c r="AO502" s="944"/>
      <c r="AP502" s="944"/>
      <c r="AQ502" s="944"/>
      <c r="AR502" s="45"/>
    </row>
    <row r="503" spans="1:44" ht="14.25" customHeight="1" x14ac:dyDescent="0.3">
      <c r="A503" s="95"/>
      <c r="B503" s="45"/>
      <c r="C503" s="45"/>
      <c r="D503" s="45"/>
      <c r="E503" s="45"/>
      <c r="F503" s="45"/>
      <c r="G503" s="45"/>
      <c r="H503" s="944"/>
      <c r="I503" s="944"/>
      <c r="J503" s="944"/>
      <c r="K503" s="944"/>
      <c r="L503" s="944"/>
      <c r="M503" s="944"/>
      <c r="N503" s="944"/>
      <c r="O503" s="944"/>
      <c r="P503" s="944"/>
      <c r="Q503" s="944"/>
      <c r="R503" s="944"/>
      <c r="S503" s="944"/>
      <c r="T503" s="944"/>
      <c r="U503" s="944"/>
      <c r="V503" s="944"/>
      <c r="W503" s="944"/>
      <c r="X503" s="944"/>
      <c r="Y503" s="944"/>
      <c r="Z503" s="944"/>
      <c r="AA503" s="944"/>
      <c r="AB503" s="944"/>
      <c r="AC503" s="944"/>
      <c r="AD503" s="944"/>
      <c r="AE503" s="944"/>
      <c r="AF503" s="944"/>
      <c r="AG503" s="944"/>
      <c r="AH503" s="944"/>
      <c r="AI503" s="944"/>
      <c r="AJ503" s="944"/>
      <c r="AK503" s="944"/>
      <c r="AL503" s="944"/>
      <c r="AM503" s="944"/>
      <c r="AN503" s="944"/>
      <c r="AO503" s="944"/>
      <c r="AP503" s="944"/>
      <c r="AQ503" s="944"/>
      <c r="AR503" s="45"/>
    </row>
    <row r="504" spans="1:44" ht="14.25" customHeight="1" x14ac:dyDescent="0.3">
      <c r="A504" s="95"/>
      <c r="B504" s="45"/>
      <c r="C504" s="45"/>
      <c r="D504" s="45"/>
      <c r="E504" s="45"/>
      <c r="F504" s="45"/>
      <c r="G504" s="45"/>
      <c r="H504" s="944"/>
      <c r="I504" s="944"/>
      <c r="J504" s="944"/>
      <c r="K504" s="944"/>
      <c r="L504" s="944"/>
      <c r="M504" s="944"/>
      <c r="N504" s="944"/>
      <c r="O504" s="944"/>
      <c r="P504" s="944"/>
      <c r="Q504" s="944"/>
      <c r="R504" s="944"/>
      <c r="S504" s="944"/>
      <c r="T504" s="944"/>
      <c r="U504" s="944"/>
      <c r="V504" s="944"/>
      <c r="W504" s="944"/>
      <c r="X504" s="944"/>
      <c r="Y504" s="944"/>
      <c r="Z504" s="944"/>
      <c r="AA504" s="944"/>
      <c r="AB504" s="944"/>
      <c r="AC504" s="944"/>
      <c r="AD504" s="944"/>
      <c r="AE504" s="944"/>
      <c r="AF504" s="944"/>
      <c r="AG504" s="944"/>
      <c r="AH504" s="944"/>
      <c r="AI504" s="944"/>
      <c r="AJ504" s="944"/>
      <c r="AK504" s="944"/>
      <c r="AL504" s="944"/>
      <c r="AM504" s="944"/>
      <c r="AN504" s="944"/>
      <c r="AO504" s="944"/>
      <c r="AP504" s="944"/>
      <c r="AQ504" s="944"/>
      <c r="AR504" s="45"/>
    </row>
    <row r="505" spans="1:44" ht="14.25" customHeight="1" x14ac:dyDescent="0.3">
      <c r="A505" s="95"/>
      <c r="B505" s="45"/>
      <c r="C505" s="45"/>
      <c r="D505" s="45"/>
      <c r="E505" s="45"/>
      <c r="F505" s="45"/>
      <c r="G505" s="45"/>
      <c r="H505" s="944"/>
      <c r="I505" s="944"/>
      <c r="J505" s="944"/>
      <c r="K505" s="944"/>
      <c r="L505" s="944"/>
      <c r="M505" s="944"/>
      <c r="N505" s="944"/>
      <c r="O505" s="944"/>
      <c r="P505" s="944"/>
      <c r="Q505" s="944"/>
      <c r="R505" s="944"/>
      <c r="S505" s="944"/>
      <c r="T505" s="944"/>
      <c r="U505" s="944"/>
      <c r="V505" s="944"/>
      <c r="W505" s="944"/>
      <c r="X505" s="944"/>
      <c r="Y505" s="944"/>
      <c r="Z505" s="944"/>
      <c r="AA505" s="944"/>
      <c r="AB505" s="944"/>
      <c r="AC505" s="944"/>
      <c r="AD505" s="944"/>
      <c r="AE505" s="944"/>
      <c r="AF505" s="944"/>
      <c r="AG505" s="944"/>
      <c r="AH505" s="944"/>
      <c r="AI505" s="944"/>
      <c r="AJ505" s="944"/>
      <c r="AK505" s="944"/>
      <c r="AL505" s="944"/>
      <c r="AM505" s="944"/>
      <c r="AN505" s="944"/>
      <c r="AO505" s="944"/>
      <c r="AP505" s="944"/>
      <c r="AQ505" s="944"/>
      <c r="AR505" s="45"/>
    </row>
    <row r="506" spans="1:44" ht="14.25" customHeight="1" x14ac:dyDescent="0.3">
      <c r="A506" s="95"/>
      <c r="B506" s="45"/>
      <c r="C506" s="45"/>
      <c r="D506" s="45"/>
      <c r="E506" s="45"/>
      <c r="F506" s="45"/>
      <c r="G506" s="45"/>
      <c r="H506" s="944"/>
      <c r="I506" s="944"/>
      <c r="J506" s="944"/>
      <c r="K506" s="944"/>
      <c r="L506" s="944"/>
      <c r="M506" s="944"/>
      <c r="N506" s="944"/>
      <c r="O506" s="944"/>
      <c r="P506" s="944"/>
      <c r="Q506" s="944"/>
      <c r="R506" s="944"/>
      <c r="S506" s="944"/>
      <c r="T506" s="944"/>
      <c r="U506" s="944"/>
      <c r="V506" s="944"/>
      <c r="W506" s="944"/>
      <c r="X506" s="944"/>
      <c r="Y506" s="944"/>
      <c r="Z506" s="944"/>
      <c r="AA506" s="944"/>
      <c r="AB506" s="944"/>
      <c r="AC506" s="944"/>
      <c r="AD506" s="944"/>
      <c r="AE506" s="944"/>
      <c r="AF506" s="944"/>
      <c r="AG506" s="944"/>
      <c r="AH506" s="944"/>
      <c r="AI506" s="944"/>
      <c r="AJ506" s="944"/>
      <c r="AK506" s="944"/>
      <c r="AL506" s="944"/>
      <c r="AM506" s="944"/>
      <c r="AN506" s="944"/>
      <c r="AO506" s="944"/>
      <c r="AP506" s="944"/>
      <c r="AQ506" s="944"/>
      <c r="AR506" s="45"/>
    </row>
    <row r="507" spans="1:44" ht="14.25" customHeight="1" x14ac:dyDescent="0.3">
      <c r="A507" s="95"/>
      <c r="B507" s="45"/>
      <c r="C507" s="45"/>
      <c r="D507" s="45"/>
      <c r="E507" s="45"/>
      <c r="F507" s="45"/>
      <c r="G507" s="45"/>
      <c r="H507" s="944"/>
      <c r="I507" s="944"/>
      <c r="J507" s="944"/>
      <c r="K507" s="944"/>
      <c r="L507" s="944"/>
      <c r="M507" s="944"/>
      <c r="N507" s="944"/>
      <c r="O507" s="944"/>
      <c r="P507" s="944"/>
      <c r="Q507" s="944"/>
      <c r="R507" s="944"/>
      <c r="S507" s="944"/>
      <c r="T507" s="944"/>
      <c r="U507" s="944"/>
      <c r="V507" s="944"/>
      <c r="W507" s="944"/>
      <c r="X507" s="944"/>
      <c r="Y507" s="944"/>
      <c r="Z507" s="944"/>
      <c r="AA507" s="944"/>
      <c r="AB507" s="944"/>
      <c r="AC507" s="944"/>
      <c r="AD507" s="944"/>
      <c r="AE507" s="944"/>
      <c r="AF507" s="944"/>
      <c r="AG507" s="944"/>
      <c r="AH507" s="944"/>
      <c r="AI507" s="944"/>
      <c r="AJ507" s="944"/>
      <c r="AK507" s="944"/>
      <c r="AL507" s="944"/>
      <c r="AM507" s="944"/>
      <c r="AN507" s="944"/>
      <c r="AO507" s="944"/>
      <c r="AP507" s="944"/>
      <c r="AQ507" s="944"/>
      <c r="AR507" s="45"/>
    </row>
    <row r="508" spans="1:44" ht="14.25" customHeight="1" x14ac:dyDescent="0.3">
      <c r="A508" s="95"/>
      <c r="B508" s="45"/>
      <c r="C508" s="45"/>
      <c r="D508" s="45"/>
      <c r="E508" s="45"/>
      <c r="F508" s="45"/>
      <c r="G508" s="45"/>
      <c r="H508" s="944"/>
      <c r="I508" s="944"/>
      <c r="J508" s="944"/>
      <c r="K508" s="944"/>
      <c r="L508" s="944"/>
      <c r="M508" s="944"/>
      <c r="N508" s="944"/>
      <c r="O508" s="944"/>
      <c r="P508" s="944"/>
      <c r="Q508" s="944"/>
      <c r="R508" s="944"/>
      <c r="S508" s="944"/>
      <c r="T508" s="944"/>
      <c r="U508" s="944"/>
      <c r="V508" s="944"/>
      <c r="W508" s="944"/>
      <c r="X508" s="944"/>
      <c r="Y508" s="944"/>
      <c r="Z508" s="944"/>
      <c r="AA508" s="944"/>
      <c r="AB508" s="944"/>
      <c r="AC508" s="944"/>
      <c r="AD508" s="944"/>
      <c r="AE508" s="944"/>
      <c r="AF508" s="944"/>
      <c r="AG508" s="944"/>
      <c r="AH508" s="944"/>
      <c r="AI508" s="944"/>
      <c r="AJ508" s="944"/>
      <c r="AK508" s="944"/>
      <c r="AL508" s="944"/>
      <c r="AM508" s="944"/>
      <c r="AN508" s="944"/>
      <c r="AO508" s="944"/>
      <c r="AP508" s="944"/>
      <c r="AQ508" s="944"/>
      <c r="AR508" s="45"/>
    </row>
    <row r="509" spans="1:44" ht="14.25" customHeight="1" x14ac:dyDescent="0.3">
      <c r="A509" s="95"/>
      <c r="B509" s="45"/>
      <c r="C509" s="45"/>
      <c r="D509" s="45"/>
      <c r="E509" s="45"/>
      <c r="F509" s="45"/>
      <c r="G509" s="45"/>
      <c r="H509" s="944"/>
      <c r="I509" s="944"/>
      <c r="J509" s="944"/>
      <c r="K509" s="944"/>
      <c r="L509" s="944"/>
      <c r="M509" s="944"/>
      <c r="N509" s="944"/>
      <c r="O509" s="944"/>
      <c r="P509" s="944"/>
      <c r="Q509" s="944"/>
      <c r="R509" s="944"/>
      <c r="S509" s="944"/>
      <c r="T509" s="944"/>
      <c r="U509" s="944"/>
      <c r="V509" s="944"/>
      <c r="W509" s="944"/>
      <c r="X509" s="944"/>
      <c r="Y509" s="944"/>
      <c r="Z509" s="944"/>
      <c r="AA509" s="944"/>
      <c r="AB509" s="944"/>
      <c r="AC509" s="944"/>
      <c r="AD509" s="944"/>
      <c r="AE509" s="944"/>
      <c r="AF509" s="944"/>
      <c r="AG509" s="944"/>
      <c r="AH509" s="944"/>
      <c r="AI509" s="944"/>
      <c r="AJ509" s="944"/>
      <c r="AK509" s="944"/>
      <c r="AL509" s="944"/>
      <c r="AM509" s="944"/>
      <c r="AN509" s="944"/>
      <c r="AO509" s="944"/>
      <c r="AP509" s="944"/>
      <c r="AQ509" s="944"/>
      <c r="AR509" s="45"/>
    </row>
    <row r="510" spans="1:44" ht="14.25" customHeight="1" x14ac:dyDescent="0.3">
      <c r="A510" s="95"/>
      <c r="B510" s="45"/>
      <c r="C510" s="45"/>
      <c r="D510" s="45"/>
      <c r="E510" s="45"/>
      <c r="F510" s="45"/>
      <c r="G510" s="45"/>
      <c r="H510" s="944"/>
      <c r="I510" s="944"/>
      <c r="J510" s="944"/>
      <c r="K510" s="944"/>
      <c r="L510" s="944"/>
      <c r="M510" s="944"/>
      <c r="N510" s="944"/>
      <c r="O510" s="944"/>
      <c r="P510" s="944"/>
      <c r="Q510" s="944"/>
      <c r="R510" s="944"/>
      <c r="S510" s="944"/>
      <c r="T510" s="944"/>
      <c r="U510" s="944"/>
      <c r="V510" s="944"/>
      <c r="W510" s="944"/>
      <c r="X510" s="944"/>
      <c r="Y510" s="944"/>
      <c r="Z510" s="944"/>
      <c r="AA510" s="944"/>
      <c r="AB510" s="944"/>
      <c r="AC510" s="944"/>
      <c r="AD510" s="944"/>
      <c r="AE510" s="944"/>
      <c r="AF510" s="944"/>
      <c r="AG510" s="944"/>
      <c r="AH510" s="944"/>
      <c r="AI510" s="944"/>
      <c r="AJ510" s="944"/>
      <c r="AK510" s="944"/>
      <c r="AL510" s="944"/>
      <c r="AM510" s="944"/>
      <c r="AN510" s="944"/>
      <c r="AO510" s="944"/>
      <c r="AP510" s="944"/>
      <c r="AQ510" s="944"/>
      <c r="AR510" s="45"/>
    </row>
    <row r="511" spans="1:44" ht="14.25" customHeight="1" x14ac:dyDescent="0.3">
      <c r="A511" s="95"/>
      <c r="B511" s="45"/>
      <c r="C511" s="45"/>
      <c r="D511" s="45"/>
      <c r="E511" s="45"/>
      <c r="F511" s="45"/>
      <c r="G511" s="45"/>
      <c r="H511" s="944"/>
      <c r="I511" s="944"/>
      <c r="J511" s="944"/>
      <c r="K511" s="944"/>
      <c r="L511" s="944"/>
      <c r="M511" s="944"/>
      <c r="N511" s="944"/>
      <c r="O511" s="944"/>
      <c r="P511" s="944"/>
      <c r="Q511" s="944"/>
      <c r="R511" s="944"/>
      <c r="S511" s="944"/>
      <c r="T511" s="944"/>
      <c r="U511" s="944"/>
      <c r="V511" s="944"/>
      <c r="W511" s="944"/>
      <c r="X511" s="944"/>
      <c r="Y511" s="944"/>
      <c r="Z511" s="944"/>
      <c r="AA511" s="944"/>
      <c r="AB511" s="944"/>
      <c r="AC511" s="944"/>
      <c r="AD511" s="944"/>
      <c r="AE511" s="944"/>
      <c r="AF511" s="944"/>
      <c r="AG511" s="944"/>
      <c r="AH511" s="944"/>
      <c r="AI511" s="944"/>
      <c r="AJ511" s="944"/>
      <c r="AK511" s="944"/>
      <c r="AL511" s="944"/>
      <c r="AM511" s="944"/>
      <c r="AN511" s="944"/>
      <c r="AO511" s="944"/>
      <c r="AP511" s="944"/>
      <c r="AQ511" s="944"/>
      <c r="AR511" s="45"/>
    </row>
    <row r="512" spans="1:44" ht="14.25" customHeight="1" x14ac:dyDescent="0.3">
      <c r="A512" s="95"/>
      <c r="B512" s="45"/>
      <c r="C512" s="45"/>
      <c r="D512" s="45"/>
      <c r="E512" s="45"/>
      <c r="F512" s="45"/>
      <c r="G512" s="45"/>
      <c r="H512" s="944"/>
      <c r="I512" s="944"/>
      <c r="J512" s="944"/>
      <c r="K512" s="944"/>
      <c r="L512" s="944"/>
      <c r="M512" s="944"/>
      <c r="N512" s="944"/>
      <c r="O512" s="944"/>
      <c r="P512" s="944"/>
      <c r="Q512" s="944"/>
      <c r="R512" s="944"/>
      <c r="S512" s="944"/>
      <c r="T512" s="944"/>
      <c r="U512" s="944"/>
      <c r="V512" s="944"/>
      <c r="W512" s="944"/>
      <c r="X512" s="944"/>
      <c r="Y512" s="944"/>
      <c r="Z512" s="944"/>
      <c r="AA512" s="944"/>
      <c r="AB512" s="944"/>
      <c r="AC512" s="944"/>
      <c r="AD512" s="944"/>
      <c r="AE512" s="944"/>
      <c r="AF512" s="944"/>
      <c r="AG512" s="944"/>
      <c r="AH512" s="944"/>
      <c r="AI512" s="944"/>
      <c r="AJ512" s="944"/>
      <c r="AK512" s="944"/>
      <c r="AL512" s="944"/>
      <c r="AM512" s="944"/>
      <c r="AN512" s="944"/>
      <c r="AO512" s="944"/>
      <c r="AP512" s="944"/>
      <c r="AQ512" s="944"/>
      <c r="AR512" s="45"/>
    </row>
    <row r="513" spans="1:44" ht="14.25" customHeight="1" x14ac:dyDescent="0.3">
      <c r="A513" s="95"/>
      <c r="B513" s="45"/>
      <c r="C513" s="45"/>
      <c r="D513" s="45"/>
      <c r="E513" s="45"/>
      <c r="F513" s="45"/>
      <c r="G513" s="45"/>
      <c r="H513" s="944"/>
      <c r="I513" s="944"/>
      <c r="J513" s="944"/>
      <c r="K513" s="944"/>
      <c r="L513" s="944"/>
      <c r="M513" s="944"/>
      <c r="N513" s="944"/>
      <c r="O513" s="944"/>
      <c r="P513" s="944"/>
      <c r="Q513" s="944"/>
      <c r="R513" s="944"/>
      <c r="S513" s="944"/>
      <c r="T513" s="944"/>
      <c r="U513" s="944"/>
      <c r="V513" s="944"/>
      <c r="W513" s="944"/>
      <c r="X513" s="944"/>
      <c r="Y513" s="944"/>
      <c r="Z513" s="944"/>
      <c r="AA513" s="944"/>
      <c r="AB513" s="944"/>
      <c r="AC513" s="944"/>
      <c r="AD513" s="944"/>
      <c r="AE513" s="944"/>
      <c r="AF513" s="944"/>
      <c r="AG513" s="944"/>
      <c r="AH513" s="944"/>
      <c r="AI513" s="944"/>
      <c r="AJ513" s="944"/>
      <c r="AK513" s="944"/>
      <c r="AL513" s="944"/>
      <c r="AM513" s="944"/>
      <c r="AN513" s="944"/>
      <c r="AO513" s="944"/>
      <c r="AP513" s="944"/>
      <c r="AQ513" s="944"/>
      <c r="AR513" s="45"/>
    </row>
    <row r="514" spans="1:44" ht="14.25" customHeight="1" x14ac:dyDescent="0.3">
      <c r="A514" s="95"/>
      <c r="B514" s="45"/>
      <c r="C514" s="45"/>
      <c r="D514" s="45"/>
      <c r="E514" s="45"/>
      <c r="F514" s="45"/>
      <c r="G514" s="45"/>
      <c r="H514" s="944"/>
      <c r="I514" s="944"/>
      <c r="J514" s="944"/>
      <c r="K514" s="944"/>
      <c r="L514" s="944"/>
      <c r="M514" s="944"/>
      <c r="N514" s="944"/>
      <c r="O514" s="944"/>
      <c r="P514" s="944"/>
      <c r="Q514" s="944"/>
      <c r="R514" s="944"/>
      <c r="S514" s="944"/>
      <c r="T514" s="944"/>
      <c r="U514" s="944"/>
      <c r="V514" s="944"/>
      <c r="W514" s="944"/>
      <c r="X514" s="944"/>
      <c r="Y514" s="944"/>
      <c r="Z514" s="944"/>
      <c r="AA514" s="944"/>
      <c r="AB514" s="944"/>
      <c r="AC514" s="944"/>
      <c r="AD514" s="944"/>
      <c r="AE514" s="944"/>
      <c r="AF514" s="944"/>
      <c r="AG514" s="944"/>
      <c r="AH514" s="944"/>
      <c r="AI514" s="944"/>
      <c r="AJ514" s="944"/>
      <c r="AK514" s="944"/>
      <c r="AL514" s="944"/>
      <c r="AM514" s="944"/>
      <c r="AN514" s="944"/>
      <c r="AO514" s="944"/>
      <c r="AP514" s="944"/>
      <c r="AQ514" s="944"/>
      <c r="AR514" s="45"/>
    </row>
    <row r="515" spans="1:44" ht="14.25" customHeight="1" x14ac:dyDescent="0.3">
      <c r="A515" s="95"/>
      <c r="B515" s="45"/>
      <c r="C515" s="45"/>
      <c r="D515" s="45"/>
      <c r="E515" s="45"/>
      <c r="F515" s="45"/>
      <c r="G515" s="45"/>
      <c r="H515" s="944"/>
      <c r="I515" s="944"/>
      <c r="J515" s="944"/>
      <c r="K515" s="944"/>
      <c r="L515" s="944"/>
      <c r="M515" s="944"/>
      <c r="N515" s="944"/>
      <c r="O515" s="944"/>
      <c r="P515" s="944"/>
      <c r="Q515" s="944"/>
      <c r="R515" s="944"/>
      <c r="S515" s="944"/>
      <c r="T515" s="944"/>
      <c r="U515" s="944"/>
      <c r="V515" s="944"/>
      <c r="W515" s="944"/>
      <c r="X515" s="944"/>
      <c r="Y515" s="944"/>
      <c r="Z515" s="944"/>
      <c r="AA515" s="944"/>
      <c r="AB515" s="944"/>
      <c r="AC515" s="944"/>
      <c r="AD515" s="944"/>
      <c r="AE515" s="944"/>
      <c r="AF515" s="944"/>
      <c r="AG515" s="944"/>
      <c r="AH515" s="944"/>
      <c r="AI515" s="944"/>
      <c r="AJ515" s="944"/>
      <c r="AK515" s="944"/>
      <c r="AL515" s="944"/>
      <c r="AM515" s="944"/>
      <c r="AN515" s="944"/>
      <c r="AO515" s="944"/>
      <c r="AP515" s="944"/>
      <c r="AQ515" s="944"/>
      <c r="AR515" s="45"/>
    </row>
    <row r="516" spans="1:44" ht="14.25" customHeight="1" x14ac:dyDescent="0.3">
      <c r="A516" s="95"/>
      <c r="B516" s="45"/>
      <c r="C516" s="45"/>
      <c r="D516" s="45"/>
      <c r="E516" s="45"/>
      <c r="F516" s="45"/>
      <c r="G516" s="45"/>
      <c r="H516" s="944"/>
      <c r="I516" s="944"/>
      <c r="J516" s="944"/>
      <c r="K516" s="944"/>
      <c r="L516" s="944"/>
      <c r="M516" s="944"/>
      <c r="N516" s="944"/>
      <c r="O516" s="944"/>
      <c r="P516" s="944"/>
      <c r="Q516" s="944"/>
      <c r="R516" s="944"/>
      <c r="S516" s="944"/>
      <c r="T516" s="944"/>
      <c r="U516" s="944"/>
      <c r="V516" s="944"/>
      <c r="W516" s="944"/>
      <c r="X516" s="944"/>
      <c r="Y516" s="944"/>
      <c r="Z516" s="944"/>
      <c r="AA516" s="944"/>
      <c r="AB516" s="944"/>
      <c r="AC516" s="944"/>
      <c r="AD516" s="944"/>
      <c r="AE516" s="944"/>
      <c r="AF516" s="944"/>
      <c r="AG516" s="944"/>
      <c r="AH516" s="944"/>
      <c r="AI516" s="944"/>
      <c r="AJ516" s="944"/>
      <c r="AK516" s="944"/>
      <c r="AL516" s="944"/>
      <c r="AM516" s="944"/>
      <c r="AN516" s="944"/>
      <c r="AO516" s="944"/>
      <c r="AP516" s="944"/>
      <c r="AQ516" s="944"/>
      <c r="AR516" s="45"/>
    </row>
    <row r="517" spans="1:44" ht="14.25" customHeight="1" x14ac:dyDescent="0.3">
      <c r="A517" s="95"/>
      <c r="B517" s="45"/>
      <c r="C517" s="45"/>
      <c r="D517" s="45"/>
      <c r="E517" s="45"/>
      <c r="F517" s="45"/>
      <c r="G517" s="45"/>
      <c r="H517" s="944"/>
      <c r="I517" s="944"/>
      <c r="J517" s="944"/>
      <c r="K517" s="944"/>
      <c r="L517" s="944"/>
      <c r="M517" s="944"/>
      <c r="N517" s="944"/>
      <c r="O517" s="944"/>
      <c r="P517" s="944"/>
      <c r="Q517" s="944"/>
      <c r="R517" s="944"/>
      <c r="S517" s="944"/>
      <c r="T517" s="944"/>
      <c r="U517" s="944"/>
      <c r="V517" s="944"/>
      <c r="W517" s="944"/>
      <c r="X517" s="944"/>
      <c r="Y517" s="944"/>
      <c r="Z517" s="944"/>
      <c r="AA517" s="944"/>
      <c r="AB517" s="944"/>
      <c r="AC517" s="944"/>
      <c r="AD517" s="944"/>
      <c r="AE517" s="944"/>
      <c r="AF517" s="944"/>
      <c r="AG517" s="944"/>
      <c r="AH517" s="944"/>
      <c r="AI517" s="944"/>
      <c r="AJ517" s="944"/>
      <c r="AK517" s="944"/>
      <c r="AL517" s="944"/>
      <c r="AM517" s="944"/>
      <c r="AN517" s="944"/>
      <c r="AO517" s="944"/>
      <c r="AP517" s="944"/>
      <c r="AQ517" s="944"/>
      <c r="AR517" s="45"/>
    </row>
    <row r="518" spans="1:44" ht="14.25" customHeight="1" x14ac:dyDescent="0.3">
      <c r="A518" s="95"/>
      <c r="B518" s="45"/>
      <c r="C518" s="45"/>
      <c r="D518" s="45"/>
      <c r="E518" s="45"/>
      <c r="F518" s="45"/>
      <c r="G518" s="45"/>
      <c r="H518" s="944"/>
      <c r="I518" s="944"/>
      <c r="J518" s="944"/>
      <c r="K518" s="944"/>
      <c r="L518" s="944"/>
      <c r="M518" s="944"/>
      <c r="N518" s="944"/>
      <c r="O518" s="944"/>
      <c r="P518" s="944"/>
      <c r="Q518" s="944"/>
      <c r="R518" s="944"/>
      <c r="S518" s="944"/>
      <c r="T518" s="944"/>
      <c r="U518" s="944"/>
      <c r="V518" s="944"/>
      <c r="W518" s="944"/>
      <c r="X518" s="944"/>
      <c r="Y518" s="944"/>
      <c r="Z518" s="944"/>
      <c r="AA518" s="944"/>
      <c r="AB518" s="944"/>
      <c r="AC518" s="944"/>
      <c r="AD518" s="944"/>
      <c r="AE518" s="944"/>
      <c r="AF518" s="944"/>
      <c r="AG518" s="944"/>
      <c r="AH518" s="944"/>
      <c r="AI518" s="944"/>
      <c r="AJ518" s="944"/>
      <c r="AK518" s="944"/>
      <c r="AL518" s="944"/>
      <c r="AM518" s="944"/>
      <c r="AN518" s="944"/>
      <c r="AO518" s="944"/>
      <c r="AP518" s="944"/>
      <c r="AQ518" s="944"/>
      <c r="AR518" s="45"/>
    </row>
    <row r="519" spans="1:44" ht="14.25" customHeight="1" x14ac:dyDescent="0.3">
      <c r="A519" s="95"/>
      <c r="B519" s="45"/>
      <c r="C519" s="45"/>
      <c r="D519" s="45"/>
      <c r="E519" s="45"/>
      <c r="F519" s="45"/>
      <c r="G519" s="45"/>
      <c r="H519" s="944"/>
      <c r="I519" s="944"/>
      <c r="J519" s="944"/>
      <c r="K519" s="944"/>
      <c r="L519" s="944"/>
      <c r="M519" s="944"/>
      <c r="N519" s="944"/>
      <c r="O519" s="944"/>
      <c r="P519" s="944"/>
      <c r="Q519" s="944"/>
      <c r="R519" s="944"/>
      <c r="S519" s="944"/>
      <c r="T519" s="944"/>
      <c r="U519" s="944"/>
      <c r="V519" s="944"/>
      <c r="W519" s="944"/>
      <c r="X519" s="944"/>
      <c r="Y519" s="944"/>
      <c r="Z519" s="944"/>
      <c r="AA519" s="944"/>
      <c r="AB519" s="944"/>
      <c r="AC519" s="944"/>
      <c r="AD519" s="944"/>
      <c r="AE519" s="944"/>
      <c r="AF519" s="944"/>
      <c r="AG519" s="944"/>
      <c r="AH519" s="944"/>
      <c r="AI519" s="944"/>
      <c r="AJ519" s="944"/>
      <c r="AK519" s="944"/>
      <c r="AL519" s="944"/>
      <c r="AM519" s="944"/>
      <c r="AN519" s="944"/>
      <c r="AO519" s="944"/>
      <c r="AP519" s="944"/>
      <c r="AQ519" s="944"/>
      <c r="AR519" s="45"/>
    </row>
    <row r="520" spans="1:44" ht="14.25" customHeight="1" x14ac:dyDescent="0.3">
      <c r="A520" s="95"/>
      <c r="B520" s="45"/>
      <c r="C520" s="45"/>
      <c r="D520" s="45"/>
      <c r="E520" s="45"/>
      <c r="F520" s="45"/>
      <c r="G520" s="45"/>
      <c r="H520" s="944"/>
      <c r="I520" s="944"/>
      <c r="J520" s="944"/>
      <c r="K520" s="944"/>
      <c r="L520" s="944"/>
      <c r="M520" s="944"/>
      <c r="N520" s="944"/>
      <c r="O520" s="944"/>
      <c r="P520" s="944"/>
      <c r="Q520" s="944"/>
      <c r="R520" s="944"/>
      <c r="S520" s="944"/>
      <c r="T520" s="944"/>
      <c r="U520" s="944"/>
      <c r="V520" s="944"/>
      <c r="W520" s="944"/>
      <c r="X520" s="944"/>
      <c r="Y520" s="944"/>
      <c r="Z520" s="944"/>
      <c r="AA520" s="944"/>
      <c r="AB520" s="944"/>
      <c r="AC520" s="944"/>
      <c r="AD520" s="944"/>
      <c r="AE520" s="944"/>
      <c r="AF520" s="944"/>
      <c r="AG520" s="944"/>
      <c r="AH520" s="944"/>
      <c r="AI520" s="944"/>
      <c r="AJ520" s="944"/>
      <c r="AK520" s="944"/>
      <c r="AL520" s="944"/>
      <c r="AM520" s="944"/>
      <c r="AN520" s="944"/>
      <c r="AO520" s="944"/>
      <c r="AP520" s="944"/>
      <c r="AQ520" s="944"/>
      <c r="AR520" s="45"/>
    </row>
    <row r="521" spans="1:44" ht="14.25" customHeight="1" x14ac:dyDescent="0.3">
      <c r="A521" s="95"/>
      <c r="B521" s="45"/>
      <c r="C521" s="45"/>
      <c r="D521" s="45"/>
      <c r="E521" s="45"/>
      <c r="F521" s="45"/>
      <c r="G521" s="45"/>
      <c r="H521" s="944"/>
      <c r="I521" s="944"/>
      <c r="J521" s="944"/>
      <c r="K521" s="944"/>
      <c r="L521" s="944"/>
      <c r="M521" s="944"/>
      <c r="N521" s="944"/>
      <c r="O521" s="944"/>
      <c r="P521" s="944"/>
      <c r="Q521" s="944"/>
      <c r="R521" s="944"/>
      <c r="S521" s="944"/>
      <c r="T521" s="944"/>
      <c r="U521" s="944"/>
      <c r="V521" s="944"/>
      <c r="W521" s="944"/>
      <c r="X521" s="944"/>
      <c r="Y521" s="944"/>
      <c r="Z521" s="944"/>
      <c r="AA521" s="944"/>
      <c r="AB521" s="944"/>
      <c r="AC521" s="944"/>
      <c r="AD521" s="944"/>
      <c r="AE521" s="944"/>
      <c r="AF521" s="944"/>
      <c r="AG521" s="944"/>
      <c r="AH521" s="944"/>
      <c r="AI521" s="944"/>
      <c r="AJ521" s="944"/>
      <c r="AK521" s="944"/>
      <c r="AL521" s="944"/>
      <c r="AM521" s="944"/>
      <c r="AN521" s="944"/>
      <c r="AO521" s="944"/>
      <c r="AP521" s="944"/>
      <c r="AQ521" s="944"/>
      <c r="AR521" s="45"/>
    </row>
    <row r="522" spans="1:44" ht="14.25" customHeight="1" x14ac:dyDescent="0.3">
      <c r="A522" s="95"/>
      <c r="B522" s="45"/>
      <c r="C522" s="45"/>
      <c r="D522" s="45"/>
      <c r="E522" s="45"/>
      <c r="F522" s="45"/>
      <c r="G522" s="45"/>
      <c r="H522" s="944"/>
      <c r="I522" s="944"/>
      <c r="J522" s="944"/>
      <c r="K522" s="944"/>
      <c r="L522" s="944"/>
      <c r="M522" s="944"/>
      <c r="N522" s="944"/>
      <c r="O522" s="944"/>
      <c r="P522" s="944"/>
      <c r="Q522" s="944"/>
      <c r="R522" s="944"/>
      <c r="S522" s="944"/>
      <c r="T522" s="944"/>
      <c r="U522" s="944"/>
      <c r="V522" s="944"/>
      <c r="W522" s="944"/>
      <c r="X522" s="944"/>
      <c r="Y522" s="944"/>
      <c r="Z522" s="944"/>
      <c r="AA522" s="944"/>
      <c r="AB522" s="944"/>
      <c r="AC522" s="944"/>
      <c r="AD522" s="944"/>
      <c r="AE522" s="944"/>
      <c r="AF522" s="944"/>
      <c r="AG522" s="944"/>
      <c r="AH522" s="944"/>
      <c r="AI522" s="944"/>
      <c r="AJ522" s="944"/>
      <c r="AK522" s="944"/>
      <c r="AL522" s="944"/>
      <c r="AM522" s="944"/>
      <c r="AN522" s="944"/>
      <c r="AO522" s="944"/>
      <c r="AP522" s="944"/>
      <c r="AQ522" s="944"/>
      <c r="AR522" s="45"/>
    </row>
    <row r="523" spans="1:44" ht="14.25" customHeight="1" x14ac:dyDescent="0.3">
      <c r="A523" s="95"/>
      <c r="B523" s="45"/>
      <c r="C523" s="45"/>
      <c r="D523" s="45"/>
      <c r="E523" s="45"/>
      <c r="F523" s="45"/>
      <c r="G523" s="45"/>
      <c r="H523" s="944"/>
      <c r="I523" s="944"/>
      <c r="J523" s="944"/>
      <c r="K523" s="944"/>
      <c r="L523" s="944"/>
      <c r="M523" s="944"/>
      <c r="N523" s="944"/>
      <c r="O523" s="944"/>
      <c r="P523" s="944"/>
      <c r="Q523" s="944"/>
      <c r="R523" s="944"/>
      <c r="S523" s="944"/>
      <c r="T523" s="944"/>
      <c r="U523" s="944"/>
      <c r="V523" s="944"/>
      <c r="W523" s="944"/>
      <c r="X523" s="944"/>
      <c r="Y523" s="944"/>
      <c r="Z523" s="944"/>
      <c r="AA523" s="944"/>
      <c r="AB523" s="944"/>
      <c r="AC523" s="944"/>
      <c r="AD523" s="944"/>
      <c r="AE523" s="944"/>
      <c r="AF523" s="944"/>
      <c r="AG523" s="944"/>
      <c r="AH523" s="944"/>
      <c r="AI523" s="944"/>
      <c r="AJ523" s="944"/>
      <c r="AK523" s="944"/>
      <c r="AL523" s="944"/>
      <c r="AM523" s="944"/>
      <c r="AN523" s="944"/>
      <c r="AO523" s="944"/>
      <c r="AP523" s="944"/>
      <c r="AQ523" s="944"/>
      <c r="AR523" s="45"/>
    </row>
    <row r="524" spans="1:44" ht="14.25" customHeight="1" x14ac:dyDescent="0.3">
      <c r="A524" s="95"/>
      <c r="B524" s="45"/>
      <c r="C524" s="45"/>
      <c r="D524" s="45"/>
      <c r="E524" s="45"/>
      <c r="F524" s="45"/>
      <c r="G524" s="45"/>
      <c r="H524" s="944"/>
      <c r="I524" s="944"/>
      <c r="J524" s="944"/>
      <c r="K524" s="944"/>
      <c r="L524" s="944"/>
      <c r="M524" s="944"/>
      <c r="N524" s="944"/>
      <c r="O524" s="944"/>
      <c r="P524" s="944"/>
      <c r="Q524" s="944"/>
      <c r="R524" s="944"/>
      <c r="S524" s="944"/>
      <c r="T524" s="944"/>
      <c r="U524" s="944"/>
      <c r="V524" s="944"/>
      <c r="W524" s="944"/>
      <c r="X524" s="944"/>
      <c r="Y524" s="944"/>
      <c r="Z524" s="944"/>
      <c r="AA524" s="944"/>
      <c r="AB524" s="944"/>
      <c r="AC524" s="944"/>
      <c r="AD524" s="944"/>
      <c r="AE524" s="944"/>
      <c r="AF524" s="944"/>
      <c r="AG524" s="944"/>
      <c r="AH524" s="944"/>
      <c r="AI524" s="944"/>
      <c r="AJ524" s="944"/>
      <c r="AK524" s="944"/>
      <c r="AL524" s="944"/>
      <c r="AM524" s="944"/>
      <c r="AN524" s="944"/>
      <c r="AO524" s="944"/>
      <c r="AP524" s="944"/>
      <c r="AQ524" s="944"/>
      <c r="AR524" s="45"/>
    </row>
    <row r="525" spans="1:44" ht="14.25" customHeight="1" x14ac:dyDescent="0.3">
      <c r="A525" s="95"/>
      <c r="B525" s="45"/>
      <c r="C525" s="45"/>
      <c r="D525" s="45"/>
      <c r="E525" s="45"/>
      <c r="F525" s="45"/>
      <c r="G525" s="45"/>
      <c r="H525" s="944"/>
      <c r="I525" s="944"/>
      <c r="J525" s="944"/>
      <c r="K525" s="944"/>
      <c r="L525" s="944"/>
      <c r="M525" s="944"/>
      <c r="N525" s="944"/>
      <c r="O525" s="944"/>
      <c r="P525" s="944"/>
      <c r="Q525" s="944"/>
      <c r="R525" s="944"/>
      <c r="S525" s="944"/>
      <c r="T525" s="944"/>
      <c r="U525" s="944"/>
      <c r="V525" s="944"/>
      <c r="W525" s="944"/>
      <c r="X525" s="944"/>
      <c r="Y525" s="944"/>
      <c r="Z525" s="944"/>
      <c r="AA525" s="944"/>
      <c r="AB525" s="944"/>
      <c r="AC525" s="944"/>
      <c r="AD525" s="944"/>
      <c r="AE525" s="944"/>
      <c r="AF525" s="944"/>
      <c r="AG525" s="944"/>
      <c r="AH525" s="944"/>
      <c r="AI525" s="944"/>
      <c r="AJ525" s="944"/>
      <c r="AK525" s="944"/>
      <c r="AL525" s="944"/>
      <c r="AM525" s="944"/>
      <c r="AN525" s="944"/>
      <c r="AO525" s="944"/>
      <c r="AP525" s="944"/>
      <c r="AQ525" s="944"/>
      <c r="AR525" s="45"/>
    </row>
    <row r="526" spans="1:44" ht="14.25" customHeight="1" x14ac:dyDescent="0.3">
      <c r="A526" s="95"/>
      <c r="B526" s="45"/>
      <c r="C526" s="45"/>
      <c r="D526" s="45"/>
      <c r="E526" s="45"/>
      <c r="F526" s="45"/>
      <c r="G526" s="45"/>
      <c r="H526" s="944"/>
      <c r="I526" s="944"/>
      <c r="J526" s="944"/>
      <c r="K526" s="944"/>
      <c r="L526" s="944"/>
      <c r="M526" s="944"/>
      <c r="N526" s="944"/>
      <c r="O526" s="944"/>
      <c r="P526" s="944"/>
      <c r="Q526" s="944"/>
      <c r="R526" s="944"/>
      <c r="S526" s="944"/>
      <c r="T526" s="944"/>
      <c r="U526" s="944"/>
      <c r="V526" s="944"/>
      <c r="W526" s="944"/>
      <c r="X526" s="944"/>
      <c r="Y526" s="944"/>
      <c r="Z526" s="944"/>
      <c r="AA526" s="944"/>
      <c r="AB526" s="944"/>
      <c r="AC526" s="944"/>
      <c r="AD526" s="944"/>
      <c r="AE526" s="944"/>
      <c r="AF526" s="944"/>
      <c r="AG526" s="944"/>
      <c r="AH526" s="944"/>
      <c r="AI526" s="944"/>
      <c r="AJ526" s="944"/>
      <c r="AK526" s="944"/>
      <c r="AL526" s="944"/>
      <c r="AM526" s="944"/>
      <c r="AN526" s="944"/>
      <c r="AO526" s="944"/>
      <c r="AP526" s="944"/>
      <c r="AQ526" s="944"/>
      <c r="AR526" s="45"/>
    </row>
    <row r="527" spans="1:44" ht="14.25" customHeight="1" x14ac:dyDescent="0.3">
      <c r="A527" s="95"/>
      <c r="B527" s="45"/>
      <c r="C527" s="45"/>
      <c r="D527" s="45"/>
      <c r="E527" s="45"/>
      <c r="F527" s="45"/>
      <c r="G527" s="45"/>
      <c r="H527" s="944"/>
      <c r="I527" s="944"/>
      <c r="J527" s="944"/>
      <c r="K527" s="944"/>
      <c r="L527" s="944"/>
      <c r="M527" s="944"/>
      <c r="N527" s="944"/>
      <c r="O527" s="944"/>
      <c r="P527" s="944"/>
      <c r="Q527" s="944"/>
      <c r="R527" s="944"/>
      <c r="S527" s="944"/>
      <c r="T527" s="944"/>
      <c r="U527" s="944"/>
      <c r="V527" s="944"/>
      <c r="W527" s="944"/>
      <c r="X527" s="944"/>
      <c r="Y527" s="944"/>
      <c r="Z527" s="944"/>
      <c r="AA527" s="944"/>
      <c r="AB527" s="944"/>
      <c r="AC527" s="944"/>
      <c r="AD527" s="944"/>
      <c r="AE527" s="944"/>
      <c r="AF527" s="944"/>
      <c r="AG527" s="944"/>
      <c r="AH527" s="944"/>
      <c r="AI527" s="944"/>
      <c r="AJ527" s="944"/>
      <c r="AK527" s="944"/>
      <c r="AL527" s="944"/>
      <c r="AM527" s="944"/>
      <c r="AN527" s="944"/>
      <c r="AO527" s="944"/>
      <c r="AP527" s="944"/>
      <c r="AQ527" s="944"/>
      <c r="AR527" s="45"/>
    </row>
    <row r="528" spans="1:44" ht="14.25" customHeight="1" x14ac:dyDescent="0.3">
      <c r="A528" s="95"/>
      <c r="B528" s="45"/>
      <c r="C528" s="45"/>
      <c r="D528" s="45"/>
      <c r="E528" s="45"/>
      <c r="F528" s="45"/>
      <c r="G528" s="45"/>
      <c r="H528" s="944"/>
      <c r="I528" s="944"/>
      <c r="J528" s="944"/>
      <c r="K528" s="944"/>
      <c r="L528" s="944"/>
      <c r="M528" s="944"/>
      <c r="N528" s="944"/>
      <c r="O528" s="944"/>
      <c r="P528" s="944"/>
      <c r="Q528" s="944"/>
      <c r="R528" s="944"/>
      <c r="S528" s="944"/>
      <c r="T528" s="944"/>
      <c r="U528" s="944"/>
      <c r="V528" s="944"/>
      <c r="W528" s="944"/>
      <c r="X528" s="944"/>
      <c r="Y528" s="944"/>
      <c r="Z528" s="944"/>
      <c r="AA528" s="944"/>
      <c r="AB528" s="944"/>
      <c r="AC528" s="944"/>
      <c r="AD528" s="944"/>
      <c r="AE528" s="944"/>
      <c r="AF528" s="944"/>
      <c r="AG528" s="944"/>
      <c r="AH528" s="944"/>
      <c r="AI528" s="944"/>
      <c r="AJ528" s="944"/>
      <c r="AK528" s="944"/>
      <c r="AL528" s="944"/>
      <c r="AM528" s="944"/>
      <c r="AN528" s="944"/>
      <c r="AO528" s="944"/>
      <c r="AP528" s="944"/>
      <c r="AQ528" s="944"/>
      <c r="AR528" s="45"/>
    </row>
    <row r="529" spans="1:44" ht="14.25" customHeight="1" x14ac:dyDescent="0.3">
      <c r="A529" s="95"/>
      <c r="B529" s="45"/>
      <c r="C529" s="45"/>
      <c r="D529" s="45"/>
      <c r="E529" s="45"/>
      <c r="F529" s="45"/>
      <c r="G529" s="45"/>
      <c r="H529" s="944"/>
      <c r="I529" s="944"/>
      <c r="J529" s="944"/>
      <c r="K529" s="944"/>
      <c r="L529" s="944"/>
      <c r="M529" s="944"/>
      <c r="N529" s="944"/>
      <c r="O529" s="944"/>
      <c r="P529" s="944"/>
      <c r="Q529" s="944"/>
      <c r="R529" s="944"/>
      <c r="S529" s="944"/>
      <c r="T529" s="944"/>
      <c r="U529" s="944"/>
      <c r="V529" s="944"/>
      <c r="W529" s="944"/>
      <c r="X529" s="944"/>
      <c r="Y529" s="944"/>
      <c r="Z529" s="944"/>
      <c r="AA529" s="944"/>
      <c r="AB529" s="944"/>
      <c r="AC529" s="944"/>
      <c r="AD529" s="944"/>
      <c r="AE529" s="944"/>
      <c r="AF529" s="944"/>
      <c r="AG529" s="944"/>
      <c r="AH529" s="944"/>
      <c r="AI529" s="944"/>
      <c r="AJ529" s="944"/>
      <c r="AK529" s="944"/>
      <c r="AL529" s="944"/>
      <c r="AM529" s="944"/>
      <c r="AN529" s="944"/>
      <c r="AO529" s="944"/>
      <c r="AP529" s="944"/>
      <c r="AQ529" s="944"/>
      <c r="AR529" s="45"/>
    </row>
    <row r="530" spans="1:44" ht="14.25" customHeight="1" x14ac:dyDescent="0.3">
      <c r="A530" s="95"/>
      <c r="B530" s="45"/>
      <c r="C530" s="45"/>
      <c r="D530" s="45"/>
      <c r="E530" s="45"/>
      <c r="F530" s="45"/>
      <c r="G530" s="45"/>
      <c r="H530" s="944"/>
      <c r="I530" s="944"/>
      <c r="J530" s="944"/>
      <c r="K530" s="944"/>
      <c r="L530" s="944"/>
      <c r="M530" s="944"/>
      <c r="N530" s="944"/>
      <c r="O530" s="944"/>
      <c r="P530" s="944"/>
      <c r="Q530" s="944"/>
      <c r="R530" s="944"/>
      <c r="S530" s="944"/>
      <c r="T530" s="944"/>
      <c r="U530" s="944"/>
      <c r="V530" s="944"/>
      <c r="W530" s="944"/>
      <c r="X530" s="944"/>
      <c r="Y530" s="944"/>
      <c r="Z530" s="944"/>
      <c r="AA530" s="944"/>
      <c r="AB530" s="944"/>
      <c r="AC530" s="944"/>
      <c r="AD530" s="944"/>
      <c r="AE530" s="944"/>
      <c r="AF530" s="944"/>
      <c r="AG530" s="944"/>
      <c r="AH530" s="944"/>
      <c r="AI530" s="944"/>
      <c r="AJ530" s="944"/>
      <c r="AK530" s="944"/>
      <c r="AL530" s="944"/>
      <c r="AM530" s="944"/>
      <c r="AN530" s="944"/>
      <c r="AO530" s="944"/>
      <c r="AP530" s="944"/>
      <c r="AQ530" s="944"/>
      <c r="AR530" s="45"/>
    </row>
    <row r="531" spans="1:44" ht="14.25" customHeight="1" x14ac:dyDescent="0.3">
      <c r="A531" s="95"/>
      <c r="B531" s="45"/>
      <c r="C531" s="45"/>
      <c r="D531" s="45"/>
      <c r="E531" s="45"/>
      <c r="F531" s="45"/>
      <c r="G531" s="45"/>
      <c r="H531" s="944"/>
      <c r="I531" s="944"/>
      <c r="J531" s="944"/>
      <c r="K531" s="944"/>
      <c r="L531" s="944"/>
      <c r="M531" s="944"/>
      <c r="N531" s="944"/>
      <c r="O531" s="944"/>
      <c r="P531" s="944"/>
      <c r="Q531" s="944"/>
      <c r="R531" s="944"/>
      <c r="S531" s="944"/>
      <c r="T531" s="944"/>
      <c r="U531" s="944"/>
      <c r="V531" s="944"/>
      <c r="W531" s="944"/>
      <c r="X531" s="944"/>
      <c r="Y531" s="944"/>
      <c r="Z531" s="944"/>
      <c r="AA531" s="944"/>
      <c r="AB531" s="944"/>
      <c r="AC531" s="944"/>
      <c r="AD531" s="944"/>
      <c r="AE531" s="944"/>
      <c r="AF531" s="944"/>
      <c r="AG531" s="944"/>
      <c r="AH531" s="944"/>
      <c r="AI531" s="944"/>
      <c r="AJ531" s="944"/>
      <c r="AK531" s="944"/>
      <c r="AL531" s="944"/>
      <c r="AM531" s="944"/>
      <c r="AN531" s="944"/>
      <c r="AO531" s="944"/>
      <c r="AP531" s="944"/>
      <c r="AQ531" s="944"/>
      <c r="AR531" s="45"/>
    </row>
    <row r="532" spans="1:44" ht="14.25" customHeight="1" x14ac:dyDescent="0.3">
      <c r="A532" s="95"/>
      <c r="B532" s="45"/>
      <c r="C532" s="45"/>
      <c r="D532" s="45"/>
      <c r="E532" s="45"/>
      <c r="F532" s="45"/>
      <c r="G532" s="45"/>
      <c r="H532" s="944"/>
      <c r="I532" s="944"/>
      <c r="J532" s="944"/>
      <c r="K532" s="944"/>
      <c r="L532" s="944"/>
      <c r="M532" s="944"/>
      <c r="N532" s="944"/>
      <c r="O532" s="944"/>
      <c r="P532" s="944"/>
      <c r="Q532" s="944"/>
      <c r="R532" s="944"/>
      <c r="S532" s="944"/>
      <c r="T532" s="944"/>
      <c r="U532" s="944"/>
      <c r="V532" s="944"/>
      <c r="W532" s="944"/>
      <c r="X532" s="944"/>
      <c r="Y532" s="944"/>
      <c r="Z532" s="944"/>
      <c r="AA532" s="944"/>
      <c r="AB532" s="944"/>
      <c r="AC532" s="944"/>
      <c r="AD532" s="944"/>
      <c r="AE532" s="944"/>
      <c r="AF532" s="944"/>
      <c r="AG532" s="944"/>
      <c r="AH532" s="944"/>
      <c r="AI532" s="944"/>
      <c r="AJ532" s="944"/>
      <c r="AK532" s="944"/>
      <c r="AL532" s="944"/>
      <c r="AM532" s="944"/>
      <c r="AN532" s="944"/>
      <c r="AO532" s="944"/>
      <c r="AP532" s="944"/>
      <c r="AQ532" s="944"/>
      <c r="AR532" s="45"/>
    </row>
    <row r="533" spans="1:44" ht="14.25" customHeight="1" x14ac:dyDescent="0.3">
      <c r="A533" s="95"/>
      <c r="B533" s="45"/>
      <c r="C533" s="45"/>
      <c r="D533" s="45"/>
      <c r="E533" s="45"/>
      <c r="F533" s="45"/>
      <c r="G533" s="45"/>
      <c r="H533" s="944"/>
      <c r="I533" s="944"/>
      <c r="J533" s="944"/>
      <c r="K533" s="944"/>
      <c r="L533" s="944"/>
      <c r="M533" s="944"/>
      <c r="N533" s="944"/>
      <c r="O533" s="944"/>
      <c r="P533" s="944"/>
      <c r="Q533" s="944"/>
      <c r="R533" s="944"/>
      <c r="S533" s="944"/>
      <c r="T533" s="944"/>
      <c r="U533" s="944"/>
      <c r="V533" s="944"/>
      <c r="W533" s="944"/>
      <c r="X533" s="944"/>
      <c r="Y533" s="944"/>
      <c r="Z533" s="944"/>
      <c r="AA533" s="944"/>
      <c r="AB533" s="944"/>
      <c r="AC533" s="944"/>
      <c r="AD533" s="944"/>
      <c r="AE533" s="944"/>
      <c r="AF533" s="944"/>
      <c r="AG533" s="944"/>
      <c r="AH533" s="944"/>
      <c r="AI533" s="944"/>
      <c r="AJ533" s="944"/>
      <c r="AK533" s="944"/>
      <c r="AL533" s="944"/>
      <c r="AM533" s="944"/>
      <c r="AN533" s="944"/>
      <c r="AO533" s="944"/>
      <c r="AP533" s="944"/>
      <c r="AQ533" s="944"/>
      <c r="AR533" s="45"/>
    </row>
    <row r="534" spans="1:44" ht="14.25" customHeight="1" x14ac:dyDescent="0.3">
      <c r="A534" s="95"/>
      <c r="B534" s="45"/>
      <c r="C534" s="45"/>
      <c r="D534" s="45"/>
      <c r="E534" s="45"/>
      <c r="F534" s="45"/>
      <c r="G534" s="45"/>
      <c r="H534" s="944"/>
      <c r="I534" s="944"/>
      <c r="J534" s="944"/>
      <c r="K534" s="944"/>
      <c r="L534" s="944"/>
      <c r="M534" s="944"/>
      <c r="N534" s="944"/>
      <c r="O534" s="944"/>
      <c r="P534" s="944"/>
      <c r="Q534" s="944"/>
      <c r="R534" s="944"/>
      <c r="S534" s="944"/>
      <c r="T534" s="944"/>
      <c r="U534" s="944"/>
      <c r="V534" s="944"/>
      <c r="W534" s="944"/>
      <c r="X534" s="944"/>
      <c r="Y534" s="944"/>
      <c r="Z534" s="944"/>
      <c r="AA534" s="944"/>
      <c r="AB534" s="944"/>
      <c r="AC534" s="944"/>
      <c r="AD534" s="944"/>
      <c r="AE534" s="944"/>
      <c r="AF534" s="944"/>
      <c r="AG534" s="944"/>
      <c r="AH534" s="944"/>
      <c r="AI534" s="944"/>
      <c r="AJ534" s="944"/>
      <c r="AK534" s="944"/>
      <c r="AL534" s="944"/>
      <c r="AM534" s="944"/>
      <c r="AN534" s="944"/>
      <c r="AO534" s="944"/>
      <c r="AP534" s="944"/>
      <c r="AQ534" s="944"/>
      <c r="AR534" s="45"/>
    </row>
    <row r="535" spans="1:44" ht="14.25" customHeight="1" x14ac:dyDescent="0.3">
      <c r="A535" s="95"/>
      <c r="B535" s="45"/>
      <c r="C535" s="45"/>
      <c r="D535" s="45"/>
      <c r="E535" s="45"/>
      <c r="F535" s="45"/>
      <c r="G535" s="45"/>
      <c r="H535" s="944"/>
      <c r="I535" s="944"/>
      <c r="J535" s="944"/>
      <c r="K535" s="944"/>
      <c r="L535" s="944"/>
      <c r="M535" s="944"/>
      <c r="N535" s="944"/>
      <c r="O535" s="944"/>
      <c r="P535" s="944"/>
      <c r="Q535" s="944"/>
      <c r="R535" s="944"/>
      <c r="S535" s="944"/>
      <c r="T535" s="944"/>
      <c r="U535" s="944"/>
      <c r="V535" s="944"/>
      <c r="W535" s="944"/>
      <c r="X535" s="944"/>
      <c r="Y535" s="944"/>
      <c r="Z535" s="944"/>
      <c r="AA535" s="944"/>
      <c r="AB535" s="944"/>
      <c r="AC535" s="944"/>
      <c r="AD535" s="944"/>
      <c r="AE535" s="944"/>
      <c r="AF535" s="944"/>
      <c r="AG535" s="944"/>
      <c r="AH535" s="944"/>
      <c r="AI535" s="944"/>
      <c r="AJ535" s="944"/>
      <c r="AK535" s="944"/>
      <c r="AL535" s="944"/>
      <c r="AM535" s="944"/>
      <c r="AN535" s="944"/>
      <c r="AO535" s="944"/>
      <c r="AP535" s="944"/>
      <c r="AQ535" s="944"/>
      <c r="AR535" s="45"/>
    </row>
    <row r="536" spans="1:44" ht="14.25" customHeight="1" x14ac:dyDescent="0.3">
      <c r="A536" s="95"/>
      <c r="B536" s="45"/>
      <c r="C536" s="45"/>
      <c r="D536" s="45"/>
      <c r="E536" s="45"/>
      <c r="F536" s="45"/>
      <c r="G536" s="45"/>
      <c r="H536" s="944"/>
      <c r="I536" s="944"/>
      <c r="J536" s="944"/>
      <c r="K536" s="944"/>
      <c r="L536" s="944"/>
      <c r="M536" s="944"/>
      <c r="N536" s="944"/>
      <c r="O536" s="944"/>
      <c r="P536" s="944"/>
      <c r="Q536" s="944"/>
      <c r="R536" s="944"/>
      <c r="S536" s="944"/>
      <c r="T536" s="944"/>
      <c r="U536" s="944"/>
      <c r="V536" s="944"/>
      <c r="W536" s="944"/>
      <c r="X536" s="944"/>
      <c r="Y536" s="944"/>
      <c r="Z536" s="944"/>
      <c r="AA536" s="944"/>
      <c r="AB536" s="944"/>
      <c r="AC536" s="944"/>
      <c r="AD536" s="944"/>
      <c r="AE536" s="944"/>
      <c r="AF536" s="944"/>
      <c r="AG536" s="944"/>
      <c r="AH536" s="944"/>
      <c r="AI536" s="944"/>
      <c r="AJ536" s="944"/>
      <c r="AK536" s="944"/>
      <c r="AL536" s="944"/>
      <c r="AM536" s="944"/>
      <c r="AN536" s="944"/>
      <c r="AO536" s="944"/>
      <c r="AP536" s="944"/>
      <c r="AQ536" s="944"/>
      <c r="AR536" s="45"/>
    </row>
    <row r="537" spans="1:44" ht="14.25" customHeight="1" x14ac:dyDescent="0.3">
      <c r="A537" s="95"/>
      <c r="B537" s="45"/>
      <c r="C537" s="45"/>
      <c r="D537" s="45"/>
      <c r="E537" s="45"/>
      <c r="F537" s="45"/>
      <c r="G537" s="45"/>
      <c r="H537" s="944"/>
      <c r="I537" s="944"/>
      <c r="J537" s="944"/>
      <c r="K537" s="944"/>
      <c r="L537" s="944"/>
      <c r="M537" s="944"/>
      <c r="N537" s="944"/>
      <c r="O537" s="944"/>
      <c r="P537" s="944"/>
      <c r="Q537" s="944"/>
      <c r="R537" s="944"/>
      <c r="S537" s="944"/>
      <c r="T537" s="944"/>
      <c r="U537" s="944"/>
      <c r="V537" s="944"/>
      <c r="W537" s="944"/>
      <c r="X537" s="944"/>
      <c r="Y537" s="944"/>
      <c r="Z537" s="944"/>
      <c r="AA537" s="944"/>
      <c r="AB537" s="944"/>
      <c r="AC537" s="944"/>
      <c r="AD537" s="944"/>
      <c r="AE537" s="944"/>
      <c r="AF537" s="944"/>
      <c r="AG537" s="944"/>
      <c r="AH537" s="944"/>
      <c r="AI537" s="944"/>
      <c r="AJ537" s="944"/>
      <c r="AK537" s="944"/>
      <c r="AL537" s="944"/>
      <c r="AM537" s="944"/>
      <c r="AN537" s="944"/>
      <c r="AO537" s="944"/>
      <c r="AP537" s="944"/>
      <c r="AQ537" s="944"/>
      <c r="AR537" s="45"/>
    </row>
    <row r="538" spans="1:44" ht="14.25" customHeight="1" x14ac:dyDescent="0.3">
      <c r="A538" s="95"/>
      <c r="B538" s="45"/>
      <c r="C538" s="45"/>
      <c r="D538" s="45"/>
      <c r="E538" s="45"/>
      <c r="F538" s="45"/>
      <c r="G538" s="45"/>
      <c r="H538" s="944"/>
      <c r="I538" s="944"/>
      <c r="J538" s="944"/>
      <c r="K538" s="944"/>
      <c r="L538" s="944"/>
      <c r="M538" s="944"/>
      <c r="N538" s="944"/>
      <c r="O538" s="944"/>
      <c r="P538" s="944"/>
      <c r="Q538" s="944"/>
      <c r="R538" s="944"/>
      <c r="S538" s="944"/>
      <c r="T538" s="944"/>
      <c r="U538" s="944"/>
      <c r="V538" s="944"/>
      <c r="W538" s="944"/>
      <c r="X538" s="944"/>
      <c r="Y538" s="944"/>
      <c r="Z538" s="944"/>
      <c r="AA538" s="944"/>
      <c r="AB538" s="944"/>
      <c r="AC538" s="944"/>
      <c r="AD538" s="944"/>
      <c r="AE538" s="944"/>
      <c r="AF538" s="944"/>
      <c r="AG538" s="944"/>
      <c r="AH538" s="944"/>
      <c r="AI538" s="944"/>
      <c r="AJ538" s="944"/>
      <c r="AK538" s="944"/>
      <c r="AL538" s="944"/>
      <c r="AM538" s="944"/>
      <c r="AN538" s="944"/>
      <c r="AO538" s="944"/>
      <c r="AP538" s="944"/>
      <c r="AQ538" s="944"/>
      <c r="AR538" s="45"/>
    </row>
    <row r="539" spans="1:44" ht="14.25" customHeight="1" x14ac:dyDescent="0.3">
      <c r="A539" s="95"/>
      <c r="B539" s="45"/>
      <c r="C539" s="45"/>
      <c r="D539" s="45"/>
      <c r="E539" s="45"/>
      <c r="F539" s="45"/>
      <c r="G539" s="45"/>
      <c r="H539" s="944"/>
      <c r="I539" s="944"/>
      <c r="J539" s="944"/>
      <c r="K539" s="944"/>
      <c r="L539" s="944"/>
      <c r="M539" s="944"/>
      <c r="N539" s="944"/>
      <c r="O539" s="944"/>
      <c r="P539" s="944"/>
      <c r="Q539" s="944"/>
      <c r="R539" s="944"/>
      <c r="S539" s="944"/>
      <c r="T539" s="944"/>
      <c r="U539" s="944"/>
      <c r="V539" s="944"/>
      <c r="W539" s="944"/>
      <c r="X539" s="944"/>
      <c r="Y539" s="944"/>
      <c r="Z539" s="944"/>
      <c r="AA539" s="944"/>
      <c r="AB539" s="944"/>
      <c r="AC539" s="944"/>
      <c r="AD539" s="944"/>
      <c r="AE539" s="944"/>
      <c r="AF539" s="944"/>
      <c r="AG539" s="944"/>
      <c r="AH539" s="944"/>
      <c r="AI539" s="944"/>
      <c r="AJ539" s="944"/>
      <c r="AK539" s="944"/>
      <c r="AL539" s="944"/>
      <c r="AM539" s="944"/>
      <c r="AN539" s="944"/>
      <c r="AO539" s="944"/>
      <c r="AP539" s="944"/>
      <c r="AQ539" s="944"/>
      <c r="AR539" s="45"/>
    </row>
    <row r="540" spans="1:44" ht="14.25" customHeight="1" x14ac:dyDescent="0.3">
      <c r="A540" s="95"/>
      <c r="B540" s="45"/>
      <c r="C540" s="45"/>
      <c r="D540" s="45"/>
      <c r="E540" s="45"/>
      <c r="F540" s="45"/>
      <c r="G540" s="45"/>
      <c r="H540" s="944"/>
      <c r="I540" s="944"/>
      <c r="J540" s="944"/>
      <c r="K540" s="944"/>
      <c r="L540" s="944"/>
      <c r="M540" s="944"/>
      <c r="N540" s="944"/>
      <c r="O540" s="944"/>
      <c r="P540" s="944"/>
      <c r="Q540" s="944"/>
      <c r="R540" s="944"/>
      <c r="S540" s="944"/>
      <c r="T540" s="944"/>
      <c r="U540" s="944"/>
      <c r="V540" s="944"/>
      <c r="W540" s="944"/>
      <c r="X540" s="944"/>
      <c r="Y540" s="944"/>
      <c r="Z540" s="944"/>
      <c r="AA540" s="944"/>
      <c r="AB540" s="944"/>
      <c r="AC540" s="944"/>
      <c r="AD540" s="944"/>
      <c r="AE540" s="944"/>
      <c r="AF540" s="944"/>
      <c r="AG540" s="944"/>
      <c r="AH540" s="944"/>
      <c r="AI540" s="944"/>
      <c r="AJ540" s="944"/>
      <c r="AK540" s="944"/>
      <c r="AL540" s="944"/>
      <c r="AM540" s="944"/>
      <c r="AN540" s="944"/>
      <c r="AO540" s="944"/>
      <c r="AP540" s="944"/>
      <c r="AQ540" s="944"/>
      <c r="AR540" s="45"/>
    </row>
    <row r="541" spans="1:44" ht="14.25" customHeight="1" x14ac:dyDescent="0.3">
      <c r="A541" s="95"/>
      <c r="B541" s="45"/>
      <c r="C541" s="45"/>
      <c r="D541" s="45"/>
      <c r="E541" s="45"/>
      <c r="F541" s="45"/>
      <c r="G541" s="45"/>
      <c r="H541" s="944"/>
      <c r="I541" s="944"/>
      <c r="J541" s="944"/>
      <c r="K541" s="944"/>
      <c r="L541" s="944"/>
      <c r="M541" s="944"/>
      <c r="N541" s="944"/>
      <c r="O541" s="944"/>
      <c r="P541" s="944"/>
      <c r="Q541" s="944"/>
      <c r="R541" s="944"/>
      <c r="S541" s="944"/>
      <c r="T541" s="944"/>
      <c r="U541" s="944"/>
      <c r="V541" s="944"/>
      <c r="W541" s="944"/>
      <c r="X541" s="944"/>
      <c r="Y541" s="944"/>
      <c r="Z541" s="944"/>
      <c r="AA541" s="944"/>
      <c r="AB541" s="944"/>
      <c r="AC541" s="944"/>
      <c r="AD541" s="944"/>
      <c r="AE541" s="944"/>
      <c r="AF541" s="944"/>
      <c r="AG541" s="944"/>
      <c r="AH541" s="944"/>
      <c r="AI541" s="944"/>
      <c r="AJ541" s="944"/>
      <c r="AK541" s="944"/>
      <c r="AL541" s="944"/>
      <c r="AM541" s="944"/>
      <c r="AN541" s="944"/>
      <c r="AO541" s="944"/>
      <c r="AP541" s="944"/>
      <c r="AQ541" s="944"/>
      <c r="AR541" s="45"/>
    </row>
    <row r="542" spans="1:44" ht="14.25" customHeight="1" x14ac:dyDescent="0.3">
      <c r="A542" s="95"/>
      <c r="B542" s="45"/>
      <c r="C542" s="45"/>
      <c r="D542" s="45"/>
      <c r="E542" s="45"/>
      <c r="F542" s="45"/>
      <c r="G542" s="45"/>
      <c r="H542" s="944"/>
      <c r="I542" s="944"/>
      <c r="J542" s="944"/>
      <c r="K542" s="944"/>
      <c r="L542" s="944"/>
      <c r="M542" s="944"/>
      <c r="N542" s="944"/>
      <c r="O542" s="944"/>
      <c r="P542" s="944"/>
      <c r="Q542" s="944"/>
      <c r="R542" s="944"/>
      <c r="S542" s="944"/>
      <c r="T542" s="944"/>
      <c r="U542" s="944"/>
      <c r="V542" s="944"/>
      <c r="W542" s="944"/>
      <c r="X542" s="944"/>
      <c r="Y542" s="944"/>
      <c r="Z542" s="944"/>
      <c r="AA542" s="944"/>
      <c r="AB542" s="944"/>
      <c r="AC542" s="944"/>
      <c r="AD542" s="944"/>
      <c r="AE542" s="944"/>
      <c r="AF542" s="944"/>
      <c r="AG542" s="944"/>
      <c r="AH542" s="944"/>
      <c r="AI542" s="944"/>
      <c r="AJ542" s="944"/>
      <c r="AK542" s="944"/>
      <c r="AL542" s="944"/>
      <c r="AM542" s="944"/>
      <c r="AN542" s="944"/>
      <c r="AO542" s="944"/>
      <c r="AP542" s="944"/>
      <c r="AQ542" s="944"/>
      <c r="AR542" s="45"/>
    </row>
    <row r="543" spans="1:44" ht="14.25" customHeight="1" x14ac:dyDescent="0.3">
      <c r="A543" s="95"/>
      <c r="B543" s="45"/>
      <c r="C543" s="45"/>
      <c r="D543" s="45"/>
      <c r="E543" s="45"/>
      <c r="F543" s="45"/>
      <c r="G543" s="45"/>
      <c r="H543" s="944"/>
      <c r="I543" s="944"/>
      <c r="J543" s="944"/>
      <c r="K543" s="944"/>
      <c r="L543" s="944"/>
      <c r="M543" s="944"/>
      <c r="N543" s="944"/>
      <c r="O543" s="944"/>
      <c r="P543" s="944"/>
      <c r="Q543" s="944"/>
      <c r="R543" s="944"/>
      <c r="S543" s="944"/>
      <c r="T543" s="944"/>
      <c r="U543" s="944"/>
      <c r="V543" s="944"/>
      <c r="W543" s="944"/>
      <c r="X543" s="944"/>
      <c r="Y543" s="944"/>
      <c r="Z543" s="944"/>
      <c r="AA543" s="944"/>
      <c r="AB543" s="944"/>
      <c r="AC543" s="944"/>
      <c r="AD543" s="944"/>
      <c r="AE543" s="944"/>
      <c r="AF543" s="944"/>
      <c r="AG543" s="944"/>
      <c r="AH543" s="944"/>
      <c r="AI543" s="944"/>
      <c r="AJ543" s="944"/>
      <c r="AK543" s="944"/>
      <c r="AL543" s="944"/>
      <c r="AM543" s="944"/>
      <c r="AN543" s="944"/>
      <c r="AO543" s="944"/>
      <c r="AP543" s="944"/>
      <c r="AQ543" s="944"/>
      <c r="AR543" s="45"/>
    </row>
    <row r="544" spans="1:44" ht="14.25" customHeight="1" x14ac:dyDescent="0.3">
      <c r="A544" s="95"/>
      <c r="B544" s="45"/>
      <c r="C544" s="45"/>
      <c r="D544" s="45"/>
      <c r="E544" s="45"/>
      <c r="F544" s="45"/>
      <c r="G544" s="45"/>
      <c r="H544" s="944"/>
      <c r="I544" s="944"/>
      <c r="J544" s="944"/>
      <c r="K544" s="944"/>
      <c r="L544" s="944"/>
      <c r="M544" s="944"/>
      <c r="N544" s="944"/>
      <c r="O544" s="944"/>
      <c r="P544" s="944"/>
      <c r="Q544" s="944"/>
      <c r="R544" s="944"/>
      <c r="S544" s="944"/>
      <c r="T544" s="944"/>
      <c r="U544" s="944"/>
      <c r="V544" s="944"/>
      <c r="W544" s="944"/>
      <c r="X544" s="944"/>
      <c r="Y544" s="944"/>
      <c r="Z544" s="944"/>
      <c r="AA544" s="944"/>
      <c r="AB544" s="944"/>
      <c r="AC544" s="944"/>
      <c r="AD544" s="944"/>
      <c r="AE544" s="944"/>
      <c r="AF544" s="944"/>
      <c r="AG544" s="944"/>
      <c r="AH544" s="944"/>
      <c r="AI544" s="944"/>
      <c r="AJ544" s="944"/>
      <c r="AK544" s="944"/>
      <c r="AL544" s="944"/>
      <c r="AM544" s="944"/>
      <c r="AN544" s="944"/>
      <c r="AO544" s="944"/>
      <c r="AP544" s="944"/>
      <c r="AQ544" s="944"/>
      <c r="AR544" s="45"/>
    </row>
    <row r="545" spans="1:44" ht="14.25" customHeight="1" x14ac:dyDescent="0.3">
      <c r="A545" s="95"/>
      <c r="B545" s="45"/>
      <c r="C545" s="45"/>
      <c r="D545" s="45"/>
      <c r="E545" s="45"/>
      <c r="F545" s="45"/>
      <c r="G545" s="45"/>
      <c r="H545" s="944"/>
      <c r="I545" s="944"/>
      <c r="J545" s="944"/>
      <c r="K545" s="944"/>
      <c r="L545" s="944"/>
      <c r="M545" s="944"/>
      <c r="N545" s="944"/>
      <c r="O545" s="944"/>
      <c r="P545" s="944"/>
      <c r="Q545" s="944"/>
      <c r="R545" s="944"/>
      <c r="S545" s="944"/>
      <c r="T545" s="944"/>
      <c r="U545" s="944"/>
      <c r="V545" s="944"/>
      <c r="W545" s="944"/>
      <c r="X545" s="944"/>
      <c r="Y545" s="944"/>
      <c r="Z545" s="944"/>
      <c r="AA545" s="944"/>
      <c r="AB545" s="944"/>
      <c r="AC545" s="944"/>
      <c r="AD545" s="944"/>
      <c r="AE545" s="944"/>
      <c r="AF545" s="944"/>
      <c r="AG545" s="944"/>
      <c r="AH545" s="944"/>
      <c r="AI545" s="944"/>
      <c r="AJ545" s="944"/>
      <c r="AK545" s="944"/>
      <c r="AL545" s="944"/>
      <c r="AM545" s="944"/>
      <c r="AN545" s="944"/>
      <c r="AO545" s="944"/>
      <c r="AP545" s="944"/>
      <c r="AQ545" s="944"/>
      <c r="AR545" s="45"/>
    </row>
    <row r="546" spans="1:44" ht="14.25" customHeight="1" x14ac:dyDescent="0.3">
      <c r="A546" s="95"/>
      <c r="B546" s="45"/>
      <c r="C546" s="45"/>
      <c r="D546" s="45"/>
      <c r="E546" s="45"/>
      <c r="F546" s="45"/>
      <c r="G546" s="45"/>
      <c r="H546" s="944"/>
      <c r="I546" s="944"/>
      <c r="J546" s="944"/>
      <c r="K546" s="944"/>
      <c r="L546" s="944"/>
      <c r="M546" s="944"/>
      <c r="N546" s="944"/>
      <c r="O546" s="944"/>
      <c r="P546" s="944"/>
      <c r="Q546" s="944"/>
      <c r="R546" s="944"/>
      <c r="S546" s="944"/>
      <c r="T546" s="944"/>
      <c r="U546" s="944"/>
      <c r="V546" s="944"/>
      <c r="W546" s="944"/>
      <c r="X546" s="944"/>
      <c r="Y546" s="944"/>
      <c r="Z546" s="944"/>
      <c r="AA546" s="944"/>
      <c r="AB546" s="944"/>
      <c r="AC546" s="944"/>
      <c r="AD546" s="944"/>
      <c r="AE546" s="944"/>
      <c r="AF546" s="944"/>
      <c r="AG546" s="944"/>
      <c r="AH546" s="944"/>
      <c r="AI546" s="944"/>
      <c r="AJ546" s="944"/>
      <c r="AK546" s="944"/>
      <c r="AL546" s="944"/>
      <c r="AM546" s="944"/>
      <c r="AN546" s="944"/>
      <c r="AO546" s="944"/>
      <c r="AP546" s="944"/>
      <c r="AQ546" s="944"/>
      <c r="AR546" s="45"/>
    </row>
    <row r="547" spans="1:44" ht="14.25" customHeight="1" x14ac:dyDescent="0.3">
      <c r="A547" s="95"/>
      <c r="B547" s="45"/>
      <c r="C547" s="45"/>
      <c r="D547" s="45"/>
      <c r="E547" s="45"/>
      <c r="F547" s="45"/>
      <c r="G547" s="45"/>
      <c r="H547" s="944"/>
      <c r="I547" s="944"/>
      <c r="J547" s="944"/>
      <c r="K547" s="944"/>
      <c r="L547" s="944"/>
      <c r="M547" s="944"/>
      <c r="N547" s="944"/>
      <c r="O547" s="944"/>
      <c r="P547" s="944"/>
      <c r="Q547" s="944"/>
      <c r="R547" s="944"/>
      <c r="S547" s="944"/>
      <c r="T547" s="944"/>
      <c r="U547" s="944"/>
      <c r="V547" s="944"/>
      <c r="W547" s="944"/>
      <c r="X547" s="944"/>
      <c r="Y547" s="944"/>
      <c r="Z547" s="944"/>
      <c r="AA547" s="944"/>
      <c r="AB547" s="944"/>
      <c r="AC547" s="944"/>
      <c r="AD547" s="944"/>
      <c r="AE547" s="944"/>
      <c r="AF547" s="944"/>
      <c r="AG547" s="944"/>
      <c r="AH547" s="944"/>
      <c r="AI547" s="944"/>
      <c r="AJ547" s="944"/>
      <c r="AK547" s="944"/>
      <c r="AL547" s="944"/>
      <c r="AM547" s="944"/>
      <c r="AN547" s="944"/>
      <c r="AO547" s="944"/>
      <c r="AP547" s="944"/>
      <c r="AQ547" s="944"/>
      <c r="AR547" s="45"/>
    </row>
    <row r="548" spans="1:44" ht="14.25" customHeight="1" x14ac:dyDescent="0.3">
      <c r="A548" s="95"/>
      <c r="B548" s="45"/>
      <c r="C548" s="45"/>
      <c r="D548" s="45"/>
      <c r="E548" s="45"/>
      <c r="F548" s="45"/>
      <c r="G548" s="45"/>
      <c r="H548" s="944"/>
      <c r="I548" s="944"/>
      <c r="J548" s="944"/>
      <c r="K548" s="944"/>
      <c r="L548" s="944"/>
      <c r="M548" s="944"/>
      <c r="N548" s="944"/>
      <c r="O548" s="944"/>
      <c r="P548" s="944"/>
      <c r="Q548" s="944"/>
      <c r="R548" s="944"/>
      <c r="S548" s="944"/>
      <c r="T548" s="944"/>
      <c r="U548" s="944"/>
      <c r="V548" s="944"/>
      <c r="W548" s="944"/>
      <c r="X548" s="944"/>
      <c r="Y548" s="944"/>
      <c r="Z548" s="944"/>
      <c r="AA548" s="944"/>
      <c r="AB548" s="944"/>
      <c r="AC548" s="944"/>
      <c r="AD548" s="944"/>
      <c r="AE548" s="944"/>
      <c r="AF548" s="944"/>
      <c r="AG548" s="944"/>
      <c r="AH548" s="944"/>
      <c r="AI548" s="944"/>
      <c r="AJ548" s="944"/>
      <c r="AK548" s="944"/>
      <c r="AL548" s="944"/>
      <c r="AM548" s="944"/>
      <c r="AN548" s="944"/>
      <c r="AO548" s="944"/>
      <c r="AP548" s="944"/>
      <c r="AQ548" s="944"/>
      <c r="AR548" s="45"/>
    </row>
    <row r="549" spans="1:44" ht="14.25" customHeight="1" x14ac:dyDescent="0.3">
      <c r="A549" s="95"/>
      <c r="B549" s="45"/>
      <c r="C549" s="45"/>
      <c r="D549" s="45"/>
      <c r="E549" s="45"/>
      <c r="F549" s="45"/>
      <c r="G549" s="45"/>
      <c r="H549" s="944"/>
      <c r="I549" s="944"/>
      <c r="J549" s="944"/>
      <c r="K549" s="944"/>
      <c r="L549" s="944"/>
      <c r="M549" s="944"/>
      <c r="N549" s="944"/>
      <c r="O549" s="944"/>
      <c r="P549" s="944"/>
      <c r="Q549" s="944"/>
      <c r="R549" s="944"/>
      <c r="S549" s="944"/>
      <c r="T549" s="944"/>
      <c r="U549" s="944"/>
      <c r="V549" s="944"/>
      <c r="W549" s="944"/>
      <c r="X549" s="944"/>
      <c r="Y549" s="944"/>
      <c r="Z549" s="944"/>
      <c r="AA549" s="944"/>
      <c r="AB549" s="944"/>
      <c r="AC549" s="944"/>
      <c r="AD549" s="944"/>
      <c r="AE549" s="944"/>
      <c r="AF549" s="944"/>
      <c r="AG549" s="944"/>
      <c r="AH549" s="944"/>
      <c r="AI549" s="944"/>
      <c r="AJ549" s="944"/>
      <c r="AK549" s="944"/>
      <c r="AL549" s="944"/>
      <c r="AM549" s="944"/>
      <c r="AN549" s="944"/>
      <c r="AO549" s="944"/>
      <c r="AP549" s="944"/>
      <c r="AQ549" s="944"/>
      <c r="AR549" s="45"/>
    </row>
    <row r="550" spans="1:44" ht="14.25" customHeight="1" x14ac:dyDescent="0.3">
      <c r="A550" s="95"/>
      <c r="B550" s="45"/>
      <c r="C550" s="45"/>
      <c r="D550" s="45"/>
      <c r="E550" s="45"/>
      <c r="F550" s="45"/>
      <c r="G550" s="45"/>
      <c r="H550" s="944"/>
      <c r="I550" s="944"/>
      <c r="J550" s="944"/>
      <c r="K550" s="944"/>
      <c r="L550" s="944"/>
      <c r="M550" s="944"/>
      <c r="N550" s="944"/>
      <c r="O550" s="944"/>
      <c r="P550" s="944"/>
      <c r="Q550" s="944"/>
      <c r="R550" s="944"/>
      <c r="S550" s="944"/>
      <c r="T550" s="944"/>
      <c r="U550" s="944"/>
      <c r="V550" s="944"/>
      <c r="W550" s="944"/>
      <c r="X550" s="944"/>
      <c r="Y550" s="944"/>
      <c r="Z550" s="944"/>
      <c r="AA550" s="944"/>
      <c r="AB550" s="944"/>
      <c r="AC550" s="944"/>
      <c r="AD550" s="944"/>
      <c r="AE550" s="944"/>
      <c r="AF550" s="944"/>
      <c r="AG550" s="944"/>
      <c r="AH550" s="944"/>
      <c r="AI550" s="944"/>
      <c r="AJ550" s="944"/>
      <c r="AK550" s="944"/>
      <c r="AL550" s="944"/>
      <c r="AM550" s="944"/>
      <c r="AN550" s="944"/>
      <c r="AO550" s="944"/>
      <c r="AP550" s="944"/>
      <c r="AQ550" s="944"/>
      <c r="AR550" s="45"/>
    </row>
    <row r="551" spans="1:44" ht="14.25" customHeight="1" x14ac:dyDescent="0.3">
      <c r="A551" s="95"/>
      <c r="B551" s="45"/>
      <c r="C551" s="45"/>
      <c r="D551" s="45"/>
      <c r="E551" s="45"/>
      <c r="F551" s="45"/>
      <c r="G551" s="45"/>
      <c r="H551" s="944"/>
      <c r="I551" s="944"/>
      <c r="J551" s="944"/>
      <c r="K551" s="944"/>
      <c r="L551" s="944"/>
      <c r="M551" s="944"/>
      <c r="N551" s="944"/>
      <c r="O551" s="944"/>
      <c r="P551" s="944"/>
      <c r="Q551" s="944"/>
      <c r="R551" s="944"/>
      <c r="S551" s="944"/>
      <c r="T551" s="944"/>
      <c r="U551" s="944"/>
      <c r="V551" s="944"/>
      <c r="W551" s="944"/>
      <c r="X551" s="944"/>
      <c r="Y551" s="944"/>
      <c r="Z551" s="944"/>
      <c r="AA551" s="944"/>
      <c r="AB551" s="944"/>
      <c r="AC551" s="944"/>
      <c r="AD551" s="944"/>
      <c r="AE551" s="944"/>
      <c r="AF551" s="944"/>
      <c r="AG551" s="944"/>
      <c r="AH551" s="944"/>
      <c r="AI551" s="944"/>
      <c r="AJ551" s="944"/>
      <c r="AK551" s="944"/>
      <c r="AL551" s="944"/>
      <c r="AM551" s="944"/>
      <c r="AN551" s="944"/>
      <c r="AO551" s="944"/>
      <c r="AP551" s="944"/>
      <c r="AQ551" s="944"/>
      <c r="AR551" s="45"/>
    </row>
    <row r="552" spans="1:44" ht="14.25" customHeight="1" x14ac:dyDescent="0.3">
      <c r="A552" s="95"/>
      <c r="B552" s="45"/>
      <c r="C552" s="45"/>
      <c r="D552" s="45"/>
      <c r="E552" s="45"/>
      <c r="F552" s="45"/>
      <c r="G552" s="45"/>
      <c r="H552" s="944"/>
      <c r="I552" s="944"/>
      <c r="J552" s="944"/>
      <c r="K552" s="944"/>
      <c r="L552" s="944"/>
      <c r="M552" s="944"/>
      <c r="N552" s="944"/>
      <c r="O552" s="944"/>
      <c r="P552" s="944"/>
      <c r="Q552" s="944"/>
      <c r="R552" s="944"/>
      <c r="S552" s="944"/>
      <c r="T552" s="944"/>
      <c r="U552" s="944"/>
      <c r="V552" s="944"/>
      <c r="W552" s="944"/>
      <c r="X552" s="944"/>
      <c r="Y552" s="944"/>
      <c r="Z552" s="944"/>
      <c r="AA552" s="944"/>
      <c r="AB552" s="944"/>
      <c r="AC552" s="944"/>
      <c r="AD552" s="944"/>
      <c r="AE552" s="944"/>
      <c r="AF552" s="944"/>
      <c r="AG552" s="944"/>
      <c r="AH552" s="944"/>
      <c r="AI552" s="944"/>
      <c r="AJ552" s="944"/>
      <c r="AK552" s="944"/>
      <c r="AL552" s="944"/>
      <c r="AM552" s="944"/>
      <c r="AN552" s="944"/>
      <c r="AO552" s="944"/>
      <c r="AP552" s="944"/>
      <c r="AQ552" s="944"/>
      <c r="AR552" s="45"/>
    </row>
    <row r="553" spans="1:44" ht="14.25" customHeight="1" x14ac:dyDescent="0.3">
      <c r="A553" s="95"/>
      <c r="B553" s="45"/>
      <c r="C553" s="45"/>
      <c r="D553" s="45"/>
      <c r="E553" s="45"/>
      <c r="F553" s="45"/>
      <c r="G553" s="45"/>
      <c r="H553" s="944"/>
      <c r="I553" s="944"/>
      <c r="J553" s="944"/>
      <c r="K553" s="944"/>
      <c r="L553" s="944"/>
      <c r="M553" s="944"/>
      <c r="N553" s="944"/>
      <c r="O553" s="944"/>
      <c r="P553" s="944"/>
      <c r="Q553" s="944"/>
      <c r="R553" s="944"/>
      <c r="S553" s="944"/>
      <c r="T553" s="944"/>
      <c r="U553" s="944"/>
      <c r="V553" s="944"/>
      <c r="W553" s="944"/>
      <c r="X553" s="944"/>
      <c r="Y553" s="944"/>
      <c r="Z553" s="944"/>
      <c r="AA553" s="944"/>
      <c r="AB553" s="944"/>
      <c r="AC553" s="944"/>
      <c r="AD553" s="944"/>
      <c r="AE553" s="944"/>
      <c r="AF553" s="944"/>
      <c r="AG553" s="944"/>
      <c r="AH553" s="944"/>
      <c r="AI553" s="944"/>
      <c r="AJ553" s="944"/>
      <c r="AK553" s="944"/>
      <c r="AL553" s="944"/>
      <c r="AM553" s="944"/>
      <c r="AN553" s="944"/>
      <c r="AO553" s="944"/>
      <c r="AP553" s="944"/>
      <c r="AQ553" s="944"/>
      <c r="AR553" s="45"/>
    </row>
    <row r="554" spans="1:44" ht="14.25" customHeight="1" x14ac:dyDescent="0.3">
      <c r="A554" s="95"/>
      <c r="B554" s="45"/>
      <c r="C554" s="45"/>
      <c r="D554" s="45"/>
      <c r="E554" s="45"/>
      <c r="F554" s="45"/>
      <c r="G554" s="45"/>
      <c r="H554" s="944"/>
      <c r="I554" s="944"/>
      <c r="J554" s="944"/>
      <c r="K554" s="944"/>
      <c r="L554" s="944"/>
      <c r="M554" s="944"/>
      <c r="N554" s="944"/>
      <c r="O554" s="944"/>
      <c r="P554" s="944"/>
      <c r="Q554" s="944"/>
      <c r="R554" s="944"/>
      <c r="S554" s="944"/>
      <c r="T554" s="944"/>
      <c r="U554" s="944"/>
      <c r="V554" s="944"/>
      <c r="W554" s="944"/>
      <c r="X554" s="944"/>
      <c r="Y554" s="944"/>
      <c r="Z554" s="944"/>
      <c r="AA554" s="944"/>
      <c r="AB554" s="944"/>
      <c r="AC554" s="944"/>
      <c r="AD554" s="944"/>
      <c r="AE554" s="944"/>
      <c r="AF554" s="944"/>
      <c r="AG554" s="944"/>
      <c r="AH554" s="944"/>
      <c r="AI554" s="944"/>
      <c r="AJ554" s="944"/>
      <c r="AK554" s="944"/>
      <c r="AL554" s="944"/>
      <c r="AM554" s="944"/>
      <c r="AN554" s="944"/>
      <c r="AO554" s="944"/>
      <c r="AP554" s="944"/>
      <c r="AQ554" s="944"/>
      <c r="AR554" s="45"/>
    </row>
    <row r="555" spans="1:44" ht="14.25" customHeight="1" x14ac:dyDescent="0.3">
      <c r="A555" s="95"/>
      <c r="B555" s="45"/>
      <c r="C555" s="45"/>
      <c r="D555" s="45"/>
      <c r="E555" s="45"/>
      <c r="F555" s="45"/>
      <c r="G555" s="45"/>
      <c r="H555" s="944"/>
      <c r="I555" s="944"/>
      <c r="J555" s="944"/>
      <c r="K555" s="944"/>
      <c r="L555" s="944"/>
      <c r="M555" s="944"/>
      <c r="N555" s="944"/>
      <c r="O555" s="944"/>
      <c r="P555" s="944"/>
      <c r="Q555" s="944"/>
      <c r="R555" s="944"/>
      <c r="S555" s="944"/>
      <c r="T555" s="944"/>
      <c r="U555" s="944"/>
      <c r="V555" s="944"/>
      <c r="W555" s="944"/>
      <c r="X555" s="944"/>
      <c r="Y555" s="944"/>
      <c r="Z555" s="944"/>
      <c r="AA555" s="944"/>
      <c r="AB555" s="944"/>
      <c r="AC555" s="944"/>
      <c r="AD555" s="944"/>
      <c r="AE555" s="944"/>
      <c r="AF555" s="944"/>
      <c r="AG555" s="944"/>
      <c r="AH555" s="944"/>
      <c r="AI555" s="944"/>
      <c r="AJ555" s="944"/>
      <c r="AK555" s="944"/>
      <c r="AL555" s="944"/>
      <c r="AM555" s="944"/>
      <c r="AN555" s="944"/>
      <c r="AO555" s="944"/>
      <c r="AP555" s="944"/>
      <c r="AQ555" s="944"/>
      <c r="AR555" s="45"/>
    </row>
    <row r="556" spans="1:44" ht="14.25" customHeight="1" x14ac:dyDescent="0.3">
      <c r="A556" s="95"/>
      <c r="B556" s="45"/>
      <c r="C556" s="45"/>
      <c r="D556" s="45"/>
      <c r="E556" s="45"/>
      <c r="F556" s="45"/>
      <c r="G556" s="45"/>
      <c r="H556" s="944"/>
      <c r="I556" s="944"/>
      <c r="J556" s="944"/>
      <c r="K556" s="944"/>
      <c r="L556" s="944"/>
      <c r="M556" s="944"/>
      <c r="N556" s="944"/>
      <c r="O556" s="944"/>
      <c r="P556" s="944"/>
      <c r="Q556" s="944"/>
      <c r="R556" s="944"/>
      <c r="S556" s="944"/>
      <c r="T556" s="944"/>
      <c r="U556" s="944"/>
      <c r="V556" s="944"/>
      <c r="W556" s="944"/>
      <c r="X556" s="944"/>
      <c r="Y556" s="944"/>
      <c r="Z556" s="944"/>
      <c r="AA556" s="944"/>
      <c r="AB556" s="944"/>
      <c r="AC556" s="944"/>
      <c r="AD556" s="944"/>
      <c r="AE556" s="944"/>
      <c r="AF556" s="944"/>
      <c r="AG556" s="944"/>
      <c r="AH556" s="944"/>
      <c r="AI556" s="944"/>
      <c r="AJ556" s="944"/>
      <c r="AK556" s="944"/>
      <c r="AL556" s="944"/>
      <c r="AM556" s="944"/>
      <c r="AN556" s="944"/>
      <c r="AO556" s="944"/>
      <c r="AP556" s="944"/>
      <c r="AQ556" s="944"/>
      <c r="AR556" s="45"/>
    </row>
    <row r="557" spans="1:44" ht="14.25" customHeight="1" x14ac:dyDescent="0.3">
      <c r="A557" s="95"/>
      <c r="B557" s="45"/>
      <c r="C557" s="45"/>
      <c r="D557" s="45"/>
      <c r="E557" s="45"/>
      <c r="F557" s="45"/>
      <c r="G557" s="45"/>
      <c r="H557" s="944"/>
      <c r="I557" s="944"/>
      <c r="J557" s="944"/>
      <c r="K557" s="944"/>
      <c r="L557" s="944"/>
      <c r="M557" s="944"/>
      <c r="N557" s="944"/>
      <c r="O557" s="944"/>
      <c r="P557" s="944"/>
      <c r="Q557" s="944"/>
      <c r="R557" s="944"/>
      <c r="S557" s="944"/>
      <c r="T557" s="944"/>
      <c r="U557" s="944"/>
      <c r="V557" s="944"/>
      <c r="W557" s="944"/>
      <c r="X557" s="944"/>
      <c r="Y557" s="944"/>
      <c r="Z557" s="944"/>
      <c r="AA557" s="944"/>
      <c r="AB557" s="944"/>
      <c r="AC557" s="944"/>
      <c r="AD557" s="944"/>
      <c r="AE557" s="944"/>
      <c r="AF557" s="944"/>
      <c r="AG557" s="944"/>
      <c r="AH557" s="944"/>
      <c r="AI557" s="944"/>
      <c r="AJ557" s="944"/>
      <c r="AK557" s="944"/>
      <c r="AL557" s="944"/>
      <c r="AM557" s="944"/>
      <c r="AN557" s="944"/>
      <c r="AO557" s="944"/>
      <c r="AP557" s="944"/>
      <c r="AQ557" s="944"/>
      <c r="AR557" s="45"/>
    </row>
    <row r="558" spans="1:44" ht="14.25" customHeight="1" x14ac:dyDescent="0.3">
      <c r="A558" s="95"/>
      <c r="B558" s="45"/>
      <c r="C558" s="45"/>
      <c r="D558" s="45"/>
      <c r="E558" s="45"/>
      <c r="F558" s="45"/>
      <c r="G558" s="45"/>
      <c r="H558" s="944"/>
      <c r="I558" s="944"/>
      <c r="J558" s="944"/>
      <c r="K558" s="944"/>
      <c r="L558" s="944"/>
      <c r="M558" s="944"/>
      <c r="N558" s="944"/>
      <c r="O558" s="944"/>
      <c r="P558" s="944"/>
      <c r="Q558" s="944"/>
      <c r="R558" s="944"/>
      <c r="S558" s="944"/>
      <c r="T558" s="944"/>
      <c r="U558" s="944"/>
      <c r="V558" s="944"/>
      <c r="W558" s="944"/>
      <c r="X558" s="944"/>
      <c r="Y558" s="944"/>
      <c r="Z558" s="944"/>
      <c r="AA558" s="944"/>
      <c r="AB558" s="944"/>
      <c r="AC558" s="944"/>
      <c r="AD558" s="944"/>
      <c r="AE558" s="944"/>
      <c r="AF558" s="944"/>
      <c r="AG558" s="944"/>
      <c r="AH558" s="944"/>
      <c r="AI558" s="944"/>
      <c r="AJ558" s="944"/>
      <c r="AK558" s="944"/>
      <c r="AL558" s="944"/>
      <c r="AM558" s="944"/>
      <c r="AN558" s="944"/>
      <c r="AO558" s="944"/>
      <c r="AP558" s="944"/>
      <c r="AQ558" s="944"/>
      <c r="AR558" s="45"/>
    </row>
    <row r="559" spans="1:44" ht="14.25" customHeight="1" x14ac:dyDescent="0.3">
      <c r="A559" s="95"/>
      <c r="B559" s="45"/>
      <c r="C559" s="45"/>
      <c r="D559" s="45"/>
      <c r="E559" s="45"/>
      <c r="F559" s="45"/>
      <c r="G559" s="45"/>
      <c r="H559" s="944"/>
      <c r="I559" s="944"/>
      <c r="J559" s="944"/>
      <c r="K559" s="944"/>
      <c r="L559" s="944"/>
      <c r="M559" s="944"/>
      <c r="N559" s="944"/>
      <c r="O559" s="944"/>
      <c r="P559" s="944"/>
      <c r="Q559" s="944"/>
      <c r="R559" s="944"/>
      <c r="S559" s="944"/>
      <c r="T559" s="944"/>
      <c r="U559" s="944"/>
      <c r="V559" s="944"/>
      <c r="W559" s="944"/>
      <c r="X559" s="944"/>
      <c r="Y559" s="944"/>
      <c r="Z559" s="944"/>
      <c r="AA559" s="944"/>
      <c r="AB559" s="944"/>
      <c r="AC559" s="944"/>
      <c r="AD559" s="944"/>
      <c r="AE559" s="944"/>
      <c r="AF559" s="944"/>
      <c r="AG559" s="944"/>
      <c r="AH559" s="944"/>
      <c r="AI559" s="944"/>
      <c r="AJ559" s="944"/>
      <c r="AK559" s="944"/>
      <c r="AL559" s="944"/>
      <c r="AM559" s="944"/>
      <c r="AN559" s="944"/>
      <c r="AO559" s="944"/>
      <c r="AP559" s="944"/>
      <c r="AQ559" s="944"/>
      <c r="AR559" s="45"/>
    </row>
    <row r="560" spans="1:44" ht="14.25" customHeight="1" x14ac:dyDescent="0.3">
      <c r="A560" s="95"/>
      <c r="B560" s="45"/>
      <c r="C560" s="45"/>
      <c r="D560" s="45"/>
      <c r="E560" s="45"/>
      <c r="F560" s="45"/>
      <c r="G560" s="45"/>
      <c r="H560" s="944"/>
      <c r="I560" s="944"/>
      <c r="J560" s="944"/>
      <c r="K560" s="944"/>
      <c r="L560" s="944"/>
      <c r="M560" s="944"/>
      <c r="N560" s="944"/>
      <c r="O560" s="944"/>
      <c r="P560" s="944"/>
      <c r="Q560" s="944"/>
      <c r="R560" s="944"/>
      <c r="S560" s="944"/>
      <c r="T560" s="944"/>
      <c r="U560" s="944"/>
      <c r="V560" s="944"/>
      <c r="W560" s="944"/>
      <c r="X560" s="944"/>
      <c r="Y560" s="944"/>
      <c r="Z560" s="944"/>
      <c r="AA560" s="944"/>
      <c r="AB560" s="944"/>
      <c r="AC560" s="944"/>
      <c r="AD560" s="944"/>
      <c r="AE560" s="944"/>
      <c r="AF560" s="944"/>
      <c r="AG560" s="944"/>
      <c r="AH560" s="944"/>
      <c r="AI560" s="944"/>
      <c r="AJ560" s="944"/>
      <c r="AK560" s="944"/>
      <c r="AL560" s="944"/>
      <c r="AM560" s="944"/>
      <c r="AN560" s="944"/>
      <c r="AO560" s="944"/>
      <c r="AP560" s="944"/>
      <c r="AQ560" s="944"/>
      <c r="AR560" s="45"/>
    </row>
    <row r="561" spans="1:44" ht="14.25" customHeight="1" x14ac:dyDescent="0.3">
      <c r="A561" s="95"/>
      <c r="B561" s="45"/>
      <c r="C561" s="45"/>
      <c r="D561" s="45"/>
      <c r="E561" s="45"/>
      <c r="F561" s="45"/>
      <c r="G561" s="45"/>
      <c r="H561" s="944"/>
      <c r="I561" s="944"/>
      <c r="J561" s="944"/>
      <c r="K561" s="944"/>
      <c r="L561" s="944"/>
      <c r="M561" s="944"/>
      <c r="N561" s="944"/>
      <c r="O561" s="944"/>
      <c r="P561" s="944"/>
      <c r="Q561" s="944"/>
      <c r="R561" s="944"/>
      <c r="S561" s="944"/>
      <c r="T561" s="944"/>
      <c r="U561" s="944"/>
      <c r="V561" s="944"/>
      <c r="W561" s="944"/>
      <c r="X561" s="944"/>
      <c r="Y561" s="944"/>
      <c r="Z561" s="944"/>
      <c r="AA561" s="944"/>
      <c r="AB561" s="944"/>
      <c r="AC561" s="944"/>
      <c r="AD561" s="944"/>
      <c r="AE561" s="944"/>
      <c r="AF561" s="944"/>
      <c r="AG561" s="944"/>
      <c r="AH561" s="944"/>
      <c r="AI561" s="944"/>
      <c r="AJ561" s="944"/>
      <c r="AK561" s="944"/>
      <c r="AL561" s="944"/>
      <c r="AM561" s="944"/>
      <c r="AN561" s="944"/>
      <c r="AO561" s="944"/>
      <c r="AP561" s="944"/>
      <c r="AQ561" s="944"/>
      <c r="AR561" s="45"/>
    </row>
    <row r="562" spans="1:44" ht="14.25" customHeight="1" x14ac:dyDescent="0.3">
      <c r="A562" s="95"/>
      <c r="B562" s="45"/>
      <c r="C562" s="45"/>
      <c r="D562" s="45"/>
      <c r="E562" s="45"/>
      <c r="F562" s="45"/>
      <c r="G562" s="45"/>
      <c r="H562" s="944"/>
      <c r="I562" s="944"/>
      <c r="J562" s="944"/>
      <c r="K562" s="944"/>
      <c r="L562" s="944"/>
      <c r="M562" s="944"/>
      <c r="N562" s="944"/>
      <c r="O562" s="944"/>
      <c r="P562" s="944"/>
      <c r="Q562" s="944"/>
      <c r="R562" s="944"/>
      <c r="S562" s="944"/>
      <c r="T562" s="944"/>
      <c r="U562" s="944"/>
      <c r="V562" s="944"/>
      <c r="W562" s="944"/>
      <c r="X562" s="944"/>
      <c r="Y562" s="944"/>
      <c r="Z562" s="944"/>
      <c r="AA562" s="944"/>
      <c r="AB562" s="944"/>
      <c r="AC562" s="944"/>
      <c r="AD562" s="944"/>
      <c r="AE562" s="944"/>
      <c r="AF562" s="944"/>
      <c r="AG562" s="944"/>
      <c r="AH562" s="944"/>
      <c r="AI562" s="944"/>
      <c r="AJ562" s="944"/>
      <c r="AK562" s="944"/>
      <c r="AL562" s="944"/>
      <c r="AM562" s="944"/>
      <c r="AN562" s="944"/>
      <c r="AO562" s="944"/>
      <c r="AP562" s="944"/>
      <c r="AQ562" s="944"/>
      <c r="AR562" s="45"/>
    </row>
    <row r="563" spans="1:44" ht="14.25" customHeight="1" x14ac:dyDescent="0.3">
      <c r="A563" s="95"/>
      <c r="B563" s="45"/>
      <c r="C563" s="45"/>
      <c r="D563" s="45"/>
      <c r="E563" s="45"/>
      <c r="F563" s="45"/>
      <c r="G563" s="45"/>
      <c r="H563" s="944"/>
      <c r="I563" s="944"/>
      <c r="J563" s="944"/>
      <c r="K563" s="944"/>
      <c r="L563" s="944"/>
      <c r="M563" s="944"/>
      <c r="N563" s="944"/>
      <c r="O563" s="944"/>
      <c r="P563" s="944"/>
      <c r="Q563" s="944"/>
      <c r="R563" s="944"/>
      <c r="S563" s="944"/>
      <c r="T563" s="944"/>
      <c r="U563" s="944"/>
      <c r="V563" s="944"/>
      <c r="W563" s="944"/>
      <c r="X563" s="944"/>
      <c r="Y563" s="944"/>
      <c r="Z563" s="944"/>
      <c r="AA563" s="944"/>
      <c r="AB563" s="944"/>
      <c r="AC563" s="944"/>
      <c r="AD563" s="944"/>
      <c r="AE563" s="944"/>
      <c r="AF563" s="944"/>
      <c r="AG563" s="944"/>
      <c r="AH563" s="944"/>
      <c r="AI563" s="944"/>
      <c r="AJ563" s="944"/>
      <c r="AK563" s="944"/>
      <c r="AL563" s="944"/>
      <c r="AM563" s="944"/>
      <c r="AN563" s="944"/>
      <c r="AO563" s="944"/>
      <c r="AP563" s="944"/>
      <c r="AQ563" s="944"/>
      <c r="AR563" s="45"/>
    </row>
  </sheetData>
  <mergeCells count="20">
    <mergeCell ref="C331:I345"/>
    <mergeCell ref="C348:I362"/>
    <mergeCell ref="A172:A185"/>
    <mergeCell ref="A208:A221"/>
    <mergeCell ref="A242:A255"/>
    <mergeCell ref="A278:A282"/>
    <mergeCell ref="A284:A288"/>
    <mergeCell ref="A301:A302"/>
    <mergeCell ref="A309:A310"/>
    <mergeCell ref="A348:A362"/>
    <mergeCell ref="A120:A133"/>
    <mergeCell ref="A157:A170"/>
    <mergeCell ref="A318:A319"/>
    <mergeCell ref="A323:A324"/>
    <mergeCell ref="A331:A345"/>
    <mergeCell ref="A23:A36"/>
    <mergeCell ref="A39:A52"/>
    <mergeCell ref="A55:A68"/>
    <mergeCell ref="A88:A101"/>
    <mergeCell ref="A104:A117"/>
  </mergeCells>
  <conditionalFormatting sqref="J331:N345">
    <cfRule type="cellIs" dxfId="2" priority="1" operator="equal">
      <formula>0</formula>
    </cfRule>
  </conditionalFormatting>
  <conditionalFormatting sqref="J348:N362">
    <cfRule type="cellIs" dxfId="1" priority="2" operator="equal">
      <formula>0</formula>
    </cfRule>
  </conditionalFormatting>
  <pageMargins left="0.7" right="0.7" top="0.75" bottom="0.75" header="0" footer="0"/>
  <pageSetup orientation="portrait"/>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2EFD9"/>
  </sheetPr>
  <dimension ref="A1:AU1000"/>
  <sheetViews>
    <sheetView workbookViewId="0"/>
  </sheetViews>
  <sheetFormatPr defaultColWidth="12.58203125" defaultRowHeight="15" customHeight="1" x14ac:dyDescent="0.3"/>
  <cols>
    <col min="1" max="1" width="12.6640625" customWidth="1"/>
    <col min="2" max="2" width="5.5" customWidth="1"/>
    <col min="3" max="3" width="3.08203125" customWidth="1"/>
    <col min="4" max="4" width="37.58203125" customWidth="1"/>
    <col min="5" max="6" width="9.6640625" customWidth="1"/>
    <col min="7" max="7" width="11" customWidth="1"/>
    <col min="8" max="9" width="9.6640625" customWidth="1"/>
    <col min="10" max="10" width="9.1640625" customWidth="1"/>
    <col min="11" max="11" width="8.08203125" customWidth="1"/>
    <col min="12" max="12" width="7.9140625" customWidth="1"/>
    <col min="13" max="13" width="7.1640625" customWidth="1"/>
    <col min="14" max="41" width="8" customWidth="1"/>
    <col min="42" max="42" width="7.6640625" customWidth="1"/>
    <col min="43" max="43" width="9.1640625" customWidth="1"/>
    <col min="44" max="44" width="9.4140625" customWidth="1"/>
    <col min="45" max="45" width="8.1640625" customWidth="1"/>
    <col min="46" max="46" width="3.1640625" customWidth="1"/>
    <col min="47" max="47" width="12.6640625" customWidth="1"/>
  </cols>
  <sheetData>
    <row r="1" spans="1:47" ht="15" customHeight="1" x14ac:dyDescent="0.3">
      <c r="A1" s="48" t="s">
        <v>202</v>
      </c>
      <c r="B1" s="26"/>
      <c r="C1" s="107"/>
      <c r="D1" s="108" t="s">
        <v>203</v>
      </c>
      <c r="E1" s="109">
        <v>2010</v>
      </c>
      <c r="F1" s="109">
        <v>2011</v>
      </c>
      <c r="G1" s="110">
        <v>2012</v>
      </c>
      <c r="H1" s="110">
        <v>2013</v>
      </c>
      <c r="I1" s="109">
        <v>2014</v>
      </c>
      <c r="J1" s="109">
        <v>2015</v>
      </c>
      <c r="K1" s="109">
        <v>2016</v>
      </c>
      <c r="L1" s="109">
        <v>2017</v>
      </c>
      <c r="M1" s="109">
        <v>2018</v>
      </c>
      <c r="N1" s="109">
        <v>2019</v>
      </c>
      <c r="O1" s="109">
        <v>2020</v>
      </c>
      <c r="P1" s="109">
        <v>2021</v>
      </c>
      <c r="Q1" s="109">
        <v>2022</v>
      </c>
      <c r="R1" s="109">
        <v>2023</v>
      </c>
      <c r="S1" s="109">
        <v>2024</v>
      </c>
      <c r="T1" s="109">
        <v>2025</v>
      </c>
      <c r="U1" s="109">
        <v>2026</v>
      </c>
      <c r="V1" s="109">
        <v>2027</v>
      </c>
      <c r="W1" s="109">
        <v>2028</v>
      </c>
      <c r="X1" s="109">
        <v>2029</v>
      </c>
      <c r="Y1" s="109">
        <v>2030</v>
      </c>
      <c r="Z1" s="109">
        <v>2031</v>
      </c>
      <c r="AA1" s="109">
        <v>2032</v>
      </c>
      <c r="AB1" s="109">
        <v>2033</v>
      </c>
      <c r="AC1" s="109">
        <v>2034</v>
      </c>
      <c r="AD1" s="109">
        <v>2035</v>
      </c>
      <c r="AE1" s="109">
        <v>2036</v>
      </c>
      <c r="AF1" s="109">
        <v>2037</v>
      </c>
      <c r="AG1" s="109">
        <v>2038</v>
      </c>
      <c r="AH1" s="109">
        <v>2039</v>
      </c>
      <c r="AI1" s="109">
        <v>2040</v>
      </c>
      <c r="AJ1" s="109">
        <v>2041</v>
      </c>
      <c r="AK1" s="109">
        <v>2042</v>
      </c>
      <c r="AL1" s="109">
        <v>2043</v>
      </c>
      <c r="AM1" s="109">
        <v>2044</v>
      </c>
      <c r="AN1" s="109">
        <v>2045</v>
      </c>
      <c r="AO1" s="109">
        <v>2046</v>
      </c>
      <c r="AP1" s="109">
        <v>2047</v>
      </c>
      <c r="AQ1" s="109">
        <v>2048</v>
      </c>
      <c r="AR1" s="109">
        <v>2049</v>
      </c>
      <c r="AS1" s="109">
        <v>2050</v>
      </c>
      <c r="AT1" s="111"/>
    </row>
    <row r="2" spans="1:47" ht="15" customHeight="1" x14ac:dyDescent="0.3">
      <c r="A2" s="960"/>
      <c r="B2" s="26"/>
      <c r="D2" s="81"/>
      <c r="E2" s="81"/>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row>
    <row r="3" spans="1:47" ht="15" customHeight="1" x14ac:dyDescent="0.3">
      <c r="A3" s="960"/>
      <c r="B3" s="26"/>
      <c r="C3" s="83"/>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47"/>
    </row>
    <row r="4" spans="1:47" ht="15" customHeight="1" x14ac:dyDescent="0.3">
      <c r="A4" s="960"/>
      <c r="B4" s="26"/>
      <c r="C4" s="293"/>
      <c r="D4" s="179" t="s">
        <v>204</v>
      </c>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82"/>
    </row>
    <row r="5" spans="1:47" ht="15" customHeight="1" x14ac:dyDescent="0.35">
      <c r="A5" s="1178">
        <v>1</v>
      </c>
      <c r="B5" s="26"/>
      <c r="C5" s="293"/>
      <c r="D5" s="185" t="s">
        <v>205</v>
      </c>
      <c r="E5" s="333">
        <v>9.2470360000000001E-2</v>
      </c>
      <c r="F5" s="334">
        <v>0.29849617499999997</v>
      </c>
      <c r="G5" s="333">
        <v>0.50611284400000001</v>
      </c>
      <c r="H5" s="333">
        <v>0.172537519</v>
      </c>
      <c r="I5" s="333">
        <v>0.10759797</v>
      </c>
      <c r="J5" s="333">
        <v>0.24254431700000001</v>
      </c>
      <c r="K5" s="333">
        <v>0.494945405</v>
      </c>
      <c r="L5" s="333">
        <v>9.2155155000000002E-2</v>
      </c>
      <c r="M5" s="333">
        <v>0.18826599399999999</v>
      </c>
      <c r="N5" s="333">
        <v>0.44935906599999997</v>
      </c>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182"/>
    </row>
    <row r="6" spans="1:47" ht="15" customHeight="1" x14ac:dyDescent="0.35">
      <c r="A6" s="982"/>
      <c r="B6" s="26"/>
      <c r="C6" s="293"/>
      <c r="D6" s="185" t="s">
        <v>206</v>
      </c>
      <c r="E6" s="333">
        <v>7.5439610000000001E-3</v>
      </c>
      <c r="F6" s="334">
        <v>4.1586320000000003E-2</v>
      </c>
      <c r="G6" s="333">
        <v>4.4365131000000002E-2</v>
      </c>
      <c r="H6" s="333">
        <v>2.3935644999999998E-2</v>
      </c>
      <c r="I6" s="333">
        <v>1.0834785E-2</v>
      </c>
      <c r="J6" s="333">
        <v>2.2673816999999999E-2</v>
      </c>
      <c r="K6" s="333">
        <v>6.3577336999999998E-2</v>
      </c>
      <c r="L6" s="333">
        <v>1.2437746E-2</v>
      </c>
      <c r="M6" s="333">
        <v>1.9896414000000001E-2</v>
      </c>
      <c r="N6" s="333">
        <v>5.0350579999999999E-2</v>
      </c>
      <c r="O6" s="291"/>
      <c r="P6" s="291"/>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2"/>
    </row>
    <row r="7" spans="1:47" ht="15" customHeight="1" x14ac:dyDescent="0.35">
      <c r="A7" s="982"/>
      <c r="B7" s="26"/>
      <c r="C7" s="293"/>
      <c r="D7" s="185" t="s">
        <v>207</v>
      </c>
      <c r="E7" s="333">
        <v>0.21279999999999999</v>
      </c>
      <c r="F7" s="334">
        <v>0.68659999999999999</v>
      </c>
      <c r="G7" s="333">
        <v>1.1639999999999999</v>
      </c>
      <c r="H7" s="333">
        <v>0.39689999999999998</v>
      </c>
      <c r="I7" s="333">
        <v>0.2475</v>
      </c>
      <c r="J7" s="333">
        <v>0.55789999999999995</v>
      </c>
      <c r="K7" s="333">
        <v>1.1383000000000001</v>
      </c>
      <c r="L7" s="333">
        <v>0.21190000000000001</v>
      </c>
      <c r="M7" s="333">
        <v>0.43309999999999998</v>
      </c>
      <c r="N7" s="333">
        <v>1.0335000000000001</v>
      </c>
      <c r="O7" s="291"/>
      <c r="P7" s="291"/>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2"/>
    </row>
    <row r="8" spans="1:47" ht="15" customHeight="1" x14ac:dyDescent="0.35">
      <c r="A8" s="982"/>
      <c r="B8" s="26"/>
      <c r="C8" s="293"/>
      <c r="D8" s="185" t="s">
        <v>208</v>
      </c>
      <c r="E8" s="333">
        <v>1.9400000000000001E-2</v>
      </c>
      <c r="F8" s="334">
        <v>6.2700000000000006E-2</v>
      </c>
      <c r="G8" s="333">
        <v>0.10630000000000001</v>
      </c>
      <c r="H8" s="333">
        <v>3.6200000000000003E-2</v>
      </c>
      <c r="I8" s="333">
        <v>2.2499999999999999E-2</v>
      </c>
      <c r="J8" s="333">
        <v>5.0900000000000001E-2</v>
      </c>
      <c r="K8" s="333">
        <v>0.10390000000000001</v>
      </c>
      <c r="L8" s="333">
        <v>1.9199999999999998E-2</v>
      </c>
      <c r="M8" s="333">
        <v>3.9600000000000003E-2</v>
      </c>
      <c r="N8" s="333">
        <v>9.4299999999999995E-2</v>
      </c>
      <c r="O8" s="291"/>
      <c r="P8" s="291"/>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2"/>
    </row>
    <row r="9" spans="1:47" ht="15" customHeight="1" x14ac:dyDescent="0.3">
      <c r="A9" s="960"/>
      <c r="B9" s="26"/>
      <c r="C9" s="85"/>
      <c r="D9" s="200"/>
      <c r="E9" s="200"/>
      <c r="F9" s="200"/>
      <c r="G9" s="200"/>
      <c r="H9" s="200"/>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52"/>
    </row>
    <row r="10" spans="1:47" ht="15" customHeight="1" x14ac:dyDescent="0.3">
      <c r="A10" s="960"/>
      <c r="B10" s="26"/>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spans="1:47" ht="15" customHeight="1" x14ac:dyDescent="0.3">
      <c r="A11" s="960"/>
      <c r="B11" s="26"/>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row>
    <row r="12" spans="1:47" ht="15" customHeight="1" x14ac:dyDescent="0.3">
      <c r="A12" s="960"/>
      <c r="B12" s="26"/>
      <c r="C12" s="88"/>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89"/>
    </row>
    <row r="13" spans="1:47" ht="15" customHeight="1" x14ac:dyDescent="0.3">
      <c r="A13" s="960"/>
      <c r="B13" s="26"/>
      <c r="C13" s="320"/>
      <c r="D13" s="335" t="s">
        <v>38</v>
      </c>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7"/>
    </row>
    <row r="14" spans="1:47" ht="15" customHeight="1" x14ac:dyDescent="0.3">
      <c r="A14" s="960"/>
      <c r="B14" s="26"/>
      <c r="C14" s="320"/>
      <c r="D14" s="336" t="s">
        <v>209</v>
      </c>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c r="AM14" s="316"/>
      <c r="AN14" s="316"/>
      <c r="AO14" s="316"/>
      <c r="AP14" s="316"/>
      <c r="AQ14" s="316"/>
      <c r="AR14" s="316"/>
      <c r="AS14" s="316"/>
      <c r="AT14" s="317"/>
    </row>
    <row r="15" spans="1:47" ht="15" customHeight="1" x14ac:dyDescent="0.3">
      <c r="A15" s="960" t="s">
        <v>210</v>
      </c>
      <c r="B15" s="26"/>
      <c r="C15" s="320"/>
      <c r="D15" s="316" t="s">
        <v>211</v>
      </c>
      <c r="E15" s="316">
        <v>9.7918000000000005E-2</v>
      </c>
      <c r="F15" s="316">
        <v>9.7918000000000005E-2</v>
      </c>
      <c r="G15" s="316">
        <v>9.7918000000000005E-2</v>
      </c>
      <c r="H15" s="316">
        <v>9.7918000000000005E-2</v>
      </c>
      <c r="I15" s="316">
        <v>9.7918000000000005E-2</v>
      </c>
      <c r="J15" s="316">
        <v>9.4353000000000006E-2</v>
      </c>
      <c r="K15" s="316">
        <v>9.4353000000000006E-2</v>
      </c>
      <c r="L15" s="316">
        <v>0.122793</v>
      </c>
      <c r="M15" s="316">
        <v>0.122793</v>
      </c>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c r="AM15" s="316"/>
      <c r="AN15" s="316"/>
      <c r="AO15" s="316"/>
      <c r="AP15" s="316"/>
      <c r="AQ15" s="316"/>
      <c r="AR15" s="316"/>
      <c r="AS15" s="316"/>
      <c r="AT15" s="317"/>
      <c r="AU15" s="22"/>
    </row>
    <row r="16" spans="1:47" ht="15" customHeight="1" x14ac:dyDescent="0.3">
      <c r="A16" s="1178" t="s">
        <v>212</v>
      </c>
      <c r="B16" s="26"/>
      <c r="C16" s="320"/>
      <c r="D16" s="316" t="s">
        <v>213</v>
      </c>
      <c r="E16" s="316">
        <v>5.0421000000000001E-2</v>
      </c>
      <c r="F16" s="316">
        <v>5.0421000000000001E-2</v>
      </c>
      <c r="G16" s="316">
        <v>5.0421000000000001E-2</v>
      </c>
      <c r="H16" s="316">
        <v>5.0421000000000001E-2</v>
      </c>
      <c r="I16" s="316">
        <v>5.0421000000000001E-2</v>
      </c>
      <c r="J16" s="316">
        <v>3.3241E-2</v>
      </c>
      <c r="K16" s="316">
        <v>3.3241E-2</v>
      </c>
      <c r="L16" s="316">
        <v>3.7765E-2</v>
      </c>
      <c r="M16" s="316">
        <v>3.7765E-2</v>
      </c>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7"/>
      <c r="AU16" s="22"/>
    </row>
    <row r="17" spans="1:47" ht="15" customHeight="1" x14ac:dyDescent="0.3">
      <c r="A17" s="982"/>
      <c r="B17" s="26"/>
      <c r="C17" s="320"/>
      <c r="D17" s="337" t="s">
        <v>214</v>
      </c>
      <c r="E17" s="337">
        <v>10.523577</v>
      </c>
      <c r="F17" s="337">
        <v>10.523577</v>
      </c>
      <c r="G17" s="337">
        <v>10.523577</v>
      </c>
      <c r="H17" s="337">
        <v>10.523577</v>
      </c>
      <c r="I17" s="337">
        <v>10.523577</v>
      </c>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c r="AM17" s="316"/>
      <c r="AN17" s="316"/>
      <c r="AO17" s="316"/>
      <c r="AP17" s="316"/>
      <c r="AQ17" s="316"/>
      <c r="AR17" s="316"/>
      <c r="AS17" s="338"/>
      <c r="AT17" s="317"/>
    </row>
    <row r="18" spans="1:47" ht="15" customHeight="1" x14ac:dyDescent="0.3">
      <c r="A18" s="982"/>
      <c r="B18" s="26"/>
      <c r="C18" s="320"/>
      <c r="D18" s="337" t="s">
        <v>215</v>
      </c>
      <c r="E18" s="337">
        <v>38.586447</v>
      </c>
      <c r="F18" s="337">
        <v>38.586447</v>
      </c>
      <c r="G18" s="337">
        <v>38.586447</v>
      </c>
      <c r="H18" s="337">
        <v>38.586447</v>
      </c>
      <c r="I18" s="337">
        <v>38.586447</v>
      </c>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c r="AM18" s="316"/>
      <c r="AN18" s="316"/>
      <c r="AO18" s="316"/>
      <c r="AP18" s="316"/>
      <c r="AQ18" s="316"/>
      <c r="AR18" s="316"/>
      <c r="AS18" s="338"/>
      <c r="AT18" s="317"/>
    </row>
    <row r="19" spans="1:47" ht="15" customHeight="1" x14ac:dyDescent="0.3">
      <c r="A19" s="960"/>
      <c r="B19" s="26"/>
      <c r="C19" s="320"/>
      <c r="D19" s="337" t="s">
        <v>844</v>
      </c>
      <c r="E19" s="337"/>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c r="AM19" s="316"/>
      <c r="AN19" s="316"/>
      <c r="AO19" s="316"/>
      <c r="AP19" s="316"/>
      <c r="AQ19" s="316"/>
      <c r="AR19" s="316"/>
      <c r="AS19" s="338"/>
      <c r="AT19" s="317"/>
    </row>
    <row r="20" spans="1:47" ht="15" customHeight="1" x14ac:dyDescent="0.3">
      <c r="A20" s="960"/>
      <c r="B20" s="26"/>
      <c r="C20" s="90"/>
      <c r="D20" s="321"/>
      <c r="E20" s="321"/>
      <c r="F20" s="321"/>
      <c r="G20" s="321"/>
      <c r="H20" s="321"/>
      <c r="I20" s="321"/>
      <c r="J20" s="321"/>
      <c r="K20" s="321"/>
      <c r="L20" s="321"/>
      <c r="M20" s="321"/>
      <c r="N20" s="321"/>
      <c r="O20" s="321"/>
      <c r="P20" s="321"/>
      <c r="Q20" s="321"/>
      <c r="R20" s="321"/>
      <c r="S20" s="321"/>
      <c r="T20" s="321"/>
      <c r="U20" s="321"/>
      <c r="V20" s="321"/>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1"/>
      <c r="AT20" s="91"/>
    </row>
    <row r="21" spans="1:47" ht="15.75" customHeight="1" x14ac:dyDescent="0.35">
      <c r="A21" s="960"/>
      <c r="B21" s="26"/>
      <c r="F21" s="112"/>
    </row>
    <row r="22" spans="1:47" ht="15.75" customHeight="1" x14ac:dyDescent="0.35">
      <c r="A22" s="960"/>
      <c r="B22" s="26"/>
      <c r="F22" s="112"/>
    </row>
    <row r="23" spans="1:47" ht="15" customHeight="1" x14ac:dyDescent="0.35">
      <c r="A23" s="960"/>
      <c r="B23" s="26"/>
      <c r="C23" s="113"/>
      <c r="D23" s="22"/>
      <c r="E23" s="22"/>
      <c r="F23" s="11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row>
    <row r="24" spans="1:47" ht="15" customHeight="1" x14ac:dyDescent="0.35">
      <c r="A24" s="960"/>
      <c r="B24" s="26"/>
      <c r="C24" s="31" t="s">
        <v>95</v>
      </c>
      <c r="D24" s="155" t="s">
        <v>95</v>
      </c>
      <c r="E24" s="114" t="s">
        <v>218</v>
      </c>
      <c r="F24" s="114"/>
      <c r="G24" s="114"/>
      <c r="H24" s="114"/>
      <c r="I24" s="115" t="s">
        <v>95</v>
      </c>
      <c r="J24" s="115" t="s">
        <v>95</v>
      </c>
      <c r="K24" s="115" t="s">
        <v>95</v>
      </c>
      <c r="L24" s="115" t="s">
        <v>95</v>
      </c>
      <c r="M24" s="115" t="s">
        <v>95</v>
      </c>
      <c r="N24" s="115" t="s">
        <v>95</v>
      </c>
      <c r="O24" s="115" t="s">
        <v>95</v>
      </c>
      <c r="P24" s="115" t="s">
        <v>95</v>
      </c>
      <c r="Q24" s="115" t="s">
        <v>95</v>
      </c>
      <c r="R24" s="115" t="s">
        <v>95</v>
      </c>
      <c r="S24" s="115" t="s">
        <v>95</v>
      </c>
      <c r="T24" s="115" t="s">
        <v>95</v>
      </c>
      <c r="U24" s="115" t="s">
        <v>95</v>
      </c>
      <c r="V24" s="115" t="s">
        <v>95</v>
      </c>
      <c r="W24" s="115" t="s">
        <v>95</v>
      </c>
      <c r="X24" s="115" t="s">
        <v>95</v>
      </c>
      <c r="Y24" s="115" t="s">
        <v>95</v>
      </c>
      <c r="Z24" s="115" t="s">
        <v>95</v>
      </c>
      <c r="AA24" s="115" t="s">
        <v>95</v>
      </c>
      <c r="AB24" s="115" t="s">
        <v>95</v>
      </c>
      <c r="AC24" s="115" t="s">
        <v>95</v>
      </c>
      <c r="AD24" s="115" t="s">
        <v>95</v>
      </c>
      <c r="AE24" s="115" t="s">
        <v>95</v>
      </c>
      <c r="AF24" s="115" t="s">
        <v>95</v>
      </c>
      <c r="AG24" s="115" t="s">
        <v>95</v>
      </c>
      <c r="AH24" s="115" t="s">
        <v>95</v>
      </c>
      <c r="AI24" s="115" t="s">
        <v>95</v>
      </c>
      <c r="AJ24" s="115" t="s">
        <v>95</v>
      </c>
      <c r="AK24" s="115" t="s">
        <v>95</v>
      </c>
      <c r="AL24" s="115" t="s">
        <v>95</v>
      </c>
      <c r="AM24" s="115" t="s">
        <v>95</v>
      </c>
      <c r="AN24" s="115" t="s">
        <v>95</v>
      </c>
      <c r="AO24" s="115" t="s">
        <v>95</v>
      </c>
      <c r="AP24" s="115" t="s">
        <v>95</v>
      </c>
      <c r="AQ24" s="115" t="s">
        <v>95</v>
      </c>
      <c r="AR24" s="115" t="s">
        <v>95</v>
      </c>
      <c r="AS24" s="115" t="s">
        <v>95</v>
      </c>
      <c r="AT24" s="116" t="s">
        <v>95</v>
      </c>
      <c r="AU24" s="22"/>
    </row>
    <row r="25" spans="1:47" ht="15" customHeight="1" x14ac:dyDescent="0.35">
      <c r="A25" s="960"/>
      <c r="B25" s="26"/>
      <c r="C25" s="164" t="s">
        <v>95</v>
      </c>
      <c r="D25" s="165" t="s">
        <v>95</v>
      </c>
      <c r="E25" s="339" t="s">
        <v>238</v>
      </c>
      <c r="F25" s="339"/>
      <c r="G25" s="339"/>
      <c r="H25" s="339"/>
      <c r="I25" s="339" t="s">
        <v>95</v>
      </c>
      <c r="J25" s="339" t="s">
        <v>95</v>
      </c>
      <c r="K25" s="339" t="s">
        <v>95</v>
      </c>
      <c r="L25" s="339" t="s">
        <v>95</v>
      </c>
      <c r="M25" s="339" t="s">
        <v>95</v>
      </c>
      <c r="N25" s="339" t="s">
        <v>95</v>
      </c>
      <c r="O25" s="339" t="s">
        <v>95</v>
      </c>
      <c r="P25" s="339" t="s">
        <v>95</v>
      </c>
      <c r="Q25" s="339" t="s">
        <v>95</v>
      </c>
      <c r="R25" s="339" t="s">
        <v>95</v>
      </c>
      <c r="S25" s="339" t="s">
        <v>95</v>
      </c>
      <c r="T25" s="339" t="s">
        <v>95</v>
      </c>
      <c r="U25" s="339" t="s">
        <v>95</v>
      </c>
      <c r="V25" s="339" t="s">
        <v>95</v>
      </c>
      <c r="W25" s="339" t="s">
        <v>95</v>
      </c>
      <c r="X25" s="339" t="s">
        <v>95</v>
      </c>
      <c r="Y25" s="339" t="s">
        <v>95</v>
      </c>
      <c r="Z25" s="339" t="s">
        <v>95</v>
      </c>
      <c r="AA25" s="339" t="s">
        <v>95</v>
      </c>
      <c r="AB25" s="339" t="s">
        <v>95</v>
      </c>
      <c r="AC25" s="339" t="s">
        <v>95</v>
      </c>
      <c r="AD25" s="339" t="s">
        <v>95</v>
      </c>
      <c r="AE25" s="339" t="s">
        <v>95</v>
      </c>
      <c r="AF25" s="339" t="s">
        <v>95</v>
      </c>
      <c r="AG25" s="339" t="s">
        <v>95</v>
      </c>
      <c r="AH25" s="339" t="s">
        <v>95</v>
      </c>
      <c r="AI25" s="339" t="s">
        <v>95</v>
      </c>
      <c r="AJ25" s="339" t="s">
        <v>95</v>
      </c>
      <c r="AK25" s="339" t="s">
        <v>95</v>
      </c>
      <c r="AL25" s="339" t="s">
        <v>95</v>
      </c>
      <c r="AM25" s="339" t="s">
        <v>95</v>
      </c>
      <c r="AN25" s="339" t="s">
        <v>95</v>
      </c>
      <c r="AO25" s="339" t="s">
        <v>95</v>
      </c>
      <c r="AP25" s="339" t="s">
        <v>95</v>
      </c>
      <c r="AQ25" s="339" t="s">
        <v>95</v>
      </c>
      <c r="AR25" s="339" t="s">
        <v>95</v>
      </c>
      <c r="AS25" s="339" t="s">
        <v>95</v>
      </c>
      <c r="AT25" s="340" t="s">
        <v>95</v>
      </c>
      <c r="AU25" s="22"/>
    </row>
    <row r="26" spans="1:47" ht="15" customHeight="1" x14ac:dyDescent="0.35">
      <c r="A26" s="1178">
        <v>6</v>
      </c>
      <c r="B26" s="26"/>
      <c r="C26" s="1210" t="s">
        <v>99</v>
      </c>
      <c r="D26" s="1002"/>
      <c r="E26" s="156" t="s">
        <v>95</v>
      </c>
      <c r="F26" s="156" t="s">
        <v>95</v>
      </c>
      <c r="G26" s="156">
        <v>388.1398532</v>
      </c>
      <c r="H26" s="156" t="s">
        <v>95</v>
      </c>
      <c r="I26" s="156">
        <v>388.1398532</v>
      </c>
      <c r="J26" s="156" t="s">
        <v>95</v>
      </c>
      <c r="K26" s="156">
        <v>397.07533999999998</v>
      </c>
      <c r="L26" s="156" t="s">
        <v>95</v>
      </c>
      <c r="M26" s="156">
        <v>406.02577000000002</v>
      </c>
      <c r="N26" s="156" t="s">
        <v>95</v>
      </c>
      <c r="O26" s="156" t="s">
        <v>95</v>
      </c>
      <c r="P26" s="156" t="s">
        <v>95</v>
      </c>
      <c r="Q26" s="156" t="s">
        <v>95</v>
      </c>
      <c r="R26" s="156" t="s">
        <v>95</v>
      </c>
      <c r="S26" s="156" t="s">
        <v>95</v>
      </c>
      <c r="T26" s="156" t="s">
        <v>95</v>
      </c>
      <c r="U26" s="156" t="s">
        <v>95</v>
      </c>
      <c r="V26" s="156" t="s">
        <v>95</v>
      </c>
      <c r="W26" s="156" t="s">
        <v>95</v>
      </c>
      <c r="X26" s="156" t="s">
        <v>95</v>
      </c>
      <c r="Y26" s="156" t="s">
        <v>95</v>
      </c>
      <c r="Z26" s="156" t="s">
        <v>95</v>
      </c>
      <c r="AA26" s="156" t="s">
        <v>95</v>
      </c>
      <c r="AB26" s="156" t="s">
        <v>95</v>
      </c>
      <c r="AC26" s="156" t="s">
        <v>95</v>
      </c>
      <c r="AD26" s="156" t="s">
        <v>95</v>
      </c>
      <c r="AE26" s="156" t="s">
        <v>95</v>
      </c>
      <c r="AF26" s="156" t="s">
        <v>95</v>
      </c>
      <c r="AG26" s="156" t="s">
        <v>95</v>
      </c>
      <c r="AH26" s="156" t="s">
        <v>95</v>
      </c>
      <c r="AI26" s="156" t="s">
        <v>95</v>
      </c>
      <c r="AJ26" s="156" t="s">
        <v>95</v>
      </c>
      <c r="AK26" s="156" t="s">
        <v>95</v>
      </c>
      <c r="AL26" s="156" t="s">
        <v>95</v>
      </c>
      <c r="AM26" s="156" t="s">
        <v>95</v>
      </c>
      <c r="AN26" s="156" t="s">
        <v>95</v>
      </c>
      <c r="AO26" s="156" t="s">
        <v>95</v>
      </c>
      <c r="AP26" s="156" t="s">
        <v>95</v>
      </c>
      <c r="AQ26" s="156" t="s">
        <v>95</v>
      </c>
      <c r="AR26" s="156" t="s">
        <v>95</v>
      </c>
      <c r="AS26" s="156" t="s">
        <v>95</v>
      </c>
      <c r="AT26" s="341" t="s">
        <v>95</v>
      </c>
      <c r="AU26" s="22"/>
    </row>
    <row r="27" spans="1:47" ht="15" customHeight="1" x14ac:dyDescent="0.35">
      <c r="A27" s="982"/>
      <c r="B27" s="26"/>
      <c r="C27" s="1209" t="s">
        <v>101</v>
      </c>
      <c r="D27" s="1002"/>
      <c r="E27" s="156" t="s">
        <v>95</v>
      </c>
      <c r="F27" s="156" t="s">
        <v>95</v>
      </c>
      <c r="G27" s="156">
        <v>307.81849999999997</v>
      </c>
      <c r="H27" s="156" t="s">
        <v>95</v>
      </c>
      <c r="I27" s="156">
        <v>307.81849999999997</v>
      </c>
      <c r="J27" s="156" t="s">
        <v>95</v>
      </c>
      <c r="K27" s="156">
        <v>307.81849999999997</v>
      </c>
      <c r="L27" s="156" t="s">
        <v>95</v>
      </c>
      <c r="M27" s="156">
        <v>307.81849999999997</v>
      </c>
      <c r="N27" s="156" t="s">
        <v>95</v>
      </c>
      <c r="O27" s="156" t="s">
        <v>95</v>
      </c>
      <c r="P27" s="156" t="s">
        <v>95</v>
      </c>
      <c r="Q27" s="156" t="s">
        <v>95</v>
      </c>
      <c r="R27" s="156" t="s">
        <v>95</v>
      </c>
      <c r="S27" s="156" t="s">
        <v>95</v>
      </c>
      <c r="T27" s="156" t="s">
        <v>95</v>
      </c>
      <c r="U27" s="156" t="s">
        <v>95</v>
      </c>
      <c r="V27" s="156" t="s">
        <v>95</v>
      </c>
      <c r="W27" s="156" t="s">
        <v>95</v>
      </c>
      <c r="X27" s="156" t="s">
        <v>95</v>
      </c>
      <c r="Y27" s="156" t="s">
        <v>95</v>
      </c>
      <c r="Z27" s="156" t="s">
        <v>95</v>
      </c>
      <c r="AA27" s="156" t="s">
        <v>95</v>
      </c>
      <c r="AB27" s="156" t="s">
        <v>95</v>
      </c>
      <c r="AC27" s="156" t="s">
        <v>95</v>
      </c>
      <c r="AD27" s="156" t="s">
        <v>95</v>
      </c>
      <c r="AE27" s="156" t="s">
        <v>95</v>
      </c>
      <c r="AF27" s="156" t="s">
        <v>95</v>
      </c>
      <c r="AG27" s="156" t="s">
        <v>95</v>
      </c>
      <c r="AH27" s="156" t="s">
        <v>95</v>
      </c>
      <c r="AI27" s="156" t="s">
        <v>95</v>
      </c>
      <c r="AJ27" s="156" t="s">
        <v>95</v>
      </c>
      <c r="AK27" s="156" t="s">
        <v>95</v>
      </c>
      <c r="AL27" s="156" t="s">
        <v>95</v>
      </c>
      <c r="AM27" s="156" t="s">
        <v>95</v>
      </c>
      <c r="AN27" s="156" t="s">
        <v>95</v>
      </c>
      <c r="AO27" s="156" t="s">
        <v>95</v>
      </c>
      <c r="AP27" s="156" t="s">
        <v>95</v>
      </c>
      <c r="AQ27" s="156" t="s">
        <v>95</v>
      </c>
      <c r="AR27" s="156" t="s">
        <v>95</v>
      </c>
      <c r="AS27" s="156" t="s">
        <v>95</v>
      </c>
      <c r="AT27" s="341" t="s">
        <v>95</v>
      </c>
      <c r="AU27" s="22"/>
    </row>
    <row r="28" spans="1:47" ht="15" customHeight="1" x14ac:dyDescent="0.35">
      <c r="A28" s="982"/>
      <c r="B28" s="26"/>
      <c r="C28" s="1211" t="s">
        <v>146</v>
      </c>
      <c r="D28" s="1002"/>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341"/>
      <c r="AU28" s="22"/>
    </row>
    <row r="29" spans="1:47" ht="15" customHeight="1" x14ac:dyDescent="0.35">
      <c r="A29" s="982"/>
      <c r="B29" s="26"/>
      <c r="C29" s="1209" t="s">
        <v>74</v>
      </c>
      <c r="D29" s="1002"/>
      <c r="E29" s="156" t="s">
        <v>95</v>
      </c>
      <c r="F29" s="156" t="s">
        <v>95</v>
      </c>
      <c r="G29" s="156">
        <v>128.33333329999999</v>
      </c>
      <c r="H29" s="156" t="s">
        <v>95</v>
      </c>
      <c r="I29" s="156">
        <v>128.33333329999999</v>
      </c>
      <c r="J29" s="156" t="s">
        <v>95</v>
      </c>
      <c r="K29" s="156">
        <v>128.33332999999999</v>
      </c>
      <c r="L29" s="156" t="s">
        <v>95</v>
      </c>
      <c r="M29" s="156">
        <v>128.33332999999999</v>
      </c>
      <c r="N29" s="156" t="s">
        <v>95</v>
      </c>
      <c r="O29" s="156" t="s">
        <v>95</v>
      </c>
      <c r="P29" s="156" t="s">
        <v>95</v>
      </c>
      <c r="Q29" s="156" t="s">
        <v>95</v>
      </c>
      <c r="R29" s="156" t="s">
        <v>95</v>
      </c>
      <c r="S29" s="156" t="s">
        <v>95</v>
      </c>
      <c r="T29" s="156" t="s">
        <v>95</v>
      </c>
      <c r="U29" s="156" t="s">
        <v>95</v>
      </c>
      <c r="V29" s="156" t="s">
        <v>95</v>
      </c>
      <c r="W29" s="156" t="s">
        <v>95</v>
      </c>
      <c r="X29" s="156" t="s">
        <v>95</v>
      </c>
      <c r="Y29" s="156" t="s">
        <v>95</v>
      </c>
      <c r="Z29" s="156" t="s">
        <v>95</v>
      </c>
      <c r="AA29" s="156" t="s">
        <v>95</v>
      </c>
      <c r="AB29" s="156" t="s">
        <v>95</v>
      </c>
      <c r="AC29" s="156" t="s">
        <v>95</v>
      </c>
      <c r="AD29" s="156" t="s">
        <v>95</v>
      </c>
      <c r="AE29" s="156" t="s">
        <v>95</v>
      </c>
      <c r="AF29" s="156" t="s">
        <v>95</v>
      </c>
      <c r="AG29" s="156" t="s">
        <v>95</v>
      </c>
      <c r="AH29" s="156" t="s">
        <v>95</v>
      </c>
      <c r="AI29" s="156" t="s">
        <v>95</v>
      </c>
      <c r="AJ29" s="156" t="s">
        <v>95</v>
      </c>
      <c r="AK29" s="156" t="s">
        <v>95</v>
      </c>
      <c r="AL29" s="156" t="s">
        <v>95</v>
      </c>
      <c r="AM29" s="156" t="s">
        <v>95</v>
      </c>
      <c r="AN29" s="156" t="s">
        <v>95</v>
      </c>
      <c r="AO29" s="156" t="s">
        <v>95</v>
      </c>
      <c r="AP29" s="156" t="s">
        <v>95</v>
      </c>
      <c r="AQ29" s="156" t="s">
        <v>95</v>
      </c>
      <c r="AR29" s="156" t="s">
        <v>95</v>
      </c>
      <c r="AS29" s="156" t="s">
        <v>95</v>
      </c>
      <c r="AT29" s="341" t="s">
        <v>95</v>
      </c>
      <c r="AU29" s="22"/>
    </row>
    <row r="30" spans="1:47" ht="15" customHeight="1" x14ac:dyDescent="0.35">
      <c r="A30" s="982"/>
      <c r="B30" s="26"/>
      <c r="C30" s="1209" t="s">
        <v>103</v>
      </c>
      <c r="D30" s="1002"/>
      <c r="E30" s="156" t="s">
        <v>95</v>
      </c>
      <c r="F30" s="156" t="s">
        <v>95</v>
      </c>
      <c r="G30" s="156">
        <v>-9.5333333299999996</v>
      </c>
      <c r="H30" s="156" t="s">
        <v>95</v>
      </c>
      <c r="I30" s="156">
        <v>-9.5333333329999999</v>
      </c>
      <c r="J30" s="156" t="s">
        <v>95</v>
      </c>
      <c r="K30" s="156">
        <v>-9.5333299999999994</v>
      </c>
      <c r="L30" s="156" t="s">
        <v>95</v>
      </c>
      <c r="M30" s="156">
        <v>-9.5333299999999994</v>
      </c>
      <c r="N30" s="156" t="s">
        <v>95</v>
      </c>
      <c r="O30" s="156" t="s">
        <v>95</v>
      </c>
      <c r="P30" s="156" t="s">
        <v>95</v>
      </c>
      <c r="Q30" s="156" t="s">
        <v>95</v>
      </c>
      <c r="R30" s="156" t="s">
        <v>95</v>
      </c>
      <c r="S30" s="156" t="s">
        <v>95</v>
      </c>
      <c r="T30" s="156" t="s">
        <v>95</v>
      </c>
      <c r="U30" s="156" t="s">
        <v>95</v>
      </c>
      <c r="V30" s="156" t="s">
        <v>95</v>
      </c>
      <c r="W30" s="156" t="s">
        <v>95</v>
      </c>
      <c r="X30" s="156" t="s">
        <v>95</v>
      </c>
      <c r="Y30" s="156" t="s">
        <v>95</v>
      </c>
      <c r="Z30" s="156" t="s">
        <v>95</v>
      </c>
      <c r="AA30" s="156" t="s">
        <v>95</v>
      </c>
      <c r="AB30" s="156" t="s">
        <v>95</v>
      </c>
      <c r="AC30" s="156" t="s">
        <v>95</v>
      </c>
      <c r="AD30" s="156" t="s">
        <v>95</v>
      </c>
      <c r="AE30" s="156" t="s">
        <v>95</v>
      </c>
      <c r="AF30" s="156" t="s">
        <v>95</v>
      </c>
      <c r="AG30" s="156" t="s">
        <v>95</v>
      </c>
      <c r="AH30" s="156" t="s">
        <v>95</v>
      </c>
      <c r="AI30" s="156" t="s">
        <v>95</v>
      </c>
      <c r="AJ30" s="156" t="s">
        <v>95</v>
      </c>
      <c r="AK30" s="156" t="s">
        <v>95</v>
      </c>
      <c r="AL30" s="156" t="s">
        <v>95</v>
      </c>
      <c r="AM30" s="156" t="s">
        <v>95</v>
      </c>
      <c r="AN30" s="156" t="s">
        <v>95</v>
      </c>
      <c r="AO30" s="156" t="s">
        <v>95</v>
      </c>
      <c r="AP30" s="156" t="s">
        <v>95</v>
      </c>
      <c r="AQ30" s="156" t="s">
        <v>95</v>
      </c>
      <c r="AR30" s="156" t="s">
        <v>95</v>
      </c>
      <c r="AS30" s="156" t="s">
        <v>95</v>
      </c>
      <c r="AT30" s="341" t="s">
        <v>95</v>
      </c>
      <c r="AU30" s="22"/>
    </row>
    <row r="31" spans="1:47" ht="15" customHeight="1" x14ac:dyDescent="0.35">
      <c r="A31" s="982"/>
      <c r="B31" s="26"/>
      <c r="C31" s="1209" t="s">
        <v>80</v>
      </c>
      <c r="D31" s="1002"/>
      <c r="E31" s="156" t="s">
        <v>95</v>
      </c>
      <c r="F31" s="156" t="s">
        <v>95</v>
      </c>
      <c r="G31" s="156" t="s">
        <v>95</v>
      </c>
      <c r="H31" s="156" t="s">
        <v>95</v>
      </c>
      <c r="I31" s="156" t="s">
        <v>95</v>
      </c>
      <c r="J31" s="156" t="s">
        <v>95</v>
      </c>
      <c r="K31" s="156" t="s">
        <v>95</v>
      </c>
      <c r="L31" s="156" t="s">
        <v>95</v>
      </c>
      <c r="M31" s="156" t="s">
        <v>95</v>
      </c>
      <c r="N31" s="156" t="s">
        <v>95</v>
      </c>
      <c r="O31" s="156" t="s">
        <v>95</v>
      </c>
      <c r="P31" s="156" t="s">
        <v>95</v>
      </c>
      <c r="Q31" s="156" t="s">
        <v>95</v>
      </c>
      <c r="R31" s="156" t="s">
        <v>95</v>
      </c>
      <c r="S31" s="156" t="s">
        <v>95</v>
      </c>
      <c r="T31" s="156" t="s">
        <v>95</v>
      </c>
      <c r="U31" s="156" t="s">
        <v>95</v>
      </c>
      <c r="V31" s="156" t="s">
        <v>95</v>
      </c>
      <c r="W31" s="156" t="s">
        <v>95</v>
      </c>
      <c r="X31" s="156" t="s">
        <v>95</v>
      </c>
      <c r="Y31" s="156" t="s">
        <v>95</v>
      </c>
      <c r="Z31" s="156" t="s">
        <v>95</v>
      </c>
      <c r="AA31" s="156" t="s">
        <v>95</v>
      </c>
      <c r="AB31" s="156" t="s">
        <v>95</v>
      </c>
      <c r="AC31" s="156" t="s">
        <v>95</v>
      </c>
      <c r="AD31" s="156" t="s">
        <v>95</v>
      </c>
      <c r="AE31" s="156" t="s">
        <v>95</v>
      </c>
      <c r="AF31" s="156" t="s">
        <v>95</v>
      </c>
      <c r="AG31" s="156" t="s">
        <v>95</v>
      </c>
      <c r="AH31" s="156" t="s">
        <v>95</v>
      </c>
      <c r="AI31" s="156" t="s">
        <v>95</v>
      </c>
      <c r="AJ31" s="156" t="s">
        <v>95</v>
      </c>
      <c r="AK31" s="156" t="s">
        <v>95</v>
      </c>
      <c r="AL31" s="156" t="s">
        <v>95</v>
      </c>
      <c r="AM31" s="156" t="s">
        <v>95</v>
      </c>
      <c r="AN31" s="156" t="s">
        <v>95</v>
      </c>
      <c r="AO31" s="156" t="s">
        <v>95</v>
      </c>
      <c r="AP31" s="156" t="s">
        <v>95</v>
      </c>
      <c r="AQ31" s="156" t="s">
        <v>95</v>
      </c>
      <c r="AR31" s="156" t="s">
        <v>95</v>
      </c>
      <c r="AS31" s="156" t="s">
        <v>95</v>
      </c>
      <c r="AT31" s="341" t="s">
        <v>95</v>
      </c>
      <c r="AU31" s="22"/>
    </row>
    <row r="32" spans="1:47" ht="15" customHeight="1" x14ac:dyDescent="0.35">
      <c r="A32" s="982"/>
      <c r="B32" s="26"/>
      <c r="C32" s="1209" t="s">
        <v>57</v>
      </c>
      <c r="D32" s="1002"/>
      <c r="E32" s="156" t="s">
        <v>95</v>
      </c>
      <c r="F32" s="156" t="s">
        <v>95</v>
      </c>
      <c r="G32" s="156">
        <v>-9.5333333299999996</v>
      </c>
      <c r="H32" s="156" t="s">
        <v>95</v>
      </c>
      <c r="I32" s="156">
        <v>-9.5333333329999999</v>
      </c>
      <c r="J32" s="156" t="s">
        <v>95</v>
      </c>
      <c r="K32" s="156">
        <v>-9.5333299999999994</v>
      </c>
      <c r="L32" s="156" t="s">
        <v>95</v>
      </c>
      <c r="M32" s="156">
        <v>-9.5333299999999994</v>
      </c>
      <c r="N32" s="156" t="s">
        <v>95</v>
      </c>
      <c r="O32" s="156" t="s">
        <v>95</v>
      </c>
      <c r="P32" s="156" t="s">
        <v>95</v>
      </c>
      <c r="Q32" s="156" t="s">
        <v>95</v>
      </c>
      <c r="R32" s="156" t="s">
        <v>95</v>
      </c>
      <c r="S32" s="156" t="s">
        <v>95</v>
      </c>
      <c r="T32" s="156" t="s">
        <v>95</v>
      </c>
      <c r="U32" s="156" t="s">
        <v>95</v>
      </c>
      <c r="V32" s="156" t="s">
        <v>95</v>
      </c>
      <c r="W32" s="156" t="s">
        <v>95</v>
      </c>
      <c r="X32" s="156" t="s">
        <v>95</v>
      </c>
      <c r="Y32" s="156" t="s">
        <v>95</v>
      </c>
      <c r="Z32" s="156" t="s">
        <v>95</v>
      </c>
      <c r="AA32" s="156" t="s">
        <v>95</v>
      </c>
      <c r="AB32" s="156" t="s">
        <v>95</v>
      </c>
      <c r="AC32" s="156" t="s">
        <v>95</v>
      </c>
      <c r="AD32" s="156" t="s">
        <v>95</v>
      </c>
      <c r="AE32" s="156" t="s">
        <v>95</v>
      </c>
      <c r="AF32" s="156" t="s">
        <v>95</v>
      </c>
      <c r="AG32" s="156" t="s">
        <v>95</v>
      </c>
      <c r="AH32" s="156" t="s">
        <v>95</v>
      </c>
      <c r="AI32" s="156" t="s">
        <v>95</v>
      </c>
      <c r="AJ32" s="156" t="s">
        <v>95</v>
      </c>
      <c r="AK32" s="156" t="s">
        <v>95</v>
      </c>
      <c r="AL32" s="156" t="s">
        <v>95</v>
      </c>
      <c r="AM32" s="156" t="s">
        <v>95</v>
      </c>
      <c r="AN32" s="156" t="s">
        <v>95</v>
      </c>
      <c r="AO32" s="156" t="s">
        <v>95</v>
      </c>
      <c r="AP32" s="156" t="s">
        <v>95</v>
      </c>
      <c r="AQ32" s="156" t="s">
        <v>95</v>
      </c>
      <c r="AR32" s="156" t="s">
        <v>95</v>
      </c>
      <c r="AS32" s="156" t="s">
        <v>95</v>
      </c>
      <c r="AT32" s="341" t="s">
        <v>95</v>
      </c>
      <c r="AU32" s="22"/>
    </row>
    <row r="33" spans="1:47" ht="15" customHeight="1" x14ac:dyDescent="0.35">
      <c r="A33" s="960"/>
      <c r="B33" s="26"/>
      <c r="C33" s="31" t="s">
        <v>95</v>
      </c>
      <c r="D33" s="155" t="s">
        <v>95</v>
      </c>
      <c r="E33" s="114" t="s">
        <v>220</v>
      </c>
      <c r="F33" s="114"/>
      <c r="G33" s="114"/>
      <c r="H33" s="114"/>
      <c r="I33" s="115" t="s">
        <v>95</v>
      </c>
      <c r="J33" s="115" t="s">
        <v>95</v>
      </c>
      <c r="K33" s="115" t="s">
        <v>95</v>
      </c>
      <c r="L33" s="115" t="s">
        <v>95</v>
      </c>
      <c r="M33" s="115" t="s">
        <v>95</v>
      </c>
      <c r="N33" s="115" t="s">
        <v>95</v>
      </c>
      <c r="O33" s="115" t="s">
        <v>95</v>
      </c>
      <c r="P33" s="115" t="s">
        <v>95</v>
      </c>
      <c r="Q33" s="115" t="s">
        <v>95</v>
      </c>
      <c r="R33" s="115" t="s">
        <v>95</v>
      </c>
      <c r="S33" s="115" t="s">
        <v>95</v>
      </c>
      <c r="T33" s="115" t="s">
        <v>95</v>
      </c>
      <c r="U33" s="115" t="s">
        <v>95</v>
      </c>
      <c r="V33" s="115" t="s">
        <v>95</v>
      </c>
      <c r="W33" s="115" t="s">
        <v>95</v>
      </c>
      <c r="X33" s="115" t="s">
        <v>95</v>
      </c>
      <c r="Y33" s="115" t="s">
        <v>95</v>
      </c>
      <c r="Z33" s="115" t="s">
        <v>95</v>
      </c>
      <c r="AA33" s="115" t="s">
        <v>95</v>
      </c>
      <c r="AB33" s="115" t="s">
        <v>95</v>
      </c>
      <c r="AC33" s="115" t="s">
        <v>95</v>
      </c>
      <c r="AD33" s="115" t="s">
        <v>95</v>
      </c>
      <c r="AE33" s="115" t="s">
        <v>95</v>
      </c>
      <c r="AF33" s="115" t="s">
        <v>95</v>
      </c>
      <c r="AG33" s="115" t="s">
        <v>95</v>
      </c>
      <c r="AH33" s="115" t="s">
        <v>95</v>
      </c>
      <c r="AI33" s="115" t="s">
        <v>95</v>
      </c>
      <c r="AJ33" s="115" t="s">
        <v>95</v>
      </c>
      <c r="AK33" s="115" t="s">
        <v>95</v>
      </c>
      <c r="AL33" s="115" t="s">
        <v>95</v>
      </c>
      <c r="AM33" s="115" t="s">
        <v>95</v>
      </c>
      <c r="AN33" s="115" t="s">
        <v>95</v>
      </c>
      <c r="AO33" s="115" t="s">
        <v>95</v>
      </c>
      <c r="AP33" s="115" t="s">
        <v>95</v>
      </c>
      <c r="AQ33" s="115" t="s">
        <v>95</v>
      </c>
      <c r="AR33" s="115" t="s">
        <v>95</v>
      </c>
      <c r="AS33" s="115" t="s">
        <v>95</v>
      </c>
      <c r="AT33" s="116" t="s">
        <v>95</v>
      </c>
      <c r="AU33" s="22"/>
    </row>
    <row r="34" spans="1:47" ht="15" customHeight="1" x14ac:dyDescent="0.35">
      <c r="A34" s="960"/>
      <c r="B34" s="26"/>
      <c r="C34" s="164" t="s">
        <v>95</v>
      </c>
      <c r="D34" s="165" t="s">
        <v>95</v>
      </c>
      <c r="E34" s="339" t="s">
        <v>238</v>
      </c>
      <c r="F34" s="339"/>
      <c r="G34" s="339"/>
      <c r="H34" s="339"/>
      <c r="I34" s="339" t="s">
        <v>95</v>
      </c>
      <c r="J34" s="339" t="s">
        <v>95</v>
      </c>
      <c r="K34" s="339" t="s">
        <v>95</v>
      </c>
      <c r="L34" s="339" t="s">
        <v>95</v>
      </c>
      <c r="M34" s="339" t="s">
        <v>95</v>
      </c>
      <c r="N34" s="339" t="s">
        <v>95</v>
      </c>
      <c r="O34" s="339" t="s">
        <v>95</v>
      </c>
      <c r="P34" s="339" t="s">
        <v>95</v>
      </c>
      <c r="Q34" s="339" t="s">
        <v>95</v>
      </c>
      <c r="R34" s="339" t="s">
        <v>95</v>
      </c>
      <c r="S34" s="339" t="s">
        <v>95</v>
      </c>
      <c r="T34" s="339" t="s">
        <v>95</v>
      </c>
      <c r="U34" s="339" t="s">
        <v>95</v>
      </c>
      <c r="V34" s="339" t="s">
        <v>95</v>
      </c>
      <c r="W34" s="339" t="s">
        <v>95</v>
      </c>
      <c r="X34" s="339" t="s">
        <v>95</v>
      </c>
      <c r="Y34" s="339" t="s">
        <v>95</v>
      </c>
      <c r="Z34" s="339" t="s">
        <v>95</v>
      </c>
      <c r="AA34" s="339" t="s">
        <v>95</v>
      </c>
      <c r="AB34" s="339" t="s">
        <v>95</v>
      </c>
      <c r="AC34" s="339" t="s">
        <v>95</v>
      </c>
      <c r="AD34" s="339" t="s">
        <v>95</v>
      </c>
      <c r="AE34" s="339" t="s">
        <v>95</v>
      </c>
      <c r="AF34" s="339" t="s">
        <v>95</v>
      </c>
      <c r="AG34" s="339" t="s">
        <v>95</v>
      </c>
      <c r="AH34" s="339" t="s">
        <v>95</v>
      </c>
      <c r="AI34" s="339" t="s">
        <v>95</v>
      </c>
      <c r="AJ34" s="339" t="s">
        <v>95</v>
      </c>
      <c r="AK34" s="339" t="s">
        <v>95</v>
      </c>
      <c r="AL34" s="339" t="s">
        <v>95</v>
      </c>
      <c r="AM34" s="339" t="s">
        <v>95</v>
      </c>
      <c r="AN34" s="339" t="s">
        <v>95</v>
      </c>
      <c r="AO34" s="339" t="s">
        <v>95</v>
      </c>
      <c r="AP34" s="339" t="s">
        <v>95</v>
      </c>
      <c r="AQ34" s="339" t="s">
        <v>95</v>
      </c>
      <c r="AR34" s="339" t="s">
        <v>95</v>
      </c>
      <c r="AS34" s="339" t="s">
        <v>95</v>
      </c>
      <c r="AT34" s="340" t="s">
        <v>95</v>
      </c>
      <c r="AU34" s="22"/>
    </row>
    <row r="35" spans="1:47" ht="15" customHeight="1" x14ac:dyDescent="0.35">
      <c r="A35" s="1178">
        <v>6</v>
      </c>
      <c r="B35" s="26"/>
      <c r="C35" s="1210" t="s">
        <v>99</v>
      </c>
      <c r="D35" s="1002"/>
      <c r="E35" s="156" t="s">
        <v>95</v>
      </c>
      <c r="F35" s="156" t="s">
        <v>95</v>
      </c>
      <c r="G35" s="156">
        <v>388.1398532</v>
      </c>
      <c r="H35" s="156" t="s">
        <v>95</v>
      </c>
      <c r="I35" s="156">
        <v>388.1398532</v>
      </c>
      <c r="J35" s="156" t="s">
        <v>95</v>
      </c>
      <c r="K35" s="156">
        <v>397.07533999999998</v>
      </c>
      <c r="L35" s="156" t="s">
        <v>95</v>
      </c>
      <c r="M35" s="156">
        <v>406.02577000000002</v>
      </c>
      <c r="N35" s="156" t="s">
        <v>95</v>
      </c>
      <c r="O35" s="156" t="s">
        <v>95</v>
      </c>
      <c r="P35" s="156" t="s">
        <v>95</v>
      </c>
      <c r="Q35" s="156" t="s">
        <v>95</v>
      </c>
      <c r="R35" s="156" t="s">
        <v>95</v>
      </c>
      <c r="S35" s="156" t="s">
        <v>95</v>
      </c>
      <c r="T35" s="156" t="s">
        <v>95</v>
      </c>
      <c r="U35" s="156" t="s">
        <v>95</v>
      </c>
      <c r="V35" s="156" t="s">
        <v>95</v>
      </c>
      <c r="W35" s="156" t="s">
        <v>95</v>
      </c>
      <c r="X35" s="156" t="s">
        <v>95</v>
      </c>
      <c r="Y35" s="156" t="s">
        <v>95</v>
      </c>
      <c r="Z35" s="156" t="s">
        <v>95</v>
      </c>
      <c r="AA35" s="156" t="s">
        <v>95</v>
      </c>
      <c r="AB35" s="156" t="s">
        <v>95</v>
      </c>
      <c r="AC35" s="156" t="s">
        <v>95</v>
      </c>
      <c r="AD35" s="156" t="s">
        <v>95</v>
      </c>
      <c r="AE35" s="156" t="s">
        <v>95</v>
      </c>
      <c r="AF35" s="156" t="s">
        <v>95</v>
      </c>
      <c r="AG35" s="156" t="s">
        <v>95</v>
      </c>
      <c r="AH35" s="156" t="s">
        <v>95</v>
      </c>
      <c r="AI35" s="156" t="s">
        <v>95</v>
      </c>
      <c r="AJ35" s="156" t="s">
        <v>95</v>
      </c>
      <c r="AK35" s="156" t="s">
        <v>95</v>
      </c>
      <c r="AL35" s="156" t="s">
        <v>95</v>
      </c>
      <c r="AM35" s="156" t="s">
        <v>95</v>
      </c>
      <c r="AN35" s="156" t="s">
        <v>95</v>
      </c>
      <c r="AO35" s="156" t="s">
        <v>95</v>
      </c>
      <c r="AP35" s="156" t="s">
        <v>95</v>
      </c>
      <c r="AQ35" s="156" t="s">
        <v>95</v>
      </c>
      <c r="AR35" s="156" t="s">
        <v>95</v>
      </c>
      <c r="AS35" s="156" t="s">
        <v>95</v>
      </c>
      <c r="AT35" s="341" t="s">
        <v>95</v>
      </c>
      <c r="AU35" s="22"/>
    </row>
    <row r="36" spans="1:47" ht="15" customHeight="1" x14ac:dyDescent="0.35">
      <c r="A36" s="982"/>
      <c r="B36" s="26"/>
      <c r="C36" s="1209" t="s">
        <v>101</v>
      </c>
      <c r="D36" s="1002"/>
      <c r="E36" s="156" t="s">
        <v>95</v>
      </c>
      <c r="F36" s="156" t="s">
        <v>95</v>
      </c>
      <c r="G36" s="156">
        <v>307.81849999999997</v>
      </c>
      <c r="H36" s="156" t="s">
        <v>95</v>
      </c>
      <c r="I36" s="156">
        <v>307.81849999999997</v>
      </c>
      <c r="J36" s="156" t="s">
        <v>95</v>
      </c>
      <c r="K36" s="156">
        <v>307.81849999999997</v>
      </c>
      <c r="L36" s="156" t="s">
        <v>95</v>
      </c>
      <c r="M36" s="156">
        <v>307.81849999999997</v>
      </c>
      <c r="N36" s="156" t="s">
        <v>95</v>
      </c>
      <c r="O36" s="156" t="s">
        <v>95</v>
      </c>
      <c r="P36" s="156" t="s">
        <v>95</v>
      </c>
      <c r="Q36" s="156" t="s">
        <v>95</v>
      </c>
      <c r="R36" s="156" t="s">
        <v>95</v>
      </c>
      <c r="S36" s="156" t="s">
        <v>95</v>
      </c>
      <c r="T36" s="156" t="s">
        <v>95</v>
      </c>
      <c r="U36" s="156" t="s">
        <v>95</v>
      </c>
      <c r="V36" s="156" t="s">
        <v>95</v>
      </c>
      <c r="W36" s="156" t="s">
        <v>95</v>
      </c>
      <c r="X36" s="156" t="s">
        <v>95</v>
      </c>
      <c r="Y36" s="156" t="s">
        <v>95</v>
      </c>
      <c r="Z36" s="156" t="s">
        <v>95</v>
      </c>
      <c r="AA36" s="156" t="s">
        <v>95</v>
      </c>
      <c r="AB36" s="156" t="s">
        <v>95</v>
      </c>
      <c r="AC36" s="156" t="s">
        <v>95</v>
      </c>
      <c r="AD36" s="156" t="s">
        <v>95</v>
      </c>
      <c r="AE36" s="156" t="s">
        <v>95</v>
      </c>
      <c r="AF36" s="156" t="s">
        <v>95</v>
      </c>
      <c r="AG36" s="156" t="s">
        <v>95</v>
      </c>
      <c r="AH36" s="156" t="s">
        <v>95</v>
      </c>
      <c r="AI36" s="156" t="s">
        <v>95</v>
      </c>
      <c r="AJ36" s="156" t="s">
        <v>95</v>
      </c>
      <c r="AK36" s="156" t="s">
        <v>95</v>
      </c>
      <c r="AL36" s="156" t="s">
        <v>95</v>
      </c>
      <c r="AM36" s="156" t="s">
        <v>95</v>
      </c>
      <c r="AN36" s="156" t="s">
        <v>95</v>
      </c>
      <c r="AO36" s="156" t="s">
        <v>95</v>
      </c>
      <c r="AP36" s="156" t="s">
        <v>95</v>
      </c>
      <c r="AQ36" s="156" t="s">
        <v>95</v>
      </c>
      <c r="AR36" s="156" t="s">
        <v>95</v>
      </c>
      <c r="AS36" s="156" t="s">
        <v>95</v>
      </c>
      <c r="AT36" s="341" t="s">
        <v>95</v>
      </c>
      <c r="AU36" s="22"/>
    </row>
    <row r="37" spans="1:47" ht="15" customHeight="1" x14ac:dyDescent="0.35">
      <c r="A37" s="982"/>
      <c r="B37" s="26"/>
      <c r="C37" s="1211" t="s">
        <v>221</v>
      </c>
      <c r="D37" s="1002"/>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341"/>
      <c r="AU37" s="22"/>
    </row>
    <row r="38" spans="1:47" ht="15" customHeight="1" x14ac:dyDescent="0.35">
      <c r="A38" s="982"/>
      <c r="B38" s="26"/>
      <c r="C38" s="1209" t="s">
        <v>74</v>
      </c>
      <c r="D38" s="1002"/>
      <c r="E38" s="156" t="s">
        <v>95</v>
      </c>
      <c r="F38" s="156" t="s">
        <v>95</v>
      </c>
      <c r="G38" s="156">
        <v>128.33333329999999</v>
      </c>
      <c r="H38" s="156" t="s">
        <v>95</v>
      </c>
      <c r="I38" s="156">
        <v>128.33333329999999</v>
      </c>
      <c r="J38" s="156" t="s">
        <v>95</v>
      </c>
      <c r="K38" s="156">
        <v>128.33332999999999</v>
      </c>
      <c r="L38" s="156" t="s">
        <v>95</v>
      </c>
      <c r="M38" s="156">
        <v>128.33332999999999</v>
      </c>
      <c r="N38" s="156" t="s">
        <v>95</v>
      </c>
      <c r="O38" s="156" t="s">
        <v>95</v>
      </c>
      <c r="P38" s="156" t="s">
        <v>95</v>
      </c>
      <c r="Q38" s="156" t="s">
        <v>95</v>
      </c>
      <c r="R38" s="156" t="s">
        <v>95</v>
      </c>
      <c r="S38" s="156" t="s">
        <v>95</v>
      </c>
      <c r="T38" s="156" t="s">
        <v>95</v>
      </c>
      <c r="U38" s="156" t="s">
        <v>95</v>
      </c>
      <c r="V38" s="156" t="s">
        <v>95</v>
      </c>
      <c r="W38" s="156" t="s">
        <v>95</v>
      </c>
      <c r="X38" s="156" t="s">
        <v>95</v>
      </c>
      <c r="Y38" s="156" t="s">
        <v>95</v>
      </c>
      <c r="Z38" s="156" t="s">
        <v>95</v>
      </c>
      <c r="AA38" s="156" t="s">
        <v>95</v>
      </c>
      <c r="AB38" s="156" t="s">
        <v>95</v>
      </c>
      <c r="AC38" s="156" t="s">
        <v>95</v>
      </c>
      <c r="AD38" s="156" t="s">
        <v>95</v>
      </c>
      <c r="AE38" s="156" t="s">
        <v>95</v>
      </c>
      <c r="AF38" s="156" t="s">
        <v>95</v>
      </c>
      <c r="AG38" s="156" t="s">
        <v>95</v>
      </c>
      <c r="AH38" s="156" t="s">
        <v>95</v>
      </c>
      <c r="AI38" s="156" t="s">
        <v>95</v>
      </c>
      <c r="AJ38" s="156" t="s">
        <v>95</v>
      </c>
      <c r="AK38" s="156" t="s">
        <v>95</v>
      </c>
      <c r="AL38" s="156" t="s">
        <v>95</v>
      </c>
      <c r="AM38" s="156" t="s">
        <v>95</v>
      </c>
      <c r="AN38" s="156" t="s">
        <v>95</v>
      </c>
      <c r="AO38" s="156" t="s">
        <v>95</v>
      </c>
      <c r="AP38" s="156" t="s">
        <v>95</v>
      </c>
      <c r="AQ38" s="156" t="s">
        <v>95</v>
      </c>
      <c r="AR38" s="156" t="s">
        <v>95</v>
      </c>
      <c r="AS38" s="156" t="s">
        <v>95</v>
      </c>
      <c r="AT38" s="341" t="s">
        <v>95</v>
      </c>
      <c r="AU38" s="22"/>
    </row>
    <row r="39" spans="1:47" ht="15" customHeight="1" x14ac:dyDescent="0.35">
      <c r="A39" s="982"/>
      <c r="B39" s="26"/>
      <c r="C39" s="1209" t="s">
        <v>103</v>
      </c>
      <c r="D39" s="1002"/>
      <c r="E39" s="156" t="s">
        <v>95</v>
      </c>
      <c r="F39" s="156" t="s">
        <v>95</v>
      </c>
      <c r="G39" s="156">
        <v>-9.5333333299999996</v>
      </c>
      <c r="H39" s="156" t="s">
        <v>95</v>
      </c>
      <c r="I39" s="156">
        <v>-9.5333333329999999</v>
      </c>
      <c r="J39" s="156" t="s">
        <v>95</v>
      </c>
      <c r="K39" s="156">
        <v>-9.5333299999999994</v>
      </c>
      <c r="L39" s="156" t="s">
        <v>95</v>
      </c>
      <c r="M39" s="156">
        <v>-9.5333299999999994</v>
      </c>
      <c r="N39" s="156" t="s">
        <v>95</v>
      </c>
      <c r="O39" s="156" t="s">
        <v>95</v>
      </c>
      <c r="P39" s="156" t="s">
        <v>95</v>
      </c>
      <c r="Q39" s="156" t="s">
        <v>95</v>
      </c>
      <c r="R39" s="156" t="s">
        <v>95</v>
      </c>
      <c r="S39" s="156" t="s">
        <v>95</v>
      </c>
      <c r="T39" s="156" t="s">
        <v>95</v>
      </c>
      <c r="U39" s="156" t="s">
        <v>95</v>
      </c>
      <c r="V39" s="156" t="s">
        <v>95</v>
      </c>
      <c r="W39" s="156" t="s">
        <v>95</v>
      </c>
      <c r="X39" s="156" t="s">
        <v>95</v>
      </c>
      <c r="Y39" s="156" t="s">
        <v>95</v>
      </c>
      <c r="Z39" s="156" t="s">
        <v>95</v>
      </c>
      <c r="AA39" s="156" t="s">
        <v>95</v>
      </c>
      <c r="AB39" s="156" t="s">
        <v>95</v>
      </c>
      <c r="AC39" s="156" t="s">
        <v>95</v>
      </c>
      <c r="AD39" s="156" t="s">
        <v>95</v>
      </c>
      <c r="AE39" s="156" t="s">
        <v>95</v>
      </c>
      <c r="AF39" s="156" t="s">
        <v>95</v>
      </c>
      <c r="AG39" s="156" t="s">
        <v>95</v>
      </c>
      <c r="AH39" s="156" t="s">
        <v>95</v>
      </c>
      <c r="AI39" s="156" t="s">
        <v>95</v>
      </c>
      <c r="AJ39" s="156" t="s">
        <v>95</v>
      </c>
      <c r="AK39" s="156" t="s">
        <v>95</v>
      </c>
      <c r="AL39" s="156" t="s">
        <v>95</v>
      </c>
      <c r="AM39" s="156" t="s">
        <v>95</v>
      </c>
      <c r="AN39" s="156" t="s">
        <v>95</v>
      </c>
      <c r="AO39" s="156" t="s">
        <v>95</v>
      </c>
      <c r="AP39" s="156" t="s">
        <v>95</v>
      </c>
      <c r="AQ39" s="156" t="s">
        <v>95</v>
      </c>
      <c r="AR39" s="156" t="s">
        <v>95</v>
      </c>
      <c r="AS39" s="156" t="s">
        <v>95</v>
      </c>
      <c r="AT39" s="341" t="s">
        <v>95</v>
      </c>
      <c r="AU39" s="22"/>
    </row>
    <row r="40" spans="1:47" ht="15" customHeight="1" x14ac:dyDescent="0.35">
      <c r="A40" s="982"/>
      <c r="B40" s="26"/>
      <c r="C40" s="1209" t="s">
        <v>80</v>
      </c>
      <c r="D40" s="1002"/>
      <c r="E40" s="156" t="s">
        <v>95</v>
      </c>
      <c r="F40" s="156" t="s">
        <v>95</v>
      </c>
      <c r="G40" s="156" t="s">
        <v>95</v>
      </c>
      <c r="H40" s="156" t="s">
        <v>95</v>
      </c>
      <c r="I40" s="156" t="s">
        <v>95</v>
      </c>
      <c r="J40" s="156" t="s">
        <v>95</v>
      </c>
      <c r="K40" s="156" t="s">
        <v>95</v>
      </c>
      <c r="L40" s="156" t="s">
        <v>95</v>
      </c>
      <c r="M40" s="156" t="s">
        <v>95</v>
      </c>
      <c r="N40" s="156" t="s">
        <v>95</v>
      </c>
      <c r="O40" s="156" t="s">
        <v>95</v>
      </c>
      <c r="P40" s="156" t="s">
        <v>95</v>
      </c>
      <c r="Q40" s="156" t="s">
        <v>95</v>
      </c>
      <c r="R40" s="156" t="s">
        <v>95</v>
      </c>
      <c r="S40" s="156" t="s">
        <v>95</v>
      </c>
      <c r="T40" s="156" t="s">
        <v>95</v>
      </c>
      <c r="U40" s="156" t="s">
        <v>95</v>
      </c>
      <c r="V40" s="156" t="s">
        <v>95</v>
      </c>
      <c r="W40" s="156" t="s">
        <v>95</v>
      </c>
      <c r="X40" s="156" t="s">
        <v>95</v>
      </c>
      <c r="Y40" s="156" t="s">
        <v>95</v>
      </c>
      <c r="Z40" s="156" t="s">
        <v>95</v>
      </c>
      <c r="AA40" s="156" t="s">
        <v>95</v>
      </c>
      <c r="AB40" s="156" t="s">
        <v>95</v>
      </c>
      <c r="AC40" s="156" t="s">
        <v>95</v>
      </c>
      <c r="AD40" s="156" t="s">
        <v>95</v>
      </c>
      <c r="AE40" s="156" t="s">
        <v>95</v>
      </c>
      <c r="AF40" s="156" t="s">
        <v>95</v>
      </c>
      <c r="AG40" s="156" t="s">
        <v>95</v>
      </c>
      <c r="AH40" s="156" t="s">
        <v>95</v>
      </c>
      <c r="AI40" s="156" t="s">
        <v>95</v>
      </c>
      <c r="AJ40" s="156" t="s">
        <v>95</v>
      </c>
      <c r="AK40" s="156" t="s">
        <v>95</v>
      </c>
      <c r="AL40" s="156" t="s">
        <v>95</v>
      </c>
      <c r="AM40" s="156" t="s">
        <v>95</v>
      </c>
      <c r="AN40" s="156" t="s">
        <v>95</v>
      </c>
      <c r="AO40" s="156" t="s">
        <v>95</v>
      </c>
      <c r="AP40" s="156" t="s">
        <v>95</v>
      </c>
      <c r="AQ40" s="156" t="s">
        <v>95</v>
      </c>
      <c r="AR40" s="156" t="s">
        <v>95</v>
      </c>
      <c r="AS40" s="156" t="s">
        <v>95</v>
      </c>
      <c r="AT40" s="341" t="s">
        <v>95</v>
      </c>
      <c r="AU40" s="22"/>
    </row>
    <row r="41" spans="1:47" ht="15" customHeight="1" x14ac:dyDescent="0.35">
      <c r="A41" s="982"/>
      <c r="B41" s="26"/>
      <c r="C41" s="1209" t="s">
        <v>57</v>
      </c>
      <c r="D41" s="1002"/>
      <c r="E41" s="156" t="s">
        <v>95</v>
      </c>
      <c r="F41" s="156" t="s">
        <v>95</v>
      </c>
      <c r="G41" s="156">
        <v>-9.5333333299999996</v>
      </c>
      <c r="H41" s="156" t="s">
        <v>95</v>
      </c>
      <c r="I41" s="156">
        <v>-9.5333333329999999</v>
      </c>
      <c r="J41" s="156" t="s">
        <v>95</v>
      </c>
      <c r="K41" s="156">
        <v>-9.5333299999999994</v>
      </c>
      <c r="L41" s="156" t="s">
        <v>95</v>
      </c>
      <c r="M41" s="156">
        <v>-9.5333299999999994</v>
      </c>
      <c r="N41" s="156" t="s">
        <v>95</v>
      </c>
      <c r="O41" s="156" t="s">
        <v>95</v>
      </c>
      <c r="P41" s="156" t="s">
        <v>95</v>
      </c>
      <c r="Q41" s="156" t="s">
        <v>95</v>
      </c>
      <c r="R41" s="156" t="s">
        <v>95</v>
      </c>
      <c r="S41" s="156" t="s">
        <v>95</v>
      </c>
      <c r="T41" s="156" t="s">
        <v>95</v>
      </c>
      <c r="U41" s="156" t="s">
        <v>95</v>
      </c>
      <c r="V41" s="156" t="s">
        <v>95</v>
      </c>
      <c r="W41" s="156" t="s">
        <v>95</v>
      </c>
      <c r="X41" s="156" t="s">
        <v>95</v>
      </c>
      <c r="Y41" s="156" t="s">
        <v>95</v>
      </c>
      <c r="Z41" s="156" t="s">
        <v>95</v>
      </c>
      <c r="AA41" s="156" t="s">
        <v>95</v>
      </c>
      <c r="AB41" s="156" t="s">
        <v>95</v>
      </c>
      <c r="AC41" s="156" t="s">
        <v>95</v>
      </c>
      <c r="AD41" s="156" t="s">
        <v>95</v>
      </c>
      <c r="AE41" s="156" t="s">
        <v>95</v>
      </c>
      <c r="AF41" s="156" t="s">
        <v>95</v>
      </c>
      <c r="AG41" s="156" t="s">
        <v>95</v>
      </c>
      <c r="AH41" s="156" t="s">
        <v>95</v>
      </c>
      <c r="AI41" s="156" t="s">
        <v>95</v>
      </c>
      <c r="AJ41" s="156" t="s">
        <v>95</v>
      </c>
      <c r="AK41" s="156" t="s">
        <v>95</v>
      </c>
      <c r="AL41" s="156" t="s">
        <v>95</v>
      </c>
      <c r="AM41" s="156" t="s">
        <v>95</v>
      </c>
      <c r="AN41" s="156" t="s">
        <v>95</v>
      </c>
      <c r="AO41" s="156" t="s">
        <v>95</v>
      </c>
      <c r="AP41" s="156" t="s">
        <v>95</v>
      </c>
      <c r="AQ41" s="156" t="s">
        <v>95</v>
      </c>
      <c r="AR41" s="156" t="s">
        <v>95</v>
      </c>
      <c r="AS41" s="156" t="s">
        <v>95</v>
      </c>
      <c r="AT41" s="341" t="s">
        <v>95</v>
      </c>
      <c r="AU41" s="22"/>
    </row>
    <row r="42" spans="1:47" ht="15" customHeight="1" x14ac:dyDescent="0.4">
      <c r="A42" s="960"/>
      <c r="B42" s="26"/>
      <c r="C42" s="160" t="s">
        <v>95</v>
      </c>
      <c r="D42" s="161" t="s">
        <v>95</v>
      </c>
      <c r="E42" s="342" t="s">
        <v>222</v>
      </c>
      <c r="F42" s="342"/>
      <c r="G42" s="342"/>
      <c r="H42" s="342"/>
      <c r="I42" s="343" t="s">
        <v>95</v>
      </c>
      <c r="J42" s="343" t="s">
        <v>95</v>
      </c>
      <c r="K42" s="343" t="s">
        <v>95</v>
      </c>
      <c r="L42" s="343" t="s">
        <v>95</v>
      </c>
      <c r="M42" s="343" t="s">
        <v>95</v>
      </c>
      <c r="N42" s="343" t="s">
        <v>95</v>
      </c>
      <c r="O42" s="343" t="s">
        <v>95</v>
      </c>
      <c r="P42" s="343" t="s">
        <v>95</v>
      </c>
      <c r="Q42" s="343" t="s">
        <v>95</v>
      </c>
      <c r="R42" s="343" t="s">
        <v>95</v>
      </c>
      <c r="S42" s="343" t="s">
        <v>95</v>
      </c>
      <c r="T42" s="343" t="s">
        <v>95</v>
      </c>
      <c r="U42" s="343" t="s">
        <v>95</v>
      </c>
      <c r="V42" s="343" t="s">
        <v>95</v>
      </c>
      <c r="W42" s="343" t="s">
        <v>95</v>
      </c>
      <c r="X42" s="343" t="s">
        <v>95</v>
      </c>
      <c r="Y42" s="343" t="s">
        <v>95</v>
      </c>
      <c r="Z42" s="343" t="s">
        <v>95</v>
      </c>
      <c r="AA42" s="343" t="s">
        <v>95</v>
      </c>
      <c r="AB42" s="343" t="s">
        <v>95</v>
      </c>
      <c r="AC42" s="343" t="s">
        <v>95</v>
      </c>
      <c r="AD42" s="343" t="s">
        <v>95</v>
      </c>
      <c r="AE42" s="343" t="s">
        <v>95</v>
      </c>
      <c r="AF42" s="343" t="s">
        <v>95</v>
      </c>
      <c r="AG42" s="343" t="s">
        <v>95</v>
      </c>
      <c r="AH42" s="343" t="s">
        <v>95</v>
      </c>
      <c r="AI42" s="343" t="s">
        <v>95</v>
      </c>
      <c r="AJ42" s="343" t="s">
        <v>95</v>
      </c>
      <c r="AK42" s="343" t="s">
        <v>95</v>
      </c>
      <c r="AL42" s="343" t="s">
        <v>95</v>
      </c>
      <c r="AM42" s="343" t="s">
        <v>95</v>
      </c>
      <c r="AN42" s="343" t="s">
        <v>95</v>
      </c>
      <c r="AO42" s="343" t="s">
        <v>95</v>
      </c>
      <c r="AP42" s="343" t="s">
        <v>95</v>
      </c>
      <c r="AQ42" s="343" t="s">
        <v>95</v>
      </c>
      <c r="AR42" s="343" t="s">
        <v>95</v>
      </c>
      <c r="AS42" s="343" t="s">
        <v>95</v>
      </c>
      <c r="AT42" s="117" t="s">
        <v>95</v>
      </c>
      <c r="AU42" s="22"/>
    </row>
    <row r="43" spans="1:47" ht="15" customHeight="1" x14ac:dyDescent="0.4">
      <c r="A43" s="960"/>
      <c r="B43" s="26"/>
      <c r="C43" s="164" t="s">
        <v>95</v>
      </c>
      <c r="D43" s="165" t="s">
        <v>95</v>
      </c>
      <c r="E43" s="344" t="s">
        <v>238</v>
      </c>
      <c r="F43" s="344"/>
      <c r="G43" s="344"/>
      <c r="H43" s="344"/>
      <c r="I43" s="345" t="s">
        <v>95</v>
      </c>
      <c r="J43" s="345" t="s">
        <v>95</v>
      </c>
      <c r="K43" s="345" t="s">
        <v>95</v>
      </c>
      <c r="L43" s="345" t="s">
        <v>95</v>
      </c>
      <c r="M43" s="344" t="s">
        <v>95</v>
      </c>
      <c r="N43" s="346" t="s">
        <v>95</v>
      </c>
      <c r="O43" s="346" t="s">
        <v>95</v>
      </c>
      <c r="P43" s="346" t="s">
        <v>95</v>
      </c>
      <c r="Q43" s="346" t="s">
        <v>95</v>
      </c>
      <c r="R43" s="346" t="s">
        <v>95</v>
      </c>
      <c r="S43" s="346" t="s">
        <v>95</v>
      </c>
      <c r="T43" s="346" t="s">
        <v>95</v>
      </c>
      <c r="U43" s="346" t="s">
        <v>95</v>
      </c>
      <c r="V43" s="346" t="s">
        <v>95</v>
      </c>
      <c r="W43" s="346" t="s">
        <v>95</v>
      </c>
      <c r="X43" s="346" t="s">
        <v>95</v>
      </c>
      <c r="Y43" s="346" t="s">
        <v>95</v>
      </c>
      <c r="Z43" s="346" t="s">
        <v>95</v>
      </c>
      <c r="AA43" s="346" t="s">
        <v>95</v>
      </c>
      <c r="AB43" s="346" t="s">
        <v>95</v>
      </c>
      <c r="AC43" s="346" t="s">
        <v>95</v>
      </c>
      <c r="AD43" s="346" t="s">
        <v>95</v>
      </c>
      <c r="AE43" s="346" t="s">
        <v>95</v>
      </c>
      <c r="AF43" s="346" t="s">
        <v>95</v>
      </c>
      <c r="AG43" s="346" t="s">
        <v>95</v>
      </c>
      <c r="AH43" s="346" t="s">
        <v>95</v>
      </c>
      <c r="AI43" s="346" t="s">
        <v>95</v>
      </c>
      <c r="AJ43" s="346" t="s">
        <v>95</v>
      </c>
      <c r="AK43" s="346" t="s">
        <v>95</v>
      </c>
      <c r="AL43" s="346" t="s">
        <v>95</v>
      </c>
      <c r="AM43" s="346" t="s">
        <v>95</v>
      </c>
      <c r="AN43" s="346" t="s">
        <v>95</v>
      </c>
      <c r="AO43" s="346" t="s">
        <v>95</v>
      </c>
      <c r="AP43" s="346" t="s">
        <v>95</v>
      </c>
      <c r="AQ43" s="346" t="s">
        <v>95</v>
      </c>
      <c r="AR43" s="346" t="s">
        <v>95</v>
      </c>
      <c r="AS43" s="346" t="s">
        <v>95</v>
      </c>
      <c r="AT43" s="347" t="s">
        <v>95</v>
      </c>
      <c r="AU43" s="22"/>
    </row>
    <row r="44" spans="1:47" ht="15" customHeight="1" x14ac:dyDescent="0.35">
      <c r="A44" s="1178">
        <v>6</v>
      </c>
      <c r="B44" s="26"/>
      <c r="C44" s="1210" t="s">
        <v>99</v>
      </c>
      <c r="D44" s="1002"/>
      <c r="E44" s="156" t="s">
        <v>95</v>
      </c>
      <c r="F44" s="156" t="s">
        <v>95</v>
      </c>
      <c r="G44" s="156" t="s">
        <v>95</v>
      </c>
      <c r="H44" s="156" t="s">
        <v>95</v>
      </c>
      <c r="I44" s="156" t="s">
        <v>95</v>
      </c>
      <c r="J44" s="156" t="s">
        <v>95</v>
      </c>
      <c r="K44" s="156" t="s">
        <v>95</v>
      </c>
      <c r="L44" s="156" t="s">
        <v>95</v>
      </c>
      <c r="M44" s="156">
        <v>272.77726000000001</v>
      </c>
      <c r="N44" s="156" t="s">
        <v>95</v>
      </c>
      <c r="O44" s="156" t="s">
        <v>95</v>
      </c>
      <c r="P44" s="156" t="s">
        <v>95</v>
      </c>
      <c r="Q44" s="156" t="s">
        <v>95</v>
      </c>
      <c r="R44" s="156" t="s">
        <v>95</v>
      </c>
      <c r="S44" s="156" t="s">
        <v>95</v>
      </c>
      <c r="T44" s="156" t="s">
        <v>95</v>
      </c>
      <c r="U44" s="156" t="s">
        <v>95</v>
      </c>
      <c r="V44" s="156" t="s">
        <v>95</v>
      </c>
      <c r="W44" s="156" t="s">
        <v>95</v>
      </c>
      <c r="X44" s="156" t="s">
        <v>95</v>
      </c>
      <c r="Y44" s="156" t="s">
        <v>95</v>
      </c>
      <c r="Z44" s="156" t="s">
        <v>95</v>
      </c>
      <c r="AA44" s="156" t="s">
        <v>95</v>
      </c>
      <c r="AB44" s="156" t="s">
        <v>95</v>
      </c>
      <c r="AC44" s="156" t="s">
        <v>95</v>
      </c>
      <c r="AD44" s="156" t="s">
        <v>95</v>
      </c>
      <c r="AE44" s="156" t="s">
        <v>95</v>
      </c>
      <c r="AF44" s="156" t="s">
        <v>95</v>
      </c>
      <c r="AG44" s="156" t="s">
        <v>95</v>
      </c>
      <c r="AH44" s="156" t="s">
        <v>95</v>
      </c>
      <c r="AI44" s="156" t="s">
        <v>95</v>
      </c>
      <c r="AJ44" s="156" t="s">
        <v>95</v>
      </c>
      <c r="AK44" s="156" t="s">
        <v>95</v>
      </c>
      <c r="AL44" s="156" t="s">
        <v>95</v>
      </c>
      <c r="AM44" s="156" t="s">
        <v>95</v>
      </c>
      <c r="AN44" s="156" t="s">
        <v>95</v>
      </c>
      <c r="AO44" s="156" t="s">
        <v>95</v>
      </c>
      <c r="AP44" s="156" t="s">
        <v>95</v>
      </c>
      <c r="AQ44" s="156" t="s">
        <v>95</v>
      </c>
      <c r="AR44" s="156" t="s">
        <v>95</v>
      </c>
      <c r="AS44" s="156" t="s">
        <v>95</v>
      </c>
      <c r="AT44" s="341" t="s">
        <v>95</v>
      </c>
      <c r="AU44" s="22"/>
    </row>
    <row r="45" spans="1:47" ht="15" customHeight="1" x14ac:dyDescent="0.35">
      <c r="A45" s="982"/>
      <c r="B45" s="26"/>
      <c r="C45" s="1209" t="s">
        <v>101</v>
      </c>
      <c r="D45" s="1002"/>
      <c r="E45" s="156" t="s">
        <v>95</v>
      </c>
      <c r="F45" s="156" t="s">
        <v>95</v>
      </c>
      <c r="G45" s="156">
        <v>289.58999999999997</v>
      </c>
      <c r="H45" s="156" t="s">
        <v>95</v>
      </c>
      <c r="I45" s="156">
        <v>289.58999999999997</v>
      </c>
      <c r="J45" s="156" t="s">
        <v>95</v>
      </c>
      <c r="K45" s="156">
        <v>289.39861000000002</v>
      </c>
      <c r="L45" s="156" t="s">
        <v>95</v>
      </c>
      <c r="M45" s="156">
        <v>8.8900000000000003E-3</v>
      </c>
      <c r="N45" s="156" t="s">
        <v>95</v>
      </c>
      <c r="O45" s="156" t="s">
        <v>95</v>
      </c>
      <c r="P45" s="156" t="s">
        <v>95</v>
      </c>
      <c r="Q45" s="156" t="s">
        <v>95</v>
      </c>
      <c r="R45" s="156" t="s">
        <v>95</v>
      </c>
      <c r="S45" s="156" t="s">
        <v>95</v>
      </c>
      <c r="T45" s="156" t="s">
        <v>95</v>
      </c>
      <c r="U45" s="156" t="s">
        <v>95</v>
      </c>
      <c r="V45" s="156" t="s">
        <v>95</v>
      </c>
      <c r="W45" s="156" t="s">
        <v>95</v>
      </c>
      <c r="X45" s="156" t="s">
        <v>95</v>
      </c>
      <c r="Y45" s="156" t="s">
        <v>95</v>
      </c>
      <c r="Z45" s="156" t="s">
        <v>95</v>
      </c>
      <c r="AA45" s="156" t="s">
        <v>95</v>
      </c>
      <c r="AB45" s="156" t="s">
        <v>95</v>
      </c>
      <c r="AC45" s="156" t="s">
        <v>95</v>
      </c>
      <c r="AD45" s="156" t="s">
        <v>95</v>
      </c>
      <c r="AE45" s="156" t="s">
        <v>95</v>
      </c>
      <c r="AF45" s="156" t="s">
        <v>95</v>
      </c>
      <c r="AG45" s="156" t="s">
        <v>95</v>
      </c>
      <c r="AH45" s="156" t="s">
        <v>95</v>
      </c>
      <c r="AI45" s="156" t="s">
        <v>95</v>
      </c>
      <c r="AJ45" s="156" t="s">
        <v>95</v>
      </c>
      <c r="AK45" s="156" t="s">
        <v>95</v>
      </c>
      <c r="AL45" s="156" t="s">
        <v>95</v>
      </c>
      <c r="AM45" s="156" t="s">
        <v>95</v>
      </c>
      <c r="AN45" s="156" t="s">
        <v>95</v>
      </c>
      <c r="AO45" s="156" t="s">
        <v>95</v>
      </c>
      <c r="AP45" s="156" t="s">
        <v>95</v>
      </c>
      <c r="AQ45" s="156" t="s">
        <v>95</v>
      </c>
      <c r="AR45" s="156" t="s">
        <v>95</v>
      </c>
      <c r="AS45" s="156" t="s">
        <v>95</v>
      </c>
      <c r="AT45" s="341" t="s">
        <v>95</v>
      </c>
      <c r="AU45" s="22"/>
    </row>
    <row r="46" spans="1:47" ht="15" customHeight="1" x14ac:dyDescent="0.35">
      <c r="A46" s="982"/>
      <c r="B46" s="61"/>
      <c r="C46" s="1209" t="s">
        <v>221</v>
      </c>
      <c r="D46" s="1002"/>
      <c r="E46" s="156" t="s">
        <v>95</v>
      </c>
      <c r="F46" s="156" t="s">
        <v>95</v>
      </c>
      <c r="G46" s="156">
        <v>-27.75</v>
      </c>
      <c r="H46" s="156" t="s">
        <v>95</v>
      </c>
      <c r="I46" s="156">
        <v>-27.75</v>
      </c>
      <c r="J46" s="156" t="s">
        <v>95</v>
      </c>
      <c r="K46" s="156">
        <v>-27.746700000000001</v>
      </c>
      <c r="L46" s="156" t="s">
        <v>95</v>
      </c>
      <c r="M46" s="156">
        <v>-27.74708</v>
      </c>
      <c r="N46" s="156" t="s">
        <v>95</v>
      </c>
      <c r="O46" s="156" t="s">
        <v>95</v>
      </c>
      <c r="P46" s="156" t="s">
        <v>95</v>
      </c>
      <c r="Q46" s="156" t="s">
        <v>95</v>
      </c>
      <c r="R46" s="156" t="s">
        <v>95</v>
      </c>
      <c r="S46" s="156" t="s">
        <v>95</v>
      </c>
      <c r="T46" s="156" t="s">
        <v>95</v>
      </c>
      <c r="U46" s="156" t="s">
        <v>95</v>
      </c>
      <c r="V46" s="156" t="s">
        <v>95</v>
      </c>
      <c r="W46" s="156" t="s">
        <v>95</v>
      </c>
      <c r="X46" s="156" t="s">
        <v>95</v>
      </c>
      <c r="Y46" s="156" t="s">
        <v>95</v>
      </c>
      <c r="Z46" s="156" t="s">
        <v>95</v>
      </c>
      <c r="AA46" s="156" t="s">
        <v>95</v>
      </c>
      <c r="AB46" s="156" t="s">
        <v>95</v>
      </c>
      <c r="AC46" s="156" t="s">
        <v>95</v>
      </c>
      <c r="AD46" s="156" t="s">
        <v>95</v>
      </c>
      <c r="AE46" s="156" t="s">
        <v>95</v>
      </c>
      <c r="AF46" s="156" t="s">
        <v>95</v>
      </c>
      <c r="AG46" s="156" t="s">
        <v>95</v>
      </c>
      <c r="AH46" s="156" t="s">
        <v>95</v>
      </c>
      <c r="AI46" s="156" t="s">
        <v>95</v>
      </c>
      <c r="AJ46" s="156" t="s">
        <v>95</v>
      </c>
      <c r="AK46" s="156" t="s">
        <v>95</v>
      </c>
      <c r="AL46" s="156" t="s">
        <v>95</v>
      </c>
      <c r="AM46" s="156" t="s">
        <v>95</v>
      </c>
      <c r="AN46" s="156" t="s">
        <v>95</v>
      </c>
      <c r="AO46" s="156" t="s">
        <v>95</v>
      </c>
      <c r="AP46" s="156" t="s">
        <v>95</v>
      </c>
      <c r="AQ46" s="156" t="s">
        <v>95</v>
      </c>
      <c r="AR46" s="156" t="s">
        <v>95</v>
      </c>
      <c r="AS46" s="156" t="s">
        <v>95</v>
      </c>
      <c r="AT46" s="341" t="s">
        <v>95</v>
      </c>
      <c r="AU46" s="22"/>
    </row>
    <row r="47" spans="1:47" ht="15" customHeight="1" x14ac:dyDescent="0.35">
      <c r="A47" s="982"/>
      <c r="B47" s="61"/>
      <c r="C47" s="1211" t="s">
        <v>146</v>
      </c>
      <c r="D47" s="1002"/>
      <c r="E47" s="156"/>
      <c r="F47" s="156"/>
      <c r="G47" s="156">
        <v>-27.75</v>
      </c>
      <c r="H47" s="156" t="s">
        <v>95</v>
      </c>
      <c r="I47" s="156">
        <v>-27.75</v>
      </c>
      <c r="J47" s="156" t="s">
        <v>95</v>
      </c>
      <c r="K47" s="156">
        <v>-27.746700000000001</v>
      </c>
      <c r="L47" s="156" t="s">
        <v>95</v>
      </c>
      <c r="M47" s="156">
        <v>-27.74708</v>
      </c>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341"/>
      <c r="AU47" s="22"/>
    </row>
    <row r="48" spans="1:47" ht="14.25" customHeight="1" x14ac:dyDescent="0.35">
      <c r="A48" s="982"/>
      <c r="B48" s="26"/>
      <c r="C48" s="1209" t="s">
        <v>103</v>
      </c>
      <c r="D48" s="1002"/>
      <c r="E48" s="156" t="s">
        <v>95</v>
      </c>
      <c r="F48" s="156" t="s">
        <v>95</v>
      </c>
      <c r="G48" s="156">
        <v>-29.57</v>
      </c>
      <c r="H48" s="156" t="s">
        <v>95</v>
      </c>
      <c r="I48" s="156">
        <v>-29.57</v>
      </c>
      <c r="J48" s="156" t="s">
        <v>95</v>
      </c>
      <c r="K48" s="156">
        <v>-27.753969999999999</v>
      </c>
      <c r="L48" s="156" t="s">
        <v>95</v>
      </c>
      <c r="M48" s="156">
        <v>-27.77787</v>
      </c>
      <c r="N48" s="156" t="s">
        <v>95</v>
      </c>
      <c r="O48" s="156" t="s">
        <v>95</v>
      </c>
      <c r="P48" s="156" t="s">
        <v>95</v>
      </c>
      <c r="Q48" s="156" t="s">
        <v>95</v>
      </c>
      <c r="R48" s="156" t="s">
        <v>95</v>
      </c>
      <c r="S48" s="156" t="s">
        <v>95</v>
      </c>
      <c r="T48" s="156" t="s">
        <v>95</v>
      </c>
      <c r="U48" s="156" t="s">
        <v>95</v>
      </c>
      <c r="V48" s="156" t="s">
        <v>95</v>
      </c>
      <c r="W48" s="156" t="s">
        <v>95</v>
      </c>
      <c r="X48" s="156" t="s">
        <v>95</v>
      </c>
      <c r="Y48" s="156" t="s">
        <v>95</v>
      </c>
      <c r="Z48" s="156" t="s">
        <v>95</v>
      </c>
      <c r="AA48" s="156" t="s">
        <v>95</v>
      </c>
      <c r="AB48" s="156" t="s">
        <v>95</v>
      </c>
      <c r="AC48" s="156" t="s">
        <v>95</v>
      </c>
      <c r="AD48" s="156" t="s">
        <v>95</v>
      </c>
      <c r="AE48" s="156" t="s">
        <v>95</v>
      </c>
      <c r="AF48" s="156" t="s">
        <v>95</v>
      </c>
      <c r="AG48" s="156" t="s">
        <v>95</v>
      </c>
      <c r="AH48" s="156" t="s">
        <v>95</v>
      </c>
      <c r="AI48" s="156" t="s">
        <v>95</v>
      </c>
      <c r="AJ48" s="156" t="s">
        <v>95</v>
      </c>
      <c r="AK48" s="156" t="s">
        <v>95</v>
      </c>
      <c r="AL48" s="156" t="s">
        <v>95</v>
      </c>
      <c r="AM48" s="156" t="s">
        <v>95</v>
      </c>
      <c r="AN48" s="156" t="s">
        <v>95</v>
      </c>
      <c r="AO48" s="156" t="s">
        <v>95</v>
      </c>
      <c r="AP48" s="156" t="s">
        <v>95</v>
      </c>
      <c r="AQ48" s="156" t="s">
        <v>95</v>
      </c>
      <c r="AR48" s="156" t="s">
        <v>95</v>
      </c>
      <c r="AS48" s="156" t="s">
        <v>95</v>
      </c>
      <c r="AT48" s="341" t="s">
        <v>95</v>
      </c>
      <c r="AU48" s="22"/>
    </row>
    <row r="49" spans="1:47" ht="14.25" customHeight="1" x14ac:dyDescent="0.35">
      <c r="A49" s="982"/>
      <c r="B49" s="61"/>
      <c r="C49" s="1209" t="s">
        <v>80</v>
      </c>
      <c r="D49" s="1002"/>
      <c r="E49" s="156" t="s">
        <v>95</v>
      </c>
      <c r="F49" s="156" t="s">
        <v>95</v>
      </c>
      <c r="G49" s="156" t="s">
        <v>95</v>
      </c>
      <c r="H49" s="156" t="s">
        <v>95</v>
      </c>
      <c r="I49" s="156" t="s">
        <v>95</v>
      </c>
      <c r="J49" s="156" t="s">
        <v>95</v>
      </c>
      <c r="K49" s="156" t="s">
        <v>95</v>
      </c>
      <c r="L49" s="156" t="s">
        <v>95</v>
      </c>
      <c r="M49" s="156" t="s">
        <v>95</v>
      </c>
      <c r="N49" s="156" t="s">
        <v>95</v>
      </c>
      <c r="O49" s="156" t="s">
        <v>95</v>
      </c>
      <c r="P49" s="156" t="s">
        <v>95</v>
      </c>
      <c r="Q49" s="156" t="s">
        <v>95</v>
      </c>
      <c r="R49" s="156" t="s">
        <v>95</v>
      </c>
      <c r="S49" s="156" t="s">
        <v>95</v>
      </c>
      <c r="T49" s="156" t="s">
        <v>95</v>
      </c>
      <c r="U49" s="156" t="s">
        <v>95</v>
      </c>
      <c r="V49" s="156" t="s">
        <v>95</v>
      </c>
      <c r="W49" s="156" t="s">
        <v>95</v>
      </c>
      <c r="X49" s="156" t="s">
        <v>95</v>
      </c>
      <c r="Y49" s="156" t="s">
        <v>95</v>
      </c>
      <c r="Z49" s="156" t="s">
        <v>95</v>
      </c>
      <c r="AA49" s="156" t="s">
        <v>95</v>
      </c>
      <c r="AB49" s="156" t="s">
        <v>95</v>
      </c>
      <c r="AC49" s="156" t="s">
        <v>95</v>
      </c>
      <c r="AD49" s="156" t="s">
        <v>95</v>
      </c>
      <c r="AE49" s="156" t="s">
        <v>95</v>
      </c>
      <c r="AF49" s="156" t="s">
        <v>95</v>
      </c>
      <c r="AG49" s="156" t="s">
        <v>95</v>
      </c>
      <c r="AH49" s="156" t="s">
        <v>95</v>
      </c>
      <c r="AI49" s="156" t="s">
        <v>95</v>
      </c>
      <c r="AJ49" s="156" t="s">
        <v>95</v>
      </c>
      <c r="AK49" s="156" t="s">
        <v>95</v>
      </c>
      <c r="AL49" s="156" t="s">
        <v>95</v>
      </c>
      <c r="AM49" s="156" t="s">
        <v>95</v>
      </c>
      <c r="AN49" s="156" t="s">
        <v>95</v>
      </c>
      <c r="AO49" s="156" t="s">
        <v>95</v>
      </c>
      <c r="AP49" s="156" t="s">
        <v>95</v>
      </c>
      <c r="AQ49" s="156" t="s">
        <v>95</v>
      </c>
      <c r="AR49" s="156" t="s">
        <v>95</v>
      </c>
      <c r="AS49" s="156" t="s">
        <v>95</v>
      </c>
      <c r="AT49" s="341" t="s">
        <v>95</v>
      </c>
      <c r="AU49" s="22"/>
    </row>
    <row r="50" spans="1:47" ht="14.25" customHeight="1" x14ac:dyDescent="0.35">
      <c r="A50" s="982"/>
      <c r="B50" s="26"/>
      <c r="C50" s="1209" t="s">
        <v>57</v>
      </c>
      <c r="D50" s="1002"/>
      <c r="E50" s="156" t="s">
        <v>95</v>
      </c>
      <c r="F50" s="156" t="s">
        <v>95</v>
      </c>
      <c r="G50" s="156">
        <v>-27.75</v>
      </c>
      <c r="H50" s="156" t="s">
        <v>95</v>
      </c>
      <c r="I50" s="156">
        <v>-27.75</v>
      </c>
      <c r="J50" s="156" t="s">
        <v>95</v>
      </c>
      <c r="K50" s="156">
        <v>-27.750789999999999</v>
      </c>
      <c r="L50" s="156" t="s">
        <v>95</v>
      </c>
      <c r="M50" s="348">
        <v>-27.752559999999999</v>
      </c>
      <c r="N50" s="156" t="s">
        <v>95</v>
      </c>
      <c r="O50" s="156" t="s">
        <v>95</v>
      </c>
      <c r="P50" s="156" t="s">
        <v>95</v>
      </c>
      <c r="Q50" s="156" t="s">
        <v>95</v>
      </c>
      <c r="R50" s="156" t="s">
        <v>95</v>
      </c>
      <c r="S50" s="156" t="s">
        <v>95</v>
      </c>
      <c r="T50" s="156" t="s">
        <v>95</v>
      </c>
      <c r="U50" s="156" t="s">
        <v>95</v>
      </c>
      <c r="V50" s="156" t="s">
        <v>95</v>
      </c>
      <c r="W50" s="156" t="s">
        <v>95</v>
      </c>
      <c r="X50" s="156" t="s">
        <v>95</v>
      </c>
      <c r="Y50" s="156" t="s">
        <v>95</v>
      </c>
      <c r="Z50" s="156" t="s">
        <v>95</v>
      </c>
      <c r="AA50" s="156" t="s">
        <v>95</v>
      </c>
      <c r="AB50" s="156" t="s">
        <v>95</v>
      </c>
      <c r="AC50" s="156" t="s">
        <v>95</v>
      </c>
      <c r="AD50" s="156" t="s">
        <v>95</v>
      </c>
      <c r="AE50" s="156" t="s">
        <v>95</v>
      </c>
      <c r="AF50" s="156" t="s">
        <v>95</v>
      </c>
      <c r="AG50" s="156" t="s">
        <v>95</v>
      </c>
      <c r="AH50" s="156" t="s">
        <v>95</v>
      </c>
      <c r="AI50" s="156" t="s">
        <v>95</v>
      </c>
      <c r="AJ50" s="156" t="s">
        <v>95</v>
      </c>
      <c r="AK50" s="156" t="s">
        <v>95</v>
      </c>
      <c r="AL50" s="156" t="s">
        <v>95</v>
      </c>
      <c r="AM50" s="156" t="s">
        <v>95</v>
      </c>
      <c r="AN50" s="156" t="s">
        <v>95</v>
      </c>
      <c r="AO50" s="156" t="s">
        <v>95</v>
      </c>
      <c r="AP50" s="156" t="s">
        <v>95</v>
      </c>
      <c r="AQ50" s="156" t="s">
        <v>95</v>
      </c>
      <c r="AR50" s="156" t="s">
        <v>95</v>
      </c>
      <c r="AS50" s="156" t="s">
        <v>95</v>
      </c>
      <c r="AT50" s="341" t="s">
        <v>95</v>
      </c>
      <c r="AU50" s="22"/>
    </row>
    <row r="51" spans="1:47" ht="14.25" customHeight="1" x14ac:dyDescent="0.4">
      <c r="A51" s="960"/>
      <c r="B51" s="26"/>
      <c r="C51" s="160" t="s">
        <v>95</v>
      </c>
      <c r="D51" s="161" t="s">
        <v>95</v>
      </c>
      <c r="E51" s="342" t="s">
        <v>223</v>
      </c>
      <c r="F51" s="342"/>
      <c r="G51" s="342"/>
      <c r="H51" s="342"/>
      <c r="I51" s="343" t="s">
        <v>95</v>
      </c>
      <c r="J51" s="343" t="s">
        <v>95</v>
      </c>
      <c r="K51" s="343" t="s">
        <v>95</v>
      </c>
      <c r="L51" s="343" t="s">
        <v>95</v>
      </c>
      <c r="M51" s="343" t="s">
        <v>95</v>
      </c>
      <c r="N51" s="343" t="s">
        <v>95</v>
      </c>
      <c r="O51" s="343" t="s">
        <v>95</v>
      </c>
      <c r="P51" s="343" t="s">
        <v>95</v>
      </c>
      <c r="Q51" s="343" t="s">
        <v>95</v>
      </c>
      <c r="R51" s="343" t="s">
        <v>95</v>
      </c>
      <c r="S51" s="343" t="s">
        <v>95</v>
      </c>
      <c r="T51" s="343" t="s">
        <v>95</v>
      </c>
      <c r="U51" s="343" t="s">
        <v>95</v>
      </c>
      <c r="V51" s="343" t="s">
        <v>95</v>
      </c>
      <c r="W51" s="343" t="s">
        <v>95</v>
      </c>
      <c r="X51" s="343" t="s">
        <v>95</v>
      </c>
      <c r="Y51" s="343" t="s">
        <v>95</v>
      </c>
      <c r="Z51" s="343" t="s">
        <v>95</v>
      </c>
      <c r="AA51" s="343" t="s">
        <v>95</v>
      </c>
      <c r="AB51" s="343" t="s">
        <v>95</v>
      </c>
      <c r="AC51" s="343" t="s">
        <v>95</v>
      </c>
      <c r="AD51" s="343" t="s">
        <v>95</v>
      </c>
      <c r="AE51" s="343" t="s">
        <v>95</v>
      </c>
      <c r="AF51" s="343" t="s">
        <v>95</v>
      </c>
      <c r="AG51" s="343" t="s">
        <v>95</v>
      </c>
      <c r="AH51" s="343" t="s">
        <v>95</v>
      </c>
      <c r="AI51" s="343" t="s">
        <v>95</v>
      </c>
      <c r="AJ51" s="343" t="s">
        <v>95</v>
      </c>
      <c r="AK51" s="343" t="s">
        <v>95</v>
      </c>
      <c r="AL51" s="343" t="s">
        <v>95</v>
      </c>
      <c r="AM51" s="343" t="s">
        <v>95</v>
      </c>
      <c r="AN51" s="343" t="s">
        <v>95</v>
      </c>
      <c r="AO51" s="343" t="s">
        <v>95</v>
      </c>
      <c r="AP51" s="343" t="s">
        <v>95</v>
      </c>
      <c r="AQ51" s="343" t="s">
        <v>95</v>
      </c>
      <c r="AR51" s="343" t="s">
        <v>95</v>
      </c>
      <c r="AS51" s="343" t="s">
        <v>95</v>
      </c>
      <c r="AT51" s="117" t="s">
        <v>95</v>
      </c>
      <c r="AU51" s="22"/>
    </row>
    <row r="52" spans="1:47" ht="14.25" customHeight="1" x14ac:dyDescent="0.4">
      <c r="A52" s="960"/>
      <c r="B52" s="26"/>
      <c r="C52" s="164" t="s">
        <v>95</v>
      </c>
      <c r="D52" s="165" t="s">
        <v>95</v>
      </c>
      <c r="E52" s="344" t="s">
        <v>238</v>
      </c>
      <c r="F52" s="344"/>
      <c r="G52" s="344"/>
      <c r="H52" s="344"/>
      <c r="I52" s="345" t="s">
        <v>95</v>
      </c>
      <c r="J52" s="345" t="s">
        <v>95</v>
      </c>
      <c r="K52" s="345" t="s">
        <v>95</v>
      </c>
      <c r="L52" s="345" t="s">
        <v>95</v>
      </c>
      <c r="M52" s="344" t="s">
        <v>95</v>
      </c>
      <c r="N52" s="346" t="s">
        <v>95</v>
      </c>
      <c r="O52" s="346" t="s">
        <v>95</v>
      </c>
      <c r="P52" s="346" t="s">
        <v>95</v>
      </c>
      <c r="Q52" s="346" t="s">
        <v>95</v>
      </c>
      <c r="R52" s="346" t="s">
        <v>95</v>
      </c>
      <c r="S52" s="346" t="s">
        <v>95</v>
      </c>
      <c r="T52" s="346" t="s">
        <v>95</v>
      </c>
      <c r="U52" s="346" t="s">
        <v>95</v>
      </c>
      <c r="V52" s="346" t="s">
        <v>95</v>
      </c>
      <c r="W52" s="346" t="s">
        <v>95</v>
      </c>
      <c r="X52" s="346" t="s">
        <v>95</v>
      </c>
      <c r="Y52" s="346" t="s">
        <v>95</v>
      </c>
      <c r="Z52" s="346" t="s">
        <v>95</v>
      </c>
      <c r="AA52" s="346" t="s">
        <v>95</v>
      </c>
      <c r="AB52" s="346" t="s">
        <v>95</v>
      </c>
      <c r="AC52" s="346" t="s">
        <v>95</v>
      </c>
      <c r="AD52" s="346" t="s">
        <v>95</v>
      </c>
      <c r="AE52" s="346" t="s">
        <v>95</v>
      </c>
      <c r="AF52" s="346" t="s">
        <v>95</v>
      </c>
      <c r="AG52" s="346" t="s">
        <v>95</v>
      </c>
      <c r="AH52" s="346" t="s">
        <v>95</v>
      </c>
      <c r="AI52" s="346" t="s">
        <v>95</v>
      </c>
      <c r="AJ52" s="346" t="s">
        <v>95</v>
      </c>
      <c r="AK52" s="346" t="s">
        <v>95</v>
      </c>
      <c r="AL52" s="346" t="s">
        <v>95</v>
      </c>
      <c r="AM52" s="346" t="s">
        <v>95</v>
      </c>
      <c r="AN52" s="346" t="s">
        <v>95</v>
      </c>
      <c r="AO52" s="346" t="s">
        <v>95</v>
      </c>
      <c r="AP52" s="346" t="s">
        <v>95</v>
      </c>
      <c r="AQ52" s="346" t="s">
        <v>95</v>
      </c>
      <c r="AR52" s="346" t="s">
        <v>95</v>
      </c>
      <c r="AS52" s="346" t="s">
        <v>95</v>
      </c>
      <c r="AT52" s="347" t="s">
        <v>95</v>
      </c>
      <c r="AU52" s="22"/>
    </row>
    <row r="53" spans="1:47" ht="14.25" customHeight="1" x14ac:dyDescent="0.35">
      <c r="A53" s="1178">
        <v>6</v>
      </c>
      <c r="B53" s="26"/>
      <c r="C53" s="1210" t="s">
        <v>99</v>
      </c>
      <c r="D53" s="1002"/>
      <c r="E53" s="156" t="s">
        <v>95</v>
      </c>
      <c r="F53" s="156" t="s">
        <v>95</v>
      </c>
      <c r="G53" s="156">
        <v>280.94</v>
      </c>
      <c r="H53" s="156" t="s">
        <v>95</v>
      </c>
      <c r="I53" s="156">
        <v>280.94</v>
      </c>
      <c r="J53" s="156" t="s">
        <v>95</v>
      </c>
      <c r="K53" s="156">
        <v>287.28393</v>
      </c>
      <c r="L53" s="156" t="s">
        <v>95</v>
      </c>
      <c r="M53" s="156">
        <v>306.30676999999997</v>
      </c>
      <c r="N53" s="156" t="s">
        <v>95</v>
      </c>
      <c r="O53" s="156" t="s">
        <v>95</v>
      </c>
      <c r="P53" s="156" t="s">
        <v>95</v>
      </c>
      <c r="Q53" s="156" t="s">
        <v>95</v>
      </c>
      <c r="R53" s="156" t="s">
        <v>95</v>
      </c>
      <c r="S53" s="156" t="s">
        <v>95</v>
      </c>
      <c r="T53" s="156" t="s">
        <v>95</v>
      </c>
      <c r="U53" s="156" t="s">
        <v>95</v>
      </c>
      <c r="V53" s="156" t="s">
        <v>95</v>
      </c>
      <c r="W53" s="156" t="s">
        <v>95</v>
      </c>
      <c r="X53" s="156" t="s">
        <v>95</v>
      </c>
      <c r="Y53" s="156" t="s">
        <v>95</v>
      </c>
      <c r="Z53" s="156" t="s">
        <v>95</v>
      </c>
      <c r="AA53" s="156" t="s">
        <v>95</v>
      </c>
      <c r="AB53" s="156" t="s">
        <v>95</v>
      </c>
      <c r="AC53" s="156" t="s">
        <v>95</v>
      </c>
      <c r="AD53" s="156" t="s">
        <v>95</v>
      </c>
      <c r="AE53" s="156" t="s">
        <v>95</v>
      </c>
      <c r="AF53" s="156" t="s">
        <v>95</v>
      </c>
      <c r="AG53" s="156" t="s">
        <v>95</v>
      </c>
      <c r="AH53" s="156" t="s">
        <v>95</v>
      </c>
      <c r="AI53" s="156" t="s">
        <v>95</v>
      </c>
      <c r="AJ53" s="156" t="s">
        <v>95</v>
      </c>
      <c r="AK53" s="156" t="s">
        <v>95</v>
      </c>
      <c r="AL53" s="156" t="s">
        <v>95</v>
      </c>
      <c r="AM53" s="156" t="s">
        <v>95</v>
      </c>
      <c r="AN53" s="156" t="s">
        <v>95</v>
      </c>
      <c r="AO53" s="156" t="s">
        <v>95</v>
      </c>
      <c r="AP53" s="156" t="s">
        <v>95</v>
      </c>
      <c r="AQ53" s="156" t="s">
        <v>95</v>
      </c>
      <c r="AR53" s="156" t="s">
        <v>95</v>
      </c>
      <c r="AS53" s="156" t="s">
        <v>95</v>
      </c>
      <c r="AT53" s="341" t="s">
        <v>95</v>
      </c>
      <c r="AU53" s="22"/>
    </row>
    <row r="54" spans="1:47" ht="14.25" customHeight="1" x14ac:dyDescent="0.35">
      <c r="A54" s="982"/>
      <c r="B54" s="26"/>
      <c r="C54" s="1209" t="s">
        <v>101</v>
      </c>
      <c r="D54" s="1002"/>
      <c r="E54" s="156" t="s">
        <v>95</v>
      </c>
      <c r="F54" s="156" t="s">
        <v>95</v>
      </c>
      <c r="G54" s="156" t="s">
        <v>95</v>
      </c>
      <c r="H54" s="156" t="s">
        <v>95</v>
      </c>
      <c r="I54" s="156" t="s">
        <v>95</v>
      </c>
      <c r="J54" s="156" t="s">
        <v>95</v>
      </c>
      <c r="K54" s="156">
        <v>317.35183000000001</v>
      </c>
      <c r="L54" s="156" t="s">
        <v>95</v>
      </c>
      <c r="M54" s="156">
        <v>317.35183000000001</v>
      </c>
      <c r="N54" s="156" t="s">
        <v>95</v>
      </c>
      <c r="O54" s="156" t="s">
        <v>95</v>
      </c>
      <c r="P54" s="156" t="s">
        <v>95</v>
      </c>
      <c r="Q54" s="156" t="s">
        <v>95</v>
      </c>
      <c r="R54" s="156" t="s">
        <v>95</v>
      </c>
      <c r="S54" s="156" t="s">
        <v>95</v>
      </c>
      <c r="T54" s="156" t="s">
        <v>95</v>
      </c>
      <c r="U54" s="156" t="s">
        <v>95</v>
      </c>
      <c r="V54" s="156" t="s">
        <v>95</v>
      </c>
      <c r="W54" s="156" t="s">
        <v>95</v>
      </c>
      <c r="X54" s="156" t="s">
        <v>95</v>
      </c>
      <c r="Y54" s="156" t="s">
        <v>95</v>
      </c>
      <c r="Z54" s="156" t="s">
        <v>95</v>
      </c>
      <c r="AA54" s="156" t="s">
        <v>95</v>
      </c>
      <c r="AB54" s="156" t="s">
        <v>95</v>
      </c>
      <c r="AC54" s="156" t="s">
        <v>95</v>
      </c>
      <c r="AD54" s="156" t="s">
        <v>95</v>
      </c>
      <c r="AE54" s="156" t="s">
        <v>95</v>
      </c>
      <c r="AF54" s="156" t="s">
        <v>95</v>
      </c>
      <c r="AG54" s="156" t="s">
        <v>95</v>
      </c>
      <c r="AH54" s="156" t="s">
        <v>95</v>
      </c>
      <c r="AI54" s="156" t="s">
        <v>95</v>
      </c>
      <c r="AJ54" s="156" t="s">
        <v>95</v>
      </c>
      <c r="AK54" s="156" t="s">
        <v>95</v>
      </c>
      <c r="AL54" s="156" t="s">
        <v>95</v>
      </c>
      <c r="AM54" s="156" t="s">
        <v>95</v>
      </c>
      <c r="AN54" s="156" t="s">
        <v>95</v>
      </c>
      <c r="AO54" s="156" t="s">
        <v>95</v>
      </c>
      <c r="AP54" s="156" t="s">
        <v>95</v>
      </c>
      <c r="AQ54" s="156" t="s">
        <v>95</v>
      </c>
      <c r="AR54" s="156" t="s">
        <v>95</v>
      </c>
      <c r="AS54" s="156" t="s">
        <v>95</v>
      </c>
      <c r="AT54" s="341" t="s">
        <v>95</v>
      </c>
      <c r="AU54" s="22"/>
    </row>
    <row r="55" spans="1:47" ht="14.25" customHeight="1" x14ac:dyDescent="0.35">
      <c r="A55" s="982"/>
      <c r="B55" s="26"/>
      <c r="C55" s="1209" t="s">
        <v>221</v>
      </c>
      <c r="D55" s="1002"/>
      <c r="E55" s="156" t="s">
        <v>95</v>
      </c>
      <c r="F55" s="156" t="s">
        <v>95</v>
      </c>
      <c r="G55" s="156">
        <v>77</v>
      </c>
      <c r="H55" s="156" t="s">
        <v>95</v>
      </c>
      <c r="I55" s="156">
        <v>77</v>
      </c>
      <c r="J55" s="156" t="s">
        <v>95</v>
      </c>
      <c r="K55" s="156">
        <v>77</v>
      </c>
      <c r="L55" s="156" t="s">
        <v>95</v>
      </c>
      <c r="M55" s="156">
        <v>77</v>
      </c>
      <c r="N55" s="156" t="s">
        <v>95</v>
      </c>
      <c r="O55" s="156" t="s">
        <v>95</v>
      </c>
      <c r="P55" s="156" t="s">
        <v>95</v>
      </c>
      <c r="Q55" s="156" t="s">
        <v>95</v>
      </c>
      <c r="R55" s="156" t="s">
        <v>95</v>
      </c>
      <c r="S55" s="156" t="s">
        <v>95</v>
      </c>
      <c r="T55" s="156" t="s">
        <v>95</v>
      </c>
      <c r="U55" s="156" t="s">
        <v>95</v>
      </c>
      <c r="V55" s="156" t="s">
        <v>95</v>
      </c>
      <c r="W55" s="156" t="s">
        <v>95</v>
      </c>
      <c r="X55" s="156" t="s">
        <v>95</v>
      </c>
      <c r="Y55" s="156" t="s">
        <v>95</v>
      </c>
      <c r="Z55" s="156" t="s">
        <v>95</v>
      </c>
      <c r="AA55" s="156" t="s">
        <v>95</v>
      </c>
      <c r="AB55" s="156" t="s">
        <v>95</v>
      </c>
      <c r="AC55" s="156" t="s">
        <v>95</v>
      </c>
      <c r="AD55" s="156" t="s">
        <v>95</v>
      </c>
      <c r="AE55" s="156" t="s">
        <v>95</v>
      </c>
      <c r="AF55" s="156" t="s">
        <v>95</v>
      </c>
      <c r="AG55" s="156" t="s">
        <v>95</v>
      </c>
      <c r="AH55" s="156" t="s">
        <v>95</v>
      </c>
      <c r="AI55" s="156" t="s">
        <v>95</v>
      </c>
      <c r="AJ55" s="156" t="s">
        <v>95</v>
      </c>
      <c r="AK55" s="156" t="s">
        <v>95</v>
      </c>
      <c r="AL55" s="156" t="s">
        <v>95</v>
      </c>
      <c r="AM55" s="156" t="s">
        <v>95</v>
      </c>
      <c r="AN55" s="156" t="s">
        <v>95</v>
      </c>
      <c r="AO55" s="156" t="s">
        <v>95</v>
      </c>
      <c r="AP55" s="156" t="s">
        <v>95</v>
      </c>
      <c r="AQ55" s="156" t="s">
        <v>95</v>
      </c>
      <c r="AR55" s="156" t="s">
        <v>95</v>
      </c>
      <c r="AS55" s="156" t="s">
        <v>95</v>
      </c>
      <c r="AT55" s="341" t="s">
        <v>95</v>
      </c>
      <c r="AU55" s="22"/>
    </row>
    <row r="56" spans="1:47" ht="14.25" customHeight="1" x14ac:dyDescent="0.35">
      <c r="A56" s="982"/>
      <c r="B56" s="26"/>
      <c r="C56" s="1211" t="s">
        <v>146</v>
      </c>
      <c r="D56" s="1002"/>
      <c r="E56" s="156"/>
      <c r="F56" s="156"/>
      <c r="G56" s="156">
        <v>77</v>
      </c>
      <c r="H56" s="156" t="s">
        <v>95</v>
      </c>
      <c r="I56" s="156">
        <v>77</v>
      </c>
      <c r="J56" s="156" t="s">
        <v>95</v>
      </c>
      <c r="K56" s="156">
        <v>77</v>
      </c>
      <c r="L56" s="156" t="s">
        <v>95</v>
      </c>
      <c r="M56" s="156">
        <v>77</v>
      </c>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341"/>
      <c r="AU56" s="22"/>
    </row>
    <row r="57" spans="1:47" ht="14.25" customHeight="1" x14ac:dyDescent="0.35">
      <c r="A57" s="982"/>
      <c r="B57" s="944"/>
      <c r="C57" s="1209" t="s">
        <v>74</v>
      </c>
      <c r="D57" s="1002"/>
      <c r="E57" s="156" t="s">
        <v>95</v>
      </c>
      <c r="F57" s="156" t="s">
        <v>95</v>
      </c>
      <c r="G57" s="156">
        <v>137.87</v>
      </c>
      <c r="H57" s="156" t="s">
        <v>95</v>
      </c>
      <c r="I57" s="156">
        <v>137.87</v>
      </c>
      <c r="J57" s="156" t="s">
        <v>95</v>
      </c>
      <c r="K57" s="156">
        <v>137.86667</v>
      </c>
      <c r="L57" s="156" t="s">
        <v>95</v>
      </c>
      <c r="M57" s="156">
        <v>137.86667</v>
      </c>
      <c r="N57" s="156" t="s">
        <v>95</v>
      </c>
      <c r="O57" s="156" t="s">
        <v>95</v>
      </c>
      <c r="P57" s="156" t="s">
        <v>95</v>
      </c>
      <c r="Q57" s="156" t="s">
        <v>95</v>
      </c>
      <c r="R57" s="156" t="s">
        <v>95</v>
      </c>
      <c r="S57" s="156" t="s">
        <v>95</v>
      </c>
      <c r="T57" s="156" t="s">
        <v>95</v>
      </c>
      <c r="U57" s="156" t="s">
        <v>95</v>
      </c>
      <c r="V57" s="156" t="s">
        <v>95</v>
      </c>
      <c r="W57" s="156" t="s">
        <v>95</v>
      </c>
      <c r="X57" s="156" t="s">
        <v>95</v>
      </c>
      <c r="Y57" s="156" t="s">
        <v>95</v>
      </c>
      <c r="Z57" s="156" t="s">
        <v>95</v>
      </c>
      <c r="AA57" s="156" t="s">
        <v>95</v>
      </c>
      <c r="AB57" s="156" t="s">
        <v>95</v>
      </c>
      <c r="AC57" s="156" t="s">
        <v>95</v>
      </c>
      <c r="AD57" s="156" t="s">
        <v>95</v>
      </c>
      <c r="AE57" s="156" t="s">
        <v>95</v>
      </c>
      <c r="AF57" s="156" t="s">
        <v>95</v>
      </c>
      <c r="AG57" s="156" t="s">
        <v>95</v>
      </c>
      <c r="AH57" s="156" t="s">
        <v>95</v>
      </c>
      <c r="AI57" s="156" t="s">
        <v>95</v>
      </c>
      <c r="AJ57" s="156" t="s">
        <v>95</v>
      </c>
      <c r="AK57" s="156" t="s">
        <v>95</v>
      </c>
      <c r="AL57" s="156" t="s">
        <v>95</v>
      </c>
      <c r="AM57" s="156" t="s">
        <v>95</v>
      </c>
      <c r="AN57" s="156" t="s">
        <v>95</v>
      </c>
      <c r="AO57" s="156" t="s">
        <v>95</v>
      </c>
      <c r="AP57" s="156" t="s">
        <v>95</v>
      </c>
      <c r="AQ57" s="156" t="s">
        <v>95</v>
      </c>
      <c r="AR57" s="156" t="s">
        <v>95</v>
      </c>
      <c r="AS57" s="156" t="s">
        <v>95</v>
      </c>
      <c r="AT57" s="341" t="s">
        <v>95</v>
      </c>
      <c r="AU57" s="22"/>
    </row>
    <row r="58" spans="1:47" ht="14.25" customHeight="1" x14ac:dyDescent="0.35">
      <c r="A58" s="982"/>
      <c r="B58" s="944"/>
      <c r="C58" s="1209" t="s">
        <v>80</v>
      </c>
      <c r="D58" s="1002"/>
      <c r="E58" s="156" t="s">
        <v>95</v>
      </c>
      <c r="F58" s="156" t="s">
        <v>95</v>
      </c>
      <c r="G58" s="156" t="s">
        <v>95</v>
      </c>
      <c r="H58" s="156" t="s">
        <v>95</v>
      </c>
      <c r="I58" s="156" t="s">
        <v>95</v>
      </c>
      <c r="J58" s="156" t="s">
        <v>95</v>
      </c>
      <c r="K58" s="156" t="s">
        <v>95</v>
      </c>
      <c r="L58" s="156" t="s">
        <v>95</v>
      </c>
      <c r="M58" s="156" t="s">
        <v>95</v>
      </c>
      <c r="N58" s="156" t="s">
        <v>95</v>
      </c>
      <c r="O58" s="156" t="s">
        <v>95</v>
      </c>
      <c r="P58" s="156" t="s">
        <v>95</v>
      </c>
      <c r="Q58" s="156" t="s">
        <v>95</v>
      </c>
      <c r="R58" s="156" t="s">
        <v>95</v>
      </c>
      <c r="S58" s="156" t="s">
        <v>95</v>
      </c>
      <c r="T58" s="156" t="s">
        <v>95</v>
      </c>
      <c r="U58" s="156" t="s">
        <v>95</v>
      </c>
      <c r="V58" s="156" t="s">
        <v>95</v>
      </c>
      <c r="W58" s="156" t="s">
        <v>95</v>
      </c>
      <c r="X58" s="156" t="s">
        <v>95</v>
      </c>
      <c r="Y58" s="156" t="s">
        <v>95</v>
      </c>
      <c r="Z58" s="156" t="s">
        <v>95</v>
      </c>
      <c r="AA58" s="156" t="s">
        <v>95</v>
      </c>
      <c r="AB58" s="156" t="s">
        <v>95</v>
      </c>
      <c r="AC58" s="156" t="s">
        <v>95</v>
      </c>
      <c r="AD58" s="156" t="s">
        <v>95</v>
      </c>
      <c r="AE58" s="156" t="s">
        <v>95</v>
      </c>
      <c r="AF58" s="156" t="s">
        <v>95</v>
      </c>
      <c r="AG58" s="156" t="s">
        <v>95</v>
      </c>
      <c r="AH58" s="156" t="s">
        <v>95</v>
      </c>
      <c r="AI58" s="156" t="s">
        <v>95</v>
      </c>
      <c r="AJ58" s="156" t="s">
        <v>95</v>
      </c>
      <c r="AK58" s="156" t="s">
        <v>95</v>
      </c>
      <c r="AL58" s="156" t="s">
        <v>95</v>
      </c>
      <c r="AM58" s="156" t="s">
        <v>95</v>
      </c>
      <c r="AN58" s="156" t="s">
        <v>95</v>
      </c>
      <c r="AO58" s="156" t="s">
        <v>95</v>
      </c>
      <c r="AP58" s="156" t="s">
        <v>95</v>
      </c>
      <c r="AQ58" s="156" t="s">
        <v>95</v>
      </c>
      <c r="AR58" s="156" t="s">
        <v>95</v>
      </c>
      <c r="AS58" s="156" t="s">
        <v>95</v>
      </c>
      <c r="AT58" s="341" t="s">
        <v>95</v>
      </c>
      <c r="AU58" s="22"/>
    </row>
    <row r="59" spans="1:47" ht="14.25" customHeight="1" x14ac:dyDescent="0.35">
      <c r="A59" s="982"/>
      <c r="B59" s="944"/>
      <c r="C59" s="1209" t="s">
        <v>57</v>
      </c>
      <c r="D59" s="1002"/>
      <c r="E59" s="156" t="s">
        <v>95</v>
      </c>
      <c r="F59" s="156" t="s">
        <v>95</v>
      </c>
      <c r="G59" s="156">
        <v>0</v>
      </c>
      <c r="H59" s="156" t="s">
        <v>95</v>
      </c>
      <c r="I59" s="156" t="s">
        <v>95</v>
      </c>
      <c r="J59" s="156" t="s">
        <v>95</v>
      </c>
      <c r="K59" s="156">
        <v>0</v>
      </c>
      <c r="L59" s="156" t="s">
        <v>95</v>
      </c>
      <c r="M59" s="156">
        <v>0</v>
      </c>
      <c r="N59" s="156" t="s">
        <v>95</v>
      </c>
      <c r="O59" s="156" t="s">
        <v>95</v>
      </c>
      <c r="P59" s="156" t="s">
        <v>95</v>
      </c>
      <c r="Q59" s="156" t="s">
        <v>95</v>
      </c>
      <c r="R59" s="156" t="s">
        <v>95</v>
      </c>
      <c r="S59" s="156" t="s">
        <v>95</v>
      </c>
      <c r="T59" s="156" t="s">
        <v>95</v>
      </c>
      <c r="U59" s="156" t="s">
        <v>95</v>
      </c>
      <c r="V59" s="156" t="s">
        <v>95</v>
      </c>
      <c r="W59" s="156" t="s">
        <v>95</v>
      </c>
      <c r="X59" s="156" t="s">
        <v>95</v>
      </c>
      <c r="Y59" s="156" t="s">
        <v>95</v>
      </c>
      <c r="Z59" s="156" t="s">
        <v>95</v>
      </c>
      <c r="AA59" s="156" t="s">
        <v>95</v>
      </c>
      <c r="AB59" s="156" t="s">
        <v>95</v>
      </c>
      <c r="AC59" s="156" t="s">
        <v>95</v>
      </c>
      <c r="AD59" s="156" t="s">
        <v>95</v>
      </c>
      <c r="AE59" s="156" t="s">
        <v>95</v>
      </c>
      <c r="AF59" s="156" t="s">
        <v>95</v>
      </c>
      <c r="AG59" s="156" t="s">
        <v>95</v>
      </c>
      <c r="AH59" s="156" t="s">
        <v>95</v>
      </c>
      <c r="AI59" s="156" t="s">
        <v>95</v>
      </c>
      <c r="AJ59" s="156" t="s">
        <v>95</v>
      </c>
      <c r="AK59" s="156" t="s">
        <v>95</v>
      </c>
      <c r="AL59" s="156" t="s">
        <v>95</v>
      </c>
      <c r="AM59" s="156" t="s">
        <v>95</v>
      </c>
      <c r="AN59" s="156" t="s">
        <v>95</v>
      </c>
      <c r="AO59" s="156" t="s">
        <v>95</v>
      </c>
      <c r="AP59" s="156" t="s">
        <v>95</v>
      </c>
      <c r="AQ59" s="156" t="s">
        <v>95</v>
      </c>
      <c r="AR59" s="156" t="s">
        <v>95</v>
      </c>
      <c r="AS59" s="156" t="s">
        <v>95</v>
      </c>
      <c r="AT59" s="341" t="s">
        <v>95</v>
      </c>
      <c r="AU59" s="22"/>
    </row>
    <row r="60" spans="1:47" ht="14.25" customHeight="1" x14ac:dyDescent="0.35">
      <c r="A60" s="960"/>
      <c r="B60" s="944"/>
      <c r="C60" s="349" t="s">
        <v>95</v>
      </c>
      <c r="D60" s="156" t="s">
        <v>95</v>
      </c>
      <c r="E60" s="156" t="s">
        <v>95</v>
      </c>
      <c r="F60" s="156" t="s">
        <v>95</v>
      </c>
      <c r="G60" s="156" t="s">
        <v>95</v>
      </c>
      <c r="H60" s="156" t="s">
        <v>95</v>
      </c>
      <c r="I60" s="156" t="s">
        <v>95</v>
      </c>
      <c r="J60" s="156" t="s">
        <v>95</v>
      </c>
      <c r="K60" s="156" t="s">
        <v>95</v>
      </c>
      <c r="L60" s="156" t="s">
        <v>95</v>
      </c>
      <c r="M60" s="156" t="s">
        <v>95</v>
      </c>
      <c r="N60" s="156" t="s">
        <v>95</v>
      </c>
      <c r="O60" s="156" t="s">
        <v>95</v>
      </c>
      <c r="P60" s="156" t="s">
        <v>95</v>
      </c>
      <c r="Q60" s="156" t="s">
        <v>95</v>
      </c>
      <c r="R60" s="156" t="s">
        <v>95</v>
      </c>
      <c r="S60" s="156" t="s">
        <v>95</v>
      </c>
      <c r="T60" s="156" t="s">
        <v>95</v>
      </c>
      <c r="U60" s="156" t="s">
        <v>95</v>
      </c>
      <c r="V60" s="156" t="s">
        <v>95</v>
      </c>
      <c r="W60" s="156" t="s">
        <v>95</v>
      </c>
      <c r="X60" s="156" t="s">
        <v>95</v>
      </c>
      <c r="Y60" s="156" t="s">
        <v>95</v>
      </c>
      <c r="Z60" s="156" t="s">
        <v>95</v>
      </c>
      <c r="AA60" s="156" t="s">
        <v>95</v>
      </c>
      <c r="AB60" s="156" t="s">
        <v>95</v>
      </c>
      <c r="AC60" s="156" t="s">
        <v>95</v>
      </c>
      <c r="AD60" s="156" t="s">
        <v>95</v>
      </c>
      <c r="AE60" s="156" t="s">
        <v>95</v>
      </c>
      <c r="AF60" s="156" t="s">
        <v>95</v>
      </c>
      <c r="AG60" s="156" t="s">
        <v>95</v>
      </c>
      <c r="AH60" s="156" t="s">
        <v>95</v>
      </c>
      <c r="AI60" s="156" t="s">
        <v>95</v>
      </c>
      <c r="AJ60" s="156" t="s">
        <v>95</v>
      </c>
      <c r="AK60" s="156" t="s">
        <v>95</v>
      </c>
      <c r="AL60" s="156" t="s">
        <v>95</v>
      </c>
      <c r="AM60" s="156" t="s">
        <v>95</v>
      </c>
      <c r="AN60" s="156" t="s">
        <v>95</v>
      </c>
      <c r="AO60" s="156" t="s">
        <v>95</v>
      </c>
      <c r="AP60" s="156" t="s">
        <v>95</v>
      </c>
      <c r="AQ60" s="156" t="s">
        <v>95</v>
      </c>
      <c r="AR60" s="156" t="s">
        <v>95</v>
      </c>
      <c r="AS60" s="156" t="s">
        <v>95</v>
      </c>
      <c r="AT60" s="341" t="s">
        <v>95</v>
      </c>
      <c r="AU60" s="22"/>
    </row>
    <row r="61" spans="1:47" ht="14.25" customHeight="1" x14ac:dyDescent="0.35">
      <c r="A61" s="960"/>
      <c r="B61" s="26"/>
      <c r="C61" s="160" t="s">
        <v>95</v>
      </c>
      <c r="D61" s="161" t="s">
        <v>95</v>
      </c>
      <c r="E61" s="162" t="s">
        <v>95</v>
      </c>
      <c r="F61" s="162" t="s">
        <v>95</v>
      </c>
      <c r="G61" s="162" t="s">
        <v>95</v>
      </c>
      <c r="H61" s="162" t="s">
        <v>95</v>
      </c>
      <c r="I61" s="162" t="s">
        <v>95</v>
      </c>
      <c r="J61" s="162" t="s">
        <v>95</v>
      </c>
      <c r="K61" s="162" t="s">
        <v>95</v>
      </c>
      <c r="L61" s="162" t="s">
        <v>95</v>
      </c>
      <c r="M61" s="162" t="s">
        <v>95</v>
      </c>
      <c r="N61" s="162" t="s">
        <v>95</v>
      </c>
      <c r="O61" s="162" t="s">
        <v>95</v>
      </c>
      <c r="P61" s="162" t="s">
        <v>95</v>
      </c>
      <c r="Q61" s="162" t="s">
        <v>95</v>
      </c>
      <c r="R61" s="162" t="s">
        <v>95</v>
      </c>
      <c r="S61" s="162" t="s">
        <v>95</v>
      </c>
      <c r="T61" s="162" t="s">
        <v>95</v>
      </c>
      <c r="U61" s="162" t="s">
        <v>95</v>
      </c>
      <c r="V61" s="162" t="s">
        <v>95</v>
      </c>
      <c r="W61" s="162" t="s">
        <v>95</v>
      </c>
      <c r="X61" s="162" t="s">
        <v>95</v>
      </c>
      <c r="Y61" s="162" t="s">
        <v>95</v>
      </c>
      <c r="Z61" s="162" t="s">
        <v>95</v>
      </c>
      <c r="AA61" s="162" t="s">
        <v>95</v>
      </c>
      <c r="AB61" s="162" t="s">
        <v>95</v>
      </c>
      <c r="AC61" s="162" t="s">
        <v>95</v>
      </c>
      <c r="AD61" s="162" t="s">
        <v>95</v>
      </c>
      <c r="AE61" s="162" t="s">
        <v>95</v>
      </c>
      <c r="AF61" s="162" t="s">
        <v>95</v>
      </c>
      <c r="AG61" s="162" t="s">
        <v>95</v>
      </c>
      <c r="AH61" s="162" t="s">
        <v>95</v>
      </c>
      <c r="AI61" s="162" t="s">
        <v>95</v>
      </c>
      <c r="AJ61" s="162" t="s">
        <v>95</v>
      </c>
      <c r="AK61" s="162" t="s">
        <v>95</v>
      </c>
      <c r="AL61" s="162" t="s">
        <v>95</v>
      </c>
      <c r="AM61" s="162" t="s">
        <v>95</v>
      </c>
      <c r="AN61" s="162" t="s">
        <v>95</v>
      </c>
      <c r="AO61" s="162" t="s">
        <v>95</v>
      </c>
      <c r="AP61" s="162" t="s">
        <v>95</v>
      </c>
      <c r="AQ61" s="162" t="s">
        <v>95</v>
      </c>
      <c r="AR61" s="162" t="s">
        <v>95</v>
      </c>
      <c r="AS61" s="162" t="s">
        <v>95</v>
      </c>
      <c r="AT61" s="350" t="s">
        <v>95</v>
      </c>
      <c r="AU61" s="22"/>
    </row>
    <row r="62" spans="1:47" ht="14.25" customHeight="1" x14ac:dyDescent="0.4">
      <c r="A62" s="960"/>
      <c r="B62" s="26"/>
      <c r="C62" s="160" t="s">
        <v>95</v>
      </c>
      <c r="D62" s="161" t="s">
        <v>95</v>
      </c>
      <c r="E62" s="342" t="s">
        <v>225</v>
      </c>
      <c r="F62" s="342"/>
      <c r="G62" s="342"/>
      <c r="H62" s="342"/>
      <c r="I62" s="343" t="s">
        <v>95</v>
      </c>
      <c r="J62" s="343" t="s">
        <v>95</v>
      </c>
      <c r="K62" s="343" t="s">
        <v>95</v>
      </c>
      <c r="L62" s="343" t="s">
        <v>95</v>
      </c>
      <c r="M62" s="343" t="s">
        <v>95</v>
      </c>
      <c r="N62" s="343" t="s">
        <v>95</v>
      </c>
      <c r="O62" s="343" t="s">
        <v>95</v>
      </c>
      <c r="P62" s="343" t="s">
        <v>95</v>
      </c>
      <c r="Q62" s="343" t="s">
        <v>95</v>
      </c>
      <c r="R62" s="343" t="s">
        <v>95</v>
      </c>
      <c r="S62" s="343" t="s">
        <v>95</v>
      </c>
      <c r="T62" s="343" t="s">
        <v>95</v>
      </c>
      <c r="U62" s="343" t="s">
        <v>95</v>
      </c>
      <c r="V62" s="343" t="s">
        <v>95</v>
      </c>
      <c r="W62" s="343" t="s">
        <v>95</v>
      </c>
      <c r="X62" s="343" t="s">
        <v>95</v>
      </c>
      <c r="Y62" s="343" t="s">
        <v>95</v>
      </c>
      <c r="Z62" s="343" t="s">
        <v>95</v>
      </c>
      <c r="AA62" s="343" t="s">
        <v>95</v>
      </c>
      <c r="AB62" s="343" t="s">
        <v>95</v>
      </c>
      <c r="AC62" s="343" t="s">
        <v>95</v>
      </c>
      <c r="AD62" s="343" t="s">
        <v>95</v>
      </c>
      <c r="AE62" s="343" t="s">
        <v>95</v>
      </c>
      <c r="AF62" s="343" t="s">
        <v>95</v>
      </c>
      <c r="AG62" s="343" t="s">
        <v>95</v>
      </c>
      <c r="AH62" s="343" t="s">
        <v>95</v>
      </c>
      <c r="AI62" s="343" t="s">
        <v>95</v>
      </c>
      <c r="AJ62" s="343" t="s">
        <v>95</v>
      </c>
      <c r="AK62" s="343" t="s">
        <v>95</v>
      </c>
      <c r="AL62" s="343" t="s">
        <v>95</v>
      </c>
      <c r="AM62" s="343" t="s">
        <v>95</v>
      </c>
      <c r="AN62" s="343" t="s">
        <v>95</v>
      </c>
      <c r="AO62" s="343" t="s">
        <v>95</v>
      </c>
      <c r="AP62" s="343" t="s">
        <v>95</v>
      </c>
      <c r="AQ62" s="343" t="s">
        <v>95</v>
      </c>
      <c r="AR62" s="343" t="s">
        <v>95</v>
      </c>
      <c r="AS62" s="343" t="s">
        <v>95</v>
      </c>
      <c r="AT62" s="117" t="s">
        <v>95</v>
      </c>
      <c r="AU62" s="22"/>
    </row>
    <row r="63" spans="1:47" ht="14.25" customHeight="1" x14ac:dyDescent="0.4">
      <c r="A63" s="960"/>
      <c r="B63" s="26"/>
      <c r="C63" s="164" t="s">
        <v>95</v>
      </c>
      <c r="D63" s="165" t="s">
        <v>95</v>
      </c>
      <c r="E63" s="344" t="s">
        <v>238</v>
      </c>
      <c r="F63" s="344"/>
      <c r="G63" s="344"/>
      <c r="H63" s="344"/>
      <c r="I63" s="345" t="s">
        <v>95</v>
      </c>
      <c r="J63" s="345" t="s">
        <v>95</v>
      </c>
      <c r="K63" s="345" t="s">
        <v>95</v>
      </c>
      <c r="L63" s="345" t="s">
        <v>95</v>
      </c>
      <c r="M63" s="344" t="s">
        <v>95</v>
      </c>
      <c r="N63" s="346" t="s">
        <v>95</v>
      </c>
      <c r="O63" s="346" t="s">
        <v>95</v>
      </c>
      <c r="P63" s="346" t="s">
        <v>95</v>
      </c>
      <c r="Q63" s="346" t="s">
        <v>95</v>
      </c>
      <c r="R63" s="346" t="s">
        <v>95</v>
      </c>
      <c r="S63" s="346" t="s">
        <v>95</v>
      </c>
      <c r="T63" s="346" t="s">
        <v>95</v>
      </c>
      <c r="U63" s="346" t="s">
        <v>95</v>
      </c>
      <c r="V63" s="346" t="s">
        <v>95</v>
      </c>
      <c r="W63" s="346" t="s">
        <v>95</v>
      </c>
      <c r="X63" s="346" t="s">
        <v>95</v>
      </c>
      <c r="Y63" s="346" t="s">
        <v>95</v>
      </c>
      <c r="Z63" s="346" t="s">
        <v>95</v>
      </c>
      <c r="AA63" s="346" t="s">
        <v>95</v>
      </c>
      <c r="AB63" s="346" t="s">
        <v>95</v>
      </c>
      <c r="AC63" s="346" t="s">
        <v>95</v>
      </c>
      <c r="AD63" s="346" t="s">
        <v>95</v>
      </c>
      <c r="AE63" s="346" t="s">
        <v>95</v>
      </c>
      <c r="AF63" s="346" t="s">
        <v>95</v>
      </c>
      <c r="AG63" s="346" t="s">
        <v>95</v>
      </c>
      <c r="AH63" s="346" t="s">
        <v>95</v>
      </c>
      <c r="AI63" s="346" t="s">
        <v>95</v>
      </c>
      <c r="AJ63" s="346" t="s">
        <v>95</v>
      </c>
      <c r="AK63" s="346" t="s">
        <v>95</v>
      </c>
      <c r="AL63" s="346" t="s">
        <v>95</v>
      </c>
      <c r="AM63" s="346" t="s">
        <v>95</v>
      </c>
      <c r="AN63" s="346" t="s">
        <v>95</v>
      </c>
      <c r="AO63" s="346" t="s">
        <v>95</v>
      </c>
      <c r="AP63" s="346" t="s">
        <v>95</v>
      </c>
      <c r="AQ63" s="346" t="s">
        <v>95</v>
      </c>
      <c r="AR63" s="346" t="s">
        <v>95</v>
      </c>
      <c r="AS63" s="346" t="s">
        <v>95</v>
      </c>
      <c r="AT63" s="347" t="s">
        <v>95</v>
      </c>
      <c r="AU63" s="22"/>
    </row>
    <row r="64" spans="1:47" ht="14.25" customHeight="1" x14ac:dyDescent="0.35">
      <c r="A64" s="1178">
        <v>6</v>
      </c>
      <c r="B64" s="26"/>
      <c r="C64" s="1210" t="s">
        <v>99</v>
      </c>
      <c r="D64" s="1002"/>
      <c r="E64" s="156" t="s">
        <v>95</v>
      </c>
      <c r="F64" s="156" t="s">
        <v>95</v>
      </c>
      <c r="G64" s="156">
        <v>275.05</v>
      </c>
      <c r="H64" s="156" t="s">
        <v>95</v>
      </c>
      <c r="I64" s="156">
        <v>283.62</v>
      </c>
      <c r="J64" s="156" t="s">
        <v>95</v>
      </c>
      <c r="K64" s="156">
        <v>368.09804000000003</v>
      </c>
      <c r="L64" s="156" t="s">
        <v>95</v>
      </c>
      <c r="M64" s="156">
        <v>391.72035</v>
      </c>
      <c r="N64" s="156" t="s">
        <v>95</v>
      </c>
      <c r="O64" s="156" t="s">
        <v>95</v>
      </c>
      <c r="P64" s="156" t="s">
        <v>95</v>
      </c>
      <c r="Q64" s="156" t="s">
        <v>95</v>
      </c>
      <c r="R64" s="156" t="s">
        <v>95</v>
      </c>
      <c r="S64" s="156" t="s">
        <v>95</v>
      </c>
      <c r="T64" s="156" t="s">
        <v>95</v>
      </c>
      <c r="U64" s="156" t="s">
        <v>95</v>
      </c>
      <c r="V64" s="156" t="s">
        <v>95</v>
      </c>
      <c r="W64" s="156" t="s">
        <v>95</v>
      </c>
      <c r="X64" s="156" t="s">
        <v>95</v>
      </c>
      <c r="Y64" s="156" t="s">
        <v>95</v>
      </c>
      <c r="Z64" s="156" t="s">
        <v>95</v>
      </c>
      <c r="AA64" s="156" t="s">
        <v>95</v>
      </c>
      <c r="AB64" s="156" t="s">
        <v>95</v>
      </c>
      <c r="AC64" s="156" t="s">
        <v>95</v>
      </c>
      <c r="AD64" s="156" t="s">
        <v>95</v>
      </c>
      <c r="AE64" s="156" t="s">
        <v>95</v>
      </c>
      <c r="AF64" s="156" t="s">
        <v>95</v>
      </c>
      <c r="AG64" s="156" t="s">
        <v>95</v>
      </c>
      <c r="AH64" s="156" t="s">
        <v>95</v>
      </c>
      <c r="AI64" s="156" t="s">
        <v>95</v>
      </c>
      <c r="AJ64" s="156" t="s">
        <v>95</v>
      </c>
      <c r="AK64" s="156" t="s">
        <v>95</v>
      </c>
      <c r="AL64" s="156" t="s">
        <v>95</v>
      </c>
      <c r="AM64" s="156" t="s">
        <v>95</v>
      </c>
      <c r="AN64" s="156" t="s">
        <v>95</v>
      </c>
      <c r="AO64" s="156" t="s">
        <v>95</v>
      </c>
      <c r="AP64" s="156" t="s">
        <v>95</v>
      </c>
      <c r="AQ64" s="156" t="s">
        <v>95</v>
      </c>
      <c r="AR64" s="156" t="s">
        <v>95</v>
      </c>
      <c r="AS64" s="156" t="s">
        <v>95</v>
      </c>
      <c r="AT64" s="341" t="s">
        <v>95</v>
      </c>
      <c r="AU64" s="22"/>
    </row>
    <row r="65" spans="1:47" ht="14.25" customHeight="1" x14ac:dyDescent="0.35">
      <c r="A65" s="982"/>
      <c r="B65" s="26"/>
      <c r="C65" s="1209" t="s">
        <v>101</v>
      </c>
      <c r="D65" s="1002"/>
      <c r="E65" s="156" t="s">
        <v>95</v>
      </c>
      <c r="F65" s="156" t="s">
        <v>95</v>
      </c>
      <c r="G65" s="156">
        <v>317.35000000000002</v>
      </c>
      <c r="H65" s="156" t="s">
        <v>95</v>
      </c>
      <c r="I65" s="156">
        <v>317.35000000000002</v>
      </c>
      <c r="J65" s="156" t="s">
        <v>95</v>
      </c>
      <c r="K65" s="156">
        <v>279.26961</v>
      </c>
      <c r="L65" s="156" t="s">
        <v>95</v>
      </c>
      <c r="M65" s="156">
        <v>279.26961</v>
      </c>
      <c r="N65" s="156" t="s">
        <v>95</v>
      </c>
      <c r="O65" s="156" t="s">
        <v>95</v>
      </c>
      <c r="P65" s="156" t="s">
        <v>95</v>
      </c>
      <c r="Q65" s="156" t="s">
        <v>95</v>
      </c>
      <c r="R65" s="156" t="s">
        <v>95</v>
      </c>
      <c r="S65" s="156" t="s">
        <v>95</v>
      </c>
      <c r="T65" s="156" t="s">
        <v>95</v>
      </c>
      <c r="U65" s="156" t="s">
        <v>95</v>
      </c>
      <c r="V65" s="156" t="s">
        <v>95</v>
      </c>
      <c r="W65" s="156" t="s">
        <v>95</v>
      </c>
      <c r="X65" s="156" t="s">
        <v>95</v>
      </c>
      <c r="Y65" s="156" t="s">
        <v>95</v>
      </c>
      <c r="Z65" s="156" t="s">
        <v>95</v>
      </c>
      <c r="AA65" s="156" t="s">
        <v>95</v>
      </c>
      <c r="AB65" s="156" t="s">
        <v>95</v>
      </c>
      <c r="AC65" s="156" t="s">
        <v>95</v>
      </c>
      <c r="AD65" s="156" t="s">
        <v>95</v>
      </c>
      <c r="AE65" s="156" t="s">
        <v>95</v>
      </c>
      <c r="AF65" s="156" t="s">
        <v>95</v>
      </c>
      <c r="AG65" s="156" t="s">
        <v>95</v>
      </c>
      <c r="AH65" s="156" t="s">
        <v>95</v>
      </c>
      <c r="AI65" s="156" t="s">
        <v>95</v>
      </c>
      <c r="AJ65" s="156" t="s">
        <v>95</v>
      </c>
      <c r="AK65" s="156" t="s">
        <v>95</v>
      </c>
      <c r="AL65" s="156" t="s">
        <v>95</v>
      </c>
      <c r="AM65" s="156" t="s">
        <v>95</v>
      </c>
      <c r="AN65" s="156" t="s">
        <v>95</v>
      </c>
      <c r="AO65" s="156" t="s">
        <v>95</v>
      </c>
      <c r="AP65" s="156" t="s">
        <v>95</v>
      </c>
      <c r="AQ65" s="156" t="s">
        <v>95</v>
      </c>
      <c r="AR65" s="156" t="s">
        <v>95</v>
      </c>
      <c r="AS65" s="156" t="s">
        <v>95</v>
      </c>
      <c r="AT65" s="341" t="s">
        <v>95</v>
      </c>
      <c r="AU65" s="22"/>
    </row>
    <row r="66" spans="1:47" ht="14.25" customHeight="1" x14ac:dyDescent="0.35">
      <c r="A66" s="982"/>
      <c r="B66" s="26"/>
      <c r="C66" s="1209" t="s">
        <v>221</v>
      </c>
      <c r="D66" s="1002"/>
      <c r="E66" s="156" t="s">
        <v>95</v>
      </c>
      <c r="F66" s="156" t="s">
        <v>95</v>
      </c>
      <c r="G66" s="156">
        <v>77</v>
      </c>
      <c r="H66" s="156" t="s">
        <v>95</v>
      </c>
      <c r="I66" s="156">
        <v>77</v>
      </c>
      <c r="J66" s="156" t="s">
        <v>95</v>
      </c>
      <c r="K66" s="156">
        <v>77</v>
      </c>
      <c r="L66" s="156" t="s">
        <v>95</v>
      </c>
      <c r="M66" s="156">
        <v>77</v>
      </c>
      <c r="N66" s="156" t="s">
        <v>95</v>
      </c>
      <c r="O66" s="156" t="s">
        <v>95</v>
      </c>
      <c r="P66" s="156" t="s">
        <v>95</v>
      </c>
      <c r="Q66" s="156" t="s">
        <v>95</v>
      </c>
      <c r="R66" s="156" t="s">
        <v>95</v>
      </c>
      <c r="S66" s="156" t="s">
        <v>95</v>
      </c>
      <c r="T66" s="156" t="s">
        <v>95</v>
      </c>
      <c r="U66" s="156" t="s">
        <v>95</v>
      </c>
      <c r="V66" s="156" t="s">
        <v>95</v>
      </c>
      <c r="W66" s="156" t="s">
        <v>95</v>
      </c>
      <c r="X66" s="156" t="s">
        <v>95</v>
      </c>
      <c r="Y66" s="156" t="s">
        <v>95</v>
      </c>
      <c r="Z66" s="156" t="s">
        <v>95</v>
      </c>
      <c r="AA66" s="156" t="s">
        <v>95</v>
      </c>
      <c r="AB66" s="156" t="s">
        <v>95</v>
      </c>
      <c r="AC66" s="156" t="s">
        <v>95</v>
      </c>
      <c r="AD66" s="156" t="s">
        <v>95</v>
      </c>
      <c r="AE66" s="156" t="s">
        <v>95</v>
      </c>
      <c r="AF66" s="156" t="s">
        <v>95</v>
      </c>
      <c r="AG66" s="156" t="s">
        <v>95</v>
      </c>
      <c r="AH66" s="156" t="s">
        <v>95</v>
      </c>
      <c r="AI66" s="156" t="s">
        <v>95</v>
      </c>
      <c r="AJ66" s="156" t="s">
        <v>95</v>
      </c>
      <c r="AK66" s="156" t="s">
        <v>95</v>
      </c>
      <c r="AL66" s="156" t="s">
        <v>95</v>
      </c>
      <c r="AM66" s="156" t="s">
        <v>95</v>
      </c>
      <c r="AN66" s="156" t="s">
        <v>95</v>
      </c>
      <c r="AO66" s="156" t="s">
        <v>95</v>
      </c>
      <c r="AP66" s="156" t="s">
        <v>95</v>
      </c>
      <c r="AQ66" s="156" t="s">
        <v>95</v>
      </c>
      <c r="AR66" s="156" t="s">
        <v>95</v>
      </c>
      <c r="AS66" s="156" t="s">
        <v>95</v>
      </c>
      <c r="AT66" s="341" t="s">
        <v>95</v>
      </c>
      <c r="AU66" s="22"/>
    </row>
    <row r="67" spans="1:47" ht="14.25" customHeight="1" x14ac:dyDescent="0.35">
      <c r="A67" s="982"/>
      <c r="B67" s="26"/>
      <c r="C67" s="1211" t="s">
        <v>146</v>
      </c>
      <c r="D67" s="1002"/>
      <c r="E67" s="156"/>
      <c r="F67" s="156"/>
      <c r="G67" s="156">
        <v>77</v>
      </c>
      <c r="H67" s="156" t="s">
        <v>95</v>
      </c>
      <c r="I67" s="156">
        <v>77</v>
      </c>
      <c r="J67" s="156" t="s">
        <v>95</v>
      </c>
      <c r="K67" s="156">
        <v>77</v>
      </c>
      <c r="L67" s="156" t="s">
        <v>95</v>
      </c>
      <c r="M67" s="156">
        <v>77</v>
      </c>
      <c r="N67" s="156"/>
      <c r="O67" s="156"/>
      <c r="P67" s="156"/>
      <c r="Q67" s="156"/>
      <c r="R67" s="156"/>
      <c r="S67" s="156"/>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341"/>
      <c r="AU67" s="22"/>
    </row>
    <row r="68" spans="1:47" ht="14.25" customHeight="1" x14ac:dyDescent="0.35">
      <c r="A68" s="982"/>
      <c r="B68" s="26"/>
      <c r="C68" s="1209" t="s">
        <v>74</v>
      </c>
      <c r="D68" s="1002"/>
      <c r="E68" s="156" t="s">
        <v>95</v>
      </c>
      <c r="F68" s="156" t="s">
        <v>95</v>
      </c>
      <c r="G68" s="156">
        <v>137.87</v>
      </c>
      <c r="H68" s="156" t="s">
        <v>95</v>
      </c>
      <c r="I68" s="156">
        <v>137.87</v>
      </c>
      <c r="J68" s="156" t="s">
        <v>95</v>
      </c>
      <c r="K68" s="156">
        <v>137.86667</v>
      </c>
      <c r="L68" s="156" t="s">
        <v>95</v>
      </c>
      <c r="M68" s="156">
        <v>137.86667</v>
      </c>
      <c r="N68" s="156" t="s">
        <v>95</v>
      </c>
      <c r="O68" s="156" t="s">
        <v>95</v>
      </c>
      <c r="P68" s="156" t="s">
        <v>95</v>
      </c>
      <c r="Q68" s="156" t="s">
        <v>95</v>
      </c>
      <c r="R68" s="156" t="s">
        <v>95</v>
      </c>
      <c r="S68" s="156" t="s">
        <v>95</v>
      </c>
      <c r="T68" s="156" t="s">
        <v>95</v>
      </c>
      <c r="U68" s="156" t="s">
        <v>95</v>
      </c>
      <c r="V68" s="156" t="s">
        <v>95</v>
      </c>
      <c r="W68" s="156" t="s">
        <v>95</v>
      </c>
      <c r="X68" s="156" t="s">
        <v>95</v>
      </c>
      <c r="Y68" s="156" t="s">
        <v>95</v>
      </c>
      <c r="Z68" s="156" t="s">
        <v>95</v>
      </c>
      <c r="AA68" s="156" t="s">
        <v>95</v>
      </c>
      <c r="AB68" s="156" t="s">
        <v>95</v>
      </c>
      <c r="AC68" s="156" t="s">
        <v>95</v>
      </c>
      <c r="AD68" s="156" t="s">
        <v>95</v>
      </c>
      <c r="AE68" s="156" t="s">
        <v>95</v>
      </c>
      <c r="AF68" s="156" t="s">
        <v>95</v>
      </c>
      <c r="AG68" s="156" t="s">
        <v>95</v>
      </c>
      <c r="AH68" s="156" t="s">
        <v>95</v>
      </c>
      <c r="AI68" s="156" t="s">
        <v>95</v>
      </c>
      <c r="AJ68" s="156" t="s">
        <v>95</v>
      </c>
      <c r="AK68" s="156" t="s">
        <v>95</v>
      </c>
      <c r="AL68" s="156" t="s">
        <v>95</v>
      </c>
      <c r="AM68" s="156" t="s">
        <v>95</v>
      </c>
      <c r="AN68" s="156" t="s">
        <v>95</v>
      </c>
      <c r="AO68" s="156" t="s">
        <v>95</v>
      </c>
      <c r="AP68" s="156" t="s">
        <v>95</v>
      </c>
      <c r="AQ68" s="156" t="s">
        <v>95</v>
      </c>
      <c r="AR68" s="156" t="s">
        <v>95</v>
      </c>
      <c r="AS68" s="156" t="s">
        <v>95</v>
      </c>
      <c r="AT68" s="341" t="s">
        <v>95</v>
      </c>
      <c r="AU68" s="22"/>
    </row>
    <row r="69" spans="1:47" ht="14.25" customHeight="1" x14ac:dyDescent="0.35">
      <c r="A69" s="982"/>
      <c r="B69" s="26"/>
      <c r="C69" s="1209" t="s">
        <v>103</v>
      </c>
      <c r="D69" s="1002"/>
      <c r="E69" s="156" t="s">
        <v>95</v>
      </c>
      <c r="F69" s="156" t="s">
        <v>95</v>
      </c>
      <c r="G69" s="156">
        <v>0</v>
      </c>
      <c r="H69" s="156" t="s">
        <v>95</v>
      </c>
      <c r="I69" s="156">
        <v>0</v>
      </c>
      <c r="J69" s="156" t="s">
        <v>95</v>
      </c>
      <c r="K69" s="156">
        <v>0</v>
      </c>
      <c r="L69" s="156" t="s">
        <v>95</v>
      </c>
      <c r="M69" s="156">
        <v>0</v>
      </c>
      <c r="N69" s="156" t="s">
        <v>95</v>
      </c>
      <c r="O69" s="156" t="s">
        <v>95</v>
      </c>
      <c r="P69" s="156" t="s">
        <v>95</v>
      </c>
      <c r="Q69" s="156" t="s">
        <v>95</v>
      </c>
      <c r="R69" s="156" t="s">
        <v>95</v>
      </c>
      <c r="S69" s="156" t="s">
        <v>95</v>
      </c>
      <c r="T69" s="156" t="s">
        <v>95</v>
      </c>
      <c r="U69" s="156" t="s">
        <v>95</v>
      </c>
      <c r="V69" s="156" t="s">
        <v>95</v>
      </c>
      <c r="W69" s="156" t="s">
        <v>95</v>
      </c>
      <c r="X69" s="156" t="s">
        <v>95</v>
      </c>
      <c r="Y69" s="156" t="s">
        <v>95</v>
      </c>
      <c r="Z69" s="156" t="s">
        <v>95</v>
      </c>
      <c r="AA69" s="156" t="s">
        <v>95</v>
      </c>
      <c r="AB69" s="156" t="s">
        <v>95</v>
      </c>
      <c r="AC69" s="156" t="s">
        <v>95</v>
      </c>
      <c r="AD69" s="156" t="s">
        <v>95</v>
      </c>
      <c r="AE69" s="156" t="s">
        <v>95</v>
      </c>
      <c r="AF69" s="156" t="s">
        <v>95</v>
      </c>
      <c r="AG69" s="156" t="s">
        <v>95</v>
      </c>
      <c r="AH69" s="156" t="s">
        <v>95</v>
      </c>
      <c r="AI69" s="156" t="s">
        <v>95</v>
      </c>
      <c r="AJ69" s="156" t="s">
        <v>95</v>
      </c>
      <c r="AK69" s="156" t="s">
        <v>95</v>
      </c>
      <c r="AL69" s="156" t="s">
        <v>95</v>
      </c>
      <c r="AM69" s="156" t="s">
        <v>95</v>
      </c>
      <c r="AN69" s="156" t="s">
        <v>95</v>
      </c>
      <c r="AO69" s="156" t="s">
        <v>95</v>
      </c>
      <c r="AP69" s="156" t="s">
        <v>95</v>
      </c>
      <c r="AQ69" s="156" t="s">
        <v>95</v>
      </c>
      <c r="AR69" s="156" t="s">
        <v>95</v>
      </c>
      <c r="AS69" s="156" t="s">
        <v>95</v>
      </c>
      <c r="AT69" s="341" t="s">
        <v>95</v>
      </c>
      <c r="AU69" s="22"/>
    </row>
    <row r="70" spans="1:47" ht="14.25" customHeight="1" x14ac:dyDescent="0.35">
      <c r="A70" s="982"/>
      <c r="B70" s="26"/>
      <c r="C70" s="1209" t="s">
        <v>57</v>
      </c>
      <c r="D70" s="1002"/>
      <c r="E70" s="156" t="s">
        <v>95</v>
      </c>
      <c r="F70" s="156" t="s">
        <v>95</v>
      </c>
      <c r="G70" s="156">
        <v>0</v>
      </c>
      <c r="H70" s="156" t="s">
        <v>95</v>
      </c>
      <c r="I70" s="156">
        <v>0</v>
      </c>
      <c r="J70" s="156" t="s">
        <v>95</v>
      </c>
      <c r="K70" s="156">
        <v>0</v>
      </c>
      <c r="L70" s="156" t="s">
        <v>95</v>
      </c>
      <c r="M70" s="156">
        <v>0</v>
      </c>
      <c r="N70" s="156" t="s">
        <v>95</v>
      </c>
      <c r="O70" s="156" t="s">
        <v>95</v>
      </c>
      <c r="P70" s="156" t="s">
        <v>95</v>
      </c>
      <c r="Q70" s="156" t="s">
        <v>95</v>
      </c>
      <c r="R70" s="156" t="s">
        <v>95</v>
      </c>
      <c r="S70" s="156" t="s">
        <v>95</v>
      </c>
      <c r="T70" s="156" t="s">
        <v>95</v>
      </c>
      <c r="U70" s="156" t="s">
        <v>95</v>
      </c>
      <c r="V70" s="156" t="s">
        <v>95</v>
      </c>
      <c r="W70" s="156" t="s">
        <v>95</v>
      </c>
      <c r="X70" s="156" t="s">
        <v>95</v>
      </c>
      <c r="Y70" s="156" t="s">
        <v>95</v>
      </c>
      <c r="Z70" s="156" t="s">
        <v>95</v>
      </c>
      <c r="AA70" s="156" t="s">
        <v>95</v>
      </c>
      <c r="AB70" s="156" t="s">
        <v>95</v>
      </c>
      <c r="AC70" s="156" t="s">
        <v>95</v>
      </c>
      <c r="AD70" s="156" t="s">
        <v>95</v>
      </c>
      <c r="AE70" s="156" t="s">
        <v>95</v>
      </c>
      <c r="AF70" s="156" t="s">
        <v>95</v>
      </c>
      <c r="AG70" s="156" t="s">
        <v>95</v>
      </c>
      <c r="AH70" s="156" t="s">
        <v>95</v>
      </c>
      <c r="AI70" s="156" t="s">
        <v>95</v>
      </c>
      <c r="AJ70" s="156" t="s">
        <v>95</v>
      </c>
      <c r="AK70" s="156" t="s">
        <v>95</v>
      </c>
      <c r="AL70" s="156" t="s">
        <v>95</v>
      </c>
      <c r="AM70" s="156" t="s">
        <v>95</v>
      </c>
      <c r="AN70" s="156" t="s">
        <v>95</v>
      </c>
      <c r="AO70" s="156" t="s">
        <v>95</v>
      </c>
      <c r="AP70" s="156" t="s">
        <v>95</v>
      </c>
      <c r="AQ70" s="156" t="s">
        <v>95</v>
      </c>
      <c r="AR70" s="156" t="s">
        <v>95</v>
      </c>
      <c r="AS70" s="156" t="s">
        <v>95</v>
      </c>
      <c r="AT70" s="341" t="s">
        <v>95</v>
      </c>
      <c r="AU70" s="22"/>
    </row>
    <row r="71" spans="1:47" ht="14.25" customHeight="1" x14ac:dyDescent="0.35">
      <c r="A71" s="960"/>
      <c r="B71" s="26"/>
      <c r="C71" s="160" t="s">
        <v>95</v>
      </c>
      <c r="D71" s="161" t="s">
        <v>95</v>
      </c>
      <c r="E71" s="162" t="s">
        <v>95</v>
      </c>
      <c r="F71" s="162" t="s">
        <v>95</v>
      </c>
      <c r="G71" s="162" t="s">
        <v>95</v>
      </c>
      <c r="H71" s="162" t="s">
        <v>95</v>
      </c>
      <c r="I71" s="162" t="s">
        <v>95</v>
      </c>
      <c r="J71" s="162" t="s">
        <v>95</v>
      </c>
      <c r="K71" s="162" t="s">
        <v>95</v>
      </c>
      <c r="L71" s="162" t="s">
        <v>95</v>
      </c>
      <c r="M71" s="162" t="s">
        <v>95</v>
      </c>
      <c r="N71" s="162" t="s">
        <v>95</v>
      </c>
      <c r="O71" s="162" t="s">
        <v>95</v>
      </c>
      <c r="P71" s="162" t="s">
        <v>95</v>
      </c>
      <c r="Q71" s="162" t="s">
        <v>95</v>
      </c>
      <c r="R71" s="162" t="s">
        <v>95</v>
      </c>
      <c r="S71" s="162" t="s">
        <v>95</v>
      </c>
      <c r="T71" s="162" t="s">
        <v>95</v>
      </c>
      <c r="U71" s="162" t="s">
        <v>95</v>
      </c>
      <c r="V71" s="162" t="s">
        <v>95</v>
      </c>
      <c r="W71" s="162" t="s">
        <v>95</v>
      </c>
      <c r="X71" s="162" t="s">
        <v>95</v>
      </c>
      <c r="Y71" s="162" t="s">
        <v>95</v>
      </c>
      <c r="Z71" s="162" t="s">
        <v>95</v>
      </c>
      <c r="AA71" s="162" t="s">
        <v>95</v>
      </c>
      <c r="AB71" s="162" t="s">
        <v>95</v>
      </c>
      <c r="AC71" s="162" t="s">
        <v>95</v>
      </c>
      <c r="AD71" s="162" t="s">
        <v>95</v>
      </c>
      <c r="AE71" s="162" t="s">
        <v>95</v>
      </c>
      <c r="AF71" s="162" t="s">
        <v>95</v>
      </c>
      <c r="AG71" s="162" t="s">
        <v>95</v>
      </c>
      <c r="AH71" s="162" t="s">
        <v>95</v>
      </c>
      <c r="AI71" s="162" t="s">
        <v>95</v>
      </c>
      <c r="AJ71" s="162" t="s">
        <v>95</v>
      </c>
      <c r="AK71" s="162" t="s">
        <v>95</v>
      </c>
      <c r="AL71" s="162" t="s">
        <v>95</v>
      </c>
      <c r="AM71" s="162" t="s">
        <v>95</v>
      </c>
      <c r="AN71" s="162" t="s">
        <v>95</v>
      </c>
      <c r="AO71" s="162" t="s">
        <v>95</v>
      </c>
      <c r="AP71" s="162" t="s">
        <v>95</v>
      </c>
      <c r="AQ71" s="162" t="s">
        <v>95</v>
      </c>
      <c r="AR71" s="162" t="s">
        <v>95</v>
      </c>
      <c r="AS71" s="162" t="s">
        <v>95</v>
      </c>
      <c r="AT71" s="350" t="s">
        <v>95</v>
      </c>
      <c r="AU71" s="22"/>
    </row>
    <row r="72" spans="1:47" ht="14.25" customHeight="1" x14ac:dyDescent="0.4">
      <c r="A72" s="960"/>
      <c r="B72" s="26"/>
      <c r="C72" s="160" t="s">
        <v>95</v>
      </c>
      <c r="D72" s="161" t="s">
        <v>95</v>
      </c>
      <c r="E72" s="342" t="s">
        <v>226</v>
      </c>
      <c r="F72" s="342"/>
      <c r="G72" s="342"/>
      <c r="H72" s="342"/>
      <c r="I72" s="343" t="s">
        <v>95</v>
      </c>
      <c r="J72" s="343" t="s">
        <v>95</v>
      </c>
      <c r="K72" s="343" t="s">
        <v>95</v>
      </c>
      <c r="L72" s="343" t="s">
        <v>95</v>
      </c>
      <c r="M72" s="343" t="s">
        <v>95</v>
      </c>
      <c r="N72" s="343" t="s">
        <v>95</v>
      </c>
      <c r="O72" s="343" t="s">
        <v>95</v>
      </c>
      <c r="P72" s="343" t="s">
        <v>95</v>
      </c>
      <c r="Q72" s="343" t="s">
        <v>95</v>
      </c>
      <c r="R72" s="343" t="s">
        <v>95</v>
      </c>
      <c r="S72" s="343" t="s">
        <v>95</v>
      </c>
      <c r="T72" s="343" t="s">
        <v>95</v>
      </c>
      <c r="U72" s="343" t="s">
        <v>95</v>
      </c>
      <c r="V72" s="343" t="s">
        <v>95</v>
      </c>
      <c r="W72" s="343" t="s">
        <v>95</v>
      </c>
      <c r="X72" s="343" t="s">
        <v>95</v>
      </c>
      <c r="Y72" s="343" t="s">
        <v>95</v>
      </c>
      <c r="Z72" s="343" t="s">
        <v>95</v>
      </c>
      <c r="AA72" s="343" t="s">
        <v>95</v>
      </c>
      <c r="AB72" s="343" t="s">
        <v>95</v>
      </c>
      <c r="AC72" s="343" t="s">
        <v>95</v>
      </c>
      <c r="AD72" s="343" t="s">
        <v>95</v>
      </c>
      <c r="AE72" s="343" t="s">
        <v>95</v>
      </c>
      <c r="AF72" s="343" t="s">
        <v>95</v>
      </c>
      <c r="AG72" s="343" t="s">
        <v>95</v>
      </c>
      <c r="AH72" s="343" t="s">
        <v>95</v>
      </c>
      <c r="AI72" s="343" t="s">
        <v>95</v>
      </c>
      <c r="AJ72" s="343" t="s">
        <v>95</v>
      </c>
      <c r="AK72" s="343" t="s">
        <v>95</v>
      </c>
      <c r="AL72" s="343" t="s">
        <v>95</v>
      </c>
      <c r="AM72" s="343" t="s">
        <v>95</v>
      </c>
      <c r="AN72" s="343" t="s">
        <v>95</v>
      </c>
      <c r="AO72" s="343" t="s">
        <v>95</v>
      </c>
      <c r="AP72" s="343" t="s">
        <v>95</v>
      </c>
      <c r="AQ72" s="343" t="s">
        <v>95</v>
      </c>
      <c r="AR72" s="343" t="s">
        <v>95</v>
      </c>
      <c r="AS72" s="343" t="s">
        <v>95</v>
      </c>
      <c r="AT72" s="117" t="s">
        <v>95</v>
      </c>
      <c r="AU72" s="22"/>
    </row>
    <row r="73" spans="1:47" ht="14.25" customHeight="1" x14ac:dyDescent="0.4">
      <c r="A73" s="960"/>
      <c r="B73" s="26"/>
      <c r="C73" s="164" t="s">
        <v>95</v>
      </c>
      <c r="D73" s="165" t="s">
        <v>95</v>
      </c>
      <c r="E73" s="344" t="s">
        <v>238</v>
      </c>
      <c r="F73" s="344"/>
      <c r="G73" s="344"/>
      <c r="H73" s="344"/>
      <c r="I73" s="345" t="s">
        <v>95</v>
      </c>
      <c r="J73" s="345" t="s">
        <v>95</v>
      </c>
      <c r="K73" s="345" t="s">
        <v>95</v>
      </c>
      <c r="L73" s="345" t="s">
        <v>95</v>
      </c>
      <c r="M73" s="344" t="s">
        <v>95</v>
      </c>
      <c r="N73" s="346" t="s">
        <v>95</v>
      </c>
      <c r="O73" s="346" t="s">
        <v>95</v>
      </c>
      <c r="P73" s="346" t="s">
        <v>95</v>
      </c>
      <c r="Q73" s="346" t="s">
        <v>95</v>
      </c>
      <c r="R73" s="346" t="s">
        <v>95</v>
      </c>
      <c r="S73" s="346" t="s">
        <v>95</v>
      </c>
      <c r="T73" s="346" t="s">
        <v>95</v>
      </c>
      <c r="U73" s="346" t="s">
        <v>95</v>
      </c>
      <c r="V73" s="346" t="s">
        <v>95</v>
      </c>
      <c r="W73" s="346" t="s">
        <v>95</v>
      </c>
      <c r="X73" s="346" t="s">
        <v>95</v>
      </c>
      <c r="Y73" s="346" t="s">
        <v>95</v>
      </c>
      <c r="Z73" s="346" t="s">
        <v>95</v>
      </c>
      <c r="AA73" s="346" t="s">
        <v>95</v>
      </c>
      <c r="AB73" s="346" t="s">
        <v>95</v>
      </c>
      <c r="AC73" s="346" t="s">
        <v>95</v>
      </c>
      <c r="AD73" s="346" t="s">
        <v>95</v>
      </c>
      <c r="AE73" s="346" t="s">
        <v>95</v>
      </c>
      <c r="AF73" s="346" t="s">
        <v>95</v>
      </c>
      <c r="AG73" s="346" t="s">
        <v>95</v>
      </c>
      <c r="AH73" s="346" t="s">
        <v>95</v>
      </c>
      <c r="AI73" s="346" t="s">
        <v>95</v>
      </c>
      <c r="AJ73" s="346" t="s">
        <v>95</v>
      </c>
      <c r="AK73" s="346" t="s">
        <v>95</v>
      </c>
      <c r="AL73" s="346" t="s">
        <v>95</v>
      </c>
      <c r="AM73" s="346" t="s">
        <v>95</v>
      </c>
      <c r="AN73" s="346" t="s">
        <v>95</v>
      </c>
      <c r="AO73" s="346" t="s">
        <v>95</v>
      </c>
      <c r="AP73" s="346" t="s">
        <v>95</v>
      </c>
      <c r="AQ73" s="346" t="s">
        <v>95</v>
      </c>
      <c r="AR73" s="346" t="s">
        <v>95</v>
      </c>
      <c r="AS73" s="346" t="s">
        <v>95</v>
      </c>
      <c r="AT73" s="347" t="s">
        <v>95</v>
      </c>
      <c r="AU73" s="22"/>
    </row>
    <row r="74" spans="1:47" ht="14.25" customHeight="1" x14ac:dyDescent="0.35">
      <c r="A74" s="1178">
        <v>6</v>
      </c>
      <c r="B74" s="26"/>
      <c r="C74" s="1210" t="s">
        <v>99</v>
      </c>
      <c r="D74" s="1002"/>
      <c r="E74" s="156" t="s">
        <v>95</v>
      </c>
      <c r="F74" s="156" t="s">
        <v>95</v>
      </c>
      <c r="G74" s="156">
        <v>247.12</v>
      </c>
      <c r="H74" s="156" t="s">
        <v>95</v>
      </c>
      <c r="I74" s="156">
        <v>247.12</v>
      </c>
      <c r="J74" s="156" t="s">
        <v>95</v>
      </c>
      <c r="K74" s="156">
        <v>393.17335000000003</v>
      </c>
      <c r="L74" s="156" t="s">
        <v>95</v>
      </c>
      <c r="M74" s="156">
        <v>472.12930999999998</v>
      </c>
      <c r="N74" s="156" t="s">
        <v>95</v>
      </c>
      <c r="O74" s="156" t="s">
        <v>95</v>
      </c>
      <c r="P74" s="156" t="s">
        <v>95</v>
      </c>
      <c r="Q74" s="156" t="s">
        <v>95</v>
      </c>
      <c r="R74" s="156" t="s">
        <v>95</v>
      </c>
      <c r="S74" s="156" t="s">
        <v>95</v>
      </c>
      <c r="T74" s="156" t="s">
        <v>95</v>
      </c>
      <c r="U74" s="156" t="s">
        <v>95</v>
      </c>
      <c r="V74" s="156" t="s">
        <v>95</v>
      </c>
      <c r="W74" s="156" t="s">
        <v>95</v>
      </c>
      <c r="X74" s="156" t="s">
        <v>95</v>
      </c>
      <c r="Y74" s="156" t="s">
        <v>95</v>
      </c>
      <c r="Z74" s="156" t="s">
        <v>95</v>
      </c>
      <c r="AA74" s="156" t="s">
        <v>95</v>
      </c>
      <c r="AB74" s="156" t="s">
        <v>95</v>
      </c>
      <c r="AC74" s="156" t="s">
        <v>95</v>
      </c>
      <c r="AD74" s="156" t="s">
        <v>95</v>
      </c>
      <c r="AE74" s="156" t="s">
        <v>95</v>
      </c>
      <c r="AF74" s="156" t="s">
        <v>95</v>
      </c>
      <c r="AG74" s="156" t="s">
        <v>95</v>
      </c>
      <c r="AH74" s="156" t="s">
        <v>95</v>
      </c>
      <c r="AI74" s="156" t="s">
        <v>95</v>
      </c>
      <c r="AJ74" s="156" t="s">
        <v>95</v>
      </c>
      <c r="AK74" s="156" t="s">
        <v>95</v>
      </c>
      <c r="AL74" s="156" t="s">
        <v>95</v>
      </c>
      <c r="AM74" s="156" t="s">
        <v>95</v>
      </c>
      <c r="AN74" s="156" t="s">
        <v>95</v>
      </c>
      <c r="AO74" s="156" t="s">
        <v>95</v>
      </c>
      <c r="AP74" s="156" t="s">
        <v>95</v>
      </c>
      <c r="AQ74" s="156" t="s">
        <v>95</v>
      </c>
      <c r="AR74" s="156" t="s">
        <v>95</v>
      </c>
      <c r="AS74" s="156" t="s">
        <v>95</v>
      </c>
      <c r="AT74" s="341" t="s">
        <v>95</v>
      </c>
      <c r="AU74" s="22"/>
    </row>
    <row r="75" spans="1:47" ht="14.25" customHeight="1" x14ac:dyDescent="0.35">
      <c r="A75" s="982"/>
      <c r="B75" s="26"/>
      <c r="C75" s="1209" t="s">
        <v>101</v>
      </c>
      <c r="D75" s="1002"/>
      <c r="E75" s="156" t="s">
        <v>95</v>
      </c>
      <c r="F75" s="156" t="s">
        <v>95</v>
      </c>
      <c r="G75" s="156">
        <v>317.35000000000002</v>
      </c>
      <c r="H75" s="156" t="s">
        <v>95</v>
      </c>
      <c r="I75" s="156">
        <v>317.35000000000002</v>
      </c>
      <c r="J75" s="156" t="s">
        <v>95</v>
      </c>
      <c r="K75" s="156">
        <v>332.33848</v>
      </c>
      <c r="L75" s="156" t="s">
        <v>95</v>
      </c>
      <c r="M75" s="156">
        <v>353.7783</v>
      </c>
      <c r="N75" s="156" t="s">
        <v>95</v>
      </c>
      <c r="O75" s="156" t="s">
        <v>95</v>
      </c>
      <c r="P75" s="156" t="s">
        <v>95</v>
      </c>
      <c r="Q75" s="156" t="s">
        <v>95</v>
      </c>
      <c r="R75" s="156" t="s">
        <v>95</v>
      </c>
      <c r="S75" s="156" t="s">
        <v>95</v>
      </c>
      <c r="T75" s="156" t="s">
        <v>95</v>
      </c>
      <c r="U75" s="156" t="s">
        <v>95</v>
      </c>
      <c r="V75" s="156" t="s">
        <v>95</v>
      </c>
      <c r="W75" s="156" t="s">
        <v>95</v>
      </c>
      <c r="X75" s="156" t="s">
        <v>95</v>
      </c>
      <c r="Y75" s="156" t="s">
        <v>95</v>
      </c>
      <c r="Z75" s="156" t="s">
        <v>95</v>
      </c>
      <c r="AA75" s="156" t="s">
        <v>95</v>
      </c>
      <c r="AB75" s="156" t="s">
        <v>95</v>
      </c>
      <c r="AC75" s="156" t="s">
        <v>95</v>
      </c>
      <c r="AD75" s="156" t="s">
        <v>95</v>
      </c>
      <c r="AE75" s="156" t="s">
        <v>95</v>
      </c>
      <c r="AF75" s="156" t="s">
        <v>95</v>
      </c>
      <c r="AG75" s="156" t="s">
        <v>95</v>
      </c>
      <c r="AH75" s="156" t="s">
        <v>95</v>
      </c>
      <c r="AI75" s="156" t="s">
        <v>95</v>
      </c>
      <c r="AJ75" s="156" t="s">
        <v>95</v>
      </c>
      <c r="AK75" s="156" t="s">
        <v>95</v>
      </c>
      <c r="AL75" s="156" t="s">
        <v>95</v>
      </c>
      <c r="AM75" s="156" t="s">
        <v>95</v>
      </c>
      <c r="AN75" s="156" t="s">
        <v>95</v>
      </c>
      <c r="AO75" s="156" t="s">
        <v>95</v>
      </c>
      <c r="AP75" s="156" t="s">
        <v>95</v>
      </c>
      <c r="AQ75" s="156" t="s">
        <v>95</v>
      </c>
      <c r="AR75" s="156" t="s">
        <v>95</v>
      </c>
      <c r="AS75" s="156" t="s">
        <v>95</v>
      </c>
      <c r="AT75" s="341" t="s">
        <v>95</v>
      </c>
      <c r="AU75" s="22"/>
    </row>
    <row r="76" spans="1:47" ht="14.25" customHeight="1" x14ac:dyDescent="0.35">
      <c r="A76" s="982"/>
      <c r="B76" s="26"/>
      <c r="C76" s="1209" t="s">
        <v>221</v>
      </c>
      <c r="D76" s="1002"/>
      <c r="E76" s="156" t="s">
        <v>95</v>
      </c>
      <c r="F76" s="156" t="s">
        <v>95</v>
      </c>
      <c r="G76" s="156">
        <v>77</v>
      </c>
      <c r="H76" s="156" t="s">
        <v>95</v>
      </c>
      <c r="I76" s="156">
        <v>77</v>
      </c>
      <c r="J76" s="156" t="s">
        <v>95</v>
      </c>
      <c r="K76" s="156">
        <v>77</v>
      </c>
      <c r="L76" s="156" t="s">
        <v>95</v>
      </c>
      <c r="M76" s="156">
        <v>77</v>
      </c>
      <c r="N76" s="156" t="s">
        <v>95</v>
      </c>
      <c r="O76" s="156" t="s">
        <v>95</v>
      </c>
      <c r="P76" s="156" t="s">
        <v>95</v>
      </c>
      <c r="Q76" s="156" t="s">
        <v>95</v>
      </c>
      <c r="R76" s="156" t="s">
        <v>95</v>
      </c>
      <c r="S76" s="156" t="s">
        <v>95</v>
      </c>
      <c r="T76" s="156" t="s">
        <v>95</v>
      </c>
      <c r="U76" s="156" t="s">
        <v>95</v>
      </c>
      <c r="V76" s="156" t="s">
        <v>95</v>
      </c>
      <c r="W76" s="156" t="s">
        <v>95</v>
      </c>
      <c r="X76" s="156" t="s">
        <v>95</v>
      </c>
      <c r="Y76" s="156" t="s">
        <v>95</v>
      </c>
      <c r="Z76" s="156" t="s">
        <v>95</v>
      </c>
      <c r="AA76" s="156" t="s">
        <v>95</v>
      </c>
      <c r="AB76" s="156" t="s">
        <v>95</v>
      </c>
      <c r="AC76" s="156" t="s">
        <v>95</v>
      </c>
      <c r="AD76" s="156" t="s">
        <v>95</v>
      </c>
      <c r="AE76" s="156" t="s">
        <v>95</v>
      </c>
      <c r="AF76" s="156" t="s">
        <v>95</v>
      </c>
      <c r="AG76" s="156" t="s">
        <v>95</v>
      </c>
      <c r="AH76" s="156" t="s">
        <v>95</v>
      </c>
      <c r="AI76" s="156" t="s">
        <v>95</v>
      </c>
      <c r="AJ76" s="156" t="s">
        <v>95</v>
      </c>
      <c r="AK76" s="156" t="s">
        <v>95</v>
      </c>
      <c r="AL76" s="156" t="s">
        <v>95</v>
      </c>
      <c r="AM76" s="156" t="s">
        <v>95</v>
      </c>
      <c r="AN76" s="156" t="s">
        <v>95</v>
      </c>
      <c r="AO76" s="156" t="s">
        <v>95</v>
      </c>
      <c r="AP76" s="156" t="s">
        <v>95</v>
      </c>
      <c r="AQ76" s="156" t="s">
        <v>95</v>
      </c>
      <c r="AR76" s="156" t="s">
        <v>95</v>
      </c>
      <c r="AS76" s="156" t="s">
        <v>95</v>
      </c>
      <c r="AT76" s="341" t="s">
        <v>95</v>
      </c>
      <c r="AU76" s="22"/>
    </row>
    <row r="77" spans="1:47" ht="14.25" customHeight="1" x14ac:dyDescent="0.35">
      <c r="A77" s="982"/>
      <c r="B77" s="26"/>
      <c r="C77" s="1211" t="s">
        <v>146</v>
      </c>
      <c r="D77" s="1002"/>
      <c r="E77" s="156"/>
      <c r="F77" s="156"/>
      <c r="G77" s="156">
        <v>77</v>
      </c>
      <c r="H77" s="156" t="s">
        <v>95</v>
      </c>
      <c r="I77" s="156">
        <v>77</v>
      </c>
      <c r="J77" s="156" t="s">
        <v>95</v>
      </c>
      <c r="K77" s="156">
        <v>77</v>
      </c>
      <c r="L77" s="156" t="s">
        <v>95</v>
      </c>
      <c r="M77" s="156">
        <v>77</v>
      </c>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341"/>
      <c r="AU77" s="22"/>
    </row>
    <row r="78" spans="1:47" ht="14.25" customHeight="1" x14ac:dyDescent="0.35">
      <c r="A78" s="982"/>
      <c r="B78" s="26"/>
      <c r="C78" s="1209" t="s">
        <v>74</v>
      </c>
      <c r="D78" s="1002"/>
      <c r="E78" s="156" t="s">
        <v>95</v>
      </c>
      <c r="F78" s="156" t="s">
        <v>95</v>
      </c>
      <c r="G78" s="156">
        <v>137.87</v>
      </c>
      <c r="H78" s="156" t="s">
        <v>95</v>
      </c>
      <c r="I78" s="156">
        <v>137.87</v>
      </c>
      <c r="J78" s="156" t="s">
        <v>95</v>
      </c>
      <c r="K78" s="156">
        <v>137.86667</v>
      </c>
      <c r="L78" s="156" t="s">
        <v>95</v>
      </c>
      <c r="M78" s="156">
        <v>137.86667</v>
      </c>
      <c r="N78" s="156" t="s">
        <v>95</v>
      </c>
      <c r="O78" s="156" t="s">
        <v>95</v>
      </c>
      <c r="P78" s="156" t="s">
        <v>95</v>
      </c>
      <c r="Q78" s="156" t="s">
        <v>95</v>
      </c>
      <c r="R78" s="156" t="s">
        <v>95</v>
      </c>
      <c r="S78" s="156" t="s">
        <v>95</v>
      </c>
      <c r="T78" s="156" t="s">
        <v>95</v>
      </c>
      <c r="U78" s="156" t="s">
        <v>95</v>
      </c>
      <c r="V78" s="156" t="s">
        <v>95</v>
      </c>
      <c r="W78" s="156" t="s">
        <v>95</v>
      </c>
      <c r="X78" s="156" t="s">
        <v>95</v>
      </c>
      <c r="Y78" s="156" t="s">
        <v>95</v>
      </c>
      <c r="Z78" s="156" t="s">
        <v>95</v>
      </c>
      <c r="AA78" s="156" t="s">
        <v>95</v>
      </c>
      <c r="AB78" s="156" t="s">
        <v>95</v>
      </c>
      <c r="AC78" s="156" t="s">
        <v>95</v>
      </c>
      <c r="AD78" s="156" t="s">
        <v>95</v>
      </c>
      <c r="AE78" s="156" t="s">
        <v>95</v>
      </c>
      <c r="AF78" s="156" t="s">
        <v>95</v>
      </c>
      <c r="AG78" s="156" t="s">
        <v>95</v>
      </c>
      <c r="AH78" s="156" t="s">
        <v>95</v>
      </c>
      <c r="AI78" s="156" t="s">
        <v>95</v>
      </c>
      <c r="AJ78" s="156" t="s">
        <v>95</v>
      </c>
      <c r="AK78" s="156" t="s">
        <v>95</v>
      </c>
      <c r="AL78" s="156" t="s">
        <v>95</v>
      </c>
      <c r="AM78" s="156" t="s">
        <v>95</v>
      </c>
      <c r="AN78" s="156" t="s">
        <v>95</v>
      </c>
      <c r="AO78" s="156" t="s">
        <v>95</v>
      </c>
      <c r="AP78" s="156" t="s">
        <v>95</v>
      </c>
      <c r="AQ78" s="156" t="s">
        <v>95</v>
      </c>
      <c r="AR78" s="156" t="s">
        <v>95</v>
      </c>
      <c r="AS78" s="156" t="s">
        <v>95</v>
      </c>
      <c r="AT78" s="341" t="s">
        <v>95</v>
      </c>
      <c r="AU78" s="22"/>
    </row>
    <row r="79" spans="1:47" ht="14.25" customHeight="1" x14ac:dyDescent="0.35">
      <c r="A79" s="982"/>
      <c r="B79" s="26"/>
      <c r="C79" s="1209" t="s">
        <v>103</v>
      </c>
      <c r="D79" s="1002"/>
      <c r="E79" s="156" t="s">
        <v>95</v>
      </c>
      <c r="F79" s="156" t="s">
        <v>95</v>
      </c>
      <c r="G79" s="156">
        <v>0</v>
      </c>
      <c r="H79" s="156" t="s">
        <v>95</v>
      </c>
      <c r="I79" s="156">
        <v>0</v>
      </c>
      <c r="J79" s="156" t="s">
        <v>95</v>
      </c>
      <c r="K79" s="156">
        <v>0</v>
      </c>
      <c r="L79" s="156" t="s">
        <v>95</v>
      </c>
      <c r="M79" s="156">
        <v>0</v>
      </c>
      <c r="N79" s="156" t="s">
        <v>95</v>
      </c>
      <c r="O79" s="156" t="s">
        <v>95</v>
      </c>
      <c r="P79" s="156" t="s">
        <v>95</v>
      </c>
      <c r="Q79" s="156" t="s">
        <v>95</v>
      </c>
      <c r="R79" s="156" t="s">
        <v>95</v>
      </c>
      <c r="S79" s="156" t="s">
        <v>95</v>
      </c>
      <c r="T79" s="156" t="s">
        <v>95</v>
      </c>
      <c r="U79" s="156" t="s">
        <v>95</v>
      </c>
      <c r="V79" s="156" t="s">
        <v>95</v>
      </c>
      <c r="W79" s="156" t="s">
        <v>95</v>
      </c>
      <c r="X79" s="156" t="s">
        <v>95</v>
      </c>
      <c r="Y79" s="156" t="s">
        <v>95</v>
      </c>
      <c r="Z79" s="156" t="s">
        <v>95</v>
      </c>
      <c r="AA79" s="156" t="s">
        <v>95</v>
      </c>
      <c r="AB79" s="156" t="s">
        <v>95</v>
      </c>
      <c r="AC79" s="156" t="s">
        <v>95</v>
      </c>
      <c r="AD79" s="156" t="s">
        <v>95</v>
      </c>
      <c r="AE79" s="156" t="s">
        <v>95</v>
      </c>
      <c r="AF79" s="156" t="s">
        <v>95</v>
      </c>
      <c r="AG79" s="156" t="s">
        <v>95</v>
      </c>
      <c r="AH79" s="156" t="s">
        <v>95</v>
      </c>
      <c r="AI79" s="156" t="s">
        <v>95</v>
      </c>
      <c r="AJ79" s="156" t="s">
        <v>95</v>
      </c>
      <c r="AK79" s="156" t="s">
        <v>95</v>
      </c>
      <c r="AL79" s="156" t="s">
        <v>95</v>
      </c>
      <c r="AM79" s="156" t="s">
        <v>95</v>
      </c>
      <c r="AN79" s="156" t="s">
        <v>95</v>
      </c>
      <c r="AO79" s="156" t="s">
        <v>95</v>
      </c>
      <c r="AP79" s="156" t="s">
        <v>95</v>
      </c>
      <c r="AQ79" s="156" t="s">
        <v>95</v>
      </c>
      <c r="AR79" s="156" t="s">
        <v>95</v>
      </c>
      <c r="AS79" s="156" t="s">
        <v>95</v>
      </c>
      <c r="AT79" s="341" t="s">
        <v>95</v>
      </c>
      <c r="AU79" s="22"/>
    </row>
    <row r="80" spans="1:47" ht="14.25" customHeight="1" x14ac:dyDescent="0.35">
      <c r="A80" s="982"/>
      <c r="B80" s="26"/>
      <c r="C80" s="1209" t="s">
        <v>57</v>
      </c>
      <c r="D80" s="1002"/>
      <c r="E80" s="156" t="s">
        <v>95</v>
      </c>
      <c r="F80" s="156" t="s">
        <v>95</v>
      </c>
      <c r="G80" s="156" t="s">
        <v>95</v>
      </c>
      <c r="H80" s="156" t="s">
        <v>95</v>
      </c>
      <c r="I80" s="156" t="s">
        <v>95</v>
      </c>
      <c r="J80" s="156" t="s">
        <v>95</v>
      </c>
      <c r="K80" s="156" t="s">
        <v>95</v>
      </c>
      <c r="L80" s="156" t="s">
        <v>95</v>
      </c>
      <c r="M80" s="156" t="s">
        <v>95</v>
      </c>
      <c r="N80" s="156" t="s">
        <v>95</v>
      </c>
      <c r="O80" s="156" t="s">
        <v>95</v>
      </c>
      <c r="P80" s="156" t="s">
        <v>95</v>
      </c>
      <c r="Q80" s="156" t="s">
        <v>95</v>
      </c>
      <c r="R80" s="156" t="s">
        <v>95</v>
      </c>
      <c r="S80" s="156" t="s">
        <v>95</v>
      </c>
      <c r="T80" s="156" t="s">
        <v>95</v>
      </c>
      <c r="U80" s="156" t="s">
        <v>95</v>
      </c>
      <c r="V80" s="156" t="s">
        <v>95</v>
      </c>
      <c r="W80" s="156" t="s">
        <v>95</v>
      </c>
      <c r="X80" s="156" t="s">
        <v>95</v>
      </c>
      <c r="Y80" s="156" t="s">
        <v>95</v>
      </c>
      <c r="Z80" s="156" t="s">
        <v>95</v>
      </c>
      <c r="AA80" s="156" t="s">
        <v>95</v>
      </c>
      <c r="AB80" s="156" t="s">
        <v>95</v>
      </c>
      <c r="AC80" s="156" t="s">
        <v>95</v>
      </c>
      <c r="AD80" s="156" t="s">
        <v>95</v>
      </c>
      <c r="AE80" s="156" t="s">
        <v>95</v>
      </c>
      <c r="AF80" s="156" t="s">
        <v>95</v>
      </c>
      <c r="AG80" s="156" t="s">
        <v>95</v>
      </c>
      <c r="AH80" s="156" t="s">
        <v>95</v>
      </c>
      <c r="AI80" s="156" t="s">
        <v>95</v>
      </c>
      <c r="AJ80" s="156" t="s">
        <v>95</v>
      </c>
      <c r="AK80" s="156" t="s">
        <v>95</v>
      </c>
      <c r="AL80" s="156" t="s">
        <v>95</v>
      </c>
      <c r="AM80" s="156" t="s">
        <v>95</v>
      </c>
      <c r="AN80" s="156" t="s">
        <v>95</v>
      </c>
      <c r="AO80" s="156" t="s">
        <v>95</v>
      </c>
      <c r="AP80" s="156" t="s">
        <v>95</v>
      </c>
      <c r="AQ80" s="156" t="s">
        <v>95</v>
      </c>
      <c r="AR80" s="156" t="s">
        <v>95</v>
      </c>
      <c r="AS80" s="156" t="s">
        <v>95</v>
      </c>
      <c r="AT80" s="341" t="s">
        <v>95</v>
      </c>
      <c r="AU80" s="22"/>
    </row>
    <row r="81" spans="1:47" ht="14.25" customHeight="1" x14ac:dyDescent="0.35">
      <c r="A81" s="960"/>
      <c r="B81" s="26"/>
      <c r="C81" s="160" t="s">
        <v>95</v>
      </c>
      <c r="D81" s="161" t="s">
        <v>95</v>
      </c>
      <c r="E81" s="162" t="s">
        <v>95</v>
      </c>
      <c r="F81" s="162" t="s">
        <v>95</v>
      </c>
      <c r="G81" s="162" t="s">
        <v>95</v>
      </c>
      <c r="H81" s="162" t="s">
        <v>95</v>
      </c>
      <c r="I81" s="162" t="s">
        <v>95</v>
      </c>
      <c r="J81" s="162" t="s">
        <v>95</v>
      </c>
      <c r="K81" s="162" t="s">
        <v>95</v>
      </c>
      <c r="L81" s="162" t="s">
        <v>95</v>
      </c>
      <c r="M81" s="162" t="s">
        <v>95</v>
      </c>
      <c r="N81" s="162" t="s">
        <v>95</v>
      </c>
      <c r="O81" s="162" t="s">
        <v>95</v>
      </c>
      <c r="P81" s="162" t="s">
        <v>95</v>
      </c>
      <c r="Q81" s="162" t="s">
        <v>95</v>
      </c>
      <c r="R81" s="162" t="s">
        <v>95</v>
      </c>
      <c r="S81" s="162" t="s">
        <v>95</v>
      </c>
      <c r="T81" s="162" t="s">
        <v>95</v>
      </c>
      <c r="U81" s="162" t="s">
        <v>95</v>
      </c>
      <c r="V81" s="162" t="s">
        <v>95</v>
      </c>
      <c r="W81" s="162" t="s">
        <v>95</v>
      </c>
      <c r="X81" s="162" t="s">
        <v>95</v>
      </c>
      <c r="Y81" s="162" t="s">
        <v>95</v>
      </c>
      <c r="Z81" s="162" t="s">
        <v>95</v>
      </c>
      <c r="AA81" s="162" t="s">
        <v>95</v>
      </c>
      <c r="AB81" s="162" t="s">
        <v>95</v>
      </c>
      <c r="AC81" s="162" t="s">
        <v>95</v>
      </c>
      <c r="AD81" s="162" t="s">
        <v>95</v>
      </c>
      <c r="AE81" s="162" t="s">
        <v>95</v>
      </c>
      <c r="AF81" s="162" t="s">
        <v>95</v>
      </c>
      <c r="AG81" s="162" t="s">
        <v>95</v>
      </c>
      <c r="AH81" s="162" t="s">
        <v>95</v>
      </c>
      <c r="AI81" s="162" t="s">
        <v>95</v>
      </c>
      <c r="AJ81" s="162" t="s">
        <v>95</v>
      </c>
      <c r="AK81" s="162" t="s">
        <v>95</v>
      </c>
      <c r="AL81" s="162" t="s">
        <v>95</v>
      </c>
      <c r="AM81" s="162" t="s">
        <v>95</v>
      </c>
      <c r="AN81" s="162" t="s">
        <v>95</v>
      </c>
      <c r="AO81" s="162" t="s">
        <v>95</v>
      </c>
      <c r="AP81" s="162" t="s">
        <v>95</v>
      </c>
      <c r="AQ81" s="162" t="s">
        <v>95</v>
      </c>
      <c r="AR81" s="162" t="s">
        <v>95</v>
      </c>
      <c r="AS81" s="162" t="s">
        <v>95</v>
      </c>
      <c r="AT81" s="350" t="s">
        <v>95</v>
      </c>
      <c r="AU81" s="22"/>
    </row>
    <row r="82" spans="1:47" ht="14.25" customHeight="1" x14ac:dyDescent="0.35">
      <c r="A82" s="960"/>
      <c r="B82" s="26"/>
      <c r="C82" s="164" t="s">
        <v>95</v>
      </c>
      <c r="D82" s="165" t="s">
        <v>95</v>
      </c>
      <c r="E82" s="165" t="s">
        <v>95</v>
      </c>
      <c r="F82" s="165" t="s">
        <v>95</v>
      </c>
      <c r="G82" s="165" t="s">
        <v>95</v>
      </c>
      <c r="H82" s="165" t="s">
        <v>95</v>
      </c>
      <c r="I82" s="165" t="s">
        <v>95</v>
      </c>
      <c r="J82" s="165" t="s">
        <v>95</v>
      </c>
      <c r="K82" s="165" t="s">
        <v>95</v>
      </c>
      <c r="L82" s="165" t="s">
        <v>95</v>
      </c>
      <c r="M82" s="165" t="s">
        <v>95</v>
      </c>
      <c r="N82" s="165" t="s">
        <v>95</v>
      </c>
      <c r="O82" s="165" t="s">
        <v>95</v>
      </c>
      <c r="P82" s="165" t="s">
        <v>95</v>
      </c>
      <c r="Q82" s="165" t="s">
        <v>95</v>
      </c>
      <c r="R82" s="165" t="s">
        <v>95</v>
      </c>
      <c r="S82" s="165" t="s">
        <v>95</v>
      </c>
      <c r="T82" s="165" t="s">
        <v>95</v>
      </c>
      <c r="U82" s="165" t="s">
        <v>95</v>
      </c>
      <c r="V82" s="165" t="s">
        <v>95</v>
      </c>
      <c r="W82" s="165" t="s">
        <v>95</v>
      </c>
      <c r="X82" s="165" t="s">
        <v>95</v>
      </c>
      <c r="Y82" s="165" t="s">
        <v>95</v>
      </c>
      <c r="Z82" s="165" t="s">
        <v>95</v>
      </c>
      <c r="AA82" s="165" t="s">
        <v>95</v>
      </c>
      <c r="AB82" s="165" t="s">
        <v>95</v>
      </c>
      <c r="AC82" s="165" t="s">
        <v>95</v>
      </c>
      <c r="AD82" s="165" t="s">
        <v>95</v>
      </c>
      <c r="AE82" s="165" t="s">
        <v>95</v>
      </c>
      <c r="AF82" s="165" t="s">
        <v>95</v>
      </c>
      <c r="AG82" s="165" t="s">
        <v>95</v>
      </c>
      <c r="AH82" s="165" t="s">
        <v>95</v>
      </c>
      <c r="AI82" s="165" t="s">
        <v>95</v>
      </c>
      <c r="AJ82" s="165" t="s">
        <v>95</v>
      </c>
      <c r="AK82" s="165" t="s">
        <v>95</v>
      </c>
      <c r="AL82" s="165" t="s">
        <v>95</v>
      </c>
      <c r="AM82" s="165" t="s">
        <v>95</v>
      </c>
      <c r="AN82" s="165" t="s">
        <v>95</v>
      </c>
      <c r="AO82" s="165" t="s">
        <v>95</v>
      </c>
      <c r="AP82" s="165" t="s">
        <v>95</v>
      </c>
      <c r="AQ82" s="165" t="s">
        <v>95</v>
      </c>
      <c r="AR82" s="165" t="s">
        <v>95</v>
      </c>
      <c r="AS82" s="165" t="s">
        <v>95</v>
      </c>
      <c r="AT82" s="159" t="s">
        <v>95</v>
      </c>
      <c r="AU82" s="22"/>
    </row>
    <row r="83" spans="1:47" ht="14.25" customHeight="1" x14ac:dyDescent="0.4">
      <c r="A83" s="960"/>
      <c r="B83" s="26"/>
      <c r="C83" s="160" t="s">
        <v>95</v>
      </c>
      <c r="D83" s="161" t="s">
        <v>95</v>
      </c>
      <c r="E83" s="1212" t="s">
        <v>845</v>
      </c>
      <c r="F83" s="1006"/>
      <c r="G83" s="1006"/>
      <c r="H83" s="1006"/>
      <c r="I83" s="1006"/>
      <c r="J83" s="1006"/>
      <c r="K83" s="343" t="s">
        <v>95</v>
      </c>
      <c r="L83" s="343" t="s">
        <v>95</v>
      </c>
      <c r="M83" s="343" t="s">
        <v>95</v>
      </c>
      <c r="N83" s="343" t="s">
        <v>95</v>
      </c>
      <c r="O83" s="343" t="s">
        <v>95</v>
      </c>
      <c r="P83" s="343" t="s">
        <v>95</v>
      </c>
      <c r="Q83" s="343" t="s">
        <v>95</v>
      </c>
      <c r="R83" s="343" t="s">
        <v>95</v>
      </c>
      <c r="S83" s="343" t="s">
        <v>95</v>
      </c>
      <c r="T83" s="343" t="s">
        <v>95</v>
      </c>
      <c r="U83" s="343" t="s">
        <v>95</v>
      </c>
      <c r="V83" s="343" t="s">
        <v>95</v>
      </c>
      <c r="W83" s="343" t="s">
        <v>95</v>
      </c>
      <c r="X83" s="343" t="s">
        <v>95</v>
      </c>
      <c r="Y83" s="343" t="s">
        <v>95</v>
      </c>
      <c r="Z83" s="343" t="s">
        <v>95</v>
      </c>
      <c r="AA83" s="343" t="s">
        <v>95</v>
      </c>
      <c r="AB83" s="343" t="s">
        <v>95</v>
      </c>
      <c r="AC83" s="343" t="s">
        <v>95</v>
      </c>
      <c r="AD83" s="343" t="s">
        <v>95</v>
      </c>
      <c r="AE83" s="343" t="s">
        <v>95</v>
      </c>
      <c r="AF83" s="343" t="s">
        <v>95</v>
      </c>
      <c r="AG83" s="343" t="s">
        <v>95</v>
      </c>
      <c r="AH83" s="343" t="s">
        <v>95</v>
      </c>
      <c r="AI83" s="343" t="s">
        <v>95</v>
      </c>
      <c r="AJ83" s="343" t="s">
        <v>95</v>
      </c>
      <c r="AK83" s="343" t="s">
        <v>95</v>
      </c>
      <c r="AL83" s="343" t="s">
        <v>95</v>
      </c>
      <c r="AM83" s="343" t="s">
        <v>95</v>
      </c>
      <c r="AN83" s="343" t="s">
        <v>95</v>
      </c>
      <c r="AO83" s="343" t="s">
        <v>95</v>
      </c>
      <c r="AP83" s="343" t="s">
        <v>95</v>
      </c>
      <c r="AQ83" s="343" t="s">
        <v>95</v>
      </c>
      <c r="AR83" s="343" t="s">
        <v>95</v>
      </c>
      <c r="AS83" s="343" t="s">
        <v>95</v>
      </c>
      <c r="AT83" s="117" t="s">
        <v>95</v>
      </c>
      <c r="AU83" s="22"/>
    </row>
    <row r="84" spans="1:47" ht="14.25" customHeight="1" x14ac:dyDescent="0.4">
      <c r="A84" s="960"/>
      <c r="B84" s="26"/>
      <c r="C84" s="164" t="s">
        <v>95</v>
      </c>
      <c r="D84" s="165" t="s">
        <v>95</v>
      </c>
      <c r="E84" s="344" t="s">
        <v>238</v>
      </c>
      <c r="F84" s="344"/>
      <c r="G84" s="344"/>
      <c r="H84" s="344"/>
      <c r="I84" s="345" t="s">
        <v>95</v>
      </c>
      <c r="J84" s="345" t="s">
        <v>95</v>
      </c>
      <c r="K84" s="345" t="s">
        <v>95</v>
      </c>
      <c r="L84" s="345" t="s">
        <v>95</v>
      </c>
      <c r="M84" s="344" t="s">
        <v>95</v>
      </c>
      <c r="N84" s="346" t="s">
        <v>95</v>
      </c>
      <c r="O84" s="346" t="s">
        <v>95</v>
      </c>
      <c r="P84" s="346" t="s">
        <v>95</v>
      </c>
      <c r="Q84" s="346" t="s">
        <v>95</v>
      </c>
      <c r="R84" s="346" t="s">
        <v>95</v>
      </c>
      <c r="S84" s="346" t="s">
        <v>95</v>
      </c>
      <c r="T84" s="346" t="s">
        <v>95</v>
      </c>
      <c r="U84" s="346" t="s">
        <v>95</v>
      </c>
      <c r="V84" s="346" t="s">
        <v>95</v>
      </c>
      <c r="W84" s="346" t="s">
        <v>95</v>
      </c>
      <c r="X84" s="346" t="s">
        <v>95</v>
      </c>
      <c r="Y84" s="346" t="s">
        <v>95</v>
      </c>
      <c r="Z84" s="346" t="s">
        <v>95</v>
      </c>
      <c r="AA84" s="346" t="s">
        <v>95</v>
      </c>
      <c r="AB84" s="346" t="s">
        <v>95</v>
      </c>
      <c r="AC84" s="346" t="s">
        <v>95</v>
      </c>
      <c r="AD84" s="346" t="s">
        <v>95</v>
      </c>
      <c r="AE84" s="346" t="s">
        <v>95</v>
      </c>
      <c r="AF84" s="346" t="s">
        <v>95</v>
      </c>
      <c r="AG84" s="346" t="s">
        <v>95</v>
      </c>
      <c r="AH84" s="346" t="s">
        <v>95</v>
      </c>
      <c r="AI84" s="346" t="s">
        <v>95</v>
      </c>
      <c r="AJ84" s="346" t="s">
        <v>95</v>
      </c>
      <c r="AK84" s="346" t="s">
        <v>95</v>
      </c>
      <c r="AL84" s="346" t="s">
        <v>95</v>
      </c>
      <c r="AM84" s="346" t="s">
        <v>95</v>
      </c>
      <c r="AN84" s="346" t="s">
        <v>95</v>
      </c>
      <c r="AO84" s="346" t="s">
        <v>95</v>
      </c>
      <c r="AP84" s="346" t="s">
        <v>95</v>
      </c>
      <c r="AQ84" s="346" t="s">
        <v>95</v>
      </c>
      <c r="AR84" s="346" t="s">
        <v>95</v>
      </c>
      <c r="AS84" s="346" t="s">
        <v>95</v>
      </c>
      <c r="AT84" s="347" t="s">
        <v>95</v>
      </c>
      <c r="AU84" s="22"/>
    </row>
    <row r="85" spans="1:47" ht="14.25" customHeight="1" x14ac:dyDescent="0.35">
      <c r="A85" s="1178">
        <v>6</v>
      </c>
      <c r="B85" s="26"/>
      <c r="C85" s="1210" t="s">
        <v>99</v>
      </c>
      <c r="D85" s="1002"/>
      <c r="E85" s="156" t="s">
        <v>95</v>
      </c>
      <c r="F85" s="156" t="s">
        <v>95</v>
      </c>
      <c r="G85" s="156">
        <v>-3.91</v>
      </c>
      <c r="H85" s="156" t="s">
        <v>95</v>
      </c>
      <c r="I85" s="156">
        <v>-4.05</v>
      </c>
      <c r="J85" s="156" t="s">
        <v>95</v>
      </c>
      <c r="K85" s="156">
        <v>-4.2300000000000004</v>
      </c>
      <c r="L85" s="156" t="s">
        <v>95</v>
      </c>
      <c r="M85" s="156">
        <v>-4.3621203900000003</v>
      </c>
      <c r="N85" s="156" t="s">
        <v>95</v>
      </c>
      <c r="O85" s="156" t="s">
        <v>95</v>
      </c>
      <c r="P85" s="156" t="s">
        <v>95</v>
      </c>
      <c r="Q85" s="156" t="s">
        <v>95</v>
      </c>
      <c r="R85" s="156" t="s">
        <v>95</v>
      </c>
      <c r="S85" s="156" t="s">
        <v>95</v>
      </c>
      <c r="T85" s="156" t="s">
        <v>95</v>
      </c>
      <c r="U85" s="156" t="s">
        <v>95</v>
      </c>
      <c r="V85" s="156" t="s">
        <v>95</v>
      </c>
      <c r="W85" s="156" t="s">
        <v>95</v>
      </c>
      <c r="X85" s="156" t="s">
        <v>95</v>
      </c>
      <c r="Y85" s="156" t="s">
        <v>95</v>
      </c>
      <c r="Z85" s="156" t="s">
        <v>95</v>
      </c>
      <c r="AA85" s="156" t="s">
        <v>95</v>
      </c>
      <c r="AB85" s="156" t="s">
        <v>95</v>
      </c>
      <c r="AC85" s="156" t="s">
        <v>95</v>
      </c>
      <c r="AD85" s="156" t="s">
        <v>95</v>
      </c>
      <c r="AE85" s="156" t="s">
        <v>95</v>
      </c>
      <c r="AF85" s="156" t="s">
        <v>95</v>
      </c>
      <c r="AG85" s="156" t="s">
        <v>95</v>
      </c>
      <c r="AH85" s="156" t="s">
        <v>95</v>
      </c>
      <c r="AI85" s="156" t="s">
        <v>95</v>
      </c>
      <c r="AJ85" s="156" t="s">
        <v>95</v>
      </c>
      <c r="AK85" s="156" t="s">
        <v>95</v>
      </c>
      <c r="AL85" s="156" t="s">
        <v>95</v>
      </c>
      <c r="AM85" s="156" t="s">
        <v>95</v>
      </c>
      <c r="AN85" s="156" t="s">
        <v>95</v>
      </c>
      <c r="AO85" s="156" t="s">
        <v>95</v>
      </c>
      <c r="AP85" s="156" t="s">
        <v>95</v>
      </c>
      <c r="AQ85" s="156" t="s">
        <v>95</v>
      </c>
      <c r="AR85" s="156" t="s">
        <v>95</v>
      </c>
      <c r="AS85" s="156" t="s">
        <v>95</v>
      </c>
      <c r="AT85" s="341" t="s">
        <v>95</v>
      </c>
      <c r="AU85" s="22"/>
    </row>
    <row r="86" spans="1:47" ht="14.25" customHeight="1" x14ac:dyDescent="0.35">
      <c r="A86" s="982"/>
      <c r="B86" s="26"/>
      <c r="C86" s="1209" t="s">
        <v>101</v>
      </c>
      <c r="D86" s="1002"/>
      <c r="E86" s="156" t="s">
        <v>95</v>
      </c>
      <c r="F86" s="156" t="s">
        <v>95</v>
      </c>
      <c r="G86" s="156">
        <v>21.35</v>
      </c>
      <c r="H86" s="156" t="s">
        <v>95</v>
      </c>
      <c r="I86" s="156">
        <v>50.53</v>
      </c>
      <c r="J86" s="156" t="s">
        <v>95</v>
      </c>
      <c r="K86" s="156">
        <v>20.239999999999998</v>
      </c>
      <c r="L86" s="156" t="s">
        <v>95</v>
      </c>
      <c r="M86" s="156">
        <v>16.507289969999999</v>
      </c>
      <c r="N86" s="156" t="s">
        <v>95</v>
      </c>
      <c r="O86" s="156" t="s">
        <v>95</v>
      </c>
      <c r="P86" s="156" t="s">
        <v>95</v>
      </c>
      <c r="Q86" s="156" t="s">
        <v>95</v>
      </c>
      <c r="R86" s="156" t="s">
        <v>95</v>
      </c>
      <c r="S86" s="156" t="s">
        <v>95</v>
      </c>
      <c r="T86" s="156" t="s">
        <v>95</v>
      </c>
      <c r="U86" s="156" t="s">
        <v>95</v>
      </c>
      <c r="V86" s="156" t="s">
        <v>95</v>
      </c>
      <c r="W86" s="156" t="s">
        <v>95</v>
      </c>
      <c r="X86" s="156" t="s">
        <v>95</v>
      </c>
      <c r="Y86" s="156" t="s">
        <v>95</v>
      </c>
      <c r="Z86" s="156" t="s">
        <v>95</v>
      </c>
      <c r="AA86" s="156" t="s">
        <v>95</v>
      </c>
      <c r="AB86" s="156" t="s">
        <v>95</v>
      </c>
      <c r="AC86" s="156" t="s">
        <v>95</v>
      </c>
      <c r="AD86" s="156" t="s">
        <v>95</v>
      </c>
      <c r="AE86" s="156" t="s">
        <v>95</v>
      </c>
      <c r="AF86" s="156" t="s">
        <v>95</v>
      </c>
      <c r="AG86" s="156" t="s">
        <v>95</v>
      </c>
      <c r="AH86" s="156" t="s">
        <v>95</v>
      </c>
      <c r="AI86" s="156" t="s">
        <v>95</v>
      </c>
      <c r="AJ86" s="156" t="s">
        <v>95</v>
      </c>
      <c r="AK86" s="156" t="s">
        <v>95</v>
      </c>
      <c r="AL86" s="156" t="s">
        <v>95</v>
      </c>
      <c r="AM86" s="156" t="s">
        <v>95</v>
      </c>
      <c r="AN86" s="156" t="s">
        <v>95</v>
      </c>
      <c r="AO86" s="156" t="s">
        <v>95</v>
      </c>
      <c r="AP86" s="156" t="s">
        <v>95</v>
      </c>
      <c r="AQ86" s="156" t="s">
        <v>95</v>
      </c>
      <c r="AR86" s="156" t="s">
        <v>95</v>
      </c>
      <c r="AS86" s="156" t="s">
        <v>95</v>
      </c>
      <c r="AT86" s="341" t="s">
        <v>95</v>
      </c>
      <c r="AU86" s="22"/>
    </row>
    <row r="87" spans="1:47" ht="14.25" customHeight="1" x14ac:dyDescent="0.35">
      <c r="A87" s="982"/>
      <c r="B87" s="26"/>
      <c r="C87" s="1209" t="s">
        <v>221</v>
      </c>
      <c r="D87" s="1002"/>
      <c r="E87" s="156" t="s">
        <v>95</v>
      </c>
      <c r="F87" s="156" t="s">
        <v>95</v>
      </c>
      <c r="G87" s="156">
        <v>-20.28</v>
      </c>
      <c r="H87" s="156" t="s">
        <v>95</v>
      </c>
      <c r="I87" s="156">
        <v>-26.79</v>
      </c>
      <c r="J87" s="156" t="s">
        <v>95</v>
      </c>
      <c r="K87" s="156">
        <v>-20.279497299999999</v>
      </c>
      <c r="L87" s="156" t="s">
        <v>95</v>
      </c>
      <c r="M87" s="156">
        <v>-20.279497330000002</v>
      </c>
      <c r="N87" s="156" t="s">
        <v>95</v>
      </c>
      <c r="O87" s="156" t="s">
        <v>95</v>
      </c>
      <c r="P87" s="156" t="s">
        <v>95</v>
      </c>
      <c r="Q87" s="156" t="s">
        <v>95</v>
      </c>
      <c r="R87" s="156" t="s">
        <v>95</v>
      </c>
      <c r="S87" s="156" t="s">
        <v>95</v>
      </c>
      <c r="T87" s="156" t="s">
        <v>95</v>
      </c>
      <c r="U87" s="156" t="s">
        <v>95</v>
      </c>
      <c r="V87" s="156" t="s">
        <v>95</v>
      </c>
      <c r="W87" s="156" t="s">
        <v>95</v>
      </c>
      <c r="X87" s="156" t="s">
        <v>95</v>
      </c>
      <c r="Y87" s="156" t="s">
        <v>95</v>
      </c>
      <c r="Z87" s="156" t="s">
        <v>95</v>
      </c>
      <c r="AA87" s="156" t="s">
        <v>95</v>
      </c>
      <c r="AB87" s="156" t="s">
        <v>95</v>
      </c>
      <c r="AC87" s="156" t="s">
        <v>95</v>
      </c>
      <c r="AD87" s="156" t="s">
        <v>95</v>
      </c>
      <c r="AE87" s="156" t="s">
        <v>95</v>
      </c>
      <c r="AF87" s="156" t="s">
        <v>95</v>
      </c>
      <c r="AG87" s="156" t="s">
        <v>95</v>
      </c>
      <c r="AH87" s="156" t="s">
        <v>95</v>
      </c>
      <c r="AI87" s="156" t="s">
        <v>95</v>
      </c>
      <c r="AJ87" s="156" t="s">
        <v>95</v>
      </c>
      <c r="AK87" s="156" t="s">
        <v>95</v>
      </c>
      <c r="AL87" s="156" t="s">
        <v>95</v>
      </c>
      <c r="AM87" s="156" t="s">
        <v>95</v>
      </c>
      <c r="AN87" s="156" t="s">
        <v>95</v>
      </c>
      <c r="AO87" s="156" t="s">
        <v>95</v>
      </c>
      <c r="AP87" s="156" t="s">
        <v>95</v>
      </c>
      <c r="AQ87" s="156" t="s">
        <v>95</v>
      </c>
      <c r="AR87" s="156" t="s">
        <v>95</v>
      </c>
      <c r="AS87" s="156" t="s">
        <v>95</v>
      </c>
      <c r="AT87" s="341" t="s">
        <v>95</v>
      </c>
      <c r="AU87" s="22"/>
    </row>
    <row r="88" spans="1:47" ht="14.25" customHeight="1" x14ac:dyDescent="0.35">
      <c r="A88" s="982"/>
      <c r="B88" s="26"/>
      <c r="C88" s="1211" t="s">
        <v>146</v>
      </c>
      <c r="D88" s="1002"/>
      <c r="E88" s="156"/>
      <c r="F88" s="156"/>
      <c r="G88" s="156">
        <v>-20.28</v>
      </c>
      <c r="H88" s="156" t="s">
        <v>95</v>
      </c>
      <c r="I88" s="156">
        <v>-26.79</v>
      </c>
      <c r="J88" s="156" t="s">
        <v>95</v>
      </c>
      <c r="K88" s="156">
        <v>-20.279497299999999</v>
      </c>
      <c r="L88" s="156" t="s">
        <v>95</v>
      </c>
      <c r="M88" s="156">
        <v>-20.279497330000002</v>
      </c>
      <c r="N88" s="156"/>
      <c r="O88" s="156"/>
      <c r="P88" s="156"/>
      <c r="Q88" s="156"/>
      <c r="R88" s="156"/>
      <c r="S88" s="156"/>
      <c r="T88" s="156"/>
      <c r="U88" s="156"/>
      <c r="V88" s="156"/>
      <c r="W88" s="156"/>
      <c r="X88" s="156"/>
      <c r="Y88" s="156"/>
      <c r="Z88" s="156"/>
      <c r="AA88" s="156"/>
      <c r="AB88" s="156"/>
      <c r="AC88" s="156"/>
      <c r="AD88" s="156"/>
      <c r="AE88" s="156"/>
      <c r="AF88" s="156"/>
      <c r="AG88" s="156"/>
      <c r="AH88" s="156"/>
      <c r="AI88" s="156"/>
      <c r="AJ88" s="156"/>
      <c r="AK88" s="156"/>
      <c r="AL88" s="156"/>
      <c r="AM88" s="156"/>
      <c r="AN88" s="156"/>
      <c r="AO88" s="156"/>
      <c r="AP88" s="156"/>
      <c r="AQ88" s="156"/>
      <c r="AR88" s="156"/>
      <c r="AS88" s="156"/>
      <c r="AT88" s="341"/>
      <c r="AU88" s="22"/>
    </row>
    <row r="89" spans="1:47" ht="14.25" customHeight="1" x14ac:dyDescent="0.35">
      <c r="A89" s="982"/>
      <c r="B89" s="26"/>
      <c r="C89" s="1209" t="s">
        <v>74</v>
      </c>
      <c r="D89" s="1002"/>
      <c r="E89" s="156" t="s">
        <v>95</v>
      </c>
      <c r="F89" s="156" t="s">
        <v>95</v>
      </c>
      <c r="G89" s="156">
        <v>-20.28</v>
      </c>
      <c r="H89" s="156" t="s">
        <v>95</v>
      </c>
      <c r="I89" s="156">
        <v>-20.279497330000002</v>
      </c>
      <c r="J89" s="156" t="s">
        <v>95</v>
      </c>
      <c r="K89" s="156">
        <v>-20.279497299999999</v>
      </c>
      <c r="L89" s="156" t="s">
        <v>95</v>
      </c>
      <c r="M89" s="156">
        <v>-20.279497330000002</v>
      </c>
      <c r="N89" s="156" t="s">
        <v>95</v>
      </c>
      <c r="O89" s="156" t="s">
        <v>95</v>
      </c>
      <c r="P89" s="156" t="s">
        <v>95</v>
      </c>
      <c r="Q89" s="156" t="s">
        <v>95</v>
      </c>
      <c r="R89" s="156" t="s">
        <v>95</v>
      </c>
      <c r="S89" s="156" t="s">
        <v>95</v>
      </c>
      <c r="T89" s="156" t="s">
        <v>95</v>
      </c>
      <c r="U89" s="156" t="s">
        <v>95</v>
      </c>
      <c r="V89" s="156" t="s">
        <v>95</v>
      </c>
      <c r="W89" s="156" t="s">
        <v>95</v>
      </c>
      <c r="X89" s="156" t="s">
        <v>95</v>
      </c>
      <c r="Y89" s="156" t="s">
        <v>95</v>
      </c>
      <c r="Z89" s="156" t="s">
        <v>95</v>
      </c>
      <c r="AA89" s="156" t="s">
        <v>95</v>
      </c>
      <c r="AB89" s="156" t="s">
        <v>95</v>
      </c>
      <c r="AC89" s="156" t="s">
        <v>95</v>
      </c>
      <c r="AD89" s="156" t="s">
        <v>95</v>
      </c>
      <c r="AE89" s="156" t="s">
        <v>95</v>
      </c>
      <c r="AF89" s="156" t="s">
        <v>95</v>
      </c>
      <c r="AG89" s="156" t="s">
        <v>95</v>
      </c>
      <c r="AH89" s="156" t="s">
        <v>95</v>
      </c>
      <c r="AI89" s="156" t="s">
        <v>95</v>
      </c>
      <c r="AJ89" s="156" t="s">
        <v>95</v>
      </c>
      <c r="AK89" s="156" t="s">
        <v>95</v>
      </c>
      <c r="AL89" s="156" t="s">
        <v>95</v>
      </c>
      <c r="AM89" s="156" t="s">
        <v>95</v>
      </c>
      <c r="AN89" s="156" t="s">
        <v>95</v>
      </c>
      <c r="AO89" s="156" t="s">
        <v>95</v>
      </c>
      <c r="AP89" s="156" t="s">
        <v>95</v>
      </c>
      <c r="AQ89" s="156" t="s">
        <v>95</v>
      </c>
      <c r="AR89" s="156" t="s">
        <v>95</v>
      </c>
      <c r="AS89" s="156" t="s">
        <v>95</v>
      </c>
      <c r="AT89" s="341" t="s">
        <v>95</v>
      </c>
      <c r="AU89" s="22"/>
    </row>
    <row r="90" spans="1:47" ht="14.25" customHeight="1" x14ac:dyDescent="0.35">
      <c r="A90" s="982"/>
      <c r="B90" s="26"/>
      <c r="C90" s="1209" t="s">
        <v>103</v>
      </c>
      <c r="D90" s="1002"/>
      <c r="E90" s="156" t="s">
        <v>95</v>
      </c>
      <c r="F90" s="156" t="s">
        <v>95</v>
      </c>
      <c r="G90" s="156">
        <v>-20.28</v>
      </c>
      <c r="H90" s="156" t="s">
        <v>95</v>
      </c>
      <c r="I90" s="156">
        <v>-20.279497330000002</v>
      </c>
      <c r="J90" s="156" t="s">
        <v>95</v>
      </c>
      <c r="K90" s="156">
        <v>-20.279497299999999</v>
      </c>
      <c r="L90" s="156" t="s">
        <v>95</v>
      </c>
      <c r="M90" s="156">
        <v>-20.279497330000002</v>
      </c>
      <c r="N90" s="156" t="s">
        <v>95</v>
      </c>
      <c r="O90" s="156" t="s">
        <v>95</v>
      </c>
      <c r="P90" s="156" t="s">
        <v>95</v>
      </c>
      <c r="Q90" s="156" t="s">
        <v>95</v>
      </c>
      <c r="R90" s="156" t="s">
        <v>95</v>
      </c>
      <c r="S90" s="156" t="s">
        <v>95</v>
      </c>
      <c r="T90" s="156" t="s">
        <v>95</v>
      </c>
      <c r="U90" s="156" t="s">
        <v>95</v>
      </c>
      <c r="V90" s="156" t="s">
        <v>95</v>
      </c>
      <c r="W90" s="156" t="s">
        <v>95</v>
      </c>
      <c r="X90" s="156" t="s">
        <v>95</v>
      </c>
      <c r="Y90" s="156" t="s">
        <v>95</v>
      </c>
      <c r="Z90" s="156" t="s">
        <v>95</v>
      </c>
      <c r="AA90" s="156" t="s">
        <v>95</v>
      </c>
      <c r="AB90" s="156" t="s">
        <v>95</v>
      </c>
      <c r="AC90" s="156" t="s">
        <v>95</v>
      </c>
      <c r="AD90" s="156" t="s">
        <v>95</v>
      </c>
      <c r="AE90" s="156" t="s">
        <v>95</v>
      </c>
      <c r="AF90" s="156" t="s">
        <v>95</v>
      </c>
      <c r="AG90" s="156" t="s">
        <v>95</v>
      </c>
      <c r="AH90" s="156" t="s">
        <v>95</v>
      </c>
      <c r="AI90" s="156" t="s">
        <v>95</v>
      </c>
      <c r="AJ90" s="156" t="s">
        <v>95</v>
      </c>
      <c r="AK90" s="156" t="s">
        <v>95</v>
      </c>
      <c r="AL90" s="156" t="s">
        <v>95</v>
      </c>
      <c r="AM90" s="156" t="s">
        <v>95</v>
      </c>
      <c r="AN90" s="156" t="s">
        <v>95</v>
      </c>
      <c r="AO90" s="156" t="s">
        <v>95</v>
      </c>
      <c r="AP90" s="156" t="s">
        <v>95</v>
      </c>
      <c r="AQ90" s="156" t="s">
        <v>95</v>
      </c>
      <c r="AR90" s="156" t="s">
        <v>95</v>
      </c>
      <c r="AS90" s="156" t="s">
        <v>95</v>
      </c>
      <c r="AT90" s="341" t="s">
        <v>95</v>
      </c>
      <c r="AU90" s="22"/>
    </row>
    <row r="91" spans="1:47" ht="14.25" customHeight="1" x14ac:dyDescent="0.35">
      <c r="A91" s="982"/>
      <c r="B91" s="26"/>
      <c r="C91" s="1211" t="s">
        <v>80</v>
      </c>
      <c r="D91" s="1002"/>
      <c r="E91" s="156"/>
      <c r="F91" s="156"/>
      <c r="G91" s="156" t="s">
        <v>95</v>
      </c>
      <c r="H91" s="156"/>
      <c r="I91" s="156" t="s">
        <v>95</v>
      </c>
      <c r="J91" s="156"/>
      <c r="K91" s="156"/>
      <c r="L91" s="156"/>
      <c r="M91" s="156" t="s">
        <v>95</v>
      </c>
      <c r="N91" s="156"/>
      <c r="O91" s="156"/>
      <c r="P91" s="156"/>
      <c r="Q91" s="156"/>
      <c r="R91" s="156"/>
      <c r="S91" s="156"/>
      <c r="T91" s="156"/>
      <c r="U91" s="156"/>
      <c r="V91" s="156"/>
      <c r="W91" s="156"/>
      <c r="X91" s="156"/>
      <c r="Y91" s="156"/>
      <c r="Z91" s="156"/>
      <c r="AA91" s="156"/>
      <c r="AB91" s="156"/>
      <c r="AC91" s="156"/>
      <c r="AD91" s="156"/>
      <c r="AE91" s="156"/>
      <c r="AF91" s="156"/>
      <c r="AG91" s="156"/>
      <c r="AH91" s="156"/>
      <c r="AI91" s="156"/>
      <c r="AJ91" s="156"/>
      <c r="AK91" s="156"/>
      <c r="AL91" s="156"/>
      <c r="AM91" s="156"/>
      <c r="AN91" s="156"/>
      <c r="AO91" s="156"/>
      <c r="AP91" s="156"/>
      <c r="AQ91" s="156"/>
      <c r="AR91" s="156"/>
      <c r="AS91" s="156"/>
      <c r="AT91" s="341"/>
      <c r="AU91" s="22"/>
    </row>
    <row r="92" spans="1:47" ht="14.25" customHeight="1" x14ac:dyDescent="0.35">
      <c r="A92" s="982"/>
      <c r="B92" s="26"/>
      <c r="C92" s="1209" t="s">
        <v>57</v>
      </c>
      <c r="D92" s="1002"/>
      <c r="E92" s="156" t="s">
        <v>95</v>
      </c>
      <c r="F92" s="156" t="s">
        <v>95</v>
      </c>
      <c r="G92" s="156">
        <v>-20.28</v>
      </c>
      <c r="H92" s="156" t="s">
        <v>95</v>
      </c>
      <c r="I92" s="156">
        <v>-20.279497330000002</v>
      </c>
      <c r="J92" s="156" t="s">
        <v>95</v>
      </c>
      <c r="K92" s="156">
        <v>-20.279497299999999</v>
      </c>
      <c r="L92" s="156" t="s">
        <v>95</v>
      </c>
      <c r="M92" s="156">
        <v>-20.279497330000002</v>
      </c>
      <c r="N92" s="156" t="s">
        <v>95</v>
      </c>
      <c r="O92" s="156" t="s">
        <v>95</v>
      </c>
      <c r="P92" s="156" t="s">
        <v>95</v>
      </c>
      <c r="Q92" s="156" t="s">
        <v>95</v>
      </c>
      <c r="R92" s="156" t="s">
        <v>95</v>
      </c>
      <c r="S92" s="156" t="s">
        <v>95</v>
      </c>
      <c r="T92" s="156" t="s">
        <v>95</v>
      </c>
      <c r="U92" s="156" t="s">
        <v>95</v>
      </c>
      <c r="V92" s="156" t="s">
        <v>95</v>
      </c>
      <c r="W92" s="156" t="s">
        <v>95</v>
      </c>
      <c r="X92" s="156" t="s">
        <v>95</v>
      </c>
      <c r="Y92" s="156" t="s">
        <v>95</v>
      </c>
      <c r="Z92" s="156" t="s">
        <v>95</v>
      </c>
      <c r="AA92" s="156" t="s">
        <v>95</v>
      </c>
      <c r="AB92" s="156" t="s">
        <v>95</v>
      </c>
      <c r="AC92" s="156" t="s">
        <v>95</v>
      </c>
      <c r="AD92" s="156" t="s">
        <v>95</v>
      </c>
      <c r="AE92" s="156" t="s">
        <v>95</v>
      </c>
      <c r="AF92" s="156" t="s">
        <v>95</v>
      </c>
      <c r="AG92" s="156" t="s">
        <v>95</v>
      </c>
      <c r="AH92" s="156" t="s">
        <v>95</v>
      </c>
      <c r="AI92" s="156" t="s">
        <v>95</v>
      </c>
      <c r="AJ92" s="156" t="s">
        <v>95</v>
      </c>
      <c r="AK92" s="156" t="s">
        <v>95</v>
      </c>
      <c r="AL92" s="156" t="s">
        <v>95</v>
      </c>
      <c r="AM92" s="156" t="s">
        <v>95</v>
      </c>
      <c r="AN92" s="156" t="s">
        <v>95</v>
      </c>
      <c r="AO92" s="156" t="s">
        <v>95</v>
      </c>
      <c r="AP92" s="156" t="s">
        <v>95</v>
      </c>
      <c r="AQ92" s="156" t="s">
        <v>95</v>
      </c>
      <c r="AR92" s="156" t="s">
        <v>95</v>
      </c>
      <c r="AS92" s="156" t="s">
        <v>95</v>
      </c>
      <c r="AT92" s="341" t="s">
        <v>95</v>
      </c>
      <c r="AU92" s="22"/>
    </row>
    <row r="93" spans="1:47" ht="14.25" customHeight="1" x14ac:dyDescent="0.35">
      <c r="A93" s="960"/>
      <c r="B93" s="26"/>
      <c r="C93" s="160" t="s">
        <v>95</v>
      </c>
      <c r="D93" s="161" t="s">
        <v>95</v>
      </c>
      <c r="E93" s="162" t="s">
        <v>95</v>
      </c>
      <c r="F93" s="162" t="s">
        <v>95</v>
      </c>
      <c r="G93" s="162" t="s">
        <v>95</v>
      </c>
      <c r="H93" s="162" t="s">
        <v>95</v>
      </c>
      <c r="I93" s="162" t="s">
        <v>95</v>
      </c>
      <c r="J93" s="162" t="s">
        <v>95</v>
      </c>
      <c r="K93" s="162" t="s">
        <v>95</v>
      </c>
      <c r="L93" s="162" t="s">
        <v>95</v>
      </c>
      <c r="M93" s="162" t="s">
        <v>95</v>
      </c>
      <c r="N93" s="162" t="s">
        <v>95</v>
      </c>
      <c r="O93" s="162" t="s">
        <v>95</v>
      </c>
      <c r="P93" s="162" t="s">
        <v>95</v>
      </c>
      <c r="Q93" s="162" t="s">
        <v>95</v>
      </c>
      <c r="R93" s="162" t="s">
        <v>95</v>
      </c>
      <c r="S93" s="162" t="s">
        <v>95</v>
      </c>
      <c r="T93" s="162" t="s">
        <v>95</v>
      </c>
      <c r="U93" s="162" t="s">
        <v>95</v>
      </c>
      <c r="V93" s="162" t="s">
        <v>95</v>
      </c>
      <c r="W93" s="162" t="s">
        <v>95</v>
      </c>
      <c r="X93" s="162" t="s">
        <v>95</v>
      </c>
      <c r="Y93" s="162" t="s">
        <v>95</v>
      </c>
      <c r="Z93" s="162" t="s">
        <v>95</v>
      </c>
      <c r="AA93" s="162" t="s">
        <v>95</v>
      </c>
      <c r="AB93" s="162" t="s">
        <v>95</v>
      </c>
      <c r="AC93" s="162" t="s">
        <v>95</v>
      </c>
      <c r="AD93" s="162" t="s">
        <v>95</v>
      </c>
      <c r="AE93" s="162" t="s">
        <v>95</v>
      </c>
      <c r="AF93" s="162" t="s">
        <v>95</v>
      </c>
      <c r="AG93" s="162" t="s">
        <v>95</v>
      </c>
      <c r="AH93" s="162" t="s">
        <v>95</v>
      </c>
      <c r="AI93" s="162" t="s">
        <v>95</v>
      </c>
      <c r="AJ93" s="162" t="s">
        <v>95</v>
      </c>
      <c r="AK93" s="162" t="s">
        <v>95</v>
      </c>
      <c r="AL93" s="162" t="s">
        <v>95</v>
      </c>
      <c r="AM93" s="162" t="s">
        <v>95</v>
      </c>
      <c r="AN93" s="162" t="s">
        <v>95</v>
      </c>
      <c r="AO93" s="162" t="s">
        <v>95</v>
      </c>
      <c r="AP93" s="162" t="s">
        <v>95</v>
      </c>
      <c r="AQ93" s="162" t="s">
        <v>95</v>
      </c>
      <c r="AR93" s="162" t="s">
        <v>95</v>
      </c>
      <c r="AS93" s="162" t="s">
        <v>95</v>
      </c>
      <c r="AT93" s="350" t="s">
        <v>95</v>
      </c>
      <c r="AU93" s="22"/>
    </row>
    <row r="94" spans="1:47" ht="14.25" customHeight="1" x14ac:dyDescent="0.35">
      <c r="A94" s="960"/>
      <c r="B94" s="26"/>
      <c r="C94" s="164" t="s">
        <v>95</v>
      </c>
      <c r="D94" s="165" t="s">
        <v>95</v>
      </c>
      <c r="E94" s="165" t="s">
        <v>95</v>
      </c>
      <c r="F94" s="165" t="s">
        <v>95</v>
      </c>
      <c r="G94" s="165" t="s">
        <v>95</v>
      </c>
      <c r="H94" s="165" t="s">
        <v>95</v>
      </c>
      <c r="I94" s="165" t="s">
        <v>95</v>
      </c>
      <c r="J94" s="165" t="s">
        <v>95</v>
      </c>
      <c r="K94" s="165" t="s">
        <v>95</v>
      </c>
      <c r="L94" s="165" t="s">
        <v>95</v>
      </c>
      <c r="M94" s="165" t="s">
        <v>95</v>
      </c>
      <c r="N94" s="165" t="s">
        <v>95</v>
      </c>
      <c r="O94" s="165" t="s">
        <v>95</v>
      </c>
      <c r="P94" s="165" t="s">
        <v>95</v>
      </c>
      <c r="Q94" s="165" t="s">
        <v>95</v>
      </c>
      <c r="R94" s="165" t="s">
        <v>95</v>
      </c>
      <c r="S94" s="165" t="s">
        <v>95</v>
      </c>
      <c r="T94" s="165" t="s">
        <v>95</v>
      </c>
      <c r="U94" s="165" t="s">
        <v>95</v>
      </c>
      <c r="V94" s="165" t="s">
        <v>95</v>
      </c>
      <c r="W94" s="165" t="s">
        <v>95</v>
      </c>
      <c r="X94" s="165" t="s">
        <v>95</v>
      </c>
      <c r="Y94" s="165" t="s">
        <v>95</v>
      </c>
      <c r="Z94" s="165" t="s">
        <v>95</v>
      </c>
      <c r="AA94" s="165" t="s">
        <v>95</v>
      </c>
      <c r="AB94" s="165" t="s">
        <v>95</v>
      </c>
      <c r="AC94" s="165" t="s">
        <v>95</v>
      </c>
      <c r="AD94" s="165" t="s">
        <v>95</v>
      </c>
      <c r="AE94" s="165" t="s">
        <v>95</v>
      </c>
      <c r="AF94" s="165" t="s">
        <v>95</v>
      </c>
      <c r="AG94" s="165" t="s">
        <v>95</v>
      </c>
      <c r="AH94" s="165" t="s">
        <v>95</v>
      </c>
      <c r="AI94" s="165" t="s">
        <v>95</v>
      </c>
      <c r="AJ94" s="165" t="s">
        <v>95</v>
      </c>
      <c r="AK94" s="165" t="s">
        <v>95</v>
      </c>
      <c r="AL94" s="165" t="s">
        <v>95</v>
      </c>
      <c r="AM94" s="165" t="s">
        <v>95</v>
      </c>
      <c r="AN94" s="165" t="s">
        <v>95</v>
      </c>
      <c r="AO94" s="165" t="s">
        <v>95</v>
      </c>
      <c r="AP94" s="165" t="s">
        <v>95</v>
      </c>
      <c r="AQ94" s="165" t="s">
        <v>95</v>
      </c>
      <c r="AR94" s="165" t="s">
        <v>95</v>
      </c>
      <c r="AS94" s="165" t="s">
        <v>95</v>
      </c>
      <c r="AT94" s="159" t="s">
        <v>95</v>
      </c>
      <c r="AU94" s="22"/>
    </row>
    <row r="95" spans="1:47" ht="14.25" customHeight="1" x14ac:dyDescent="0.4">
      <c r="A95" s="960"/>
      <c r="B95" s="26"/>
      <c r="C95" s="164"/>
      <c r="D95" s="165"/>
      <c r="E95" s="1212" t="s">
        <v>237</v>
      </c>
      <c r="F95" s="1006"/>
      <c r="G95" s="1006"/>
      <c r="H95" s="1006"/>
      <c r="I95" s="1006"/>
      <c r="J95" s="1006"/>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59"/>
      <c r="AU95" s="22"/>
    </row>
    <row r="96" spans="1:47" ht="14.25" customHeight="1" x14ac:dyDescent="0.35">
      <c r="A96" s="960"/>
      <c r="B96" s="26"/>
      <c r="C96" s="164"/>
      <c r="D96" s="165"/>
      <c r="E96" s="344" t="s">
        <v>238</v>
      </c>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59"/>
      <c r="AU96" s="22"/>
    </row>
    <row r="97" spans="1:47" ht="14.25" customHeight="1" x14ac:dyDescent="0.35">
      <c r="A97" s="960">
        <v>6</v>
      </c>
      <c r="B97" s="26"/>
      <c r="C97" s="1213" t="s">
        <v>239</v>
      </c>
      <c r="D97" s="1214"/>
      <c r="E97" s="351"/>
      <c r="F97" s="351"/>
      <c r="G97" s="351">
        <v>9.9606179200000007</v>
      </c>
      <c r="H97" s="351"/>
      <c r="I97" s="351">
        <v>9.9606179200000007</v>
      </c>
      <c r="J97" s="352"/>
      <c r="K97" s="351">
        <v>9.9606200000000005</v>
      </c>
      <c r="L97" s="351"/>
      <c r="M97" s="351">
        <v>9.9606200000000005</v>
      </c>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118"/>
      <c r="AU97" s="22"/>
    </row>
    <row r="98" spans="1:47" ht="14.25" customHeight="1" x14ac:dyDescent="0.35">
      <c r="A98" s="960"/>
      <c r="B98" s="26"/>
      <c r="C98" s="22"/>
      <c r="D98" s="22"/>
      <c r="E98" s="22"/>
      <c r="F98" s="112"/>
      <c r="G98" s="112"/>
      <c r="H98" s="11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row>
    <row r="99" spans="1:47" ht="14.25" customHeight="1" x14ac:dyDescent="0.35">
      <c r="A99" s="960"/>
      <c r="B99" s="26"/>
      <c r="F99" s="112"/>
      <c r="G99" s="112"/>
      <c r="H99" s="112"/>
    </row>
    <row r="100" spans="1:47" ht="14.25" customHeight="1" x14ac:dyDescent="0.35">
      <c r="A100" s="960"/>
      <c r="B100" s="944"/>
      <c r="C100" s="45"/>
      <c r="D100" s="45" t="s">
        <v>114</v>
      </c>
      <c r="E100" s="45"/>
      <c r="F100" s="112"/>
      <c r="G100" s="112"/>
      <c r="H100" s="112"/>
    </row>
    <row r="101" spans="1:47" ht="14.25" customHeight="1" x14ac:dyDescent="0.35">
      <c r="A101" s="960"/>
      <c r="B101" s="944">
        <v>1</v>
      </c>
      <c r="C101" s="45"/>
      <c r="D101" s="45" t="s">
        <v>240</v>
      </c>
      <c r="E101" s="45"/>
      <c r="F101" s="112"/>
      <c r="G101" s="112"/>
      <c r="H101" s="112"/>
    </row>
    <row r="102" spans="1:47" ht="14.25" customHeight="1" x14ac:dyDescent="0.35">
      <c r="A102" s="960"/>
      <c r="B102" s="944">
        <v>2</v>
      </c>
      <c r="C102" s="45"/>
      <c r="D102" s="45" t="s">
        <v>241</v>
      </c>
      <c r="E102" s="45"/>
      <c r="F102" s="112"/>
      <c r="G102" s="112"/>
      <c r="H102" s="112"/>
    </row>
    <row r="103" spans="1:47" ht="14.25" customHeight="1" x14ac:dyDescent="0.35">
      <c r="A103" s="960"/>
      <c r="B103" s="944">
        <v>3</v>
      </c>
      <c r="C103" s="45"/>
      <c r="D103" s="45" t="s">
        <v>242</v>
      </c>
      <c r="E103" s="45"/>
      <c r="F103" s="112"/>
      <c r="G103" s="112"/>
      <c r="H103" s="112"/>
    </row>
    <row r="104" spans="1:47" ht="14.25" customHeight="1" x14ac:dyDescent="0.35">
      <c r="A104" s="960"/>
      <c r="B104" s="944">
        <v>4</v>
      </c>
      <c r="C104" s="45"/>
      <c r="D104" s="45" t="s">
        <v>243</v>
      </c>
      <c r="E104" s="45"/>
      <c r="F104" s="112"/>
      <c r="G104" s="112"/>
      <c r="H104" s="112"/>
    </row>
    <row r="105" spans="1:47" ht="14.25" customHeight="1" x14ac:dyDescent="0.35">
      <c r="A105" s="960"/>
      <c r="B105" s="944">
        <v>5</v>
      </c>
      <c r="C105" s="45"/>
      <c r="D105" s="45" t="s">
        <v>244</v>
      </c>
      <c r="E105" s="45"/>
      <c r="F105" s="112"/>
      <c r="G105" s="112"/>
      <c r="H105" s="112"/>
    </row>
    <row r="106" spans="1:47" ht="14.25" customHeight="1" x14ac:dyDescent="0.35">
      <c r="A106" s="960"/>
      <c r="B106" s="944">
        <v>6</v>
      </c>
      <c r="D106" s="119" t="s">
        <v>245</v>
      </c>
      <c r="E106" s="112"/>
      <c r="F106" s="112"/>
      <c r="G106" s="112"/>
      <c r="H106" s="112"/>
    </row>
    <row r="107" spans="1:47" ht="14.25" customHeight="1" x14ac:dyDescent="0.35">
      <c r="A107" s="960"/>
      <c r="B107" s="26"/>
      <c r="D107" s="93"/>
      <c r="E107" s="112"/>
      <c r="F107" s="112"/>
      <c r="G107" s="112"/>
      <c r="H107" s="112"/>
    </row>
    <row r="108" spans="1:47" ht="14.25" customHeight="1" x14ac:dyDescent="0.35">
      <c r="A108" s="960"/>
      <c r="B108" s="26"/>
      <c r="D108" s="93"/>
      <c r="E108" s="112"/>
      <c r="F108" s="112"/>
      <c r="G108" s="112"/>
      <c r="H108" s="112"/>
    </row>
    <row r="109" spans="1:47" ht="14.25" customHeight="1" x14ac:dyDescent="0.35">
      <c r="A109" s="960"/>
      <c r="B109" s="26"/>
      <c r="D109" s="93"/>
      <c r="E109" s="112"/>
      <c r="F109" s="112"/>
      <c r="G109" s="112"/>
      <c r="H109" s="112"/>
    </row>
    <row r="110" spans="1:47" ht="14.25" customHeight="1" x14ac:dyDescent="0.35">
      <c r="A110" s="960"/>
      <c r="B110" s="26"/>
      <c r="D110" s="93"/>
      <c r="E110" s="112"/>
      <c r="F110" s="112"/>
      <c r="G110" s="112"/>
      <c r="H110" s="112"/>
    </row>
    <row r="111" spans="1:47" ht="14.25" customHeight="1" x14ac:dyDescent="0.35">
      <c r="A111" s="960"/>
      <c r="B111" s="26"/>
      <c r="D111" s="93"/>
      <c r="E111" s="112"/>
      <c r="F111" s="112"/>
      <c r="G111" s="112"/>
      <c r="H111" s="112"/>
    </row>
    <row r="112" spans="1:47" ht="14.25" customHeight="1" x14ac:dyDescent="0.35">
      <c r="A112" s="960"/>
      <c r="B112" s="26"/>
      <c r="D112" s="93"/>
      <c r="E112" s="112"/>
      <c r="F112" s="112"/>
      <c r="G112" s="112"/>
      <c r="H112" s="112"/>
    </row>
    <row r="113" spans="1:8" ht="14.25" customHeight="1" x14ac:dyDescent="0.35">
      <c r="A113" s="960"/>
      <c r="B113" s="26"/>
      <c r="D113" s="93"/>
      <c r="E113" s="112"/>
      <c r="F113" s="112"/>
      <c r="G113" s="112"/>
      <c r="H113" s="112"/>
    </row>
    <row r="114" spans="1:8" ht="14.25" customHeight="1" x14ac:dyDescent="0.35">
      <c r="A114" s="960"/>
      <c r="B114" s="26"/>
      <c r="D114" s="93"/>
      <c r="E114" s="112"/>
      <c r="F114" s="112"/>
      <c r="G114" s="112"/>
      <c r="H114" s="112"/>
    </row>
    <row r="115" spans="1:8" ht="14.25" customHeight="1" x14ac:dyDescent="0.35">
      <c r="A115" s="960"/>
      <c r="B115" s="26"/>
      <c r="D115" s="93"/>
      <c r="E115" s="112"/>
      <c r="F115" s="112"/>
      <c r="G115" s="112"/>
      <c r="H115" s="112"/>
    </row>
    <row r="116" spans="1:8" ht="14.25" customHeight="1" x14ac:dyDescent="0.35">
      <c r="A116" s="960"/>
      <c r="B116" s="26"/>
      <c r="D116" s="93"/>
      <c r="E116" s="112"/>
      <c r="F116" s="112"/>
      <c r="G116" s="112"/>
      <c r="H116" s="112"/>
    </row>
    <row r="117" spans="1:8" ht="14.25" customHeight="1" x14ac:dyDescent="0.35">
      <c r="A117" s="960"/>
      <c r="B117" s="26"/>
      <c r="D117" s="93"/>
      <c r="E117" s="112"/>
      <c r="F117" s="112"/>
      <c r="G117" s="112"/>
      <c r="H117" s="112"/>
    </row>
    <row r="118" spans="1:8" ht="14.25" customHeight="1" x14ac:dyDescent="0.35">
      <c r="A118" s="960"/>
      <c r="B118" s="26"/>
      <c r="D118" s="93"/>
      <c r="E118" s="112"/>
      <c r="F118" s="112"/>
      <c r="G118" s="112"/>
      <c r="H118" s="112"/>
    </row>
    <row r="119" spans="1:8" ht="14.25" customHeight="1" x14ac:dyDescent="0.35">
      <c r="A119" s="960"/>
      <c r="B119" s="26"/>
      <c r="D119" s="93"/>
      <c r="E119" s="112"/>
      <c r="F119" s="112"/>
      <c r="G119" s="112"/>
      <c r="H119" s="112"/>
    </row>
    <row r="120" spans="1:8" ht="14.25" customHeight="1" x14ac:dyDescent="0.35">
      <c r="A120" s="960"/>
      <c r="B120" s="26"/>
      <c r="D120" s="93"/>
      <c r="E120" s="112"/>
      <c r="F120" s="112"/>
      <c r="G120" s="112"/>
      <c r="H120" s="112"/>
    </row>
    <row r="121" spans="1:8" ht="14.25" customHeight="1" x14ac:dyDescent="0.35">
      <c r="A121" s="960"/>
      <c r="B121" s="26"/>
      <c r="D121" s="93"/>
      <c r="E121" s="112"/>
      <c r="F121" s="112"/>
      <c r="G121" s="112"/>
      <c r="H121" s="112"/>
    </row>
    <row r="122" spans="1:8" ht="14.25" customHeight="1" x14ac:dyDescent="0.35">
      <c r="A122" s="960"/>
      <c r="B122" s="26"/>
      <c r="D122" s="93"/>
      <c r="E122" s="112"/>
      <c r="F122" s="112"/>
      <c r="G122" s="112"/>
      <c r="H122" s="112"/>
    </row>
    <row r="123" spans="1:8" ht="14.25" customHeight="1" x14ac:dyDescent="0.35">
      <c r="A123" s="960"/>
      <c r="B123" s="26"/>
      <c r="D123" s="93"/>
      <c r="E123" s="112"/>
      <c r="F123" s="112"/>
      <c r="G123" s="112"/>
      <c r="H123" s="112"/>
    </row>
    <row r="124" spans="1:8" ht="14.25" customHeight="1" x14ac:dyDescent="0.35">
      <c r="A124" s="960"/>
      <c r="B124" s="26"/>
      <c r="D124" s="93"/>
      <c r="E124" s="112"/>
      <c r="F124" s="112"/>
      <c r="G124" s="112"/>
      <c r="H124" s="112"/>
    </row>
    <row r="125" spans="1:8" ht="14.25" customHeight="1" x14ac:dyDescent="0.35">
      <c r="A125" s="960"/>
      <c r="B125" s="26"/>
      <c r="D125" s="93"/>
      <c r="E125" s="112"/>
      <c r="F125" s="112"/>
      <c r="G125" s="112"/>
      <c r="H125" s="112"/>
    </row>
    <row r="126" spans="1:8" ht="14.25" customHeight="1" x14ac:dyDescent="0.35">
      <c r="A126" s="960"/>
      <c r="B126" s="26"/>
      <c r="D126" s="93"/>
      <c r="E126" s="112"/>
      <c r="F126" s="112"/>
      <c r="G126" s="112"/>
      <c r="H126" s="112"/>
    </row>
    <row r="127" spans="1:8" ht="14.25" customHeight="1" x14ac:dyDescent="0.35">
      <c r="A127" s="960"/>
      <c r="B127" s="26"/>
      <c r="D127" s="93"/>
      <c r="E127" s="112"/>
      <c r="F127" s="112"/>
      <c r="G127" s="112"/>
      <c r="H127" s="112"/>
    </row>
    <row r="128" spans="1:8" ht="14.25" customHeight="1" x14ac:dyDescent="0.35">
      <c r="A128" s="960"/>
      <c r="B128" s="26"/>
      <c r="D128" s="93"/>
      <c r="E128" s="112"/>
      <c r="F128" s="112"/>
      <c r="G128" s="112"/>
      <c r="H128" s="112"/>
    </row>
    <row r="129" spans="1:8" ht="14.25" customHeight="1" x14ac:dyDescent="0.35">
      <c r="A129" s="960"/>
      <c r="B129" s="26"/>
      <c r="D129" s="93"/>
      <c r="E129" s="112"/>
      <c r="F129" s="112"/>
      <c r="G129" s="112"/>
      <c r="H129" s="112"/>
    </row>
    <row r="130" spans="1:8" ht="14.25" customHeight="1" x14ac:dyDescent="0.35">
      <c r="A130" s="960"/>
      <c r="B130" s="26"/>
      <c r="D130" s="93"/>
      <c r="E130" s="112"/>
      <c r="F130" s="112"/>
      <c r="G130" s="112"/>
      <c r="H130" s="112"/>
    </row>
    <row r="131" spans="1:8" ht="14.25" customHeight="1" x14ac:dyDescent="0.35">
      <c r="A131" s="960"/>
      <c r="B131" s="26"/>
      <c r="D131" s="93"/>
      <c r="E131" s="112"/>
      <c r="F131" s="112"/>
      <c r="G131" s="112"/>
      <c r="H131" s="112"/>
    </row>
    <row r="132" spans="1:8" ht="14.25" customHeight="1" x14ac:dyDescent="0.35">
      <c r="A132" s="960"/>
      <c r="B132" s="26"/>
      <c r="D132" s="93"/>
      <c r="E132" s="112"/>
      <c r="F132" s="112"/>
      <c r="G132" s="112"/>
      <c r="H132" s="112"/>
    </row>
    <row r="133" spans="1:8" ht="14.25" customHeight="1" x14ac:dyDescent="0.35">
      <c r="A133" s="960"/>
      <c r="B133" s="26"/>
      <c r="D133" s="93"/>
      <c r="E133" s="112"/>
      <c r="F133" s="112"/>
      <c r="G133" s="112"/>
      <c r="H133" s="112"/>
    </row>
    <row r="134" spans="1:8" ht="14.25" customHeight="1" x14ac:dyDescent="0.35">
      <c r="A134" s="960"/>
      <c r="B134" s="26"/>
      <c r="D134" s="93"/>
      <c r="E134" s="112"/>
      <c r="F134" s="112"/>
      <c r="G134" s="112"/>
      <c r="H134" s="112"/>
    </row>
    <row r="135" spans="1:8" ht="14.25" customHeight="1" x14ac:dyDescent="0.35">
      <c r="A135" s="960"/>
      <c r="B135" s="26"/>
      <c r="D135" s="93"/>
      <c r="E135" s="112"/>
      <c r="F135" s="112"/>
      <c r="G135" s="112"/>
      <c r="H135" s="112"/>
    </row>
    <row r="136" spans="1:8" ht="14.25" customHeight="1" x14ac:dyDescent="0.35">
      <c r="A136" s="960"/>
      <c r="B136" s="26"/>
      <c r="D136" s="93"/>
      <c r="E136" s="112"/>
      <c r="F136" s="112"/>
      <c r="G136" s="112"/>
      <c r="H136" s="112"/>
    </row>
    <row r="137" spans="1:8" ht="14.25" customHeight="1" x14ac:dyDescent="0.35">
      <c r="A137" s="960"/>
      <c r="B137" s="26"/>
      <c r="D137" s="93"/>
      <c r="E137" s="112"/>
      <c r="F137" s="112"/>
      <c r="G137" s="112"/>
      <c r="H137" s="112"/>
    </row>
    <row r="138" spans="1:8" ht="14.25" customHeight="1" x14ac:dyDescent="0.35">
      <c r="A138" s="960"/>
      <c r="B138" s="26"/>
      <c r="D138" s="93"/>
      <c r="E138" s="112"/>
      <c r="F138" s="112"/>
      <c r="G138" s="112"/>
      <c r="H138" s="112"/>
    </row>
    <row r="139" spans="1:8" ht="14.25" customHeight="1" x14ac:dyDescent="0.35">
      <c r="A139" s="960"/>
      <c r="B139" s="26"/>
      <c r="D139" s="93"/>
      <c r="E139" s="112"/>
      <c r="F139" s="112"/>
      <c r="G139" s="112"/>
      <c r="H139" s="112"/>
    </row>
    <row r="140" spans="1:8" ht="14.25" customHeight="1" x14ac:dyDescent="0.35">
      <c r="A140" s="960"/>
      <c r="B140" s="26"/>
      <c r="D140" s="93"/>
      <c r="E140" s="112"/>
      <c r="F140" s="112"/>
      <c r="G140" s="112"/>
      <c r="H140" s="112"/>
    </row>
    <row r="141" spans="1:8" ht="14.25" customHeight="1" x14ac:dyDescent="0.35">
      <c r="A141" s="960"/>
      <c r="B141" s="26"/>
      <c r="D141" s="93"/>
      <c r="E141" s="112"/>
      <c r="F141" s="112"/>
      <c r="G141" s="112"/>
      <c r="H141" s="112"/>
    </row>
    <row r="142" spans="1:8" ht="14.25" customHeight="1" x14ac:dyDescent="0.35">
      <c r="A142" s="960"/>
      <c r="B142" s="26"/>
      <c r="D142" s="93"/>
      <c r="E142" s="112"/>
      <c r="F142" s="112"/>
      <c r="G142" s="112"/>
      <c r="H142" s="112"/>
    </row>
    <row r="143" spans="1:8" ht="14.25" customHeight="1" x14ac:dyDescent="0.35">
      <c r="A143" s="960"/>
      <c r="B143" s="26"/>
      <c r="D143" s="93"/>
      <c r="E143" s="112"/>
      <c r="F143" s="112"/>
      <c r="G143" s="112"/>
      <c r="H143" s="112"/>
    </row>
    <row r="144" spans="1:8" ht="14.25" customHeight="1" x14ac:dyDescent="0.35">
      <c r="A144" s="960"/>
      <c r="B144" s="26"/>
      <c r="D144" s="93"/>
      <c r="E144" s="112"/>
      <c r="F144" s="112"/>
      <c r="G144" s="112"/>
      <c r="H144" s="112"/>
    </row>
    <row r="145" spans="1:8" ht="14.25" customHeight="1" x14ac:dyDescent="0.35">
      <c r="A145" s="960"/>
      <c r="B145" s="26"/>
      <c r="D145" s="93"/>
      <c r="E145" s="112"/>
      <c r="F145" s="112"/>
      <c r="G145" s="112"/>
      <c r="H145" s="112"/>
    </row>
    <row r="146" spans="1:8" ht="14.25" customHeight="1" x14ac:dyDescent="0.35">
      <c r="A146" s="960"/>
      <c r="B146" s="26"/>
      <c r="D146" s="93"/>
      <c r="E146" s="112"/>
      <c r="F146" s="112"/>
      <c r="G146" s="112"/>
      <c r="H146" s="112"/>
    </row>
    <row r="147" spans="1:8" ht="14.25" customHeight="1" x14ac:dyDescent="0.35">
      <c r="A147" s="960"/>
      <c r="B147" s="26"/>
      <c r="D147" s="93"/>
      <c r="E147" s="112"/>
      <c r="F147" s="112"/>
      <c r="G147" s="112"/>
      <c r="H147" s="112"/>
    </row>
    <row r="148" spans="1:8" ht="14.25" customHeight="1" x14ac:dyDescent="0.35">
      <c r="A148" s="960"/>
      <c r="B148" s="26"/>
      <c r="D148" s="93"/>
      <c r="E148" s="112"/>
      <c r="F148" s="112"/>
      <c r="G148" s="112"/>
      <c r="H148" s="112"/>
    </row>
    <row r="149" spans="1:8" ht="14.25" customHeight="1" x14ac:dyDescent="0.35">
      <c r="A149" s="960"/>
      <c r="B149" s="26"/>
      <c r="D149" s="93"/>
      <c r="E149" s="112"/>
      <c r="F149" s="112"/>
      <c r="G149" s="112"/>
      <c r="H149" s="112"/>
    </row>
    <row r="150" spans="1:8" ht="14.25" customHeight="1" x14ac:dyDescent="0.35">
      <c r="A150" s="960"/>
      <c r="B150" s="26"/>
      <c r="D150" s="93"/>
      <c r="E150" s="112"/>
      <c r="F150" s="112"/>
      <c r="G150" s="112"/>
      <c r="H150" s="112"/>
    </row>
    <row r="151" spans="1:8" ht="14.25" customHeight="1" x14ac:dyDescent="0.35">
      <c r="A151" s="960"/>
      <c r="B151" s="26"/>
      <c r="D151" s="93"/>
      <c r="E151" s="112"/>
      <c r="F151" s="112"/>
      <c r="G151" s="112"/>
      <c r="H151" s="112"/>
    </row>
    <row r="152" spans="1:8" ht="14.25" customHeight="1" x14ac:dyDescent="0.35">
      <c r="A152" s="960"/>
      <c r="B152" s="26"/>
      <c r="D152" s="93"/>
      <c r="E152" s="112"/>
      <c r="F152" s="112"/>
      <c r="G152" s="112"/>
      <c r="H152" s="112"/>
    </row>
    <row r="153" spans="1:8" ht="14.25" customHeight="1" x14ac:dyDescent="0.35">
      <c r="A153" s="960"/>
      <c r="B153" s="26"/>
      <c r="D153" s="93"/>
      <c r="E153" s="112"/>
      <c r="F153" s="112"/>
      <c r="G153" s="112"/>
      <c r="H153" s="112"/>
    </row>
    <row r="154" spans="1:8" ht="14.25" customHeight="1" x14ac:dyDescent="0.35">
      <c r="A154" s="960"/>
      <c r="B154" s="26"/>
      <c r="D154" s="93"/>
      <c r="E154" s="112"/>
      <c r="F154" s="112"/>
      <c r="G154" s="112"/>
      <c r="H154" s="112"/>
    </row>
    <row r="155" spans="1:8" ht="14.25" customHeight="1" x14ac:dyDescent="0.35">
      <c r="A155" s="960"/>
      <c r="B155" s="26"/>
      <c r="D155" s="93"/>
      <c r="E155" s="112"/>
      <c r="F155" s="112"/>
      <c r="G155" s="112"/>
      <c r="H155" s="112"/>
    </row>
    <row r="156" spans="1:8" ht="14.25" customHeight="1" x14ac:dyDescent="0.35">
      <c r="A156" s="960"/>
      <c r="B156" s="26"/>
      <c r="D156" s="93"/>
      <c r="E156" s="112"/>
      <c r="F156" s="112"/>
      <c r="G156" s="112"/>
      <c r="H156" s="112"/>
    </row>
    <row r="157" spans="1:8" ht="14.25" customHeight="1" x14ac:dyDescent="0.35">
      <c r="A157" s="960"/>
      <c r="B157" s="26"/>
      <c r="D157" s="93"/>
      <c r="E157" s="112"/>
      <c r="F157" s="112"/>
      <c r="G157" s="112"/>
      <c r="H157" s="112"/>
    </row>
    <row r="158" spans="1:8" ht="14.25" customHeight="1" x14ac:dyDescent="0.35">
      <c r="A158" s="960"/>
      <c r="B158" s="26"/>
      <c r="D158" s="93"/>
      <c r="E158" s="112"/>
      <c r="F158" s="112"/>
      <c r="G158" s="112"/>
      <c r="H158" s="112"/>
    </row>
    <row r="159" spans="1:8" ht="14.25" customHeight="1" x14ac:dyDescent="0.35">
      <c r="A159" s="960"/>
      <c r="B159" s="26"/>
      <c r="D159" s="93"/>
      <c r="E159" s="112"/>
      <c r="F159" s="112"/>
      <c r="G159" s="112"/>
      <c r="H159" s="112"/>
    </row>
    <row r="160" spans="1:8" ht="14.25" customHeight="1" x14ac:dyDescent="0.35">
      <c r="A160" s="960"/>
      <c r="B160" s="26"/>
      <c r="D160" s="93"/>
      <c r="E160" s="112"/>
      <c r="F160" s="112"/>
      <c r="G160" s="112"/>
      <c r="H160" s="112"/>
    </row>
    <row r="161" spans="1:8" ht="14.25" customHeight="1" x14ac:dyDescent="0.35">
      <c r="A161" s="960"/>
      <c r="B161" s="26"/>
      <c r="D161" s="93"/>
      <c r="E161" s="112"/>
      <c r="F161" s="112"/>
      <c r="G161" s="112"/>
      <c r="H161" s="112"/>
    </row>
    <row r="162" spans="1:8" ht="14.25" customHeight="1" x14ac:dyDescent="0.35">
      <c r="A162" s="960"/>
      <c r="B162" s="26"/>
      <c r="D162" s="93"/>
      <c r="E162" s="112"/>
      <c r="F162" s="112"/>
      <c r="G162" s="112"/>
      <c r="H162" s="112"/>
    </row>
    <row r="163" spans="1:8" ht="14.25" customHeight="1" x14ac:dyDescent="0.35">
      <c r="A163" s="960"/>
      <c r="B163" s="26"/>
      <c r="D163" s="93"/>
      <c r="E163" s="112"/>
      <c r="F163" s="112"/>
      <c r="G163" s="112"/>
      <c r="H163" s="112"/>
    </row>
    <row r="164" spans="1:8" ht="14.25" customHeight="1" x14ac:dyDescent="0.35">
      <c r="A164" s="960"/>
      <c r="B164" s="26"/>
      <c r="D164" s="93"/>
      <c r="E164" s="112"/>
      <c r="F164" s="112"/>
      <c r="G164" s="112"/>
      <c r="H164" s="112"/>
    </row>
    <row r="165" spans="1:8" ht="14.25" customHeight="1" x14ac:dyDescent="0.35">
      <c r="A165" s="960"/>
      <c r="B165" s="26"/>
      <c r="D165" s="93"/>
      <c r="E165" s="112"/>
      <c r="F165" s="112"/>
      <c r="G165" s="112"/>
      <c r="H165" s="112"/>
    </row>
    <row r="166" spans="1:8" ht="14.25" customHeight="1" x14ac:dyDescent="0.35">
      <c r="A166" s="960"/>
      <c r="B166" s="26"/>
      <c r="D166" s="93"/>
      <c r="E166" s="112"/>
      <c r="F166" s="112"/>
      <c r="G166" s="112"/>
      <c r="H166" s="112"/>
    </row>
    <row r="167" spans="1:8" ht="14.25" customHeight="1" x14ac:dyDescent="0.35">
      <c r="A167" s="960"/>
      <c r="B167" s="26"/>
      <c r="D167" s="93"/>
      <c r="E167" s="112"/>
      <c r="F167" s="112"/>
      <c r="G167" s="112"/>
      <c r="H167" s="112"/>
    </row>
    <row r="168" spans="1:8" ht="14.25" customHeight="1" x14ac:dyDescent="0.35">
      <c r="A168" s="960"/>
      <c r="B168" s="26"/>
      <c r="D168" s="93"/>
      <c r="E168" s="112"/>
      <c r="F168" s="112"/>
      <c r="G168" s="112"/>
      <c r="H168" s="112"/>
    </row>
    <row r="169" spans="1:8" ht="14.25" customHeight="1" x14ac:dyDescent="0.35">
      <c r="A169" s="960"/>
      <c r="B169" s="26"/>
      <c r="D169" s="93"/>
      <c r="E169" s="112"/>
      <c r="F169" s="112"/>
      <c r="G169" s="112"/>
      <c r="H169" s="112"/>
    </row>
    <row r="170" spans="1:8" ht="14.25" customHeight="1" x14ac:dyDescent="0.35">
      <c r="A170" s="960"/>
      <c r="B170" s="26"/>
      <c r="D170" s="93"/>
      <c r="E170" s="112"/>
      <c r="F170" s="112"/>
      <c r="G170" s="112"/>
      <c r="H170" s="112"/>
    </row>
    <row r="171" spans="1:8" ht="14.25" customHeight="1" x14ac:dyDescent="0.35">
      <c r="A171" s="960"/>
      <c r="B171" s="26"/>
      <c r="D171" s="93"/>
      <c r="E171" s="112"/>
      <c r="F171" s="112"/>
      <c r="G171" s="112"/>
      <c r="H171" s="112"/>
    </row>
    <row r="172" spans="1:8" ht="14.25" customHeight="1" x14ac:dyDescent="0.35">
      <c r="A172" s="960"/>
      <c r="B172" s="26"/>
      <c r="D172" s="93"/>
      <c r="E172" s="112"/>
      <c r="F172" s="112"/>
      <c r="G172" s="112"/>
      <c r="H172" s="112"/>
    </row>
    <row r="173" spans="1:8" ht="14.25" customHeight="1" x14ac:dyDescent="0.35">
      <c r="A173" s="960"/>
      <c r="B173" s="26"/>
      <c r="D173" s="93"/>
      <c r="E173" s="112"/>
      <c r="F173" s="112"/>
      <c r="G173" s="112"/>
      <c r="H173" s="112"/>
    </row>
    <row r="174" spans="1:8" ht="14.25" customHeight="1" x14ac:dyDescent="0.35">
      <c r="A174" s="960"/>
      <c r="B174" s="26"/>
      <c r="D174" s="93"/>
      <c r="E174" s="112"/>
      <c r="F174" s="112"/>
      <c r="G174" s="112"/>
      <c r="H174" s="112"/>
    </row>
    <row r="175" spans="1:8" ht="14.25" customHeight="1" x14ac:dyDescent="0.35">
      <c r="A175" s="960"/>
      <c r="B175" s="26"/>
      <c r="D175" s="93"/>
      <c r="E175" s="112"/>
      <c r="F175" s="112"/>
      <c r="G175" s="112"/>
      <c r="H175" s="112"/>
    </row>
    <row r="176" spans="1:8" ht="14.25" customHeight="1" x14ac:dyDescent="0.35">
      <c r="A176" s="960"/>
      <c r="B176" s="26"/>
      <c r="D176" s="93"/>
      <c r="E176" s="112"/>
      <c r="F176" s="112"/>
      <c r="G176" s="112"/>
      <c r="H176" s="112"/>
    </row>
    <row r="177" spans="1:8" ht="14.25" customHeight="1" x14ac:dyDescent="0.35">
      <c r="A177" s="960"/>
      <c r="B177" s="26"/>
      <c r="D177" s="93"/>
      <c r="E177" s="112"/>
      <c r="F177" s="112"/>
      <c r="G177" s="112"/>
      <c r="H177" s="112"/>
    </row>
    <row r="178" spans="1:8" ht="14.25" customHeight="1" x14ac:dyDescent="0.35">
      <c r="A178" s="960"/>
      <c r="B178" s="26"/>
      <c r="D178" s="93"/>
      <c r="E178" s="112"/>
      <c r="F178" s="112"/>
      <c r="G178" s="112"/>
      <c r="H178" s="112"/>
    </row>
    <row r="179" spans="1:8" ht="14.25" customHeight="1" x14ac:dyDescent="0.35">
      <c r="A179" s="960"/>
      <c r="B179" s="26"/>
      <c r="D179" s="93"/>
      <c r="E179" s="112"/>
      <c r="F179" s="112"/>
      <c r="G179" s="112"/>
      <c r="H179" s="112"/>
    </row>
    <row r="180" spans="1:8" ht="14.25" customHeight="1" x14ac:dyDescent="0.35">
      <c r="A180" s="960"/>
      <c r="B180" s="26"/>
      <c r="D180" s="93"/>
      <c r="E180" s="112"/>
      <c r="F180" s="112"/>
      <c r="G180" s="112"/>
      <c r="H180" s="112"/>
    </row>
    <row r="181" spans="1:8" ht="14.25" customHeight="1" x14ac:dyDescent="0.35">
      <c r="A181" s="960"/>
      <c r="B181" s="26"/>
      <c r="D181" s="93"/>
      <c r="E181" s="112"/>
      <c r="F181" s="112"/>
      <c r="G181" s="112"/>
      <c r="H181" s="112"/>
    </row>
    <row r="182" spans="1:8" ht="14.25" customHeight="1" x14ac:dyDescent="0.35">
      <c r="A182" s="960"/>
      <c r="B182" s="26"/>
      <c r="D182" s="93"/>
      <c r="E182" s="112"/>
      <c r="F182" s="112"/>
      <c r="G182" s="112"/>
      <c r="H182" s="112"/>
    </row>
    <row r="183" spans="1:8" ht="14.25" customHeight="1" x14ac:dyDescent="0.35">
      <c r="A183" s="960"/>
      <c r="B183" s="26"/>
      <c r="D183" s="93"/>
      <c r="E183" s="112"/>
      <c r="F183" s="112"/>
      <c r="G183" s="112"/>
      <c r="H183" s="112"/>
    </row>
    <row r="184" spans="1:8" ht="14.25" customHeight="1" x14ac:dyDescent="0.35">
      <c r="A184" s="960"/>
      <c r="B184" s="26"/>
      <c r="D184" s="93"/>
      <c r="E184" s="112"/>
      <c r="F184" s="112"/>
      <c r="G184" s="112"/>
      <c r="H184" s="112"/>
    </row>
    <row r="185" spans="1:8" ht="14.25" customHeight="1" x14ac:dyDescent="0.35">
      <c r="A185" s="960"/>
      <c r="B185" s="26"/>
      <c r="D185" s="93"/>
      <c r="E185" s="112"/>
      <c r="F185" s="112"/>
      <c r="G185" s="112"/>
      <c r="H185" s="112"/>
    </row>
    <row r="186" spans="1:8" ht="14.25" customHeight="1" x14ac:dyDescent="0.35">
      <c r="A186" s="960"/>
      <c r="B186" s="26"/>
      <c r="D186" s="93"/>
      <c r="E186" s="112"/>
      <c r="F186" s="112"/>
      <c r="G186" s="112"/>
      <c r="H186" s="112"/>
    </row>
    <row r="187" spans="1:8" ht="14.25" customHeight="1" x14ac:dyDescent="0.35">
      <c r="A187" s="960"/>
      <c r="B187" s="26"/>
      <c r="D187" s="93"/>
      <c r="E187" s="112"/>
      <c r="F187" s="112"/>
      <c r="G187" s="112"/>
      <c r="H187" s="112"/>
    </row>
    <row r="188" spans="1:8" ht="14.25" customHeight="1" x14ac:dyDescent="0.35">
      <c r="A188" s="960"/>
      <c r="B188" s="26"/>
      <c r="D188" s="93"/>
      <c r="E188" s="112"/>
      <c r="F188" s="112"/>
      <c r="G188" s="112"/>
      <c r="H188" s="112"/>
    </row>
    <row r="189" spans="1:8" ht="14.25" customHeight="1" x14ac:dyDescent="0.35">
      <c r="A189" s="960"/>
      <c r="B189" s="26"/>
      <c r="D189" s="93"/>
      <c r="E189" s="112"/>
      <c r="F189" s="112"/>
      <c r="G189" s="112"/>
      <c r="H189" s="112"/>
    </row>
    <row r="190" spans="1:8" ht="14.25" customHeight="1" x14ac:dyDescent="0.35">
      <c r="A190" s="960"/>
      <c r="B190" s="26"/>
      <c r="D190" s="93"/>
      <c r="E190" s="112"/>
      <c r="F190" s="112"/>
      <c r="G190" s="112"/>
      <c r="H190" s="112"/>
    </row>
    <row r="191" spans="1:8" ht="14.25" customHeight="1" x14ac:dyDescent="0.35">
      <c r="A191" s="960"/>
      <c r="B191" s="26"/>
      <c r="D191" s="93"/>
      <c r="E191" s="112"/>
      <c r="F191" s="112"/>
      <c r="G191" s="112"/>
      <c r="H191" s="112"/>
    </row>
    <row r="192" spans="1:8" ht="14.25" customHeight="1" x14ac:dyDescent="0.35">
      <c r="A192" s="960"/>
      <c r="B192" s="26"/>
      <c r="D192" s="93"/>
      <c r="E192" s="112"/>
      <c r="F192" s="112"/>
      <c r="G192" s="112"/>
      <c r="H192" s="112"/>
    </row>
    <row r="193" spans="1:8" ht="14.25" customHeight="1" x14ac:dyDescent="0.35">
      <c r="A193" s="960"/>
      <c r="B193" s="26"/>
      <c r="D193" s="93"/>
      <c r="E193" s="112"/>
      <c r="F193" s="112"/>
      <c r="G193" s="112"/>
      <c r="H193" s="112"/>
    </row>
    <row r="194" spans="1:8" ht="14.25" customHeight="1" x14ac:dyDescent="0.35">
      <c r="A194" s="960"/>
      <c r="B194" s="26"/>
      <c r="D194" s="93"/>
      <c r="E194" s="112"/>
      <c r="F194" s="112"/>
      <c r="G194" s="112"/>
      <c r="H194" s="112"/>
    </row>
    <row r="195" spans="1:8" ht="14.25" customHeight="1" x14ac:dyDescent="0.35">
      <c r="A195" s="960"/>
      <c r="B195" s="26"/>
      <c r="D195" s="93"/>
      <c r="E195" s="112"/>
      <c r="F195" s="112"/>
      <c r="G195" s="112"/>
      <c r="H195" s="112"/>
    </row>
    <row r="196" spans="1:8" ht="14.25" customHeight="1" x14ac:dyDescent="0.35">
      <c r="A196" s="960"/>
      <c r="B196" s="26"/>
      <c r="D196" s="93"/>
      <c r="E196" s="112"/>
      <c r="F196" s="112"/>
      <c r="G196" s="112"/>
      <c r="H196" s="112"/>
    </row>
    <row r="197" spans="1:8" ht="14.25" customHeight="1" x14ac:dyDescent="0.35">
      <c r="A197" s="960"/>
      <c r="B197" s="26"/>
      <c r="D197" s="93"/>
      <c r="E197" s="112"/>
      <c r="F197" s="112"/>
      <c r="G197" s="112"/>
      <c r="H197" s="112"/>
    </row>
    <row r="198" spans="1:8" ht="14.25" customHeight="1" x14ac:dyDescent="0.35">
      <c r="A198" s="960"/>
      <c r="B198" s="26"/>
      <c r="D198" s="93"/>
      <c r="E198" s="112"/>
      <c r="F198" s="112"/>
      <c r="G198" s="112"/>
      <c r="H198" s="112"/>
    </row>
    <row r="199" spans="1:8" ht="14.25" customHeight="1" x14ac:dyDescent="0.35">
      <c r="A199" s="960"/>
      <c r="B199" s="26"/>
      <c r="D199" s="93"/>
      <c r="E199" s="112"/>
      <c r="F199" s="112"/>
      <c r="G199" s="112"/>
      <c r="H199" s="112"/>
    </row>
    <row r="200" spans="1:8" ht="14.25" customHeight="1" x14ac:dyDescent="0.35">
      <c r="A200" s="960"/>
      <c r="B200" s="26"/>
      <c r="D200" s="93"/>
      <c r="E200" s="112"/>
      <c r="F200" s="112"/>
      <c r="G200" s="112"/>
      <c r="H200" s="112"/>
    </row>
    <row r="201" spans="1:8" ht="14.25" customHeight="1" x14ac:dyDescent="0.35">
      <c r="A201" s="960"/>
      <c r="B201" s="26"/>
      <c r="D201" s="93"/>
      <c r="E201" s="112"/>
      <c r="F201" s="112"/>
      <c r="G201" s="112"/>
      <c r="H201" s="112"/>
    </row>
    <row r="202" spans="1:8" ht="14.25" customHeight="1" x14ac:dyDescent="0.35">
      <c r="A202" s="960"/>
      <c r="B202" s="26"/>
      <c r="D202" s="93"/>
      <c r="E202" s="112"/>
      <c r="F202" s="112"/>
      <c r="G202" s="112"/>
      <c r="H202" s="112"/>
    </row>
    <row r="203" spans="1:8" ht="14.25" customHeight="1" x14ac:dyDescent="0.35">
      <c r="A203" s="960"/>
      <c r="B203" s="26"/>
      <c r="D203" s="93"/>
      <c r="E203" s="112"/>
      <c r="F203" s="112"/>
      <c r="G203" s="112"/>
      <c r="H203" s="112"/>
    </row>
    <row r="204" spans="1:8" ht="14.25" customHeight="1" x14ac:dyDescent="0.35">
      <c r="A204" s="960"/>
      <c r="B204" s="26"/>
      <c r="D204" s="93"/>
      <c r="E204" s="112"/>
      <c r="F204" s="112"/>
      <c r="G204" s="112"/>
      <c r="H204" s="112"/>
    </row>
    <row r="205" spans="1:8" ht="14.25" customHeight="1" x14ac:dyDescent="0.35">
      <c r="A205" s="960"/>
      <c r="B205" s="26"/>
      <c r="D205" s="93"/>
      <c r="E205" s="112"/>
      <c r="F205" s="112"/>
      <c r="G205" s="112"/>
      <c r="H205" s="112"/>
    </row>
    <row r="206" spans="1:8" ht="14.25" customHeight="1" x14ac:dyDescent="0.35">
      <c r="A206" s="960"/>
      <c r="B206" s="26"/>
      <c r="D206" s="93"/>
      <c r="E206" s="112"/>
      <c r="F206" s="112"/>
      <c r="G206" s="112"/>
      <c r="H206" s="112"/>
    </row>
    <row r="207" spans="1:8" ht="14.25" customHeight="1" x14ac:dyDescent="0.35">
      <c r="A207" s="960"/>
      <c r="B207" s="26"/>
      <c r="D207" s="93"/>
      <c r="E207" s="112"/>
      <c r="F207" s="112"/>
      <c r="G207" s="112"/>
      <c r="H207" s="112"/>
    </row>
    <row r="208" spans="1:8" ht="14.25" customHeight="1" x14ac:dyDescent="0.35">
      <c r="A208" s="960"/>
      <c r="B208" s="26"/>
      <c r="D208" s="93"/>
      <c r="E208" s="112"/>
      <c r="F208" s="112"/>
      <c r="G208" s="112"/>
      <c r="H208" s="112"/>
    </row>
    <row r="209" spans="1:8" ht="14.25" customHeight="1" x14ac:dyDescent="0.35">
      <c r="A209" s="960"/>
      <c r="B209" s="26"/>
      <c r="D209" s="93"/>
      <c r="E209" s="112"/>
      <c r="F209" s="112"/>
      <c r="G209" s="112"/>
      <c r="H209" s="112"/>
    </row>
    <row r="210" spans="1:8" ht="14.25" customHeight="1" x14ac:dyDescent="0.35">
      <c r="A210" s="960"/>
      <c r="B210" s="26"/>
      <c r="D210" s="93"/>
      <c r="E210" s="112"/>
      <c r="F210" s="112"/>
      <c r="G210" s="112"/>
      <c r="H210" s="112"/>
    </row>
    <row r="211" spans="1:8" ht="14.25" customHeight="1" x14ac:dyDescent="0.35">
      <c r="A211" s="960"/>
      <c r="B211" s="26"/>
      <c r="D211" s="93"/>
      <c r="E211" s="112"/>
      <c r="F211" s="112"/>
      <c r="G211" s="112"/>
      <c r="H211" s="112"/>
    </row>
    <row r="212" spans="1:8" ht="14.25" customHeight="1" x14ac:dyDescent="0.35">
      <c r="A212" s="960"/>
      <c r="B212" s="26"/>
      <c r="D212" s="93"/>
      <c r="E212" s="112"/>
      <c r="F212" s="112"/>
      <c r="G212" s="112"/>
      <c r="H212" s="112"/>
    </row>
    <row r="213" spans="1:8" ht="14.25" customHeight="1" x14ac:dyDescent="0.35">
      <c r="A213" s="960"/>
      <c r="B213" s="26"/>
      <c r="D213" s="93"/>
      <c r="E213" s="112"/>
      <c r="F213" s="112"/>
      <c r="G213" s="112"/>
      <c r="H213" s="112"/>
    </row>
    <row r="214" spans="1:8" ht="14.25" customHeight="1" x14ac:dyDescent="0.35">
      <c r="A214" s="960"/>
      <c r="B214" s="26"/>
      <c r="D214" s="93"/>
      <c r="E214" s="112"/>
      <c r="F214" s="112"/>
      <c r="G214" s="112"/>
      <c r="H214" s="112"/>
    </row>
    <row r="215" spans="1:8" ht="14.25" customHeight="1" x14ac:dyDescent="0.35">
      <c r="A215" s="960"/>
      <c r="B215" s="26"/>
      <c r="D215" s="93"/>
      <c r="E215" s="112"/>
      <c r="F215" s="112"/>
      <c r="G215" s="112"/>
      <c r="H215" s="112"/>
    </row>
    <row r="216" spans="1:8" ht="14.25" customHeight="1" x14ac:dyDescent="0.35">
      <c r="A216" s="960"/>
      <c r="B216" s="26"/>
      <c r="D216" s="93"/>
      <c r="E216" s="112"/>
      <c r="F216" s="112"/>
      <c r="G216" s="112"/>
      <c r="H216" s="112"/>
    </row>
    <row r="217" spans="1:8" ht="14.25" customHeight="1" x14ac:dyDescent="0.35">
      <c r="A217" s="960"/>
      <c r="B217" s="26"/>
      <c r="D217" s="93"/>
      <c r="E217" s="112"/>
      <c r="F217" s="112"/>
      <c r="G217" s="112"/>
      <c r="H217" s="112"/>
    </row>
    <row r="218" spans="1:8" ht="14.25" customHeight="1" x14ac:dyDescent="0.35">
      <c r="A218" s="960"/>
      <c r="B218" s="26"/>
      <c r="D218" s="93"/>
      <c r="E218" s="112"/>
      <c r="F218" s="112"/>
      <c r="G218" s="112"/>
      <c r="H218" s="112"/>
    </row>
    <row r="219" spans="1:8" ht="14.25" customHeight="1" x14ac:dyDescent="0.35">
      <c r="A219" s="960"/>
      <c r="B219" s="26"/>
      <c r="D219" s="93"/>
      <c r="E219" s="112"/>
      <c r="F219" s="112"/>
      <c r="G219" s="112"/>
      <c r="H219" s="112"/>
    </row>
    <row r="220" spans="1:8" ht="14.25" customHeight="1" x14ac:dyDescent="0.35">
      <c r="A220" s="960"/>
      <c r="B220" s="26"/>
      <c r="D220" s="93"/>
      <c r="E220" s="112"/>
      <c r="F220" s="112"/>
      <c r="G220" s="112"/>
      <c r="H220" s="112"/>
    </row>
    <row r="221" spans="1:8" ht="14.25" customHeight="1" x14ac:dyDescent="0.35">
      <c r="A221" s="960"/>
      <c r="B221" s="26"/>
      <c r="D221" s="93"/>
      <c r="E221" s="112"/>
      <c r="F221" s="112"/>
      <c r="G221" s="112"/>
      <c r="H221" s="112"/>
    </row>
    <row r="222" spans="1:8" ht="14.25" customHeight="1" x14ac:dyDescent="0.35">
      <c r="A222" s="960"/>
      <c r="B222" s="26"/>
      <c r="D222" s="93"/>
      <c r="E222" s="112"/>
      <c r="F222" s="112"/>
      <c r="G222" s="112"/>
      <c r="H222" s="112"/>
    </row>
    <row r="223" spans="1:8" ht="14.25" customHeight="1" x14ac:dyDescent="0.35">
      <c r="A223" s="960"/>
      <c r="B223" s="26"/>
      <c r="D223" s="93"/>
      <c r="E223" s="112"/>
      <c r="F223" s="112"/>
      <c r="G223" s="112"/>
      <c r="H223" s="112"/>
    </row>
    <row r="224" spans="1:8" ht="14.25" customHeight="1" x14ac:dyDescent="0.35">
      <c r="A224" s="960"/>
      <c r="B224" s="26"/>
      <c r="D224" s="93"/>
      <c r="E224" s="112"/>
      <c r="F224" s="112"/>
      <c r="G224" s="112"/>
      <c r="H224" s="112"/>
    </row>
    <row r="225" spans="1:8" ht="14.25" customHeight="1" x14ac:dyDescent="0.35">
      <c r="A225" s="960"/>
      <c r="B225" s="26"/>
      <c r="D225" s="93"/>
      <c r="E225" s="112"/>
      <c r="F225" s="112"/>
      <c r="G225" s="112"/>
      <c r="H225" s="112"/>
    </row>
    <row r="226" spans="1:8" ht="14.25" customHeight="1" x14ac:dyDescent="0.35">
      <c r="A226" s="960"/>
      <c r="B226" s="26"/>
      <c r="D226" s="93"/>
      <c r="E226" s="112"/>
      <c r="F226" s="112"/>
      <c r="G226" s="112"/>
      <c r="H226" s="112"/>
    </row>
    <row r="227" spans="1:8" ht="14.25" customHeight="1" x14ac:dyDescent="0.35">
      <c r="A227" s="960"/>
      <c r="B227" s="26"/>
      <c r="D227" s="93"/>
      <c r="E227" s="112"/>
      <c r="F227" s="112"/>
      <c r="G227" s="112"/>
      <c r="H227" s="112"/>
    </row>
    <row r="228" spans="1:8" ht="14.25" customHeight="1" x14ac:dyDescent="0.35">
      <c r="A228" s="960"/>
      <c r="B228" s="26"/>
      <c r="D228" s="93"/>
      <c r="E228" s="112"/>
      <c r="F228" s="112"/>
      <c r="G228" s="112"/>
      <c r="H228" s="112"/>
    </row>
    <row r="229" spans="1:8" ht="14.25" customHeight="1" x14ac:dyDescent="0.35">
      <c r="A229" s="960"/>
      <c r="B229" s="26"/>
      <c r="D229" s="93"/>
      <c r="E229" s="112"/>
      <c r="F229" s="112"/>
      <c r="G229" s="112"/>
      <c r="H229" s="112"/>
    </row>
    <row r="230" spans="1:8" ht="14.25" customHeight="1" x14ac:dyDescent="0.35">
      <c r="A230" s="960"/>
      <c r="B230" s="26"/>
      <c r="D230" s="93"/>
      <c r="E230" s="112"/>
      <c r="F230" s="112"/>
      <c r="G230" s="112"/>
      <c r="H230" s="112"/>
    </row>
    <row r="231" spans="1:8" ht="14.25" customHeight="1" x14ac:dyDescent="0.35">
      <c r="A231" s="960"/>
      <c r="B231" s="26"/>
      <c r="D231" s="93"/>
      <c r="E231" s="112"/>
      <c r="F231" s="112"/>
      <c r="G231" s="112"/>
      <c r="H231" s="112"/>
    </row>
    <row r="232" spans="1:8" ht="14.25" customHeight="1" x14ac:dyDescent="0.35">
      <c r="A232" s="960"/>
      <c r="B232" s="26"/>
      <c r="D232" s="93"/>
      <c r="E232" s="112"/>
      <c r="F232" s="112"/>
      <c r="G232" s="112"/>
      <c r="H232" s="112"/>
    </row>
    <row r="233" spans="1:8" ht="14.25" customHeight="1" x14ac:dyDescent="0.35">
      <c r="A233" s="960"/>
      <c r="B233" s="26"/>
      <c r="D233" s="93"/>
      <c r="E233" s="112"/>
      <c r="F233" s="112"/>
      <c r="G233" s="112"/>
      <c r="H233" s="112"/>
    </row>
    <row r="234" spans="1:8" ht="14.25" customHeight="1" x14ac:dyDescent="0.35">
      <c r="A234" s="960"/>
      <c r="B234" s="26"/>
      <c r="D234" s="93"/>
      <c r="E234" s="112"/>
      <c r="F234" s="112"/>
      <c r="G234" s="112"/>
      <c r="H234" s="112"/>
    </row>
    <row r="235" spans="1:8" ht="14.25" customHeight="1" x14ac:dyDescent="0.35">
      <c r="A235" s="960"/>
      <c r="B235" s="26"/>
      <c r="D235" s="93"/>
      <c r="E235" s="112"/>
      <c r="F235" s="112"/>
      <c r="G235" s="112"/>
      <c r="H235" s="112"/>
    </row>
    <row r="236" spans="1:8" ht="14.25" customHeight="1" x14ac:dyDescent="0.35">
      <c r="A236" s="960"/>
      <c r="B236" s="26"/>
      <c r="D236" s="93"/>
      <c r="E236" s="112"/>
      <c r="F236" s="112"/>
      <c r="G236" s="112"/>
      <c r="H236" s="112"/>
    </row>
    <row r="237" spans="1:8" ht="14.25" customHeight="1" x14ac:dyDescent="0.35">
      <c r="A237" s="960"/>
      <c r="B237" s="26"/>
      <c r="D237" s="93"/>
      <c r="E237" s="112"/>
      <c r="F237" s="112"/>
      <c r="G237" s="112"/>
      <c r="H237" s="112"/>
    </row>
    <row r="238" spans="1:8" ht="14.25" customHeight="1" x14ac:dyDescent="0.35">
      <c r="A238" s="960"/>
      <c r="B238" s="26"/>
      <c r="D238" s="93"/>
      <c r="E238" s="112"/>
      <c r="F238" s="112"/>
      <c r="G238" s="112"/>
      <c r="H238" s="112"/>
    </row>
    <row r="239" spans="1:8" ht="14.25" customHeight="1" x14ac:dyDescent="0.35">
      <c r="A239" s="960"/>
      <c r="B239" s="26"/>
      <c r="D239" s="93"/>
      <c r="E239" s="112"/>
      <c r="F239" s="112"/>
      <c r="G239" s="112"/>
      <c r="H239" s="112"/>
    </row>
    <row r="240" spans="1:8" ht="14.25" customHeight="1" x14ac:dyDescent="0.35">
      <c r="A240" s="960"/>
      <c r="B240" s="26"/>
      <c r="D240" s="93"/>
      <c r="E240" s="112"/>
      <c r="F240" s="112"/>
      <c r="G240" s="112"/>
      <c r="H240" s="112"/>
    </row>
    <row r="241" spans="1:8" ht="14.25" customHeight="1" x14ac:dyDescent="0.35">
      <c r="A241" s="960"/>
      <c r="B241" s="26"/>
      <c r="D241" s="93"/>
      <c r="E241" s="112"/>
      <c r="F241" s="112"/>
      <c r="G241" s="112"/>
      <c r="H241" s="112"/>
    </row>
    <row r="242" spans="1:8" ht="14.25" customHeight="1" x14ac:dyDescent="0.35">
      <c r="A242" s="960"/>
      <c r="B242" s="26"/>
      <c r="D242" s="93"/>
      <c r="E242" s="112"/>
      <c r="F242" s="112"/>
      <c r="G242" s="112"/>
      <c r="H242" s="112"/>
    </row>
    <row r="243" spans="1:8" ht="14.25" customHeight="1" x14ac:dyDescent="0.35">
      <c r="A243" s="960"/>
      <c r="B243" s="26"/>
      <c r="D243" s="93"/>
      <c r="E243" s="112"/>
      <c r="F243" s="112"/>
      <c r="G243" s="112"/>
      <c r="H243" s="112"/>
    </row>
    <row r="244" spans="1:8" ht="14.25" customHeight="1" x14ac:dyDescent="0.35">
      <c r="A244" s="960"/>
      <c r="B244" s="26"/>
      <c r="D244" s="93"/>
      <c r="E244" s="112"/>
      <c r="F244" s="112"/>
      <c r="G244" s="112"/>
      <c r="H244" s="112"/>
    </row>
    <row r="245" spans="1:8" ht="14.25" customHeight="1" x14ac:dyDescent="0.35">
      <c r="A245" s="960"/>
      <c r="B245" s="26"/>
      <c r="D245" s="93"/>
      <c r="E245" s="112"/>
      <c r="F245" s="112"/>
      <c r="G245" s="112"/>
      <c r="H245" s="112"/>
    </row>
    <row r="246" spans="1:8" ht="14.25" customHeight="1" x14ac:dyDescent="0.35">
      <c r="A246" s="960"/>
      <c r="B246" s="26"/>
      <c r="D246" s="93"/>
      <c r="E246" s="112"/>
      <c r="F246" s="112"/>
      <c r="G246" s="112"/>
      <c r="H246" s="112"/>
    </row>
    <row r="247" spans="1:8" ht="14.25" customHeight="1" x14ac:dyDescent="0.35">
      <c r="A247" s="960"/>
      <c r="B247" s="26"/>
      <c r="D247" s="93"/>
      <c r="E247" s="112"/>
      <c r="F247" s="112"/>
      <c r="G247" s="112"/>
      <c r="H247" s="112"/>
    </row>
    <row r="248" spans="1:8" ht="14.25" customHeight="1" x14ac:dyDescent="0.35">
      <c r="A248" s="960"/>
      <c r="B248" s="26"/>
      <c r="D248" s="93"/>
      <c r="E248" s="112"/>
      <c r="F248" s="112"/>
      <c r="G248" s="112"/>
      <c r="H248" s="112"/>
    </row>
    <row r="249" spans="1:8" ht="14.25" customHeight="1" x14ac:dyDescent="0.35">
      <c r="A249" s="960"/>
      <c r="B249" s="26"/>
      <c r="D249" s="93"/>
      <c r="E249" s="112"/>
      <c r="F249" s="112"/>
      <c r="G249" s="112"/>
      <c r="H249" s="112"/>
    </row>
    <row r="250" spans="1:8" ht="14.25" customHeight="1" x14ac:dyDescent="0.35">
      <c r="A250" s="960"/>
      <c r="B250" s="26"/>
      <c r="D250" s="93"/>
      <c r="E250" s="112"/>
      <c r="F250" s="112"/>
      <c r="G250" s="112"/>
      <c r="H250" s="112"/>
    </row>
    <row r="251" spans="1:8" ht="14.25" customHeight="1" x14ac:dyDescent="0.35">
      <c r="A251" s="960"/>
      <c r="B251" s="26"/>
      <c r="D251" s="93"/>
      <c r="E251" s="112"/>
      <c r="F251" s="112"/>
      <c r="G251" s="112"/>
      <c r="H251" s="112"/>
    </row>
    <row r="252" spans="1:8" ht="14.25" customHeight="1" x14ac:dyDescent="0.35">
      <c r="A252" s="960"/>
      <c r="B252" s="26"/>
      <c r="D252" s="93"/>
      <c r="E252" s="112"/>
      <c r="F252" s="112"/>
      <c r="G252" s="112"/>
      <c r="H252" s="112"/>
    </row>
    <row r="253" spans="1:8" ht="14.25" customHeight="1" x14ac:dyDescent="0.35">
      <c r="A253" s="960"/>
      <c r="B253" s="26"/>
      <c r="D253" s="93"/>
      <c r="E253" s="112"/>
      <c r="F253" s="112"/>
      <c r="G253" s="112"/>
      <c r="H253" s="112"/>
    </row>
    <row r="254" spans="1:8" ht="14.25" customHeight="1" x14ac:dyDescent="0.35">
      <c r="A254" s="960"/>
      <c r="B254" s="26"/>
      <c r="D254" s="93"/>
      <c r="E254" s="112"/>
      <c r="F254" s="112"/>
      <c r="G254" s="112"/>
      <c r="H254" s="112"/>
    </row>
    <row r="255" spans="1:8" ht="14.25" customHeight="1" x14ac:dyDescent="0.35">
      <c r="A255" s="960"/>
      <c r="B255" s="26"/>
      <c r="D255" s="93"/>
      <c r="E255" s="112"/>
      <c r="F255" s="112"/>
      <c r="G255" s="112"/>
      <c r="H255" s="112"/>
    </row>
    <row r="256" spans="1:8" ht="14.25" customHeight="1" x14ac:dyDescent="0.35">
      <c r="A256" s="960"/>
      <c r="B256" s="26"/>
      <c r="D256" s="93"/>
      <c r="E256" s="112"/>
      <c r="F256" s="112"/>
      <c r="G256" s="112"/>
      <c r="H256" s="112"/>
    </row>
    <row r="257" spans="1:8" ht="14.25" customHeight="1" x14ac:dyDescent="0.35">
      <c r="A257" s="960"/>
      <c r="B257" s="26"/>
      <c r="D257" s="93"/>
      <c r="E257" s="112"/>
      <c r="F257" s="112"/>
      <c r="G257" s="112"/>
      <c r="H257" s="112"/>
    </row>
    <row r="258" spans="1:8" ht="14.25" customHeight="1" x14ac:dyDescent="0.35">
      <c r="A258" s="960"/>
      <c r="B258" s="26"/>
      <c r="D258" s="93"/>
      <c r="E258" s="112"/>
      <c r="F258" s="112"/>
      <c r="G258" s="112"/>
      <c r="H258" s="112"/>
    </row>
    <row r="259" spans="1:8" ht="14.25" customHeight="1" x14ac:dyDescent="0.35">
      <c r="A259" s="960"/>
      <c r="B259" s="26"/>
      <c r="D259" s="93"/>
      <c r="E259" s="112"/>
      <c r="F259" s="112"/>
      <c r="G259" s="112"/>
      <c r="H259" s="112"/>
    </row>
    <row r="260" spans="1:8" ht="14.25" customHeight="1" x14ac:dyDescent="0.35">
      <c r="A260" s="960"/>
      <c r="B260" s="26"/>
      <c r="D260" s="93"/>
      <c r="E260" s="112"/>
      <c r="F260" s="112"/>
      <c r="G260" s="112"/>
      <c r="H260" s="112"/>
    </row>
    <row r="261" spans="1:8" ht="14.25" customHeight="1" x14ac:dyDescent="0.35">
      <c r="A261" s="960"/>
      <c r="B261" s="26"/>
      <c r="D261" s="93"/>
      <c r="E261" s="112"/>
      <c r="F261" s="112"/>
      <c r="G261" s="112"/>
      <c r="H261" s="112"/>
    </row>
    <row r="262" spans="1:8" ht="14.25" customHeight="1" x14ac:dyDescent="0.35">
      <c r="A262" s="960"/>
      <c r="B262" s="26"/>
      <c r="D262" s="93"/>
      <c r="E262" s="112"/>
      <c r="F262" s="112"/>
      <c r="G262" s="112"/>
      <c r="H262" s="112"/>
    </row>
    <row r="263" spans="1:8" ht="14.25" customHeight="1" x14ac:dyDescent="0.35">
      <c r="A263" s="960"/>
      <c r="B263" s="26"/>
      <c r="D263" s="93"/>
      <c r="E263" s="112"/>
      <c r="F263" s="112"/>
      <c r="G263" s="112"/>
      <c r="H263" s="112"/>
    </row>
    <row r="264" spans="1:8" ht="14.25" customHeight="1" x14ac:dyDescent="0.35">
      <c r="A264" s="960"/>
      <c r="B264" s="26"/>
      <c r="D264" s="93"/>
      <c r="E264" s="112"/>
      <c r="F264" s="112"/>
      <c r="G264" s="112"/>
      <c r="H264" s="112"/>
    </row>
    <row r="265" spans="1:8" ht="14.25" customHeight="1" x14ac:dyDescent="0.35">
      <c r="A265" s="960"/>
      <c r="B265" s="26"/>
      <c r="D265" s="93"/>
      <c r="E265" s="112"/>
      <c r="F265" s="112"/>
      <c r="G265" s="112"/>
      <c r="H265" s="112"/>
    </row>
    <row r="266" spans="1:8" ht="14.25" customHeight="1" x14ac:dyDescent="0.35">
      <c r="A266" s="960"/>
      <c r="B266" s="26"/>
      <c r="D266" s="93"/>
      <c r="E266" s="112"/>
      <c r="F266" s="112"/>
      <c r="G266" s="112"/>
      <c r="H266" s="112"/>
    </row>
    <row r="267" spans="1:8" ht="14.25" customHeight="1" x14ac:dyDescent="0.35">
      <c r="A267" s="960"/>
      <c r="B267" s="26"/>
      <c r="D267" s="93"/>
      <c r="E267" s="112"/>
      <c r="F267" s="112"/>
      <c r="G267" s="112"/>
      <c r="H267" s="112"/>
    </row>
    <row r="268" spans="1:8" ht="14.25" customHeight="1" x14ac:dyDescent="0.35">
      <c r="A268" s="960"/>
      <c r="B268" s="26"/>
      <c r="D268" s="93"/>
      <c r="E268" s="112"/>
      <c r="F268" s="112"/>
      <c r="G268" s="112"/>
      <c r="H268" s="112"/>
    </row>
    <row r="269" spans="1:8" ht="14.25" customHeight="1" x14ac:dyDescent="0.35">
      <c r="A269" s="960"/>
      <c r="B269" s="26"/>
      <c r="D269" s="93"/>
      <c r="E269" s="112"/>
      <c r="F269" s="112"/>
      <c r="G269" s="112"/>
      <c r="H269" s="112"/>
    </row>
    <row r="270" spans="1:8" ht="14.25" customHeight="1" x14ac:dyDescent="0.35">
      <c r="A270" s="960"/>
      <c r="B270" s="26"/>
      <c r="D270" s="93"/>
      <c r="E270" s="112"/>
      <c r="F270" s="112"/>
      <c r="G270" s="112"/>
      <c r="H270" s="112"/>
    </row>
    <row r="271" spans="1:8" ht="14.25" customHeight="1" x14ac:dyDescent="0.35">
      <c r="A271" s="960"/>
      <c r="B271" s="26"/>
      <c r="D271" s="93"/>
      <c r="E271" s="112"/>
      <c r="F271" s="112"/>
      <c r="G271" s="112"/>
      <c r="H271" s="112"/>
    </row>
    <row r="272" spans="1:8" ht="14.25" customHeight="1" x14ac:dyDescent="0.35">
      <c r="A272" s="960"/>
      <c r="B272" s="26"/>
      <c r="D272" s="93"/>
      <c r="E272" s="112"/>
      <c r="F272" s="112"/>
      <c r="G272" s="112"/>
      <c r="H272" s="112"/>
    </row>
    <row r="273" spans="1:8" ht="14.25" customHeight="1" x14ac:dyDescent="0.35">
      <c r="A273" s="960"/>
      <c r="B273" s="26"/>
      <c r="D273" s="93"/>
      <c r="E273" s="112"/>
      <c r="F273" s="112"/>
      <c r="G273" s="112"/>
      <c r="H273" s="112"/>
    </row>
    <row r="274" spans="1:8" ht="14.25" customHeight="1" x14ac:dyDescent="0.35">
      <c r="A274" s="960"/>
      <c r="B274" s="26"/>
      <c r="D274" s="93"/>
      <c r="E274" s="112"/>
      <c r="F274" s="112"/>
      <c r="G274" s="112"/>
      <c r="H274" s="112"/>
    </row>
    <row r="275" spans="1:8" ht="14.25" customHeight="1" x14ac:dyDescent="0.35">
      <c r="A275" s="960"/>
      <c r="B275" s="26"/>
      <c r="D275" s="93"/>
      <c r="E275" s="112"/>
      <c r="F275" s="112"/>
      <c r="G275" s="112"/>
      <c r="H275" s="112"/>
    </row>
    <row r="276" spans="1:8" ht="14.25" customHeight="1" x14ac:dyDescent="0.35">
      <c r="A276" s="960"/>
      <c r="B276" s="26"/>
      <c r="D276" s="93"/>
      <c r="E276" s="112"/>
      <c r="F276" s="112"/>
      <c r="G276" s="112"/>
      <c r="H276" s="112"/>
    </row>
    <row r="277" spans="1:8" ht="14.25" customHeight="1" x14ac:dyDescent="0.35">
      <c r="A277" s="960"/>
      <c r="B277" s="26"/>
      <c r="D277" s="93"/>
      <c r="E277" s="112"/>
      <c r="F277" s="112"/>
      <c r="G277" s="112"/>
      <c r="H277" s="112"/>
    </row>
    <row r="278" spans="1:8" ht="14.25" customHeight="1" x14ac:dyDescent="0.35">
      <c r="A278" s="960"/>
      <c r="B278" s="26"/>
      <c r="D278" s="93"/>
      <c r="E278" s="112"/>
      <c r="F278" s="112"/>
      <c r="G278" s="112"/>
      <c r="H278" s="112"/>
    </row>
    <row r="279" spans="1:8" ht="14.25" customHeight="1" x14ac:dyDescent="0.35">
      <c r="A279" s="960"/>
      <c r="B279" s="26"/>
      <c r="D279" s="93"/>
      <c r="E279" s="112"/>
      <c r="F279" s="112"/>
      <c r="G279" s="112"/>
      <c r="H279" s="112"/>
    </row>
    <row r="280" spans="1:8" ht="14.25" customHeight="1" x14ac:dyDescent="0.35">
      <c r="A280" s="960"/>
      <c r="B280" s="26"/>
      <c r="D280" s="93"/>
      <c r="E280" s="112"/>
      <c r="F280" s="112"/>
      <c r="G280" s="112"/>
      <c r="H280" s="112"/>
    </row>
    <row r="281" spans="1:8" ht="14.25" customHeight="1" x14ac:dyDescent="0.35">
      <c r="A281" s="960"/>
      <c r="B281" s="26"/>
      <c r="D281" s="93"/>
      <c r="E281" s="112"/>
      <c r="F281" s="112"/>
      <c r="G281" s="112"/>
      <c r="H281" s="112"/>
    </row>
    <row r="282" spans="1:8" ht="14.25" customHeight="1" x14ac:dyDescent="0.35">
      <c r="A282" s="960"/>
      <c r="B282" s="26"/>
      <c r="D282" s="93"/>
      <c r="E282" s="112"/>
      <c r="F282" s="112"/>
      <c r="G282" s="112"/>
      <c r="H282" s="112"/>
    </row>
    <row r="283" spans="1:8" ht="14.25" customHeight="1" x14ac:dyDescent="0.35">
      <c r="A283" s="960"/>
      <c r="B283" s="26"/>
      <c r="D283" s="93"/>
      <c r="E283" s="112"/>
      <c r="F283" s="112"/>
      <c r="G283" s="112"/>
      <c r="H283" s="112"/>
    </row>
    <row r="284" spans="1:8" ht="14.25" customHeight="1" x14ac:dyDescent="0.35">
      <c r="A284" s="960"/>
      <c r="B284" s="26"/>
      <c r="D284" s="93"/>
      <c r="E284" s="112"/>
      <c r="F284" s="112"/>
      <c r="G284" s="112"/>
      <c r="H284" s="112"/>
    </row>
    <row r="285" spans="1:8" ht="14.25" customHeight="1" x14ac:dyDescent="0.35">
      <c r="A285" s="960"/>
      <c r="B285" s="26"/>
      <c r="D285" s="93"/>
      <c r="E285" s="112"/>
      <c r="F285" s="112"/>
      <c r="G285" s="112"/>
      <c r="H285" s="112"/>
    </row>
    <row r="286" spans="1:8" ht="14.25" customHeight="1" x14ac:dyDescent="0.35">
      <c r="A286" s="960"/>
      <c r="B286" s="26"/>
      <c r="D286" s="93"/>
      <c r="E286" s="112"/>
      <c r="F286" s="112"/>
      <c r="G286" s="112"/>
      <c r="H286" s="112"/>
    </row>
    <row r="287" spans="1:8" ht="14.25" customHeight="1" x14ac:dyDescent="0.35">
      <c r="A287" s="960"/>
      <c r="B287" s="26"/>
      <c r="D287" s="93"/>
      <c r="E287" s="112"/>
      <c r="F287" s="112"/>
      <c r="G287" s="112"/>
      <c r="H287" s="112"/>
    </row>
    <row r="288" spans="1:8" ht="14.25" customHeight="1" x14ac:dyDescent="0.35">
      <c r="A288" s="960"/>
      <c r="B288" s="26"/>
      <c r="D288" s="93"/>
      <c r="E288" s="112"/>
      <c r="F288" s="112"/>
      <c r="G288" s="112"/>
      <c r="H288" s="112"/>
    </row>
    <row r="289" spans="1:8" ht="14.25" customHeight="1" x14ac:dyDescent="0.35">
      <c r="A289" s="960"/>
      <c r="B289" s="26"/>
      <c r="D289" s="93"/>
      <c r="E289" s="112"/>
      <c r="F289" s="112"/>
      <c r="G289" s="112"/>
      <c r="H289" s="112"/>
    </row>
    <row r="290" spans="1:8" ht="14.25" customHeight="1" x14ac:dyDescent="0.35">
      <c r="A290" s="960"/>
      <c r="B290" s="26"/>
      <c r="D290" s="93"/>
      <c r="E290" s="112"/>
      <c r="F290" s="112"/>
      <c r="G290" s="112"/>
      <c r="H290" s="112"/>
    </row>
    <row r="291" spans="1:8" ht="14.25" customHeight="1" x14ac:dyDescent="0.35">
      <c r="A291" s="960"/>
      <c r="B291" s="26"/>
      <c r="D291" s="93"/>
      <c r="E291" s="112"/>
      <c r="F291" s="112"/>
      <c r="G291" s="112"/>
      <c r="H291" s="112"/>
    </row>
    <row r="292" spans="1:8" ht="14.25" customHeight="1" x14ac:dyDescent="0.35">
      <c r="A292" s="960"/>
      <c r="B292" s="26"/>
      <c r="D292" s="93"/>
      <c r="E292" s="112"/>
      <c r="F292" s="112"/>
      <c r="G292" s="112"/>
      <c r="H292" s="112"/>
    </row>
    <row r="293" spans="1:8" ht="14.25" customHeight="1" x14ac:dyDescent="0.35">
      <c r="A293" s="960"/>
      <c r="B293" s="26"/>
      <c r="D293" s="93"/>
      <c r="E293" s="112"/>
      <c r="F293" s="112"/>
      <c r="G293" s="112"/>
      <c r="H293" s="112"/>
    </row>
    <row r="294" spans="1:8" ht="14.25" customHeight="1" x14ac:dyDescent="0.35">
      <c r="A294" s="960"/>
      <c r="B294" s="26"/>
      <c r="D294" s="93"/>
      <c r="E294" s="112"/>
      <c r="F294" s="112"/>
      <c r="G294" s="112"/>
      <c r="H294" s="112"/>
    </row>
    <row r="295" spans="1:8" ht="14.25" customHeight="1" x14ac:dyDescent="0.35">
      <c r="A295" s="960"/>
      <c r="B295" s="26"/>
      <c r="D295" s="93"/>
      <c r="E295" s="112"/>
      <c r="F295" s="112"/>
      <c r="G295" s="112"/>
      <c r="H295" s="112"/>
    </row>
    <row r="296" spans="1:8" ht="14.25" customHeight="1" x14ac:dyDescent="0.35">
      <c r="A296" s="960"/>
      <c r="B296" s="26"/>
      <c r="D296" s="93"/>
      <c r="E296" s="112"/>
      <c r="F296" s="112"/>
      <c r="G296" s="112"/>
      <c r="H296" s="112"/>
    </row>
    <row r="297" spans="1:8" ht="14.25" customHeight="1" x14ac:dyDescent="0.35">
      <c r="A297" s="960"/>
      <c r="B297" s="26"/>
      <c r="D297" s="93"/>
      <c r="E297" s="112"/>
      <c r="F297" s="112"/>
      <c r="G297" s="112"/>
      <c r="H297" s="112"/>
    </row>
    <row r="298" spans="1:8" ht="14.25" customHeight="1" x14ac:dyDescent="0.35">
      <c r="A298" s="960"/>
      <c r="B298" s="26"/>
      <c r="D298" s="93"/>
      <c r="E298" s="112"/>
      <c r="F298" s="112"/>
      <c r="G298" s="112"/>
      <c r="H298" s="112"/>
    </row>
    <row r="299" spans="1:8" ht="14.25" customHeight="1" x14ac:dyDescent="0.35">
      <c r="A299" s="960"/>
      <c r="B299" s="26"/>
      <c r="D299" s="93"/>
      <c r="E299" s="112"/>
      <c r="F299" s="112"/>
      <c r="G299" s="112"/>
      <c r="H299" s="112"/>
    </row>
    <row r="300" spans="1:8" ht="14.25" customHeight="1" x14ac:dyDescent="0.35">
      <c r="A300" s="960"/>
      <c r="B300" s="26"/>
      <c r="D300" s="93"/>
      <c r="E300" s="112"/>
      <c r="F300" s="112"/>
      <c r="G300" s="112"/>
      <c r="H300" s="112"/>
    </row>
    <row r="301" spans="1:8" ht="14.25" customHeight="1" x14ac:dyDescent="0.35">
      <c r="A301" s="960"/>
      <c r="B301" s="26"/>
      <c r="D301" s="93"/>
      <c r="E301" s="112"/>
      <c r="F301" s="112"/>
      <c r="G301" s="112"/>
      <c r="H301" s="112"/>
    </row>
    <row r="302" spans="1:8" ht="14.25" customHeight="1" x14ac:dyDescent="0.35">
      <c r="A302" s="960"/>
      <c r="B302" s="26"/>
      <c r="D302" s="93"/>
      <c r="E302" s="112"/>
      <c r="F302" s="112"/>
      <c r="G302" s="112"/>
      <c r="H302" s="112"/>
    </row>
    <row r="303" spans="1:8" ht="14.25" customHeight="1" x14ac:dyDescent="0.35">
      <c r="A303" s="960"/>
      <c r="B303" s="26"/>
      <c r="D303" s="93"/>
      <c r="E303" s="112"/>
      <c r="F303" s="112"/>
      <c r="G303" s="112"/>
      <c r="H303" s="112"/>
    </row>
    <row r="304" spans="1:8" ht="14.25" customHeight="1" x14ac:dyDescent="0.35">
      <c r="A304" s="960"/>
      <c r="B304" s="26"/>
      <c r="D304" s="93"/>
      <c r="E304" s="112"/>
      <c r="F304" s="112"/>
      <c r="G304" s="112"/>
      <c r="H304" s="112"/>
    </row>
    <row r="305" spans="1:8" ht="14.25" customHeight="1" x14ac:dyDescent="0.35">
      <c r="A305" s="960"/>
      <c r="B305" s="26"/>
      <c r="D305" s="93"/>
      <c r="E305" s="112"/>
      <c r="F305" s="112"/>
      <c r="G305" s="112"/>
      <c r="H305" s="112"/>
    </row>
    <row r="306" spans="1:8" ht="14.25" customHeight="1" x14ac:dyDescent="0.35">
      <c r="A306" s="960"/>
      <c r="B306" s="26"/>
      <c r="D306" s="93"/>
      <c r="E306" s="112"/>
      <c r="F306" s="112"/>
      <c r="G306" s="112"/>
      <c r="H306" s="112"/>
    </row>
    <row r="307" spans="1:8" ht="15.75" customHeight="1" x14ac:dyDescent="0.35">
      <c r="A307" s="960"/>
      <c r="B307" s="26"/>
      <c r="F307" s="112"/>
    </row>
    <row r="308" spans="1:8" ht="15.75" customHeight="1" x14ac:dyDescent="0.35">
      <c r="A308" s="960"/>
      <c r="B308" s="26"/>
      <c r="F308" s="112"/>
    </row>
    <row r="309" spans="1:8" ht="15.75" customHeight="1" x14ac:dyDescent="0.35">
      <c r="A309" s="960"/>
      <c r="B309" s="26"/>
      <c r="F309" s="112"/>
    </row>
    <row r="310" spans="1:8" ht="15.75" customHeight="1" x14ac:dyDescent="0.35">
      <c r="A310" s="960"/>
      <c r="B310" s="26"/>
      <c r="F310" s="112"/>
    </row>
    <row r="311" spans="1:8" ht="15.75" customHeight="1" x14ac:dyDescent="0.35">
      <c r="A311" s="960"/>
      <c r="B311" s="26"/>
      <c r="F311" s="112"/>
    </row>
    <row r="312" spans="1:8" ht="15.75" customHeight="1" x14ac:dyDescent="0.35">
      <c r="A312" s="960"/>
      <c r="B312" s="26"/>
      <c r="F312" s="112"/>
    </row>
    <row r="313" spans="1:8" ht="15.75" customHeight="1" x14ac:dyDescent="0.35">
      <c r="A313" s="960"/>
      <c r="B313" s="26"/>
      <c r="F313" s="112"/>
    </row>
    <row r="314" spans="1:8" ht="15.75" customHeight="1" x14ac:dyDescent="0.35">
      <c r="A314" s="960"/>
      <c r="B314" s="26"/>
      <c r="F314" s="112"/>
    </row>
    <row r="315" spans="1:8" ht="15.75" customHeight="1" x14ac:dyDescent="0.35">
      <c r="A315" s="960"/>
      <c r="B315" s="26"/>
      <c r="F315" s="112"/>
    </row>
    <row r="316" spans="1:8" ht="15.75" customHeight="1" x14ac:dyDescent="0.35">
      <c r="A316" s="960"/>
      <c r="B316" s="26"/>
      <c r="F316" s="112"/>
    </row>
    <row r="317" spans="1:8" ht="15.75" customHeight="1" x14ac:dyDescent="0.35">
      <c r="A317" s="960"/>
      <c r="B317" s="26"/>
      <c r="F317" s="112"/>
    </row>
    <row r="318" spans="1:8" ht="15.75" customHeight="1" x14ac:dyDescent="0.35">
      <c r="A318" s="960"/>
      <c r="B318" s="26"/>
      <c r="F318" s="112"/>
    </row>
    <row r="319" spans="1:8" ht="15.75" customHeight="1" x14ac:dyDescent="0.35">
      <c r="A319" s="960"/>
      <c r="B319" s="26"/>
      <c r="F319" s="112"/>
    </row>
    <row r="320" spans="1:8" ht="15.75" customHeight="1" x14ac:dyDescent="0.35">
      <c r="A320" s="960"/>
      <c r="B320" s="26"/>
      <c r="F320" s="112"/>
    </row>
    <row r="321" spans="1:6" ht="15.75" customHeight="1" x14ac:dyDescent="0.35">
      <c r="A321" s="960"/>
      <c r="B321" s="26"/>
      <c r="F321" s="112"/>
    </row>
    <row r="322" spans="1:6" ht="15.75" customHeight="1" x14ac:dyDescent="0.35">
      <c r="A322" s="960"/>
      <c r="B322" s="26"/>
      <c r="F322" s="112"/>
    </row>
    <row r="323" spans="1:6" ht="15.75" customHeight="1" x14ac:dyDescent="0.35">
      <c r="A323" s="960"/>
      <c r="B323" s="26"/>
      <c r="F323" s="112"/>
    </row>
    <row r="324" spans="1:6" ht="15.75" customHeight="1" x14ac:dyDescent="0.35">
      <c r="A324" s="960"/>
      <c r="B324" s="26"/>
      <c r="F324" s="112"/>
    </row>
    <row r="325" spans="1:6" ht="15.75" customHeight="1" x14ac:dyDescent="0.35">
      <c r="A325" s="960"/>
      <c r="B325" s="26"/>
      <c r="F325" s="112"/>
    </row>
    <row r="326" spans="1:6" ht="15.75" customHeight="1" x14ac:dyDescent="0.35">
      <c r="A326" s="960"/>
      <c r="B326" s="26"/>
      <c r="F326" s="112"/>
    </row>
    <row r="327" spans="1:6" ht="15.75" customHeight="1" x14ac:dyDescent="0.35">
      <c r="A327" s="960"/>
      <c r="B327" s="26"/>
      <c r="F327" s="112"/>
    </row>
    <row r="328" spans="1:6" ht="15.75" customHeight="1" x14ac:dyDescent="0.35">
      <c r="A328" s="960"/>
      <c r="B328" s="26"/>
      <c r="F328" s="112"/>
    </row>
    <row r="329" spans="1:6" ht="15.75" customHeight="1" x14ac:dyDescent="0.35">
      <c r="A329" s="960"/>
      <c r="B329" s="26"/>
      <c r="F329" s="112"/>
    </row>
    <row r="330" spans="1:6" ht="15.75" customHeight="1" x14ac:dyDescent="0.35">
      <c r="A330" s="960"/>
      <c r="B330" s="26"/>
      <c r="F330" s="112"/>
    </row>
    <row r="331" spans="1:6" ht="15.75" customHeight="1" x14ac:dyDescent="0.35">
      <c r="A331" s="960"/>
      <c r="B331" s="26"/>
      <c r="F331" s="112"/>
    </row>
    <row r="332" spans="1:6" ht="15.75" customHeight="1" x14ac:dyDescent="0.35">
      <c r="A332" s="960"/>
      <c r="B332" s="26"/>
      <c r="F332" s="112"/>
    </row>
    <row r="333" spans="1:6" ht="15.75" customHeight="1" x14ac:dyDescent="0.35">
      <c r="A333" s="960"/>
      <c r="B333" s="26"/>
      <c r="F333" s="112"/>
    </row>
    <row r="334" spans="1:6" ht="15.75" customHeight="1" x14ac:dyDescent="0.35">
      <c r="A334" s="960"/>
      <c r="B334" s="26"/>
      <c r="F334" s="112"/>
    </row>
    <row r="335" spans="1:6" ht="15.75" customHeight="1" x14ac:dyDescent="0.35">
      <c r="A335" s="960"/>
      <c r="B335" s="26"/>
      <c r="F335" s="112"/>
    </row>
    <row r="336" spans="1:6" ht="15.75" customHeight="1" x14ac:dyDescent="0.35">
      <c r="A336" s="960"/>
      <c r="B336" s="26"/>
      <c r="F336" s="112"/>
    </row>
    <row r="337" spans="1:6" ht="15.75" customHeight="1" x14ac:dyDescent="0.35">
      <c r="A337" s="960"/>
      <c r="B337" s="26"/>
      <c r="F337" s="112"/>
    </row>
    <row r="338" spans="1:6" ht="15.75" customHeight="1" x14ac:dyDescent="0.35">
      <c r="A338" s="960"/>
      <c r="B338" s="26"/>
      <c r="F338" s="112"/>
    </row>
    <row r="339" spans="1:6" ht="15.75" customHeight="1" x14ac:dyDescent="0.35">
      <c r="A339" s="960"/>
      <c r="B339" s="26"/>
      <c r="F339" s="112"/>
    </row>
    <row r="340" spans="1:6" ht="15.75" customHeight="1" x14ac:dyDescent="0.35">
      <c r="A340" s="960"/>
      <c r="B340" s="26"/>
      <c r="F340" s="112"/>
    </row>
    <row r="341" spans="1:6" ht="15.75" customHeight="1" x14ac:dyDescent="0.35">
      <c r="A341" s="960"/>
      <c r="B341" s="26"/>
      <c r="F341" s="112"/>
    </row>
    <row r="342" spans="1:6" ht="15.75" customHeight="1" x14ac:dyDescent="0.35">
      <c r="A342" s="960"/>
      <c r="B342" s="26"/>
      <c r="F342" s="112"/>
    </row>
    <row r="343" spans="1:6" ht="15.75" customHeight="1" x14ac:dyDescent="0.35">
      <c r="A343" s="960"/>
      <c r="B343" s="26"/>
      <c r="F343" s="112"/>
    </row>
    <row r="344" spans="1:6" ht="15.75" customHeight="1" x14ac:dyDescent="0.35">
      <c r="A344" s="960"/>
      <c r="B344" s="26"/>
      <c r="F344" s="112"/>
    </row>
    <row r="345" spans="1:6" ht="15.75" customHeight="1" x14ac:dyDescent="0.35">
      <c r="A345" s="960"/>
      <c r="B345" s="26"/>
      <c r="F345" s="112"/>
    </row>
    <row r="346" spans="1:6" ht="15.75" customHeight="1" x14ac:dyDescent="0.35">
      <c r="A346" s="960"/>
      <c r="B346" s="26"/>
      <c r="F346" s="112"/>
    </row>
    <row r="347" spans="1:6" ht="15.75" customHeight="1" x14ac:dyDescent="0.35">
      <c r="A347" s="960"/>
      <c r="B347" s="26"/>
      <c r="F347" s="112"/>
    </row>
    <row r="348" spans="1:6" ht="15.75" customHeight="1" x14ac:dyDescent="0.35">
      <c r="A348" s="960"/>
      <c r="B348" s="26"/>
      <c r="F348" s="112"/>
    </row>
    <row r="349" spans="1:6" ht="15.75" customHeight="1" x14ac:dyDescent="0.35">
      <c r="A349" s="960"/>
      <c r="B349" s="26"/>
      <c r="F349" s="112"/>
    </row>
    <row r="350" spans="1:6" ht="15.75" customHeight="1" x14ac:dyDescent="0.35">
      <c r="A350" s="960"/>
      <c r="B350" s="26"/>
      <c r="F350" s="112"/>
    </row>
    <row r="351" spans="1:6" ht="15.75" customHeight="1" x14ac:dyDescent="0.35">
      <c r="A351" s="960"/>
      <c r="B351" s="26"/>
      <c r="F351" s="112"/>
    </row>
    <row r="352" spans="1:6" ht="15.75" customHeight="1" x14ac:dyDescent="0.35">
      <c r="A352" s="960"/>
      <c r="B352" s="26"/>
      <c r="F352" s="112"/>
    </row>
    <row r="353" spans="1:6" ht="15.75" customHeight="1" x14ac:dyDescent="0.35">
      <c r="A353" s="960"/>
      <c r="B353" s="26"/>
      <c r="F353" s="112"/>
    </row>
    <row r="354" spans="1:6" ht="15.75" customHeight="1" x14ac:dyDescent="0.35">
      <c r="A354" s="960"/>
      <c r="B354" s="26"/>
      <c r="F354" s="112"/>
    </row>
    <row r="355" spans="1:6" ht="15.75" customHeight="1" x14ac:dyDescent="0.35">
      <c r="A355" s="960"/>
      <c r="B355" s="26"/>
      <c r="F355" s="112"/>
    </row>
    <row r="356" spans="1:6" ht="15.75" customHeight="1" x14ac:dyDescent="0.35">
      <c r="A356" s="960"/>
      <c r="B356" s="26"/>
      <c r="F356" s="112"/>
    </row>
    <row r="357" spans="1:6" ht="15.75" customHeight="1" x14ac:dyDescent="0.35">
      <c r="A357" s="960"/>
      <c r="B357" s="26"/>
      <c r="F357" s="112"/>
    </row>
    <row r="358" spans="1:6" ht="15.75" customHeight="1" x14ac:dyDescent="0.35">
      <c r="A358" s="960"/>
      <c r="B358" s="26"/>
      <c r="F358" s="112"/>
    </row>
    <row r="359" spans="1:6" ht="15.75" customHeight="1" x14ac:dyDescent="0.35">
      <c r="A359" s="960"/>
      <c r="B359" s="26"/>
      <c r="F359" s="112"/>
    </row>
    <row r="360" spans="1:6" ht="15.75" customHeight="1" x14ac:dyDescent="0.35">
      <c r="A360" s="960"/>
      <c r="B360" s="26"/>
      <c r="F360" s="112"/>
    </row>
    <row r="361" spans="1:6" ht="15.75" customHeight="1" x14ac:dyDescent="0.35">
      <c r="A361" s="960"/>
      <c r="B361" s="26"/>
      <c r="F361" s="112"/>
    </row>
    <row r="362" spans="1:6" ht="15.75" customHeight="1" x14ac:dyDescent="0.35">
      <c r="A362" s="960"/>
      <c r="B362" s="26"/>
      <c r="F362" s="112"/>
    </row>
    <row r="363" spans="1:6" ht="15.75" customHeight="1" x14ac:dyDescent="0.35">
      <c r="A363" s="960"/>
      <c r="B363" s="26"/>
      <c r="F363" s="112"/>
    </row>
    <row r="364" spans="1:6" ht="15.75" customHeight="1" x14ac:dyDescent="0.35">
      <c r="A364" s="960"/>
      <c r="B364" s="26"/>
      <c r="F364" s="112"/>
    </row>
    <row r="365" spans="1:6" ht="15.75" customHeight="1" x14ac:dyDescent="0.35">
      <c r="A365" s="960"/>
      <c r="B365" s="26"/>
      <c r="F365" s="112"/>
    </row>
    <row r="366" spans="1:6" ht="15.75" customHeight="1" x14ac:dyDescent="0.35">
      <c r="A366" s="960"/>
      <c r="B366" s="26"/>
      <c r="F366" s="112"/>
    </row>
    <row r="367" spans="1:6" ht="15.75" customHeight="1" x14ac:dyDescent="0.35">
      <c r="A367" s="960"/>
      <c r="B367" s="26"/>
      <c r="F367" s="112"/>
    </row>
    <row r="368" spans="1:6" ht="15.75" customHeight="1" x14ac:dyDescent="0.35">
      <c r="A368" s="960"/>
      <c r="B368" s="26"/>
      <c r="F368" s="112"/>
    </row>
    <row r="369" spans="1:6" ht="15.75" customHeight="1" x14ac:dyDescent="0.35">
      <c r="A369" s="960"/>
      <c r="B369" s="26"/>
      <c r="F369" s="112"/>
    </row>
    <row r="370" spans="1:6" ht="15.75" customHeight="1" x14ac:dyDescent="0.35">
      <c r="A370" s="960"/>
      <c r="B370" s="26"/>
      <c r="F370" s="112"/>
    </row>
    <row r="371" spans="1:6" ht="15.75" customHeight="1" x14ac:dyDescent="0.35">
      <c r="A371" s="960"/>
      <c r="B371" s="26"/>
      <c r="F371" s="112"/>
    </row>
    <row r="372" spans="1:6" ht="15.75" customHeight="1" x14ac:dyDescent="0.35">
      <c r="A372" s="960"/>
      <c r="B372" s="26"/>
      <c r="F372" s="112"/>
    </row>
    <row r="373" spans="1:6" ht="15.75" customHeight="1" x14ac:dyDescent="0.35">
      <c r="A373" s="960"/>
      <c r="B373" s="26"/>
      <c r="F373" s="112"/>
    </row>
    <row r="374" spans="1:6" ht="15.75" customHeight="1" x14ac:dyDescent="0.35">
      <c r="A374" s="960"/>
      <c r="B374" s="26"/>
      <c r="F374" s="112"/>
    </row>
    <row r="375" spans="1:6" ht="15.75" customHeight="1" x14ac:dyDescent="0.35">
      <c r="A375" s="960"/>
      <c r="B375" s="26"/>
      <c r="F375" s="112"/>
    </row>
    <row r="376" spans="1:6" ht="15.75" customHeight="1" x14ac:dyDescent="0.35">
      <c r="A376" s="960"/>
      <c r="B376" s="26"/>
      <c r="F376" s="112"/>
    </row>
    <row r="377" spans="1:6" ht="15.75" customHeight="1" x14ac:dyDescent="0.35">
      <c r="A377" s="960"/>
      <c r="B377" s="26"/>
      <c r="F377" s="112"/>
    </row>
    <row r="378" spans="1:6" ht="15.75" customHeight="1" x14ac:dyDescent="0.35">
      <c r="A378" s="960"/>
      <c r="B378" s="26"/>
      <c r="F378" s="112"/>
    </row>
    <row r="379" spans="1:6" ht="15.75" customHeight="1" x14ac:dyDescent="0.35">
      <c r="A379" s="960"/>
      <c r="B379" s="26"/>
      <c r="F379" s="112"/>
    </row>
    <row r="380" spans="1:6" ht="15.75" customHeight="1" x14ac:dyDescent="0.35">
      <c r="A380" s="960"/>
      <c r="B380" s="26"/>
      <c r="F380" s="112"/>
    </row>
    <row r="381" spans="1:6" ht="15.75" customHeight="1" x14ac:dyDescent="0.35">
      <c r="A381" s="960"/>
      <c r="B381" s="26"/>
      <c r="F381" s="112"/>
    </row>
    <row r="382" spans="1:6" ht="15.75" customHeight="1" x14ac:dyDescent="0.35">
      <c r="A382" s="960"/>
      <c r="B382" s="26"/>
      <c r="F382" s="112"/>
    </row>
    <row r="383" spans="1:6" ht="15.75" customHeight="1" x14ac:dyDescent="0.35">
      <c r="A383" s="960"/>
      <c r="B383" s="26"/>
      <c r="F383" s="112"/>
    </row>
    <row r="384" spans="1:6" ht="15.75" customHeight="1" x14ac:dyDescent="0.35">
      <c r="A384" s="960"/>
      <c r="B384" s="26"/>
      <c r="F384" s="112"/>
    </row>
    <row r="385" spans="1:6" ht="15.75" customHeight="1" x14ac:dyDescent="0.35">
      <c r="A385" s="960"/>
      <c r="B385" s="26"/>
      <c r="F385" s="112"/>
    </row>
    <row r="386" spans="1:6" ht="15.75" customHeight="1" x14ac:dyDescent="0.35">
      <c r="A386" s="960"/>
      <c r="B386" s="26"/>
      <c r="F386" s="112"/>
    </row>
    <row r="387" spans="1:6" ht="15.75" customHeight="1" x14ac:dyDescent="0.35">
      <c r="A387" s="960"/>
      <c r="B387" s="26"/>
      <c r="F387" s="112"/>
    </row>
    <row r="388" spans="1:6" ht="15.75" customHeight="1" x14ac:dyDescent="0.35">
      <c r="A388" s="960"/>
      <c r="B388" s="26"/>
      <c r="F388" s="112"/>
    </row>
    <row r="389" spans="1:6" ht="15.75" customHeight="1" x14ac:dyDescent="0.35">
      <c r="A389" s="960"/>
      <c r="B389" s="26"/>
      <c r="F389" s="112"/>
    </row>
    <row r="390" spans="1:6" ht="15.75" customHeight="1" x14ac:dyDescent="0.35">
      <c r="A390" s="960"/>
      <c r="B390" s="26"/>
      <c r="F390" s="112"/>
    </row>
    <row r="391" spans="1:6" ht="15.75" customHeight="1" x14ac:dyDescent="0.35">
      <c r="A391" s="960"/>
      <c r="B391" s="26"/>
      <c r="F391" s="112"/>
    </row>
    <row r="392" spans="1:6" ht="15.75" customHeight="1" x14ac:dyDescent="0.35">
      <c r="A392" s="960"/>
      <c r="B392" s="26"/>
      <c r="F392" s="112"/>
    </row>
    <row r="393" spans="1:6" ht="15.75" customHeight="1" x14ac:dyDescent="0.35">
      <c r="A393" s="960"/>
      <c r="B393" s="26"/>
      <c r="F393" s="112"/>
    </row>
    <row r="394" spans="1:6" ht="15.75" customHeight="1" x14ac:dyDescent="0.35">
      <c r="A394" s="960"/>
      <c r="B394" s="26"/>
      <c r="F394" s="112"/>
    </row>
    <row r="395" spans="1:6" ht="15.75" customHeight="1" x14ac:dyDescent="0.35">
      <c r="A395" s="960"/>
      <c r="B395" s="26"/>
      <c r="F395" s="112"/>
    </row>
    <row r="396" spans="1:6" ht="15.75" customHeight="1" x14ac:dyDescent="0.35">
      <c r="A396" s="960"/>
      <c r="B396" s="26"/>
      <c r="F396" s="112"/>
    </row>
    <row r="397" spans="1:6" ht="15.75" customHeight="1" x14ac:dyDescent="0.35">
      <c r="A397" s="960"/>
      <c r="B397" s="26"/>
      <c r="F397" s="112"/>
    </row>
    <row r="398" spans="1:6" ht="15.75" customHeight="1" x14ac:dyDescent="0.35">
      <c r="A398" s="960"/>
      <c r="B398" s="26"/>
      <c r="F398" s="112"/>
    </row>
    <row r="399" spans="1:6" ht="15.75" customHeight="1" x14ac:dyDescent="0.35">
      <c r="A399" s="960"/>
      <c r="B399" s="26"/>
      <c r="F399" s="112"/>
    </row>
    <row r="400" spans="1:6" ht="15.75" customHeight="1" x14ac:dyDescent="0.35">
      <c r="A400" s="960"/>
      <c r="B400" s="26"/>
      <c r="F400" s="112"/>
    </row>
    <row r="401" spans="1:6" ht="15.75" customHeight="1" x14ac:dyDescent="0.35">
      <c r="A401" s="960"/>
      <c r="B401" s="26"/>
      <c r="F401" s="112"/>
    </row>
    <row r="402" spans="1:6" ht="15.75" customHeight="1" x14ac:dyDescent="0.35">
      <c r="A402" s="960"/>
      <c r="B402" s="26"/>
      <c r="F402" s="112"/>
    </row>
    <row r="403" spans="1:6" ht="15.75" customHeight="1" x14ac:dyDescent="0.35">
      <c r="A403" s="960"/>
      <c r="B403" s="26"/>
      <c r="F403" s="112"/>
    </row>
    <row r="404" spans="1:6" ht="15.75" customHeight="1" x14ac:dyDescent="0.35">
      <c r="A404" s="960"/>
      <c r="B404" s="26"/>
      <c r="F404" s="112"/>
    </row>
    <row r="405" spans="1:6" ht="15.75" customHeight="1" x14ac:dyDescent="0.35">
      <c r="A405" s="960"/>
      <c r="B405" s="26"/>
      <c r="F405" s="112"/>
    </row>
    <row r="406" spans="1:6" ht="15.75" customHeight="1" x14ac:dyDescent="0.35">
      <c r="A406" s="960"/>
      <c r="B406" s="26"/>
      <c r="F406" s="112"/>
    </row>
    <row r="407" spans="1:6" ht="15.75" customHeight="1" x14ac:dyDescent="0.35">
      <c r="A407" s="960"/>
      <c r="B407" s="26"/>
      <c r="F407" s="112"/>
    </row>
    <row r="408" spans="1:6" ht="15.75" customHeight="1" x14ac:dyDescent="0.35">
      <c r="A408" s="960"/>
      <c r="B408" s="26"/>
      <c r="F408" s="112"/>
    </row>
    <row r="409" spans="1:6" ht="15.75" customHeight="1" x14ac:dyDescent="0.35">
      <c r="A409" s="960"/>
      <c r="B409" s="26"/>
      <c r="F409" s="112"/>
    </row>
    <row r="410" spans="1:6" ht="15.75" customHeight="1" x14ac:dyDescent="0.35">
      <c r="A410" s="960"/>
      <c r="B410" s="26"/>
      <c r="F410" s="112"/>
    </row>
    <row r="411" spans="1:6" ht="15.75" customHeight="1" x14ac:dyDescent="0.35">
      <c r="A411" s="960"/>
      <c r="B411" s="26"/>
      <c r="F411" s="112"/>
    </row>
    <row r="412" spans="1:6" ht="15.75" customHeight="1" x14ac:dyDescent="0.35">
      <c r="A412" s="960"/>
      <c r="B412" s="26"/>
      <c r="F412" s="112"/>
    </row>
    <row r="413" spans="1:6" ht="15.75" customHeight="1" x14ac:dyDescent="0.35">
      <c r="A413" s="960"/>
      <c r="B413" s="26"/>
      <c r="F413" s="112"/>
    </row>
    <row r="414" spans="1:6" ht="15.75" customHeight="1" x14ac:dyDescent="0.35">
      <c r="A414" s="960"/>
      <c r="B414" s="26"/>
      <c r="F414" s="112"/>
    </row>
    <row r="415" spans="1:6" ht="15.75" customHeight="1" x14ac:dyDescent="0.35">
      <c r="A415" s="960"/>
      <c r="B415" s="26"/>
      <c r="F415" s="112"/>
    </row>
    <row r="416" spans="1:6" ht="15.75" customHeight="1" x14ac:dyDescent="0.35">
      <c r="A416" s="960"/>
      <c r="B416" s="26"/>
      <c r="F416" s="112"/>
    </row>
    <row r="417" spans="1:6" ht="15.75" customHeight="1" x14ac:dyDescent="0.35">
      <c r="A417" s="960"/>
      <c r="B417" s="26"/>
      <c r="F417" s="112"/>
    </row>
    <row r="418" spans="1:6" ht="15.75" customHeight="1" x14ac:dyDescent="0.35">
      <c r="A418" s="960"/>
      <c r="B418" s="26"/>
      <c r="F418" s="112"/>
    </row>
    <row r="419" spans="1:6" ht="15.75" customHeight="1" x14ac:dyDescent="0.35">
      <c r="A419" s="960"/>
      <c r="B419" s="26"/>
      <c r="F419" s="112"/>
    </row>
    <row r="420" spans="1:6" ht="15.75" customHeight="1" x14ac:dyDescent="0.35">
      <c r="A420" s="960"/>
      <c r="B420" s="26"/>
      <c r="F420" s="112"/>
    </row>
    <row r="421" spans="1:6" ht="15.75" customHeight="1" x14ac:dyDescent="0.35">
      <c r="A421" s="960"/>
      <c r="B421" s="26"/>
      <c r="F421" s="112"/>
    </row>
    <row r="422" spans="1:6" ht="15.75" customHeight="1" x14ac:dyDescent="0.35">
      <c r="A422" s="960"/>
      <c r="B422" s="26"/>
      <c r="F422" s="112"/>
    </row>
    <row r="423" spans="1:6" ht="15.75" customHeight="1" x14ac:dyDescent="0.35">
      <c r="A423" s="960"/>
      <c r="B423" s="26"/>
      <c r="F423" s="112"/>
    </row>
    <row r="424" spans="1:6" ht="15.75" customHeight="1" x14ac:dyDescent="0.35">
      <c r="A424" s="960"/>
      <c r="B424" s="26"/>
      <c r="F424" s="112"/>
    </row>
    <row r="425" spans="1:6" ht="15.75" customHeight="1" x14ac:dyDescent="0.35">
      <c r="A425" s="960"/>
      <c r="B425" s="26"/>
      <c r="F425" s="112"/>
    </row>
    <row r="426" spans="1:6" ht="15.75" customHeight="1" x14ac:dyDescent="0.35">
      <c r="A426" s="960"/>
      <c r="B426" s="26"/>
      <c r="F426" s="112"/>
    </row>
    <row r="427" spans="1:6" ht="15.75" customHeight="1" x14ac:dyDescent="0.35">
      <c r="A427" s="960"/>
      <c r="B427" s="26"/>
      <c r="F427" s="112"/>
    </row>
    <row r="428" spans="1:6" ht="15.75" customHeight="1" x14ac:dyDescent="0.35">
      <c r="A428" s="960"/>
      <c r="B428" s="26"/>
      <c r="F428" s="112"/>
    </row>
    <row r="429" spans="1:6" ht="15.75" customHeight="1" x14ac:dyDescent="0.35">
      <c r="A429" s="960"/>
      <c r="B429" s="26"/>
      <c r="F429" s="112"/>
    </row>
    <row r="430" spans="1:6" ht="15.75" customHeight="1" x14ac:dyDescent="0.35">
      <c r="A430" s="960"/>
      <c r="B430" s="26"/>
      <c r="F430" s="112"/>
    </row>
    <row r="431" spans="1:6" ht="15.75" customHeight="1" x14ac:dyDescent="0.35">
      <c r="A431" s="960"/>
      <c r="B431" s="26"/>
      <c r="F431" s="112"/>
    </row>
    <row r="432" spans="1:6" ht="15.75" customHeight="1" x14ac:dyDescent="0.35">
      <c r="A432" s="960"/>
      <c r="B432" s="26"/>
      <c r="F432" s="112"/>
    </row>
    <row r="433" spans="1:6" ht="15.75" customHeight="1" x14ac:dyDescent="0.35">
      <c r="A433" s="960"/>
      <c r="B433" s="26"/>
      <c r="F433" s="112"/>
    </row>
    <row r="434" spans="1:6" ht="15.75" customHeight="1" x14ac:dyDescent="0.35">
      <c r="A434" s="960"/>
      <c r="B434" s="26"/>
      <c r="F434" s="112"/>
    </row>
    <row r="435" spans="1:6" ht="15.75" customHeight="1" x14ac:dyDescent="0.35">
      <c r="A435" s="960"/>
      <c r="B435" s="26"/>
      <c r="F435" s="112"/>
    </row>
    <row r="436" spans="1:6" ht="15.75" customHeight="1" x14ac:dyDescent="0.35">
      <c r="A436" s="960"/>
      <c r="B436" s="26"/>
      <c r="F436" s="112"/>
    </row>
    <row r="437" spans="1:6" ht="15.75" customHeight="1" x14ac:dyDescent="0.35">
      <c r="A437" s="960"/>
      <c r="B437" s="26"/>
      <c r="F437" s="112"/>
    </row>
    <row r="438" spans="1:6" ht="15.75" customHeight="1" x14ac:dyDescent="0.35">
      <c r="A438" s="960"/>
      <c r="B438" s="26"/>
      <c r="F438" s="112"/>
    </row>
    <row r="439" spans="1:6" ht="15.75" customHeight="1" x14ac:dyDescent="0.35">
      <c r="A439" s="960"/>
      <c r="B439" s="26"/>
      <c r="F439" s="112"/>
    </row>
    <row r="440" spans="1:6" ht="15.75" customHeight="1" x14ac:dyDescent="0.35">
      <c r="A440" s="960"/>
      <c r="B440" s="26"/>
      <c r="F440" s="112"/>
    </row>
    <row r="441" spans="1:6" ht="15.75" customHeight="1" x14ac:dyDescent="0.35">
      <c r="A441" s="960"/>
      <c r="B441" s="26"/>
      <c r="F441" s="112"/>
    </row>
    <row r="442" spans="1:6" ht="15.75" customHeight="1" x14ac:dyDescent="0.35">
      <c r="A442" s="960"/>
      <c r="B442" s="26"/>
      <c r="F442" s="112"/>
    </row>
    <row r="443" spans="1:6" ht="15.75" customHeight="1" x14ac:dyDescent="0.35">
      <c r="A443" s="960"/>
      <c r="B443" s="26"/>
      <c r="F443" s="112"/>
    </row>
    <row r="444" spans="1:6" ht="15.75" customHeight="1" x14ac:dyDescent="0.35">
      <c r="A444" s="960"/>
      <c r="B444" s="26"/>
      <c r="F444" s="112"/>
    </row>
    <row r="445" spans="1:6" ht="15.75" customHeight="1" x14ac:dyDescent="0.35">
      <c r="A445" s="960"/>
      <c r="B445" s="26"/>
      <c r="F445" s="112"/>
    </row>
    <row r="446" spans="1:6" ht="15.75" customHeight="1" x14ac:dyDescent="0.35">
      <c r="A446" s="960"/>
      <c r="B446" s="26"/>
      <c r="F446" s="112"/>
    </row>
    <row r="447" spans="1:6" ht="15.75" customHeight="1" x14ac:dyDescent="0.35">
      <c r="A447" s="960"/>
      <c r="B447" s="26"/>
      <c r="F447" s="112"/>
    </row>
    <row r="448" spans="1:6" ht="15.75" customHeight="1" x14ac:dyDescent="0.35">
      <c r="A448" s="960"/>
      <c r="B448" s="26"/>
      <c r="F448" s="112"/>
    </row>
    <row r="449" spans="1:6" ht="15.75" customHeight="1" x14ac:dyDescent="0.35">
      <c r="A449" s="960"/>
      <c r="B449" s="26"/>
      <c r="F449" s="112"/>
    </row>
    <row r="450" spans="1:6" ht="15.75" customHeight="1" x14ac:dyDescent="0.35">
      <c r="A450" s="960"/>
      <c r="B450" s="26"/>
      <c r="F450" s="112"/>
    </row>
    <row r="451" spans="1:6" ht="15.75" customHeight="1" x14ac:dyDescent="0.35">
      <c r="A451" s="960"/>
      <c r="B451" s="26"/>
      <c r="F451" s="112"/>
    </row>
    <row r="452" spans="1:6" ht="15.75" customHeight="1" x14ac:dyDescent="0.35">
      <c r="A452" s="960"/>
      <c r="B452" s="26"/>
      <c r="F452" s="112"/>
    </row>
    <row r="453" spans="1:6" ht="15.75" customHeight="1" x14ac:dyDescent="0.35">
      <c r="A453" s="960"/>
      <c r="B453" s="26"/>
      <c r="F453" s="112"/>
    </row>
    <row r="454" spans="1:6" ht="15.75" customHeight="1" x14ac:dyDescent="0.35">
      <c r="A454" s="960"/>
      <c r="B454" s="26"/>
      <c r="F454" s="112"/>
    </row>
    <row r="455" spans="1:6" ht="15.75" customHeight="1" x14ac:dyDescent="0.35">
      <c r="A455" s="960"/>
      <c r="B455" s="26"/>
      <c r="F455" s="112"/>
    </row>
    <row r="456" spans="1:6" ht="15.75" customHeight="1" x14ac:dyDescent="0.35">
      <c r="A456" s="960"/>
      <c r="B456" s="26"/>
      <c r="F456" s="112"/>
    </row>
    <row r="457" spans="1:6" ht="15.75" customHeight="1" x14ac:dyDescent="0.35">
      <c r="A457" s="960"/>
      <c r="B457" s="26"/>
      <c r="F457" s="112"/>
    </row>
    <row r="458" spans="1:6" ht="15.75" customHeight="1" x14ac:dyDescent="0.35">
      <c r="A458" s="960"/>
      <c r="B458" s="26"/>
      <c r="F458" s="112"/>
    </row>
    <row r="459" spans="1:6" ht="15.75" customHeight="1" x14ac:dyDescent="0.35">
      <c r="A459" s="960"/>
      <c r="B459" s="26"/>
      <c r="F459" s="112"/>
    </row>
    <row r="460" spans="1:6" ht="15.75" customHeight="1" x14ac:dyDescent="0.35">
      <c r="A460" s="960"/>
      <c r="B460" s="26"/>
      <c r="F460" s="112"/>
    </row>
    <row r="461" spans="1:6" ht="15.75" customHeight="1" x14ac:dyDescent="0.35">
      <c r="A461" s="960"/>
      <c r="B461" s="26"/>
      <c r="F461" s="112"/>
    </row>
    <row r="462" spans="1:6" ht="15.75" customHeight="1" x14ac:dyDescent="0.35">
      <c r="A462" s="960"/>
      <c r="B462" s="26"/>
      <c r="F462" s="112"/>
    </row>
    <row r="463" spans="1:6" ht="15.75" customHeight="1" x14ac:dyDescent="0.35">
      <c r="A463" s="960"/>
      <c r="B463" s="26"/>
      <c r="F463" s="112"/>
    </row>
    <row r="464" spans="1:6" ht="15.75" customHeight="1" x14ac:dyDescent="0.35">
      <c r="A464" s="960"/>
      <c r="B464" s="26"/>
      <c r="F464" s="112"/>
    </row>
    <row r="465" spans="1:6" ht="15.75" customHeight="1" x14ac:dyDescent="0.35">
      <c r="A465" s="960"/>
      <c r="B465" s="26"/>
      <c r="F465" s="112"/>
    </row>
    <row r="466" spans="1:6" ht="15.75" customHeight="1" x14ac:dyDescent="0.35">
      <c r="A466" s="960"/>
      <c r="B466" s="26"/>
      <c r="F466" s="112"/>
    </row>
    <row r="467" spans="1:6" ht="15.75" customHeight="1" x14ac:dyDescent="0.35">
      <c r="A467" s="960"/>
      <c r="B467" s="26"/>
      <c r="F467" s="112"/>
    </row>
    <row r="468" spans="1:6" ht="15.75" customHeight="1" x14ac:dyDescent="0.35">
      <c r="A468" s="960"/>
      <c r="B468" s="26"/>
      <c r="F468" s="112"/>
    </row>
    <row r="469" spans="1:6" ht="15.75" customHeight="1" x14ac:dyDescent="0.35">
      <c r="A469" s="960"/>
      <c r="B469" s="26"/>
      <c r="F469" s="112"/>
    </row>
    <row r="470" spans="1:6" ht="15.75" customHeight="1" x14ac:dyDescent="0.35">
      <c r="A470" s="960"/>
      <c r="B470" s="26"/>
      <c r="F470" s="112"/>
    </row>
    <row r="471" spans="1:6" ht="15.75" customHeight="1" x14ac:dyDescent="0.35">
      <c r="A471" s="960"/>
      <c r="B471" s="26"/>
      <c r="F471" s="112"/>
    </row>
    <row r="472" spans="1:6" ht="15.75" customHeight="1" x14ac:dyDescent="0.35">
      <c r="A472" s="960"/>
      <c r="B472" s="26"/>
      <c r="F472" s="112"/>
    </row>
    <row r="473" spans="1:6" ht="15.75" customHeight="1" x14ac:dyDescent="0.35">
      <c r="A473" s="960"/>
      <c r="B473" s="26"/>
      <c r="F473" s="112"/>
    </row>
    <row r="474" spans="1:6" ht="15.75" customHeight="1" x14ac:dyDescent="0.35">
      <c r="A474" s="960"/>
      <c r="B474" s="26"/>
      <c r="F474" s="112"/>
    </row>
    <row r="475" spans="1:6" ht="15.75" customHeight="1" x14ac:dyDescent="0.35">
      <c r="A475" s="960"/>
      <c r="B475" s="26"/>
      <c r="F475" s="112"/>
    </row>
    <row r="476" spans="1:6" ht="15.75" customHeight="1" x14ac:dyDescent="0.35">
      <c r="A476" s="960"/>
      <c r="B476" s="26"/>
      <c r="F476" s="112"/>
    </row>
    <row r="477" spans="1:6" ht="15.75" customHeight="1" x14ac:dyDescent="0.35">
      <c r="A477" s="960"/>
      <c r="B477" s="26"/>
      <c r="F477" s="112"/>
    </row>
    <row r="478" spans="1:6" ht="15.75" customHeight="1" x14ac:dyDescent="0.35">
      <c r="A478" s="960"/>
      <c r="B478" s="26"/>
      <c r="F478" s="112"/>
    </row>
    <row r="479" spans="1:6" ht="15.75" customHeight="1" x14ac:dyDescent="0.35">
      <c r="A479" s="960"/>
      <c r="B479" s="26"/>
      <c r="F479" s="112"/>
    </row>
    <row r="480" spans="1:6" ht="15.75" customHeight="1" x14ac:dyDescent="0.35">
      <c r="A480" s="960"/>
      <c r="B480" s="26"/>
      <c r="F480" s="112"/>
    </row>
    <row r="481" spans="1:6" ht="15.75" customHeight="1" x14ac:dyDescent="0.35">
      <c r="A481" s="960"/>
      <c r="B481" s="26"/>
      <c r="F481" s="112"/>
    </row>
    <row r="482" spans="1:6" ht="15.75" customHeight="1" x14ac:dyDescent="0.35">
      <c r="A482" s="960"/>
      <c r="B482" s="26"/>
      <c r="F482" s="112"/>
    </row>
    <row r="483" spans="1:6" ht="15.75" customHeight="1" x14ac:dyDescent="0.35">
      <c r="A483" s="960"/>
      <c r="B483" s="26"/>
      <c r="F483" s="112"/>
    </row>
    <row r="484" spans="1:6" ht="15.75" customHeight="1" x14ac:dyDescent="0.35">
      <c r="A484" s="960"/>
      <c r="B484" s="26"/>
      <c r="F484" s="112"/>
    </row>
    <row r="485" spans="1:6" ht="15.75" customHeight="1" x14ac:dyDescent="0.35">
      <c r="A485" s="960"/>
      <c r="B485" s="26"/>
      <c r="F485" s="112"/>
    </row>
    <row r="486" spans="1:6" ht="15.75" customHeight="1" x14ac:dyDescent="0.35">
      <c r="A486" s="960"/>
      <c r="B486" s="26"/>
      <c r="F486" s="112"/>
    </row>
    <row r="487" spans="1:6" ht="15.75" customHeight="1" x14ac:dyDescent="0.35">
      <c r="A487" s="960"/>
      <c r="B487" s="26"/>
      <c r="F487" s="112"/>
    </row>
    <row r="488" spans="1:6" ht="15.75" customHeight="1" x14ac:dyDescent="0.35">
      <c r="A488" s="960"/>
      <c r="B488" s="26"/>
      <c r="F488" s="112"/>
    </row>
    <row r="489" spans="1:6" ht="15.75" customHeight="1" x14ac:dyDescent="0.35">
      <c r="A489" s="960"/>
      <c r="B489" s="26"/>
      <c r="F489" s="112"/>
    </row>
    <row r="490" spans="1:6" ht="15.75" customHeight="1" x14ac:dyDescent="0.35">
      <c r="A490" s="960"/>
      <c r="B490" s="26"/>
      <c r="F490" s="112"/>
    </row>
    <row r="491" spans="1:6" ht="15.75" customHeight="1" x14ac:dyDescent="0.35">
      <c r="A491" s="960"/>
      <c r="B491" s="26"/>
      <c r="F491" s="112"/>
    </row>
    <row r="492" spans="1:6" ht="15.75" customHeight="1" x14ac:dyDescent="0.35">
      <c r="A492" s="960"/>
      <c r="B492" s="26"/>
      <c r="F492" s="112"/>
    </row>
    <row r="493" spans="1:6" ht="15.75" customHeight="1" x14ac:dyDescent="0.35">
      <c r="A493" s="960"/>
      <c r="B493" s="26"/>
      <c r="F493" s="112"/>
    </row>
    <row r="494" spans="1:6" ht="15.75" customHeight="1" x14ac:dyDescent="0.35">
      <c r="A494" s="960"/>
      <c r="B494" s="26"/>
      <c r="F494" s="112"/>
    </row>
    <row r="495" spans="1:6" ht="15.75" customHeight="1" x14ac:dyDescent="0.35">
      <c r="A495" s="960"/>
      <c r="B495" s="26"/>
      <c r="F495" s="112"/>
    </row>
    <row r="496" spans="1:6" ht="15.75" customHeight="1" x14ac:dyDescent="0.35">
      <c r="A496" s="960"/>
      <c r="B496" s="26"/>
      <c r="F496" s="112"/>
    </row>
    <row r="497" spans="1:6" ht="15.75" customHeight="1" x14ac:dyDescent="0.35">
      <c r="A497" s="960"/>
      <c r="B497" s="26"/>
      <c r="F497" s="112"/>
    </row>
    <row r="498" spans="1:6" ht="15.75" customHeight="1" x14ac:dyDescent="0.35">
      <c r="A498" s="960"/>
      <c r="B498" s="26"/>
      <c r="F498" s="112"/>
    </row>
    <row r="499" spans="1:6" ht="15.75" customHeight="1" x14ac:dyDescent="0.35">
      <c r="A499" s="960"/>
      <c r="B499" s="26"/>
      <c r="F499" s="112"/>
    </row>
    <row r="500" spans="1:6" ht="15.75" customHeight="1" x14ac:dyDescent="0.35">
      <c r="A500" s="960"/>
      <c r="B500" s="26"/>
      <c r="F500" s="112"/>
    </row>
    <row r="501" spans="1:6" ht="15.75" customHeight="1" x14ac:dyDescent="0.35">
      <c r="A501" s="960"/>
      <c r="B501" s="26"/>
      <c r="F501" s="112"/>
    </row>
    <row r="502" spans="1:6" ht="15.75" customHeight="1" x14ac:dyDescent="0.35">
      <c r="A502" s="960"/>
      <c r="B502" s="26"/>
      <c r="F502" s="112"/>
    </row>
    <row r="503" spans="1:6" ht="15.75" customHeight="1" x14ac:dyDescent="0.35">
      <c r="A503" s="960"/>
      <c r="B503" s="26"/>
      <c r="F503" s="112"/>
    </row>
    <row r="504" spans="1:6" ht="15.75" customHeight="1" x14ac:dyDescent="0.35">
      <c r="A504" s="960"/>
      <c r="B504" s="26"/>
      <c r="F504" s="112"/>
    </row>
    <row r="505" spans="1:6" ht="15.75" customHeight="1" x14ac:dyDescent="0.35">
      <c r="A505" s="960"/>
      <c r="B505" s="26"/>
      <c r="F505" s="112"/>
    </row>
    <row r="506" spans="1:6" ht="15.75" customHeight="1" x14ac:dyDescent="0.35">
      <c r="A506" s="960"/>
      <c r="B506" s="26"/>
      <c r="F506" s="112"/>
    </row>
    <row r="507" spans="1:6" ht="15.75" customHeight="1" x14ac:dyDescent="0.35">
      <c r="A507" s="960"/>
      <c r="B507" s="26"/>
      <c r="F507" s="112"/>
    </row>
    <row r="508" spans="1:6" ht="15.75" customHeight="1" x14ac:dyDescent="0.35">
      <c r="A508" s="960"/>
      <c r="B508" s="26"/>
      <c r="F508" s="112"/>
    </row>
    <row r="509" spans="1:6" ht="15.75" customHeight="1" x14ac:dyDescent="0.35">
      <c r="A509" s="960"/>
      <c r="B509" s="26"/>
      <c r="F509" s="112"/>
    </row>
    <row r="510" spans="1:6" ht="15.75" customHeight="1" x14ac:dyDescent="0.35">
      <c r="A510" s="960"/>
      <c r="B510" s="26"/>
      <c r="F510" s="112"/>
    </row>
    <row r="511" spans="1:6" ht="15.75" customHeight="1" x14ac:dyDescent="0.35">
      <c r="A511" s="960"/>
      <c r="B511" s="26"/>
      <c r="F511" s="112"/>
    </row>
    <row r="512" spans="1:6" ht="15.75" customHeight="1" x14ac:dyDescent="0.35">
      <c r="A512" s="960"/>
      <c r="B512" s="26"/>
      <c r="F512" s="112"/>
    </row>
    <row r="513" spans="1:6" ht="15.75" customHeight="1" x14ac:dyDescent="0.35">
      <c r="A513" s="960"/>
      <c r="B513" s="26"/>
      <c r="F513" s="112"/>
    </row>
    <row r="514" spans="1:6" ht="15.75" customHeight="1" x14ac:dyDescent="0.35">
      <c r="A514" s="960"/>
      <c r="B514" s="26"/>
      <c r="F514" s="112"/>
    </row>
    <row r="515" spans="1:6" ht="15.75" customHeight="1" x14ac:dyDescent="0.35">
      <c r="A515" s="960"/>
      <c r="B515" s="26"/>
      <c r="F515" s="112"/>
    </row>
    <row r="516" spans="1:6" ht="15.75" customHeight="1" x14ac:dyDescent="0.35">
      <c r="A516" s="960"/>
      <c r="B516" s="26"/>
      <c r="F516" s="112"/>
    </row>
    <row r="517" spans="1:6" ht="15.75" customHeight="1" x14ac:dyDescent="0.35">
      <c r="A517" s="960"/>
      <c r="B517" s="26"/>
      <c r="F517" s="112"/>
    </row>
    <row r="518" spans="1:6" ht="15.75" customHeight="1" x14ac:dyDescent="0.35">
      <c r="A518" s="960"/>
      <c r="B518" s="26"/>
      <c r="F518" s="112"/>
    </row>
    <row r="519" spans="1:6" ht="15.75" customHeight="1" x14ac:dyDescent="0.35">
      <c r="A519" s="960"/>
      <c r="B519" s="26"/>
      <c r="F519" s="112"/>
    </row>
    <row r="520" spans="1:6" ht="15.75" customHeight="1" x14ac:dyDescent="0.35">
      <c r="A520" s="960"/>
      <c r="B520" s="26"/>
      <c r="F520" s="112"/>
    </row>
    <row r="521" spans="1:6" ht="15.75" customHeight="1" x14ac:dyDescent="0.35">
      <c r="A521" s="960"/>
      <c r="B521" s="26"/>
      <c r="F521" s="112"/>
    </row>
    <row r="522" spans="1:6" ht="15.75" customHeight="1" x14ac:dyDescent="0.35">
      <c r="A522" s="960"/>
      <c r="B522" s="26"/>
      <c r="F522" s="112"/>
    </row>
    <row r="523" spans="1:6" ht="15.75" customHeight="1" x14ac:dyDescent="0.35">
      <c r="A523" s="960"/>
      <c r="B523" s="26"/>
      <c r="F523" s="112"/>
    </row>
    <row r="524" spans="1:6" ht="15.75" customHeight="1" x14ac:dyDescent="0.35">
      <c r="A524" s="960"/>
      <c r="B524" s="26"/>
      <c r="F524" s="112"/>
    </row>
    <row r="525" spans="1:6" ht="15.75" customHeight="1" x14ac:dyDescent="0.35">
      <c r="A525" s="960"/>
      <c r="B525" s="26"/>
      <c r="F525" s="112"/>
    </row>
    <row r="526" spans="1:6" ht="15.75" customHeight="1" x14ac:dyDescent="0.35">
      <c r="A526" s="960"/>
      <c r="B526" s="26"/>
      <c r="F526" s="112"/>
    </row>
    <row r="527" spans="1:6" ht="15.75" customHeight="1" x14ac:dyDescent="0.35">
      <c r="A527" s="960"/>
      <c r="B527" s="26"/>
      <c r="F527" s="112"/>
    </row>
    <row r="528" spans="1:6" ht="15.75" customHeight="1" x14ac:dyDescent="0.35">
      <c r="A528" s="960"/>
      <c r="B528" s="26"/>
      <c r="F528" s="112"/>
    </row>
    <row r="529" spans="1:6" ht="15.75" customHeight="1" x14ac:dyDescent="0.35">
      <c r="A529" s="960"/>
      <c r="B529" s="26"/>
      <c r="F529" s="112"/>
    </row>
    <row r="530" spans="1:6" ht="15.75" customHeight="1" x14ac:dyDescent="0.35">
      <c r="A530" s="960"/>
      <c r="B530" s="26"/>
      <c r="F530" s="112"/>
    </row>
    <row r="531" spans="1:6" ht="15.75" customHeight="1" x14ac:dyDescent="0.35">
      <c r="A531" s="960"/>
      <c r="B531" s="26"/>
      <c r="F531" s="112"/>
    </row>
    <row r="532" spans="1:6" ht="15.75" customHeight="1" x14ac:dyDescent="0.35">
      <c r="A532" s="960"/>
      <c r="B532" s="26"/>
      <c r="F532" s="112"/>
    </row>
    <row r="533" spans="1:6" ht="15.75" customHeight="1" x14ac:dyDescent="0.35">
      <c r="A533" s="960"/>
      <c r="B533" s="26"/>
      <c r="F533" s="112"/>
    </row>
    <row r="534" spans="1:6" ht="15.75" customHeight="1" x14ac:dyDescent="0.35">
      <c r="A534" s="960"/>
      <c r="B534" s="26"/>
      <c r="F534" s="112"/>
    </row>
    <row r="535" spans="1:6" ht="15.75" customHeight="1" x14ac:dyDescent="0.35">
      <c r="A535" s="960"/>
      <c r="B535" s="26"/>
      <c r="F535" s="112"/>
    </row>
    <row r="536" spans="1:6" ht="15.75" customHeight="1" x14ac:dyDescent="0.35">
      <c r="A536" s="960"/>
      <c r="B536" s="26"/>
      <c r="F536" s="112"/>
    </row>
    <row r="537" spans="1:6" ht="15.75" customHeight="1" x14ac:dyDescent="0.35">
      <c r="A537" s="960"/>
      <c r="B537" s="26"/>
      <c r="F537" s="112"/>
    </row>
    <row r="538" spans="1:6" ht="15.75" customHeight="1" x14ac:dyDescent="0.35">
      <c r="A538" s="960"/>
      <c r="B538" s="26"/>
      <c r="F538" s="112"/>
    </row>
    <row r="539" spans="1:6" ht="15.75" customHeight="1" x14ac:dyDescent="0.35">
      <c r="A539" s="960"/>
      <c r="B539" s="26"/>
      <c r="F539" s="112"/>
    </row>
    <row r="540" spans="1:6" ht="15.75" customHeight="1" x14ac:dyDescent="0.35">
      <c r="A540" s="960"/>
      <c r="B540" s="26"/>
      <c r="F540" s="112"/>
    </row>
    <row r="541" spans="1:6" ht="15.75" customHeight="1" x14ac:dyDescent="0.35">
      <c r="A541" s="960"/>
      <c r="B541" s="26"/>
      <c r="F541" s="112"/>
    </row>
    <row r="542" spans="1:6" ht="15.75" customHeight="1" x14ac:dyDescent="0.35">
      <c r="A542" s="960"/>
      <c r="B542" s="26"/>
      <c r="F542" s="112"/>
    </row>
    <row r="543" spans="1:6" ht="15.75" customHeight="1" x14ac:dyDescent="0.35">
      <c r="A543" s="960"/>
      <c r="B543" s="26"/>
      <c r="F543" s="112"/>
    </row>
    <row r="544" spans="1:6" ht="15.75" customHeight="1" x14ac:dyDescent="0.35">
      <c r="A544" s="960"/>
      <c r="B544" s="26"/>
      <c r="F544" s="112"/>
    </row>
    <row r="545" spans="1:6" ht="15.75" customHeight="1" x14ac:dyDescent="0.35">
      <c r="A545" s="960"/>
      <c r="B545" s="26"/>
      <c r="F545" s="112"/>
    </row>
    <row r="546" spans="1:6" ht="15.75" customHeight="1" x14ac:dyDescent="0.35">
      <c r="A546" s="960"/>
      <c r="B546" s="26"/>
      <c r="F546" s="112"/>
    </row>
    <row r="547" spans="1:6" ht="15.75" customHeight="1" x14ac:dyDescent="0.35">
      <c r="A547" s="960"/>
      <c r="B547" s="26"/>
      <c r="F547" s="112"/>
    </row>
    <row r="548" spans="1:6" ht="15.75" customHeight="1" x14ac:dyDescent="0.35">
      <c r="A548" s="960"/>
      <c r="B548" s="26"/>
      <c r="F548" s="112"/>
    </row>
    <row r="549" spans="1:6" ht="15.75" customHeight="1" x14ac:dyDescent="0.35">
      <c r="A549" s="960"/>
      <c r="B549" s="26"/>
      <c r="F549" s="112"/>
    </row>
    <row r="550" spans="1:6" ht="15.75" customHeight="1" x14ac:dyDescent="0.35">
      <c r="A550" s="960"/>
      <c r="B550" s="26"/>
      <c r="F550" s="112"/>
    </row>
    <row r="551" spans="1:6" ht="15.75" customHeight="1" x14ac:dyDescent="0.35">
      <c r="A551" s="960"/>
      <c r="B551" s="26"/>
      <c r="F551" s="112"/>
    </row>
    <row r="552" spans="1:6" ht="15.75" customHeight="1" x14ac:dyDescent="0.35">
      <c r="A552" s="960"/>
      <c r="B552" s="26"/>
      <c r="F552" s="112"/>
    </row>
    <row r="553" spans="1:6" ht="15.75" customHeight="1" x14ac:dyDescent="0.35">
      <c r="A553" s="960"/>
      <c r="B553" s="26"/>
      <c r="F553" s="112"/>
    </row>
    <row r="554" spans="1:6" ht="15.75" customHeight="1" x14ac:dyDescent="0.35">
      <c r="A554" s="960"/>
      <c r="B554" s="26"/>
      <c r="F554" s="112"/>
    </row>
    <row r="555" spans="1:6" ht="15.75" customHeight="1" x14ac:dyDescent="0.35">
      <c r="A555" s="960"/>
      <c r="B555" s="26"/>
      <c r="F555" s="112"/>
    </row>
    <row r="556" spans="1:6" ht="15.75" customHeight="1" x14ac:dyDescent="0.35">
      <c r="A556" s="960"/>
      <c r="B556" s="26"/>
      <c r="F556" s="112"/>
    </row>
    <row r="557" spans="1:6" ht="15.75" customHeight="1" x14ac:dyDescent="0.35">
      <c r="A557" s="960"/>
      <c r="B557" s="26"/>
      <c r="F557" s="112"/>
    </row>
    <row r="558" spans="1:6" ht="15.75" customHeight="1" x14ac:dyDescent="0.35">
      <c r="A558" s="960"/>
      <c r="B558" s="26"/>
      <c r="F558" s="112"/>
    </row>
    <row r="559" spans="1:6" ht="15.75" customHeight="1" x14ac:dyDescent="0.35">
      <c r="A559" s="960"/>
      <c r="B559" s="26"/>
      <c r="F559" s="112"/>
    </row>
    <row r="560" spans="1:6" ht="15.75" customHeight="1" x14ac:dyDescent="0.35">
      <c r="A560" s="960"/>
      <c r="B560" s="26"/>
      <c r="F560" s="112"/>
    </row>
    <row r="561" spans="1:6" ht="15.75" customHeight="1" x14ac:dyDescent="0.35">
      <c r="A561" s="960"/>
      <c r="B561" s="26"/>
      <c r="F561" s="112"/>
    </row>
    <row r="562" spans="1:6" ht="15.75" customHeight="1" x14ac:dyDescent="0.35">
      <c r="A562" s="960"/>
      <c r="B562" s="26"/>
      <c r="F562" s="112"/>
    </row>
    <row r="563" spans="1:6" ht="15.75" customHeight="1" x14ac:dyDescent="0.35">
      <c r="A563" s="960"/>
      <c r="B563" s="26"/>
      <c r="F563" s="112"/>
    </row>
    <row r="564" spans="1:6" ht="15.75" customHeight="1" x14ac:dyDescent="0.35">
      <c r="A564" s="960"/>
      <c r="B564" s="26"/>
      <c r="F564" s="112"/>
    </row>
    <row r="565" spans="1:6" ht="15.75" customHeight="1" x14ac:dyDescent="0.35">
      <c r="A565" s="960"/>
      <c r="B565" s="26"/>
      <c r="F565" s="112"/>
    </row>
    <row r="566" spans="1:6" ht="15.75" customHeight="1" x14ac:dyDescent="0.35">
      <c r="A566" s="960"/>
      <c r="B566" s="26"/>
      <c r="F566" s="112"/>
    </row>
    <row r="567" spans="1:6" ht="15.75" customHeight="1" x14ac:dyDescent="0.35">
      <c r="A567" s="960"/>
      <c r="B567" s="26"/>
      <c r="F567" s="112"/>
    </row>
    <row r="568" spans="1:6" ht="15.75" customHeight="1" x14ac:dyDescent="0.35">
      <c r="A568" s="960"/>
      <c r="B568" s="26"/>
      <c r="F568" s="112"/>
    </row>
    <row r="569" spans="1:6" ht="15.75" customHeight="1" x14ac:dyDescent="0.35">
      <c r="A569" s="960"/>
      <c r="B569" s="26"/>
      <c r="F569" s="112"/>
    </row>
    <row r="570" spans="1:6" ht="15.75" customHeight="1" x14ac:dyDescent="0.35">
      <c r="A570" s="960"/>
      <c r="B570" s="26"/>
      <c r="F570" s="112"/>
    </row>
    <row r="571" spans="1:6" ht="15.75" customHeight="1" x14ac:dyDescent="0.35">
      <c r="A571" s="960"/>
      <c r="B571" s="26"/>
      <c r="F571" s="112"/>
    </row>
    <row r="572" spans="1:6" ht="15.75" customHeight="1" x14ac:dyDescent="0.35">
      <c r="A572" s="960"/>
      <c r="B572" s="26"/>
      <c r="F572" s="112"/>
    </row>
    <row r="573" spans="1:6" ht="15.75" customHeight="1" x14ac:dyDescent="0.35">
      <c r="A573" s="960"/>
      <c r="B573" s="26"/>
      <c r="F573" s="112"/>
    </row>
    <row r="574" spans="1:6" ht="15.75" customHeight="1" x14ac:dyDescent="0.35">
      <c r="A574" s="960"/>
      <c r="B574" s="26"/>
      <c r="F574" s="112"/>
    </row>
    <row r="575" spans="1:6" ht="15.75" customHeight="1" x14ac:dyDescent="0.35">
      <c r="A575" s="960"/>
      <c r="B575" s="26"/>
      <c r="F575" s="112"/>
    </row>
    <row r="576" spans="1:6" ht="15.75" customHeight="1" x14ac:dyDescent="0.35">
      <c r="A576" s="960"/>
      <c r="B576" s="26"/>
      <c r="F576" s="112"/>
    </row>
    <row r="577" spans="1:6" ht="15.75" customHeight="1" x14ac:dyDescent="0.35">
      <c r="A577" s="960"/>
      <c r="B577" s="26"/>
      <c r="F577" s="112"/>
    </row>
    <row r="578" spans="1:6" ht="15.75" customHeight="1" x14ac:dyDescent="0.35">
      <c r="A578" s="960"/>
      <c r="B578" s="26"/>
      <c r="F578" s="112"/>
    </row>
    <row r="579" spans="1:6" ht="15.75" customHeight="1" x14ac:dyDescent="0.35">
      <c r="A579" s="960"/>
      <c r="B579" s="26"/>
      <c r="F579" s="112"/>
    </row>
    <row r="580" spans="1:6" ht="15.75" customHeight="1" x14ac:dyDescent="0.35">
      <c r="A580" s="960"/>
      <c r="B580" s="26"/>
      <c r="F580" s="112"/>
    </row>
    <row r="581" spans="1:6" ht="15.75" customHeight="1" x14ac:dyDescent="0.35">
      <c r="A581" s="960"/>
      <c r="B581" s="26"/>
      <c r="F581" s="112"/>
    </row>
    <row r="582" spans="1:6" ht="15.75" customHeight="1" x14ac:dyDescent="0.35">
      <c r="A582" s="960"/>
      <c r="B582" s="26"/>
      <c r="F582" s="112"/>
    </row>
    <row r="583" spans="1:6" ht="15.75" customHeight="1" x14ac:dyDescent="0.35">
      <c r="A583" s="960"/>
      <c r="B583" s="26"/>
      <c r="F583" s="112"/>
    </row>
    <row r="584" spans="1:6" ht="15.75" customHeight="1" x14ac:dyDescent="0.35">
      <c r="A584" s="960"/>
      <c r="B584" s="26"/>
      <c r="F584" s="112"/>
    </row>
    <row r="585" spans="1:6" ht="15.75" customHeight="1" x14ac:dyDescent="0.35">
      <c r="A585" s="960"/>
      <c r="B585" s="26"/>
      <c r="F585" s="112"/>
    </row>
    <row r="586" spans="1:6" ht="15.75" customHeight="1" x14ac:dyDescent="0.35">
      <c r="A586" s="960"/>
      <c r="B586" s="26"/>
      <c r="F586" s="112"/>
    </row>
    <row r="587" spans="1:6" ht="15.75" customHeight="1" x14ac:dyDescent="0.35">
      <c r="A587" s="960"/>
      <c r="B587" s="26"/>
      <c r="F587" s="112"/>
    </row>
    <row r="588" spans="1:6" ht="15.75" customHeight="1" x14ac:dyDescent="0.35">
      <c r="A588" s="960"/>
      <c r="B588" s="26"/>
      <c r="F588" s="112"/>
    </row>
    <row r="589" spans="1:6" ht="15.75" customHeight="1" x14ac:dyDescent="0.35">
      <c r="A589" s="960"/>
      <c r="B589" s="26"/>
      <c r="F589" s="112"/>
    </row>
    <row r="590" spans="1:6" ht="15.75" customHeight="1" x14ac:dyDescent="0.35">
      <c r="A590" s="960"/>
      <c r="B590" s="26"/>
      <c r="F590" s="112"/>
    </row>
    <row r="591" spans="1:6" ht="15.75" customHeight="1" x14ac:dyDescent="0.35">
      <c r="A591" s="960"/>
      <c r="B591" s="26"/>
      <c r="F591" s="112"/>
    </row>
    <row r="592" spans="1:6" ht="15.75" customHeight="1" x14ac:dyDescent="0.35">
      <c r="A592" s="960"/>
      <c r="B592" s="26"/>
      <c r="F592" s="112"/>
    </row>
    <row r="593" spans="1:6" ht="15.75" customHeight="1" x14ac:dyDescent="0.35">
      <c r="A593" s="960"/>
      <c r="B593" s="26"/>
      <c r="F593" s="112"/>
    </row>
    <row r="594" spans="1:6" ht="15.75" customHeight="1" x14ac:dyDescent="0.35">
      <c r="A594" s="960"/>
      <c r="B594" s="26"/>
      <c r="F594" s="112"/>
    </row>
    <row r="595" spans="1:6" ht="15.75" customHeight="1" x14ac:dyDescent="0.35">
      <c r="A595" s="960"/>
      <c r="B595" s="26"/>
      <c r="F595" s="112"/>
    </row>
    <row r="596" spans="1:6" ht="15.75" customHeight="1" x14ac:dyDescent="0.35">
      <c r="A596" s="960"/>
      <c r="B596" s="26"/>
      <c r="F596" s="112"/>
    </row>
    <row r="597" spans="1:6" ht="15.75" customHeight="1" x14ac:dyDescent="0.35">
      <c r="A597" s="960"/>
      <c r="B597" s="26"/>
      <c r="F597" s="112"/>
    </row>
    <row r="598" spans="1:6" ht="15.75" customHeight="1" x14ac:dyDescent="0.35">
      <c r="A598" s="960"/>
      <c r="B598" s="26"/>
      <c r="F598" s="112"/>
    </row>
    <row r="599" spans="1:6" ht="15.75" customHeight="1" x14ac:dyDescent="0.35">
      <c r="A599" s="960"/>
      <c r="B599" s="26"/>
      <c r="F599" s="112"/>
    </row>
    <row r="600" spans="1:6" ht="15.75" customHeight="1" x14ac:dyDescent="0.35">
      <c r="A600" s="960"/>
      <c r="B600" s="26"/>
      <c r="F600" s="112"/>
    </row>
    <row r="601" spans="1:6" ht="15.75" customHeight="1" x14ac:dyDescent="0.35">
      <c r="A601" s="960"/>
      <c r="B601" s="26"/>
      <c r="F601" s="112"/>
    </row>
    <row r="602" spans="1:6" ht="15.75" customHeight="1" x14ac:dyDescent="0.35">
      <c r="A602" s="960"/>
      <c r="B602" s="26"/>
      <c r="F602" s="112"/>
    </row>
    <row r="603" spans="1:6" ht="15.75" customHeight="1" x14ac:dyDescent="0.35">
      <c r="A603" s="960"/>
      <c r="B603" s="26"/>
      <c r="F603" s="112"/>
    </row>
    <row r="604" spans="1:6" ht="15.75" customHeight="1" x14ac:dyDescent="0.35">
      <c r="A604" s="960"/>
      <c r="B604" s="26"/>
      <c r="F604" s="112"/>
    </row>
    <row r="605" spans="1:6" ht="15.75" customHeight="1" x14ac:dyDescent="0.35">
      <c r="A605" s="960"/>
      <c r="B605" s="26"/>
      <c r="F605" s="112"/>
    </row>
    <row r="606" spans="1:6" ht="15.75" customHeight="1" x14ac:dyDescent="0.35">
      <c r="A606" s="960"/>
      <c r="B606" s="26"/>
      <c r="F606" s="112"/>
    </row>
    <row r="607" spans="1:6" ht="15.75" customHeight="1" x14ac:dyDescent="0.35">
      <c r="A607" s="960"/>
      <c r="B607" s="26"/>
      <c r="F607" s="112"/>
    </row>
    <row r="608" spans="1:6" ht="15.75" customHeight="1" x14ac:dyDescent="0.35">
      <c r="A608" s="960"/>
      <c r="B608" s="26"/>
      <c r="F608" s="112"/>
    </row>
    <row r="609" spans="1:6" ht="15.75" customHeight="1" x14ac:dyDescent="0.35">
      <c r="A609" s="960"/>
      <c r="B609" s="26"/>
      <c r="F609" s="112"/>
    </row>
    <row r="610" spans="1:6" ht="15.75" customHeight="1" x14ac:dyDescent="0.35">
      <c r="A610" s="960"/>
      <c r="B610" s="26"/>
      <c r="F610" s="112"/>
    </row>
    <row r="611" spans="1:6" ht="15.75" customHeight="1" x14ac:dyDescent="0.35">
      <c r="A611" s="960"/>
      <c r="B611" s="26"/>
      <c r="F611" s="112"/>
    </row>
    <row r="612" spans="1:6" ht="15.75" customHeight="1" x14ac:dyDescent="0.35">
      <c r="A612" s="960"/>
      <c r="B612" s="26"/>
      <c r="F612" s="112"/>
    </row>
    <row r="613" spans="1:6" ht="15.75" customHeight="1" x14ac:dyDescent="0.35">
      <c r="A613" s="960"/>
      <c r="B613" s="26"/>
      <c r="F613" s="112"/>
    </row>
    <row r="614" spans="1:6" ht="15.75" customHeight="1" x14ac:dyDescent="0.35">
      <c r="A614" s="960"/>
      <c r="B614" s="26"/>
      <c r="F614" s="112"/>
    </row>
    <row r="615" spans="1:6" ht="15.75" customHeight="1" x14ac:dyDescent="0.35">
      <c r="A615" s="960"/>
      <c r="B615" s="26"/>
      <c r="F615" s="112"/>
    </row>
    <row r="616" spans="1:6" ht="15.75" customHeight="1" x14ac:dyDescent="0.35">
      <c r="A616" s="960"/>
      <c r="B616" s="26"/>
      <c r="F616" s="112"/>
    </row>
    <row r="617" spans="1:6" ht="15.75" customHeight="1" x14ac:dyDescent="0.35">
      <c r="A617" s="960"/>
      <c r="B617" s="26"/>
      <c r="F617" s="112"/>
    </row>
    <row r="618" spans="1:6" ht="15.75" customHeight="1" x14ac:dyDescent="0.35">
      <c r="A618" s="960"/>
      <c r="B618" s="26"/>
      <c r="F618" s="112"/>
    </row>
    <row r="619" spans="1:6" ht="15.75" customHeight="1" x14ac:dyDescent="0.35">
      <c r="A619" s="960"/>
      <c r="B619" s="26"/>
      <c r="F619" s="112"/>
    </row>
    <row r="620" spans="1:6" ht="15.75" customHeight="1" x14ac:dyDescent="0.35">
      <c r="A620" s="960"/>
      <c r="B620" s="26"/>
      <c r="F620" s="112"/>
    </row>
    <row r="621" spans="1:6" ht="15.75" customHeight="1" x14ac:dyDescent="0.35">
      <c r="A621" s="960"/>
      <c r="B621" s="26"/>
      <c r="F621" s="112"/>
    </row>
    <row r="622" spans="1:6" ht="15.75" customHeight="1" x14ac:dyDescent="0.35">
      <c r="A622" s="960"/>
      <c r="B622" s="26"/>
      <c r="F622" s="112"/>
    </row>
    <row r="623" spans="1:6" ht="15.75" customHeight="1" x14ac:dyDescent="0.35">
      <c r="A623" s="960"/>
      <c r="B623" s="26"/>
      <c r="F623" s="112"/>
    </row>
    <row r="624" spans="1:6" ht="15.75" customHeight="1" x14ac:dyDescent="0.35">
      <c r="A624" s="960"/>
      <c r="B624" s="26"/>
      <c r="F624" s="112"/>
    </row>
    <row r="625" spans="1:6" ht="15.75" customHeight="1" x14ac:dyDescent="0.35">
      <c r="A625" s="960"/>
      <c r="B625" s="26"/>
      <c r="F625" s="112"/>
    </row>
    <row r="626" spans="1:6" ht="15.75" customHeight="1" x14ac:dyDescent="0.35">
      <c r="A626" s="960"/>
      <c r="B626" s="26"/>
      <c r="F626" s="112"/>
    </row>
    <row r="627" spans="1:6" ht="15.75" customHeight="1" x14ac:dyDescent="0.35">
      <c r="A627" s="960"/>
      <c r="B627" s="26"/>
      <c r="F627" s="112"/>
    </row>
    <row r="628" spans="1:6" ht="15.75" customHeight="1" x14ac:dyDescent="0.35">
      <c r="A628" s="960"/>
      <c r="B628" s="26"/>
      <c r="F628" s="112"/>
    </row>
    <row r="629" spans="1:6" ht="15.75" customHeight="1" x14ac:dyDescent="0.35">
      <c r="A629" s="960"/>
      <c r="B629" s="26"/>
      <c r="F629" s="112"/>
    </row>
    <row r="630" spans="1:6" ht="15.75" customHeight="1" x14ac:dyDescent="0.35">
      <c r="A630" s="960"/>
      <c r="B630" s="26"/>
      <c r="F630" s="112"/>
    </row>
    <row r="631" spans="1:6" ht="15.75" customHeight="1" x14ac:dyDescent="0.35">
      <c r="A631" s="960"/>
      <c r="B631" s="26"/>
      <c r="F631" s="112"/>
    </row>
    <row r="632" spans="1:6" ht="15.75" customHeight="1" x14ac:dyDescent="0.35">
      <c r="A632" s="960"/>
      <c r="B632" s="26"/>
      <c r="F632" s="112"/>
    </row>
    <row r="633" spans="1:6" ht="15.75" customHeight="1" x14ac:dyDescent="0.35">
      <c r="A633" s="960"/>
      <c r="B633" s="26"/>
      <c r="F633" s="112"/>
    </row>
    <row r="634" spans="1:6" ht="15.75" customHeight="1" x14ac:dyDescent="0.35">
      <c r="A634" s="960"/>
      <c r="B634" s="26"/>
      <c r="F634" s="112"/>
    </row>
    <row r="635" spans="1:6" ht="15.75" customHeight="1" x14ac:dyDescent="0.35">
      <c r="A635" s="960"/>
      <c r="B635" s="26"/>
      <c r="F635" s="112"/>
    </row>
    <row r="636" spans="1:6" ht="15.75" customHeight="1" x14ac:dyDescent="0.35">
      <c r="A636" s="960"/>
      <c r="B636" s="26"/>
      <c r="F636" s="112"/>
    </row>
    <row r="637" spans="1:6" ht="15.75" customHeight="1" x14ac:dyDescent="0.35">
      <c r="A637" s="960"/>
      <c r="B637" s="26"/>
      <c r="F637" s="112"/>
    </row>
    <row r="638" spans="1:6" ht="15.75" customHeight="1" x14ac:dyDescent="0.35">
      <c r="A638" s="960"/>
      <c r="B638" s="26"/>
      <c r="F638" s="112"/>
    </row>
    <row r="639" spans="1:6" ht="15.75" customHeight="1" x14ac:dyDescent="0.35">
      <c r="A639" s="960"/>
      <c r="B639" s="26"/>
      <c r="F639" s="112"/>
    </row>
    <row r="640" spans="1:6" ht="15.75" customHeight="1" x14ac:dyDescent="0.35">
      <c r="A640" s="960"/>
      <c r="B640" s="26"/>
      <c r="F640" s="112"/>
    </row>
    <row r="641" spans="1:6" ht="15.75" customHeight="1" x14ac:dyDescent="0.35">
      <c r="A641" s="960"/>
      <c r="B641" s="26"/>
      <c r="F641" s="112"/>
    </row>
    <row r="642" spans="1:6" ht="15.75" customHeight="1" x14ac:dyDescent="0.35">
      <c r="A642" s="960"/>
      <c r="B642" s="26"/>
      <c r="F642" s="112"/>
    </row>
    <row r="643" spans="1:6" ht="15.75" customHeight="1" x14ac:dyDescent="0.35">
      <c r="A643" s="960"/>
      <c r="B643" s="26"/>
      <c r="F643" s="112"/>
    </row>
    <row r="644" spans="1:6" ht="15.75" customHeight="1" x14ac:dyDescent="0.35">
      <c r="A644" s="960"/>
      <c r="B644" s="26"/>
      <c r="F644" s="112"/>
    </row>
    <row r="645" spans="1:6" ht="15.75" customHeight="1" x14ac:dyDescent="0.35">
      <c r="A645" s="960"/>
      <c r="B645" s="26"/>
      <c r="F645" s="112"/>
    </row>
    <row r="646" spans="1:6" ht="15.75" customHeight="1" x14ac:dyDescent="0.35">
      <c r="A646" s="960"/>
      <c r="B646" s="26"/>
      <c r="F646" s="112"/>
    </row>
    <row r="647" spans="1:6" ht="15.75" customHeight="1" x14ac:dyDescent="0.35">
      <c r="A647" s="960"/>
      <c r="B647" s="26"/>
      <c r="F647" s="112"/>
    </row>
    <row r="648" spans="1:6" ht="15.75" customHeight="1" x14ac:dyDescent="0.35">
      <c r="A648" s="960"/>
      <c r="B648" s="26"/>
      <c r="F648" s="112"/>
    </row>
    <row r="649" spans="1:6" ht="15.75" customHeight="1" x14ac:dyDescent="0.35">
      <c r="A649" s="960"/>
      <c r="B649" s="26"/>
      <c r="F649" s="112"/>
    </row>
    <row r="650" spans="1:6" ht="15.75" customHeight="1" x14ac:dyDescent="0.35">
      <c r="A650" s="960"/>
      <c r="B650" s="26"/>
      <c r="F650" s="112"/>
    </row>
    <row r="651" spans="1:6" ht="15.75" customHeight="1" x14ac:dyDescent="0.35">
      <c r="A651" s="960"/>
      <c r="B651" s="26"/>
      <c r="F651" s="112"/>
    </row>
    <row r="652" spans="1:6" ht="15.75" customHeight="1" x14ac:dyDescent="0.35">
      <c r="A652" s="960"/>
      <c r="B652" s="26"/>
      <c r="F652" s="112"/>
    </row>
    <row r="653" spans="1:6" ht="15.75" customHeight="1" x14ac:dyDescent="0.35">
      <c r="A653" s="960"/>
      <c r="B653" s="26"/>
      <c r="F653" s="112"/>
    </row>
    <row r="654" spans="1:6" ht="15.75" customHeight="1" x14ac:dyDescent="0.35">
      <c r="A654" s="960"/>
      <c r="B654" s="26"/>
      <c r="F654" s="112"/>
    </row>
    <row r="655" spans="1:6" ht="15.75" customHeight="1" x14ac:dyDescent="0.35">
      <c r="A655" s="960"/>
      <c r="B655" s="26"/>
      <c r="F655" s="112"/>
    </row>
    <row r="656" spans="1:6" ht="15.75" customHeight="1" x14ac:dyDescent="0.35">
      <c r="A656" s="960"/>
      <c r="B656" s="26"/>
      <c r="F656" s="112"/>
    </row>
    <row r="657" spans="1:6" ht="15.75" customHeight="1" x14ac:dyDescent="0.35">
      <c r="A657" s="960"/>
      <c r="B657" s="26"/>
      <c r="F657" s="112"/>
    </row>
    <row r="658" spans="1:6" ht="15.75" customHeight="1" x14ac:dyDescent="0.35">
      <c r="A658" s="960"/>
      <c r="B658" s="26"/>
      <c r="F658" s="112"/>
    </row>
    <row r="659" spans="1:6" ht="15.75" customHeight="1" x14ac:dyDescent="0.35">
      <c r="A659" s="960"/>
      <c r="B659" s="26"/>
      <c r="F659" s="112"/>
    </row>
    <row r="660" spans="1:6" ht="15.75" customHeight="1" x14ac:dyDescent="0.35">
      <c r="A660" s="960"/>
      <c r="B660" s="26"/>
      <c r="F660" s="112"/>
    </row>
    <row r="661" spans="1:6" ht="15.75" customHeight="1" x14ac:dyDescent="0.35">
      <c r="A661" s="960"/>
      <c r="B661" s="26"/>
      <c r="F661" s="112"/>
    </row>
    <row r="662" spans="1:6" ht="15.75" customHeight="1" x14ac:dyDescent="0.35">
      <c r="A662" s="960"/>
      <c r="B662" s="26"/>
      <c r="F662" s="112"/>
    </row>
    <row r="663" spans="1:6" ht="15.75" customHeight="1" x14ac:dyDescent="0.35">
      <c r="A663" s="960"/>
      <c r="B663" s="26"/>
      <c r="F663" s="112"/>
    </row>
    <row r="664" spans="1:6" ht="15.75" customHeight="1" x14ac:dyDescent="0.35">
      <c r="A664" s="960"/>
      <c r="B664" s="26"/>
      <c r="F664" s="112"/>
    </row>
    <row r="665" spans="1:6" ht="15.75" customHeight="1" x14ac:dyDescent="0.35">
      <c r="A665" s="960"/>
      <c r="B665" s="26"/>
      <c r="F665" s="112"/>
    </row>
    <row r="666" spans="1:6" ht="15.75" customHeight="1" x14ac:dyDescent="0.35">
      <c r="A666" s="960"/>
      <c r="B666" s="26"/>
      <c r="F666" s="112"/>
    </row>
    <row r="667" spans="1:6" ht="15.75" customHeight="1" x14ac:dyDescent="0.35">
      <c r="A667" s="960"/>
      <c r="B667" s="26"/>
      <c r="F667" s="112"/>
    </row>
    <row r="668" spans="1:6" ht="15.75" customHeight="1" x14ac:dyDescent="0.35">
      <c r="A668" s="960"/>
      <c r="B668" s="26"/>
      <c r="F668" s="112"/>
    </row>
    <row r="669" spans="1:6" ht="15.75" customHeight="1" x14ac:dyDescent="0.35">
      <c r="A669" s="960"/>
      <c r="B669" s="26"/>
      <c r="F669" s="112"/>
    </row>
    <row r="670" spans="1:6" ht="15.75" customHeight="1" x14ac:dyDescent="0.35">
      <c r="A670" s="960"/>
      <c r="B670" s="26"/>
      <c r="F670" s="112"/>
    </row>
    <row r="671" spans="1:6" ht="15.75" customHeight="1" x14ac:dyDescent="0.35">
      <c r="A671" s="960"/>
      <c r="B671" s="26"/>
      <c r="F671" s="112"/>
    </row>
    <row r="672" spans="1:6" ht="15.75" customHeight="1" x14ac:dyDescent="0.35">
      <c r="A672" s="960"/>
      <c r="B672" s="26"/>
      <c r="F672" s="112"/>
    </row>
    <row r="673" spans="1:6" ht="15.75" customHeight="1" x14ac:dyDescent="0.35">
      <c r="A673" s="960"/>
      <c r="B673" s="26"/>
      <c r="F673" s="112"/>
    </row>
    <row r="674" spans="1:6" ht="15.75" customHeight="1" x14ac:dyDescent="0.35">
      <c r="A674" s="960"/>
      <c r="B674" s="26"/>
      <c r="F674" s="112"/>
    </row>
    <row r="675" spans="1:6" ht="15.75" customHeight="1" x14ac:dyDescent="0.35">
      <c r="A675" s="960"/>
      <c r="B675" s="26"/>
      <c r="F675" s="112"/>
    </row>
    <row r="676" spans="1:6" ht="15.75" customHeight="1" x14ac:dyDescent="0.35">
      <c r="A676" s="960"/>
      <c r="B676" s="26"/>
      <c r="F676" s="112"/>
    </row>
    <row r="677" spans="1:6" ht="15.75" customHeight="1" x14ac:dyDescent="0.35">
      <c r="A677" s="960"/>
      <c r="B677" s="26"/>
      <c r="F677" s="112"/>
    </row>
    <row r="678" spans="1:6" ht="15.75" customHeight="1" x14ac:dyDescent="0.35">
      <c r="A678" s="960"/>
      <c r="B678" s="26"/>
      <c r="F678" s="112"/>
    </row>
    <row r="679" spans="1:6" ht="15.75" customHeight="1" x14ac:dyDescent="0.35">
      <c r="A679" s="960"/>
      <c r="B679" s="26"/>
      <c r="F679" s="112"/>
    </row>
    <row r="680" spans="1:6" ht="15.75" customHeight="1" x14ac:dyDescent="0.35">
      <c r="A680" s="960"/>
      <c r="B680" s="26"/>
      <c r="F680" s="112"/>
    </row>
    <row r="681" spans="1:6" ht="15.75" customHeight="1" x14ac:dyDescent="0.35">
      <c r="A681" s="960"/>
      <c r="B681" s="26"/>
      <c r="F681" s="112"/>
    </row>
    <row r="682" spans="1:6" ht="15.75" customHeight="1" x14ac:dyDescent="0.35">
      <c r="A682" s="960"/>
      <c r="B682" s="26"/>
      <c r="F682" s="112"/>
    </row>
    <row r="683" spans="1:6" ht="15.75" customHeight="1" x14ac:dyDescent="0.35">
      <c r="A683" s="960"/>
      <c r="B683" s="26"/>
      <c r="F683" s="112"/>
    </row>
    <row r="684" spans="1:6" ht="15.75" customHeight="1" x14ac:dyDescent="0.35">
      <c r="A684" s="960"/>
      <c r="B684" s="26"/>
      <c r="F684" s="112"/>
    </row>
    <row r="685" spans="1:6" ht="15.75" customHeight="1" x14ac:dyDescent="0.35">
      <c r="A685" s="960"/>
      <c r="B685" s="26"/>
      <c r="F685" s="112"/>
    </row>
    <row r="686" spans="1:6" ht="15.75" customHeight="1" x14ac:dyDescent="0.35">
      <c r="A686" s="960"/>
      <c r="B686" s="26"/>
      <c r="F686" s="112"/>
    </row>
    <row r="687" spans="1:6" ht="15.75" customHeight="1" x14ac:dyDescent="0.35">
      <c r="A687" s="960"/>
      <c r="B687" s="26"/>
      <c r="F687" s="112"/>
    </row>
    <row r="688" spans="1:6" ht="15.75" customHeight="1" x14ac:dyDescent="0.35">
      <c r="A688" s="960"/>
      <c r="B688" s="26"/>
      <c r="F688" s="112"/>
    </row>
    <row r="689" spans="1:6" ht="15.75" customHeight="1" x14ac:dyDescent="0.35">
      <c r="A689" s="960"/>
      <c r="B689" s="26"/>
      <c r="F689" s="112"/>
    </row>
    <row r="690" spans="1:6" ht="15.75" customHeight="1" x14ac:dyDescent="0.35">
      <c r="A690" s="960"/>
      <c r="B690" s="26"/>
      <c r="F690" s="112"/>
    </row>
    <row r="691" spans="1:6" ht="15.75" customHeight="1" x14ac:dyDescent="0.35">
      <c r="A691" s="960"/>
      <c r="B691" s="26"/>
      <c r="F691" s="112"/>
    </row>
    <row r="692" spans="1:6" ht="15.75" customHeight="1" x14ac:dyDescent="0.35">
      <c r="A692" s="960"/>
      <c r="B692" s="26"/>
      <c r="F692" s="112"/>
    </row>
    <row r="693" spans="1:6" ht="15.75" customHeight="1" x14ac:dyDescent="0.35">
      <c r="A693" s="960"/>
      <c r="B693" s="26"/>
      <c r="F693" s="112"/>
    </row>
    <row r="694" spans="1:6" ht="15.75" customHeight="1" x14ac:dyDescent="0.35">
      <c r="A694" s="960"/>
      <c r="B694" s="26"/>
      <c r="F694" s="112"/>
    </row>
    <row r="695" spans="1:6" ht="15.75" customHeight="1" x14ac:dyDescent="0.35">
      <c r="A695" s="960"/>
      <c r="B695" s="26"/>
      <c r="F695" s="112"/>
    </row>
    <row r="696" spans="1:6" ht="15.75" customHeight="1" x14ac:dyDescent="0.35">
      <c r="A696" s="960"/>
      <c r="B696" s="26"/>
      <c r="F696" s="112"/>
    </row>
    <row r="697" spans="1:6" ht="15.75" customHeight="1" x14ac:dyDescent="0.35">
      <c r="A697" s="960"/>
      <c r="B697" s="26"/>
      <c r="F697" s="112"/>
    </row>
    <row r="698" spans="1:6" ht="15.75" customHeight="1" x14ac:dyDescent="0.35">
      <c r="A698" s="960"/>
      <c r="B698" s="26"/>
      <c r="F698" s="112"/>
    </row>
    <row r="699" spans="1:6" ht="15.75" customHeight="1" x14ac:dyDescent="0.35">
      <c r="A699" s="960"/>
      <c r="B699" s="26"/>
      <c r="F699" s="112"/>
    </row>
    <row r="700" spans="1:6" ht="15.75" customHeight="1" x14ac:dyDescent="0.35">
      <c r="A700" s="960"/>
      <c r="B700" s="26"/>
      <c r="F700" s="112"/>
    </row>
    <row r="701" spans="1:6" ht="15.75" customHeight="1" x14ac:dyDescent="0.35">
      <c r="A701" s="960"/>
      <c r="B701" s="26"/>
      <c r="F701" s="112"/>
    </row>
    <row r="702" spans="1:6" ht="15.75" customHeight="1" x14ac:dyDescent="0.35">
      <c r="A702" s="960"/>
      <c r="B702" s="26"/>
      <c r="F702" s="112"/>
    </row>
    <row r="703" spans="1:6" ht="15.75" customHeight="1" x14ac:dyDescent="0.35">
      <c r="A703" s="960"/>
      <c r="B703" s="26"/>
      <c r="F703" s="112"/>
    </row>
    <row r="704" spans="1:6" ht="15.75" customHeight="1" x14ac:dyDescent="0.35">
      <c r="A704" s="960"/>
      <c r="B704" s="26"/>
      <c r="F704" s="112"/>
    </row>
    <row r="705" spans="1:6" ht="15.75" customHeight="1" x14ac:dyDescent="0.35">
      <c r="A705" s="960"/>
      <c r="B705" s="26"/>
      <c r="F705" s="112"/>
    </row>
    <row r="706" spans="1:6" ht="15.75" customHeight="1" x14ac:dyDescent="0.35">
      <c r="A706" s="960"/>
      <c r="B706" s="26"/>
      <c r="F706" s="112"/>
    </row>
    <row r="707" spans="1:6" ht="15.75" customHeight="1" x14ac:dyDescent="0.35">
      <c r="A707" s="960"/>
      <c r="B707" s="26"/>
      <c r="F707" s="112"/>
    </row>
    <row r="708" spans="1:6" ht="15.75" customHeight="1" x14ac:dyDescent="0.35">
      <c r="A708" s="960"/>
      <c r="B708" s="26"/>
      <c r="F708" s="112"/>
    </row>
    <row r="709" spans="1:6" ht="15.75" customHeight="1" x14ac:dyDescent="0.35">
      <c r="A709" s="960"/>
      <c r="B709" s="26"/>
      <c r="F709" s="112"/>
    </row>
    <row r="710" spans="1:6" ht="15.75" customHeight="1" x14ac:dyDescent="0.35">
      <c r="A710" s="960"/>
      <c r="B710" s="26"/>
      <c r="F710" s="112"/>
    </row>
    <row r="711" spans="1:6" ht="15.75" customHeight="1" x14ac:dyDescent="0.35">
      <c r="A711" s="960"/>
      <c r="B711" s="26"/>
      <c r="F711" s="112"/>
    </row>
    <row r="712" spans="1:6" ht="15.75" customHeight="1" x14ac:dyDescent="0.35">
      <c r="A712" s="960"/>
      <c r="B712" s="26"/>
      <c r="F712" s="112"/>
    </row>
    <row r="713" spans="1:6" ht="15.75" customHeight="1" x14ac:dyDescent="0.35">
      <c r="A713" s="960"/>
      <c r="B713" s="26"/>
      <c r="F713" s="112"/>
    </row>
    <row r="714" spans="1:6" ht="15.75" customHeight="1" x14ac:dyDescent="0.35">
      <c r="A714" s="960"/>
      <c r="B714" s="26"/>
      <c r="F714" s="112"/>
    </row>
    <row r="715" spans="1:6" ht="15.75" customHeight="1" x14ac:dyDescent="0.35">
      <c r="A715" s="960"/>
      <c r="B715" s="26"/>
      <c r="F715" s="112"/>
    </row>
    <row r="716" spans="1:6" ht="15.75" customHeight="1" x14ac:dyDescent="0.35">
      <c r="A716" s="960"/>
      <c r="B716" s="26"/>
      <c r="F716" s="112"/>
    </row>
    <row r="717" spans="1:6" ht="15.75" customHeight="1" x14ac:dyDescent="0.35">
      <c r="A717" s="960"/>
      <c r="B717" s="26"/>
      <c r="F717" s="112"/>
    </row>
    <row r="718" spans="1:6" ht="15.75" customHeight="1" x14ac:dyDescent="0.35">
      <c r="A718" s="960"/>
      <c r="B718" s="26"/>
      <c r="F718" s="112"/>
    </row>
    <row r="719" spans="1:6" ht="15.75" customHeight="1" x14ac:dyDescent="0.35">
      <c r="A719" s="960"/>
      <c r="B719" s="26"/>
      <c r="F719" s="112"/>
    </row>
    <row r="720" spans="1:6" ht="15.75" customHeight="1" x14ac:dyDescent="0.35">
      <c r="A720" s="960"/>
      <c r="B720" s="26"/>
      <c r="F720" s="112"/>
    </row>
    <row r="721" spans="1:6" ht="15.75" customHeight="1" x14ac:dyDescent="0.35">
      <c r="A721" s="960"/>
      <c r="B721" s="26"/>
      <c r="F721" s="112"/>
    </row>
    <row r="722" spans="1:6" ht="15.75" customHeight="1" x14ac:dyDescent="0.35">
      <c r="A722" s="960"/>
      <c r="B722" s="26"/>
      <c r="F722" s="112"/>
    </row>
    <row r="723" spans="1:6" ht="15.75" customHeight="1" x14ac:dyDescent="0.35">
      <c r="A723" s="960"/>
      <c r="B723" s="26"/>
      <c r="F723" s="112"/>
    </row>
    <row r="724" spans="1:6" ht="15.75" customHeight="1" x14ac:dyDescent="0.35">
      <c r="A724" s="960"/>
      <c r="B724" s="26"/>
      <c r="F724" s="112"/>
    </row>
    <row r="725" spans="1:6" ht="15.75" customHeight="1" x14ac:dyDescent="0.35">
      <c r="A725" s="960"/>
      <c r="B725" s="26"/>
      <c r="F725" s="112"/>
    </row>
    <row r="726" spans="1:6" ht="15.75" customHeight="1" x14ac:dyDescent="0.35">
      <c r="A726" s="960"/>
      <c r="B726" s="26"/>
      <c r="F726" s="112"/>
    </row>
    <row r="727" spans="1:6" ht="15.75" customHeight="1" x14ac:dyDescent="0.35">
      <c r="A727" s="960"/>
      <c r="B727" s="26"/>
      <c r="F727" s="112"/>
    </row>
    <row r="728" spans="1:6" ht="15.75" customHeight="1" x14ac:dyDescent="0.35">
      <c r="A728" s="960"/>
      <c r="B728" s="26"/>
      <c r="F728" s="112"/>
    </row>
    <row r="729" spans="1:6" ht="15.75" customHeight="1" x14ac:dyDescent="0.35">
      <c r="A729" s="960"/>
      <c r="B729" s="26"/>
      <c r="F729" s="112"/>
    </row>
    <row r="730" spans="1:6" ht="15.75" customHeight="1" x14ac:dyDescent="0.35">
      <c r="A730" s="960"/>
      <c r="B730" s="26"/>
      <c r="F730" s="112"/>
    </row>
    <row r="731" spans="1:6" ht="15.75" customHeight="1" x14ac:dyDescent="0.35">
      <c r="A731" s="960"/>
      <c r="B731" s="26"/>
      <c r="F731" s="112"/>
    </row>
    <row r="732" spans="1:6" ht="15.75" customHeight="1" x14ac:dyDescent="0.35">
      <c r="A732" s="960"/>
      <c r="B732" s="26"/>
      <c r="F732" s="112"/>
    </row>
    <row r="733" spans="1:6" ht="15.75" customHeight="1" x14ac:dyDescent="0.35">
      <c r="A733" s="960"/>
      <c r="B733" s="26"/>
      <c r="F733" s="112"/>
    </row>
    <row r="734" spans="1:6" ht="15.75" customHeight="1" x14ac:dyDescent="0.35">
      <c r="A734" s="960"/>
      <c r="B734" s="26"/>
      <c r="F734" s="112"/>
    </row>
    <row r="735" spans="1:6" ht="15.75" customHeight="1" x14ac:dyDescent="0.35">
      <c r="A735" s="960"/>
      <c r="B735" s="26"/>
      <c r="F735" s="112"/>
    </row>
    <row r="736" spans="1:6" ht="15.75" customHeight="1" x14ac:dyDescent="0.35">
      <c r="A736" s="960"/>
      <c r="B736" s="26"/>
      <c r="F736" s="112"/>
    </row>
    <row r="737" spans="1:6" ht="15.75" customHeight="1" x14ac:dyDescent="0.35">
      <c r="A737" s="960"/>
      <c r="B737" s="26"/>
      <c r="F737" s="112"/>
    </row>
    <row r="738" spans="1:6" ht="15.75" customHeight="1" x14ac:dyDescent="0.35">
      <c r="A738" s="960"/>
      <c r="B738" s="26"/>
      <c r="F738" s="112"/>
    </row>
    <row r="739" spans="1:6" ht="15.75" customHeight="1" x14ac:dyDescent="0.35">
      <c r="A739" s="960"/>
      <c r="B739" s="26"/>
      <c r="F739" s="112"/>
    </row>
    <row r="740" spans="1:6" ht="15.75" customHeight="1" x14ac:dyDescent="0.35">
      <c r="A740" s="960"/>
      <c r="B740" s="26"/>
      <c r="F740" s="112"/>
    </row>
    <row r="741" spans="1:6" ht="15.75" customHeight="1" x14ac:dyDescent="0.35">
      <c r="A741" s="960"/>
      <c r="B741" s="26"/>
      <c r="F741" s="112"/>
    </row>
    <row r="742" spans="1:6" ht="15.75" customHeight="1" x14ac:dyDescent="0.35">
      <c r="A742" s="960"/>
      <c r="B742" s="26"/>
      <c r="F742" s="112"/>
    </row>
    <row r="743" spans="1:6" ht="15.75" customHeight="1" x14ac:dyDescent="0.35">
      <c r="A743" s="960"/>
      <c r="B743" s="26"/>
      <c r="F743" s="112"/>
    </row>
    <row r="744" spans="1:6" ht="15.75" customHeight="1" x14ac:dyDescent="0.35">
      <c r="A744" s="960"/>
      <c r="B744" s="26"/>
      <c r="F744" s="112"/>
    </row>
    <row r="745" spans="1:6" ht="15.75" customHeight="1" x14ac:dyDescent="0.35">
      <c r="A745" s="960"/>
      <c r="B745" s="26"/>
      <c r="F745" s="112"/>
    </row>
    <row r="746" spans="1:6" ht="15.75" customHeight="1" x14ac:dyDescent="0.35">
      <c r="A746" s="960"/>
      <c r="B746" s="26"/>
      <c r="F746" s="112"/>
    </row>
    <row r="747" spans="1:6" ht="15.75" customHeight="1" x14ac:dyDescent="0.35">
      <c r="A747" s="960"/>
      <c r="B747" s="26"/>
      <c r="F747" s="112"/>
    </row>
    <row r="748" spans="1:6" ht="15.75" customHeight="1" x14ac:dyDescent="0.35">
      <c r="A748" s="960"/>
      <c r="B748" s="26"/>
      <c r="F748" s="112"/>
    </row>
    <row r="749" spans="1:6" ht="15.75" customHeight="1" x14ac:dyDescent="0.35">
      <c r="A749" s="960"/>
      <c r="B749" s="26"/>
      <c r="F749" s="112"/>
    </row>
    <row r="750" spans="1:6" ht="15.75" customHeight="1" x14ac:dyDescent="0.35">
      <c r="A750" s="960"/>
      <c r="B750" s="26"/>
      <c r="F750" s="112"/>
    </row>
    <row r="751" spans="1:6" ht="15.75" customHeight="1" x14ac:dyDescent="0.35">
      <c r="A751" s="960"/>
      <c r="B751" s="26"/>
      <c r="F751" s="112"/>
    </row>
    <row r="752" spans="1:6" ht="15.75" customHeight="1" x14ac:dyDescent="0.35">
      <c r="A752" s="960"/>
      <c r="B752" s="26"/>
      <c r="F752" s="112"/>
    </row>
    <row r="753" spans="1:6" ht="15.75" customHeight="1" x14ac:dyDescent="0.35">
      <c r="A753" s="960"/>
      <c r="B753" s="26"/>
      <c r="F753" s="112"/>
    </row>
    <row r="754" spans="1:6" ht="15.75" customHeight="1" x14ac:dyDescent="0.35">
      <c r="A754" s="960"/>
      <c r="B754" s="26"/>
      <c r="F754" s="112"/>
    </row>
    <row r="755" spans="1:6" ht="15.75" customHeight="1" x14ac:dyDescent="0.35">
      <c r="A755" s="960"/>
      <c r="B755" s="26"/>
      <c r="F755" s="112"/>
    </row>
    <row r="756" spans="1:6" ht="15.75" customHeight="1" x14ac:dyDescent="0.35">
      <c r="A756" s="960"/>
      <c r="B756" s="26"/>
      <c r="F756" s="112"/>
    </row>
    <row r="757" spans="1:6" ht="15.75" customHeight="1" x14ac:dyDescent="0.35">
      <c r="A757" s="960"/>
      <c r="B757" s="26"/>
      <c r="F757" s="112"/>
    </row>
    <row r="758" spans="1:6" ht="15.75" customHeight="1" x14ac:dyDescent="0.35">
      <c r="A758" s="960"/>
      <c r="B758" s="26"/>
      <c r="F758" s="112"/>
    </row>
    <row r="759" spans="1:6" ht="15.75" customHeight="1" x14ac:dyDescent="0.35">
      <c r="A759" s="960"/>
      <c r="B759" s="26"/>
      <c r="F759" s="112"/>
    </row>
    <row r="760" spans="1:6" ht="15.75" customHeight="1" x14ac:dyDescent="0.35">
      <c r="A760" s="960"/>
      <c r="B760" s="26"/>
      <c r="F760" s="112"/>
    </row>
    <row r="761" spans="1:6" ht="15.75" customHeight="1" x14ac:dyDescent="0.35">
      <c r="A761" s="960"/>
      <c r="B761" s="26"/>
      <c r="F761" s="112"/>
    </row>
    <row r="762" spans="1:6" ht="15.75" customHeight="1" x14ac:dyDescent="0.35">
      <c r="A762" s="960"/>
      <c r="B762" s="26"/>
      <c r="F762" s="112"/>
    </row>
    <row r="763" spans="1:6" ht="15.75" customHeight="1" x14ac:dyDescent="0.35">
      <c r="A763" s="960"/>
      <c r="B763" s="26"/>
      <c r="F763" s="112"/>
    </row>
    <row r="764" spans="1:6" ht="15.75" customHeight="1" x14ac:dyDescent="0.35">
      <c r="A764" s="960"/>
      <c r="B764" s="26"/>
      <c r="F764" s="112"/>
    </row>
    <row r="765" spans="1:6" ht="15.75" customHeight="1" x14ac:dyDescent="0.35">
      <c r="A765" s="960"/>
      <c r="B765" s="26"/>
      <c r="F765" s="112"/>
    </row>
    <row r="766" spans="1:6" ht="15.75" customHeight="1" x14ac:dyDescent="0.35">
      <c r="A766" s="960"/>
      <c r="B766" s="26"/>
      <c r="F766" s="112"/>
    </row>
    <row r="767" spans="1:6" ht="15.75" customHeight="1" x14ac:dyDescent="0.35">
      <c r="A767" s="960"/>
      <c r="B767" s="26"/>
      <c r="F767" s="112"/>
    </row>
    <row r="768" spans="1:6" ht="15.75" customHeight="1" x14ac:dyDescent="0.35">
      <c r="A768" s="960"/>
      <c r="B768" s="26"/>
      <c r="F768" s="112"/>
    </row>
    <row r="769" spans="1:6" ht="15.75" customHeight="1" x14ac:dyDescent="0.35">
      <c r="A769" s="960"/>
      <c r="B769" s="26"/>
      <c r="F769" s="112"/>
    </row>
    <row r="770" spans="1:6" ht="15.75" customHeight="1" x14ac:dyDescent="0.35">
      <c r="A770" s="960"/>
      <c r="B770" s="26"/>
      <c r="F770" s="112"/>
    </row>
    <row r="771" spans="1:6" ht="15.75" customHeight="1" x14ac:dyDescent="0.35">
      <c r="A771" s="960"/>
      <c r="B771" s="26"/>
      <c r="F771" s="112"/>
    </row>
    <row r="772" spans="1:6" ht="15.75" customHeight="1" x14ac:dyDescent="0.35">
      <c r="A772" s="960"/>
      <c r="B772" s="26"/>
      <c r="F772" s="112"/>
    </row>
    <row r="773" spans="1:6" ht="15.75" customHeight="1" x14ac:dyDescent="0.35">
      <c r="A773" s="960"/>
      <c r="B773" s="26"/>
      <c r="F773" s="112"/>
    </row>
    <row r="774" spans="1:6" ht="15.75" customHeight="1" x14ac:dyDescent="0.35">
      <c r="A774" s="960"/>
      <c r="B774" s="26"/>
      <c r="F774" s="112"/>
    </row>
    <row r="775" spans="1:6" ht="15.75" customHeight="1" x14ac:dyDescent="0.35">
      <c r="A775" s="960"/>
      <c r="B775" s="26"/>
      <c r="F775" s="112"/>
    </row>
    <row r="776" spans="1:6" ht="15.75" customHeight="1" x14ac:dyDescent="0.35">
      <c r="A776" s="960"/>
      <c r="B776" s="26"/>
      <c r="F776" s="112"/>
    </row>
    <row r="777" spans="1:6" ht="15.75" customHeight="1" x14ac:dyDescent="0.35">
      <c r="A777" s="960"/>
      <c r="B777" s="26"/>
      <c r="F777" s="112"/>
    </row>
    <row r="778" spans="1:6" ht="15.75" customHeight="1" x14ac:dyDescent="0.35">
      <c r="A778" s="960"/>
      <c r="B778" s="26"/>
      <c r="F778" s="112"/>
    </row>
    <row r="779" spans="1:6" ht="15.75" customHeight="1" x14ac:dyDescent="0.35">
      <c r="A779" s="960"/>
      <c r="B779" s="26"/>
      <c r="F779" s="112"/>
    </row>
    <row r="780" spans="1:6" ht="15.75" customHeight="1" x14ac:dyDescent="0.35">
      <c r="A780" s="960"/>
      <c r="B780" s="26"/>
      <c r="F780" s="112"/>
    </row>
    <row r="781" spans="1:6" ht="15.75" customHeight="1" x14ac:dyDescent="0.35">
      <c r="A781" s="960"/>
      <c r="B781" s="26"/>
      <c r="F781" s="112"/>
    </row>
    <row r="782" spans="1:6" ht="15.75" customHeight="1" x14ac:dyDescent="0.35">
      <c r="A782" s="960"/>
      <c r="B782" s="26"/>
      <c r="F782" s="112"/>
    </row>
    <row r="783" spans="1:6" ht="15.75" customHeight="1" x14ac:dyDescent="0.35">
      <c r="A783" s="960"/>
      <c r="B783" s="26"/>
      <c r="F783" s="112"/>
    </row>
    <row r="784" spans="1:6" ht="15.75" customHeight="1" x14ac:dyDescent="0.35">
      <c r="A784" s="960"/>
      <c r="B784" s="26"/>
      <c r="F784" s="112"/>
    </row>
    <row r="785" spans="1:6" ht="15.75" customHeight="1" x14ac:dyDescent="0.35">
      <c r="A785" s="960"/>
      <c r="B785" s="26"/>
      <c r="F785" s="112"/>
    </row>
    <row r="786" spans="1:6" ht="15.75" customHeight="1" x14ac:dyDescent="0.35">
      <c r="A786" s="960"/>
      <c r="B786" s="26"/>
      <c r="F786" s="112"/>
    </row>
    <row r="787" spans="1:6" ht="15.75" customHeight="1" x14ac:dyDescent="0.35">
      <c r="A787" s="960"/>
      <c r="B787" s="26"/>
      <c r="F787" s="112"/>
    </row>
    <row r="788" spans="1:6" ht="15.75" customHeight="1" x14ac:dyDescent="0.35">
      <c r="A788" s="960"/>
      <c r="B788" s="26"/>
      <c r="F788" s="112"/>
    </row>
    <row r="789" spans="1:6" ht="15.75" customHeight="1" x14ac:dyDescent="0.35">
      <c r="A789" s="960"/>
      <c r="B789" s="26"/>
      <c r="F789" s="112"/>
    </row>
    <row r="790" spans="1:6" ht="15.75" customHeight="1" x14ac:dyDescent="0.35">
      <c r="A790" s="960"/>
      <c r="B790" s="26"/>
      <c r="F790" s="112"/>
    </row>
    <row r="791" spans="1:6" ht="15.75" customHeight="1" x14ac:dyDescent="0.35">
      <c r="A791" s="960"/>
      <c r="B791" s="26"/>
      <c r="F791" s="112"/>
    </row>
    <row r="792" spans="1:6" ht="15.75" customHeight="1" x14ac:dyDescent="0.35">
      <c r="A792" s="960"/>
      <c r="B792" s="26"/>
      <c r="F792" s="112"/>
    </row>
    <row r="793" spans="1:6" ht="15.75" customHeight="1" x14ac:dyDescent="0.35">
      <c r="A793" s="960"/>
      <c r="B793" s="26"/>
      <c r="F793" s="112"/>
    </row>
    <row r="794" spans="1:6" ht="15.75" customHeight="1" x14ac:dyDescent="0.35">
      <c r="A794" s="960"/>
      <c r="B794" s="26"/>
      <c r="F794" s="112"/>
    </row>
    <row r="795" spans="1:6" ht="15.75" customHeight="1" x14ac:dyDescent="0.35">
      <c r="A795" s="960"/>
      <c r="B795" s="26"/>
      <c r="F795" s="112"/>
    </row>
    <row r="796" spans="1:6" ht="15.75" customHeight="1" x14ac:dyDescent="0.35">
      <c r="A796" s="960"/>
      <c r="B796" s="26"/>
      <c r="F796" s="112"/>
    </row>
    <row r="797" spans="1:6" ht="15.75" customHeight="1" x14ac:dyDescent="0.35">
      <c r="A797" s="960"/>
      <c r="B797" s="26"/>
      <c r="F797" s="112"/>
    </row>
    <row r="798" spans="1:6" ht="15.75" customHeight="1" x14ac:dyDescent="0.35">
      <c r="A798" s="960"/>
      <c r="B798" s="26"/>
      <c r="F798" s="112"/>
    </row>
    <row r="799" spans="1:6" ht="15.75" customHeight="1" x14ac:dyDescent="0.35">
      <c r="A799" s="960"/>
      <c r="B799" s="26"/>
      <c r="F799" s="112"/>
    </row>
    <row r="800" spans="1:6" ht="15.75" customHeight="1" x14ac:dyDescent="0.35">
      <c r="A800" s="960"/>
      <c r="B800" s="26"/>
      <c r="F800" s="112"/>
    </row>
    <row r="801" spans="1:6" ht="15.75" customHeight="1" x14ac:dyDescent="0.35">
      <c r="A801" s="960"/>
      <c r="B801" s="26"/>
      <c r="F801" s="112"/>
    </row>
    <row r="802" spans="1:6" ht="15.75" customHeight="1" x14ac:dyDescent="0.35">
      <c r="A802" s="960"/>
      <c r="B802" s="26"/>
      <c r="F802" s="112"/>
    </row>
    <row r="803" spans="1:6" ht="15.75" customHeight="1" x14ac:dyDescent="0.35">
      <c r="A803" s="960"/>
      <c r="B803" s="26"/>
      <c r="F803" s="112"/>
    </row>
    <row r="804" spans="1:6" ht="15.75" customHeight="1" x14ac:dyDescent="0.35">
      <c r="A804" s="960"/>
      <c r="B804" s="26"/>
      <c r="F804" s="112"/>
    </row>
    <row r="805" spans="1:6" ht="15.75" customHeight="1" x14ac:dyDescent="0.35">
      <c r="A805" s="960"/>
      <c r="B805" s="26"/>
      <c r="F805" s="112"/>
    </row>
    <row r="806" spans="1:6" ht="15.75" customHeight="1" x14ac:dyDescent="0.35">
      <c r="A806" s="960"/>
      <c r="B806" s="26"/>
      <c r="F806" s="112"/>
    </row>
    <row r="807" spans="1:6" ht="15.75" customHeight="1" x14ac:dyDescent="0.35">
      <c r="A807" s="960"/>
      <c r="B807" s="26"/>
      <c r="F807" s="112"/>
    </row>
    <row r="808" spans="1:6" ht="15.75" customHeight="1" x14ac:dyDescent="0.35">
      <c r="A808" s="960"/>
      <c r="B808" s="26"/>
      <c r="F808" s="112"/>
    </row>
    <row r="809" spans="1:6" ht="15.75" customHeight="1" x14ac:dyDescent="0.35">
      <c r="A809" s="960"/>
      <c r="B809" s="26"/>
      <c r="F809" s="112"/>
    </row>
    <row r="810" spans="1:6" ht="15.75" customHeight="1" x14ac:dyDescent="0.35">
      <c r="A810" s="960"/>
      <c r="B810" s="26"/>
      <c r="F810" s="112"/>
    </row>
    <row r="811" spans="1:6" ht="15.75" customHeight="1" x14ac:dyDescent="0.35">
      <c r="A811" s="960"/>
      <c r="B811" s="26"/>
      <c r="F811" s="112"/>
    </row>
    <row r="812" spans="1:6" ht="15.75" customHeight="1" x14ac:dyDescent="0.35">
      <c r="A812" s="960"/>
      <c r="B812" s="26"/>
      <c r="F812" s="112"/>
    </row>
    <row r="813" spans="1:6" ht="15.75" customHeight="1" x14ac:dyDescent="0.35">
      <c r="A813" s="960"/>
      <c r="B813" s="26"/>
      <c r="F813" s="112"/>
    </row>
    <row r="814" spans="1:6" ht="15.75" customHeight="1" x14ac:dyDescent="0.35">
      <c r="A814" s="960"/>
      <c r="B814" s="26"/>
      <c r="F814" s="112"/>
    </row>
    <row r="815" spans="1:6" ht="15.75" customHeight="1" x14ac:dyDescent="0.35">
      <c r="A815" s="960"/>
      <c r="B815" s="26"/>
      <c r="F815" s="112"/>
    </row>
    <row r="816" spans="1:6" ht="15.75" customHeight="1" x14ac:dyDescent="0.35">
      <c r="A816" s="960"/>
      <c r="B816" s="26"/>
      <c r="F816" s="112"/>
    </row>
    <row r="817" spans="1:6" ht="15.75" customHeight="1" x14ac:dyDescent="0.35">
      <c r="A817" s="960"/>
      <c r="B817" s="26"/>
      <c r="F817" s="112"/>
    </row>
    <row r="818" spans="1:6" ht="15.75" customHeight="1" x14ac:dyDescent="0.35">
      <c r="A818" s="960"/>
      <c r="B818" s="26"/>
      <c r="F818" s="112"/>
    </row>
    <row r="819" spans="1:6" ht="15.75" customHeight="1" x14ac:dyDescent="0.35">
      <c r="A819" s="960"/>
      <c r="B819" s="26"/>
      <c r="F819" s="112"/>
    </row>
    <row r="820" spans="1:6" ht="15.75" customHeight="1" x14ac:dyDescent="0.35">
      <c r="A820" s="960"/>
      <c r="B820" s="26"/>
      <c r="F820" s="112"/>
    </row>
    <row r="821" spans="1:6" ht="15.75" customHeight="1" x14ac:dyDescent="0.35">
      <c r="A821" s="960"/>
      <c r="B821" s="26"/>
      <c r="F821" s="112"/>
    </row>
    <row r="822" spans="1:6" ht="15.75" customHeight="1" x14ac:dyDescent="0.35">
      <c r="A822" s="960"/>
      <c r="B822" s="26"/>
      <c r="F822" s="112"/>
    </row>
    <row r="823" spans="1:6" ht="15.75" customHeight="1" x14ac:dyDescent="0.35">
      <c r="A823" s="960"/>
      <c r="B823" s="26"/>
      <c r="F823" s="112"/>
    </row>
    <row r="824" spans="1:6" ht="15.75" customHeight="1" x14ac:dyDescent="0.35">
      <c r="A824" s="960"/>
      <c r="B824" s="26"/>
      <c r="F824" s="112"/>
    </row>
    <row r="825" spans="1:6" ht="15.75" customHeight="1" x14ac:dyDescent="0.35">
      <c r="A825" s="960"/>
      <c r="B825" s="26"/>
      <c r="F825" s="112"/>
    </row>
    <row r="826" spans="1:6" ht="15.75" customHeight="1" x14ac:dyDescent="0.35">
      <c r="A826" s="960"/>
      <c r="B826" s="26"/>
      <c r="F826" s="112"/>
    </row>
    <row r="827" spans="1:6" ht="15.75" customHeight="1" x14ac:dyDescent="0.35">
      <c r="A827" s="960"/>
      <c r="B827" s="26"/>
      <c r="F827" s="112"/>
    </row>
    <row r="828" spans="1:6" ht="15.75" customHeight="1" x14ac:dyDescent="0.35">
      <c r="A828" s="960"/>
      <c r="B828" s="26"/>
      <c r="F828" s="112"/>
    </row>
    <row r="829" spans="1:6" ht="15.75" customHeight="1" x14ac:dyDescent="0.35">
      <c r="A829" s="960"/>
      <c r="B829" s="26"/>
      <c r="F829" s="112"/>
    </row>
    <row r="830" spans="1:6" ht="15.75" customHeight="1" x14ac:dyDescent="0.35">
      <c r="A830" s="960"/>
      <c r="B830" s="26"/>
      <c r="F830" s="112"/>
    </row>
    <row r="831" spans="1:6" ht="15.75" customHeight="1" x14ac:dyDescent="0.35">
      <c r="A831" s="960"/>
      <c r="B831" s="26"/>
      <c r="F831" s="112"/>
    </row>
    <row r="832" spans="1:6" ht="15.75" customHeight="1" x14ac:dyDescent="0.35">
      <c r="A832" s="960"/>
      <c r="B832" s="26"/>
      <c r="F832" s="112"/>
    </row>
    <row r="833" spans="1:6" ht="15.75" customHeight="1" x14ac:dyDescent="0.35">
      <c r="A833" s="960"/>
      <c r="B833" s="26"/>
      <c r="F833" s="112"/>
    </row>
    <row r="834" spans="1:6" ht="15.75" customHeight="1" x14ac:dyDescent="0.35">
      <c r="A834" s="960"/>
      <c r="B834" s="26"/>
      <c r="F834" s="112"/>
    </row>
    <row r="835" spans="1:6" ht="15.75" customHeight="1" x14ac:dyDescent="0.35">
      <c r="A835" s="960"/>
      <c r="B835" s="26"/>
      <c r="F835" s="112"/>
    </row>
    <row r="836" spans="1:6" ht="15.75" customHeight="1" x14ac:dyDescent="0.35">
      <c r="A836" s="960"/>
      <c r="B836" s="26"/>
      <c r="F836" s="112"/>
    </row>
    <row r="837" spans="1:6" ht="15.75" customHeight="1" x14ac:dyDescent="0.35">
      <c r="A837" s="960"/>
      <c r="B837" s="26"/>
      <c r="F837" s="112"/>
    </row>
    <row r="838" spans="1:6" ht="15.75" customHeight="1" x14ac:dyDescent="0.35">
      <c r="A838" s="960"/>
      <c r="B838" s="26"/>
      <c r="F838" s="112"/>
    </row>
    <row r="839" spans="1:6" ht="15.75" customHeight="1" x14ac:dyDescent="0.35">
      <c r="A839" s="960"/>
      <c r="B839" s="26"/>
      <c r="F839" s="112"/>
    </row>
    <row r="840" spans="1:6" ht="15.75" customHeight="1" x14ac:dyDescent="0.35">
      <c r="A840" s="960"/>
      <c r="B840" s="26"/>
      <c r="F840" s="112"/>
    </row>
    <row r="841" spans="1:6" ht="15.75" customHeight="1" x14ac:dyDescent="0.35">
      <c r="A841" s="960"/>
      <c r="B841" s="26"/>
      <c r="F841" s="112"/>
    </row>
    <row r="842" spans="1:6" ht="15.75" customHeight="1" x14ac:dyDescent="0.35">
      <c r="A842" s="960"/>
      <c r="B842" s="26"/>
      <c r="F842" s="112"/>
    </row>
    <row r="843" spans="1:6" ht="15.75" customHeight="1" x14ac:dyDescent="0.35">
      <c r="A843" s="960"/>
      <c r="B843" s="26"/>
      <c r="F843" s="112"/>
    </row>
    <row r="844" spans="1:6" ht="15.75" customHeight="1" x14ac:dyDescent="0.35">
      <c r="A844" s="960"/>
      <c r="B844" s="26"/>
      <c r="F844" s="112"/>
    </row>
    <row r="845" spans="1:6" ht="15.75" customHeight="1" x14ac:dyDescent="0.35">
      <c r="A845" s="960"/>
      <c r="B845" s="26"/>
      <c r="F845" s="112"/>
    </row>
    <row r="846" spans="1:6" ht="15.75" customHeight="1" x14ac:dyDescent="0.35">
      <c r="A846" s="960"/>
      <c r="B846" s="26"/>
      <c r="F846" s="112"/>
    </row>
    <row r="847" spans="1:6" ht="15.75" customHeight="1" x14ac:dyDescent="0.35">
      <c r="A847" s="960"/>
      <c r="B847" s="26"/>
      <c r="F847" s="112"/>
    </row>
    <row r="848" spans="1:6" ht="15.75" customHeight="1" x14ac:dyDescent="0.35">
      <c r="A848" s="960"/>
      <c r="B848" s="26"/>
      <c r="F848" s="112"/>
    </row>
    <row r="849" spans="1:6" ht="15.75" customHeight="1" x14ac:dyDescent="0.35">
      <c r="A849" s="960"/>
      <c r="B849" s="26"/>
      <c r="F849" s="112"/>
    </row>
    <row r="850" spans="1:6" ht="15.75" customHeight="1" x14ac:dyDescent="0.35">
      <c r="A850" s="960"/>
      <c r="B850" s="26"/>
      <c r="F850" s="112"/>
    </row>
    <row r="851" spans="1:6" ht="15.75" customHeight="1" x14ac:dyDescent="0.35">
      <c r="A851" s="960"/>
      <c r="B851" s="26"/>
      <c r="F851" s="112"/>
    </row>
    <row r="852" spans="1:6" ht="15.75" customHeight="1" x14ac:dyDescent="0.35">
      <c r="A852" s="960"/>
      <c r="B852" s="26"/>
      <c r="F852" s="112"/>
    </row>
    <row r="853" spans="1:6" ht="15.75" customHeight="1" x14ac:dyDescent="0.35">
      <c r="A853" s="960"/>
      <c r="B853" s="26"/>
      <c r="F853" s="112"/>
    </row>
    <row r="854" spans="1:6" ht="15.75" customHeight="1" x14ac:dyDescent="0.35">
      <c r="A854" s="960"/>
      <c r="B854" s="26"/>
      <c r="F854" s="112"/>
    </row>
    <row r="855" spans="1:6" ht="15.75" customHeight="1" x14ac:dyDescent="0.35">
      <c r="A855" s="960"/>
      <c r="B855" s="26"/>
      <c r="F855" s="112"/>
    </row>
    <row r="856" spans="1:6" ht="15.75" customHeight="1" x14ac:dyDescent="0.35">
      <c r="A856" s="960"/>
      <c r="B856" s="26"/>
      <c r="F856" s="112"/>
    </row>
    <row r="857" spans="1:6" ht="15.75" customHeight="1" x14ac:dyDescent="0.35">
      <c r="A857" s="960"/>
      <c r="B857" s="26"/>
      <c r="F857" s="112"/>
    </row>
    <row r="858" spans="1:6" ht="15.75" customHeight="1" x14ac:dyDescent="0.35">
      <c r="A858" s="960"/>
      <c r="B858" s="26"/>
      <c r="F858" s="112"/>
    </row>
    <row r="859" spans="1:6" ht="15.75" customHeight="1" x14ac:dyDescent="0.35">
      <c r="A859" s="960"/>
      <c r="B859" s="26"/>
      <c r="F859" s="112"/>
    </row>
    <row r="860" spans="1:6" ht="15.75" customHeight="1" x14ac:dyDescent="0.35">
      <c r="A860" s="960"/>
      <c r="B860" s="26"/>
      <c r="F860" s="112"/>
    </row>
    <row r="861" spans="1:6" ht="15.75" customHeight="1" x14ac:dyDescent="0.35">
      <c r="A861" s="960"/>
      <c r="B861" s="26"/>
      <c r="F861" s="112"/>
    </row>
    <row r="862" spans="1:6" ht="15.75" customHeight="1" x14ac:dyDescent="0.35">
      <c r="A862" s="960"/>
      <c r="B862" s="26"/>
      <c r="F862" s="112"/>
    </row>
    <row r="863" spans="1:6" ht="15.75" customHeight="1" x14ac:dyDescent="0.35">
      <c r="A863" s="960"/>
      <c r="B863" s="26"/>
      <c r="F863" s="112"/>
    </row>
    <row r="864" spans="1:6" ht="15.75" customHeight="1" x14ac:dyDescent="0.35">
      <c r="A864" s="960"/>
      <c r="B864" s="26"/>
      <c r="F864" s="112"/>
    </row>
    <row r="865" spans="1:6" ht="15.75" customHeight="1" x14ac:dyDescent="0.35">
      <c r="A865" s="960"/>
      <c r="B865" s="26"/>
      <c r="F865" s="112"/>
    </row>
    <row r="866" spans="1:6" ht="15.75" customHeight="1" x14ac:dyDescent="0.35">
      <c r="A866" s="960"/>
      <c r="B866" s="26"/>
      <c r="F866" s="112"/>
    </row>
    <row r="867" spans="1:6" ht="15.75" customHeight="1" x14ac:dyDescent="0.35">
      <c r="A867" s="960"/>
      <c r="B867" s="26"/>
      <c r="F867" s="112"/>
    </row>
    <row r="868" spans="1:6" ht="15.75" customHeight="1" x14ac:dyDescent="0.35">
      <c r="A868" s="960"/>
      <c r="B868" s="26"/>
      <c r="F868" s="112"/>
    </row>
    <row r="869" spans="1:6" ht="15.75" customHeight="1" x14ac:dyDescent="0.35">
      <c r="A869" s="960"/>
      <c r="B869" s="26"/>
      <c r="F869" s="112"/>
    </row>
    <row r="870" spans="1:6" ht="15.75" customHeight="1" x14ac:dyDescent="0.35">
      <c r="A870" s="960"/>
      <c r="B870" s="26"/>
      <c r="F870" s="112"/>
    </row>
    <row r="871" spans="1:6" ht="15.75" customHeight="1" x14ac:dyDescent="0.35">
      <c r="A871" s="960"/>
      <c r="B871" s="26"/>
      <c r="F871" s="112"/>
    </row>
    <row r="872" spans="1:6" ht="15.75" customHeight="1" x14ac:dyDescent="0.35">
      <c r="A872" s="960"/>
      <c r="B872" s="26"/>
      <c r="F872" s="112"/>
    </row>
    <row r="873" spans="1:6" ht="15.75" customHeight="1" x14ac:dyDescent="0.35">
      <c r="A873" s="960"/>
      <c r="B873" s="26"/>
      <c r="F873" s="112"/>
    </row>
    <row r="874" spans="1:6" ht="15.75" customHeight="1" x14ac:dyDescent="0.35">
      <c r="A874" s="960"/>
      <c r="B874" s="26"/>
      <c r="F874" s="112"/>
    </row>
    <row r="875" spans="1:6" ht="15.75" customHeight="1" x14ac:dyDescent="0.35">
      <c r="A875" s="960"/>
      <c r="B875" s="26"/>
      <c r="F875" s="112"/>
    </row>
    <row r="876" spans="1:6" ht="15.75" customHeight="1" x14ac:dyDescent="0.35">
      <c r="A876" s="960"/>
      <c r="B876" s="26"/>
      <c r="F876" s="112"/>
    </row>
    <row r="877" spans="1:6" ht="15.75" customHeight="1" x14ac:dyDescent="0.35">
      <c r="A877" s="960"/>
      <c r="B877" s="26"/>
      <c r="F877" s="112"/>
    </row>
    <row r="878" spans="1:6" ht="15.75" customHeight="1" x14ac:dyDescent="0.35">
      <c r="A878" s="960"/>
      <c r="B878" s="26"/>
      <c r="F878" s="112"/>
    </row>
    <row r="879" spans="1:6" ht="15.75" customHeight="1" x14ac:dyDescent="0.35">
      <c r="A879" s="960"/>
      <c r="B879" s="26"/>
      <c r="F879" s="112"/>
    </row>
    <row r="880" spans="1:6" ht="15.75" customHeight="1" x14ac:dyDescent="0.35">
      <c r="A880" s="960"/>
      <c r="B880" s="26"/>
      <c r="F880" s="112"/>
    </row>
    <row r="881" spans="1:6" ht="15.75" customHeight="1" x14ac:dyDescent="0.35">
      <c r="A881" s="960"/>
      <c r="B881" s="26"/>
      <c r="F881" s="112"/>
    </row>
    <row r="882" spans="1:6" ht="15.75" customHeight="1" x14ac:dyDescent="0.35">
      <c r="A882" s="960"/>
      <c r="B882" s="26"/>
      <c r="F882" s="112"/>
    </row>
    <row r="883" spans="1:6" ht="15.75" customHeight="1" x14ac:dyDescent="0.35">
      <c r="A883" s="960"/>
      <c r="B883" s="26"/>
      <c r="F883" s="112"/>
    </row>
    <row r="884" spans="1:6" ht="15.75" customHeight="1" x14ac:dyDescent="0.35">
      <c r="A884" s="960"/>
      <c r="B884" s="26"/>
      <c r="F884" s="112"/>
    </row>
    <row r="885" spans="1:6" ht="15.75" customHeight="1" x14ac:dyDescent="0.35">
      <c r="A885" s="960"/>
      <c r="B885" s="26"/>
      <c r="F885" s="112"/>
    </row>
    <row r="886" spans="1:6" ht="15.75" customHeight="1" x14ac:dyDescent="0.35">
      <c r="A886" s="960"/>
      <c r="B886" s="26"/>
      <c r="F886" s="112"/>
    </row>
    <row r="887" spans="1:6" ht="15.75" customHeight="1" x14ac:dyDescent="0.35">
      <c r="A887" s="960"/>
      <c r="B887" s="26"/>
      <c r="F887" s="112"/>
    </row>
    <row r="888" spans="1:6" ht="15.75" customHeight="1" x14ac:dyDescent="0.35">
      <c r="A888" s="960"/>
      <c r="B888" s="26"/>
      <c r="F888" s="112"/>
    </row>
    <row r="889" spans="1:6" ht="15.75" customHeight="1" x14ac:dyDescent="0.35">
      <c r="A889" s="960"/>
      <c r="B889" s="26"/>
      <c r="F889" s="112"/>
    </row>
    <row r="890" spans="1:6" ht="15.75" customHeight="1" x14ac:dyDescent="0.35">
      <c r="A890" s="960"/>
      <c r="B890" s="26"/>
      <c r="F890" s="112"/>
    </row>
    <row r="891" spans="1:6" ht="15.75" customHeight="1" x14ac:dyDescent="0.35">
      <c r="A891" s="960"/>
      <c r="B891" s="26"/>
      <c r="F891" s="112"/>
    </row>
    <row r="892" spans="1:6" ht="15.75" customHeight="1" x14ac:dyDescent="0.35">
      <c r="A892" s="960"/>
      <c r="B892" s="26"/>
      <c r="F892" s="112"/>
    </row>
    <row r="893" spans="1:6" ht="15.75" customHeight="1" x14ac:dyDescent="0.35">
      <c r="A893" s="960"/>
      <c r="B893" s="26"/>
      <c r="F893" s="112"/>
    </row>
    <row r="894" spans="1:6" ht="15.75" customHeight="1" x14ac:dyDescent="0.35">
      <c r="A894" s="960"/>
      <c r="B894" s="26"/>
      <c r="F894" s="112"/>
    </row>
    <row r="895" spans="1:6" ht="15.75" customHeight="1" x14ac:dyDescent="0.35">
      <c r="A895" s="960"/>
      <c r="B895" s="26"/>
      <c r="F895" s="112"/>
    </row>
    <row r="896" spans="1:6" ht="15.75" customHeight="1" x14ac:dyDescent="0.35">
      <c r="A896" s="960"/>
      <c r="B896" s="26"/>
      <c r="F896" s="112"/>
    </row>
    <row r="897" spans="1:6" ht="15.75" customHeight="1" x14ac:dyDescent="0.35">
      <c r="A897" s="960"/>
      <c r="B897" s="26"/>
      <c r="F897" s="112"/>
    </row>
    <row r="898" spans="1:6" ht="15.75" customHeight="1" x14ac:dyDescent="0.35">
      <c r="A898" s="960"/>
      <c r="B898" s="26"/>
      <c r="F898" s="112"/>
    </row>
    <row r="899" spans="1:6" ht="15.75" customHeight="1" x14ac:dyDescent="0.35">
      <c r="A899" s="960"/>
      <c r="B899" s="26"/>
      <c r="F899" s="112"/>
    </row>
    <row r="900" spans="1:6" ht="15.75" customHeight="1" x14ac:dyDescent="0.35">
      <c r="A900" s="960"/>
      <c r="B900" s="26"/>
      <c r="F900" s="112"/>
    </row>
    <row r="901" spans="1:6" ht="15.75" customHeight="1" x14ac:dyDescent="0.35">
      <c r="A901" s="960"/>
      <c r="B901" s="26"/>
      <c r="F901" s="112"/>
    </row>
    <row r="902" spans="1:6" ht="15.75" customHeight="1" x14ac:dyDescent="0.35">
      <c r="A902" s="960"/>
      <c r="B902" s="26"/>
      <c r="F902" s="112"/>
    </row>
    <row r="903" spans="1:6" ht="15.75" customHeight="1" x14ac:dyDescent="0.35">
      <c r="A903" s="960"/>
      <c r="B903" s="26"/>
      <c r="F903" s="112"/>
    </row>
    <row r="904" spans="1:6" ht="15.75" customHeight="1" x14ac:dyDescent="0.35">
      <c r="A904" s="960"/>
      <c r="B904" s="26"/>
      <c r="F904" s="112"/>
    </row>
    <row r="905" spans="1:6" ht="15.75" customHeight="1" x14ac:dyDescent="0.35">
      <c r="A905" s="960"/>
      <c r="B905" s="26"/>
      <c r="F905" s="112"/>
    </row>
    <row r="906" spans="1:6" ht="15.75" customHeight="1" x14ac:dyDescent="0.35">
      <c r="A906" s="960"/>
      <c r="B906" s="26"/>
      <c r="F906" s="112"/>
    </row>
    <row r="907" spans="1:6" ht="15.75" customHeight="1" x14ac:dyDescent="0.35">
      <c r="A907" s="960"/>
      <c r="B907" s="26"/>
      <c r="F907" s="112"/>
    </row>
    <row r="908" spans="1:6" ht="15.75" customHeight="1" x14ac:dyDescent="0.35">
      <c r="A908" s="960"/>
      <c r="B908" s="26"/>
      <c r="F908" s="112"/>
    </row>
    <row r="909" spans="1:6" ht="15.75" customHeight="1" x14ac:dyDescent="0.35">
      <c r="A909" s="960"/>
      <c r="B909" s="26"/>
      <c r="F909" s="112"/>
    </row>
    <row r="910" spans="1:6" ht="15.75" customHeight="1" x14ac:dyDescent="0.35">
      <c r="A910" s="960"/>
      <c r="B910" s="26"/>
      <c r="F910" s="112"/>
    </row>
    <row r="911" spans="1:6" ht="15.75" customHeight="1" x14ac:dyDescent="0.35">
      <c r="A911" s="960"/>
      <c r="B911" s="26"/>
      <c r="F911" s="112"/>
    </row>
    <row r="912" spans="1:6" ht="15.75" customHeight="1" x14ac:dyDescent="0.35">
      <c r="A912" s="960"/>
      <c r="B912" s="26"/>
      <c r="F912" s="112"/>
    </row>
    <row r="913" spans="1:6" ht="15.75" customHeight="1" x14ac:dyDescent="0.35">
      <c r="A913" s="960"/>
      <c r="B913" s="26"/>
      <c r="F913" s="112"/>
    </row>
    <row r="914" spans="1:6" ht="15.75" customHeight="1" x14ac:dyDescent="0.35">
      <c r="A914" s="960"/>
      <c r="B914" s="26"/>
      <c r="F914" s="112"/>
    </row>
    <row r="915" spans="1:6" ht="15.75" customHeight="1" x14ac:dyDescent="0.35">
      <c r="A915" s="960"/>
      <c r="B915" s="26"/>
      <c r="F915" s="112"/>
    </row>
    <row r="916" spans="1:6" ht="15.75" customHeight="1" x14ac:dyDescent="0.35">
      <c r="A916" s="960"/>
      <c r="B916" s="26"/>
      <c r="F916" s="112"/>
    </row>
    <row r="917" spans="1:6" ht="15.75" customHeight="1" x14ac:dyDescent="0.35">
      <c r="A917" s="960"/>
      <c r="B917" s="26"/>
      <c r="F917" s="112"/>
    </row>
    <row r="918" spans="1:6" ht="15.75" customHeight="1" x14ac:dyDescent="0.35">
      <c r="A918" s="960"/>
      <c r="B918" s="26"/>
      <c r="F918" s="112"/>
    </row>
    <row r="919" spans="1:6" ht="15.75" customHeight="1" x14ac:dyDescent="0.35">
      <c r="A919" s="960"/>
      <c r="B919" s="26"/>
      <c r="F919" s="112"/>
    </row>
    <row r="920" spans="1:6" ht="15.75" customHeight="1" x14ac:dyDescent="0.35">
      <c r="A920" s="960"/>
      <c r="B920" s="26"/>
      <c r="F920" s="112"/>
    </row>
    <row r="921" spans="1:6" ht="15.75" customHeight="1" x14ac:dyDescent="0.35">
      <c r="A921" s="960"/>
      <c r="B921" s="26"/>
      <c r="F921" s="112"/>
    </row>
    <row r="922" spans="1:6" ht="15.75" customHeight="1" x14ac:dyDescent="0.35">
      <c r="A922" s="960"/>
      <c r="B922" s="26"/>
      <c r="F922" s="112"/>
    </row>
    <row r="923" spans="1:6" ht="15.75" customHeight="1" x14ac:dyDescent="0.35">
      <c r="A923" s="960"/>
      <c r="B923" s="26"/>
      <c r="F923" s="112"/>
    </row>
    <row r="924" spans="1:6" ht="15.75" customHeight="1" x14ac:dyDescent="0.35">
      <c r="A924" s="960"/>
      <c r="B924" s="26"/>
      <c r="F924" s="112"/>
    </row>
    <row r="925" spans="1:6" ht="15.75" customHeight="1" x14ac:dyDescent="0.35">
      <c r="A925" s="960"/>
      <c r="B925" s="26"/>
      <c r="F925" s="112"/>
    </row>
    <row r="926" spans="1:6" ht="15.75" customHeight="1" x14ac:dyDescent="0.35">
      <c r="A926" s="960"/>
      <c r="B926" s="26"/>
      <c r="F926" s="112"/>
    </row>
    <row r="927" spans="1:6" ht="15.75" customHeight="1" x14ac:dyDescent="0.35">
      <c r="A927" s="960"/>
      <c r="B927" s="26"/>
      <c r="F927" s="112"/>
    </row>
    <row r="928" spans="1:6" ht="15.75" customHeight="1" x14ac:dyDescent="0.35">
      <c r="A928" s="960"/>
      <c r="B928" s="26"/>
      <c r="F928" s="112"/>
    </row>
    <row r="929" spans="1:6" ht="15.75" customHeight="1" x14ac:dyDescent="0.35">
      <c r="A929" s="960"/>
      <c r="B929" s="26"/>
      <c r="F929" s="112"/>
    </row>
    <row r="930" spans="1:6" ht="15.75" customHeight="1" x14ac:dyDescent="0.35">
      <c r="A930" s="960"/>
      <c r="B930" s="26"/>
      <c r="F930" s="112"/>
    </row>
    <row r="931" spans="1:6" ht="15.75" customHeight="1" x14ac:dyDescent="0.35">
      <c r="A931" s="960"/>
      <c r="B931" s="26"/>
      <c r="F931" s="112"/>
    </row>
    <row r="932" spans="1:6" ht="15.75" customHeight="1" x14ac:dyDescent="0.35">
      <c r="A932" s="960"/>
      <c r="B932" s="26"/>
      <c r="F932" s="112"/>
    </row>
    <row r="933" spans="1:6" ht="15.75" customHeight="1" x14ac:dyDescent="0.35">
      <c r="A933" s="960"/>
      <c r="B933" s="26"/>
      <c r="F933" s="112"/>
    </row>
    <row r="934" spans="1:6" ht="15.75" customHeight="1" x14ac:dyDescent="0.35">
      <c r="A934" s="960"/>
      <c r="B934" s="26"/>
      <c r="F934" s="112"/>
    </row>
    <row r="935" spans="1:6" ht="15.75" customHeight="1" x14ac:dyDescent="0.35">
      <c r="A935" s="960"/>
      <c r="B935" s="26"/>
      <c r="F935" s="112"/>
    </row>
    <row r="936" spans="1:6" ht="15.75" customHeight="1" x14ac:dyDescent="0.35">
      <c r="A936" s="960"/>
      <c r="B936" s="26"/>
      <c r="F936" s="112"/>
    </row>
    <row r="937" spans="1:6" ht="15.75" customHeight="1" x14ac:dyDescent="0.35">
      <c r="A937" s="960"/>
      <c r="B937" s="26"/>
      <c r="F937" s="112"/>
    </row>
    <row r="938" spans="1:6" ht="15.75" customHeight="1" x14ac:dyDescent="0.35">
      <c r="A938" s="960"/>
      <c r="B938" s="26"/>
      <c r="F938" s="112"/>
    </row>
    <row r="939" spans="1:6" ht="15.75" customHeight="1" x14ac:dyDescent="0.35">
      <c r="A939" s="960"/>
      <c r="B939" s="26"/>
      <c r="F939" s="112"/>
    </row>
    <row r="940" spans="1:6" ht="15.75" customHeight="1" x14ac:dyDescent="0.35">
      <c r="A940" s="960"/>
      <c r="B940" s="26"/>
      <c r="F940" s="112"/>
    </row>
    <row r="941" spans="1:6" ht="15.75" customHeight="1" x14ac:dyDescent="0.35">
      <c r="A941" s="960"/>
      <c r="B941" s="26"/>
      <c r="F941" s="112"/>
    </row>
    <row r="942" spans="1:6" ht="15.75" customHeight="1" x14ac:dyDescent="0.35">
      <c r="A942" s="960"/>
      <c r="B942" s="26"/>
      <c r="F942" s="112"/>
    </row>
    <row r="943" spans="1:6" ht="15.75" customHeight="1" x14ac:dyDescent="0.35">
      <c r="A943" s="960"/>
      <c r="B943" s="26"/>
      <c r="F943" s="112"/>
    </row>
    <row r="944" spans="1:6" ht="15.75" customHeight="1" x14ac:dyDescent="0.35">
      <c r="A944" s="960"/>
      <c r="B944" s="26"/>
      <c r="F944" s="112"/>
    </row>
    <row r="945" spans="1:6" ht="15.75" customHeight="1" x14ac:dyDescent="0.35">
      <c r="A945" s="960"/>
      <c r="B945" s="26"/>
      <c r="F945" s="112"/>
    </row>
    <row r="946" spans="1:6" ht="15.75" customHeight="1" x14ac:dyDescent="0.35">
      <c r="A946" s="960"/>
      <c r="B946" s="26"/>
      <c r="F946" s="112"/>
    </row>
    <row r="947" spans="1:6" ht="15.75" customHeight="1" x14ac:dyDescent="0.35">
      <c r="A947" s="960"/>
      <c r="B947" s="26"/>
      <c r="F947" s="112"/>
    </row>
    <row r="948" spans="1:6" ht="15.75" customHeight="1" x14ac:dyDescent="0.35">
      <c r="A948" s="960"/>
      <c r="B948" s="26"/>
      <c r="F948" s="112"/>
    </row>
    <row r="949" spans="1:6" ht="15.75" customHeight="1" x14ac:dyDescent="0.35">
      <c r="A949" s="960"/>
      <c r="B949" s="26"/>
      <c r="F949" s="112"/>
    </row>
    <row r="950" spans="1:6" ht="15.75" customHeight="1" x14ac:dyDescent="0.35">
      <c r="A950" s="960"/>
      <c r="B950" s="26"/>
      <c r="F950" s="112"/>
    </row>
    <row r="951" spans="1:6" ht="15.75" customHeight="1" x14ac:dyDescent="0.35">
      <c r="A951" s="960"/>
      <c r="B951" s="26"/>
      <c r="F951" s="112"/>
    </row>
    <row r="952" spans="1:6" ht="15.75" customHeight="1" x14ac:dyDescent="0.35">
      <c r="A952" s="960"/>
      <c r="B952" s="26"/>
      <c r="F952" s="112"/>
    </row>
    <row r="953" spans="1:6" ht="15.75" customHeight="1" x14ac:dyDescent="0.35">
      <c r="A953" s="960"/>
      <c r="B953" s="26"/>
      <c r="F953" s="112"/>
    </row>
    <row r="954" spans="1:6" ht="15.75" customHeight="1" x14ac:dyDescent="0.35">
      <c r="A954" s="960"/>
      <c r="B954" s="26"/>
      <c r="F954" s="112"/>
    </row>
    <row r="955" spans="1:6" ht="15.75" customHeight="1" x14ac:dyDescent="0.35">
      <c r="A955" s="960"/>
      <c r="B955" s="26"/>
      <c r="F955" s="112"/>
    </row>
    <row r="956" spans="1:6" ht="15.75" customHeight="1" x14ac:dyDescent="0.35">
      <c r="A956" s="960"/>
      <c r="B956" s="26"/>
      <c r="F956" s="112"/>
    </row>
    <row r="957" spans="1:6" ht="15.75" customHeight="1" x14ac:dyDescent="0.35">
      <c r="A957" s="960"/>
      <c r="B957" s="26"/>
      <c r="F957" s="112"/>
    </row>
    <row r="958" spans="1:6" ht="15.75" customHeight="1" x14ac:dyDescent="0.35">
      <c r="A958" s="960"/>
      <c r="B958" s="26"/>
      <c r="F958" s="112"/>
    </row>
    <row r="959" spans="1:6" ht="15.75" customHeight="1" x14ac:dyDescent="0.35">
      <c r="A959" s="960"/>
      <c r="B959" s="26"/>
      <c r="F959" s="112"/>
    </row>
    <row r="960" spans="1:6" ht="15.75" customHeight="1" x14ac:dyDescent="0.35">
      <c r="A960" s="960"/>
      <c r="B960" s="26"/>
      <c r="F960" s="112"/>
    </row>
    <row r="961" spans="1:6" ht="15.75" customHeight="1" x14ac:dyDescent="0.35">
      <c r="A961" s="960"/>
      <c r="B961" s="26"/>
      <c r="F961" s="112"/>
    </row>
    <row r="962" spans="1:6" ht="15.75" customHeight="1" x14ac:dyDescent="0.35">
      <c r="A962" s="960"/>
      <c r="B962" s="26"/>
      <c r="F962" s="112"/>
    </row>
    <row r="963" spans="1:6" ht="15.75" customHeight="1" x14ac:dyDescent="0.35">
      <c r="A963" s="960"/>
      <c r="B963" s="26"/>
      <c r="F963" s="112"/>
    </row>
    <row r="964" spans="1:6" ht="15.75" customHeight="1" x14ac:dyDescent="0.35">
      <c r="A964" s="960"/>
      <c r="B964" s="26"/>
      <c r="F964" s="112"/>
    </row>
    <row r="965" spans="1:6" ht="15.75" customHeight="1" x14ac:dyDescent="0.35">
      <c r="A965" s="960"/>
      <c r="B965" s="26"/>
      <c r="F965" s="112"/>
    </row>
    <row r="966" spans="1:6" ht="15.75" customHeight="1" x14ac:dyDescent="0.35">
      <c r="A966" s="960"/>
      <c r="B966" s="26"/>
      <c r="F966" s="112"/>
    </row>
    <row r="967" spans="1:6" ht="15.75" customHeight="1" x14ac:dyDescent="0.35">
      <c r="A967" s="960"/>
      <c r="B967" s="26"/>
      <c r="F967" s="112"/>
    </row>
    <row r="968" spans="1:6" ht="15.75" customHeight="1" x14ac:dyDescent="0.35">
      <c r="A968" s="960"/>
      <c r="B968" s="26"/>
      <c r="F968" s="112"/>
    </row>
    <row r="969" spans="1:6" ht="15.75" customHeight="1" x14ac:dyDescent="0.35">
      <c r="A969" s="960"/>
      <c r="B969" s="26"/>
      <c r="F969" s="112"/>
    </row>
    <row r="970" spans="1:6" ht="15.75" customHeight="1" x14ac:dyDescent="0.35">
      <c r="A970" s="960"/>
      <c r="B970" s="26"/>
      <c r="F970" s="112"/>
    </row>
    <row r="971" spans="1:6" ht="15.75" customHeight="1" x14ac:dyDescent="0.35">
      <c r="A971" s="960"/>
      <c r="B971" s="26"/>
      <c r="F971" s="112"/>
    </row>
    <row r="972" spans="1:6" ht="15.75" customHeight="1" x14ac:dyDescent="0.35">
      <c r="A972" s="960"/>
      <c r="B972" s="26"/>
      <c r="F972" s="112"/>
    </row>
    <row r="973" spans="1:6" ht="15.75" customHeight="1" x14ac:dyDescent="0.35">
      <c r="A973" s="960"/>
      <c r="B973" s="26"/>
      <c r="F973" s="112"/>
    </row>
    <row r="974" spans="1:6" ht="15.75" customHeight="1" x14ac:dyDescent="0.35">
      <c r="A974" s="960"/>
      <c r="B974" s="26"/>
      <c r="F974" s="112"/>
    </row>
    <row r="975" spans="1:6" ht="15.75" customHeight="1" x14ac:dyDescent="0.35">
      <c r="A975" s="960"/>
      <c r="B975" s="26"/>
      <c r="F975" s="112"/>
    </row>
    <row r="976" spans="1:6" ht="15.75" customHeight="1" x14ac:dyDescent="0.35">
      <c r="A976" s="960"/>
      <c r="B976" s="26"/>
      <c r="F976" s="112"/>
    </row>
    <row r="977" spans="1:6" ht="15.75" customHeight="1" x14ac:dyDescent="0.35">
      <c r="A977" s="960"/>
      <c r="B977" s="26"/>
      <c r="F977" s="112"/>
    </row>
    <row r="978" spans="1:6" ht="15.75" customHeight="1" x14ac:dyDescent="0.35">
      <c r="A978" s="960"/>
      <c r="B978" s="26"/>
      <c r="F978" s="112"/>
    </row>
    <row r="979" spans="1:6" ht="15.75" customHeight="1" x14ac:dyDescent="0.35">
      <c r="A979" s="960"/>
      <c r="B979" s="26"/>
      <c r="F979" s="112"/>
    </row>
    <row r="980" spans="1:6" ht="15.75" customHeight="1" x14ac:dyDescent="0.35">
      <c r="A980" s="960"/>
      <c r="B980" s="26"/>
      <c r="F980" s="112"/>
    </row>
    <row r="981" spans="1:6" ht="15.75" customHeight="1" x14ac:dyDescent="0.35">
      <c r="A981" s="960"/>
      <c r="B981" s="26"/>
      <c r="F981" s="112"/>
    </row>
    <row r="982" spans="1:6" ht="15.75" customHeight="1" x14ac:dyDescent="0.35">
      <c r="A982" s="960"/>
      <c r="B982" s="26"/>
      <c r="F982" s="112"/>
    </row>
    <row r="983" spans="1:6" ht="15.75" customHeight="1" x14ac:dyDescent="0.35">
      <c r="A983" s="960"/>
      <c r="B983" s="26"/>
      <c r="F983" s="112"/>
    </row>
    <row r="984" spans="1:6" ht="15.75" customHeight="1" x14ac:dyDescent="0.35">
      <c r="A984" s="960"/>
      <c r="B984" s="26"/>
      <c r="F984" s="112"/>
    </row>
    <row r="985" spans="1:6" ht="15.75" customHeight="1" x14ac:dyDescent="0.35">
      <c r="A985" s="960"/>
      <c r="B985" s="26"/>
      <c r="F985" s="112"/>
    </row>
    <row r="986" spans="1:6" ht="15.75" customHeight="1" x14ac:dyDescent="0.35">
      <c r="A986" s="960"/>
      <c r="B986" s="26"/>
      <c r="F986" s="112"/>
    </row>
    <row r="987" spans="1:6" ht="15.75" customHeight="1" x14ac:dyDescent="0.35">
      <c r="A987" s="960"/>
      <c r="B987" s="26"/>
      <c r="F987" s="112"/>
    </row>
    <row r="988" spans="1:6" ht="15.75" customHeight="1" x14ac:dyDescent="0.35">
      <c r="A988" s="960"/>
      <c r="B988" s="26"/>
      <c r="F988" s="112"/>
    </row>
    <row r="989" spans="1:6" ht="15.75" customHeight="1" x14ac:dyDescent="0.35">
      <c r="A989" s="960"/>
      <c r="B989" s="26"/>
      <c r="F989" s="112"/>
    </row>
    <row r="990" spans="1:6" ht="15.75" customHeight="1" x14ac:dyDescent="0.35">
      <c r="A990" s="960"/>
      <c r="B990" s="26"/>
      <c r="F990" s="112"/>
    </row>
    <row r="991" spans="1:6" ht="15.75" customHeight="1" x14ac:dyDescent="0.35">
      <c r="A991" s="960"/>
      <c r="B991" s="26"/>
      <c r="F991" s="112"/>
    </row>
    <row r="992" spans="1:6" ht="15.75" customHeight="1" x14ac:dyDescent="0.35">
      <c r="A992" s="960"/>
      <c r="B992" s="26"/>
      <c r="F992" s="112"/>
    </row>
    <row r="993" spans="1:6" ht="15.75" customHeight="1" x14ac:dyDescent="0.35">
      <c r="A993" s="960"/>
      <c r="B993" s="26"/>
      <c r="F993" s="112"/>
    </row>
    <row r="994" spans="1:6" ht="15.75" customHeight="1" x14ac:dyDescent="0.35">
      <c r="A994" s="960"/>
      <c r="B994" s="26"/>
      <c r="F994" s="112"/>
    </row>
    <row r="995" spans="1:6" ht="15.75" customHeight="1" x14ac:dyDescent="0.35">
      <c r="A995" s="960"/>
      <c r="B995" s="26"/>
      <c r="F995" s="112"/>
    </row>
    <row r="996" spans="1:6" ht="15.75" customHeight="1" x14ac:dyDescent="0.35">
      <c r="A996" s="960"/>
      <c r="B996" s="26"/>
      <c r="F996" s="112"/>
    </row>
    <row r="997" spans="1:6" ht="15.75" customHeight="1" x14ac:dyDescent="0.35">
      <c r="A997" s="960"/>
      <c r="B997" s="26"/>
      <c r="F997" s="112"/>
    </row>
    <row r="998" spans="1:6" ht="15.75" customHeight="1" x14ac:dyDescent="0.35">
      <c r="A998" s="960"/>
      <c r="B998" s="26"/>
      <c r="F998" s="112"/>
    </row>
    <row r="999" spans="1:6" ht="15.75" customHeight="1" x14ac:dyDescent="0.35">
      <c r="A999" s="960"/>
      <c r="B999" s="26"/>
      <c r="F999" s="112"/>
    </row>
    <row r="1000" spans="1:6" ht="15.75" customHeight="1" x14ac:dyDescent="0.35">
      <c r="A1000" s="960"/>
      <c r="B1000" s="26"/>
      <c r="F1000" s="112"/>
    </row>
  </sheetData>
  <mergeCells count="62">
    <mergeCell ref="C97:D97"/>
    <mergeCell ref="C92:D92"/>
    <mergeCell ref="E95:J95"/>
    <mergeCell ref="C85:D85"/>
    <mergeCell ref="C86:D86"/>
    <mergeCell ref="C87:D87"/>
    <mergeCell ref="C88:D88"/>
    <mergeCell ref="C89:D89"/>
    <mergeCell ref="C90:D90"/>
    <mergeCell ref="C91:D91"/>
    <mergeCell ref="C56:D56"/>
    <mergeCell ref="C57:D57"/>
    <mergeCell ref="C79:D79"/>
    <mergeCell ref="C80:D80"/>
    <mergeCell ref="E83:J83"/>
    <mergeCell ref="C75:D75"/>
    <mergeCell ref="C76:D76"/>
    <mergeCell ref="C77:D77"/>
    <mergeCell ref="C78:D78"/>
    <mergeCell ref="C66:D66"/>
    <mergeCell ref="C49:D49"/>
    <mergeCell ref="C50:D50"/>
    <mergeCell ref="C53:D53"/>
    <mergeCell ref="C54:D54"/>
    <mergeCell ref="C55:D55"/>
    <mergeCell ref="A85:A92"/>
    <mergeCell ref="A5:A8"/>
    <mergeCell ref="A16:A18"/>
    <mergeCell ref="C26:D26"/>
    <mergeCell ref="C27:D27"/>
    <mergeCell ref="C28:D28"/>
    <mergeCell ref="C29:D29"/>
    <mergeCell ref="C32:D32"/>
    <mergeCell ref="C30:D30"/>
    <mergeCell ref="C31:D31"/>
    <mergeCell ref="C35:D35"/>
    <mergeCell ref="C36:D36"/>
    <mergeCell ref="C37:D37"/>
    <mergeCell ref="C38:D38"/>
    <mergeCell ref="C39:D39"/>
    <mergeCell ref="C40:D40"/>
    <mergeCell ref="A26:A32"/>
    <mergeCell ref="A35:A41"/>
    <mergeCell ref="A44:A50"/>
    <mergeCell ref="A53:A59"/>
    <mergeCell ref="A64:A70"/>
    <mergeCell ref="A74:A80"/>
    <mergeCell ref="C41:D41"/>
    <mergeCell ref="C44:D44"/>
    <mergeCell ref="C45:D45"/>
    <mergeCell ref="C46:D46"/>
    <mergeCell ref="C47:D47"/>
    <mergeCell ref="C48:D48"/>
    <mergeCell ref="C67:D67"/>
    <mergeCell ref="C68:D68"/>
    <mergeCell ref="C69:D69"/>
    <mergeCell ref="C70:D70"/>
    <mergeCell ref="C74:D74"/>
    <mergeCell ref="C58:D58"/>
    <mergeCell ref="C59:D59"/>
    <mergeCell ref="C64:D64"/>
    <mergeCell ref="C65:D65"/>
  </mergeCells>
  <pageMargins left="0.7" right="0.7" top="0.75" bottom="0.75" header="0" footer="0"/>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2408-A40B-40DB-B3EB-15465F9DB640}">
  <sheetPr>
    <tabColor theme="7" tint="0.79998168889431442"/>
  </sheetPr>
  <dimension ref="A1:BU1444"/>
  <sheetViews>
    <sheetView zoomScale="90" zoomScaleNormal="90" workbookViewId="0">
      <pane ySplit="1" topLeftCell="A543" activePane="bottomLeft" state="frozen"/>
      <selection activeCell="B5" sqref="B5:B10"/>
      <selection pane="bottomLeft" activeCell="D544" sqref="D544"/>
    </sheetView>
  </sheetViews>
  <sheetFormatPr defaultColWidth="12.58203125" defaultRowHeight="15" customHeight="1" x14ac:dyDescent="0.3"/>
  <cols>
    <col min="1" max="1" width="10.4140625" style="639" customWidth="1"/>
    <col min="2" max="2" width="6.6640625" style="639" customWidth="1"/>
    <col min="3" max="3" width="1.9140625" style="639" customWidth="1"/>
    <col min="4" max="4" width="37.9140625" style="639" customWidth="1"/>
    <col min="5" max="5" width="7.1640625" style="639" hidden="1" customWidth="1"/>
    <col min="6" max="8" width="10" style="639" hidden="1" customWidth="1"/>
    <col min="9" max="9" width="9" style="639" customWidth="1"/>
    <col min="10" max="10" width="9.08203125" style="639" customWidth="1"/>
    <col min="11" max="11" width="9.9140625" style="639" customWidth="1"/>
    <col min="12" max="12" width="7.6640625" style="639" bestFit="1" customWidth="1"/>
    <col min="13" max="23" width="8" style="639" customWidth="1"/>
    <col min="24" max="24" width="9.4140625" style="639" bestFit="1" customWidth="1"/>
    <col min="25" max="40" width="8" style="639" customWidth="1"/>
    <col min="41" max="41" width="10.9140625" style="639" bestFit="1" customWidth="1"/>
    <col min="42" max="73" width="12.6640625" style="639" customWidth="1"/>
    <col min="74" max="16384" width="12.58203125" style="639"/>
  </cols>
  <sheetData>
    <row r="1" spans="1:61" ht="14.25" customHeight="1" thickBot="1" x14ac:dyDescent="0.35">
      <c r="A1" s="684" t="s">
        <v>0</v>
      </c>
      <c r="B1" s="644"/>
      <c r="C1" s="695"/>
      <c r="D1" s="694" t="s">
        <v>1</v>
      </c>
      <c r="E1" s="693">
        <v>2014</v>
      </c>
      <c r="F1" s="693">
        <v>2015</v>
      </c>
      <c r="G1" s="693">
        <v>2016</v>
      </c>
      <c r="H1" s="693">
        <v>2017</v>
      </c>
      <c r="I1" s="693">
        <v>2018</v>
      </c>
      <c r="J1" s="693">
        <v>2019</v>
      </c>
      <c r="K1" s="693">
        <v>2020</v>
      </c>
      <c r="L1" s="693">
        <v>2021</v>
      </c>
      <c r="M1" s="693">
        <v>2022</v>
      </c>
      <c r="N1" s="693">
        <v>2023</v>
      </c>
      <c r="O1" s="693">
        <v>2024</v>
      </c>
      <c r="P1" s="693">
        <v>2025</v>
      </c>
      <c r="Q1" s="693">
        <v>2026</v>
      </c>
      <c r="R1" s="693">
        <v>2027</v>
      </c>
      <c r="S1" s="693">
        <v>2028</v>
      </c>
      <c r="T1" s="693">
        <v>2029</v>
      </c>
      <c r="U1" s="693">
        <v>2030</v>
      </c>
      <c r="V1" s="693">
        <v>2031</v>
      </c>
      <c r="W1" s="693">
        <v>2032</v>
      </c>
      <c r="X1" s="693">
        <v>2033</v>
      </c>
      <c r="Y1" s="693">
        <v>2034</v>
      </c>
      <c r="Z1" s="693">
        <v>2035</v>
      </c>
      <c r="AA1" s="693">
        <v>2036</v>
      </c>
      <c r="AB1" s="693">
        <v>2037</v>
      </c>
      <c r="AC1" s="693">
        <v>2038</v>
      </c>
      <c r="AD1" s="693">
        <v>2039</v>
      </c>
      <c r="AE1" s="693">
        <v>2040</v>
      </c>
      <c r="AF1" s="693">
        <v>2041</v>
      </c>
      <c r="AG1" s="693">
        <v>2042</v>
      </c>
      <c r="AH1" s="693">
        <v>2043</v>
      </c>
      <c r="AI1" s="693">
        <v>2044</v>
      </c>
      <c r="AJ1" s="693">
        <v>2045</v>
      </c>
      <c r="AK1" s="693">
        <v>2046</v>
      </c>
      <c r="AL1" s="693">
        <v>2047</v>
      </c>
      <c r="AM1" s="693">
        <v>2048</v>
      </c>
      <c r="AN1" s="693">
        <v>2049</v>
      </c>
      <c r="AO1" s="693">
        <v>2050</v>
      </c>
      <c r="AP1" s="692"/>
    </row>
    <row r="2" spans="1:61" ht="14.25" hidden="1" customHeight="1" x14ac:dyDescent="0.3">
      <c r="A2" s="684"/>
      <c r="B2" s="644"/>
      <c r="C2" s="642"/>
      <c r="D2" s="836"/>
      <c r="E2" s="642"/>
      <c r="F2" s="642"/>
      <c r="G2" s="642"/>
      <c r="H2" s="642"/>
      <c r="I2" s="642"/>
      <c r="J2" s="642"/>
      <c r="K2" s="642"/>
      <c r="L2" s="642"/>
      <c r="M2" s="642"/>
      <c r="N2" s="642"/>
      <c r="O2" s="642"/>
      <c r="P2" s="642"/>
      <c r="Q2" s="642"/>
      <c r="R2" s="642"/>
      <c r="S2" s="642"/>
      <c r="T2" s="642"/>
      <c r="U2" s="642"/>
      <c r="V2" s="642"/>
      <c r="W2" s="642"/>
      <c r="X2" s="642"/>
      <c r="Y2" s="642"/>
      <c r="Z2" s="642"/>
      <c r="AA2" s="642"/>
      <c r="AB2" s="642"/>
      <c r="AC2" s="642"/>
      <c r="AD2" s="642"/>
      <c r="AE2" s="642"/>
      <c r="AF2" s="642"/>
      <c r="AG2" s="642"/>
      <c r="AH2" s="642"/>
      <c r="AI2" s="642"/>
      <c r="AJ2" s="642"/>
      <c r="AK2" s="642"/>
      <c r="AL2" s="642"/>
      <c r="AM2" s="642"/>
      <c r="AN2" s="642"/>
      <c r="AO2" s="642"/>
      <c r="AP2" s="642"/>
    </row>
    <row r="3" spans="1:61" ht="14.25" hidden="1" customHeight="1" x14ac:dyDescent="0.3">
      <c r="A3" s="1215" t="s">
        <v>846</v>
      </c>
      <c r="B3" s="644"/>
      <c r="C3" s="642"/>
      <c r="D3" s="836"/>
      <c r="E3" s="642"/>
      <c r="F3" s="642"/>
      <c r="G3" s="642"/>
      <c r="H3" s="642"/>
      <c r="I3" s="642"/>
      <c r="J3" s="642"/>
      <c r="K3" s="642"/>
      <c r="L3" s="642">
        <v>13.45</v>
      </c>
      <c r="M3" s="642">
        <v>12.75</v>
      </c>
      <c r="N3" s="642">
        <v>12.02</v>
      </c>
      <c r="O3" s="642">
        <v>11.35</v>
      </c>
      <c r="P3" s="642">
        <v>11.03</v>
      </c>
      <c r="Q3" s="642">
        <v>10.97</v>
      </c>
      <c r="R3" s="642">
        <v>11.08</v>
      </c>
      <c r="S3" s="642">
        <v>11.33</v>
      </c>
      <c r="T3" s="642">
        <v>11.6</v>
      </c>
      <c r="U3" s="642">
        <v>11.78</v>
      </c>
      <c r="V3" s="642">
        <v>12.07</v>
      </c>
      <c r="W3" s="642">
        <v>12.11</v>
      </c>
      <c r="X3" s="642">
        <v>12.27</v>
      </c>
      <c r="Y3" s="642">
        <v>12.27</v>
      </c>
      <c r="Z3" s="642">
        <v>12.22</v>
      </c>
      <c r="AA3" s="642">
        <v>12.22</v>
      </c>
      <c r="AB3" s="642">
        <v>12.23</v>
      </c>
      <c r="AC3" s="642">
        <v>12.24</v>
      </c>
      <c r="AD3" s="642">
        <v>12.24</v>
      </c>
      <c r="AE3" s="642">
        <v>12.27</v>
      </c>
      <c r="AF3" s="642">
        <v>12.25</v>
      </c>
      <c r="AG3" s="642">
        <v>12.19</v>
      </c>
      <c r="AH3" s="642">
        <v>12.16</v>
      </c>
      <c r="AI3" s="642">
        <v>12.05</v>
      </c>
      <c r="AJ3" s="642">
        <v>12.01</v>
      </c>
      <c r="AK3" s="642">
        <v>11.99</v>
      </c>
      <c r="AL3" s="642">
        <v>11.97</v>
      </c>
      <c r="AM3" s="642">
        <v>11.96</v>
      </c>
      <c r="AN3" s="642">
        <v>11.94</v>
      </c>
      <c r="AO3" s="642">
        <v>11.9</v>
      </c>
      <c r="AP3" s="639">
        <v>11.906691879866518</v>
      </c>
      <c r="AQ3" s="639">
        <v>11.913383759733035</v>
      </c>
      <c r="AR3" s="639">
        <v>11.920075639599553</v>
      </c>
      <c r="AS3" s="639">
        <v>11.92676751946607</v>
      </c>
      <c r="AT3" s="639">
        <v>11.933459399332586</v>
      </c>
      <c r="AU3" s="639">
        <v>11.940151279199103</v>
      </c>
      <c r="AV3" s="639">
        <v>11.946843159065621</v>
      </c>
      <c r="AW3" s="639">
        <v>11.953535038932138</v>
      </c>
      <c r="AX3" s="639">
        <v>11.960226918798655</v>
      </c>
      <c r="AY3" s="639">
        <v>11.966918798665173</v>
      </c>
      <c r="AZ3" s="639">
        <v>11.97361067853169</v>
      </c>
      <c r="BA3" s="639">
        <v>11.980302558398208</v>
      </c>
      <c r="BB3" s="639">
        <v>11.986994438264725</v>
      </c>
      <c r="BC3" s="639">
        <v>11.993686318131241</v>
      </c>
      <c r="BD3" s="639">
        <v>12.000378197997758</v>
      </c>
      <c r="BE3" s="639">
        <v>12.007070077864276</v>
      </c>
      <c r="BF3" s="639">
        <v>12.013761957730793</v>
      </c>
      <c r="BG3" s="639">
        <v>12.02045383759731</v>
      </c>
      <c r="BH3" s="639">
        <v>12.027145717463828</v>
      </c>
      <c r="BI3" s="639">
        <v>12.033837597330345</v>
      </c>
    </row>
    <row r="4" spans="1:61" ht="14.25" hidden="1" customHeight="1" x14ac:dyDescent="0.3">
      <c r="A4" s="1215"/>
      <c r="B4" s="644"/>
      <c r="C4" s="642"/>
      <c r="D4" s="642"/>
      <c r="E4" s="642"/>
      <c r="F4" s="642"/>
      <c r="G4" s="642"/>
      <c r="H4" s="642"/>
      <c r="I4" s="642"/>
      <c r="J4" s="642"/>
      <c r="K4" s="642"/>
      <c r="L4" s="642"/>
      <c r="M4" s="642">
        <f>(M3-L3)/L3</f>
        <v>-5.2044609665427462E-2</v>
      </c>
      <c r="N4" s="642">
        <f t="shared" ref="N4:AO4" si="0">(N3-M3)/M3</f>
        <v>-5.7254901960784345E-2</v>
      </c>
      <c r="O4" s="642">
        <f t="shared" si="0"/>
        <v>-5.5740432612312811E-2</v>
      </c>
      <c r="P4" s="642">
        <f t="shared" si="0"/>
        <v>-2.8193832599118968E-2</v>
      </c>
      <c r="Q4" s="642">
        <f t="shared" si="0"/>
        <v>-5.4397098821395038E-3</v>
      </c>
      <c r="R4" s="642">
        <f t="shared" si="0"/>
        <v>1.0027347310847715E-2</v>
      </c>
      <c r="S4" s="642">
        <f t="shared" si="0"/>
        <v>2.2563176895306861E-2</v>
      </c>
      <c r="T4" s="642">
        <f t="shared" si="0"/>
        <v>2.3830538393645153E-2</v>
      </c>
      <c r="U4" s="642">
        <f t="shared" si="0"/>
        <v>1.551724137931032E-2</v>
      </c>
      <c r="V4" s="642">
        <f t="shared" si="0"/>
        <v>2.4617996604414341E-2</v>
      </c>
      <c r="W4" s="642">
        <f t="shared" si="0"/>
        <v>3.3140016570007576E-3</v>
      </c>
      <c r="X4" s="642">
        <f t="shared" si="0"/>
        <v>1.3212221304706865E-2</v>
      </c>
      <c r="Y4" s="642">
        <f t="shared" si="0"/>
        <v>0</v>
      </c>
      <c r="Z4" s="642">
        <f t="shared" si="0"/>
        <v>-4.0749796251017874E-3</v>
      </c>
      <c r="AA4" s="642">
        <f t="shared" si="0"/>
        <v>0</v>
      </c>
      <c r="AB4" s="642">
        <f t="shared" si="0"/>
        <v>8.1833060556463059E-4</v>
      </c>
      <c r="AC4" s="642">
        <f t="shared" si="0"/>
        <v>8.1766148814389099E-4</v>
      </c>
      <c r="AD4" s="642">
        <f t="shared" si="0"/>
        <v>0</v>
      </c>
      <c r="AE4" s="642">
        <f t="shared" si="0"/>
        <v>2.4509803921568107E-3</v>
      </c>
      <c r="AF4" s="642">
        <f t="shared" si="0"/>
        <v>-1.629991850040715E-3</v>
      </c>
      <c r="AG4" s="642">
        <f t="shared" si="0"/>
        <v>-4.8979591836735099E-3</v>
      </c>
      <c r="AH4" s="642">
        <f t="shared" si="0"/>
        <v>-2.4610336341262806E-3</v>
      </c>
      <c r="AI4" s="642">
        <f t="shared" si="0"/>
        <v>-9.0460526315789009E-3</v>
      </c>
      <c r="AJ4" s="642">
        <f t="shared" si="0"/>
        <v>-3.3195020746888729E-3</v>
      </c>
      <c r="AK4" s="642">
        <f t="shared" si="0"/>
        <v>-1.6652789342214466E-3</v>
      </c>
      <c r="AL4" s="642">
        <f t="shared" si="0"/>
        <v>-1.6680567139282379E-3</v>
      </c>
      <c r="AM4" s="642">
        <f t="shared" si="0"/>
        <v>-8.3542188805344917E-4</v>
      </c>
      <c r="AN4" s="642">
        <f t="shared" si="0"/>
        <v>-1.672240802675698E-3</v>
      </c>
      <c r="AO4" s="642">
        <f t="shared" si="0"/>
        <v>-3.3500837520937313E-3</v>
      </c>
      <c r="AP4" s="642">
        <f t="shared" ref="AP4" si="1">(AP3-AO3)/AO3</f>
        <v>5.6234284592583401E-4</v>
      </c>
      <c r="AQ4" s="642">
        <f t="shared" ref="AQ4" si="2">(AQ3-AP3)/AP3</f>
        <v>5.6202679417890892E-4</v>
      </c>
      <c r="AR4" s="642">
        <f t="shared" ref="AR4" si="3">(AR3-AQ3)/AQ3</f>
        <v>5.6171109749153102E-4</v>
      </c>
      <c r="AS4" s="642">
        <f t="shared" ref="AS4" si="4">(AS3-AR3)/AR3</f>
        <v>5.6139575526571359E-4</v>
      </c>
      <c r="AT4" s="642">
        <f t="shared" ref="AT4" si="5">(AT3-AS3)/AS3</f>
        <v>5.6108076690466308E-4</v>
      </c>
      <c r="AU4" s="642">
        <f t="shared" ref="AU4" si="6">(AU3-AT3)/AT3</f>
        <v>5.6076613181351993E-4</v>
      </c>
      <c r="AV4" s="642">
        <f t="shared" ref="AV4" si="7">(AV3-AU3)/AU3</f>
        <v>5.6045184939786531E-4</v>
      </c>
      <c r="AW4" s="642">
        <f t="shared" ref="AW4" si="8">(AW3-AV3)/AV3</f>
        <v>5.6013791906520734E-4</v>
      </c>
      <c r="AX4" s="642">
        <f t="shared" ref="AX4" si="9">(AX3-AW3)/AW3</f>
        <v>5.5982434022423214E-4</v>
      </c>
      <c r="AY4" s="642">
        <f t="shared" ref="AY4" si="10">(AY3-AX3)/AX3</f>
        <v>5.5951111228494908E-4</v>
      </c>
      <c r="AZ4" s="642">
        <f t="shared" ref="AZ4" si="11">(AZ3-AY3)/AY3</f>
        <v>5.5919823465868746E-4</v>
      </c>
      <c r="BA4" s="642">
        <f t="shared" ref="BA4" si="12">(BA3-AZ3)/AZ3</f>
        <v>5.5888570675809233E-4</v>
      </c>
      <c r="BB4" s="642">
        <f t="shared" ref="BB4" si="13">(BB3-BA3)/BA3</f>
        <v>5.5857352799712132E-4</v>
      </c>
      <c r="BC4" s="642">
        <f t="shared" ref="BC4" si="14">(BC3-BB3)/BB3</f>
        <v>5.5826169779089234E-4</v>
      </c>
      <c r="BD4" s="642">
        <f t="shared" ref="BD4" si="15">(BD3-BC3)/BC3</f>
        <v>5.5795021555642111E-4</v>
      </c>
      <c r="BE4" s="642">
        <f t="shared" ref="BE4" si="16">(BE3-BD3)/BD3</f>
        <v>5.5763908071113566E-4</v>
      </c>
      <c r="BF4" s="642">
        <f t="shared" ref="BF4" si="17">(BF3-BE3)/BE3</f>
        <v>5.5732829267435443E-4</v>
      </c>
      <c r="BG4" s="642">
        <f t="shared" ref="BG4" si="18">(BG3-BF3)/BF3</f>
        <v>5.5701785086654187E-4</v>
      </c>
      <c r="BH4" s="642">
        <f t="shared" ref="BH4" si="19">(BH3-BG3)/BG3</f>
        <v>5.5670775470945285E-4</v>
      </c>
      <c r="BI4" s="642">
        <f t="shared" ref="BI4" si="20">(BI3-BH3)/BH3</f>
        <v>5.5639800362612939E-4</v>
      </c>
    </row>
    <row r="5" spans="1:61" ht="14.25" customHeight="1" thickBot="1" x14ac:dyDescent="0.35">
      <c r="A5" s="972"/>
      <c r="B5" s="644"/>
      <c r="C5" s="642"/>
      <c r="D5" s="642"/>
      <c r="E5" s="642"/>
      <c r="F5" s="642"/>
      <c r="G5" s="642"/>
      <c r="H5" s="642"/>
      <c r="I5" s="642"/>
      <c r="J5" s="642"/>
      <c r="K5" s="642"/>
      <c r="L5" s="642"/>
      <c r="M5" s="642"/>
      <c r="N5" s="642"/>
      <c r="O5" s="642"/>
      <c r="P5" s="642"/>
      <c r="Q5" s="642"/>
      <c r="R5" s="642"/>
      <c r="S5" s="642"/>
      <c r="T5" s="642"/>
      <c r="U5" s="642"/>
      <c r="V5" s="642"/>
      <c r="W5" s="642"/>
      <c r="X5" s="642"/>
      <c r="Y5" s="642"/>
      <c r="Z5" s="642"/>
      <c r="AA5" s="642"/>
      <c r="AB5" s="642"/>
      <c r="AC5" s="642"/>
      <c r="AD5" s="642"/>
      <c r="AE5" s="642"/>
      <c r="AF5" s="642"/>
      <c r="AG5" s="642"/>
      <c r="AH5" s="642"/>
      <c r="AI5" s="642"/>
      <c r="AJ5" s="642"/>
      <c r="AK5" s="642"/>
      <c r="AL5" s="642"/>
      <c r="AM5" s="642"/>
      <c r="AN5" s="642"/>
      <c r="AO5" s="642"/>
      <c r="AP5" s="642"/>
    </row>
    <row r="6" spans="1:61" ht="14.25" customHeight="1" x14ac:dyDescent="0.3">
      <c r="A6" s="973"/>
      <c r="B6" s="644"/>
      <c r="C6" s="691"/>
      <c r="D6" s="690"/>
      <c r="E6" s="690"/>
      <c r="F6" s="690"/>
      <c r="G6" s="690"/>
      <c r="H6" s="690"/>
      <c r="I6" s="690"/>
      <c r="J6" s="690"/>
      <c r="K6" s="690"/>
      <c r="L6" s="690"/>
      <c r="M6" s="690"/>
      <c r="N6" s="690"/>
      <c r="O6" s="690"/>
      <c r="P6" s="690"/>
      <c r="Q6" s="690"/>
      <c r="R6" s="690"/>
      <c r="S6" s="690"/>
      <c r="T6" s="690"/>
      <c r="U6" s="690"/>
      <c r="V6" s="690"/>
      <c r="W6" s="690"/>
      <c r="X6" s="690"/>
      <c r="Y6" s="690"/>
      <c r="Z6" s="690"/>
      <c r="AA6" s="690"/>
      <c r="AB6" s="690"/>
      <c r="AC6" s="690"/>
      <c r="AD6" s="690"/>
      <c r="AE6" s="690"/>
      <c r="AF6" s="690"/>
      <c r="AG6" s="690"/>
      <c r="AH6" s="690"/>
      <c r="AI6" s="690"/>
      <c r="AJ6" s="690"/>
      <c r="AK6" s="690"/>
      <c r="AL6" s="690"/>
      <c r="AM6" s="690"/>
      <c r="AN6" s="690"/>
      <c r="AO6" s="690"/>
      <c r="AP6" s="689"/>
    </row>
    <row r="7" spans="1:61" ht="14.25" customHeight="1" x14ac:dyDescent="0.3">
      <c r="A7" s="973"/>
      <c r="B7" s="644"/>
      <c r="C7" s="679"/>
      <c r="D7" s="681" t="s">
        <v>847</v>
      </c>
      <c r="E7" s="672"/>
      <c r="F7" s="672"/>
      <c r="G7" s="676"/>
      <c r="H7" s="676"/>
      <c r="I7" s="676"/>
      <c r="J7" s="676"/>
      <c r="K7" s="676"/>
      <c r="L7" s="676"/>
      <c r="M7" s="676"/>
      <c r="N7" s="676"/>
      <c r="O7" s="676"/>
      <c r="P7" s="676"/>
      <c r="Q7" s="676"/>
      <c r="R7" s="676"/>
      <c r="S7" s="676"/>
      <c r="T7" s="676"/>
      <c r="U7" s="676"/>
      <c r="V7" s="676"/>
      <c r="W7" s="676"/>
      <c r="X7" s="676"/>
      <c r="Y7" s="676"/>
      <c r="Z7" s="676"/>
      <c r="AA7" s="676"/>
      <c r="AB7" s="676"/>
      <c r="AC7" s="676"/>
      <c r="AD7" s="676"/>
      <c r="AE7" s="676"/>
      <c r="AF7" s="676"/>
      <c r="AG7" s="676"/>
      <c r="AH7" s="676"/>
      <c r="AI7" s="676"/>
      <c r="AJ7" s="676"/>
      <c r="AK7" s="676"/>
      <c r="AL7" s="676"/>
      <c r="AM7" s="676"/>
      <c r="AN7" s="676"/>
      <c r="AO7" s="676"/>
      <c r="AP7" s="675"/>
    </row>
    <row r="8" spans="1:61" ht="14.25" customHeight="1" x14ac:dyDescent="0.3">
      <c r="A8" s="973"/>
      <c r="B8" s="644"/>
      <c r="C8" s="679"/>
      <c r="D8" s="672" t="s">
        <v>848</v>
      </c>
      <c r="E8" s="672"/>
      <c r="F8" s="672"/>
      <c r="G8" s="676"/>
      <c r="H8" s="676"/>
      <c r="I8" s="676"/>
      <c r="J8" s="676"/>
      <c r="K8" s="676"/>
      <c r="L8" s="676"/>
      <c r="M8" s="676"/>
      <c r="N8" s="676"/>
      <c r="O8" s="676"/>
      <c r="P8" s="676"/>
      <c r="Q8" s="676"/>
      <c r="R8" s="676"/>
      <c r="S8" s="676"/>
      <c r="T8" s="676"/>
      <c r="U8" s="676"/>
      <c r="V8" s="676"/>
      <c r="W8" s="676"/>
      <c r="X8" s="676"/>
      <c r="Y8" s="676"/>
      <c r="Z8" s="676"/>
      <c r="AA8" s="676"/>
      <c r="AB8" s="676"/>
      <c r="AC8" s="676"/>
      <c r="AD8" s="676"/>
      <c r="AE8" s="676"/>
      <c r="AF8" s="676"/>
      <c r="AG8" s="676"/>
      <c r="AH8" s="676"/>
      <c r="AI8" s="676"/>
      <c r="AJ8" s="676"/>
      <c r="AK8" s="676"/>
      <c r="AL8" s="676"/>
      <c r="AM8" s="676"/>
      <c r="AN8" s="676"/>
      <c r="AO8" s="676"/>
      <c r="AP8" s="675"/>
    </row>
    <row r="9" spans="1:61" ht="14" customHeight="1" x14ac:dyDescent="0.3">
      <c r="A9" s="1215"/>
      <c r="B9" s="644"/>
      <c r="C9" s="679"/>
      <c r="D9" s="676" t="s">
        <v>849</v>
      </c>
      <c r="E9" s="697"/>
      <c r="F9" s="676"/>
      <c r="G9" s="676"/>
      <c r="H9" s="676"/>
      <c r="I9" s="676"/>
      <c r="J9" s="685">
        <v>258.02037170828669</v>
      </c>
      <c r="K9" s="685"/>
      <c r="L9" s="685"/>
      <c r="M9" s="685"/>
      <c r="N9" s="685"/>
      <c r="O9" s="685"/>
      <c r="P9" s="685"/>
      <c r="Q9" s="685"/>
      <c r="R9" s="685"/>
      <c r="S9" s="685"/>
      <c r="T9" s="685"/>
      <c r="U9" s="685"/>
      <c r="V9" s="685"/>
      <c r="W9" s="685"/>
      <c r="X9" s="685"/>
      <c r="Y9" s="685"/>
      <c r="Z9" s="685"/>
      <c r="AA9" s="685"/>
      <c r="AB9" s="685"/>
      <c r="AC9" s="685"/>
      <c r="AD9" s="685"/>
      <c r="AE9" s="685"/>
      <c r="AF9" s="685"/>
      <c r="AG9" s="685"/>
      <c r="AH9" s="685"/>
      <c r="AI9" s="685"/>
      <c r="AJ9" s="685"/>
      <c r="AK9" s="685"/>
      <c r="AL9" s="685"/>
      <c r="AM9" s="685"/>
      <c r="AN9" s="685"/>
      <c r="AO9" s="685"/>
      <c r="AP9" s="675"/>
    </row>
    <row r="10" spans="1:61" ht="14.25" customHeight="1" x14ac:dyDescent="0.3">
      <c r="A10" s="1215"/>
      <c r="B10" s="644"/>
      <c r="C10" s="678"/>
      <c r="D10" s="676" t="s">
        <v>850</v>
      </c>
      <c r="E10" s="697"/>
      <c r="F10" s="676"/>
      <c r="G10" s="676"/>
      <c r="H10" s="676"/>
      <c r="I10" s="676"/>
      <c r="J10" s="685">
        <v>36.404557670617372</v>
      </c>
      <c r="K10" s="685"/>
      <c r="L10" s="685"/>
      <c r="M10" s="685"/>
      <c r="N10" s="685"/>
      <c r="O10" s="685"/>
      <c r="P10" s="685"/>
      <c r="Q10" s="685"/>
      <c r="R10" s="685"/>
      <c r="S10" s="685"/>
      <c r="T10" s="685"/>
      <c r="U10" s="685"/>
      <c r="V10" s="685"/>
      <c r="W10" s="685"/>
      <c r="X10" s="685"/>
      <c r="Y10" s="685"/>
      <c r="Z10" s="685"/>
      <c r="AA10" s="685"/>
      <c r="AB10" s="685"/>
      <c r="AC10" s="685"/>
      <c r="AD10" s="685"/>
      <c r="AE10" s="685"/>
      <c r="AF10" s="685"/>
      <c r="AG10" s="685"/>
      <c r="AH10" s="685"/>
      <c r="AI10" s="685"/>
      <c r="AJ10" s="685"/>
      <c r="AK10" s="685"/>
      <c r="AL10" s="685"/>
      <c r="AM10" s="685"/>
      <c r="AN10" s="685"/>
      <c r="AO10" s="685"/>
      <c r="AP10" s="675"/>
    </row>
    <row r="11" spans="1:61" ht="14.25" customHeight="1" x14ac:dyDescent="0.3">
      <c r="A11" s="1215"/>
      <c r="B11" s="644"/>
      <c r="C11" s="678"/>
      <c r="D11" s="676" t="s">
        <v>851</v>
      </c>
      <c r="E11" s="697"/>
      <c r="F11" s="676"/>
      <c r="G11" s="676"/>
      <c r="H11" s="687"/>
      <c r="I11" s="687"/>
      <c r="J11" s="685">
        <v>11.684574059861857</v>
      </c>
      <c r="K11" s="685"/>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75"/>
    </row>
    <row r="12" spans="1:61" ht="14.25" customHeight="1" x14ac:dyDescent="0.3">
      <c r="A12" s="1215"/>
      <c r="B12" s="644"/>
      <c r="C12" s="678"/>
      <c r="D12" s="676" t="s">
        <v>852</v>
      </c>
      <c r="E12" s="697"/>
      <c r="F12" s="676"/>
      <c r="G12" s="676"/>
      <c r="H12" s="687"/>
      <c r="I12" s="687"/>
      <c r="J12" s="685">
        <v>254.24143465958934</v>
      </c>
      <c r="K12" s="68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75"/>
    </row>
    <row r="13" spans="1:61" ht="14.25" customHeight="1" x14ac:dyDescent="0.3">
      <c r="A13" s="1215"/>
      <c r="B13" s="644"/>
      <c r="C13" s="678"/>
      <c r="D13" s="676" t="s">
        <v>853</v>
      </c>
      <c r="E13" s="697"/>
      <c r="F13" s="687"/>
      <c r="G13" s="687"/>
      <c r="H13" s="687"/>
      <c r="I13" s="687"/>
      <c r="J13" s="685">
        <v>100</v>
      </c>
      <c r="K13" s="685"/>
      <c r="L13" s="685"/>
      <c r="M13" s="685"/>
      <c r="N13" s="685"/>
      <c r="O13" s="685"/>
      <c r="P13" s="685"/>
      <c r="Q13" s="685"/>
      <c r="R13" s="685"/>
      <c r="S13" s="685"/>
      <c r="T13" s="685"/>
      <c r="U13" s="685"/>
      <c r="V13" s="685"/>
      <c r="W13" s="685"/>
      <c r="X13" s="685"/>
      <c r="Y13" s="685"/>
      <c r="Z13" s="685"/>
      <c r="AA13" s="685"/>
      <c r="AB13" s="685"/>
      <c r="AC13" s="685"/>
      <c r="AD13" s="685"/>
      <c r="AE13" s="685"/>
      <c r="AF13" s="685"/>
      <c r="AG13" s="685"/>
      <c r="AH13" s="685"/>
      <c r="AI13" s="685"/>
      <c r="AJ13" s="685"/>
      <c r="AK13" s="685"/>
      <c r="AL13" s="685"/>
      <c r="AM13" s="685"/>
      <c r="AN13" s="685"/>
      <c r="AO13" s="685"/>
      <c r="AP13" s="675"/>
    </row>
    <row r="14" spans="1:61" ht="14.25" customHeight="1" x14ac:dyDescent="0.3">
      <c r="A14" s="1215"/>
      <c r="B14" s="644"/>
      <c r="C14" s="678"/>
      <c r="D14" s="676" t="s">
        <v>854</v>
      </c>
      <c r="E14" s="697"/>
      <c r="F14" s="687"/>
      <c r="G14" s="687"/>
      <c r="H14" s="687"/>
      <c r="I14" s="687"/>
      <c r="J14" s="685">
        <v>1228.1342055764287</v>
      </c>
      <c r="K14" s="685"/>
      <c r="L14" s="685"/>
      <c r="M14" s="685"/>
      <c r="N14" s="685"/>
      <c r="O14" s="685"/>
      <c r="P14" s="685"/>
      <c r="Q14" s="685"/>
      <c r="R14" s="685"/>
      <c r="S14" s="685"/>
      <c r="T14" s="685"/>
      <c r="U14" s="685"/>
      <c r="V14" s="685"/>
      <c r="W14" s="685"/>
      <c r="X14" s="685"/>
      <c r="Y14" s="685"/>
      <c r="Z14" s="685"/>
      <c r="AA14" s="685"/>
      <c r="AB14" s="685"/>
      <c r="AC14" s="685"/>
      <c r="AD14" s="685"/>
      <c r="AE14" s="685"/>
      <c r="AF14" s="685"/>
      <c r="AG14" s="685"/>
      <c r="AH14" s="685"/>
      <c r="AI14" s="685"/>
      <c r="AJ14" s="685"/>
      <c r="AK14" s="685"/>
      <c r="AL14" s="685"/>
      <c r="AM14" s="685"/>
      <c r="AN14" s="685"/>
      <c r="AO14" s="685"/>
      <c r="AP14" s="675"/>
    </row>
    <row r="15" spans="1:61" ht="14.25" customHeight="1" x14ac:dyDescent="0.3">
      <c r="A15" s="1215"/>
      <c r="B15" s="644"/>
      <c r="C15" s="678"/>
      <c r="D15" s="676" t="s">
        <v>855</v>
      </c>
      <c r="E15" s="685"/>
      <c r="F15" s="676"/>
      <c r="G15" s="676"/>
      <c r="H15" s="676"/>
      <c r="I15" s="676"/>
      <c r="J15" s="685">
        <v>15.99932606339582</v>
      </c>
      <c r="K15" s="685"/>
      <c r="L15" s="685"/>
      <c r="M15" s="685"/>
      <c r="N15" s="685"/>
      <c r="O15" s="685"/>
      <c r="P15" s="685"/>
      <c r="Q15" s="685"/>
      <c r="R15" s="685"/>
      <c r="S15" s="685"/>
      <c r="T15" s="685"/>
      <c r="U15" s="685"/>
      <c r="V15" s="685"/>
      <c r="W15" s="685"/>
      <c r="X15" s="685"/>
      <c r="Y15" s="685"/>
      <c r="Z15" s="685"/>
      <c r="AA15" s="685"/>
      <c r="AB15" s="685"/>
      <c r="AC15" s="685"/>
      <c r="AD15" s="685"/>
      <c r="AE15" s="685"/>
      <c r="AF15" s="685"/>
      <c r="AG15" s="685"/>
      <c r="AH15" s="685"/>
      <c r="AI15" s="685"/>
      <c r="AJ15" s="685"/>
      <c r="AK15" s="685"/>
      <c r="AL15" s="685"/>
      <c r="AM15" s="685"/>
      <c r="AN15" s="685"/>
      <c r="AO15" s="685"/>
      <c r="AP15" s="675"/>
    </row>
    <row r="16" spans="1:61" ht="14.25" customHeight="1" x14ac:dyDescent="0.3">
      <c r="A16" s="1215"/>
      <c r="B16" s="644"/>
      <c r="C16" s="678"/>
      <c r="D16" s="676" t="s">
        <v>856</v>
      </c>
      <c r="E16" s="697"/>
      <c r="F16" s="687"/>
      <c r="G16" s="687"/>
      <c r="H16" s="687"/>
      <c r="I16" s="687"/>
      <c r="J16" s="685">
        <v>110.90409238283021</v>
      </c>
      <c r="K16" s="685"/>
      <c r="L16" s="685"/>
      <c r="M16" s="685"/>
      <c r="N16" s="685"/>
      <c r="O16" s="685"/>
      <c r="P16" s="685"/>
      <c r="Q16" s="685"/>
      <c r="R16" s="685"/>
      <c r="S16" s="685"/>
      <c r="T16" s="685"/>
      <c r="U16" s="685"/>
      <c r="V16" s="685"/>
      <c r="W16" s="685"/>
      <c r="X16" s="685"/>
      <c r="Y16" s="685"/>
      <c r="Z16" s="685"/>
      <c r="AA16" s="685"/>
      <c r="AB16" s="685"/>
      <c r="AC16" s="685"/>
      <c r="AD16" s="685"/>
      <c r="AE16" s="685"/>
      <c r="AF16" s="685"/>
      <c r="AG16" s="685"/>
      <c r="AH16" s="685"/>
      <c r="AI16" s="685"/>
      <c r="AJ16" s="685"/>
      <c r="AK16" s="685"/>
      <c r="AL16" s="685"/>
      <c r="AM16" s="685"/>
      <c r="AN16" s="685"/>
      <c r="AO16" s="685"/>
      <c r="AP16" s="675"/>
    </row>
    <row r="17" spans="1:43" ht="14.25" customHeight="1" x14ac:dyDescent="0.3">
      <c r="A17" s="1215"/>
      <c r="B17" s="644"/>
      <c r="C17" s="678"/>
      <c r="D17" s="676" t="s">
        <v>857</v>
      </c>
      <c r="E17" s="697"/>
      <c r="F17" s="687"/>
      <c r="G17" s="687"/>
      <c r="H17" s="687"/>
      <c r="I17" s="687"/>
      <c r="J17" s="685">
        <v>42</v>
      </c>
      <c r="K17" s="685"/>
      <c r="L17" s="685"/>
      <c r="M17" s="685"/>
      <c r="N17" s="685"/>
      <c r="O17" s="685"/>
      <c r="P17" s="685"/>
      <c r="Q17" s="685"/>
      <c r="R17" s="685"/>
      <c r="S17" s="685"/>
      <c r="T17" s="685"/>
      <c r="U17" s="685"/>
      <c r="V17" s="685"/>
      <c r="W17" s="685"/>
      <c r="X17" s="685"/>
      <c r="Y17" s="685"/>
      <c r="Z17" s="685"/>
      <c r="AA17" s="685"/>
      <c r="AB17" s="685"/>
      <c r="AC17" s="685"/>
      <c r="AD17" s="685"/>
      <c r="AE17" s="685"/>
      <c r="AF17" s="685"/>
      <c r="AG17" s="685"/>
      <c r="AH17" s="685"/>
      <c r="AI17" s="685"/>
      <c r="AJ17" s="685"/>
      <c r="AK17" s="685"/>
      <c r="AL17" s="685"/>
      <c r="AM17" s="685"/>
      <c r="AN17" s="685"/>
      <c r="AO17" s="685"/>
      <c r="AP17" s="675"/>
    </row>
    <row r="18" spans="1:43" ht="14.25" customHeight="1" x14ac:dyDescent="0.3">
      <c r="A18" s="1215"/>
      <c r="B18" s="644"/>
      <c r="C18" s="678"/>
      <c r="D18" s="676" t="s">
        <v>858</v>
      </c>
      <c r="E18" s="697"/>
      <c r="F18" s="676"/>
      <c r="G18" s="676"/>
      <c r="H18" s="676"/>
      <c r="I18" s="676"/>
      <c r="J18" s="685">
        <v>77.581978899344179</v>
      </c>
      <c r="K18" s="685"/>
      <c r="L18" s="685"/>
      <c r="M18" s="685"/>
      <c r="N18" s="685"/>
      <c r="O18" s="685"/>
      <c r="P18" s="685"/>
      <c r="Q18" s="685"/>
      <c r="R18" s="685"/>
      <c r="S18" s="685"/>
      <c r="T18" s="685"/>
      <c r="U18" s="685"/>
      <c r="V18" s="685"/>
      <c r="W18" s="685"/>
      <c r="X18" s="685"/>
      <c r="Y18" s="685"/>
      <c r="Z18" s="685"/>
      <c r="AA18" s="685"/>
      <c r="AB18" s="685"/>
      <c r="AC18" s="685"/>
      <c r="AD18" s="685"/>
      <c r="AE18" s="685"/>
      <c r="AF18" s="685"/>
      <c r="AG18" s="685"/>
      <c r="AH18" s="685"/>
      <c r="AI18" s="685"/>
      <c r="AJ18" s="685"/>
      <c r="AK18" s="685"/>
      <c r="AL18" s="685"/>
      <c r="AM18" s="685"/>
      <c r="AN18" s="685"/>
      <c r="AO18" s="685"/>
      <c r="AP18" s="675"/>
    </row>
    <row r="19" spans="1:43" ht="14.25" customHeight="1" x14ac:dyDescent="0.3">
      <c r="A19" s="1215"/>
      <c r="B19" s="644"/>
      <c r="C19" s="678"/>
      <c r="D19" s="676" t="s">
        <v>859</v>
      </c>
      <c r="E19" s="697"/>
      <c r="F19" s="687"/>
      <c r="G19" s="687"/>
      <c r="H19" s="687"/>
      <c r="I19" s="687"/>
      <c r="J19" s="685">
        <v>181.62668077306336</v>
      </c>
      <c r="K19" s="685"/>
      <c r="L19" s="685"/>
      <c r="M19" s="685"/>
      <c r="N19" s="685"/>
      <c r="O19" s="685"/>
      <c r="P19" s="685"/>
      <c r="Q19" s="685"/>
      <c r="R19" s="685"/>
      <c r="S19" s="685"/>
      <c r="T19" s="685"/>
      <c r="U19" s="685"/>
      <c r="V19" s="685"/>
      <c r="W19" s="685"/>
      <c r="X19" s="685"/>
      <c r="Y19" s="685"/>
      <c r="Z19" s="685"/>
      <c r="AA19" s="685"/>
      <c r="AB19" s="685"/>
      <c r="AC19" s="685"/>
      <c r="AD19" s="685"/>
      <c r="AE19" s="685"/>
      <c r="AF19" s="685"/>
      <c r="AG19" s="685"/>
      <c r="AH19" s="685"/>
      <c r="AI19" s="685"/>
      <c r="AJ19" s="685"/>
      <c r="AK19" s="685"/>
      <c r="AL19" s="685"/>
      <c r="AM19" s="685"/>
      <c r="AN19" s="685"/>
      <c r="AO19" s="685"/>
      <c r="AP19" s="675"/>
    </row>
    <row r="20" spans="1:43" ht="14.25" customHeight="1" x14ac:dyDescent="0.3">
      <c r="A20" s="1215"/>
      <c r="B20" s="644"/>
      <c r="C20" s="678"/>
      <c r="D20" s="676" t="s">
        <v>860</v>
      </c>
      <c r="E20" s="697"/>
      <c r="F20" s="676"/>
      <c r="G20" s="676"/>
      <c r="H20" s="676"/>
      <c r="I20" s="676"/>
      <c r="J20" s="685">
        <v>196.47889034825755</v>
      </c>
      <c r="K20" s="685"/>
      <c r="L20" s="685"/>
      <c r="M20" s="685"/>
      <c r="N20" s="685"/>
      <c r="O20" s="685"/>
      <c r="P20" s="685"/>
      <c r="Q20" s="685"/>
      <c r="R20" s="685"/>
      <c r="S20" s="685"/>
      <c r="T20" s="685"/>
      <c r="U20" s="685"/>
      <c r="V20" s="685"/>
      <c r="W20" s="685"/>
      <c r="X20" s="685"/>
      <c r="Y20" s="685"/>
      <c r="Z20" s="685"/>
      <c r="AA20" s="685"/>
      <c r="AB20" s="685"/>
      <c r="AC20" s="685"/>
      <c r="AD20" s="685"/>
      <c r="AE20" s="685"/>
      <c r="AF20" s="685"/>
      <c r="AG20" s="685"/>
      <c r="AH20" s="685"/>
      <c r="AI20" s="685"/>
      <c r="AJ20" s="685"/>
      <c r="AK20" s="685"/>
      <c r="AL20" s="685"/>
      <c r="AM20" s="685"/>
      <c r="AN20" s="685"/>
      <c r="AO20" s="685"/>
      <c r="AP20" s="675"/>
    </row>
    <row r="21" spans="1:43" ht="14.25" customHeight="1" x14ac:dyDescent="0.3">
      <c r="A21" s="1215"/>
      <c r="B21" s="644"/>
      <c r="C21" s="678"/>
      <c r="D21" s="676" t="s">
        <v>861</v>
      </c>
      <c r="E21" s="697"/>
      <c r="F21" s="676"/>
      <c r="G21" s="676"/>
      <c r="H21" s="676"/>
      <c r="I21" s="676"/>
      <c r="J21" s="685">
        <v>144.59556775245881</v>
      </c>
      <c r="K21" s="685"/>
      <c r="L21" s="685"/>
      <c r="M21" s="685"/>
      <c r="N21" s="685"/>
      <c r="O21" s="685"/>
      <c r="P21" s="685"/>
      <c r="Q21" s="685"/>
      <c r="R21" s="685"/>
      <c r="S21" s="685"/>
      <c r="T21" s="685"/>
      <c r="U21" s="685"/>
      <c r="V21" s="685"/>
      <c r="W21" s="685"/>
      <c r="X21" s="685"/>
      <c r="Y21" s="685"/>
      <c r="Z21" s="685"/>
      <c r="AA21" s="685"/>
      <c r="AB21" s="685"/>
      <c r="AC21" s="685"/>
      <c r="AD21" s="685"/>
      <c r="AE21" s="685"/>
      <c r="AF21" s="685"/>
      <c r="AG21" s="685"/>
      <c r="AH21" s="685"/>
      <c r="AI21" s="685"/>
      <c r="AJ21" s="685"/>
      <c r="AK21" s="685"/>
      <c r="AL21" s="685"/>
      <c r="AM21" s="685"/>
      <c r="AN21" s="685"/>
      <c r="AO21" s="685"/>
      <c r="AP21" s="675"/>
    </row>
    <row r="22" spans="1:43" ht="13.5" customHeight="1" x14ac:dyDescent="0.3">
      <c r="A22" s="1215"/>
      <c r="B22" s="644"/>
      <c r="C22" s="678"/>
      <c r="D22" s="676" t="s">
        <v>862</v>
      </c>
      <c r="E22" s="697"/>
      <c r="F22" s="676"/>
      <c r="G22" s="676"/>
      <c r="H22" s="676"/>
      <c r="I22" s="676"/>
      <c r="J22" s="685">
        <v>1427.6799996846501</v>
      </c>
      <c r="K22" s="685"/>
      <c r="L22" s="685"/>
      <c r="M22" s="685"/>
      <c r="N22" s="685"/>
      <c r="O22" s="685"/>
      <c r="P22" s="685"/>
      <c r="Q22" s="685"/>
      <c r="R22" s="685"/>
      <c r="S22" s="685"/>
      <c r="T22" s="685"/>
      <c r="U22" s="685"/>
      <c r="V22" s="685"/>
      <c r="W22" s="685"/>
      <c r="X22" s="685"/>
      <c r="Y22" s="685"/>
      <c r="Z22" s="685"/>
      <c r="AA22" s="685"/>
      <c r="AB22" s="685"/>
      <c r="AC22" s="685"/>
      <c r="AD22" s="685"/>
      <c r="AE22" s="685"/>
      <c r="AF22" s="685"/>
      <c r="AG22" s="685"/>
      <c r="AH22" s="685"/>
      <c r="AI22" s="685"/>
      <c r="AJ22" s="685"/>
      <c r="AK22" s="685"/>
      <c r="AL22" s="685"/>
      <c r="AM22" s="685"/>
      <c r="AN22" s="685"/>
      <c r="AO22" s="685"/>
      <c r="AP22" s="675"/>
    </row>
    <row r="23" spans="1:43" ht="13.5" customHeight="1" x14ac:dyDescent="0.3">
      <c r="A23" s="1215"/>
      <c r="B23" s="644"/>
      <c r="C23" s="678"/>
      <c r="D23" s="676" t="s">
        <v>863</v>
      </c>
      <c r="E23" s="697"/>
      <c r="F23" s="676"/>
      <c r="G23" s="676"/>
      <c r="H23" s="676"/>
      <c r="I23" s="676"/>
      <c r="J23" s="685">
        <v>3000</v>
      </c>
      <c r="K23" s="685"/>
      <c r="L23" s="685"/>
      <c r="M23" s="685"/>
      <c r="N23" s="685"/>
      <c r="O23" s="685"/>
      <c r="P23" s="685"/>
      <c r="Q23" s="685"/>
      <c r="R23" s="685"/>
      <c r="S23" s="685"/>
      <c r="T23" s="685"/>
      <c r="U23" s="685"/>
      <c r="V23" s="685"/>
      <c r="W23" s="685"/>
      <c r="X23" s="685"/>
      <c r="Y23" s="685"/>
      <c r="Z23" s="685"/>
      <c r="AA23" s="685"/>
      <c r="AB23" s="685"/>
      <c r="AC23" s="685"/>
      <c r="AD23" s="685"/>
      <c r="AE23" s="685"/>
      <c r="AF23" s="685"/>
      <c r="AG23" s="685"/>
      <c r="AH23" s="685"/>
      <c r="AI23" s="685"/>
      <c r="AJ23" s="685"/>
      <c r="AK23" s="685"/>
      <c r="AL23" s="685"/>
      <c r="AM23" s="685"/>
      <c r="AN23" s="685"/>
      <c r="AO23" s="685"/>
      <c r="AP23" s="675"/>
    </row>
    <row r="24" spans="1:43" ht="13.25" customHeight="1" x14ac:dyDescent="0.3">
      <c r="A24" s="972"/>
      <c r="B24" s="644"/>
      <c r="C24" s="678"/>
      <c r="D24" s="676"/>
      <c r="E24" s="697"/>
      <c r="F24" s="676"/>
      <c r="G24" s="676"/>
      <c r="H24" s="676"/>
      <c r="I24" s="676"/>
      <c r="J24" s="685"/>
      <c r="K24" s="685"/>
      <c r="L24" s="685"/>
      <c r="M24" s="685"/>
      <c r="N24" s="685"/>
      <c r="O24" s="685"/>
      <c r="P24" s="685"/>
      <c r="Q24" s="685"/>
      <c r="R24" s="685"/>
      <c r="S24" s="685"/>
      <c r="T24" s="685"/>
      <c r="U24" s="685"/>
      <c r="V24" s="685"/>
      <c r="W24" s="685"/>
      <c r="X24" s="685"/>
      <c r="Y24" s="685"/>
      <c r="Z24" s="685"/>
      <c r="AA24" s="685"/>
      <c r="AB24" s="685"/>
      <c r="AC24" s="685"/>
      <c r="AD24" s="685"/>
      <c r="AE24" s="685"/>
      <c r="AF24" s="685"/>
      <c r="AG24" s="685"/>
      <c r="AH24" s="685"/>
      <c r="AI24" s="685"/>
      <c r="AJ24" s="685"/>
      <c r="AK24" s="685"/>
      <c r="AL24" s="685"/>
      <c r="AM24" s="685"/>
      <c r="AN24" s="685"/>
      <c r="AO24" s="685"/>
      <c r="AP24" s="675"/>
    </row>
    <row r="25" spans="1:43" ht="14.25" customHeight="1" x14ac:dyDescent="0.3">
      <c r="A25" s="973"/>
      <c r="B25" s="644"/>
      <c r="C25" s="679"/>
      <c r="D25" s="672" t="s">
        <v>864</v>
      </c>
      <c r="E25" s="672"/>
      <c r="F25" s="672"/>
      <c r="G25" s="676"/>
      <c r="H25" s="676"/>
      <c r="I25" s="676"/>
      <c r="J25" s="685"/>
      <c r="K25" s="685"/>
      <c r="L25" s="685"/>
      <c r="M25" s="685"/>
      <c r="N25" s="685"/>
      <c r="O25" s="685"/>
      <c r="P25" s="685"/>
      <c r="Q25" s="685"/>
      <c r="R25" s="685"/>
      <c r="S25" s="685"/>
      <c r="T25" s="685"/>
      <c r="U25" s="685"/>
      <c r="V25" s="685"/>
      <c r="W25" s="685"/>
      <c r="X25" s="685"/>
      <c r="Y25" s="685"/>
      <c r="Z25" s="685"/>
      <c r="AA25" s="685"/>
      <c r="AB25" s="685"/>
      <c r="AC25" s="685"/>
      <c r="AD25" s="685"/>
      <c r="AE25" s="685"/>
      <c r="AF25" s="685"/>
      <c r="AG25" s="685"/>
      <c r="AH25" s="685"/>
      <c r="AI25" s="685"/>
      <c r="AJ25" s="685"/>
      <c r="AK25" s="685"/>
      <c r="AL25" s="685"/>
      <c r="AM25" s="685"/>
      <c r="AN25" s="685"/>
      <c r="AO25" s="685"/>
      <c r="AP25" s="675"/>
    </row>
    <row r="26" spans="1:43" ht="14.25" customHeight="1" x14ac:dyDescent="0.3">
      <c r="A26" s="973"/>
      <c r="B26" s="644"/>
      <c r="C26" s="679"/>
      <c r="D26" s="672"/>
      <c r="E26" s="672"/>
      <c r="F26" s="672"/>
      <c r="G26" s="676"/>
      <c r="H26" s="676"/>
      <c r="I26" s="676"/>
      <c r="J26" s="685"/>
      <c r="K26" s="685"/>
      <c r="L26" s="685"/>
      <c r="M26" s="685"/>
      <c r="N26" s="685"/>
      <c r="O26" s="685"/>
      <c r="P26" s="685"/>
      <c r="Q26" s="685"/>
      <c r="R26" s="685"/>
      <c r="S26" s="685"/>
      <c r="T26" s="685"/>
      <c r="U26" s="685"/>
      <c r="V26" s="685"/>
      <c r="W26" s="685"/>
      <c r="X26" s="685"/>
      <c r="Y26" s="685"/>
      <c r="Z26" s="685"/>
      <c r="AA26" s="685"/>
      <c r="AB26" s="685"/>
      <c r="AC26" s="685"/>
      <c r="AD26" s="685"/>
      <c r="AE26" s="685"/>
      <c r="AF26" s="685"/>
      <c r="AG26" s="685"/>
      <c r="AH26" s="685"/>
      <c r="AI26" s="685"/>
      <c r="AJ26" s="685"/>
      <c r="AK26" s="685"/>
      <c r="AL26" s="685"/>
      <c r="AM26" s="685"/>
      <c r="AN26" s="685"/>
      <c r="AO26" s="685"/>
      <c r="AP26" s="675"/>
    </row>
    <row r="27" spans="1:43" ht="14" customHeight="1" x14ac:dyDescent="0.3">
      <c r="A27" s="1215"/>
      <c r="B27" s="644"/>
      <c r="C27" s="679"/>
      <c r="D27" s="676" t="s">
        <v>849</v>
      </c>
      <c r="E27" s="672"/>
      <c r="F27" s="672"/>
      <c r="G27" s="676"/>
      <c r="H27" s="676"/>
      <c r="I27" s="676"/>
      <c r="J27" s="685">
        <v>16.212770359313389</v>
      </c>
      <c r="K27" s="685"/>
      <c r="L27" s="685"/>
      <c r="M27" s="685"/>
      <c r="N27" s="685"/>
      <c r="O27" s="685"/>
      <c r="P27" s="685"/>
      <c r="Q27" s="685"/>
      <c r="R27" s="685"/>
      <c r="S27" s="685"/>
      <c r="T27" s="685"/>
      <c r="U27" s="685"/>
      <c r="V27" s="685"/>
      <c r="W27" s="685"/>
      <c r="X27" s="685"/>
      <c r="Y27" s="685"/>
      <c r="Z27" s="685"/>
      <c r="AA27" s="685"/>
      <c r="AB27" s="685"/>
      <c r="AC27" s="685"/>
      <c r="AD27" s="685"/>
      <c r="AE27" s="685"/>
      <c r="AF27" s="685"/>
      <c r="AG27" s="685"/>
      <c r="AH27" s="685"/>
      <c r="AI27" s="685"/>
      <c r="AJ27" s="685"/>
      <c r="AK27" s="685"/>
      <c r="AL27" s="685"/>
      <c r="AM27" s="685"/>
      <c r="AN27" s="685"/>
      <c r="AO27" s="685"/>
      <c r="AP27" s="675"/>
    </row>
    <row r="28" spans="1:43" ht="14.25" customHeight="1" x14ac:dyDescent="0.3">
      <c r="A28" s="1215"/>
      <c r="B28" s="644"/>
      <c r="C28" s="678"/>
      <c r="D28" s="676" t="s">
        <v>865</v>
      </c>
      <c r="E28" s="676"/>
      <c r="F28" s="676"/>
      <c r="G28" s="676"/>
      <c r="H28" s="676"/>
      <c r="I28" s="676"/>
      <c r="J28" s="685">
        <v>42.190103561733125</v>
      </c>
      <c r="K28" s="685"/>
      <c r="L28" s="685"/>
      <c r="M28" s="685"/>
      <c r="N28" s="685"/>
      <c r="O28" s="685"/>
      <c r="P28" s="685"/>
      <c r="Q28" s="685"/>
      <c r="R28" s="685"/>
      <c r="S28" s="685"/>
      <c r="T28" s="685"/>
      <c r="U28" s="685"/>
      <c r="V28" s="685"/>
      <c r="W28" s="685"/>
      <c r="X28" s="685"/>
      <c r="Y28" s="685"/>
      <c r="Z28" s="685"/>
      <c r="AA28" s="685"/>
      <c r="AB28" s="685"/>
      <c r="AC28" s="685"/>
      <c r="AD28" s="685"/>
      <c r="AE28" s="685"/>
      <c r="AF28" s="685"/>
      <c r="AG28" s="685"/>
      <c r="AH28" s="685"/>
      <c r="AI28" s="685"/>
      <c r="AJ28" s="685"/>
      <c r="AK28" s="685"/>
      <c r="AL28" s="685"/>
      <c r="AM28" s="685"/>
      <c r="AN28" s="685"/>
      <c r="AO28" s="685"/>
      <c r="AP28" s="675"/>
      <c r="AQ28" s="639">
        <v>12.02045383759731</v>
      </c>
    </row>
    <row r="29" spans="1:43" ht="14.25" customHeight="1" x14ac:dyDescent="0.3">
      <c r="A29" s="1215"/>
      <c r="B29" s="644"/>
      <c r="C29" s="678"/>
      <c r="D29" s="676" t="s">
        <v>851</v>
      </c>
      <c r="E29" s="687"/>
      <c r="F29" s="687"/>
      <c r="G29" s="687"/>
      <c r="H29" s="687"/>
      <c r="I29" s="687"/>
      <c r="J29" s="685">
        <v>0.15685414610971019</v>
      </c>
      <c r="K29" s="685"/>
      <c r="L29" s="685"/>
      <c r="M29" s="685"/>
      <c r="N29" s="685"/>
      <c r="O29" s="685"/>
      <c r="P29" s="685"/>
      <c r="Q29" s="685"/>
      <c r="R29" s="685"/>
      <c r="S29" s="685"/>
      <c r="T29" s="685"/>
      <c r="U29" s="685"/>
      <c r="V29" s="685"/>
      <c r="W29" s="685"/>
      <c r="X29" s="685"/>
      <c r="Y29" s="685"/>
      <c r="Z29" s="685"/>
      <c r="AA29" s="685"/>
      <c r="AB29" s="685"/>
      <c r="AC29" s="685"/>
      <c r="AD29" s="685"/>
      <c r="AE29" s="685"/>
      <c r="AF29" s="685"/>
      <c r="AG29" s="685"/>
      <c r="AH29" s="685"/>
      <c r="AI29" s="685"/>
      <c r="AJ29" s="685"/>
      <c r="AK29" s="685"/>
      <c r="AL29" s="685"/>
      <c r="AM29" s="685"/>
      <c r="AN29" s="685"/>
      <c r="AO29" s="685"/>
      <c r="AP29" s="675"/>
      <c r="AQ29" s="639">
        <v>12.027145717463828</v>
      </c>
    </row>
    <row r="30" spans="1:43" ht="14.25" customHeight="1" x14ac:dyDescent="0.3">
      <c r="A30" s="1215"/>
      <c r="B30" s="644"/>
      <c r="C30" s="678"/>
      <c r="D30" s="676" t="s">
        <v>852</v>
      </c>
      <c r="E30" s="687"/>
      <c r="F30" s="687"/>
      <c r="G30" s="687"/>
      <c r="H30" s="687"/>
      <c r="I30" s="687"/>
      <c r="J30" s="685">
        <v>6.7686367068750171</v>
      </c>
      <c r="K30" s="685"/>
      <c r="L30" s="685"/>
      <c r="M30" s="685"/>
      <c r="N30" s="685"/>
      <c r="O30" s="685"/>
      <c r="P30" s="685"/>
      <c r="Q30" s="685"/>
      <c r="R30" s="685"/>
      <c r="S30" s="685"/>
      <c r="T30" s="685"/>
      <c r="U30" s="685"/>
      <c r="V30" s="685"/>
      <c r="W30" s="685"/>
      <c r="X30" s="685"/>
      <c r="Y30" s="685"/>
      <c r="Z30" s="685"/>
      <c r="AA30" s="685"/>
      <c r="AB30" s="685"/>
      <c r="AC30" s="685"/>
      <c r="AD30" s="685"/>
      <c r="AE30" s="685"/>
      <c r="AF30" s="685"/>
      <c r="AG30" s="685"/>
      <c r="AH30" s="685"/>
      <c r="AI30" s="685"/>
      <c r="AJ30" s="685"/>
      <c r="AK30" s="685"/>
      <c r="AL30" s="685"/>
      <c r="AM30" s="685"/>
      <c r="AN30" s="685"/>
      <c r="AO30" s="685"/>
      <c r="AP30" s="675"/>
      <c r="AQ30" s="639">
        <v>12.033837597330345</v>
      </c>
    </row>
    <row r="31" spans="1:43" ht="14.25" customHeight="1" x14ac:dyDescent="0.3">
      <c r="A31" s="1215"/>
      <c r="B31" s="644"/>
      <c r="C31" s="678"/>
      <c r="D31" s="676" t="s">
        <v>853</v>
      </c>
      <c r="E31" s="687"/>
      <c r="F31" s="687"/>
      <c r="G31" s="687"/>
      <c r="H31" s="687"/>
      <c r="I31" s="687"/>
      <c r="J31" s="685">
        <v>0.2038068739480017</v>
      </c>
      <c r="K31" s="685"/>
      <c r="L31" s="685"/>
      <c r="M31" s="685"/>
      <c r="N31" s="685"/>
      <c r="O31" s="685"/>
      <c r="P31" s="685"/>
      <c r="Q31" s="685"/>
      <c r="R31" s="685"/>
      <c r="S31" s="685"/>
      <c r="T31" s="685"/>
      <c r="U31" s="685"/>
      <c r="V31" s="685"/>
      <c r="W31" s="685"/>
      <c r="X31" s="685"/>
      <c r="Y31" s="685"/>
      <c r="Z31" s="685"/>
      <c r="AA31" s="685"/>
      <c r="AB31" s="685"/>
      <c r="AC31" s="685"/>
      <c r="AD31" s="685"/>
      <c r="AE31" s="685"/>
      <c r="AF31" s="685"/>
      <c r="AG31" s="685"/>
      <c r="AH31" s="685"/>
      <c r="AI31" s="685"/>
      <c r="AJ31" s="685"/>
      <c r="AK31" s="685"/>
      <c r="AL31" s="685"/>
      <c r="AM31" s="685"/>
      <c r="AN31" s="685"/>
      <c r="AO31" s="685"/>
      <c r="AP31" s="675"/>
    </row>
    <row r="32" spans="1:43" ht="14.25" customHeight="1" x14ac:dyDescent="0.3">
      <c r="A32" s="1215"/>
      <c r="B32" s="644"/>
      <c r="C32" s="678"/>
      <c r="D32" s="676" t="s">
        <v>854</v>
      </c>
      <c r="E32" s="687"/>
      <c r="F32" s="687"/>
      <c r="G32" s="687"/>
      <c r="H32" s="687"/>
      <c r="I32" s="687"/>
      <c r="J32" s="685">
        <v>69.218837584905984</v>
      </c>
      <c r="K32" s="685"/>
      <c r="L32" s="685"/>
      <c r="M32" s="685"/>
      <c r="N32" s="685"/>
      <c r="O32" s="685"/>
      <c r="P32" s="685"/>
      <c r="Q32" s="685"/>
      <c r="R32" s="685"/>
      <c r="S32" s="685"/>
      <c r="T32" s="685"/>
      <c r="U32" s="685"/>
      <c r="V32" s="685"/>
      <c r="W32" s="685"/>
      <c r="X32" s="685"/>
      <c r="Y32" s="685"/>
      <c r="Z32" s="685"/>
      <c r="AA32" s="685"/>
      <c r="AB32" s="685"/>
      <c r="AC32" s="685"/>
      <c r="AD32" s="685"/>
      <c r="AE32" s="685"/>
      <c r="AF32" s="685"/>
      <c r="AG32" s="685"/>
      <c r="AH32" s="685"/>
      <c r="AI32" s="685"/>
      <c r="AJ32" s="685"/>
      <c r="AK32" s="685"/>
      <c r="AL32" s="685"/>
      <c r="AM32" s="685"/>
      <c r="AN32" s="685"/>
      <c r="AO32" s="685"/>
      <c r="AP32" s="675"/>
    </row>
    <row r="33" spans="1:42" ht="14.25" customHeight="1" x14ac:dyDescent="0.3">
      <c r="A33" s="1215"/>
      <c r="B33" s="644"/>
      <c r="C33" s="678"/>
      <c r="D33" s="676" t="s">
        <v>855</v>
      </c>
      <c r="E33" s="676"/>
      <c r="F33" s="676"/>
      <c r="G33" s="676"/>
      <c r="H33" s="676"/>
      <c r="I33" s="676"/>
      <c r="J33" s="685">
        <v>0.79123096918203806</v>
      </c>
      <c r="K33" s="685"/>
      <c r="L33" s="685"/>
      <c r="M33" s="685"/>
      <c r="N33" s="685"/>
      <c r="O33" s="685"/>
      <c r="P33" s="685"/>
      <c r="Q33" s="685"/>
      <c r="R33" s="685"/>
      <c r="S33" s="685"/>
      <c r="T33" s="685"/>
      <c r="U33" s="685"/>
      <c r="V33" s="685"/>
      <c r="W33" s="685"/>
      <c r="X33" s="685"/>
      <c r="Y33" s="685"/>
      <c r="Z33" s="685"/>
      <c r="AA33" s="685"/>
      <c r="AB33" s="685"/>
      <c r="AC33" s="685"/>
      <c r="AD33" s="685"/>
      <c r="AE33" s="685"/>
      <c r="AF33" s="685"/>
      <c r="AG33" s="685"/>
      <c r="AH33" s="685"/>
      <c r="AI33" s="685"/>
      <c r="AJ33" s="685"/>
      <c r="AK33" s="685"/>
      <c r="AL33" s="685"/>
      <c r="AM33" s="685"/>
      <c r="AN33" s="685"/>
      <c r="AO33" s="685"/>
      <c r="AP33" s="675"/>
    </row>
    <row r="34" spans="1:42" ht="14.25" customHeight="1" x14ac:dyDescent="0.3">
      <c r="A34" s="1215"/>
      <c r="B34" s="644"/>
      <c r="C34" s="678"/>
      <c r="D34" s="676" t="s">
        <v>856</v>
      </c>
      <c r="E34" s="687"/>
      <c r="F34" s="687"/>
      <c r="G34" s="687"/>
      <c r="H34" s="687"/>
      <c r="I34" s="687"/>
      <c r="J34" s="685">
        <v>19.218813163604562</v>
      </c>
      <c r="K34" s="685"/>
      <c r="L34" s="685"/>
      <c r="M34" s="685"/>
      <c r="N34" s="685"/>
      <c r="O34" s="685"/>
      <c r="P34" s="685"/>
      <c r="Q34" s="685"/>
      <c r="R34" s="685"/>
      <c r="S34" s="685"/>
      <c r="T34" s="685"/>
      <c r="U34" s="685"/>
      <c r="V34" s="685"/>
      <c r="W34" s="685"/>
      <c r="X34" s="685"/>
      <c r="Y34" s="685"/>
      <c r="Z34" s="685"/>
      <c r="AA34" s="685"/>
      <c r="AB34" s="685"/>
      <c r="AC34" s="685"/>
      <c r="AD34" s="685"/>
      <c r="AE34" s="685"/>
      <c r="AF34" s="685"/>
      <c r="AG34" s="685"/>
      <c r="AH34" s="685"/>
      <c r="AI34" s="685"/>
      <c r="AJ34" s="685"/>
      <c r="AK34" s="685"/>
      <c r="AL34" s="685"/>
      <c r="AM34" s="685"/>
      <c r="AN34" s="685"/>
      <c r="AO34" s="685"/>
      <c r="AP34" s="675"/>
    </row>
    <row r="35" spans="1:42" ht="14.25" customHeight="1" x14ac:dyDescent="0.3">
      <c r="A35" s="1215"/>
      <c r="B35" s="644"/>
      <c r="C35" s="678"/>
      <c r="D35" s="676" t="s">
        <v>857</v>
      </c>
      <c r="E35" s="687"/>
      <c r="F35" s="687"/>
      <c r="G35" s="687"/>
      <c r="H35" s="687"/>
      <c r="I35" s="687"/>
      <c r="J35" s="685">
        <v>0</v>
      </c>
      <c r="K35" s="685"/>
      <c r="L35" s="685"/>
      <c r="M35" s="685"/>
      <c r="N35" s="685"/>
      <c r="O35" s="685"/>
      <c r="P35" s="685"/>
      <c r="Q35" s="685"/>
      <c r="R35" s="685"/>
      <c r="S35" s="685"/>
      <c r="T35" s="685"/>
      <c r="U35" s="685"/>
      <c r="V35" s="685"/>
      <c r="W35" s="685"/>
      <c r="X35" s="685"/>
      <c r="Y35" s="685"/>
      <c r="Z35" s="685"/>
      <c r="AA35" s="685"/>
      <c r="AB35" s="685"/>
      <c r="AC35" s="685"/>
      <c r="AD35" s="685"/>
      <c r="AE35" s="685"/>
      <c r="AF35" s="685"/>
      <c r="AG35" s="685"/>
      <c r="AH35" s="685"/>
      <c r="AI35" s="685"/>
      <c r="AJ35" s="685"/>
      <c r="AK35" s="685"/>
      <c r="AL35" s="685"/>
      <c r="AM35" s="685"/>
      <c r="AN35" s="685"/>
      <c r="AO35" s="685"/>
      <c r="AP35" s="675"/>
    </row>
    <row r="36" spans="1:42" ht="14.25" customHeight="1" x14ac:dyDescent="0.3">
      <c r="A36" s="1215"/>
      <c r="B36" s="644"/>
      <c r="C36" s="678"/>
      <c r="D36" s="676" t="s">
        <v>858</v>
      </c>
      <c r="E36" s="676"/>
      <c r="F36" s="676"/>
      <c r="G36" s="676"/>
      <c r="H36" s="676"/>
      <c r="I36" s="676"/>
      <c r="J36" s="685">
        <v>28.909039064727686</v>
      </c>
      <c r="K36" s="685"/>
      <c r="L36" s="685"/>
      <c r="M36" s="685"/>
      <c r="N36" s="685"/>
      <c r="O36" s="685"/>
      <c r="P36" s="685"/>
      <c r="Q36" s="685"/>
      <c r="R36" s="685"/>
      <c r="S36" s="685"/>
      <c r="T36" s="685"/>
      <c r="U36" s="685"/>
      <c r="V36" s="685"/>
      <c r="W36" s="685"/>
      <c r="X36" s="685"/>
      <c r="Y36" s="685"/>
      <c r="Z36" s="685"/>
      <c r="AA36" s="685"/>
      <c r="AB36" s="685"/>
      <c r="AC36" s="685"/>
      <c r="AD36" s="685"/>
      <c r="AE36" s="685"/>
      <c r="AF36" s="685"/>
      <c r="AG36" s="685"/>
      <c r="AH36" s="685"/>
      <c r="AI36" s="685"/>
      <c r="AJ36" s="685"/>
      <c r="AK36" s="685"/>
      <c r="AL36" s="685"/>
      <c r="AM36" s="685"/>
      <c r="AN36" s="685"/>
      <c r="AO36" s="685"/>
      <c r="AP36" s="675"/>
    </row>
    <row r="37" spans="1:42" ht="14.25" customHeight="1" x14ac:dyDescent="0.3">
      <c r="A37" s="1215"/>
      <c r="B37" s="644"/>
      <c r="C37" s="678"/>
      <c r="D37" s="676" t="s">
        <v>859</v>
      </c>
      <c r="E37" s="687"/>
      <c r="F37" s="687"/>
      <c r="G37" s="687"/>
      <c r="H37" s="687"/>
      <c r="I37" s="687"/>
      <c r="J37" s="685">
        <v>57.870729636965322</v>
      </c>
      <c r="K37" s="685"/>
      <c r="L37" s="685"/>
      <c r="M37" s="685"/>
      <c r="N37" s="685"/>
      <c r="O37" s="685"/>
      <c r="P37" s="685"/>
      <c r="Q37" s="685"/>
      <c r="R37" s="685"/>
      <c r="S37" s="685"/>
      <c r="T37" s="685"/>
      <c r="U37" s="685"/>
      <c r="V37" s="685"/>
      <c r="W37" s="685"/>
      <c r="X37" s="685"/>
      <c r="Y37" s="685"/>
      <c r="Z37" s="685"/>
      <c r="AA37" s="685"/>
      <c r="AB37" s="685"/>
      <c r="AC37" s="685"/>
      <c r="AD37" s="685"/>
      <c r="AE37" s="685"/>
      <c r="AF37" s="685"/>
      <c r="AG37" s="685"/>
      <c r="AH37" s="685"/>
      <c r="AI37" s="685"/>
      <c r="AJ37" s="685"/>
      <c r="AK37" s="685"/>
      <c r="AL37" s="685"/>
      <c r="AM37" s="685"/>
      <c r="AN37" s="685"/>
      <c r="AO37" s="685"/>
      <c r="AP37" s="675"/>
    </row>
    <row r="38" spans="1:42" ht="14.25" customHeight="1" x14ac:dyDescent="0.3">
      <c r="A38" s="1215"/>
      <c r="B38" s="644"/>
      <c r="C38" s="678"/>
      <c r="D38" s="676" t="s">
        <v>860</v>
      </c>
      <c r="E38" s="676"/>
      <c r="F38" s="676"/>
      <c r="G38" s="676"/>
      <c r="H38" s="676"/>
      <c r="I38" s="676"/>
      <c r="J38" s="685">
        <v>21.347810142460158</v>
      </c>
      <c r="K38" s="685"/>
      <c r="L38" s="685"/>
      <c r="M38" s="685"/>
      <c r="N38" s="685"/>
      <c r="O38" s="685"/>
      <c r="P38" s="685"/>
      <c r="Q38" s="685"/>
      <c r="R38" s="685"/>
      <c r="S38" s="685"/>
      <c r="T38" s="685"/>
      <c r="U38" s="685"/>
      <c r="V38" s="685"/>
      <c r="W38" s="685"/>
      <c r="X38" s="685"/>
      <c r="Y38" s="685"/>
      <c r="Z38" s="685"/>
      <c r="AA38" s="685"/>
      <c r="AB38" s="685"/>
      <c r="AC38" s="685"/>
      <c r="AD38" s="685"/>
      <c r="AE38" s="685"/>
      <c r="AF38" s="685"/>
      <c r="AG38" s="685"/>
      <c r="AH38" s="685"/>
      <c r="AI38" s="685"/>
      <c r="AJ38" s="685"/>
      <c r="AK38" s="685"/>
      <c r="AL38" s="685"/>
      <c r="AM38" s="685"/>
      <c r="AN38" s="685"/>
      <c r="AO38" s="685"/>
      <c r="AP38" s="675"/>
    </row>
    <row r="39" spans="1:42" ht="14.25" customHeight="1" x14ac:dyDescent="0.3">
      <c r="A39" s="1215"/>
      <c r="B39" s="644"/>
      <c r="C39" s="678"/>
      <c r="D39" s="676" t="s">
        <v>861</v>
      </c>
      <c r="E39" s="676"/>
      <c r="F39" s="676"/>
      <c r="G39" s="676"/>
      <c r="H39" s="676"/>
      <c r="I39" s="676"/>
      <c r="J39" s="685">
        <v>2.4134618324248596</v>
      </c>
      <c r="K39" s="685"/>
      <c r="L39" s="685"/>
      <c r="M39" s="685"/>
      <c r="N39" s="685"/>
      <c r="O39" s="685"/>
      <c r="P39" s="685"/>
      <c r="Q39" s="685"/>
      <c r="R39" s="685"/>
      <c r="S39" s="685"/>
      <c r="T39" s="685"/>
      <c r="U39" s="685"/>
      <c r="V39" s="685"/>
      <c r="W39" s="685"/>
      <c r="X39" s="685"/>
      <c r="Y39" s="685"/>
      <c r="Z39" s="685"/>
      <c r="AA39" s="685"/>
      <c r="AB39" s="685"/>
      <c r="AC39" s="685"/>
      <c r="AD39" s="685"/>
      <c r="AE39" s="685"/>
      <c r="AF39" s="685"/>
      <c r="AG39" s="685"/>
      <c r="AH39" s="685"/>
      <c r="AI39" s="685"/>
      <c r="AJ39" s="685"/>
      <c r="AK39" s="685"/>
      <c r="AL39" s="685"/>
      <c r="AM39" s="685"/>
      <c r="AN39" s="685"/>
      <c r="AO39" s="685"/>
      <c r="AP39" s="675"/>
    </row>
    <row r="40" spans="1:42" ht="13.5" customHeight="1" x14ac:dyDescent="0.3">
      <c r="A40" s="1215"/>
      <c r="B40" s="644"/>
      <c r="C40" s="678"/>
      <c r="D40" s="676" t="s">
        <v>862</v>
      </c>
      <c r="E40" s="676"/>
      <c r="F40" s="676"/>
      <c r="G40" s="676"/>
      <c r="H40" s="676"/>
      <c r="I40" s="676"/>
      <c r="J40" s="685">
        <v>0.20478768904847694</v>
      </c>
      <c r="K40" s="685"/>
      <c r="L40" s="685"/>
      <c r="M40" s="685"/>
      <c r="N40" s="685"/>
      <c r="O40" s="685"/>
      <c r="P40" s="685"/>
      <c r="Q40" s="685"/>
      <c r="R40" s="685"/>
      <c r="S40" s="685"/>
      <c r="T40" s="685"/>
      <c r="U40" s="685"/>
      <c r="V40" s="685"/>
      <c r="W40" s="685"/>
      <c r="X40" s="685"/>
      <c r="Y40" s="685"/>
      <c r="Z40" s="685"/>
      <c r="AA40" s="685"/>
      <c r="AB40" s="685"/>
      <c r="AC40" s="685"/>
      <c r="AD40" s="685"/>
      <c r="AE40" s="685"/>
      <c r="AF40" s="685"/>
      <c r="AG40" s="685"/>
      <c r="AH40" s="685"/>
      <c r="AI40" s="685"/>
      <c r="AJ40" s="685"/>
      <c r="AK40" s="685"/>
      <c r="AL40" s="685"/>
      <c r="AM40" s="685"/>
      <c r="AN40" s="685"/>
      <c r="AO40" s="685"/>
      <c r="AP40" s="675"/>
    </row>
    <row r="41" spans="1:42" ht="13.5" customHeight="1" x14ac:dyDescent="0.3">
      <c r="A41" s="1215"/>
      <c r="B41" s="644"/>
      <c r="C41" s="678"/>
      <c r="D41" s="676" t="s">
        <v>863</v>
      </c>
      <c r="E41" s="676"/>
      <c r="F41" s="676"/>
      <c r="G41" s="676"/>
      <c r="H41" s="676"/>
      <c r="I41" s="676"/>
      <c r="J41" s="685">
        <v>9.3191026936006551</v>
      </c>
      <c r="K41" s="685"/>
      <c r="L41" s="685"/>
      <c r="M41" s="685"/>
      <c r="N41" s="685"/>
      <c r="O41" s="685"/>
      <c r="P41" s="685"/>
      <c r="Q41" s="685"/>
      <c r="R41" s="685"/>
      <c r="S41" s="685"/>
      <c r="T41" s="685"/>
      <c r="U41" s="685"/>
      <c r="V41" s="685"/>
      <c r="W41" s="685"/>
      <c r="X41" s="685"/>
      <c r="Y41" s="685"/>
      <c r="Z41" s="685"/>
      <c r="AA41" s="685"/>
      <c r="AB41" s="685"/>
      <c r="AC41" s="685"/>
      <c r="AD41" s="685"/>
      <c r="AE41" s="685"/>
      <c r="AF41" s="685"/>
      <c r="AG41" s="685"/>
      <c r="AH41" s="685"/>
      <c r="AI41" s="685"/>
      <c r="AJ41" s="685"/>
      <c r="AK41" s="685"/>
      <c r="AL41" s="685"/>
      <c r="AM41" s="685"/>
      <c r="AN41" s="685"/>
      <c r="AO41" s="685"/>
      <c r="AP41" s="675"/>
    </row>
    <row r="42" spans="1:42" ht="14" customHeight="1" x14ac:dyDescent="0.3">
      <c r="A42" s="973"/>
      <c r="B42" s="644"/>
      <c r="C42" s="679"/>
      <c r="D42" s="672"/>
      <c r="E42" s="672"/>
      <c r="F42" s="672"/>
      <c r="G42" s="676"/>
      <c r="H42" s="676"/>
      <c r="I42" s="676"/>
      <c r="J42" s="685"/>
      <c r="K42" s="685"/>
      <c r="L42" s="685"/>
      <c r="M42" s="685"/>
      <c r="N42" s="685"/>
      <c r="O42" s="685"/>
      <c r="P42" s="685"/>
      <c r="Q42" s="685"/>
      <c r="R42" s="685"/>
      <c r="S42" s="685"/>
      <c r="T42" s="685"/>
      <c r="U42" s="685"/>
      <c r="V42" s="685"/>
      <c r="W42" s="685"/>
      <c r="X42" s="685"/>
      <c r="Y42" s="685"/>
      <c r="Z42" s="685"/>
      <c r="AA42" s="685"/>
      <c r="AB42" s="685"/>
      <c r="AC42" s="685"/>
      <c r="AD42" s="685"/>
      <c r="AE42" s="685"/>
      <c r="AF42" s="685"/>
      <c r="AG42" s="685"/>
      <c r="AH42" s="685"/>
      <c r="AI42" s="685"/>
      <c r="AJ42" s="685"/>
      <c r="AK42" s="685"/>
      <c r="AL42" s="685"/>
      <c r="AM42" s="685"/>
      <c r="AN42" s="685"/>
      <c r="AO42" s="685"/>
      <c r="AP42" s="675"/>
    </row>
    <row r="43" spans="1:42" ht="14.25" customHeight="1" x14ac:dyDescent="0.3">
      <c r="A43" s="973"/>
      <c r="B43" s="644"/>
      <c r="C43" s="679"/>
      <c r="D43" s="672" t="s">
        <v>866</v>
      </c>
      <c r="E43" s="672"/>
      <c r="F43" s="672"/>
      <c r="G43" s="676"/>
      <c r="H43" s="676"/>
      <c r="I43" s="676"/>
      <c r="J43" s="685"/>
      <c r="K43" s="685"/>
      <c r="L43" s="685"/>
      <c r="M43" s="685"/>
      <c r="N43" s="685"/>
      <c r="O43" s="685"/>
      <c r="P43" s="685"/>
      <c r="Q43" s="685"/>
      <c r="R43" s="685"/>
      <c r="S43" s="685"/>
      <c r="T43" s="685"/>
      <c r="U43" s="685"/>
      <c r="V43" s="685"/>
      <c r="W43" s="685"/>
      <c r="X43" s="685"/>
      <c r="Y43" s="685"/>
      <c r="Z43" s="685"/>
      <c r="AA43" s="685"/>
      <c r="AB43" s="685"/>
      <c r="AC43" s="685"/>
      <c r="AD43" s="685"/>
      <c r="AE43" s="685"/>
      <c r="AF43" s="685"/>
      <c r="AG43" s="685"/>
      <c r="AH43" s="685"/>
      <c r="AI43" s="685"/>
      <c r="AJ43" s="685"/>
      <c r="AK43" s="685"/>
      <c r="AL43" s="685"/>
      <c r="AM43" s="685"/>
      <c r="AN43" s="685"/>
      <c r="AO43" s="685"/>
      <c r="AP43" s="675"/>
    </row>
    <row r="44" spans="1:42" ht="14.25" customHeight="1" x14ac:dyDescent="0.3">
      <c r="A44" s="973"/>
      <c r="B44" s="644"/>
      <c r="C44" s="679"/>
      <c r="D44" s="672"/>
      <c r="E44" s="672"/>
      <c r="F44" s="672"/>
      <c r="G44" s="676"/>
      <c r="H44" s="676"/>
      <c r="I44" s="676"/>
      <c r="J44" s="685"/>
      <c r="K44" s="685"/>
      <c r="L44" s="685"/>
      <c r="M44" s="685"/>
      <c r="N44" s="685"/>
      <c r="O44" s="685"/>
      <c r="P44" s="685"/>
      <c r="Q44" s="685"/>
      <c r="R44" s="685"/>
      <c r="S44" s="685"/>
      <c r="T44" s="685"/>
      <c r="U44" s="685"/>
      <c r="V44" s="685"/>
      <c r="W44" s="685"/>
      <c r="X44" s="685"/>
      <c r="Y44" s="685"/>
      <c r="Z44" s="685"/>
      <c r="AA44" s="685"/>
      <c r="AB44" s="685"/>
      <c r="AC44" s="685"/>
      <c r="AD44" s="685"/>
      <c r="AE44" s="685"/>
      <c r="AF44" s="685"/>
      <c r="AG44" s="685"/>
      <c r="AH44" s="685"/>
      <c r="AI44" s="685"/>
      <c r="AJ44" s="685"/>
      <c r="AK44" s="685"/>
      <c r="AL44" s="685"/>
      <c r="AM44" s="685"/>
      <c r="AN44" s="685"/>
      <c r="AO44" s="685"/>
      <c r="AP44" s="675"/>
    </row>
    <row r="45" spans="1:42" ht="14" customHeight="1" x14ac:dyDescent="0.3">
      <c r="A45" s="1215"/>
      <c r="B45" s="644"/>
      <c r="C45" s="679"/>
      <c r="D45" s="676" t="s">
        <v>849</v>
      </c>
      <c r="E45" s="672"/>
      <c r="F45" s="672"/>
      <c r="G45" s="676"/>
      <c r="H45" s="676"/>
      <c r="I45" s="676"/>
      <c r="J45" s="685">
        <v>3.7960446085853508</v>
      </c>
      <c r="K45" s="685"/>
      <c r="L45" s="685"/>
      <c r="M45" s="685"/>
      <c r="N45" s="685"/>
      <c r="O45" s="685"/>
      <c r="P45" s="685"/>
      <c r="Q45" s="685"/>
      <c r="R45" s="685"/>
      <c r="S45" s="685"/>
      <c r="T45" s="685"/>
      <c r="U45" s="685"/>
      <c r="V45" s="685"/>
      <c r="W45" s="685"/>
      <c r="X45" s="685"/>
      <c r="Y45" s="685"/>
      <c r="Z45" s="685"/>
      <c r="AA45" s="685"/>
      <c r="AB45" s="685"/>
      <c r="AC45" s="685"/>
      <c r="AD45" s="685"/>
      <c r="AE45" s="685"/>
      <c r="AF45" s="685"/>
      <c r="AG45" s="685"/>
      <c r="AH45" s="685"/>
      <c r="AI45" s="685"/>
      <c r="AJ45" s="685"/>
      <c r="AK45" s="685"/>
      <c r="AL45" s="685"/>
      <c r="AM45" s="685"/>
      <c r="AN45" s="685"/>
      <c r="AO45" s="685"/>
      <c r="AP45" s="675"/>
    </row>
    <row r="46" spans="1:42" ht="14.25" customHeight="1" x14ac:dyDescent="0.3">
      <c r="A46" s="1215"/>
      <c r="B46" s="644"/>
      <c r="C46" s="678"/>
      <c r="D46" s="676" t="s">
        <v>850</v>
      </c>
      <c r="E46" s="676"/>
      <c r="F46" s="676"/>
      <c r="G46" s="676"/>
      <c r="H46" s="676"/>
      <c r="I46" s="676"/>
      <c r="J46" s="685">
        <v>137.13214061461872</v>
      </c>
      <c r="K46" s="685"/>
      <c r="L46" s="685"/>
      <c r="M46" s="685"/>
      <c r="N46" s="685"/>
      <c r="O46" s="685"/>
      <c r="P46" s="685"/>
      <c r="Q46" s="685"/>
      <c r="R46" s="685"/>
      <c r="S46" s="685"/>
      <c r="T46" s="685"/>
      <c r="U46" s="685"/>
      <c r="V46" s="685"/>
      <c r="W46" s="685"/>
      <c r="X46" s="685"/>
      <c r="Y46" s="685"/>
      <c r="Z46" s="685"/>
      <c r="AA46" s="685"/>
      <c r="AB46" s="685"/>
      <c r="AC46" s="685"/>
      <c r="AD46" s="685"/>
      <c r="AE46" s="685"/>
      <c r="AF46" s="685"/>
      <c r="AG46" s="685"/>
      <c r="AH46" s="685"/>
      <c r="AI46" s="685"/>
      <c r="AJ46" s="685"/>
      <c r="AK46" s="685"/>
      <c r="AL46" s="685"/>
      <c r="AM46" s="685"/>
      <c r="AN46" s="685"/>
      <c r="AO46" s="685"/>
      <c r="AP46" s="675"/>
    </row>
    <row r="47" spans="1:42" ht="14.25" customHeight="1" x14ac:dyDescent="0.3">
      <c r="A47" s="1215"/>
      <c r="B47" s="644"/>
      <c r="C47" s="678"/>
      <c r="D47" s="676" t="s">
        <v>851</v>
      </c>
      <c r="E47" s="687"/>
      <c r="F47" s="687"/>
      <c r="G47" s="687"/>
      <c r="H47" s="687"/>
      <c r="I47" s="687"/>
      <c r="J47" s="685">
        <v>0.29908270292000144</v>
      </c>
      <c r="K47" s="685"/>
      <c r="L47" s="685"/>
      <c r="M47" s="685"/>
      <c r="N47" s="685"/>
      <c r="O47" s="685"/>
      <c r="P47" s="685"/>
      <c r="Q47" s="685"/>
      <c r="R47" s="685"/>
      <c r="S47" s="685"/>
      <c r="T47" s="685"/>
      <c r="U47" s="685"/>
      <c r="V47" s="685"/>
      <c r="W47" s="685"/>
      <c r="X47" s="685"/>
      <c r="Y47" s="685"/>
      <c r="Z47" s="685"/>
      <c r="AA47" s="685"/>
      <c r="AB47" s="685"/>
      <c r="AC47" s="685"/>
      <c r="AD47" s="685"/>
      <c r="AE47" s="685"/>
      <c r="AF47" s="685"/>
      <c r="AG47" s="685"/>
      <c r="AH47" s="685"/>
      <c r="AI47" s="685"/>
      <c r="AJ47" s="685"/>
      <c r="AK47" s="685"/>
      <c r="AL47" s="685"/>
      <c r="AM47" s="685"/>
      <c r="AN47" s="685"/>
      <c r="AO47" s="685"/>
      <c r="AP47" s="675"/>
    </row>
    <row r="48" spans="1:42" ht="14.25" customHeight="1" x14ac:dyDescent="0.3">
      <c r="A48" s="1215"/>
      <c r="B48" s="644"/>
      <c r="C48" s="678"/>
      <c r="D48" s="676" t="s">
        <v>852</v>
      </c>
      <c r="E48" s="687"/>
      <c r="F48" s="687"/>
      <c r="G48" s="687"/>
      <c r="H48" s="687"/>
      <c r="I48" s="687"/>
      <c r="J48" s="685">
        <v>4.3738739734003627</v>
      </c>
      <c r="K48" s="685"/>
      <c r="L48" s="685"/>
      <c r="M48" s="685"/>
      <c r="N48" s="685"/>
      <c r="O48" s="685"/>
      <c r="P48" s="685"/>
      <c r="Q48" s="685"/>
      <c r="R48" s="685"/>
      <c r="S48" s="685"/>
      <c r="T48" s="685"/>
      <c r="U48" s="685"/>
      <c r="V48" s="685"/>
      <c r="W48" s="685"/>
      <c r="X48" s="685"/>
      <c r="Y48" s="685"/>
      <c r="Z48" s="685"/>
      <c r="AA48" s="685"/>
      <c r="AB48" s="685"/>
      <c r="AC48" s="685"/>
      <c r="AD48" s="685"/>
      <c r="AE48" s="685"/>
      <c r="AF48" s="685"/>
      <c r="AG48" s="685"/>
      <c r="AH48" s="685"/>
      <c r="AI48" s="685"/>
      <c r="AJ48" s="685"/>
      <c r="AK48" s="685"/>
      <c r="AL48" s="685"/>
      <c r="AM48" s="685"/>
      <c r="AN48" s="685"/>
      <c r="AO48" s="685"/>
      <c r="AP48" s="675"/>
    </row>
    <row r="49" spans="1:42" ht="14.25" customHeight="1" x14ac:dyDescent="0.3">
      <c r="A49" s="1215"/>
      <c r="B49" s="644"/>
      <c r="C49" s="678"/>
      <c r="D49" s="676" t="s">
        <v>853</v>
      </c>
      <c r="E49" s="687"/>
      <c r="F49" s="687"/>
      <c r="G49" s="687"/>
      <c r="H49" s="687"/>
      <c r="I49" s="687"/>
      <c r="J49" s="685">
        <v>1.4831539788079005E-3</v>
      </c>
      <c r="K49" s="685"/>
      <c r="L49" s="685"/>
      <c r="M49" s="685"/>
      <c r="N49" s="685"/>
      <c r="O49" s="685"/>
      <c r="P49" s="685"/>
      <c r="Q49" s="685"/>
      <c r="R49" s="685"/>
      <c r="S49" s="685"/>
      <c r="T49" s="685"/>
      <c r="U49" s="685"/>
      <c r="V49" s="685"/>
      <c r="W49" s="685"/>
      <c r="X49" s="685"/>
      <c r="Y49" s="685"/>
      <c r="Z49" s="685"/>
      <c r="AA49" s="685"/>
      <c r="AB49" s="685"/>
      <c r="AC49" s="685"/>
      <c r="AD49" s="685"/>
      <c r="AE49" s="685"/>
      <c r="AF49" s="685"/>
      <c r="AG49" s="685"/>
      <c r="AH49" s="685"/>
      <c r="AI49" s="685"/>
      <c r="AJ49" s="685"/>
      <c r="AK49" s="685"/>
      <c r="AL49" s="685"/>
      <c r="AM49" s="685"/>
      <c r="AN49" s="685"/>
      <c r="AO49" s="685"/>
      <c r="AP49" s="675"/>
    </row>
    <row r="50" spans="1:42" ht="14.25" customHeight="1" x14ac:dyDescent="0.3">
      <c r="A50" s="1215"/>
      <c r="B50" s="644"/>
      <c r="C50" s="678"/>
      <c r="D50" s="676" t="s">
        <v>854</v>
      </c>
      <c r="E50" s="687"/>
      <c r="F50" s="687"/>
      <c r="G50" s="687"/>
      <c r="H50" s="687"/>
      <c r="I50" s="687"/>
      <c r="J50" s="685">
        <v>31.271296807510559</v>
      </c>
      <c r="K50" s="685"/>
      <c r="L50" s="685"/>
      <c r="M50" s="685"/>
      <c r="N50" s="685"/>
      <c r="O50" s="685"/>
      <c r="P50" s="685"/>
      <c r="Q50" s="685"/>
      <c r="R50" s="685"/>
      <c r="S50" s="685"/>
      <c r="T50" s="685"/>
      <c r="U50" s="685"/>
      <c r="V50" s="685"/>
      <c r="W50" s="685"/>
      <c r="X50" s="685"/>
      <c r="Y50" s="685"/>
      <c r="Z50" s="685"/>
      <c r="AA50" s="685"/>
      <c r="AB50" s="685"/>
      <c r="AC50" s="685"/>
      <c r="AD50" s="685"/>
      <c r="AE50" s="685"/>
      <c r="AF50" s="685"/>
      <c r="AG50" s="685"/>
      <c r="AH50" s="685"/>
      <c r="AI50" s="685"/>
      <c r="AJ50" s="685"/>
      <c r="AK50" s="685"/>
      <c r="AL50" s="685"/>
      <c r="AM50" s="685"/>
      <c r="AN50" s="685"/>
      <c r="AO50" s="685"/>
      <c r="AP50" s="675"/>
    </row>
    <row r="51" spans="1:42" ht="14.25" customHeight="1" x14ac:dyDescent="0.3">
      <c r="A51" s="1215"/>
      <c r="B51" s="644"/>
      <c r="C51" s="678"/>
      <c r="D51" s="676" t="s">
        <v>855</v>
      </c>
      <c r="E51" s="676"/>
      <c r="F51" s="676"/>
      <c r="G51" s="676"/>
      <c r="H51" s="676"/>
      <c r="I51" s="676"/>
      <c r="J51" s="685">
        <v>6.1080775530679898E-4</v>
      </c>
      <c r="K51" s="685"/>
      <c r="L51" s="685"/>
      <c r="M51" s="685"/>
      <c r="N51" s="685"/>
      <c r="O51" s="685"/>
      <c r="P51" s="685"/>
      <c r="Q51" s="685"/>
      <c r="R51" s="685"/>
      <c r="S51" s="685"/>
      <c r="T51" s="685"/>
      <c r="U51" s="685"/>
      <c r="V51" s="685"/>
      <c r="W51" s="685"/>
      <c r="X51" s="685"/>
      <c r="Y51" s="685"/>
      <c r="Z51" s="685"/>
      <c r="AA51" s="685"/>
      <c r="AB51" s="685"/>
      <c r="AC51" s="685"/>
      <c r="AD51" s="685"/>
      <c r="AE51" s="685"/>
      <c r="AF51" s="685"/>
      <c r="AG51" s="685"/>
      <c r="AH51" s="685"/>
      <c r="AI51" s="685"/>
      <c r="AJ51" s="685"/>
      <c r="AK51" s="685"/>
      <c r="AL51" s="685"/>
      <c r="AM51" s="685"/>
      <c r="AN51" s="685"/>
      <c r="AO51" s="685"/>
      <c r="AP51" s="675"/>
    </row>
    <row r="52" spans="1:42" ht="14.25" customHeight="1" x14ac:dyDescent="0.3">
      <c r="A52" s="1215"/>
      <c r="B52" s="644"/>
      <c r="C52" s="678"/>
      <c r="D52" s="676" t="s">
        <v>856</v>
      </c>
      <c r="E52" s="687"/>
      <c r="F52" s="687"/>
      <c r="G52" s="687"/>
      <c r="H52" s="687"/>
      <c r="I52" s="687"/>
      <c r="J52" s="685">
        <v>0.26280184468662604</v>
      </c>
      <c r="K52" s="685"/>
      <c r="L52" s="685"/>
      <c r="M52" s="685"/>
      <c r="N52" s="685"/>
      <c r="O52" s="685"/>
      <c r="P52" s="685"/>
      <c r="Q52" s="685"/>
      <c r="R52" s="685"/>
      <c r="S52" s="685"/>
      <c r="T52" s="685"/>
      <c r="U52" s="685"/>
      <c r="V52" s="685"/>
      <c r="W52" s="685"/>
      <c r="X52" s="685"/>
      <c r="Y52" s="685"/>
      <c r="Z52" s="685"/>
      <c r="AA52" s="685"/>
      <c r="AB52" s="685"/>
      <c r="AC52" s="685"/>
      <c r="AD52" s="685"/>
      <c r="AE52" s="685"/>
      <c r="AF52" s="685"/>
      <c r="AG52" s="685"/>
      <c r="AH52" s="685"/>
      <c r="AI52" s="685"/>
      <c r="AJ52" s="685"/>
      <c r="AK52" s="685"/>
      <c r="AL52" s="685"/>
      <c r="AM52" s="685"/>
      <c r="AN52" s="685"/>
      <c r="AO52" s="685"/>
      <c r="AP52" s="675"/>
    </row>
    <row r="53" spans="1:42" ht="14.25" customHeight="1" x14ac:dyDescent="0.3">
      <c r="A53" s="1215"/>
      <c r="B53" s="644"/>
      <c r="C53" s="678"/>
      <c r="D53" s="676" t="s">
        <v>857</v>
      </c>
      <c r="E53" s="687"/>
      <c r="F53" s="687"/>
      <c r="G53" s="687"/>
      <c r="H53" s="687"/>
      <c r="I53" s="687"/>
      <c r="J53" s="685">
        <v>0.11099700987646864</v>
      </c>
      <c r="K53" s="685"/>
      <c r="L53" s="685"/>
      <c r="M53" s="685"/>
      <c r="N53" s="685"/>
      <c r="O53" s="685"/>
      <c r="P53" s="685"/>
      <c r="Q53" s="685"/>
      <c r="R53" s="685"/>
      <c r="S53" s="685"/>
      <c r="T53" s="685"/>
      <c r="U53" s="685"/>
      <c r="V53" s="685"/>
      <c r="W53" s="685"/>
      <c r="X53" s="685"/>
      <c r="Y53" s="685"/>
      <c r="Z53" s="685"/>
      <c r="AA53" s="685"/>
      <c r="AB53" s="685"/>
      <c r="AC53" s="685"/>
      <c r="AD53" s="685"/>
      <c r="AE53" s="685"/>
      <c r="AF53" s="685"/>
      <c r="AG53" s="685"/>
      <c r="AH53" s="685"/>
      <c r="AI53" s="685"/>
      <c r="AJ53" s="685"/>
      <c r="AK53" s="685"/>
      <c r="AL53" s="685"/>
      <c r="AM53" s="685"/>
      <c r="AN53" s="685"/>
      <c r="AO53" s="685"/>
      <c r="AP53" s="675"/>
    </row>
    <row r="54" spans="1:42" ht="14.25" customHeight="1" x14ac:dyDescent="0.3">
      <c r="A54" s="1215"/>
      <c r="B54" s="644"/>
      <c r="C54" s="678"/>
      <c r="D54" s="676" t="s">
        <v>858</v>
      </c>
      <c r="E54" s="676"/>
      <c r="F54" s="676"/>
      <c r="G54" s="676"/>
      <c r="H54" s="676"/>
      <c r="I54" s="676"/>
      <c r="J54" s="685">
        <v>1.8203592814371257</v>
      </c>
      <c r="K54" s="685"/>
      <c r="L54" s="685"/>
      <c r="M54" s="685"/>
      <c r="N54" s="685"/>
      <c r="O54" s="685"/>
      <c r="P54" s="685"/>
      <c r="Q54" s="685"/>
      <c r="R54" s="685"/>
      <c r="S54" s="685"/>
      <c r="T54" s="685"/>
      <c r="U54" s="685"/>
      <c r="V54" s="685"/>
      <c r="W54" s="685"/>
      <c r="X54" s="685"/>
      <c r="Y54" s="685"/>
      <c r="Z54" s="685"/>
      <c r="AA54" s="685"/>
      <c r="AB54" s="685"/>
      <c r="AC54" s="685"/>
      <c r="AD54" s="685"/>
      <c r="AE54" s="685"/>
      <c r="AF54" s="685"/>
      <c r="AG54" s="685"/>
      <c r="AH54" s="685"/>
      <c r="AI54" s="685"/>
      <c r="AJ54" s="685"/>
      <c r="AK54" s="685"/>
      <c r="AL54" s="685"/>
      <c r="AM54" s="685"/>
      <c r="AN54" s="685"/>
      <c r="AO54" s="685"/>
      <c r="AP54" s="675"/>
    </row>
    <row r="55" spans="1:42" ht="14.25" customHeight="1" x14ac:dyDescent="0.3">
      <c r="A55" s="1215"/>
      <c r="B55" s="644"/>
      <c r="C55" s="678"/>
      <c r="D55" s="676" t="s">
        <v>859</v>
      </c>
      <c r="E55" s="687"/>
      <c r="F55" s="687"/>
      <c r="G55" s="687"/>
      <c r="H55" s="687"/>
      <c r="I55" s="687"/>
      <c r="J55" s="685">
        <v>38.397283698500374</v>
      </c>
      <c r="K55" s="685"/>
      <c r="L55" s="685"/>
      <c r="M55" s="685"/>
      <c r="N55" s="685"/>
      <c r="O55" s="685"/>
      <c r="P55" s="685"/>
      <c r="Q55" s="685"/>
      <c r="R55" s="685"/>
      <c r="S55" s="685"/>
      <c r="T55" s="685"/>
      <c r="U55" s="685"/>
      <c r="V55" s="685"/>
      <c r="W55" s="685"/>
      <c r="X55" s="685"/>
      <c r="Y55" s="685"/>
      <c r="Z55" s="685"/>
      <c r="AA55" s="685"/>
      <c r="AB55" s="685"/>
      <c r="AC55" s="685"/>
      <c r="AD55" s="685"/>
      <c r="AE55" s="685"/>
      <c r="AF55" s="685"/>
      <c r="AG55" s="685"/>
      <c r="AH55" s="685"/>
      <c r="AI55" s="685"/>
      <c r="AJ55" s="685"/>
      <c r="AK55" s="685"/>
      <c r="AL55" s="685"/>
      <c r="AM55" s="685"/>
      <c r="AN55" s="685"/>
      <c r="AO55" s="685"/>
      <c r="AP55" s="675"/>
    </row>
    <row r="56" spans="1:42" ht="14.25" customHeight="1" x14ac:dyDescent="0.3">
      <c r="A56" s="1215"/>
      <c r="B56" s="644"/>
      <c r="C56" s="678"/>
      <c r="D56" s="676" t="s">
        <v>860</v>
      </c>
      <c r="E56" s="676"/>
      <c r="F56" s="676"/>
      <c r="G56" s="676"/>
      <c r="H56" s="676"/>
      <c r="I56" s="676"/>
      <c r="J56" s="685">
        <v>10.110024229682695</v>
      </c>
      <c r="K56" s="685"/>
      <c r="L56" s="685"/>
      <c r="M56" s="685"/>
      <c r="N56" s="685"/>
      <c r="O56" s="685"/>
      <c r="P56" s="685"/>
      <c r="Q56" s="685"/>
      <c r="R56" s="685"/>
      <c r="S56" s="685"/>
      <c r="T56" s="685"/>
      <c r="U56" s="685"/>
      <c r="V56" s="685"/>
      <c r="W56" s="685"/>
      <c r="X56" s="685"/>
      <c r="Y56" s="685"/>
      <c r="Z56" s="685"/>
      <c r="AA56" s="685"/>
      <c r="AB56" s="685"/>
      <c r="AC56" s="685"/>
      <c r="AD56" s="685"/>
      <c r="AE56" s="685"/>
      <c r="AF56" s="685"/>
      <c r="AG56" s="685"/>
      <c r="AH56" s="685"/>
      <c r="AI56" s="685"/>
      <c r="AJ56" s="685"/>
      <c r="AK56" s="685"/>
      <c r="AL56" s="685"/>
      <c r="AM56" s="685"/>
      <c r="AN56" s="685"/>
      <c r="AO56" s="685"/>
      <c r="AP56" s="675"/>
    </row>
    <row r="57" spans="1:42" ht="14.25" customHeight="1" x14ac:dyDescent="0.3">
      <c r="A57" s="1215"/>
      <c r="B57" s="644"/>
      <c r="C57" s="678"/>
      <c r="D57" s="676" t="s">
        <v>861</v>
      </c>
      <c r="E57" s="676"/>
      <c r="F57" s="676"/>
      <c r="G57" s="676"/>
      <c r="H57" s="676"/>
      <c r="I57" s="676"/>
      <c r="J57" s="685">
        <v>7.671557616880162</v>
      </c>
      <c r="K57" s="685"/>
      <c r="L57" s="685"/>
      <c r="M57" s="685"/>
      <c r="N57" s="685"/>
      <c r="O57" s="685"/>
      <c r="P57" s="685"/>
      <c r="Q57" s="685"/>
      <c r="R57" s="685"/>
      <c r="S57" s="685"/>
      <c r="T57" s="685"/>
      <c r="U57" s="685"/>
      <c r="V57" s="685"/>
      <c r="W57" s="685"/>
      <c r="X57" s="685"/>
      <c r="Y57" s="685"/>
      <c r="Z57" s="685"/>
      <c r="AA57" s="685"/>
      <c r="AB57" s="685"/>
      <c r="AC57" s="685"/>
      <c r="AD57" s="685"/>
      <c r="AE57" s="685"/>
      <c r="AF57" s="685"/>
      <c r="AG57" s="685"/>
      <c r="AH57" s="685"/>
      <c r="AI57" s="685"/>
      <c r="AJ57" s="685"/>
      <c r="AK57" s="685"/>
      <c r="AL57" s="685"/>
      <c r="AM57" s="685"/>
      <c r="AN57" s="685"/>
      <c r="AO57" s="685"/>
      <c r="AP57" s="675"/>
    </row>
    <row r="58" spans="1:42" ht="13.5" customHeight="1" x14ac:dyDescent="0.3">
      <c r="A58" s="1215"/>
      <c r="B58" s="644"/>
      <c r="C58" s="678"/>
      <c r="D58" s="676" t="s">
        <v>862</v>
      </c>
      <c r="E58" s="676"/>
      <c r="F58" s="676"/>
      <c r="G58" s="676"/>
      <c r="H58" s="676"/>
      <c r="I58" s="676"/>
      <c r="J58" s="685">
        <v>0.53862797504170423</v>
      </c>
      <c r="K58" s="685"/>
      <c r="L58" s="685"/>
      <c r="M58" s="685"/>
      <c r="N58" s="685"/>
      <c r="O58" s="685"/>
      <c r="P58" s="685"/>
      <c r="Q58" s="685"/>
      <c r="R58" s="685"/>
      <c r="S58" s="685"/>
      <c r="T58" s="685"/>
      <c r="U58" s="685"/>
      <c r="V58" s="685"/>
      <c r="W58" s="685"/>
      <c r="X58" s="685"/>
      <c r="Y58" s="685"/>
      <c r="Z58" s="685"/>
      <c r="AA58" s="685"/>
      <c r="AB58" s="685"/>
      <c r="AC58" s="685"/>
      <c r="AD58" s="685"/>
      <c r="AE58" s="685"/>
      <c r="AF58" s="685"/>
      <c r="AG58" s="685"/>
      <c r="AH58" s="685"/>
      <c r="AI58" s="685"/>
      <c r="AJ58" s="685"/>
      <c r="AK58" s="685"/>
      <c r="AL58" s="685"/>
      <c r="AM58" s="685"/>
      <c r="AN58" s="685"/>
      <c r="AO58" s="685"/>
      <c r="AP58" s="675"/>
    </row>
    <row r="59" spans="1:42" ht="13.5" customHeight="1" x14ac:dyDescent="0.3">
      <c r="A59" s="1215"/>
      <c r="B59" s="644"/>
      <c r="C59" s="678"/>
      <c r="D59" s="676" t="s">
        <v>863</v>
      </c>
      <c r="E59" s="676"/>
      <c r="F59" s="676"/>
      <c r="G59" s="676"/>
      <c r="H59" s="676"/>
      <c r="I59" s="676"/>
      <c r="J59" s="685">
        <v>4158.9006289017943</v>
      </c>
      <c r="K59" s="685"/>
      <c r="L59" s="685"/>
      <c r="M59" s="685"/>
      <c r="N59" s="685"/>
      <c r="O59" s="685"/>
      <c r="P59" s="685"/>
      <c r="Q59" s="685"/>
      <c r="R59" s="685"/>
      <c r="S59" s="685"/>
      <c r="T59" s="685"/>
      <c r="U59" s="685"/>
      <c r="V59" s="685"/>
      <c r="W59" s="685"/>
      <c r="X59" s="685"/>
      <c r="Y59" s="685"/>
      <c r="Z59" s="685"/>
      <c r="AA59" s="685"/>
      <c r="AB59" s="685"/>
      <c r="AC59" s="685"/>
      <c r="AD59" s="685"/>
      <c r="AE59" s="685"/>
      <c r="AF59" s="685"/>
      <c r="AG59" s="685"/>
      <c r="AH59" s="685"/>
      <c r="AI59" s="685"/>
      <c r="AJ59" s="685"/>
      <c r="AK59" s="685"/>
      <c r="AL59" s="685"/>
      <c r="AM59" s="685"/>
      <c r="AN59" s="685"/>
      <c r="AO59" s="685"/>
      <c r="AP59" s="675"/>
    </row>
    <row r="60" spans="1:42" ht="13.5" customHeight="1" x14ac:dyDescent="0.3">
      <c r="A60" s="972"/>
      <c r="B60" s="644"/>
      <c r="C60" s="678"/>
      <c r="D60" s="676"/>
      <c r="E60" s="676"/>
      <c r="F60" s="676"/>
      <c r="G60" s="676"/>
      <c r="H60" s="676"/>
      <c r="I60" s="676"/>
      <c r="J60" s="685"/>
      <c r="K60" s="685"/>
      <c r="L60" s="685"/>
      <c r="M60" s="685"/>
      <c r="N60" s="685"/>
      <c r="O60" s="685"/>
      <c r="P60" s="685"/>
      <c r="Q60" s="685"/>
      <c r="R60" s="685"/>
      <c r="S60" s="685"/>
      <c r="T60" s="685"/>
      <c r="U60" s="685"/>
      <c r="V60" s="685"/>
      <c r="W60" s="685"/>
      <c r="X60" s="685"/>
      <c r="Y60" s="685"/>
      <c r="Z60" s="685"/>
      <c r="AA60" s="685"/>
      <c r="AB60" s="685"/>
      <c r="AC60" s="685"/>
      <c r="AD60" s="685"/>
      <c r="AE60" s="685"/>
      <c r="AF60" s="685"/>
      <c r="AG60" s="685"/>
      <c r="AH60" s="685"/>
      <c r="AI60" s="685"/>
      <c r="AJ60" s="685"/>
      <c r="AK60" s="685"/>
      <c r="AL60" s="685"/>
      <c r="AM60" s="685"/>
      <c r="AN60" s="685"/>
      <c r="AO60" s="685"/>
      <c r="AP60" s="675"/>
    </row>
    <row r="61" spans="1:42" ht="14.25" customHeight="1" x14ac:dyDescent="0.3">
      <c r="A61" s="973"/>
      <c r="B61" s="644"/>
      <c r="C61" s="679"/>
      <c r="D61" s="681" t="s">
        <v>867</v>
      </c>
      <c r="E61" s="672"/>
      <c r="F61" s="672"/>
      <c r="G61" s="676"/>
      <c r="H61" s="676"/>
      <c r="I61" s="676"/>
      <c r="J61" s="676"/>
      <c r="K61" s="676"/>
      <c r="L61" s="676"/>
      <c r="M61" s="676"/>
      <c r="N61" s="676"/>
      <c r="O61" s="676"/>
      <c r="P61" s="676"/>
      <c r="Q61" s="676"/>
      <c r="R61" s="676"/>
      <c r="S61" s="676"/>
      <c r="T61" s="676"/>
      <c r="U61" s="676"/>
      <c r="V61" s="676"/>
      <c r="W61" s="676"/>
      <c r="X61" s="676"/>
      <c r="Y61" s="676"/>
      <c r="Z61" s="676"/>
      <c r="AA61" s="676"/>
      <c r="AB61" s="676"/>
      <c r="AC61" s="676"/>
      <c r="AD61" s="676"/>
      <c r="AE61" s="676"/>
      <c r="AF61" s="676"/>
      <c r="AG61" s="676"/>
      <c r="AH61" s="676"/>
      <c r="AI61" s="676"/>
      <c r="AJ61" s="676"/>
      <c r="AK61" s="676"/>
      <c r="AL61" s="676"/>
      <c r="AM61" s="676"/>
      <c r="AN61" s="676"/>
      <c r="AO61" s="676"/>
      <c r="AP61" s="675"/>
    </row>
    <row r="62" spans="1:42" ht="14.25" customHeight="1" x14ac:dyDescent="0.3">
      <c r="A62" s="973"/>
      <c r="B62" s="644"/>
      <c r="C62" s="679"/>
      <c r="D62" s="681"/>
      <c r="E62" s="672"/>
      <c r="F62" s="672"/>
      <c r="G62" s="676"/>
      <c r="H62" s="676"/>
      <c r="I62" s="676"/>
      <c r="J62" s="676"/>
      <c r="K62" s="676"/>
      <c r="L62" s="676"/>
      <c r="M62" s="676"/>
      <c r="N62" s="676"/>
      <c r="O62" s="676"/>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5"/>
    </row>
    <row r="63" spans="1:42" ht="14.25" customHeight="1" x14ac:dyDescent="0.3">
      <c r="A63" s="973"/>
      <c r="B63" s="644"/>
      <c r="C63" s="679"/>
      <c r="D63" s="672" t="s">
        <v>868</v>
      </c>
      <c r="E63" s="672"/>
      <c r="F63" s="672"/>
      <c r="G63" s="676"/>
      <c r="H63" s="676"/>
      <c r="I63" s="676"/>
      <c r="J63" s="676"/>
      <c r="K63" s="676"/>
      <c r="L63" s="676"/>
      <c r="M63" s="676"/>
      <c r="N63" s="676"/>
      <c r="O63" s="676"/>
      <c r="P63" s="676"/>
      <c r="Q63" s="676"/>
      <c r="R63" s="676"/>
      <c r="S63" s="676"/>
      <c r="T63" s="676"/>
      <c r="U63" s="676"/>
      <c r="V63" s="676"/>
      <c r="W63" s="676"/>
      <c r="X63" s="676"/>
      <c r="Y63" s="676"/>
      <c r="Z63" s="676"/>
      <c r="AA63" s="676"/>
      <c r="AB63" s="676"/>
      <c r="AC63" s="676"/>
      <c r="AD63" s="676"/>
      <c r="AE63" s="676"/>
      <c r="AF63" s="676"/>
      <c r="AG63" s="676"/>
      <c r="AH63" s="676"/>
      <c r="AI63" s="676"/>
      <c r="AJ63" s="676"/>
      <c r="AK63" s="676"/>
      <c r="AL63" s="676"/>
      <c r="AM63" s="676"/>
      <c r="AN63" s="676"/>
      <c r="AO63" s="676"/>
      <c r="AP63" s="675"/>
    </row>
    <row r="64" spans="1:42" ht="14.25" customHeight="1" x14ac:dyDescent="0.3">
      <c r="A64" s="973"/>
      <c r="B64" s="644"/>
      <c r="C64" s="679"/>
      <c r="D64" s="672"/>
      <c r="E64" s="672"/>
      <c r="F64" s="672"/>
      <c r="G64" s="676"/>
      <c r="H64" s="676"/>
      <c r="I64" s="676"/>
      <c r="J64" s="676"/>
      <c r="K64" s="676"/>
      <c r="L64" s="676"/>
      <c r="M64" s="676"/>
      <c r="N64" s="676"/>
      <c r="O64" s="676"/>
      <c r="P64" s="676"/>
      <c r="Q64" s="676"/>
      <c r="R64" s="676"/>
      <c r="S64" s="676"/>
      <c r="T64" s="676"/>
      <c r="U64" s="676"/>
      <c r="V64" s="676"/>
      <c r="W64" s="676"/>
      <c r="X64" s="676"/>
      <c r="Y64" s="676"/>
      <c r="Z64" s="676"/>
      <c r="AA64" s="676"/>
      <c r="AB64" s="676"/>
      <c r="AC64" s="676"/>
      <c r="AD64" s="676"/>
      <c r="AE64" s="676"/>
      <c r="AF64" s="676"/>
      <c r="AG64" s="676"/>
      <c r="AH64" s="676"/>
      <c r="AI64" s="676"/>
      <c r="AJ64" s="676"/>
      <c r="AK64" s="676"/>
      <c r="AL64" s="676"/>
      <c r="AM64" s="676"/>
      <c r="AN64" s="676"/>
      <c r="AO64" s="676"/>
      <c r="AP64" s="675"/>
    </row>
    <row r="65" spans="1:42" ht="14" customHeight="1" x14ac:dyDescent="0.3">
      <c r="A65" s="1215"/>
      <c r="B65" s="644"/>
      <c r="C65" s="679"/>
      <c r="D65" s="676" t="s">
        <v>849</v>
      </c>
      <c r="E65" s="697"/>
      <c r="F65" s="676"/>
      <c r="G65" s="676"/>
      <c r="H65" s="676"/>
      <c r="I65" s="676"/>
      <c r="J65" s="685">
        <v>2.8251364102204173</v>
      </c>
      <c r="K65" s="685"/>
      <c r="L65" s="685"/>
      <c r="M65" s="685"/>
      <c r="N65" s="685"/>
      <c r="O65" s="685"/>
      <c r="P65" s="685"/>
      <c r="Q65" s="685"/>
      <c r="R65" s="685"/>
      <c r="S65" s="685"/>
      <c r="T65" s="685"/>
      <c r="U65" s="685"/>
      <c r="V65" s="685"/>
      <c r="W65" s="685"/>
      <c r="X65" s="685"/>
      <c r="Y65" s="685"/>
      <c r="Z65" s="685"/>
      <c r="AA65" s="685"/>
      <c r="AB65" s="685"/>
      <c r="AC65" s="685"/>
      <c r="AD65" s="685"/>
      <c r="AE65" s="685"/>
      <c r="AF65" s="685"/>
      <c r="AG65" s="685"/>
      <c r="AH65" s="685"/>
      <c r="AI65" s="685"/>
      <c r="AJ65" s="685"/>
      <c r="AK65" s="685"/>
      <c r="AL65" s="685"/>
      <c r="AM65" s="685"/>
      <c r="AN65" s="685"/>
      <c r="AO65" s="685"/>
      <c r="AP65" s="675"/>
    </row>
    <row r="66" spans="1:42" ht="14.25" customHeight="1" x14ac:dyDescent="0.3">
      <c r="A66" s="1215"/>
      <c r="B66" s="644"/>
      <c r="C66" s="678"/>
      <c r="D66" s="676" t="s">
        <v>865</v>
      </c>
      <c r="E66" s="697"/>
      <c r="F66" s="676"/>
      <c r="G66" s="676"/>
      <c r="H66" s="676"/>
      <c r="I66" s="676"/>
      <c r="J66" s="685">
        <v>89.241050412646587</v>
      </c>
      <c r="K66" s="685"/>
      <c r="L66" s="685"/>
      <c r="M66" s="685"/>
      <c r="N66" s="685"/>
      <c r="O66" s="685"/>
      <c r="P66" s="685"/>
      <c r="Q66" s="685"/>
      <c r="R66" s="685"/>
      <c r="S66" s="685"/>
      <c r="T66" s="685"/>
      <c r="U66" s="685"/>
      <c r="V66" s="685"/>
      <c r="W66" s="685"/>
      <c r="X66" s="685"/>
      <c r="Y66" s="685"/>
      <c r="Z66" s="685"/>
      <c r="AA66" s="685"/>
      <c r="AB66" s="685"/>
      <c r="AC66" s="685"/>
      <c r="AD66" s="685"/>
      <c r="AE66" s="685"/>
      <c r="AF66" s="685"/>
      <c r="AG66" s="685"/>
      <c r="AH66" s="685"/>
      <c r="AI66" s="685"/>
      <c r="AJ66" s="685"/>
      <c r="AK66" s="685"/>
      <c r="AL66" s="685"/>
      <c r="AM66" s="685"/>
      <c r="AN66" s="685"/>
      <c r="AO66" s="685"/>
      <c r="AP66" s="675"/>
    </row>
    <row r="67" spans="1:42" ht="14.25" customHeight="1" x14ac:dyDescent="0.3">
      <c r="A67" s="1215"/>
      <c r="B67" s="644"/>
      <c r="C67" s="678"/>
      <c r="D67" s="676" t="s">
        <v>851</v>
      </c>
      <c r="E67" s="697"/>
      <c r="F67" s="676"/>
      <c r="G67" s="676"/>
      <c r="H67" s="687"/>
      <c r="I67" s="687"/>
      <c r="J67" s="685">
        <v>2.6516829295033442</v>
      </c>
      <c r="K67" s="685"/>
      <c r="L67" s="685"/>
      <c r="M67" s="685"/>
      <c r="N67" s="685"/>
      <c r="O67" s="685"/>
      <c r="P67" s="685"/>
      <c r="Q67" s="685"/>
      <c r="R67" s="685"/>
      <c r="S67" s="685"/>
      <c r="T67" s="685"/>
      <c r="U67" s="685"/>
      <c r="V67" s="685"/>
      <c r="W67" s="685"/>
      <c r="X67" s="685"/>
      <c r="Y67" s="685"/>
      <c r="Z67" s="685"/>
      <c r="AA67" s="685"/>
      <c r="AB67" s="685"/>
      <c r="AC67" s="685"/>
      <c r="AD67" s="685"/>
      <c r="AE67" s="685"/>
      <c r="AF67" s="685"/>
      <c r="AG67" s="685"/>
      <c r="AH67" s="685"/>
      <c r="AI67" s="685"/>
      <c r="AJ67" s="685"/>
      <c r="AK67" s="685"/>
      <c r="AL67" s="685"/>
      <c r="AM67" s="685"/>
      <c r="AN67" s="685"/>
      <c r="AO67" s="685"/>
      <c r="AP67" s="675"/>
    </row>
    <row r="68" spans="1:42" ht="14.25" customHeight="1" x14ac:dyDescent="0.3">
      <c r="A68" s="1215"/>
      <c r="B68" s="644"/>
      <c r="C68" s="678"/>
      <c r="D68" s="676" t="s">
        <v>852</v>
      </c>
      <c r="E68" s="697"/>
      <c r="F68" s="676"/>
      <c r="G68" s="676"/>
      <c r="H68" s="687"/>
      <c r="I68" s="687"/>
      <c r="J68" s="685">
        <v>34.828290285140937</v>
      </c>
      <c r="K68" s="685"/>
      <c r="L68" s="685"/>
      <c r="M68" s="685"/>
      <c r="N68" s="685"/>
      <c r="O68" s="685"/>
      <c r="P68" s="685"/>
      <c r="Q68" s="685"/>
      <c r="R68" s="685"/>
      <c r="S68" s="685"/>
      <c r="T68" s="685"/>
      <c r="U68" s="685"/>
      <c r="V68" s="685"/>
      <c r="W68" s="685"/>
      <c r="X68" s="685"/>
      <c r="Y68" s="685"/>
      <c r="Z68" s="685"/>
      <c r="AA68" s="685"/>
      <c r="AB68" s="685"/>
      <c r="AC68" s="685"/>
      <c r="AD68" s="685"/>
      <c r="AE68" s="685"/>
      <c r="AF68" s="685"/>
      <c r="AG68" s="685"/>
      <c r="AH68" s="685"/>
      <c r="AI68" s="685"/>
      <c r="AJ68" s="685"/>
      <c r="AK68" s="685"/>
      <c r="AL68" s="685"/>
      <c r="AM68" s="685"/>
      <c r="AN68" s="685"/>
      <c r="AO68" s="685"/>
      <c r="AP68" s="675"/>
    </row>
    <row r="69" spans="1:42" ht="14.25" customHeight="1" x14ac:dyDescent="0.3">
      <c r="A69" s="1215"/>
      <c r="B69" s="644"/>
      <c r="C69" s="678"/>
      <c r="D69" s="676" t="s">
        <v>853</v>
      </c>
      <c r="E69" s="697"/>
      <c r="F69" s="687"/>
      <c r="G69" s="687"/>
      <c r="H69" s="687"/>
      <c r="I69" s="687"/>
      <c r="J69" s="685">
        <v>1.0232609743428291</v>
      </c>
      <c r="K69" s="685"/>
      <c r="L69" s="685"/>
      <c r="M69" s="685"/>
      <c r="N69" s="685"/>
      <c r="O69" s="685"/>
      <c r="P69" s="685"/>
      <c r="Q69" s="685"/>
      <c r="R69" s="685"/>
      <c r="S69" s="685"/>
      <c r="T69" s="685"/>
      <c r="U69" s="685"/>
      <c r="V69" s="685"/>
      <c r="W69" s="685"/>
      <c r="X69" s="685"/>
      <c r="Y69" s="685"/>
      <c r="Z69" s="685"/>
      <c r="AA69" s="685"/>
      <c r="AB69" s="685"/>
      <c r="AC69" s="685"/>
      <c r="AD69" s="685"/>
      <c r="AE69" s="685"/>
      <c r="AF69" s="685"/>
      <c r="AG69" s="685"/>
      <c r="AH69" s="685"/>
      <c r="AI69" s="685"/>
      <c r="AJ69" s="685"/>
      <c r="AK69" s="685"/>
      <c r="AL69" s="685"/>
      <c r="AM69" s="685"/>
      <c r="AN69" s="685"/>
      <c r="AO69" s="685"/>
      <c r="AP69" s="675"/>
    </row>
    <row r="70" spans="1:42" ht="14.25" customHeight="1" x14ac:dyDescent="0.3">
      <c r="A70" s="1215"/>
      <c r="B70" s="644"/>
      <c r="C70" s="678"/>
      <c r="D70" s="676" t="s">
        <v>854</v>
      </c>
      <c r="E70" s="697"/>
      <c r="F70" s="687"/>
      <c r="G70" s="687"/>
      <c r="H70" s="687"/>
      <c r="I70" s="687"/>
      <c r="J70" s="685">
        <v>8.2358986681478719</v>
      </c>
      <c r="K70" s="685"/>
      <c r="L70" s="685"/>
      <c r="M70" s="685"/>
      <c r="N70" s="685"/>
      <c r="O70" s="685"/>
      <c r="P70" s="685"/>
      <c r="Q70" s="685"/>
      <c r="R70" s="685"/>
      <c r="S70" s="685"/>
      <c r="T70" s="685"/>
      <c r="U70" s="685"/>
      <c r="V70" s="685"/>
      <c r="W70" s="685"/>
      <c r="X70" s="685"/>
      <c r="Y70" s="685"/>
      <c r="Z70" s="685"/>
      <c r="AA70" s="685"/>
      <c r="AB70" s="685"/>
      <c r="AC70" s="685"/>
      <c r="AD70" s="685"/>
      <c r="AE70" s="685"/>
      <c r="AF70" s="685"/>
      <c r="AG70" s="685"/>
      <c r="AH70" s="685"/>
      <c r="AI70" s="685"/>
      <c r="AJ70" s="685"/>
      <c r="AK70" s="685"/>
      <c r="AL70" s="685"/>
      <c r="AM70" s="685"/>
      <c r="AN70" s="685"/>
      <c r="AO70" s="685"/>
      <c r="AP70" s="675"/>
    </row>
    <row r="71" spans="1:42" ht="14.25" customHeight="1" x14ac:dyDescent="0.3">
      <c r="A71" s="1215"/>
      <c r="B71" s="644"/>
      <c r="C71" s="678"/>
      <c r="D71" s="676" t="s">
        <v>855</v>
      </c>
      <c r="E71" s="685"/>
      <c r="F71" s="676"/>
      <c r="G71" s="676"/>
      <c r="H71" s="676"/>
      <c r="I71" s="676"/>
      <c r="J71" s="685">
        <v>15.14692034825921</v>
      </c>
      <c r="K71" s="685"/>
      <c r="L71" s="685"/>
      <c r="M71" s="685"/>
      <c r="N71" s="685"/>
      <c r="O71" s="685"/>
      <c r="P71" s="685"/>
      <c r="Q71" s="685"/>
      <c r="R71" s="685"/>
      <c r="S71" s="685"/>
      <c r="T71" s="685"/>
      <c r="U71" s="685"/>
      <c r="V71" s="685"/>
      <c r="W71" s="685"/>
      <c r="X71" s="685"/>
      <c r="Y71" s="685"/>
      <c r="Z71" s="685"/>
      <c r="AA71" s="685"/>
      <c r="AB71" s="685"/>
      <c r="AC71" s="685"/>
      <c r="AD71" s="685"/>
      <c r="AE71" s="685"/>
      <c r="AF71" s="685"/>
      <c r="AG71" s="685"/>
      <c r="AH71" s="685"/>
      <c r="AI71" s="685"/>
      <c r="AJ71" s="685"/>
      <c r="AK71" s="685"/>
      <c r="AL71" s="685"/>
      <c r="AM71" s="685"/>
      <c r="AN71" s="685"/>
      <c r="AO71" s="685"/>
      <c r="AP71" s="675"/>
    </row>
    <row r="72" spans="1:42" ht="14.25" customHeight="1" x14ac:dyDescent="0.3">
      <c r="A72" s="1215"/>
      <c r="B72" s="644"/>
      <c r="C72" s="678"/>
      <c r="D72" s="676" t="s">
        <v>856</v>
      </c>
      <c r="E72" s="697"/>
      <c r="F72" s="687"/>
      <c r="G72" s="687"/>
      <c r="H72" s="687"/>
      <c r="I72" s="687"/>
      <c r="J72" s="685">
        <v>2.856541790072022E-2</v>
      </c>
      <c r="K72" s="685"/>
      <c r="L72" s="685"/>
      <c r="M72" s="685"/>
      <c r="N72" s="685"/>
      <c r="O72" s="685"/>
      <c r="P72" s="685"/>
      <c r="Q72" s="685"/>
      <c r="R72" s="685"/>
      <c r="S72" s="685"/>
      <c r="T72" s="685"/>
      <c r="U72" s="685"/>
      <c r="V72" s="685"/>
      <c r="W72" s="685"/>
      <c r="X72" s="685"/>
      <c r="Y72" s="685"/>
      <c r="Z72" s="685"/>
      <c r="AA72" s="685"/>
      <c r="AB72" s="685"/>
      <c r="AC72" s="685"/>
      <c r="AD72" s="685"/>
      <c r="AE72" s="685"/>
      <c r="AF72" s="685"/>
      <c r="AG72" s="685"/>
      <c r="AH72" s="685"/>
      <c r="AI72" s="685"/>
      <c r="AJ72" s="685"/>
      <c r="AK72" s="685"/>
      <c r="AL72" s="685"/>
      <c r="AM72" s="685"/>
      <c r="AN72" s="685"/>
      <c r="AO72" s="685"/>
      <c r="AP72" s="675"/>
    </row>
    <row r="73" spans="1:42" ht="14.25" customHeight="1" x14ac:dyDescent="0.3">
      <c r="A73" s="1215"/>
      <c r="B73" s="644"/>
      <c r="C73" s="678"/>
      <c r="D73" s="676" t="s">
        <v>857</v>
      </c>
      <c r="E73" s="697"/>
      <c r="F73" s="687"/>
      <c r="G73" s="687"/>
      <c r="H73" s="687"/>
      <c r="I73" s="687"/>
      <c r="J73" s="685">
        <v>10.22811018152164</v>
      </c>
      <c r="K73" s="685"/>
      <c r="L73" s="685"/>
      <c r="M73" s="685"/>
      <c r="N73" s="685"/>
      <c r="O73" s="685"/>
      <c r="P73" s="685"/>
      <c r="Q73" s="685"/>
      <c r="R73" s="685"/>
      <c r="S73" s="685"/>
      <c r="T73" s="685"/>
      <c r="U73" s="685"/>
      <c r="V73" s="685"/>
      <c r="W73" s="685"/>
      <c r="X73" s="685"/>
      <c r="Y73" s="685"/>
      <c r="Z73" s="685"/>
      <c r="AA73" s="685"/>
      <c r="AB73" s="685"/>
      <c r="AC73" s="685"/>
      <c r="AD73" s="685"/>
      <c r="AE73" s="685"/>
      <c r="AF73" s="685"/>
      <c r="AG73" s="685"/>
      <c r="AH73" s="685"/>
      <c r="AI73" s="685"/>
      <c r="AJ73" s="685"/>
      <c r="AK73" s="685"/>
      <c r="AL73" s="685"/>
      <c r="AM73" s="685"/>
      <c r="AN73" s="685"/>
      <c r="AO73" s="685"/>
      <c r="AP73" s="675"/>
    </row>
    <row r="74" spans="1:42" ht="14.25" customHeight="1" x14ac:dyDescent="0.3">
      <c r="A74" s="1215"/>
      <c r="B74" s="644"/>
      <c r="C74" s="678"/>
      <c r="D74" s="676" t="s">
        <v>858</v>
      </c>
      <c r="E74" s="697"/>
      <c r="F74" s="676"/>
      <c r="G74" s="676"/>
      <c r="H74" s="676"/>
      <c r="I74" s="676"/>
      <c r="J74" s="685">
        <v>36.477901340176793</v>
      </c>
      <c r="K74" s="685"/>
      <c r="L74" s="685"/>
      <c r="M74" s="685"/>
      <c r="N74" s="685"/>
      <c r="O74" s="685"/>
      <c r="P74" s="685"/>
      <c r="Q74" s="685"/>
      <c r="R74" s="685"/>
      <c r="S74" s="685"/>
      <c r="T74" s="685"/>
      <c r="U74" s="685"/>
      <c r="V74" s="685"/>
      <c r="W74" s="685"/>
      <c r="X74" s="685"/>
      <c r="Y74" s="685"/>
      <c r="Z74" s="685"/>
      <c r="AA74" s="685"/>
      <c r="AB74" s="685"/>
      <c r="AC74" s="685"/>
      <c r="AD74" s="685"/>
      <c r="AE74" s="685"/>
      <c r="AF74" s="685"/>
      <c r="AG74" s="685"/>
      <c r="AH74" s="685"/>
      <c r="AI74" s="685"/>
      <c r="AJ74" s="685"/>
      <c r="AK74" s="685"/>
      <c r="AL74" s="685"/>
      <c r="AM74" s="685"/>
      <c r="AN74" s="685"/>
      <c r="AO74" s="685"/>
      <c r="AP74" s="675"/>
    </row>
    <row r="75" spans="1:42" ht="14.25" customHeight="1" x14ac:dyDescent="0.3">
      <c r="A75" s="1215"/>
      <c r="B75" s="644"/>
      <c r="C75" s="678"/>
      <c r="D75" s="676" t="s">
        <v>859</v>
      </c>
      <c r="E75" s="697"/>
      <c r="F75" s="687"/>
      <c r="G75" s="687"/>
      <c r="H75" s="687"/>
      <c r="I75" s="687"/>
      <c r="J75" s="685">
        <v>23.023312460787089</v>
      </c>
      <c r="K75" s="685"/>
      <c r="L75" s="685"/>
      <c r="M75" s="685"/>
      <c r="N75" s="685"/>
      <c r="O75" s="685"/>
      <c r="P75" s="685"/>
      <c r="Q75" s="685"/>
      <c r="R75" s="685"/>
      <c r="S75" s="685"/>
      <c r="T75" s="685"/>
      <c r="U75" s="685"/>
      <c r="V75" s="685"/>
      <c r="W75" s="685"/>
      <c r="X75" s="685"/>
      <c r="Y75" s="685"/>
      <c r="Z75" s="685"/>
      <c r="AA75" s="685"/>
      <c r="AB75" s="685"/>
      <c r="AC75" s="685"/>
      <c r="AD75" s="685"/>
      <c r="AE75" s="685"/>
      <c r="AF75" s="685"/>
      <c r="AG75" s="685"/>
      <c r="AH75" s="685"/>
      <c r="AI75" s="685"/>
      <c r="AJ75" s="685"/>
      <c r="AK75" s="685"/>
      <c r="AL75" s="685"/>
      <c r="AM75" s="685"/>
      <c r="AN75" s="685"/>
      <c r="AO75" s="685"/>
      <c r="AP75" s="675"/>
    </row>
    <row r="76" spans="1:42" ht="14.25" customHeight="1" x14ac:dyDescent="0.3">
      <c r="A76" s="1215"/>
      <c r="B76" s="644"/>
      <c r="C76" s="678"/>
      <c r="D76" s="676" t="s">
        <v>860</v>
      </c>
      <c r="E76" s="697"/>
      <c r="F76" s="676"/>
      <c r="G76" s="676"/>
      <c r="H76" s="676"/>
      <c r="I76" s="676"/>
      <c r="J76" s="685">
        <v>11.243252901545929</v>
      </c>
      <c r="K76" s="685"/>
      <c r="L76" s="685"/>
      <c r="M76" s="685"/>
      <c r="N76" s="685"/>
      <c r="O76" s="685"/>
      <c r="P76" s="685"/>
      <c r="Q76" s="685"/>
      <c r="R76" s="685"/>
      <c r="S76" s="685"/>
      <c r="T76" s="685"/>
      <c r="U76" s="685"/>
      <c r="V76" s="685"/>
      <c r="W76" s="685"/>
      <c r="X76" s="685"/>
      <c r="Y76" s="685"/>
      <c r="Z76" s="685"/>
      <c r="AA76" s="685"/>
      <c r="AB76" s="685"/>
      <c r="AC76" s="685"/>
      <c r="AD76" s="685"/>
      <c r="AE76" s="685"/>
      <c r="AF76" s="685"/>
      <c r="AG76" s="685"/>
      <c r="AH76" s="685"/>
      <c r="AI76" s="685"/>
      <c r="AJ76" s="685"/>
      <c r="AK76" s="685"/>
      <c r="AL76" s="685"/>
      <c r="AM76" s="685"/>
      <c r="AN76" s="685"/>
      <c r="AO76" s="685"/>
      <c r="AP76" s="675"/>
    </row>
    <row r="77" spans="1:42" ht="14.25" customHeight="1" x14ac:dyDescent="0.3">
      <c r="A77" s="1215"/>
      <c r="B77" s="644"/>
      <c r="C77" s="678"/>
      <c r="D77" s="676" t="s">
        <v>861</v>
      </c>
      <c r="E77" s="697"/>
      <c r="F77" s="676"/>
      <c r="G77" s="676"/>
      <c r="H77" s="676"/>
      <c r="I77" s="676"/>
      <c r="J77" s="685">
        <v>15.164034161719668</v>
      </c>
      <c r="K77" s="685"/>
      <c r="L77" s="685"/>
      <c r="M77" s="685"/>
      <c r="N77" s="685"/>
      <c r="O77" s="685"/>
      <c r="P77" s="685"/>
      <c r="Q77" s="685"/>
      <c r="R77" s="685"/>
      <c r="S77" s="685"/>
      <c r="T77" s="685"/>
      <c r="U77" s="685"/>
      <c r="V77" s="685"/>
      <c r="W77" s="685"/>
      <c r="X77" s="685"/>
      <c r="Y77" s="685"/>
      <c r="Z77" s="685"/>
      <c r="AA77" s="685"/>
      <c r="AB77" s="685"/>
      <c r="AC77" s="685"/>
      <c r="AD77" s="685"/>
      <c r="AE77" s="685"/>
      <c r="AF77" s="685"/>
      <c r="AG77" s="685"/>
      <c r="AH77" s="685"/>
      <c r="AI77" s="685"/>
      <c r="AJ77" s="685"/>
      <c r="AK77" s="685"/>
      <c r="AL77" s="685"/>
      <c r="AM77" s="685"/>
      <c r="AN77" s="685"/>
      <c r="AO77" s="685"/>
      <c r="AP77" s="675"/>
    </row>
    <row r="78" spans="1:42" ht="13.5" customHeight="1" x14ac:dyDescent="0.3">
      <c r="A78" s="1215"/>
      <c r="B78" s="644"/>
      <c r="C78" s="678"/>
      <c r="D78" s="676" t="s">
        <v>862</v>
      </c>
      <c r="E78" s="697"/>
      <c r="F78" s="676"/>
      <c r="G78" s="676"/>
      <c r="H78" s="676"/>
      <c r="I78" s="676"/>
      <c r="J78" s="685">
        <v>64.527510233848801</v>
      </c>
      <c r="K78" s="685"/>
      <c r="L78" s="685"/>
      <c r="M78" s="685"/>
      <c r="N78" s="685"/>
      <c r="O78" s="685"/>
      <c r="P78" s="685"/>
      <c r="Q78" s="685"/>
      <c r="R78" s="685"/>
      <c r="S78" s="685"/>
      <c r="T78" s="685"/>
      <c r="U78" s="685"/>
      <c r="V78" s="685"/>
      <c r="W78" s="685"/>
      <c r="X78" s="685"/>
      <c r="Y78" s="685"/>
      <c r="Z78" s="685"/>
      <c r="AA78" s="685"/>
      <c r="AB78" s="685"/>
      <c r="AC78" s="685"/>
      <c r="AD78" s="685"/>
      <c r="AE78" s="685"/>
      <c r="AF78" s="685"/>
      <c r="AG78" s="685"/>
      <c r="AH78" s="685"/>
      <c r="AI78" s="685"/>
      <c r="AJ78" s="685"/>
      <c r="AK78" s="685"/>
      <c r="AL78" s="685"/>
      <c r="AM78" s="685"/>
      <c r="AN78" s="685"/>
      <c r="AO78" s="685"/>
      <c r="AP78" s="675"/>
    </row>
    <row r="79" spans="1:42" ht="13.5" customHeight="1" x14ac:dyDescent="0.3">
      <c r="A79" s="1215"/>
      <c r="B79" s="644"/>
      <c r="C79" s="678"/>
      <c r="D79" s="676" t="s">
        <v>863</v>
      </c>
      <c r="E79" s="697"/>
      <c r="F79" s="676"/>
      <c r="G79" s="676"/>
      <c r="H79" s="676"/>
      <c r="I79" s="676"/>
      <c r="J79" s="685">
        <v>434.08539429172839</v>
      </c>
      <c r="K79" s="685"/>
      <c r="L79" s="685"/>
      <c r="M79" s="685"/>
      <c r="N79" s="685"/>
      <c r="O79" s="685"/>
      <c r="P79" s="685"/>
      <c r="Q79" s="685"/>
      <c r="R79" s="685"/>
      <c r="S79" s="685"/>
      <c r="T79" s="685"/>
      <c r="U79" s="685"/>
      <c r="V79" s="685"/>
      <c r="W79" s="685"/>
      <c r="X79" s="685"/>
      <c r="Y79" s="685"/>
      <c r="Z79" s="685"/>
      <c r="AA79" s="685"/>
      <c r="AB79" s="685"/>
      <c r="AC79" s="685"/>
      <c r="AD79" s="685"/>
      <c r="AE79" s="685"/>
      <c r="AF79" s="685"/>
      <c r="AG79" s="685"/>
      <c r="AH79" s="685"/>
      <c r="AI79" s="685"/>
      <c r="AJ79" s="685"/>
      <c r="AK79" s="685"/>
      <c r="AL79" s="685"/>
      <c r="AM79" s="685"/>
      <c r="AN79" s="685"/>
      <c r="AO79" s="685"/>
      <c r="AP79" s="675"/>
    </row>
    <row r="80" spans="1:42" ht="13.5" customHeight="1" x14ac:dyDescent="0.3">
      <c r="A80" s="972"/>
      <c r="B80" s="644"/>
      <c r="C80" s="678"/>
      <c r="D80" s="676"/>
      <c r="E80" s="697"/>
      <c r="F80" s="676"/>
      <c r="G80" s="676"/>
      <c r="H80" s="676"/>
      <c r="I80" s="676"/>
      <c r="J80" s="685"/>
      <c r="K80" s="685"/>
      <c r="L80" s="685"/>
      <c r="M80" s="685"/>
      <c r="N80" s="685"/>
      <c r="O80" s="685"/>
      <c r="P80" s="685"/>
      <c r="Q80" s="685"/>
      <c r="R80" s="685"/>
      <c r="S80" s="685"/>
      <c r="T80" s="685"/>
      <c r="U80" s="685"/>
      <c r="V80" s="685"/>
      <c r="W80" s="685"/>
      <c r="X80" s="685"/>
      <c r="Y80" s="685"/>
      <c r="Z80" s="685"/>
      <c r="AA80" s="685"/>
      <c r="AB80" s="685"/>
      <c r="AC80" s="685"/>
      <c r="AD80" s="685"/>
      <c r="AE80" s="685"/>
      <c r="AF80" s="685"/>
      <c r="AG80" s="685"/>
      <c r="AH80" s="685"/>
      <c r="AI80" s="685"/>
      <c r="AJ80" s="685"/>
      <c r="AK80" s="685"/>
      <c r="AL80" s="685"/>
      <c r="AM80" s="685"/>
      <c r="AN80" s="685"/>
      <c r="AO80" s="685"/>
      <c r="AP80" s="675"/>
    </row>
    <row r="81" spans="1:63" ht="14.25" customHeight="1" x14ac:dyDescent="0.3">
      <c r="A81" s="973"/>
      <c r="B81" s="644"/>
      <c r="C81" s="679"/>
      <c r="D81" s="672" t="s">
        <v>869</v>
      </c>
      <c r="E81" s="672"/>
      <c r="F81" s="672"/>
      <c r="G81" s="676"/>
      <c r="H81" s="676"/>
      <c r="I81" s="676"/>
      <c r="J81" s="676"/>
      <c r="K81" s="676"/>
      <c r="L81" s="676"/>
      <c r="M81" s="676"/>
      <c r="N81" s="676"/>
      <c r="O81" s="676"/>
      <c r="P81" s="676"/>
      <c r="Q81" s="676"/>
      <c r="R81" s="676"/>
      <c r="S81" s="676"/>
      <c r="T81" s="676"/>
      <c r="U81" s="676"/>
      <c r="V81" s="676"/>
      <c r="W81" s="676"/>
      <c r="X81" s="676"/>
      <c r="Y81" s="676"/>
      <c r="Z81" s="676"/>
      <c r="AA81" s="676"/>
      <c r="AB81" s="676"/>
      <c r="AC81" s="676"/>
      <c r="AD81" s="676"/>
      <c r="AE81" s="676"/>
      <c r="AF81" s="676"/>
      <c r="AG81" s="676"/>
      <c r="AH81" s="676"/>
      <c r="AI81" s="676"/>
      <c r="AJ81" s="676"/>
      <c r="AK81" s="676"/>
      <c r="AL81" s="676"/>
      <c r="AM81" s="676"/>
      <c r="AN81" s="676"/>
      <c r="AO81" s="676"/>
      <c r="AP81" s="675"/>
    </row>
    <row r="82" spans="1:63" ht="14.25" customHeight="1" x14ac:dyDescent="0.3">
      <c r="A82" s="973"/>
      <c r="B82" s="644"/>
      <c r="C82" s="679"/>
      <c r="D82" s="672"/>
      <c r="E82" s="672"/>
      <c r="F82" s="672"/>
      <c r="G82" s="676"/>
      <c r="H82" s="676"/>
      <c r="I82" s="676"/>
      <c r="J82" s="676"/>
      <c r="K82" s="676"/>
      <c r="L82" s="676"/>
      <c r="M82" s="676"/>
      <c r="N82" s="676"/>
      <c r="O82" s="676"/>
      <c r="P82" s="676"/>
      <c r="Q82" s="676"/>
      <c r="R82" s="676"/>
      <c r="S82" s="676"/>
      <c r="T82" s="676"/>
      <c r="U82" s="676"/>
      <c r="V82" s="676"/>
      <c r="W82" s="676"/>
      <c r="X82" s="676"/>
      <c r="Y82" s="676"/>
      <c r="Z82" s="676"/>
      <c r="AA82" s="676"/>
      <c r="AB82" s="676"/>
      <c r="AC82" s="676"/>
      <c r="AD82" s="676"/>
      <c r="AE82" s="676"/>
      <c r="AF82" s="676"/>
      <c r="AG82" s="676"/>
      <c r="AH82" s="676"/>
      <c r="AI82" s="676"/>
      <c r="AJ82" s="676"/>
      <c r="AK82" s="676"/>
      <c r="AL82" s="676"/>
      <c r="AM82" s="676"/>
      <c r="AN82" s="676"/>
      <c r="AO82" s="676"/>
      <c r="AP82" s="675"/>
    </row>
    <row r="83" spans="1:63" ht="14" customHeight="1" x14ac:dyDescent="0.3">
      <c r="A83" s="1215" t="s">
        <v>870</v>
      </c>
      <c r="B83" s="644"/>
      <c r="C83" s="679"/>
      <c r="D83" s="676" t="s">
        <v>849</v>
      </c>
      <c r="E83" s="672"/>
      <c r="F83" s="672"/>
      <c r="G83" s="676"/>
      <c r="H83" s="676"/>
      <c r="I83" s="676"/>
      <c r="J83" s="860">
        <v>76.719563102785116</v>
      </c>
      <c r="K83" s="860">
        <v>76.719563102785116</v>
      </c>
      <c r="L83" s="860">
        <v>76.719563102785116</v>
      </c>
      <c r="M83" s="843">
        <f>L83*(1+M$4)</f>
        <v>72.726723387398536</v>
      </c>
      <c r="N83" s="843">
        <f t="shared" ref="N83:AO92" si="21">M83*(1+N$4)</f>
        <v>68.562761969923955</v>
      </c>
      <c r="O83" s="843">
        <f t="shared" si="21"/>
        <v>64.741043956625361</v>
      </c>
      <c r="P83" s="843">
        <f t="shared" si="21"/>
        <v>62.915745801020059</v>
      </c>
      <c r="Q83" s="843">
        <f t="shared" si="21"/>
        <v>62.573502396844077</v>
      </c>
      <c r="R83" s="843">
        <f t="shared" si="21"/>
        <v>63.200948637833392</v>
      </c>
      <c r="S83" s="843">
        <f t="shared" si="21"/>
        <v>64.626962821900037</v>
      </c>
      <c r="T83" s="843">
        <f t="shared" si="21"/>
        <v>66.167058140692006</v>
      </c>
      <c r="U83" s="843">
        <f t="shared" si="21"/>
        <v>67.193788353219986</v>
      </c>
      <c r="V83" s="843">
        <f t="shared" si="21"/>
        <v>68.847964806737295</v>
      </c>
      <c r="W83" s="843">
        <f t="shared" si="21"/>
        <v>69.076127076187959</v>
      </c>
      <c r="X83" s="843">
        <f t="shared" si="21"/>
        <v>69.988776153990599</v>
      </c>
      <c r="Y83" s="843">
        <f t="shared" si="21"/>
        <v>69.988776153990599</v>
      </c>
      <c r="Z83" s="843">
        <f t="shared" si="21"/>
        <v>69.703573317177273</v>
      </c>
      <c r="AA83" s="843">
        <f t="shared" si="21"/>
        <v>69.703573317177273</v>
      </c>
      <c r="AB83" s="843">
        <f t="shared" si="21"/>
        <v>69.760613884539936</v>
      </c>
      <c r="AC83" s="843">
        <f t="shared" si="21"/>
        <v>69.817654451902598</v>
      </c>
      <c r="AD83" s="843">
        <f t="shared" si="21"/>
        <v>69.817654451902598</v>
      </c>
      <c r="AE83" s="843">
        <f t="shared" si="21"/>
        <v>69.988776153990599</v>
      </c>
      <c r="AF83" s="843">
        <f t="shared" si="21"/>
        <v>69.874695019265275</v>
      </c>
      <c r="AG83" s="843">
        <f t="shared" si="21"/>
        <v>69.532451615089272</v>
      </c>
      <c r="AH83" s="843">
        <f t="shared" si="21"/>
        <v>69.361329913001271</v>
      </c>
      <c r="AI83" s="843">
        <f t="shared" si="21"/>
        <v>68.733883672011956</v>
      </c>
      <c r="AJ83" s="843">
        <f t="shared" si="21"/>
        <v>68.505721402561292</v>
      </c>
      <c r="AK83" s="843">
        <f t="shared" si="21"/>
        <v>68.391640267835967</v>
      </c>
      <c r="AL83" s="843">
        <f t="shared" si="21"/>
        <v>68.277559133110643</v>
      </c>
      <c r="AM83" s="843">
        <f t="shared" si="21"/>
        <v>68.22051856574798</v>
      </c>
      <c r="AN83" s="843">
        <f t="shared" si="21"/>
        <v>68.106437431022641</v>
      </c>
      <c r="AO83" s="843">
        <f t="shared" si="21"/>
        <v>67.878275161571977</v>
      </c>
      <c r="AP83" s="843">
        <f t="shared" ref="AP83:BE97" si="22">AO83*(1+AP$4)</f>
        <v>67.916446024002866</v>
      </c>
      <c r="AQ83" s="843">
        <f t="shared" si="22"/>
        <v>67.954616886433755</v>
      </c>
      <c r="AR83" s="843">
        <f t="shared" si="22"/>
        <v>67.992787748864657</v>
      </c>
      <c r="AS83" s="843">
        <f t="shared" si="22"/>
        <v>68.030958611295546</v>
      </c>
      <c r="AT83" s="843">
        <f t="shared" si="22"/>
        <v>68.069129473726434</v>
      </c>
      <c r="AU83" s="843">
        <f t="shared" si="22"/>
        <v>68.107300336157323</v>
      </c>
      <c r="AV83" s="843">
        <f t="shared" si="22"/>
        <v>68.145471198588211</v>
      </c>
      <c r="AW83" s="843">
        <f t="shared" si="22"/>
        <v>68.1836420610191</v>
      </c>
      <c r="AX83" s="843">
        <f t="shared" si="22"/>
        <v>68.221812923450003</v>
      </c>
      <c r="AY83" s="843">
        <f t="shared" si="22"/>
        <v>68.259983785880891</v>
      </c>
      <c r="AZ83" s="843">
        <f t="shared" si="22"/>
        <v>68.29815464831178</v>
      </c>
      <c r="BA83" s="843">
        <f t="shared" si="22"/>
        <v>68.336325510742668</v>
      </c>
      <c r="BB83" s="843">
        <f t="shared" si="22"/>
        <v>68.374496373173571</v>
      </c>
      <c r="BC83" s="843">
        <f t="shared" si="22"/>
        <v>68.412667235604445</v>
      </c>
      <c r="BD83" s="843">
        <f t="shared" si="22"/>
        <v>68.450838098035334</v>
      </c>
      <c r="BE83" s="843">
        <f t="shared" si="22"/>
        <v>68.489008960466236</v>
      </c>
      <c r="BF83" s="843">
        <f t="shared" ref="BF83:BI97" si="23">BE83*(1+BF$4)</f>
        <v>68.527179822897125</v>
      </c>
      <c r="BG83" s="843">
        <f t="shared" si="23"/>
        <v>68.565350685328013</v>
      </c>
      <c r="BH83" s="843">
        <f t="shared" si="23"/>
        <v>68.603521547758916</v>
      </c>
      <c r="BI83" s="843">
        <f t="shared" si="23"/>
        <v>68.641692410189805</v>
      </c>
      <c r="BJ83" s="841"/>
      <c r="BK83" s="841"/>
    </row>
    <row r="84" spans="1:63" ht="14.25" customHeight="1" x14ac:dyDescent="0.3">
      <c r="A84" s="1215"/>
      <c r="B84" s="644"/>
      <c r="C84" s="678"/>
      <c r="D84" s="676" t="s">
        <v>865</v>
      </c>
      <c r="E84" s="676"/>
      <c r="F84" s="676"/>
      <c r="G84" s="676"/>
      <c r="H84" s="676"/>
      <c r="I84" s="676"/>
      <c r="J84" s="860">
        <v>293.25240000000002</v>
      </c>
      <c r="K84" s="860">
        <v>293.25240000000002</v>
      </c>
      <c r="L84" s="860">
        <v>293.25240000000002</v>
      </c>
      <c r="M84" s="843">
        <f t="shared" ref="M84:AB97" si="24">L84*(1+M$4)</f>
        <v>277.9901933085502</v>
      </c>
      <c r="N84" s="843">
        <f t="shared" si="24"/>
        <v>262.07389204460969</v>
      </c>
      <c r="O84" s="843">
        <f t="shared" si="24"/>
        <v>247.46577992565059</v>
      </c>
      <c r="P84" s="843">
        <f t="shared" si="24"/>
        <v>240.48877115241638</v>
      </c>
      <c r="Q84" s="843">
        <f t="shared" si="24"/>
        <v>239.18058200743499</v>
      </c>
      <c r="R84" s="843">
        <f t="shared" si="24"/>
        <v>241.57892877323422</v>
      </c>
      <c r="S84" s="843">
        <f t="shared" si="24"/>
        <v>247.02971687732347</v>
      </c>
      <c r="T84" s="843">
        <f t="shared" si="24"/>
        <v>252.91656802973984</v>
      </c>
      <c r="U84" s="843">
        <f t="shared" si="24"/>
        <v>256.84113546468404</v>
      </c>
      <c r="V84" s="843">
        <f t="shared" si="24"/>
        <v>263.16404966542757</v>
      </c>
      <c r="W84" s="843">
        <f t="shared" si="24"/>
        <v>264.03617576208183</v>
      </c>
      <c r="X84" s="843">
        <f t="shared" si="24"/>
        <v>267.52468014869891</v>
      </c>
      <c r="Y84" s="843">
        <f t="shared" si="24"/>
        <v>267.52468014869891</v>
      </c>
      <c r="Z84" s="843">
        <f t="shared" si="24"/>
        <v>266.43452252788109</v>
      </c>
      <c r="AA84" s="843">
        <f t="shared" si="24"/>
        <v>266.43452252788109</v>
      </c>
      <c r="AB84" s="843">
        <f t="shared" si="24"/>
        <v>266.65255405204465</v>
      </c>
      <c r="AC84" s="843">
        <f t="shared" si="21"/>
        <v>266.87058557620821</v>
      </c>
      <c r="AD84" s="843">
        <f t="shared" si="21"/>
        <v>266.87058557620821</v>
      </c>
      <c r="AE84" s="843">
        <f t="shared" si="21"/>
        <v>267.52468014869891</v>
      </c>
      <c r="AF84" s="843">
        <f t="shared" si="21"/>
        <v>267.08861710037178</v>
      </c>
      <c r="AG84" s="843">
        <f t="shared" si="21"/>
        <v>265.78042795539034</v>
      </c>
      <c r="AH84" s="843">
        <f t="shared" si="21"/>
        <v>265.12633338289965</v>
      </c>
      <c r="AI84" s="843">
        <f t="shared" si="21"/>
        <v>262.72798661710038</v>
      </c>
      <c r="AJ84" s="843">
        <f t="shared" si="21"/>
        <v>261.85586052044607</v>
      </c>
      <c r="AK84" s="843">
        <f t="shared" si="21"/>
        <v>261.41979747211894</v>
      </c>
      <c r="AL84" s="843">
        <f t="shared" si="21"/>
        <v>260.98373442379182</v>
      </c>
      <c r="AM84" s="843">
        <f t="shared" si="21"/>
        <v>260.76570289962825</v>
      </c>
      <c r="AN84" s="843">
        <f t="shared" si="21"/>
        <v>260.32963985130107</v>
      </c>
      <c r="AO84" s="843">
        <f t="shared" si="21"/>
        <v>259.45751375464681</v>
      </c>
      <c r="AP84" s="843">
        <f t="shared" si="22"/>
        <v>259.60341783132844</v>
      </c>
      <c r="AQ84" s="843">
        <f t="shared" si="22"/>
        <v>259.74932190801007</v>
      </c>
      <c r="AR84" s="843">
        <f t="shared" si="22"/>
        <v>259.89522598469171</v>
      </c>
      <c r="AS84" s="843">
        <f t="shared" si="22"/>
        <v>260.04113006137334</v>
      </c>
      <c r="AT84" s="843">
        <f t="shared" si="22"/>
        <v>260.18703413805497</v>
      </c>
      <c r="AU84" s="843">
        <f t="shared" si="22"/>
        <v>260.3329382147366</v>
      </c>
      <c r="AV84" s="843">
        <f t="shared" si="22"/>
        <v>260.47884229141823</v>
      </c>
      <c r="AW84" s="843">
        <f t="shared" si="22"/>
        <v>260.62474636809986</v>
      </c>
      <c r="AX84" s="843">
        <f t="shared" si="22"/>
        <v>260.7706504447815</v>
      </c>
      <c r="AY84" s="843">
        <f t="shared" si="22"/>
        <v>260.91655452146313</v>
      </c>
      <c r="AZ84" s="843">
        <f t="shared" si="22"/>
        <v>261.06245859814476</v>
      </c>
      <c r="BA84" s="843">
        <f t="shared" si="22"/>
        <v>261.20836267482639</v>
      </c>
      <c r="BB84" s="843">
        <f t="shared" si="22"/>
        <v>261.35426675150802</v>
      </c>
      <c r="BC84" s="843">
        <f t="shared" si="22"/>
        <v>261.5001708281896</v>
      </c>
      <c r="BD84" s="843">
        <f t="shared" si="22"/>
        <v>261.64607490487123</v>
      </c>
      <c r="BE84" s="843">
        <f t="shared" si="22"/>
        <v>261.79197898155286</v>
      </c>
      <c r="BF84" s="843">
        <f t="shared" si="23"/>
        <v>261.93788305823449</v>
      </c>
      <c r="BG84" s="843">
        <f t="shared" si="23"/>
        <v>262.08378713491612</v>
      </c>
      <c r="BH84" s="843">
        <f t="shared" si="23"/>
        <v>262.22969121159775</v>
      </c>
      <c r="BI84" s="843">
        <f t="shared" si="23"/>
        <v>262.37559528827938</v>
      </c>
      <c r="BJ84" s="841"/>
      <c r="BK84" s="841"/>
    </row>
    <row r="85" spans="1:63" ht="14.25" customHeight="1" x14ac:dyDescent="0.3">
      <c r="A85" s="1215"/>
      <c r="B85" s="644"/>
      <c r="C85" s="678"/>
      <c r="D85" s="676" t="s">
        <v>851</v>
      </c>
      <c r="E85" s="687"/>
      <c r="F85" s="687"/>
      <c r="G85" s="687"/>
      <c r="H85" s="687"/>
      <c r="I85" s="687"/>
      <c r="J85" s="860">
        <v>59.594925769562181</v>
      </c>
      <c r="K85" s="860">
        <v>59.594925769562181</v>
      </c>
      <c r="L85" s="860">
        <v>59.594925769562181</v>
      </c>
      <c r="M85" s="843">
        <f t="shared" si="24"/>
        <v>56.493331119845195</v>
      </c>
      <c r="N85" s="843">
        <f t="shared" si="21"/>
        <v>53.258810985140336</v>
      </c>
      <c r="O85" s="843">
        <f t="shared" si="21"/>
        <v>50.290141820411222</v>
      </c>
      <c r="P85" s="843">
        <f t="shared" si="21"/>
        <v>48.872269980540594</v>
      </c>
      <c r="Q85" s="843">
        <f t="shared" si="21"/>
        <v>48.606419010564856</v>
      </c>
      <c r="R85" s="843">
        <f t="shared" si="21"/>
        <v>49.093812455520379</v>
      </c>
      <c r="S85" s="843">
        <f t="shared" si="21"/>
        <v>50.201524830419309</v>
      </c>
      <c r="T85" s="843">
        <f t="shared" si="21"/>
        <v>51.397854195310153</v>
      </c>
      <c r="U85" s="843">
        <f t="shared" si="21"/>
        <v>52.195407105237379</v>
      </c>
      <c r="V85" s="843">
        <f t="shared" si="21"/>
        <v>53.480353460120142</v>
      </c>
      <c r="W85" s="843">
        <f t="shared" si="21"/>
        <v>53.657587440103967</v>
      </c>
      <c r="X85" s="843">
        <f t="shared" si="21"/>
        <v>54.366523360039274</v>
      </c>
      <c r="Y85" s="843">
        <f t="shared" si="21"/>
        <v>54.366523360039274</v>
      </c>
      <c r="Z85" s="843">
        <f t="shared" si="21"/>
        <v>54.144980885059489</v>
      </c>
      <c r="AA85" s="843">
        <f t="shared" si="21"/>
        <v>54.144980885059489</v>
      </c>
      <c r="AB85" s="843">
        <f t="shared" si="21"/>
        <v>54.189289380055449</v>
      </c>
      <c r="AC85" s="843">
        <f t="shared" si="21"/>
        <v>54.233597875051402</v>
      </c>
      <c r="AD85" s="843">
        <f t="shared" si="21"/>
        <v>54.233597875051402</v>
      </c>
      <c r="AE85" s="843">
        <f t="shared" si="21"/>
        <v>54.366523360039274</v>
      </c>
      <c r="AF85" s="843">
        <f t="shared" si="21"/>
        <v>54.277906370047361</v>
      </c>
      <c r="AG85" s="843">
        <f t="shared" si="21"/>
        <v>54.012055400071617</v>
      </c>
      <c r="AH85" s="843">
        <f t="shared" si="21"/>
        <v>53.879129915083745</v>
      </c>
      <c r="AI85" s="843">
        <f t="shared" si="21"/>
        <v>53.391736470128222</v>
      </c>
      <c r="AJ85" s="843">
        <f t="shared" si="21"/>
        <v>53.21450249014439</v>
      </c>
      <c r="AK85" s="843">
        <f t="shared" si="21"/>
        <v>53.125885500152478</v>
      </c>
      <c r="AL85" s="843">
        <f t="shared" si="21"/>
        <v>53.037268510160565</v>
      </c>
      <c r="AM85" s="843">
        <f t="shared" si="21"/>
        <v>52.992960015164613</v>
      </c>
      <c r="AN85" s="843">
        <f t="shared" si="21"/>
        <v>52.904343025172693</v>
      </c>
      <c r="AO85" s="843">
        <f t="shared" si="21"/>
        <v>52.727109045188868</v>
      </c>
      <c r="AP85" s="843">
        <f t="shared" si="22"/>
        <v>52.756759757746778</v>
      </c>
      <c r="AQ85" s="843">
        <f t="shared" si="22"/>
        <v>52.786410470304688</v>
      </c>
      <c r="AR85" s="843">
        <f t="shared" si="22"/>
        <v>52.816061182862605</v>
      </c>
      <c r="AS85" s="843">
        <f t="shared" si="22"/>
        <v>52.845711895420514</v>
      </c>
      <c r="AT85" s="843">
        <f t="shared" si="22"/>
        <v>52.875362607978424</v>
      </c>
      <c r="AU85" s="843">
        <f t="shared" si="22"/>
        <v>52.905013320536334</v>
      </c>
      <c r="AV85" s="843">
        <f t="shared" si="22"/>
        <v>52.934664033094244</v>
      </c>
      <c r="AW85" s="843">
        <f t="shared" si="22"/>
        <v>52.964314745652153</v>
      </c>
      <c r="AX85" s="843">
        <f t="shared" si="22"/>
        <v>52.99396545821007</v>
      </c>
      <c r="AY85" s="843">
        <f t="shared" si="22"/>
        <v>53.02361617076798</v>
      </c>
      <c r="AZ85" s="843">
        <f t="shared" si="22"/>
        <v>53.05326688332589</v>
      </c>
      <c r="BA85" s="843">
        <f t="shared" si="22"/>
        <v>53.082917595883799</v>
      </c>
      <c r="BB85" s="843">
        <f t="shared" si="22"/>
        <v>53.112568308441716</v>
      </c>
      <c r="BC85" s="843">
        <f t="shared" si="22"/>
        <v>53.142219020999619</v>
      </c>
      <c r="BD85" s="843">
        <f t="shared" si="22"/>
        <v>53.171869733557529</v>
      </c>
      <c r="BE85" s="843">
        <f t="shared" si="22"/>
        <v>53.201520446115445</v>
      </c>
      <c r="BF85" s="843">
        <f t="shared" si="23"/>
        <v>53.231171158673355</v>
      </c>
      <c r="BG85" s="843">
        <f t="shared" si="23"/>
        <v>53.260821871231265</v>
      </c>
      <c r="BH85" s="843">
        <f t="shared" si="23"/>
        <v>53.290472583789182</v>
      </c>
      <c r="BI85" s="843">
        <f t="shared" si="23"/>
        <v>53.320123296347091</v>
      </c>
      <c r="BJ85" s="841"/>
      <c r="BK85" s="841"/>
    </row>
    <row r="86" spans="1:63" ht="14.25" customHeight="1" x14ac:dyDescent="0.3">
      <c r="A86" s="1215"/>
      <c r="B86" s="644"/>
      <c r="C86" s="678"/>
      <c r="D86" s="676" t="s">
        <v>852</v>
      </c>
      <c r="E86" s="687"/>
      <c r="F86" s="687"/>
      <c r="G86" s="687"/>
      <c r="H86" s="687"/>
      <c r="I86" s="687"/>
      <c r="J86" s="860">
        <v>103.44</v>
      </c>
      <c r="K86" s="860">
        <v>103.44</v>
      </c>
      <c r="L86" s="860">
        <v>103.44</v>
      </c>
      <c r="M86" s="843">
        <f t="shared" si="24"/>
        <v>98.056505576208181</v>
      </c>
      <c r="N86" s="843">
        <f t="shared" si="21"/>
        <v>92.442289962825285</v>
      </c>
      <c r="O86" s="843">
        <f t="shared" si="21"/>
        <v>87.289516728624548</v>
      </c>
      <c r="P86" s="843">
        <f t="shared" si="21"/>
        <v>84.828490706319712</v>
      </c>
      <c r="Q86" s="843">
        <f t="shared" si="21"/>
        <v>84.367048327137567</v>
      </c>
      <c r="R86" s="843">
        <f t="shared" si="21"/>
        <v>85.213026022304845</v>
      </c>
      <c r="S86" s="843">
        <f t="shared" si="21"/>
        <v>87.135702602230509</v>
      </c>
      <c r="T86" s="843">
        <f t="shared" si="21"/>
        <v>89.212193308550212</v>
      </c>
      <c r="U86" s="843">
        <f t="shared" si="21"/>
        <v>90.596520446096676</v>
      </c>
      <c r="V86" s="843">
        <f t="shared" si="21"/>
        <v>92.826825278810446</v>
      </c>
      <c r="W86" s="843">
        <f t="shared" si="21"/>
        <v>93.134453531598552</v>
      </c>
      <c r="X86" s="843">
        <f t="shared" si="21"/>
        <v>94.364966542750963</v>
      </c>
      <c r="Y86" s="843">
        <f t="shared" si="21"/>
        <v>94.364966542750963</v>
      </c>
      <c r="Z86" s="843">
        <f t="shared" si="21"/>
        <v>93.98043122676583</v>
      </c>
      <c r="AA86" s="843">
        <f t="shared" si="21"/>
        <v>93.98043122676583</v>
      </c>
      <c r="AB86" s="843">
        <f t="shared" si="21"/>
        <v>94.057338289962857</v>
      </c>
      <c r="AC86" s="843">
        <f t="shared" si="21"/>
        <v>94.134245353159884</v>
      </c>
      <c r="AD86" s="843">
        <f t="shared" si="21"/>
        <v>94.134245353159884</v>
      </c>
      <c r="AE86" s="843">
        <f t="shared" si="21"/>
        <v>94.364966542750963</v>
      </c>
      <c r="AF86" s="843">
        <f t="shared" si="21"/>
        <v>94.21115241635691</v>
      </c>
      <c r="AG86" s="843">
        <f t="shared" si="21"/>
        <v>93.749710037174751</v>
      </c>
      <c r="AH86" s="843">
        <f t="shared" si="21"/>
        <v>93.518988847583671</v>
      </c>
      <c r="AI86" s="843">
        <f t="shared" si="21"/>
        <v>92.673011152416393</v>
      </c>
      <c r="AJ86" s="843">
        <f t="shared" si="21"/>
        <v>92.365382899628273</v>
      </c>
      <c r="AK86" s="843">
        <f t="shared" si="21"/>
        <v>92.211568773234234</v>
      </c>
      <c r="AL86" s="843">
        <f t="shared" si="21"/>
        <v>92.057754646840181</v>
      </c>
      <c r="AM86" s="843">
        <f t="shared" si="21"/>
        <v>91.980847583643154</v>
      </c>
      <c r="AN86" s="843">
        <f t="shared" si="21"/>
        <v>91.827033457249087</v>
      </c>
      <c r="AO86" s="843">
        <f t="shared" si="21"/>
        <v>91.51940520446098</v>
      </c>
      <c r="AP86" s="843">
        <f t="shared" si="22"/>
        <v>91.570870487241095</v>
      </c>
      <c r="AQ86" s="843">
        <f t="shared" si="22"/>
        <v>91.622335770021209</v>
      </c>
      <c r="AR86" s="843">
        <f t="shared" si="22"/>
        <v>91.673801052801338</v>
      </c>
      <c r="AS86" s="843">
        <f t="shared" si="22"/>
        <v>91.725266335581452</v>
      </c>
      <c r="AT86" s="843">
        <f t="shared" si="22"/>
        <v>91.776731618361566</v>
      </c>
      <c r="AU86" s="843">
        <f t="shared" si="22"/>
        <v>91.828196901141681</v>
      </c>
      <c r="AV86" s="843">
        <f t="shared" si="22"/>
        <v>91.879662183921795</v>
      </c>
      <c r="AW86" s="843">
        <f t="shared" si="22"/>
        <v>91.931127466701909</v>
      </c>
      <c r="AX86" s="843">
        <f t="shared" si="22"/>
        <v>91.982592749482023</v>
      </c>
      <c r="AY86" s="843">
        <f t="shared" si="22"/>
        <v>92.034058032262138</v>
      </c>
      <c r="AZ86" s="843">
        <f t="shared" si="22"/>
        <v>92.085523315042252</v>
      </c>
      <c r="BA86" s="843">
        <f t="shared" si="22"/>
        <v>92.136988597822352</v>
      </c>
      <c r="BB86" s="843">
        <f t="shared" si="22"/>
        <v>92.188453880602466</v>
      </c>
      <c r="BC86" s="843">
        <f t="shared" si="22"/>
        <v>92.239919163382567</v>
      </c>
      <c r="BD86" s="843">
        <f t="shared" si="22"/>
        <v>92.291384446162681</v>
      </c>
      <c r="BE86" s="843">
        <f t="shared" si="22"/>
        <v>92.342849728942795</v>
      </c>
      <c r="BF86" s="843">
        <f t="shared" si="23"/>
        <v>92.39431501172291</v>
      </c>
      <c r="BG86" s="843">
        <f t="shared" si="23"/>
        <v>92.445780294503024</v>
      </c>
      <c r="BH86" s="843">
        <f t="shared" si="23"/>
        <v>92.497245577283138</v>
      </c>
      <c r="BI86" s="843">
        <f t="shared" si="23"/>
        <v>92.548710860063252</v>
      </c>
      <c r="BJ86" s="841"/>
      <c r="BK86" s="841"/>
    </row>
    <row r="87" spans="1:63" ht="14.25" customHeight="1" x14ac:dyDescent="0.3">
      <c r="A87" s="1215"/>
      <c r="B87" s="644"/>
      <c r="C87" s="678"/>
      <c r="D87" s="676" t="s">
        <v>853</v>
      </c>
      <c r="E87" s="687"/>
      <c r="F87" s="687"/>
      <c r="G87" s="687"/>
      <c r="H87" s="687"/>
      <c r="I87" s="687"/>
      <c r="J87" s="860">
        <v>445.99824932116167</v>
      </c>
      <c r="K87" s="860">
        <v>445.99824932116167</v>
      </c>
      <c r="L87" s="860">
        <v>445.99824932116167</v>
      </c>
      <c r="M87" s="843">
        <f t="shared" si="24"/>
        <v>422.78644452377779</v>
      </c>
      <c r="N87" s="843">
        <f t="shared" si="21"/>
        <v>398.57984809222029</v>
      </c>
      <c r="O87" s="843">
        <f t="shared" si="21"/>
        <v>376.36283492901003</v>
      </c>
      <c r="P87" s="843">
        <f t="shared" si="21"/>
        <v>365.75172416449169</v>
      </c>
      <c r="Q87" s="843">
        <f t="shared" si="21"/>
        <v>363.76214089614456</v>
      </c>
      <c r="R87" s="843">
        <f t="shared" si="21"/>
        <v>367.40971022144771</v>
      </c>
      <c r="S87" s="843">
        <f t="shared" si="21"/>
        <v>375.69964050622769</v>
      </c>
      <c r="T87" s="843">
        <f t="shared" si="21"/>
        <v>384.65276521379008</v>
      </c>
      <c r="U87" s="843">
        <f t="shared" si="21"/>
        <v>390.62151501883164</v>
      </c>
      <c r="V87" s="843">
        <f t="shared" si="21"/>
        <v>400.23783414917648</v>
      </c>
      <c r="W87" s="843">
        <f t="shared" si="21"/>
        <v>401.56422299474127</v>
      </c>
      <c r="X87" s="843">
        <f t="shared" si="21"/>
        <v>406.86977837700044</v>
      </c>
      <c r="Y87" s="843">
        <f t="shared" si="21"/>
        <v>406.86977837700044</v>
      </c>
      <c r="Z87" s="843">
        <f t="shared" si="21"/>
        <v>405.21179232004448</v>
      </c>
      <c r="AA87" s="843">
        <f t="shared" si="21"/>
        <v>405.21179232004448</v>
      </c>
      <c r="AB87" s="843">
        <f t="shared" si="21"/>
        <v>405.54338953143571</v>
      </c>
      <c r="AC87" s="843">
        <f t="shared" si="21"/>
        <v>405.87498674282688</v>
      </c>
      <c r="AD87" s="843">
        <f t="shared" si="21"/>
        <v>405.87498674282688</v>
      </c>
      <c r="AE87" s="843">
        <f t="shared" si="21"/>
        <v>406.86977837700044</v>
      </c>
      <c r="AF87" s="843">
        <f t="shared" si="21"/>
        <v>406.20658395421805</v>
      </c>
      <c r="AG87" s="843">
        <f t="shared" si="21"/>
        <v>404.21700068587086</v>
      </c>
      <c r="AH87" s="843">
        <f t="shared" si="21"/>
        <v>403.22220905169729</v>
      </c>
      <c r="AI87" s="843">
        <f t="shared" si="21"/>
        <v>399.57463972639414</v>
      </c>
      <c r="AJ87" s="843">
        <f t="shared" si="21"/>
        <v>398.24825088082929</v>
      </c>
      <c r="AK87" s="843">
        <f t="shared" si="21"/>
        <v>397.58505645804689</v>
      </c>
      <c r="AL87" s="843">
        <f t="shared" si="21"/>
        <v>396.9218620352645</v>
      </c>
      <c r="AM87" s="843">
        <f t="shared" si="21"/>
        <v>396.59026482387333</v>
      </c>
      <c r="AN87" s="843">
        <f t="shared" si="21"/>
        <v>395.92707040109087</v>
      </c>
      <c r="AO87" s="843">
        <f t="shared" si="21"/>
        <v>394.60068155552608</v>
      </c>
      <c r="AP87" s="843">
        <f t="shared" si="22"/>
        <v>394.82258242579627</v>
      </c>
      <c r="AQ87" s="843">
        <f t="shared" si="22"/>
        <v>395.04448329606646</v>
      </c>
      <c r="AR87" s="843">
        <f t="shared" si="22"/>
        <v>395.26638416633671</v>
      </c>
      <c r="AS87" s="843">
        <f t="shared" si="22"/>
        <v>395.4882850366069</v>
      </c>
      <c r="AT87" s="843">
        <f t="shared" si="22"/>
        <v>395.71018590687709</v>
      </c>
      <c r="AU87" s="843">
        <f t="shared" si="22"/>
        <v>395.93208677714728</v>
      </c>
      <c r="AV87" s="843">
        <f t="shared" si="22"/>
        <v>396.15398764741747</v>
      </c>
      <c r="AW87" s="843">
        <f t="shared" si="22"/>
        <v>396.37588851768766</v>
      </c>
      <c r="AX87" s="843">
        <f t="shared" si="22"/>
        <v>396.5977893879579</v>
      </c>
      <c r="AY87" s="843">
        <f t="shared" si="22"/>
        <v>396.81969025822809</v>
      </c>
      <c r="AZ87" s="843">
        <f t="shared" si="22"/>
        <v>397.04159112849828</v>
      </c>
      <c r="BA87" s="843">
        <f t="shared" si="22"/>
        <v>397.26349199876847</v>
      </c>
      <c r="BB87" s="843">
        <f t="shared" si="22"/>
        <v>397.48539286903872</v>
      </c>
      <c r="BC87" s="843">
        <f t="shared" si="22"/>
        <v>397.70729373930885</v>
      </c>
      <c r="BD87" s="843">
        <f t="shared" si="22"/>
        <v>397.92919460957904</v>
      </c>
      <c r="BE87" s="843">
        <f t="shared" si="22"/>
        <v>398.15109547984923</v>
      </c>
      <c r="BF87" s="843">
        <f t="shared" si="23"/>
        <v>398.37299635011942</v>
      </c>
      <c r="BG87" s="843">
        <f t="shared" si="23"/>
        <v>398.59489722038961</v>
      </c>
      <c r="BH87" s="843">
        <f t="shared" si="23"/>
        <v>398.81679809065986</v>
      </c>
      <c r="BI87" s="843">
        <f t="shared" si="23"/>
        <v>399.03869896093005</v>
      </c>
      <c r="BJ87" s="841"/>
      <c r="BK87" s="841"/>
    </row>
    <row r="88" spans="1:63" ht="14.25" customHeight="1" x14ac:dyDescent="0.3">
      <c r="A88" s="1215"/>
      <c r="B88" s="644"/>
      <c r="C88" s="678"/>
      <c r="D88" s="676" t="s">
        <v>854</v>
      </c>
      <c r="E88" s="687"/>
      <c r="F88" s="687"/>
      <c r="G88" s="687"/>
      <c r="H88" s="687"/>
      <c r="I88" s="687"/>
      <c r="J88" s="860">
        <v>383.76240000000001</v>
      </c>
      <c r="K88" s="860">
        <v>383.76240000000001</v>
      </c>
      <c r="L88" s="860">
        <v>383.76240000000001</v>
      </c>
      <c r="M88" s="843">
        <f t="shared" si="24"/>
        <v>363.78963568773236</v>
      </c>
      <c r="N88" s="843">
        <f t="shared" si="21"/>
        <v>342.9608957620818</v>
      </c>
      <c r="O88" s="843">
        <f t="shared" si="21"/>
        <v>323.84410706319704</v>
      </c>
      <c r="P88" s="843">
        <f t="shared" si="21"/>
        <v>314.71370052044608</v>
      </c>
      <c r="Q88" s="843">
        <f t="shared" si="21"/>
        <v>313.00174929368035</v>
      </c>
      <c r="R88" s="843">
        <f t="shared" si="21"/>
        <v>316.14032654275093</v>
      </c>
      <c r="S88" s="843">
        <f t="shared" si="21"/>
        <v>323.27345665427509</v>
      </c>
      <c r="T88" s="843">
        <f t="shared" si="21"/>
        <v>330.97723717472121</v>
      </c>
      <c r="U88" s="843">
        <f t="shared" si="21"/>
        <v>336.11309085501858</v>
      </c>
      <c r="V88" s="843">
        <f t="shared" si="21"/>
        <v>344.38752178438665</v>
      </c>
      <c r="W88" s="843">
        <f t="shared" si="21"/>
        <v>345.52882260223049</v>
      </c>
      <c r="X88" s="843">
        <f t="shared" si="21"/>
        <v>350.09402587360591</v>
      </c>
      <c r="Y88" s="843">
        <f t="shared" si="21"/>
        <v>350.09402587360591</v>
      </c>
      <c r="Z88" s="843">
        <f t="shared" si="21"/>
        <v>348.66739985130107</v>
      </c>
      <c r="AA88" s="843">
        <f t="shared" si="21"/>
        <v>348.66739985130107</v>
      </c>
      <c r="AB88" s="843">
        <f t="shared" si="21"/>
        <v>348.95272505576207</v>
      </c>
      <c r="AC88" s="843">
        <f t="shared" si="21"/>
        <v>349.23805026022302</v>
      </c>
      <c r="AD88" s="843">
        <f t="shared" si="21"/>
        <v>349.23805026022302</v>
      </c>
      <c r="AE88" s="843">
        <f t="shared" si="21"/>
        <v>350.09402587360591</v>
      </c>
      <c r="AF88" s="843">
        <f t="shared" si="21"/>
        <v>349.52337546468397</v>
      </c>
      <c r="AG88" s="843">
        <f t="shared" si="21"/>
        <v>347.81142423791812</v>
      </c>
      <c r="AH88" s="843">
        <f t="shared" si="21"/>
        <v>346.95544862453522</v>
      </c>
      <c r="AI88" s="843">
        <f t="shared" si="21"/>
        <v>343.81687137546464</v>
      </c>
      <c r="AJ88" s="843">
        <f t="shared" si="21"/>
        <v>342.67557055762074</v>
      </c>
      <c r="AK88" s="843">
        <f t="shared" si="21"/>
        <v>342.10492014869885</v>
      </c>
      <c r="AL88" s="843">
        <f t="shared" si="21"/>
        <v>341.53426973977696</v>
      </c>
      <c r="AM88" s="843">
        <f t="shared" si="21"/>
        <v>341.24894453531601</v>
      </c>
      <c r="AN88" s="843">
        <f t="shared" si="21"/>
        <v>340.67829412639406</v>
      </c>
      <c r="AO88" s="843">
        <f t="shared" si="21"/>
        <v>339.53699330855022</v>
      </c>
      <c r="AP88" s="843">
        <f t="shared" si="22"/>
        <v>339.72792950766444</v>
      </c>
      <c r="AQ88" s="843">
        <f t="shared" si="22"/>
        <v>339.91886570677866</v>
      </c>
      <c r="AR88" s="843">
        <f t="shared" si="22"/>
        <v>340.10980190589294</v>
      </c>
      <c r="AS88" s="843">
        <f t="shared" si="22"/>
        <v>340.30073810500716</v>
      </c>
      <c r="AT88" s="843">
        <f t="shared" si="22"/>
        <v>340.49167430412137</v>
      </c>
      <c r="AU88" s="843">
        <f t="shared" si="22"/>
        <v>340.68261050323559</v>
      </c>
      <c r="AV88" s="843">
        <f t="shared" si="22"/>
        <v>340.87354670234981</v>
      </c>
      <c r="AW88" s="843">
        <f t="shared" si="22"/>
        <v>341.06448290146403</v>
      </c>
      <c r="AX88" s="843">
        <f t="shared" si="22"/>
        <v>341.25541910057825</v>
      </c>
      <c r="AY88" s="843">
        <f t="shared" si="22"/>
        <v>341.44635529969247</v>
      </c>
      <c r="AZ88" s="843">
        <f t="shared" si="22"/>
        <v>341.63729149880669</v>
      </c>
      <c r="BA88" s="843">
        <f t="shared" si="22"/>
        <v>341.82822769792091</v>
      </c>
      <c r="BB88" s="843">
        <f t="shared" si="22"/>
        <v>342.01916389703513</v>
      </c>
      <c r="BC88" s="843">
        <f t="shared" si="22"/>
        <v>342.21010009614929</v>
      </c>
      <c r="BD88" s="843">
        <f t="shared" si="22"/>
        <v>342.40103629526351</v>
      </c>
      <c r="BE88" s="843">
        <f t="shared" si="22"/>
        <v>342.59197249437773</v>
      </c>
      <c r="BF88" s="843">
        <f t="shared" si="23"/>
        <v>342.78290869349195</v>
      </c>
      <c r="BG88" s="843">
        <f t="shared" si="23"/>
        <v>342.97384489260617</v>
      </c>
      <c r="BH88" s="843">
        <f t="shared" si="23"/>
        <v>343.16478109172044</v>
      </c>
      <c r="BI88" s="843">
        <f t="shared" si="23"/>
        <v>343.35571729083466</v>
      </c>
      <c r="BJ88" s="841"/>
      <c r="BK88" s="841"/>
    </row>
    <row r="89" spans="1:63" ht="14.25" customHeight="1" x14ac:dyDescent="0.3">
      <c r="A89" s="1215"/>
      <c r="B89" s="644"/>
      <c r="C89" s="678"/>
      <c r="D89" s="676" t="s">
        <v>855</v>
      </c>
      <c r="E89" s="676"/>
      <c r="F89" s="676"/>
      <c r="G89" s="676"/>
      <c r="H89" s="676"/>
      <c r="I89" s="676"/>
      <c r="J89" s="860">
        <v>128.17444370651071</v>
      </c>
      <c r="K89" s="860">
        <v>128.17444370651071</v>
      </c>
      <c r="L89" s="860">
        <v>128.17444370651071</v>
      </c>
      <c r="M89" s="843">
        <f t="shared" si="24"/>
        <v>121.50365481472205</v>
      </c>
      <c r="N89" s="843">
        <f t="shared" si="21"/>
        <v>114.54697497042817</v>
      </c>
      <c r="O89" s="843">
        <f t="shared" si="21"/>
        <v>108.16207703114473</v>
      </c>
      <c r="P89" s="843">
        <f t="shared" si="21"/>
        <v>105.11257353775562</v>
      </c>
      <c r="Q89" s="843">
        <f t="shared" si="21"/>
        <v>104.54079163274518</v>
      </c>
      <c r="R89" s="843">
        <f t="shared" si="21"/>
        <v>105.58905845859768</v>
      </c>
      <c r="S89" s="843">
        <f t="shared" si="21"/>
        <v>107.97148306280792</v>
      </c>
      <c r="T89" s="843">
        <f t="shared" si="21"/>
        <v>110.54450163535498</v>
      </c>
      <c r="U89" s="843">
        <f t="shared" si="21"/>
        <v>112.25984735038634</v>
      </c>
      <c r="V89" s="843">
        <f t="shared" si="21"/>
        <v>115.02345989127024</v>
      </c>
      <c r="W89" s="843">
        <f t="shared" si="21"/>
        <v>115.40464782794388</v>
      </c>
      <c r="X89" s="843">
        <f t="shared" si="21"/>
        <v>116.92939957463842</v>
      </c>
      <c r="Y89" s="843">
        <f t="shared" si="21"/>
        <v>116.92939957463842</v>
      </c>
      <c r="Z89" s="843">
        <f t="shared" si="21"/>
        <v>116.45291465379638</v>
      </c>
      <c r="AA89" s="843">
        <f t="shared" si="21"/>
        <v>116.45291465379638</v>
      </c>
      <c r="AB89" s="843">
        <f t="shared" si="21"/>
        <v>116.5482116379648</v>
      </c>
      <c r="AC89" s="843">
        <f t="shared" si="21"/>
        <v>116.64350862213321</v>
      </c>
      <c r="AD89" s="843">
        <f t="shared" si="21"/>
        <v>116.64350862213321</v>
      </c>
      <c r="AE89" s="843">
        <f t="shared" si="21"/>
        <v>116.92939957463844</v>
      </c>
      <c r="AF89" s="843">
        <f t="shared" si="21"/>
        <v>116.73880560630163</v>
      </c>
      <c r="AG89" s="843">
        <f t="shared" si="21"/>
        <v>116.16702370129116</v>
      </c>
      <c r="AH89" s="843">
        <f t="shared" si="21"/>
        <v>115.88113274878593</v>
      </c>
      <c r="AI89" s="843">
        <f t="shared" si="21"/>
        <v>114.83286592293344</v>
      </c>
      <c r="AJ89" s="843">
        <f t="shared" si="21"/>
        <v>114.45167798625978</v>
      </c>
      <c r="AK89" s="843">
        <f t="shared" si="21"/>
        <v>114.26108401792297</v>
      </c>
      <c r="AL89" s="843">
        <f t="shared" si="21"/>
        <v>114.07049004958616</v>
      </c>
      <c r="AM89" s="843">
        <f t="shared" si="21"/>
        <v>113.97519306541776</v>
      </c>
      <c r="AN89" s="843">
        <f t="shared" si="21"/>
        <v>113.78459909708093</v>
      </c>
      <c r="AO89" s="843">
        <f t="shared" si="21"/>
        <v>113.40341116040729</v>
      </c>
      <c r="AP89" s="843">
        <f t="shared" si="22"/>
        <v>113.46718275737693</v>
      </c>
      <c r="AQ89" s="843">
        <f t="shared" si="22"/>
        <v>113.53095435434656</v>
      </c>
      <c r="AR89" s="843">
        <f t="shared" si="22"/>
        <v>113.59472595131621</v>
      </c>
      <c r="AS89" s="843">
        <f t="shared" si="22"/>
        <v>113.65849754828585</v>
      </c>
      <c r="AT89" s="843">
        <f t="shared" si="22"/>
        <v>113.72226914525548</v>
      </c>
      <c r="AU89" s="843">
        <f t="shared" si="22"/>
        <v>113.78604074222511</v>
      </c>
      <c r="AV89" s="843">
        <f t="shared" si="22"/>
        <v>113.84981233919474</v>
      </c>
      <c r="AW89" s="843">
        <f t="shared" si="22"/>
        <v>113.91358393616437</v>
      </c>
      <c r="AX89" s="843">
        <f t="shared" si="22"/>
        <v>113.97735553313402</v>
      </c>
      <c r="AY89" s="843">
        <f t="shared" si="22"/>
        <v>114.04112713010365</v>
      </c>
      <c r="AZ89" s="843">
        <f t="shared" si="22"/>
        <v>114.10489872707329</v>
      </c>
      <c r="BA89" s="843">
        <f t="shared" si="22"/>
        <v>114.16867032404292</v>
      </c>
      <c r="BB89" s="843">
        <f t="shared" si="22"/>
        <v>114.23244192101257</v>
      </c>
      <c r="BC89" s="843">
        <f t="shared" si="22"/>
        <v>114.29621351798218</v>
      </c>
      <c r="BD89" s="843">
        <f t="shared" si="22"/>
        <v>114.35998511495181</v>
      </c>
      <c r="BE89" s="843">
        <f t="shared" si="22"/>
        <v>114.42375671192146</v>
      </c>
      <c r="BF89" s="843">
        <f t="shared" si="23"/>
        <v>114.48752830889109</v>
      </c>
      <c r="BG89" s="843">
        <f t="shared" si="23"/>
        <v>114.55129990586072</v>
      </c>
      <c r="BH89" s="843">
        <f t="shared" si="23"/>
        <v>114.61507150283036</v>
      </c>
      <c r="BI89" s="843">
        <f t="shared" si="23"/>
        <v>114.67884309979999</v>
      </c>
      <c r="BJ89" s="841"/>
      <c r="BK89" s="841"/>
    </row>
    <row r="90" spans="1:63" ht="14.25" customHeight="1" x14ac:dyDescent="0.3">
      <c r="A90" s="1215"/>
      <c r="B90" s="644"/>
      <c r="C90" s="678"/>
      <c r="D90" s="676" t="s">
        <v>856</v>
      </c>
      <c r="E90" s="687"/>
      <c r="F90" s="687"/>
      <c r="G90" s="687"/>
      <c r="H90" s="687"/>
      <c r="I90" s="687"/>
      <c r="J90" s="860">
        <v>62.95255901435128</v>
      </c>
      <c r="K90" s="860">
        <v>62.95255901435128</v>
      </c>
      <c r="L90" s="860">
        <v>62.95255901435128</v>
      </c>
      <c r="M90" s="843">
        <f t="shared" si="24"/>
        <v>59.67621765300958</v>
      </c>
      <c r="N90" s="843">
        <f t="shared" si="21"/>
        <v>56.25946166189609</v>
      </c>
      <c r="O90" s="843">
        <f t="shared" si="21"/>
        <v>53.12353493032618</v>
      </c>
      <c r="P90" s="843">
        <f t="shared" si="21"/>
        <v>51.625778879427109</v>
      </c>
      <c r="Q90" s="843">
        <f t="shared" si="21"/>
        <v>51.344949619883543</v>
      </c>
      <c r="R90" s="843">
        <f t="shared" si="21"/>
        <v>51.85980326238009</v>
      </c>
      <c r="S90" s="843">
        <f t="shared" si="21"/>
        <v>53.029925177144989</v>
      </c>
      <c r="T90" s="843">
        <f t="shared" si="21"/>
        <v>54.293656845091078</v>
      </c>
      <c r="U90" s="843">
        <f t="shared" si="21"/>
        <v>55.136144623721798</v>
      </c>
      <c r="V90" s="843">
        <f t="shared" si="21"/>
        <v>56.493486044849085</v>
      </c>
      <c r="W90" s="843">
        <f t="shared" si="21"/>
        <v>56.680705551211467</v>
      </c>
      <c r="X90" s="843">
        <f t="shared" si="21"/>
        <v>57.429583576660995</v>
      </c>
      <c r="Y90" s="843">
        <f t="shared" si="21"/>
        <v>57.429583576660995</v>
      </c>
      <c r="Z90" s="843">
        <f t="shared" si="21"/>
        <v>57.195559193708021</v>
      </c>
      <c r="AA90" s="843">
        <f t="shared" si="21"/>
        <v>57.195559193708021</v>
      </c>
      <c r="AB90" s="843">
        <f t="shared" si="21"/>
        <v>57.242364070298621</v>
      </c>
      <c r="AC90" s="843">
        <f t="shared" si="21"/>
        <v>57.289168946889212</v>
      </c>
      <c r="AD90" s="843">
        <f t="shared" si="21"/>
        <v>57.289168946889212</v>
      </c>
      <c r="AE90" s="843">
        <f t="shared" si="21"/>
        <v>57.429583576661003</v>
      </c>
      <c r="AF90" s="843">
        <f t="shared" si="21"/>
        <v>57.335973823479812</v>
      </c>
      <c r="AG90" s="843">
        <f t="shared" si="21"/>
        <v>57.055144563936231</v>
      </c>
      <c r="AH90" s="843">
        <f t="shared" si="21"/>
        <v>56.914729934164448</v>
      </c>
      <c r="AI90" s="843">
        <f t="shared" si="21"/>
        <v>56.399876291667901</v>
      </c>
      <c r="AJ90" s="843">
        <f t="shared" si="21"/>
        <v>56.212656785305512</v>
      </c>
      <c r="AK90" s="843">
        <f t="shared" si="21"/>
        <v>56.119047032124321</v>
      </c>
      <c r="AL90" s="843">
        <f t="shared" si="21"/>
        <v>56.02543727894313</v>
      </c>
      <c r="AM90" s="843">
        <f t="shared" si="21"/>
        <v>55.978632402352538</v>
      </c>
      <c r="AN90" s="843">
        <f t="shared" si="21"/>
        <v>55.88502264917134</v>
      </c>
      <c r="AO90" s="843">
        <f t="shared" si="21"/>
        <v>55.697803142808958</v>
      </c>
      <c r="AP90" s="843">
        <f t="shared" si="22"/>
        <v>55.729124403940098</v>
      </c>
      <c r="AQ90" s="843">
        <f t="shared" si="22"/>
        <v>55.760445665071238</v>
      </c>
      <c r="AR90" s="843">
        <f t="shared" si="22"/>
        <v>55.791766926202385</v>
      </c>
      <c r="AS90" s="843">
        <f t="shared" si="22"/>
        <v>55.823088187333525</v>
      </c>
      <c r="AT90" s="843">
        <f t="shared" si="22"/>
        <v>55.854409448464665</v>
      </c>
      <c r="AU90" s="843">
        <f t="shared" si="22"/>
        <v>55.885730709595805</v>
      </c>
      <c r="AV90" s="843">
        <f t="shared" si="22"/>
        <v>55.917051970726945</v>
      </c>
      <c r="AW90" s="843">
        <f t="shared" si="22"/>
        <v>55.948373231858085</v>
      </c>
      <c r="AX90" s="843">
        <f t="shared" si="22"/>
        <v>55.979694492989232</v>
      </c>
      <c r="AY90" s="843">
        <f t="shared" si="22"/>
        <v>56.011015754120372</v>
      </c>
      <c r="AZ90" s="843">
        <f t="shared" si="22"/>
        <v>56.042337015251512</v>
      </c>
      <c r="BA90" s="843">
        <f t="shared" si="22"/>
        <v>56.073658276382652</v>
      </c>
      <c r="BB90" s="843">
        <f t="shared" si="22"/>
        <v>56.104979537513799</v>
      </c>
      <c r="BC90" s="843">
        <f t="shared" si="22"/>
        <v>56.136300798644932</v>
      </c>
      <c r="BD90" s="843">
        <f t="shared" si="22"/>
        <v>56.167622059776072</v>
      </c>
      <c r="BE90" s="843">
        <f t="shared" si="22"/>
        <v>56.198943320907219</v>
      </c>
      <c r="BF90" s="843">
        <f t="shared" si="23"/>
        <v>56.230264582038359</v>
      </c>
      <c r="BG90" s="843">
        <f t="shared" si="23"/>
        <v>56.261585843169499</v>
      </c>
      <c r="BH90" s="843">
        <f t="shared" si="23"/>
        <v>56.292907104300646</v>
      </c>
      <c r="BI90" s="843">
        <f t="shared" si="23"/>
        <v>56.324228365431786</v>
      </c>
      <c r="BJ90" s="841"/>
      <c r="BK90" s="841"/>
    </row>
    <row r="91" spans="1:63" ht="14.25" customHeight="1" x14ac:dyDescent="0.3">
      <c r="A91" s="1215"/>
      <c r="B91" s="644"/>
      <c r="C91" s="678"/>
      <c r="D91" s="676" t="s">
        <v>857</v>
      </c>
      <c r="E91" s="687"/>
      <c r="F91" s="687"/>
      <c r="G91" s="687"/>
      <c r="H91" s="687"/>
      <c r="I91" s="687"/>
      <c r="J91" s="860">
        <v>101.85317876986736</v>
      </c>
      <c r="K91" s="860">
        <v>101.85317876986736</v>
      </c>
      <c r="L91" s="860">
        <v>101.85317876986736</v>
      </c>
      <c r="M91" s="843">
        <f t="shared" si="24"/>
        <v>96.552269837606602</v>
      </c>
      <c r="N91" s="843">
        <f t="shared" si="21"/>
        <v>91.024179093963241</v>
      </c>
      <c r="O91" s="843">
        <f t="shared" si="21"/>
        <v>85.950451973085094</v>
      </c>
      <c r="P91" s="843">
        <f t="shared" si="21"/>
        <v>83.527179318337318</v>
      </c>
      <c r="Q91" s="843">
        <f t="shared" si="21"/>
        <v>83.072815695572118</v>
      </c>
      <c r="R91" s="843">
        <f t="shared" si="21"/>
        <v>83.905815670641658</v>
      </c>
      <c r="S91" s="843">
        <f t="shared" si="21"/>
        <v>85.798997432163361</v>
      </c>
      <c r="T91" s="843">
        <f t="shared" si="21"/>
        <v>87.843633734606797</v>
      </c>
      <c r="U91" s="843">
        <f t="shared" si="21"/>
        <v>89.206724602902412</v>
      </c>
      <c r="V91" s="843">
        <f t="shared" si="21"/>
        <v>91.402815446267596</v>
      </c>
      <c r="W91" s="843">
        <f t="shared" si="21"/>
        <v>91.705724528111062</v>
      </c>
      <c r="X91" s="843">
        <f t="shared" si="21"/>
        <v>92.917360855484944</v>
      </c>
      <c r="Y91" s="843">
        <f t="shared" si="21"/>
        <v>92.917360855484944</v>
      </c>
      <c r="Z91" s="843">
        <f t="shared" si="21"/>
        <v>92.538724503180603</v>
      </c>
      <c r="AA91" s="843">
        <f t="shared" si="21"/>
        <v>92.538724503180603</v>
      </c>
      <c r="AB91" s="843">
        <f t="shared" si="21"/>
        <v>92.614451773641477</v>
      </c>
      <c r="AC91" s="843">
        <f t="shared" si="21"/>
        <v>92.690179044102337</v>
      </c>
      <c r="AD91" s="843">
        <f t="shared" si="21"/>
        <v>92.690179044102337</v>
      </c>
      <c r="AE91" s="843">
        <f t="shared" si="21"/>
        <v>92.917360855484944</v>
      </c>
      <c r="AF91" s="843">
        <f t="shared" si="21"/>
        <v>92.76590631456321</v>
      </c>
      <c r="AG91" s="843">
        <f t="shared" si="21"/>
        <v>92.311542691797996</v>
      </c>
      <c r="AH91" s="843">
        <f t="shared" si="21"/>
        <v>92.084360880415389</v>
      </c>
      <c r="AI91" s="843">
        <f t="shared" si="21"/>
        <v>91.251360905345848</v>
      </c>
      <c r="AJ91" s="843">
        <f t="shared" si="21"/>
        <v>90.948451823502367</v>
      </c>
      <c r="AK91" s="843">
        <f t="shared" si="21"/>
        <v>90.796997282580634</v>
      </c>
      <c r="AL91" s="843">
        <f t="shared" si="21"/>
        <v>90.6455427416589</v>
      </c>
      <c r="AM91" s="843">
        <f t="shared" si="21"/>
        <v>90.569815471198041</v>
      </c>
      <c r="AN91" s="843">
        <f t="shared" si="21"/>
        <v>90.418360930276293</v>
      </c>
      <c r="AO91" s="843">
        <f t="shared" si="21"/>
        <v>90.115451848432826</v>
      </c>
      <c r="AP91" s="843">
        <f t="shared" si="22"/>
        <v>90.166127628087168</v>
      </c>
      <c r="AQ91" s="843">
        <f t="shared" si="22"/>
        <v>90.216803407741494</v>
      </c>
      <c r="AR91" s="843">
        <f t="shared" si="22"/>
        <v>90.267479187395836</v>
      </c>
      <c r="AS91" s="843">
        <f t="shared" si="22"/>
        <v>90.318154967050177</v>
      </c>
      <c r="AT91" s="843">
        <f t="shared" si="22"/>
        <v>90.368830746704518</v>
      </c>
      <c r="AU91" s="843">
        <f t="shared" si="22"/>
        <v>90.419506526358845</v>
      </c>
      <c r="AV91" s="843">
        <f t="shared" si="22"/>
        <v>90.470182306013172</v>
      </c>
      <c r="AW91" s="843">
        <f t="shared" si="22"/>
        <v>90.520858085667513</v>
      </c>
      <c r="AX91" s="843">
        <f t="shared" si="22"/>
        <v>90.571533865321854</v>
      </c>
      <c r="AY91" s="843">
        <f t="shared" si="22"/>
        <v>90.622209644976195</v>
      </c>
      <c r="AZ91" s="843">
        <f t="shared" si="22"/>
        <v>90.672885424630536</v>
      </c>
      <c r="BA91" s="843">
        <f t="shared" si="22"/>
        <v>90.723561204284863</v>
      </c>
      <c r="BB91" s="843">
        <f t="shared" si="22"/>
        <v>90.774236983939204</v>
      </c>
      <c r="BC91" s="843">
        <f t="shared" si="22"/>
        <v>90.824912763593531</v>
      </c>
      <c r="BD91" s="843">
        <f t="shared" si="22"/>
        <v>90.875588543247872</v>
      </c>
      <c r="BE91" s="843">
        <f t="shared" si="22"/>
        <v>90.926264322902213</v>
      </c>
      <c r="BF91" s="843">
        <f t="shared" si="23"/>
        <v>90.976940102556554</v>
      </c>
      <c r="BG91" s="843">
        <f t="shared" si="23"/>
        <v>91.027615882210895</v>
      </c>
      <c r="BH91" s="843">
        <f t="shared" si="23"/>
        <v>91.078291661865237</v>
      </c>
      <c r="BI91" s="843">
        <f t="shared" si="23"/>
        <v>91.128967441519563</v>
      </c>
      <c r="BJ91" s="841"/>
      <c r="BK91" s="841"/>
    </row>
    <row r="92" spans="1:63" ht="14.25" customHeight="1" x14ac:dyDescent="0.3">
      <c r="A92" s="1215"/>
      <c r="B92" s="644"/>
      <c r="C92" s="678"/>
      <c r="D92" s="676" t="s">
        <v>858</v>
      </c>
      <c r="E92" s="676"/>
      <c r="F92" s="676"/>
      <c r="G92" s="676"/>
      <c r="H92" s="676"/>
      <c r="I92" s="676"/>
      <c r="J92" s="860">
        <v>74.522954091816374</v>
      </c>
      <c r="K92" s="860">
        <v>74.522954091816374</v>
      </c>
      <c r="L92" s="860">
        <v>74.522954091816374</v>
      </c>
      <c r="M92" s="843">
        <f t="shared" si="24"/>
        <v>70.64443603499322</v>
      </c>
      <c r="N92" s="843">
        <f t="shared" si="21"/>
        <v>66.599695775734787</v>
      </c>
      <c r="O92" s="843">
        <f t="shared" si="21"/>
        <v>62.887399921346912</v>
      </c>
      <c r="P92" s="843">
        <f t="shared" si="21"/>
        <v>61.114363095370607</v>
      </c>
      <c r="Q92" s="843">
        <f t="shared" si="21"/>
        <v>60.781918690500056</v>
      </c>
      <c r="R92" s="843">
        <f t="shared" si="21"/>
        <v>61.391400099429404</v>
      </c>
      <c r="S92" s="843">
        <f t="shared" si="21"/>
        <v>62.776585119723393</v>
      </c>
      <c r="T92" s="843">
        <f t="shared" si="21"/>
        <v>64.272584941640901</v>
      </c>
      <c r="U92" s="843">
        <f t="shared" si="21"/>
        <v>65.269918156252572</v>
      </c>
      <c r="V92" s="843">
        <f t="shared" si="21"/>
        <v>66.876732779793613</v>
      </c>
      <c r="W92" s="843">
        <f t="shared" si="21"/>
        <v>67.098362383040651</v>
      </c>
      <c r="X92" s="843">
        <f t="shared" si="21"/>
        <v>67.984880796028804</v>
      </c>
      <c r="Y92" s="843">
        <f t="shared" si="21"/>
        <v>67.984880796028804</v>
      </c>
      <c r="Z92" s="843">
        <f t="shared" si="21"/>
        <v>67.707843791970006</v>
      </c>
      <c r="AA92" s="843">
        <f t="shared" si="21"/>
        <v>67.707843791970006</v>
      </c>
      <c r="AB92" s="843">
        <f t="shared" si="21"/>
        <v>67.763251192781766</v>
      </c>
      <c r="AC92" s="843">
        <f t="shared" si="21"/>
        <v>67.818658593593526</v>
      </c>
      <c r="AD92" s="843">
        <f t="shared" si="21"/>
        <v>67.818658593593526</v>
      </c>
      <c r="AE92" s="843">
        <f t="shared" si="21"/>
        <v>67.984880796028804</v>
      </c>
      <c r="AF92" s="843">
        <f t="shared" ref="N92:AO97" si="25">AE92*(1+AF$4)</f>
        <v>67.874065994405285</v>
      </c>
      <c r="AG92" s="843">
        <f t="shared" si="25"/>
        <v>67.541621589534728</v>
      </c>
      <c r="AH92" s="843">
        <f t="shared" si="25"/>
        <v>67.375399387099449</v>
      </c>
      <c r="AI92" s="843">
        <f t="shared" si="25"/>
        <v>66.765917978170094</v>
      </c>
      <c r="AJ92" s="843">
        <f t="shared" si="25"/>
        <v>66.544288374923056</v>
      </c>
      <c r="AK92" s="843">
        <f t="shared" si="25"/>
        <v>66.433473573299537</v>
      </c>
      <c r="AL92" s="843">
        <f t="shared" si="25"/>
        <v>66.322658771676018</v>
      </c>
      <c r="AM92" s="843">
        <f t="shared" si="25"/>
        <v>66.267251370864258</v>
      </c>
      <c r="AN92" s="843">
        <f t="shared" si="25"/>
        <v>66.156436569240739</v>
      </c>
      <c r="AO92" s="843">
        <f t="shared" si="25"/>
        <v>65.934806965993701</v>
      </c>
      <c r="AP92" s="843">
        <f t="shared" si="22"/>
        <v>65.97188493298853</v>
      </c>
      <c r="AQ92" s="843">
        <f t="shared" si="22"/>
        <v>66.008962899983345</v>
      </c>
      <c r="AR92" s="843">
        <f t="shared" si="22"/>
        <v>66.046040866978174</v>
      </c>
      <c r="AS92" s="843">
        <f t="shared" si="22"/>
        <v>66.083118833973003</v>
      </c>
      <c r="AT92" s="843">
        <f t="shared" si="22"/>
        <v>66.120196800967832</v>
      </c>
      <c r="AU92" s="843">
        <f t="shared" si="22"/>
        <v>66.157274767962662</v>
      </c>
      <c r="AV92" s="843">
        <f t="shared" si="22"/>
        <v>66.194352734957491</v>
      </c>
      <c r="AW92" s="843">
        <f t="shared" si="22"/>
        <v>66.23143070195232</v>
      </c>
      <c r="AX92" s="843">
        <f t="shared" si="22"/>
        <v>66.268508668947149</v>
      </c>
      <c r="AY92" s="843">
        <f t="shared" si="22"/>
        <v>66.305586635941978</v>
      </c>
      <c r="AZ92" s="843">
        <f t="shared" si="22"/>
        <v>66.342664602936807</v>
      </c>
      <c r="BA92" s="843">
        <f t="shared" si="22"/>
        <v>66.379742569931622</v>
      </c>
      <c r="BB92" s="843">
        <f t="shared" si="22"/>
        <v>66.416820536926451</v>
      </c>
      <c r="BC92" s="843">
        <f t="shared" si="22"/>
        <v>66.453898503921266</v>
      </c>
      <c r="BD92" s="843">
        <f t="shared" si="22"/>
        <v>66.490976470916095</v>
      </c>
      <c r="BE92" s="843">
        <f t="shared" si="22"/>
        <v>66.528054437910924</v>
      </c>
      <c r="BF92" s="843">
        <f t="shared" si="23"/>
        <v>66.565132404905754</v>
      </c>
      <c r="BG92" s="843">
        <f t="shared" si="23"/>
        <v>66.602210371900583</v>
      </c>
      <c r="BH92" s="843">
        <f t="shared" si="23"/>
        <v>66.639288338895412</v>
      </c>
      <c r="BI92" s="843">
        <f t="shared" si="23"/>
        <v>66.676366305890241</v>
      </c>
      <c r="BJ92" s="841"/>
      <c r="BK92" s="841"/>
    </row>
    <row r="93" spans="1:63" ht="14.25" customHeight="1" x14ac:dyDescent="0.3">
      <c r="A93" s="1215"/>
      <c r="B93" s="644"/>
      <c r="C93" s="678"/>
      <c r="D93" s="676" t="s">
        <v>859</v>
      </c>
      <c r="E93" s="687"/>
      <c r="F93" s="687"/>
      <c r="G93" s="687"/>
      <c r="H93" s="687"/>
      <c r="I93" s="687"/>
      <c r="J93" s="860">
        <v>214.38747901022271</v>
      </c>
      <c r="K93" s="860">
        <v>214.38747901022271</v>
      </c>
      <c r="L93" s="860">
        <v>214.38747901022271</v>
      </c>
      <c r="M93" s="843">
        <f t="shared" si="24"/>
        <v>203.22976634798064</v>
      </c>
      <c r="N93" s="843">
        <f t="shared" si="25"/>
        <v>191.59386600021392</v>
      </c>
      <c r="O93" s="843">
        <f t="shared" si="25"/>
        <v>180.91434102349652</v>
      </c>
      <c r="P93" s="843">
        <f t="shared" si="25"/>
        <v>175.81367237790013</v>
      </c>
      <c r="Q93" s="843">
        <f t="shared" si="25"/>
        <v>174.85729700685084</v>
      </c>
      <c r="R93" s="843">
        <f t="shared" si="25"/>
        <v>176.61065185377458</v>
      </c>
      <c r="S93" s="843">
        <f t="shared" si="25"/>
        <v>180.59554923314678</v>
      </c>
      <c r="T93" s="843">
        <f t="shared" si="25"/>
        <v>184.89923840286875</v>
      </c>
      <c r="U93" s="843">
        <f t="shared" si="25"/>
        <v>187.7683645160167</v>
      </c>
      <c r="V93" s="843">
        <f t="shared" si="25"/>
        <v>192.39084547608846</v>
      </c>
      <c r="W93" s="843">
        <f t="shared" si="25"/>
        <v>193.02842905678801</v>
      </c>
      <c r="X93" s="843">
        <f t="shared" si="25"/>
        <v>195.57876337958618</v>
      </c>
      <c r="Y93" s="843">
        <f t="shared" si="25"/>
        <v>195.57876337958618</v>
      </c>
      <c r="Z93" s="843">
        <f t="shared" si="25"/>
        <v>194.78178390371176</v>
      </c>
      <c r="AA93" s="843">
        <f t="shared" si="25"/>
        <v>194.78178390371176</v>
      </c>
      <c r="AB93" s="843">
        <f t="shared" si="25"/>
        <v>194.94117979888665</v>
      </c>
      <c r="AC93" s="843">
        <f t="shared" si="25"/>
        <v>195.10057569406155</v>
      </c>
      <c r="AD93" s="843">
        <f t="shared" si="25"/>
        <v>195.10057569406155</v>
      </c>
      <c r="AE93" s="843">
        <f t="shared" si="25"/>
        <v>195.57876337958621</v>
      </c>
      <c r="AF93" s="843">
        <f t="shared" si="25"/>
        <v>195.25997158923644</v>
      </c>
      <c r="AG93" s="843">
        <f t="shared" si="25"/>
        <v>194.30359621818712</v>
      </c>
      <c r="AH93" s="843">
        <f t="shared" si="25"/>
        <v>193.82540853266246</v>
      </c>
      <c r="AI93" s="843">
        <f t="shared" si="25"/>
        <v>192.07205368573872</v>
      </c>
      <c r="AJ93" s="843">
        <f t="shared" si="25"/>
        <v>191.43447010503917</v>
      </c>
      <c r="AK93" s="843">
        <f t="shared" si="25"/>
        <v>191.1156783146894</v>
      </c>
      <c r="AL93" s="843">
        <f t="shared" si="25"/>
        <v>190.79688652433964</v>
      </c>
      <c r="AM93" s="843">
        <f t="shared" si="25"/>
        <v>190.63749062916477</v>
      </c>
      <c r="AN93" s="843">
        <f t="shared" si="25"/>
        <v>190.31869883881498</v>
      </c>
      <c r="AO93" s="843">
        <f t="shared" si="25"/>
        <v>189.68111525811543</v>
      </c>
      <c r="AP93" s="843">
        <f t="shared" si="22"/>
        <v>189.78778107628807</v>
      </c>
      <c r="AQ93" s="843">
        <f t="shared" si="22"/>
        <v>189.89444689446069</v>
      </c>
      <c r="AR93" s="843">
        <f t="shared" si="22"/>
        <v>190.00111271263333</v>
      </c>
      <c r="AS93" s="843">
        <f t="shared" si="22"/>
        <v>190.10777853080597</v>
      </c>
      <c r="AT93" s="843">
        <f t="shared" si="22"/>
        <v>190.21444434897859</v>
      </c>
      <c r="AU93" s="843">
        <f t="shared" si="22"/>
        <v>190.3211101671512</v>
      </c>
      <c r="AV93" s="843">
        <f t="shared" si="22"/>
        <v>190.42777598532382</v>
      </c>
      <c r="AW93" s="843">
        <f t="shared" si="22"/>
        <v>190.53444180349643</v>
      </c>
      <c r="AX93" s="843">
        <f t="shared" si="22"/>
        <v>190.64110762166908</v>
      </c>
      <c r="AY93" s="843">
        <f t="shared" si="22"/>
        <v>190.74777343984169</v>
      </c>
      <c r="AZ93" s="843">
        <f t="shared" si="22"/>
        <v>190.85443925801434</v>
      </c>
      <c r="BA93" s="843">
        <f t="shared" si="22"/>
        <v>190.96110507618695</v>
      </c>
      <c r="BB93" s="843">
        <f t="shared" si="22"/>
        <v>191.0677708943596</v>
      </c>
      <c r="BC93" s="843">
        <f t="shared" si="22"/>
        <v>191.17443671253218</v>
      </c>
      <c r="BD93" s="843">
        <f t="shared" si="22"/>
        <v>191.2811025307048</v>
      </c>
      <c r="BE93" s="843">
        <f t="shared" si="22"/>
        <v>191.38776834887744</v>
      </c>
      <c r="BF93" s="843">
        <f t="shared" si="23"/>
        <v>191.49443416705006</v>
      </c>
      <c r="BG93" s="843">
        <f t="shared" si="23"/>
        <v>191.60109998522267</v>
      </c>
      <c r="BH93" s="843">
        <f t="shared" si="23"/>
        <v>191.70776580339532</v>
      </c>
      <c r="BI93" s="843">
        <f t="shared" si="23"/>
        <v>191.81443162156793</v>
      </c>
      <c r="BJ93" s="841"/>
      <c r="BK93" s="841"/>
    </row>
    <row r="94" spans="1:63" ht="14.25" customHeight="1" x14ac:dyDescent="0.3">
      <c r="A94" s="1215"/>
      <c r="B94" s="644"/>
      <c r="C94" s="678"/>
      <c r="D94" s="676" t="s">
        <v>860</v>
      </c>
      <c r="E94" s="676"/>
      <c r="F94" s="676"/>
      <c r="G94" s="676"/>
      <c r="H94" s="676"/>
      <c r="I94" s="676"/>
      <c r="J94" s="860">
        <v>251.35919999999999</v>
      </c>
      <c r="K94" s="860">
        <v>251.35919999999999</v>
      </c>
      <c r="L94" s="860">
        <v>251.35919999999999</v>
      </c>
      <c r="M94" s="843">
        <f t="shared" si="24"/>
        <v>238.27730855018586</v>
      </c>
      <c r="N94" s="843">
        <f t="shared" si="25"/>
        <v>224.63476460966541</v>
      </c>
      <c r="O94" s="843">
        <f t="shared" si="25"/>
        <v>212.11352565055762</v>
      </c>
      <c r="P94" s="843">
        <f t="shared" si="25"/>
        <v>206.13323241635686</v>
      </c>
      <c r="Q94" s="843">
        <f t="shared" si="25"/>
        <v>205.01192743494425</v>
      </c>
      <c r="R94" s="843">
        <f t="shared" si="25"/>
        <v>207.06765323420075</v>
      </c>
      <c r="S94" s="843">
        <f t="shared" si="25"/>
        <v>211.73975732342009</v>
      </c>
      <c r="T94" s="843">
        <f t="shared" si="25"/>
        <v>216.78562973977699</v>
      </c>
      <c r="U94" s="843">
        <f t="shared" si="25"/>
        <v>220.1495446840149</v>
      </c>
      <c r="V94" s="843">
        <f t="shared" si="25"/>
        <v>225.56918542750935</v>
      </c>
      <c r="W94" s="843">
        <f t="shared" si="25"/>
        <v>226.31672208178443</v>
      </c>
      <c r="X94" s="843">
        <f t="shared" si="25"/>
        <v>229.30686869888478</v>
      </c>
      <c r="Y94" s="843">
        <f t="shared" si="25"/>
        <v>229.30686869888478</v>
      </c>
      <c r="Z94" s="843">
        <f t="shared" si="25"/>
        <v>228.37244788104093</v>
      </c>
      <c r="AA94" s="843">
        <f t="shared" si="25"/>
        <v>228.37244788104093</v>
      </c>
      <c r="AB94" s="843">
        <f t="shared" si="25"/>
        <v>228.5593320446097</v>
      </c>
      <c r="AC94" s="843">
        <f t="shared" si="25"/>
        <v>228.74621620817848</v>
      </c>
      <c r="AD94" s="843">
        <f t="shared" si="25"/>
        <v>228.74621620817848</v>
      </c>
      <c r="AE94" s="843">
        <f t="shared" si="25"/>
        <v>229.30686869888481</v>
      </c>
      <c r="AF94" s="843">
        <f t="shared" si="25"/>
        <v>228.93310037174726</v>
      </c>
      <c r="AG94" s="843">
        <f t="shared" si="25"/>
        <v>227.81179539033459</v>
      </c>
      <c r="AH94" s="843">
        <f t="shared" si="25"/>
        <v>227.25114289962829</v>
      </c>
      <c r="AI94" s="843">
        <f t="shared" si="25"/>
        <v>225.1954171003718</v>
      </c>
      <c r="AJ94" s="843">
        <f t="shared" si="25"/>
        <v>224.44788044609669</v>
      </c>
      <c r="AK94" s="843">
        <f t="shared" si="25"/>
        <v>224.07411211895916</v>
      </c>
      <c r="AL94" s="843">
        <f t="shared" si="25"/>
        <v>223.70034379182164</v>
      </c>
      <c r="AM94" s="843">
        <f t="shared" si="25"/>
        <v>223.51345962825289</v>
      </c>
      <c r="AN94" s="843">
        <f t="shared" si="25"/>
        <v>223.13969130111531</v>
      </c>
      <c r="AO94" s="843">
        <f t="shared" si="25"/>
        <v>222.39215464684023</v>
      </c>
      <c r="AP94" s="843">
        <f t="shared" si="22"/>
        <v>222.51721528399591</v>
      </c>
      <c r="AQ94" s="843">
        <f t="shared" si="22"/>
        <v>222.64227592115157</v>
      </c>
      <c r="AR94" s="843">
        <f t="shared" si="22"/>
        <v>222.76733655830725</v>
      </c>
      <c r="AS94" s="843">
        <f t="shared" si="22"/>
        <v>222.89239719546293</v>
      </c>
      <c r="AT94" s="843">
        <f t="shared" si="22"/>
        <v>223.01745783261859</v>
      </c>
      <c r="AU94" s="843">
        <f t="shared" si="22"/>
        <v>223.14251846977425</v>
      </c>
      <c r="AV94" s="843">
        <f t="shared" si="22"/>
        <v>223.2675791069299</v>
      </c>
      <c r="AW94" s="843">
        <f t="shared" si="22"/>
        <v>223.39263974408559</v>
      </c>
      <c r="AX94" s="843">
        <f t="shared" si="22"/>
        <v>223.51770038124127</v>
      </c>
      <c r="AY94" s="843">
        <f t="shared" si="22"/>
        <v>223.64276101839695</v>
      </c>
      <c r="AZ94" s="843">
        <f t="shared" si="22"/>
        <v>223.76782165555264</v>
      </c>
      <c r="BA94" s="843">
        <f t="shared" si="22"/>
        <v>223.89288229270829</v>
      </c>
      <c r="BB94" s="843">
        <f t="shared" si="22"/>
        <v>224.01794292986398</v>
      </c>
      <c r="BC94" s="843">
        <f t="shared" si="22"/>
        <v>224.1430035670196</v>
      </c>
      <c r="BD94" s="843">
        <f t="shared" si="22"/>
        <v>224.26806420417529</v>
      </c>
      <c r="BE94" s="843">
        <f t="shared" si="22"/>
        <v>224.39312484133097</v>
      </c>
      <c r="BF94" s="843">
        <f t="shared" si="23"/>
        <v>224.51818547848663</v>
      </c>
      <c r="BG94" s="843">
        <f t="shared" si="23"/>
        <v>224.64324611564228</v>
      </c>
      <c r="BH94" s="843">
        <f t="shared" si="23"/>
        <v>224.76830675279797</v>
      </c>
      <c r="BI94" s="843">
        <f t="shared" si="23"/>
        <v>224.89336738995362</v>
      </c>
      <c r="BJ94" s="841"/>
      <c r="BK94" s="841"/>
    </row>
    <row r="95" spans="1:63" ht="14.25" customHeight="1" x14ac:dyDescent="0.3">
      <c r="A95" s="1215"/>
      <c r="B95" s="644"/>
      <c r="C95" s="678"/>
      <c r="D95" s="676" t="s">
        <v>861</v>
      </c>
      <c r="E95" s="676"/>
      <c r="F95" s="676"/>
      <c r="G95" s="676"/>
      <c r="H95" s="676"/>
      <c r="I95" s="676"/>
      <c r="J95" s="860">
        <v>319.81617148806976</v>
      </c>
      <c r="K95" s="860">
        <v>319.81617148806976</v>
      </c>
      <c r="L95" s="860">
        <v>319.81617148806976</v>
      </c>
      <c r="M95" s="843">
        <f t="shared" si="24"/>
        <v>303.17146367828178</v>
      </c>
      <c r="N95" s="843">
        <f t="shared" si="25"/>
        <v>285.81341124807426</v>
      </c>
      <c r="O95" s="843">
        <f t="shared" si="25"/>
        <v>269.88204805870572</v>
      </c>
      <c r="P95" s="843">
        <f t="shared" si="25"/>
        <v>262.27303877423117</v>
      </c>
      <c r="Q95" s="843">
        <f t="shared" si="25"/>
        <v>260.84634953339224</v>
      </c>
      <c r="R95" s="843">
        <f t="shared" si="25"/>
        <v>263.4619464749303</v>
      </c>
      <c r="S95" s="843">
        <f t="shared" si="25"/>
        <v>269.40648497842602</v>
      </c>
      <c r="T95" s="843">
        <f t="shared" si="25"/>
        <v>275.82658656220138</v>
      </c>
      <c r="U95" s="843">
        <f t="shared" si="25"/>
        <v>280.10665428471827</v>
      </c>
      <c r="V95" s="843">
        <f t="shared" si="25"/>
        <v>287.00231894877334</v>
      </c>
      <c r="W95" s="843">
        <f t="shared" si="25"/>
        <v>287.95344510933262</v>
      </c>
      <c r="X95" s="843">
        <f t="shared" si="25"/>
        <v>291.75794975156987</v>
      </c>
      <c r="Y95" s="843">
        <f t="shared" si="25"/>
        <v>291.75794975156987</v>
      </c>
      <c r="Z95" s="843">
        <f t="shared" si="25"/>
        <v>290.56904205087073</v>
      </c>
      <c r="AA95" s="843">
        <f t="shared" si="25"/>
        <v>290.56904205087073</v>
      </c>
      <c r="AB95" s="843">
        <f t="shared" si="25"/>
        <v>290.80682359101058</v>
      </c>
      <c r="AC95" s="843">
        <f t="shared" si="25"/>
        <v>291.04460513115043</v>
      </c>
      <c r="AD95" s="843">
        <f t="shared" si="25"/>
        <v>291.04460513115043</v>
      </c>
      <c r="AE95" s="843">
        <f t="shared" si="25"/>
        <v>291.75794975156992</v>
      </c>
      <c r="AF95" s="843">
        <f t="shared" si="25"/>
        <v>291.28238667129028</v>
      </c>
      <c r="AG95" s="843">
        <f t="shared" si="25"/>
        <v>289.8556974304513</v>
      </c>
      <c r="AH95" s="843">
        <f t="shared" si="25"/>
        <v>289.14235281003181</v>
      </c>
      <c r="AI95" s="843">
        <f t="shared" si="25"/>
        <v>286.52675586849369</v>
      </c>
      <c r="AJ95" s="843">
        <f t="shared" si="25"/>
        <v>285.57562970793435</v>
      </c>
      <c r="AK95" s="843">
        <f t="shared" si="25"/>
        <v>285.10006662765471</v>
      </c>
      <c r="AL95" s="843">
        <f t="shared" si="25"/>
        <v>284.62450354737507</v>
      </c>
      <c r="AM95" s="843">
        <f t="shared" si="25"/>
        <v>284.38672200723528</v>
      </c>
      <c r="AN95" s="843">
        <f t="shared" si="25"/>
        <v>283.91115892695558</v>
      </c>
      <c r="AO95" s="843">
        <f t="shared" si="25"/>
        <v>282.9600327663963</v>
      </c>
      <c r="AP95" s="843">
        <f t="shared" si="22"/>
        <v>283.11915331650539</v>
      </c>
      <c r="AQ95" s="843">
        <f t="shared" si="22"/>
        <v>283.27827386661448</v>
      </c>
      <c r="AR95" s="843">
        <f t="shared" si="22"/>
        <v>283.43739441672363</v>
      </c>
      <c r="AS95" s="843">
        <f t="shared" si="22"/>
        <v>283.59651496683273</v>
      </c>
      <c r="AT95" s="843">
        <f t="shared" si="22"/>
        <v>283.75563551694182</v>
      </c>
      <c r="AU95" s="843">
        <f t="shared" si="22"/>
        <v>283.91475606705092</v>
      </c>
      <c r="AV95" s="843">
        <f t="shared" si="22"/>
        <v>284.07387661716001</v>
      </c>
      <c r="AW95" s="843">
        <f t="shared" si="22"/>
        <v>284.2329971672691</v>
      </c>
      <c r="AX95" s="843">
        <f t="shared" si="22"/>
        <v>284.39211771737826</v>
      </c>
      <c r="AY95" s="843">
        <f t="shared" si="22"/>
        <v>284.55123826748735</v>
      </c>
      <c r="AZ95" s="843">
        <f t="shared" si="22"/>
        <v>284.71035881759644</v>
      </c>
      <c r="BA95" s="843">
        <f t="shared" si="22"/>
        <v>284.86947936770554</v>
      </c>
      <c r="BB95" s="843">
        <f t="shared" si="22"/>
        <v>285.02859991781469</v>
      </c>
      <c r="BC95" s="843">
        <f t="shared" si="22"/>
        <v>285.18772046792373</v>
      </c>
      <c r="BD95" s="843">
        <f t="shared" si="22"/>
        <v>285.34684101803282</v>
      </c>
      <c r="BE95" s="843">
        <f t="shared" si="22"/>
        <v>285.50596156814197</v>
      </c>
      <c r="BF95" s="843">
        <f t="shared" si="23"/>
        <v>285.66508211825106</v>
      </c>
      <c r="BG95" s="843">
        <f t="shared" si="23"/>
        <v>285.82420266836016</v>
      </c>
      <c r="BH95" s="843">
        <f t="shared" si="23"/>
        <v>285.98332321846931</v>
      </c>
      <c r="BI95" s="843">
        <f t="shared" si="23"/>
        <v>286.1424437685784</v>
      </c>
      <c r="BJ95" s="841"/>
      <c r="BK95" s="841"/>
    </row>
    <row r="96" spans="1:63" ht="13.5" customHeight="1" x14ac:dyDescent="0.3">
      <c r="A96" s="1215"/>
      <c r="B96" s="644"/>
      <c r="C96" s="678"/>
      <c r="D96" s="676" t="s">
        <v>862</v>
      </c>
      <c r="E96" s="676"/>
      <c r="F96" s="676"/>
      <c r="G96" s="676"/>
      <c r="H96" s="676"/>
      <c r="I96" s="676"/>
      <c r="J96" s="860">
        <v>494.24970303038594</v>
      </c>
      <c r="K96" s="860">
        <v>494.24970303038594</v>
      </c>
      <c r="L96" s="860">
        <v>494.24970303038594</v>
      </c>
      <c r="M96" s="843">
        <f t="shared" si="24"/>
        <v>468.52667015891609</v>
      </c>
      <c r="N96" s="843">
        <f t="shared" si="25"/>
        <v>441.7012215929546</v>
      </c>
      <c r="O96" s="843">
        <f t="shared" si="25"/>
        <v>417.08060441597627</v>
      </c>
      <c r="P96" s="843">
        <f t="shared" si="25"/>
        <v>405.32150367473287</v>
      </c>
      <c r="Q96" s="843">
        <f t="shared" si="25"/>
        <v>403.11667228574976</v>
      </c>
      <c r="R96" s="843">
        <f t="shared" si="25"/>
        <v>407.15886316555213</v>
      </c>
      <c r="S96" s="843">
        <f t="shared" si="25"/>
        <v>416.34566061964858</v>
      </c>
      <c r="T96" s="843">
        <f t="shared" si="25"/>
        <v>426.26740187007272</v>
      </c>
      <c r="U96" s="843">
        <f t="shared" si="25"/>
        <v>432.8818960370221</v>
      </c>
      <c r="V96" s="843">
        <f t="shared" si="25"/>
        <v>443.53858108377398</v>
      </c>
      <c r="W96" s="843">
        <f t="shared" si="25"/>
        <v>445.0084686764294</v>
      </c>
      <c r="X96" s="843">
        <f t="shared" si="25"/>
        <v>450.88801904705105</v>
      </c>
      <c r="Y96" s="843">
        <f t="shared" si="25"/>
        <v>450.88801904705105</v>
      </c>
      <c r="Z96" s="843">
        <f t="shared" si="25"/>
        <v>449.05065955623178</v>
      </c>
      <c r="AA96" s="843">
        <f t="shared" si="25"/>
        <v>449.05065955623178</v>
      </c>
      <c r="AB96" s="843">
        <f t="shared" si="25"/>
        <v>449.41813145439568</v>
      </c>
      <c r="AC96" s="843">
        <f t="shared" si="25"/>
        <v>449.78560335255952</v>
      </c>
      <c r="AD96" s="843">
        <f t="shared" si="25"/>
        <v>449.78560335255952</v>
      </c>
      <c r="AE96" s="843">
        <f t="shared" si="25"/>
        <v>450.8880190470511</v>
      </c>
      <c r="AF96" s="843">
        <f t="shared" si="25"/>
        <v>450.15307525072336</v>
      </c>
      <c r="AG96" s="843">
        <f t="shared" si="25"/>
        <v>447.9482438617402</v>
      </c>
      <c r="AH96" s="843">
        <f t="shared" si="25"/>
        <v>446.84582816724861</v>
      </c>
      <c r="AI96" s="843">
        <f t="shared" si="25"/>
        <v>442.80363728744624</v>
      </c>
      <c r="AJ96" s="843">
        <f t="shared" si="25"/>
        <v>441.33374969479075</v>
      </c>
      <c r="AK96" s="843">
        <f t="shared" si="25"/>
        <v>440.59880589846307</v>
      </c>
      <c r="AL96" s="843">
        <f t="shared" si="25"/>
        <v>439.86386210213539</v>
      </c>
      <c r="AM96" s="843">
        <f t="shared" si="25"/>
        <v>439.49639020397154</v>
      </c>
      <c r="AN96" s="843">
        <f t="shared" si="25"/>
        <v>438.7614464076438</v>
      </c>
      <c r="AO96" s="843">
        <f t="shared" si="25"/>
        <v>437.29155881498838</v>
      </c>
      <c r="AP96" s="843">
        <f t="shared" si="22"/>
        <v>437.53746659467174</v>
      </c>
      <c r="AQ96" s="843">
        <f t="shared" si="22"/>
        <v>437.78337437435505</v>
      </c>
      <c r="AR96" s="843">
        <f t="shared" si="22"/>
        <v>438.02928215403841</v>
      </c>
      <c r="AS96" s="843">
        <f t="shared" si="22"/>
        <v>438.27518993372178</v>
      </c>
      <c r="AT96" s="843">
        <f t="shared" si="22"/>
        <v>438.52109771340514</v>
      </c>
      <c r="AU96" s="843">
        <f t="shared" si="22"/>
        <v>438.76700549308845</v>
      </c>
      <c r="AV96" s="843">
        <f t="shared" si="22"/>
        <v>439.01291327277175</v>
      </c>
      <c r="AW96" s="843">
        <f t="shared" si="22"/>
        <v>439.25882105245512</v>
      </c>
      <c r="AX96" s="843">
        <f t="shared" si="22"/>
        <v>439.50472883213848</v>
      </c>
      <c r="AY96" s="843">
        <f t="shared" si="22"/>
        <v>439.75063661182185</v>
      </c>
      <c r="AZ96" s="843">
        <f t="shared" si="22"/>
        <v>439.99654439150521</v>
      </c>
      <c r="BA96" s="843">
        <f t="shared" si="22"/>
        <v>440.24245217118852</v>
      </c>
      <c r="BB96" s="843">
        <f t="shared" si="22"/>
        <v>440.48835995087188</v>
      </c>
      <c r="BC96" s="843">
        <f t="shared" si="22"/>
        <v>440.73426773055513</v>
      </c>
      <c r="BD96" s="843">
        <f t="shared" si="22"/>
        <v>440.9801755102385</v>
      </c>
      <c r="BE96" s="843">
        <f t="shared" si="22"/>
        <v>441.22608328992186</v>
      </c>
      <c r="BF96" s="843">
        <f t="shared" si="23"/>
        <v>441.47199106960522</v>
      </c>
      <c r="BG96" s="843">
        <f t="shared" si="23"/>
        <v>441.71789884928859</v>
      </c>
      <c r="BH96" s="843">
        <f t="shared" si="23"/>
        <v>441.96380662897195</v>
      </c>
      <c r="BI96" s="843">
        <f t="shared" si="23"/>
        <v>442.20971440865526</v>
      </c>
      <c r="BJ96" s="841"/>
      <c r="BK96" s="841"/>
    </row>
    <row r="97" spans="1:63" ht="13.5" customHeight="1" x14ac:dyDescent="0.3">
      <c r="A97" s="1215"/>
      <c r="B97" s="644"/>
      <c r="C97" s="678"/>
      <c r="D97" s="676" t="s">
        <v>863</v>
      </c>
      <c r="E97" s="676"/>
      <c r="F97" s="676"/>
      <c r="G97" s="676"/>
      <c r="H97" s="676"/>
      <c r="I97" s="676"/>
      <c r="J97" s="860">
        <v>66.718800000000002</v>
      </c>
      <c r="K97" s="860">
        <v>66.718800000000002</v>
      </c>
      <c r="L97" s="860">
        <v>66.718800000000002</v>
      </c>
      <c r="M97" s="843">
        <f t="shared" si="24"/>
        <v>63.246446096654282</v>
      </c>
      <c r="N97" s="843">
        <f t="shared" si="25"/>
        <v>59.62527702602231</v>
      </c>
      <c r="O97" s="843">
        <f t="shared" si="25"/>
        <v>56.301738289962834</v>
      </c>
      <c r="P97" s="843">
        <f t="shared" si="25"/>
        <v>54.714376505576212</v>
      </c>
      <c r="Q97" s="843">
        <f t="shared" si="25"/>
        <v>54.41674617100373</v>
      </c>
      <c r="R97" s="843">
        <f t="shared" si="25"/>
        <v>54.962401784386621</v>
      </c>
      <c r="S97" s="843">
        <f t="shared" si="25"/>
        <v>56.202528178438669</v>
      </c>
      <c r="T97" s="843">
        <f t="shared" si="25"/>
        <v>57.541864684014882</v>
      </c>
      <c r="U97" s="843">
        <f t="shared" si="25"/>
        <v>58.434755687732356</v>
      </c>
      <c r="V97" s="843">
        <f t="shared" si="25"/>
        <v>59.873302304832741</v>
      </c>
      <c r="W97" s="843">
        <f t="shared" si="25"/>
        <v>60.071722527881064</v>
      </c>
      <c r="X97" s="843">
        <f t="shared" si="25"/>
        <v>60.865403420074372</v>
      </c>
      <c r="Y97" s="843">
        <f t="shared" si="25"/>
        <v>60.865403420074372</v>
      </c>
      <c r="Z97" s="843">
        <f t="shared" si="25"/>
        <v>60.617378141263963</v>
      </c>
      <c r="AA97" s="843">
        <f t="shared" si="25"/>
        <v>60.617378141263963</v>
      </c>
      <c r="AB97" s="843">
        <f t="shared" si="25"/>
        <v>60.666983197026049</v>
      </c>
      <c r="AC97" s="843">
        <f t="shared" si="25"/>
        <v>60.716588252788128</v>
      </c>
      <c r="AD97" s="843">
        <f t="shared" si="25"/>
        <v>60.716588252788128</v>
      </c>
      <c r="AE97" s="843">
        <f t="shared" si="25"/>
        <v>60.865403420074372</v>
      </c>
      <c r="AF97" s="843">
        <f t="shared" si="25"/>
        <v>60.766193308550207</v>
      </c>
      <c r="AG97" s="843">
        <f t="shared" si="25"/>
        <v>60.468562973977711</v>
      </c>
      <c r="AH97" s="843">
        <f t="shared" si="25"/>
        <v>60.319747806691467</v>
      </c>
      <c r="AI97" s="843">
        <f t="shared" si="25"/>
        <v>59.774092193308569</v>
      </c>
      <c r="AJ97" s="843">
        <f t="shared" si="25"/>
        <v>59.575671970260238</v>
      </c>
      <c r="AK97" s="843">
        <f t="shared" si="25"/>
        <v>59.47646185873608</v>
      </c>
      <c r="AL97" s="843">
        <f t="shared" si="25"/>
        <v>59.377251747211922</v>
      </c>
      <c r="AM97" s="843">
        <f t="shared" si="25"/>
        <v>59.327646691449843</v>
      </c>
      <c r="AN97" s="843">
        <f t="shared" si="25"/>
        <v>59.22843657992567</v>
      </c>
      <c r="AO97" s="843">
        <f t="shared" si="25"/>
        <v>59.030016356877347</v>
      </c>
      <c r="AP97" s="843">
        <f t="shared" si="22"/>
        <v>59.063211464270523</v>
      </c>
      <c r="AQ97" s="843">
        <f t="shared" si="22"/>
        <v>59.096406571663692</v>
      </c>
      <c r="AR97" s="843">
        <f t="shared" si="22"/>
        <v>59.129601679056869</v>
      </c>
      <c r="AS97" s="843">
        <f t="shared" si="22"/>
        <v>59.162796786450045</v>
      </c>
      <c r="AT97" s="843">
        <f t="shared" si="22"/>
        <v>59.195991893843214</v>
      </c>
      <c r="AU97" s="843">
        <f t="shared" si="22"/>
        <v>59.229187001236383</v>
      </c>
      <c r="AV97" s="843">
        <f t="shared" si="22"/>
        <v>59.262382108629552</v>
      </c>
      <c r="AW97" s="843">
        <f t="shared" si="22"/>
        <v>59.295577216022728</v>
      </c>
      <c r="AX97" s="843">
        <f t="shared" si="22"/>
        <v>59.328772323415905</v>
      </c>
      <c r="AY97" s="843">
        <f t="shared" si="22"/>
        <v>59.361967430809081</v>
      </c>
      <c r="AZ97" s="843">
        <f t="shared" si="22"/>
        <v>59.395162538202257</v>
      </c>
      <c r="BA97" s="843">
        <f t="shared" si="22"/>
        <v>59.428357645595426</v>
      </c>
      <c r="BB97" s="843">
        <f t="shared" si="22"/>
        <v>59.461552752988602</v>
      </c>
      <c r="BC97" s="843">
        <f t="shared" si="22"/>
        <v>59.494747860381764</v>
      </c>
      <c r="BD97" s="843">
        <f t="shared" si="22"/>
        <v>59.527942967774933</v>
      </c>
      <c r="BE97" s="843">
        <f t="shared" si="22"/>
        <v>59.56113807516811</v>
      </c>
      <c r="BF97" s="843">
        <f t="shared" si="23"/>
        <v>59.594333182561279</v>
      </c>
      <c r="BG97" s="843">
        <f t="shared" si="23"/>
        <v>59.627528289954448</v>
      </c>
      <c r="BH97" s="843">
        <f t="shared" si="23"/>
        <v>59.660723397347624</v>
      </c>
      <c r="BI97" s="843">
        <f t="shared" si="23"/>
        <v>59.693918504740793</v>
      </c>
      <c r="BJ97" s="841"/>
      <c r="BK97" s="841"/>
    </row>
    <row r="98" spans="1:63" ht="14" customHeight="1" x14ac:dyDescent="0.3">
      <c r="A98" s="973"/>
      <c r="B98" s="644"/>
      <c r="C98" s="679"/>
      <c r="D98" s="672"/>
      <c r="E98" s="672"/>
      <c r="F98" s="672"/>
      <c r="G98" s="676"/>
      <c r="H98" s="676"/>
      <c r="I98" s="676"/>
      <c r="J98" s="685"/>
      <c r="K98" s="685"/>
      <c r="L98" s="685"/>
      <c r="M98" s="685"/>
      <c r="N98" s="685"/>
      <c r="O98" s="685"/>
      <c r="P98" s="685"/>
      <c r="Q98" s="685"/>
      <c r="R98" s="685"/>
      <c r="S98" s="685"/>
      <c r="T98" s="685"/>
      <c r="U98" s="685"/>
      <c r="V98" s="685"/>
      <c r="W98" s="685"/>
      <c r="X98" s="685"/>
      <c r="Y98" s="685"/>
      <c r="Z98" s="685"/>
      <c r="AA98" s="685"/>
      <c r="AB98" s="685"/>
      <c r="AC98" s="685"/>
      <c r="AD98" s="685"/>
      <c r="AE98" s="685"/>
      <c r="AF98" s="685"/>
      <c r="AG98" s="685"/>
      <c r="AH98" s="685"/>
      <c r="AI98" s="685"/>
      <c r="AJ98" s="685"/>
      <c r="AK98" s="685"/>
      <c r="AL98" s="685"/>
      <c r="AM98" s="685"/>
      <c r="AN98" s="685"/>
      <c r="AO98" s="685"/>
      <c r="AP98" s="675"/>
    </row>
    <row r="99" spans="1:63" ht="14.25" customHeight="1" x14ac:dyDescent="0.3">
      <c r="A99" s="973"/>
      <c r="B99" s="644"/>
      <c r="C99" s="679"/>
      <c r="D99" s="672" t="s">
        <v>871</v>
      </c>
      <c r="E99" s="672"/>
      <c r="F99" s="672"/>
      <c r="G99" s="676"/>
      <c r="H99" s="676"/>
      <c r="I99" s="676"/>
      <c r="J99" s="685"/>
      <c r="K99" s="685"/>
      <c r="L99" s="685"/>
      <c r="M99" s="685"/>
      <c r="N99" s="685"/>
      <c r="O99" s="685"/>
      <c r="P99" s="685"/>
      <c r="Q99" s="685"/>
      <c r="R99" s="685"/>
      <c r="S99" s="685"/>
      <c r="T99" s="685"/>
      <c r="U99" s="685"/>
      <c r="V99" s="685"/>
      <c r="W99" s="685"/>
      <c r="X99" s="685"/>
      <c r="Y99" s="685"/>
      <c r="Z99" s="685"/>
      <c r="AA99" s="685"/>
      <c r="AB99" s="685"/>
      <c r="AC99" s="685"/>
      <c r="AD99" s="685"/>
      <c r="AE99" s="685"/>
      <c r="AF99" s="685"/>
      <c r="AG99" s="685"/>
      <c r="AH99" s="685"/>
      <c r="AI99" s="685"/>
      <c r="AJ99" s="685"/>
      <c r="AK99" s="685"/>
      <c r="AL99" s="685"/>
      <c r="AM99" s="685"/>
      <c r="AN99" s="685"/>
      <c r="AO99" s="685"/>
      <c r="AP99" s="675"/>
    </row>
    <row r="100" spans="1:63" ht="14.25" customHeight="1" x14ac:dyDescent="0.3">
      <c r="A100" s="973"/>
      <c r="B100" s="644"/>
      <c r="C100" s="679"/>
      <c r="D100" s="672"/>
      <c r="E100" s="672"/>
      <c r="F100" s="672"/>
      <c r="G100" s="676"/>
      <c r="H100" s="676"/>
      <c r="I100" s="676"/>
      <c r="J100" s="685"/>
      <c r="K100" s="685"/>
      <c r="L100" s="685"/>
      <c r="M100" s="685"/>
      <c r="N100" s="685"/>
      <c r="O100" s="685"/>
      <c r="P100" s="685"/>
      <c r="Q100" s="685"/>
      <c r="R100" s="685"/>
      <c r="S100" s="685"/>
      <c r="T100" s="685"/>
      <c r="U100" s="685"/>
      <c r="V100" s="685"/>
      <c r="W100" s="685"/>
      <c r="X100" s="685"/>
      <c r="Y100" s="685"/>
      <c r="Z100" s="685"/>
      <c r="AA100" s="685"/>
      <c r="AB100" s="685"/>
      <c r="AC100" s="685"/>
      <c r="AD100" s="685"/>
      <c r="AE100" s="685"/>
      <c r="AF100" s="685"/>
      <c r="AG100" s="685"/>
      <c r="AH100" s="685"/>
      <c r="AI100" s="685"/>
      <c r="AJ100" s="685"/>
      <c r="AK100" s="685"/>
      <c r="AL100" s="685"/>
      <c r="AM100" s="685"/>
      <c r="AN100" s="685"/>
      <c r="AO100" s="685"/>
      <c r="AP100" s="675"/>
    </row>
    <row r="101" spans="1:63" ht="14" customHeight="1" x14ac:dyDescent="0.3">
      <c r="A101" s="1215"/>
      <c r="B101" s="644"/>
      <c r="C101" s="679"/>
      <c r="D101" s="676" t="s">
        <v>849</v>
      </c>
      <c r="E101" s="672"/>
      <c r="F101" s="672"/>
      <c r="G101" s="676"/>
      <c r="H101" s="676"/>
      <c r="I101" s="676"/>
      <c r="J101" s="685">
        <v>1.1530673350187677</v>
      </c>
      <c r="K101" s="685"/>
      <c r="L101" s="685"/>
      <c r="M101" s="685"/>
      <c r="N101" s="685"/>
      <c r="O101" s="685"/>
      <c r="P101" s="685"/>
      <c r="Q101" s="685"/>
      <c r="R101" s="685"/>
      <c r="S101" s="685"/>
      <c r="T101" s="685"/>
      <c r="U101" s="685"/>
      <c r="V101" s="685"/>
      <c r="W101" s="685"/>
      <c r="X101" s="685"/>
      <c r="Y101" s="685"/>
      <c r="Z101" s="685"/>
      <c r="AA101" s="685"/>
      <c r="AB101" s="685"/>
      <c r="AC101" s="685"/>
      <c r="AD101" s="685"/>
      <c r="AE101" s="685"/>
      <c r="AF101" s="685"/>
      <c r="AG101" s="685"/>
      <c r="AH101" s="685"/>
      <c r="AI101" s="685"/>
      <c r="AJ101" s="685"/>
      <c r="AK101" s="685"/>
      <c r="AL101" s="685"/>
      <c r="AM101" s="685"/>
      <c r="AN101" s="685"/>
      <c r="AO101" s="685"/>
      <c r="AP101" s="675"/>
    </row>
    <row r="102" spans="1:63" ht="14.25" customHeight="1" x14ac:dyDescent="0.3">
      <c r="A102" s="1215"/>
      <c r="B102" s="644"/>
      <c r="C102" s="678"/>
      <c r="D102" s="676" t="s">
        <v>850</v>
      </c>
      <c r="E102" s="676"/>
      <c r="F102" s="676"/>
      <c r="G102" s="676"/>
      <c r="H102" s="676"/>
      <c r="I102" s="676"/>
      <c r="J102" s="685">
        <v>32.007800979651329</v>
      </c>
      <c r="K102" s="685"/>
      <c r="L102" s="685"/>
      <c r="M102" s="685"/>
      <c r="N102" s="685"/>
      <c r="O102" s="685"/>
      <c r="P102" s="685"/>
      <c r="Q102" s="685"/>
      <c r="R102" s="685"/>
      <c r="S102" s="685"/>
      <c r="T102" s="685"/>
      <c r="U102" s="685"/>
      <c r="V102" s="685"/>
      <c r="W102" s="685"/>
      <c r="X102" s="685"/>
      <c r="Y102" s="685"/>
      <c r="Z102" s="685"/>
      <c r="AA102" s="685"/>
      <c r="AB102" s="685"/>
      <c r="AC102" s="685"/>
      <c r="AD102" s="685"/>
      <c r="AE102" s="685"/>
      <c r="AF102" s="685"/>
      <c r="AG102" s="685"/>
      <c r="AH102" s="685"/>
      <c r="AI102" s="685"/>
      <c r="AJ102" s="685"/>
      <c r="AK102" s="685"/>
      <c r="AL102" s="685"/>
      <c r="AM102" s="685"/>
      <c r="AN102" s="685"/>
      <c r="AO102" s="685"/>
      <c r="AP102" s="675"/>
    </row>
    <row r="103" spans="1:63" ht="14.25" customHeight="1" x14ac:dyDescent="0.3">
      <c r="A103" s="1215"/>
      <c r="B103" s="644"/>
      <c r="C103" s="678"/>
      <c r="D103" s="676" t="s">
        <v>851</v>
      </c>
      <c r="E103" s="687"/>
      <c r="F103" s="687"/>
      <c r="G103" s="687"/>
      <c r="H103" s="687"/>
      <c r="I103" s="687"/>
      <c r="J103" s="685">
        <v>0.32748602126959764</v>
      </c>
      <c r="K103" s="685"/>
      <c r="L103" s="685"/>
      <c r="M103" s="685"/>
      <c r="N103" s="685"/>
      <c r="O103" s="685"/>
      <c r="P103" s="685"/>
      <c r="Q103" s="685"/>
      <c r="R103" s="685"/>
      <c r="S103" s="685"/>
      <c r="T103" s="685"/>
      <c r="U103" s="685"/>
      <c r="V103" s="685"/>
      <c r="W103" s="685"/>
      <c r="X103" s="685"/>
      <c r="Y103" s="685"/>
      <c r="Z103" s="685"/>
      <c r="AA103" s="685"/>
      <c r="AB103" s="685"/>
      <c r="AC103" s="685"/>
      <c r="AD103" s="685"/>
      <c r="AE103" s="685"/>
      <c r="AF103" s="685"/>
      <c r="AG103" s="685"/>
      <c r="AH103" s="685"/>
      <c r="AI103" s="685"/>
      <c r="AJ103" s="685"/>
      <c r="AK103" s="685"/>
      <c r="AL103" s="685"/>
      <c r="AM103" s="685"/>
      <c r="AN103" s="685"/>
      <c r="AO103" s="685"/>
      <c r="AP103" s="675"/>
    </row>
    <row r="104" spans="1:63" ht="14.25" customHeight="1" x14ac:dyDescent="0.3">
      <c r="A104" s="1215"/>
      <c r="B104" s="644"/>
      <c r="C104" s="678"/>
      <c r="D104" s="676" t="s">
        <v>852</v>
      </c>
      <c r="E104" s="687"/>
      <c r="F104" s="687"/>
      <c r="G104" s="687"/>
      <c r="H104" s="687"/>
      <c r="I104" s="687"/>
      <c r="J104" s="685">
        <v>1.0143421769176082</v>
      </c>
      <c r="K104" s="685"/>
      <c r="L104" s="685"/>
      <c r="M104" s="685"/>
      <c r="N104" s="685"/>
      <c r="O104" s="685"/>
      <c r="P104" s="685"/>
      <c r="Q104" s="685"/>
      <c r="R104" s="685"/>
      <c r="S104" s="685"/>
      <c r="T104" s="685"/>
      <c r="U104" s="685"/>
      <c r="V104" s="685"/>
      <c r="W104" s="685"/>
      <c r="X104" s="685"/>
      <c r="Y104" s="685"/>
      <c r="Z104" s="685"/>
      <c r="AA104" s="685"/>
      <c r="AB104" s="685"/>
      <c r="AC104" s="685"/>
      <c r="AD104" s="685"/>
      <c r="AE104" s="685"/>
      <c r="AF104" s="685"/>
      <c r="AG104" s="685"/>
      <c r="AH104" s="685"/>
      <c r="AI104" s="685"/>
      <c r="AJ104" s="685"/>
      <c r="AK104" s="685"/>
      <c r="AL104" s="685"/>
      <c r="AM104" s="685"/>
      <c r="AN104" s="685"/>
      <c r="AO104" s="685"/>
      <c r="AP104" s="675"/>
    </row>
    <row r="105" spans="1:63" ht="14.25" customHeight="1" x14ac:dyDescent="0.3">
      <c r="A105" s="1215"/>
      <c r="B105" s="644"/>
      <c r="C105" s="678"/>
      <c r="D105" s="676" t="s">
        <v>853</v>
      </c>
      <c r="E105" s="687"/>
      <c r="F105" s="687"/>
      <c r="G105" s="687"/>
      <c r="H105" s="687"/>
      <c r="I105" s="687"/>
      <c r="J105" s="685">
        <v>0</v>
      </c>
      <c r="K105" s="685"/>
      <c r="L105" s="685"/>
      <c r="M105" s="685"/>
      <c r="N105" s="685"/>
      <c r="O105" s="685"/>
      <c r="P105" s="685"/>
      <c r="Q105" s="685"/>
      <c r="R105" s="685"/>
      <c r="S105" s="685"/>
      <c r="T105" s="685"/>
      <c r="U105" s="685"/>
      <c r="V105" s="685"/>
      <c r="W105" s="685"/>
      <c r="X105" s="685"/>
      <c r="Y105" s="685"/>
      <c r="Z105" s="685"/>
      <c r="AA105" s="685"/>
      <c r="AB105" s="685"/>
      <c r="AC105" s="685"/>
      <c r="AD105" s="685"/>
      <c r="AE105" s="685"/>
      <c r="AF105" s="685"/>
      <c r="AG105" s="685"/>
      <c r="AH105" s="685"/>
      <c r="AI105" s="685"/>
      <c r="AJ105" s="685"/>
      <c r="AK105" s="685"/>
      <c r="AL105" s="685"/>
      <c r="AM105" s="685"/>
      <c r="AN105" s="685"/>
      <c r="AO105" s="685"/>
      <c r="AP105" s="675"/>
    </row>
    <row r="106" spans="1:63" ht="14.25" customHeight="1" x14ac:dyDescent="0.3">
      <c r="A106" s="1215"/>
      <c r="B106" s="644"/>
      <c r="C106" s="678"/>
      <c r="D106" s="676" t="s">
        <v>854</v>
      </c>
      <c r="E106" s="687"/>
      <c r="F106" s="687"/>
      <c r="G106" s="687"/>
      <c r="H106" s="687"/>
      <c r="I106" s="687"/>
      <c r="J106" s="685">
        <v>3.7806672081420828E-2</v>
      </c>
      <c r="K106" s="685"/>
      <c r="L106" s="685"/>
      <c r="M106" s="685"/>
      <c r="N106" s="685"/>
      <c r="O106" s="685"/>
      <c r="P106" s="685"/>
      <c r="Q106" s="685"/>
      <c r="R106" s="685"/>
      <c r="S106" s="685"/>
      <c r="T106" s="685"/>
      <c r="U106" s="685"/>
      <c r="V106" s="685"/>
      <c r="W106" s="685"/>
      <c r="X106" s="685"/>
      <c r="Y106" s="685"/>
      <c r="Z106" s="685"/>
      <c r="AA106" s="685"/>
      <c r="AB106" s="685"/>
      <c r="AC106" s="685"/>
      <c r="AD106" s="685"/>
      <c r="AE106" s="685"/>
      <c r="AF106" s="685"/>
      <c r="AG106" s="685"/>
      <c r="AH106" s="685"/>
      <c r="AI106" s="685"/>
      <c r="AJ106" s="685"/>
      <c r="AK106" s="685"/>
      <c r="AL106" s="685"/>
      <c r="AM106" s="685"/>
      <c r="AN106" s="685"/>
      <c r="AO106" s="685"/>
      <c r="AP106" s="675"/>
    </row>
    <row r="107" spans="1:63" ht="14.25" customHeight="1" x14ac:dyDescent="0.3">
      <c r="A107" s="1215"/>
      <c r="B107" s="644"/>
      <c r="C107" s="678"/>
      <c r="D107" s="676" t="s">
        <v>855</v>
      </c>
      <c r="E107" s="676"/>
      <c r="F107" s="676"/>
      <c r="G107" s="676"/>
      <c r="H107" s="676"/>
      <c r="I107" s="676"/>
      <c r="J107" s="685">
        <v>0.69709609704687103</v>
      </c>
      <c r="K107" s="685"/>
      <c r="L107" s="685"/>
      <c r="M107" s="685"/>
      <c r="N107" s="685"/>
      <c r="O107" s="685"/>
      <c r="P107" s="685"/>
      <c r="Q107" s="685"/>
      <c r="R107" s="685"/>
      <c r="S107" s="685"/>
      <c r="T107" s="685"/>
      <c r="U107" s="685"/>
      <c r="V107" s="685"/>
      <c r="W107" s="685"/>
      <c r="X107" s="685"/>
      <c r="Y107" s="685"/>
      <c r="Z107" s="685"/>
      <c r="AA107" s="685"/>
      <c r="AB107" s="685"/>
      <c r="AC107" s="685"/>
      <c r="AD107" s="685"/>
      <c r="AE107" s="685"/>
      <c r="AF107" s="685"/>
      <c r="AG107" s="685"/>
      <c r="AH107" s="685"/>
      <c r="AI107" s="685"/>
      <c r="AJ107" s="685"/>
      <c r="AK107" s="685"/>
      <c r="AL107" s="685"/>
      <c r="AM107" s="685"/>
      <c r="AN107" s="685"/>
      <c r="AO107" s="685"/>
      <c r="AP107" s="675"/>
    </row>
    <row r="108" spans="1:63" ht="14.25" customHeight="1" x14ac:dyDescent="0.3">
      <c r="A108" s="1215"/>
      <c r="B108" s="644"/>
      <c r="C108" s="678"/>
      <c r="D108" s="676" t="s">
        <v>856</v>
      </c>
      <c r="E108" s="687"/>
      <c r="F108" s="687"/>
      <c r="G108" s="687"/>
      <c r="H108" s="687"/>
      <c r="I108" s="687"/>
      <c r="J108" s="685">
        <v>0</v>
      </c>
      <c r="K108" s="685"/>
      <c r="L108" s="685"/>
      <c r="M108" s="685"/>
      <c r="N108" s="685"/>
      <c r="O108" s="685"/>
      <c r="P108" s="685"/>
      <c r="Q108" s="685"/>
      <c r="R108" s="685"/>
      <c r="S108" s="685"/>
      <c r="T108" s="685"/>
      <c r="U108" s="685"/>
      <c r="V108" s="685"/>
      <c r="W108" s="685"/>
      <c r="X108" s="685"/>
      <c r="Y108" s="685"/>
      <c r="Z108" s="685"/>
      <c r="AA108" s="685"/>
      <c r="AB108" s="685"/>
      <c r="AC108" s="685"/>
      <c r="AD108" s="685"/>
      <c r="AE108" s="685"/>
      <c r="AF108" s="685"/>
      <c r="AG108" s="685"/>
      <c r="AH108" s="685"/>
      <c r="AI108" s="685"/>
      <c r="AJ108" s="685"/>
      <c r="AK108" s="685"/>
      <c r="AL108" s="685"/>
      <c r="AM108" s="685"/>
      <c r="AN108" s="685"/>
      <c r="AO108" s="685"/>
      <c r="AP108" s="675"/>
    </row>
    <row r="109" spans="1:63" ht="14.25" customHeight="1" x14ac:dyDescent="0.3">
      <c r="A109" s="1215"/>
      <c r="B109" s="644"/>
      <c r="C109" s="678"/>
      <c r="D109" s="676" t="s">
        <v>857</v>
      </c>
      <c r="E109" s="687"/>
      <c r="F109" s="687"/>
      <c r="G109" s="687"/>
      <c r="H109" s="687"/>
      <c r="I109" s="687"/>
      <c r="J109" s="685">
        <v>0</v>
      </c>
      <c r="K109" s="685"/>
      <c r="L109" s="685"/>
      <c r="M109" s="685"/>
      <c r="N109" s="685"/>
      <c r="O109" s="685"/>
      <c r="P109" s="685"/>
      <c r="Q109" s="685"/>
      <c r="R109" s="685"/>
      <c r="S109" s="685"/>
      <c r="T109" s="685"/>
      <c r="U109" s="685"/>
      <c r="V109" s="685"/>
      <c r="W109" s="685"/>
      <c r="X109" s="685"/>
      <c r="Y109" s="685"/>
      <c r="Z109" s="685"/>
      <c r="AA109" s="685"/>
      <c r="AB109" s="685"/>
      <c r="AC109" s="685"/>
      <c r="AD109" s="685"/>
      <c r="AE109" s="685"/>
      <c r="AF109" s="685"/>
      <c r="AG109" s="685"/>
      <c r="AH109" s="685"/>
      <c r="AI109" s="685"/>
      <c r="AJ109" s="685"/>
      <c r="AK109" s="685"/>
      <c r="AL109" s="685"/>
      <c r="AM109" s="685"/>
      <c r="AN109" s="685"/>
      <c r="AO109" s="685"/>
      <c r="AP109" s="675"/>
    </row>
    <row r="110" spans="1:63" ht="14.25" customHeight="1" x14ac:dyDescent="0.3">
      <c r="A110" s="1215"/>
      <c r="B110" s="644"/>
      <c r="C110" s="678"/>
      <c r="D110" s="676" t="s">
        <v>858</v>
      </c>
      <c r="E110" s="676"/>
      <c r="F110" s="676"/>
      <c r="G110" s="676"/>
      <c r="H110" s="676"/>
      <c r="I110" s="676"/>
      <c r="J110" s="685">
        <v>0.1300256629597947</v>
      </c>
      <c r="K110" s="685"/>
      <c r="L110" s="685"/>
      <c r="M110" s="685"/>
      <c r="N110" s="685"/>
      <c r="O110" s="685"/>
      <c r="P110" s="685"/>
      <c r="Q110" s="685"/>
      <c r="R110" s="685"/>
      <c r="S110" s="685"/>
      <c r="T110" s="685"/>
      <c r="U110" s="685"/>
      <c r="V110" s="685"/>
      <c r="W110" s="685"/>
      <c r="X110" s="685"/>
      <c r="Y110" s="685"/>
      <c r="Z110" s="685"/>
      <c r="AA110" s="685"/>
      <c r="AB110" s="685"/>
      <c r="AC110" s="685"/>
      <c r="AD110" s="685"/>
      <c r="AE110" s="685"/>
      <c r="AF110" s="685"/>
      <c r="AG110" s="685"/>
      <c r="AH110" s="685"/>
      <c r="AI110" s="685"/>
      <c r="AJ110" s="685"/>
      <c r="AK110" s="685"/>
      <c r="AL110" s="685"/>
      <c r="AM110" s="685"/>
      <c r="AN110" s="685"/>
      <c r="AO110" s="685"/>
      <c r="AP110" s="675"/>
    </row>
    <row r="111" spans="1:63" ht="14.25" customHeight="1" x14ac:dyDescent="0.3">
      <c r="A111" s="1215"/>
      <c r="B111" s="644"/>
      <c r="C111" s="678"/>
      <c r="D111" s="676" t="s">
        <v>859</v>
      </c>
      <c r="E111" s="687"/>
      <c r="F111" s="687"/>
      <c r="G111" s="687"/>
      <c r="H111" s="687"/>
      <c r="I111" s="687"/>
      <c r="J111" s="685">
        <v>9.411098945710876E-2</v>
      </c>
      <c r="K111" s="685"/>
      <c r="L111" s="685"/>
      <c r="M111" s="685"/>
      <c r="N111" s="685"/>
      <c r="O111" s="685"/>
      <c r="P111" s="685"/>
      <c r="Q111" s="685"/>
      <c r="R111" s="685"/>
      <c r="S111" s="685"/>
      <c r="T111" s="685"/>
      <c r="U111" s="685"/>
      <c r="V111" s="685"/>
      <c r="W111" s="685"/>
      <c r="X111" s="685"/>
      <c r="Y111" s="685"/>
      <c r="Z111" s="685"/>
      <c r="AA111" s="685"/>
      <c r="AB111" s="685"/>
      <c r="AC111" s="685"/>
      <c r="AD111" s="685"/>
      <c r="AE111" s="685"/>
      <c r="AF111" s="685"/>
      <c r="AG111" s="685"/>
      <c r="AH111" s="685"/>
      <c r="AI111" s="685"/>
      <c r="AJ111" s="685"/>
      <c r="AK111" s="685"/>
      <c r="AL111" s="685"/>
      <c r="AM111" s="685"/>
      <c r="AN111" s="685"/>
      <c r="AO111" s="685"/>
      <c r="AP111" s="675"/>
    </row>
    <row r="112" spans="1:63" ht="14.25" customHeight="1" x14ac:dyDescent="0.3">
      <c r="A112" s="1215"/>
      <c r="B112" s="644"/>
      <c r="C112" s="678"/>
      <c r="D112" s="676" t="s">
        <v>860</v>
      </c>
      <c r="E112" s="676"/>
      <c r="F112" s="676"/>
      <c r="G112" s="676"/>
      <c r="H112" s="676"/>
      <c r="I112" s="676"/>
      <c r="J112" s="685">
        <v>7.0672544808341984</v>
      </c>
      <c r="K112" s="685"/>
      <c r="L112" s="685"/>
      <c r="M112" s="685"/>
      <c r="N112" s="685"/>
      <c r="O112" s="685"/>
      <c r="P112" s="685"/>
      <c r="Q112" s="685"/>
      <c r="R112" s="685"/>
      <c r="S112" s="685"/>
      <c r="T112" s="685"/>
      <c r="U112" s="685"/>
      <c r="V112" s="685"/>
      <c r="W112" s="685"/>
      <c r="X112" s="685"/>
      <c r="Y112" s="685"/>
      <c r="Z112" s="685"/>
      <c r="AA112" s="685"/>
      <c r="AB112" s="685"/>
      <c r="AC112" s="685"/>
      <c r="AD112" s="685"/>
      <c r="AE112" s="685"/>
      <c r="AF112" s="685"/>
      <c r="AG112" s="685"/>
      <c r="AH112" s="685"/>
      <c r="AI112" s="685"/>
      <c r="AJ112" s="685"/>
      <c r="AK112" s="685"/>
      <c r="AL112" s="685"/>
      <c r="AM112" s="685"/>
      <c r="AN112" s="685"/>
      <c r="AO112" s="685"/>
      <c r="AP112" s="675"/>
    </row>
    <row r="113" spans="1:42" ht="14.25" customHeight="1" x14ac:dyDescent="0.3">
      <c r="A113" s="1215"/>
      <c r="B113" s="644"/>
      <c r="C113" s="678"/>
      <c r="D113" s="676" t="s">
        <v>861</v>
      </c>
      <c r="E113" s="676"/>
      <c r="F113" s="676"/>
      <c r="G113" s="676"/>
      <c r="H113" s="676"/>
      <c r="I113" s="676"/>
      <c r="J113" s="685">
        <v>6.7623767895968241</v>
      </c>
      <c r="K113" s="685"/>
      <c r="L113" s="685"/>
      <c r="M113" s="685"/>
      <c r="N113" s="685"/>
      <c r="O113" s="685"/>
      <c r="P113" s="685"/>
      <c r="Q113" s="685"/>
      <c r="R113" s="685"/>
      <c r="S113" s="685"/>
      <c r="T113" s="685"/>
      <c r="U113" s="685"/>
      <c r="V113" s="685"/>
      <c r="W113" s="685"/>
      <c r="X113" s="685"/>
      <c r="Y113" s="685"/>
      <c r="Z113" s="685"/>
      <c r="AA113" s="685"/>
      <c r="AB113" s="685"/>
      <c r="AC113" s="685"/>
      <c r="AD113" s="685"/>
      <c r="AE113" s="685"/>
      <c r="AF113" s="685"/>
      <c r="AG113" s="685"/>
      <c r="AH113" s="685"/>
      <c r="AI113" s="685"/>
      <c r="AJ113" s="685"/>
      <c r="AK113" s="685"/>
      <c r="AL113" s="685"/>
      <c r="AM113" s="685"/>
      <c r="AN113" s="685"/>
      <c r="AO113" s="685"/>
      <c r="AP113" s="675"/>
    </row>
    <row r="114" spans="1:42" ht="13.5" customHeight="1" x14ac:dyDescent="0.3">
      <c r="A114" s="1215"/>
      <c r="B114" s="644"/>
      <c r="C114" s="678"/>
      <c r="D114" s="676" t="s">
        <v>862</v>
      </c>
      <c r="E114" s="676"/>
      <c r="F114" s="676"/>
      <c r="G114" s="676"/>
      <c r="H114" s="676"/>
      <c r="I114" s="676"/>
      <c r="J114" s="685">
        <v>2495.8949974130837</v>
      </c>
      <c r="K114" s="685"/>
      <c r="L114" s="685"/>
      <c r="M114" s="685"/>
      <c r="N114" s="685"/>
      <c r="O114" s="685"/>
      <c r="P114" s="685"/>
      <c r="Q114" s="685"/>
      <c r="R114" s="685"/>
      <c r="S114" s="685"/>
      <c r="T114" s="685"/>
      <c r="U114" s="685"/>
      <c r="V114" s="685"/>
      <c r="W114" s="685"/>
      <c r="X114" s="685"/>
      <c r="Y114" s="685"/>
      <c r="Z114" s="685"/>
      <c r="AA114" s="685"/>
      <c r="AB114" s="685"/>
      <c r="AC114" s="685"/>
      <c r="AD114" s="685"/>
      <c r="AE114" s="685"/>
      <c r="AF114" s="685"/>
      <c r="AG114" s="685"/>
      <c r="AH114" s="685"/>
      <c r="AI114" s="685"/>
      <c r="AJ114" s="685"/>
      <c r="AK114" s="685"/>
      <c r="AL114" s="685"/>
      <c r="AM114" s="685"/>
      <c r="AN114" s="685"/>
      <c r="AO114" s="685"/>
      <c r="AP114" s="675"/>
    </row>
    <row r="115" spans="1:42" ht="13.5" customHeight="1" x14ac:dyDescent="0.3">
      <c r="A115" s="1215"/>
      <c r="B115" s="644"/>
      <c r="C115" s="678"/>
      <c r="D115" s="676" t="s">
        <v>863</v>
      </c>
      <c r="E115" s="676"/>
      <c r="F115" s="676"/>
      <c r="G115" s="676"/>
      <c r="H115" s="676"/>
      <c r="I115" s="676"/>
      <c r="J115" s="685">
        <v>2799.1929804343577</v>
      </c>
      <c r="K115" s="685"/>
      <c r="L115" s="685"/>
      <c r="M115" s="685"/>
      <c r="N115" s="685"/>
      <c r="O115" s="685"/>
      <c r="P115" s="685"/>
      <c r="Q115" s="685"/>
      <c r="R115" s="685"/>
      <c r="S115" s="685"/>
      <c r="T115" s="685"/>
      <c r="U115" s="685"/>
      <c r="V115" s="685"/>
      <c r="W115" s="685"/>
      <c r="X115" s="685"/>
      <c r="Y115" s="685"/>
      <c r="Z115" s="685"/>
      <c r="AA115" s="685"/>
      <c r="AB115" s="685"/>
      <c r="AC115" s="685"/>
      <c r="AD115" s="685"/>
      <c r="AE115" s="685"/>
      <c r="AF115" s="685"/>
      <c r="AG115" s="685"/>
      <c r="AH115" s="685"/>
      <c r="AI115" s="685"/>
      <c r="AJ115" s="685"/>
      <c r="AK115" s="685"/>
      <c r="AL115" s="685"/>
      <c r="AM115" s="685"/>
      <c r="AN115" s="685"/>
      <c r="AO115" s="685"/>
      <c r="AP115" s="675"/>
    </row>
    <row r="116" spans="1:42" ht="14" customHeight="1" x14ac:dyDescent="0.3">
      <c r="A116" s="973"/>
      <c r="B116" s="644"/>
      <c r="C116" s="679"/>
      <c r="D116" s="672"/>
      <c r="E116" s="672"/>
      <c r="F116" s="672"/>
      <c r="G116" s="676"/>
      <c r="H116" s="676"/>
      <c r="I116" s="676"/>
      <c r="J116" s="685"/>
      <c r="K116" s="685"/>
      <c r="L116" s="685"/>
      <c r="M116" s="685"/>
      <c r="N116" s="685"/>
      <c r="O116" s="685"/>
      <c r="P116" s="685"/>
      <c r="Q116" s="685"/>
      <c r="R116" s="685"/>
      <c r="S116" s="685"/>
      <c r="T116" s="685"/>
      <c r="U116" s="685"/>
      <c r="V116" s="685"/>
      <c r="W116" s="685"/>
      <c r="X116" s="685"/>
      <c r="Y116" s="685"/>
      <c r="Z116" s="685"/>
      <c r="AA116" s="685"/>
      <c r="AB116" s="685"/>
      <c r="AC116" s="685"/>
      <c r="AD116" s="685"/>
      <c r="AE116" s="685"/>
      <c r="AF116" s="685"/>
      <c r="AG116" s="685"/>
      <c r="AH116" s="685"/>
      <c r="AI116" s="685"/>
      <c r="AJ116" s="685"/>
      <c r="AK116" s="685"/>
      <c r="AL116" s="685"/>
      <c r="AM116" s="685"/>
      <c r="AN116" s="685"/>
      <c r="AO116" s="685"/>
      <c r="AP116" s="675"/>
    </row>
    <row r="117" spans="1:42" ht="14.25" customHeight="1" x14ac:dyDescent="0.3">
      <c r="A117" s="973"/>
      <c r="B117" s="644"/>
      <c r="C117" s="679"/>
      <c r="D117" s="672" t="s">
        <v>872</v>
      </c>
      <c r="E117" s="672"/>
      <c r="F117" s="672"/>
      <c r="G117" s="676"/>
      <c r="H117" s="676"/>
      <c r="I117" s="676"/>
      <c r="J117" s="685"/>
      <c r="K117" s="685"/>
      <c r="L117" s="685"/>
      <c r="M117" s="685"/>
      <c r="N117" s="685"/>
      <c r="O117" s="685"/>
      <c r="P117" s="685"/>
      <c r="Q117" s="685"/>
      <c r="R117" s="685"/>
      <c r="S117" s="685"/>
      <c r="T117" s="685"/>
      <c r="U117" s="685"/>
      <c r="V117" s="685"/>
      <c r="W117" s="685"/>
      <c r="X117" s="685"/>
      <c r="Y117" s="685"/>
      <c r="Z117" s="685"/>
      <c r="AA117" s="685"/>
      <c r="AB117" s="685"/>
      <c r="AC117" s="685"/>
      <c r="AD117" s="685"/>
      <c r="AE117" s="685"/>
      <c r="AF117" s="685"/>
      <c r="AG117" s="685"/>
      <c r="AH117" s="685"/>
      <c r="AI117" s="685"/>
      <c r="AJ117" s="685"/>
      <c r="AK117" s="685"/>
      <c r="AL117" s="685"/>
      <c r="AM117" s="685"/>
      <c r="AN117" s="685"/>
      <c r="AO117" s="685"/>
      <c r="AP117" s="675"/>
    </row>
    <row r="118" spans="1:42" ht="14.25" customHeight="1" x14ac:dyDescent="0.3">
      <c r="A118" s="973"/>
      <c r="B118" s="644"/>
      <c r="C118" s="679"/>
      <c r="D118" s="672"/>
      <c r="E118" s="672"/>
      <c r="F118" s="672"/>
      <c r="G118" s="676"/>
      <c r="H118" s="676"/>
      <c r="I118" s="676"/>
      <c r="J118" s="685"/>
      <c r="K118" s="685"/>
      <c r="L118" s="685"/>
      <c r="M118" s="685"/>
      <c r="N118" s="685"/>
      <c r="O118" s="685"/>
      <c r="P118" s="685"/>
      <c r="Q118" s="685"/>
      <c r="R118" s="685"/>
      <c r="S118" s="685"/>
      <c r="T118" s="685"/>
      <c r="U118" s="685"/>
      <c r="V118" s="685"/>
      <c r="W118" s="685"/>
      <c r="X118" s="685"/>
      <c r="Y118" s="685"/>
      <c r="Z118" s="685"/>
      <c r="AA118" s="685"/>
      <c r="AB118" s="685"/>
      <c r="AC118" s="685"/>
      <c r="AD118" s="685"/>
      <c r="AE118" s="685"/>
      <c r="AF118" s="685"/>
      <c r="AG118" s="685"/>
      <c r="AH118" s="685"/>
      <c r="AI118" s="685"/>
      <c r="AJ118" s="685"/>
      <c r="AK118" s="685"/>
      <c r="AL118" s="685"/>
      <c r="AM118" s="685"/>
      <c r="AN118" s="685"/>
      <c r="AO118" s="685"/>
      <c r="AP118" s="675"/>
    </row>
    <row r="119" spans="1:42" ht="14" customHeight="1" x14ac:dyDescent="0.3">
      <c r="A119" s="1215"/>
      <c r="B119" s="644"/>
      <c r="C119" s="679"/>
      <c r="D119" s="676" t="s">
        <v>849</v>
      </c>
      <c r="E119" s="672"/>
      <c r="F119" s="672"/>
      <c r="G119" s="676"/>
      <c r="H119" s="676"/>
      <c r="I119" s="676"/>
      <c r="J119" s="685">
        <v>346.42675470480856</v>
      </c>
      <c r="K119" s="685"/>
      <c r="L119" s="685"/>
      <c r="M119" s="685"/>
      <c r="N119" s="685"/>
      <c r="O119" s="685"/>
      <c r="P119" s="685"/>
      <c r="Q119" s="685"/>
      <c r="R119" s="685"/>
      <c r="S119" s="685"/>
      <c r="T119" s="685"/>
      <c r="U119" s="685"/>
      <c r="V119" s="685"/>
      <c r="W119" s="685"/>
      <c r="X119" s="685"/>
      <c r="Y119" s="685"/>
      <c r="Z119" s="685"/>
      <c r="AA119" s="685"/>
      <c r="AB119" s="685"/>
      <c r="AC119" s="685"/>
      <c r="AD119" s="685"/>
      <c r="AE119" s="685"/>
      <c r="AF119" s="685"/>
      <c r="AG119" s="685"/>
      <c r="AH119" s="685"/>
      <c r="AI119" s="685"/>
      <c r="AJ119" s="685"/>
      <c r="AK119" s="685"/>
      <c r="AL119" s="685"/>
      <c r="AM119" s="685"/>
      <c r="AN119" s="685"/>
      <c r="AO119" s="685"/>
      <c r="AP119" s="675"/>
    </row>
    <row r="120" spans="1:42" ht="14.25" customHeight="1" x14ac:dyDescent="0.3">
      <c r="A120" s="1215"/>
      <c r="B120" s="644"/>
      <c r="C120" s="678"/>
      <c r="D120" s="676" t="s">
        <v>865</v>
      </c>
      <c r="E120" s="676"/>
      <c r="F120" s="676"/>
      <c r="G120" s="676"/>
      <c r="H120" s="676"/>
      <c r="I120" s="676"/>
      <c r="J120" s="685">
        <v>442.1026525821639</v>
      </c>
      <c r="K120" s="685"/>
      <c r="L120" s="685"/>
      <c r="M120" s="685"/>
      <c r="N120" s="685"/>
      <c r="O120" s="685"/>
      <c r="P120" s="685"/>
      <c r="Q120" s="685"/>
      <c r="R120" s="685"/>
      <c r="S120" s="685"/>
      <c r="T120" s="685"/>
      <c r="U120" s="685"/>
      <c r="V120" s="685"/>
      <c r="W120" s="685"/>
      <c r="X120" s="685"/>
      <c r="Y120" s="685"/>
      <c r="Z120" s="685"/>
      <c r="AA120" s="685"/>
      <c r="AB120" s="685"/>
      <c r="AC120" s="685"/>
      <c r="AD120" s="685"/>
      <c r="AE120" s="685"/>
      <c r="AF120" s="685"/>
      <c r="AG120" s="685"/>
      <c r="AH120" s="685"/>
      <c r="AI120" s="685"/>
      <c r="AJ120" s="685"/>
      <c r="AK120" s="685"/>
      <c r="AL120" s="685"/>
      <c r="AM120" s="685"/>
      <c r="AN120" s="685"/>
      <c r="AO120" s="685"/>
      <c r="AP120" s="675"/>
    </row>
    <row r="121" spans="1:42" ht="14.25" customHeight="1" x14ac:dyDescent="0.3">
      <c r="A121" s="1215"/>
      <c r="B121" s="644"/>
      <c r="C121" s="678"/>
      <c r="D121" s="676" t="s">
        <v>851</v>
      </c>
      <c r="E121" s="687"/>
      <c r="F121" s="687"/>
      <c r="G121" s="687"/>
      <c r="H121" s="687"/>
      <c r="I121" s="687"/>
      <c r="J121" s="685">
        <v>34.064999999999998</v>
      </c>
      <c r="K121" s="685"/>
      <c r="L121" s="685"/>
      <c r="M121" s="685"/>
      <c r="N121" s="685"/>
      <c r="O121" s="685"/>
      <c r="P121" s="685"/>
      <c r="Q121" s="685"/>
      <c r="R121" s="685"/>
      <c r="S121" s="685"/>
      <c r="T121" s="685"/>
      <c r="U121" s="685"/>
      <c r="V121" s="685"/>
      <c r="W121" s="685"/>
      <c r="X121" s="685"/>
      <c r="Y121" s="685"/>
      <c r="Z121" s="685"/>
      <c r="AA121" s="685"/>
      <c r="AB121" s="685"/>
      <c r="AC121" s="685"/>
      <c r="AD121" s="685"/>
      <c r="AE121" s="685"/>
      <c r="AF121" s="685"/>
      <c r="AG121" s="685"/>
      <c r="AH121" s="685"/>
      <c r="AI121" s="685"/>
      <c r="AJ121" s="685"/>
      <c r="AK121" s="685"/>
      <c r="AL121" s="685"/>
      <c r="AM121" s="685"/>
      <c r="AN121" s="685"/>
      <c r="AO121" s="685"/>
      <c r="AP121" s="675"/>
    </row>
    <row r="122" spans="1:42" ht="14.25" customHeight="1" x14ac:dyDescent="0.3">
      <c r="A122" s="1215"/>
      <c r="B122" s="644"/>
      <c r="C122" s="678"/>
      <c r="D122" s="676" t="s">
        <v>852</v>
      </c>
      <c r="E122" s="687"/>
      <c r="F122" s="687"/>
      <c r="G122" s="687"/>
      <c r="H122" s="687"/>
      <c r="I122" s="687"/>
      <c r="J122" s="685">
        <v>74.325000000000003</v>
      </c>
      <c r="K122" s="685"/>
      <c r="L122" s="685"/>
      <c r="M122" s="685"/>
      <c r="N122" s="685"/>
      <c r="O122" s="685"/>
      <c r="P122" s="685"/>
      <c r="Q122" s="685"/>
      <c r="R122" s="685"/>
      <c r="S122" s="685"/>
      <c r="T122" s="685"/>
      <c r="U122" s="685"/>
      <c r="V122" s="685"/>
      <c r="W122" s="685"/>
      <c r="X122" s="685"/>
      <c r="Y122" s="685"/>
      <c r="Z122" s="685"/>
      <c r="AA122" s="685"/>
      <c r="AB122" s="685"/>
      <c r="AC122" s="685"/>
      <c r="AD122" s="685"/>
      <c r="AE122" s="685"/>
      <c r="AF122" s="685"/>
      <c r="AG122" s="685"/>
      <c r="AH122" s="685"/>
      <c r="AI122" s="685"/>
      <c r="AJ122" s="685"/>
      <c r="AK122" s="685"/>
      <c r="AL122" s="685"/>
      <c r="AM122" s="685"/>
      <c r="AN122" s="685"/>
      <c r="AO122" s="685"/>
      <c r="AP122" s="675"/>
    </row>
    <row r="123" spans="1:42" ht="14.25" customHeight="1" x14ac:dyDescent="0.3">
      <c r="A123" s="1215"/>
      <c r="B123" s="644"/>
      <c r="C123" s="678"/>
      <c r="D123" s="676" t="s">
        <v>853</v>
      </c>
      <c r="E123" s="687"/>
      <c r="F123" s="687"/>
      <c r="G123" s="687"/>
      <c r="H123" s="687"/>
      <c r="I123" s="687"/>
      <c r="J123" s="685">
        <v>45.045000000000002</v>
      </c>
      <c r="K123" s="685"/>
      <c r="L123" s="685"/>
      <c r="M123" s="685"/>
      <c r="N123" s="685"/>
      <c r="O123" s="685"/>
      <c r="P123" s="685"/>
      <c r="Q123" s="685"/>
      <c r="R123" s="685"/>
      <c r="S123" s="685"/>
      <c r="T123" s="685"/>
      <c r="U123" s="685"/>
      <c r="V123" s="685"/>
      <c r="W123" s="685"/>
      <c r="X123" s="685"/>
      <c r="Y123" s="685"/>
      <c r="Z123" s="685"/>
      <c r="AA123" s="685"/>
      <c r="AB123" s="685"/>
      <c r="AC123" s="685"/>
      <c r="AD123" s="685"/>
      <c r="AE123" s="685"/>
      <c r="AF123" s="685"/>
      <c r="AG123" s="685"/>
      <c r="AH123" s="685"/>
      <c r="AI123" s="685"/>
      <c r="AJ123" s="685"/>
      <c r="AK123" s="685"/>
      <c r="AL123" s="685"/>
      <c r="AM123" s="685"/>
      <c r="AN123" s="685"/>
      <c r="AO123" s="685"/>
      <c r="AP123" s="675"/>
    </row>
    <row r="124" spans="1:42" ht="14.25" customHeight="1" x14ac:dyDescent="0.3">
      <c r="A124" s="1215"/>
      <c r="B124" s="644"/>
      <c r="C124" s="678"/>
      <c r="D124" s="676" t="s">
        <v>854</v>
      </c>
      <c r="E124" s="687"/>
      <c r="F124" s="687"/>
      <c r="G124" s="687"/>
      <c r="H124" s="687"/>
      <c r="I124" s="687"/>
      <c r="J124" s="685">
        <v>37.725000000000001</v>
      </c>
      <c r="K124" s="685"/>
      <c r="L124" s="685"/>
      <c r="M124" s="685"/>
      <c r="N124" s="685"/>
      <c r="O124" s="685"/>
      <c r="P124" s="685"/>
      <c r="Q124" s="685"/>
      <c r="R124" s="685"/>
      <c r="S124" s="685"/>
      <c r="T124" s="685"/>
      <c r="U124" s="685"/>
      <c r="V124" s="685"/>
      <c r="W124" s="685"/>
      <c r="X124" s="685"/>
      <c r="Y124" s="685"/>
      <c r="Z124" s="685"/>
      <c r="AA124" s="685"/>
      <c r="AB124" s="685"/>
      <c r="AC124" s="685"/>
      <c r="AD124" s="685"/>
      <c r="AE124" s="685"/>
      <c r="AF124" s="685"/>
      <c r="AG124" s="685"/>
      <c r="AH124" s="685"/>
      <c r="AI124" s="685"/>
      <c r="AJ124" s="685"/>
      <c r="AK124" s="685"/>
      <c r="AL124" s="685"/>
      <c r="AM124" s="685"/>
      <c r="AN124" s="685"/>
      <c r="AO124" s="685"/>
      <c r="AP124" s="675"/>
    </row>
    <row r="125" spans="1:42" ht="14.25" customHeight="1" x14ac:dyDescent="0.3">
      <c r="A125" s="1215"/>
      <c r="B125" s="644"/>
      <c r="C125" s="678"/>
      <c r="D125" s="676" t="s">
        <v>855</v>
      </c>
      <c r="E125" s="676"/>
      <c r="F125" s="676"/>
      <c r="G125" s="676"/>
      <c r="H125" s="676"/>
      <c r="I125" s="676"/>
      <c r="J125" s="685">
        <v>45.045000000000002</v>
      </c>
      <c r="K125" s="685"/>
      <c r="L125" s="685"/>
      <c r="M125" s="685"/>
      <c r="N125" s="685"/>
      <c r="O125" s="685"/>
      <c r="P125" s="685"/>
      <c r="Q125" s="685"/>
      <c r="R125" s="685"/>
      <c r="S125" s="685"/>
      <c r="T125" s="685"/>
      <c r="U125" s="685"/>
      <c r="V125" s="685"/>
      <c r="W125" s="685"/>
      <c r="X125" s="685"/>
      <c r="Y125" s="685"/>
      <c r="Z125" s="685"/>
      <c r="AA125" s="685"/>
      <c r="AB125" s="685"/>
      <c r="AC125" s="685"/>
      <c r="AD125" s="685"/>
      <c r="AE125" s="685"/>
      <c r="AF125" s="685"/>
      <c r="AG125" s="685"/>
      <c r="AH125" s="685"/>
      <c r="AI125" s="685"/>
      <c r="AJ125" s="685"/>
      <c r="AK125" s="685"/>
      <c r="AL125" s="685"/>
      <c r="AM125" s="685"/>
      <c r="AN125" s="685"/>
      <c r="AO125" s="685"/>
      <c r="AP125" s="675"/>
    </row>
    <row r="126" spans="1:42" ht="14.25" customHeight="1" x14ac:dyDescent="0.3">
      <c r="A126" s="1215"/>
      <c r="B126" s="644"/>
      <c r="C126" s="678"/>
      <c r="D126" s="676" t="s">
        <v>856</v>
      </c>
      <c r="E126" s="687"/>
      <c r="F126" s="687"/>
      <c r="G126" s="687"/>
      <c r="H126" s="687"/>
      <c r="I126" s="687"/>
      <c r="J126" s="685">
        <v>98.815778835603453</v>
      </c>
      <c r="K126" s="685"/>
      <c r="L126" s="685"/>
      <c r="M126" s="685"/>
      <c r="N126" s="685"/>
      <c r="O126" s="685"/>
      <c r="P126" s="685"/>
      <c r="Q126" s="685"/>
      <c r="R126" s="685"/>
      <c r="S126" s="685"/>
      <c r="T126" s="685"/>
      <c r="U126" s="685"/>
      <c r="V126" s="685"/>
      <c r="W126" s="685"/>
      <c r="X126" s="685"/>
      <c r="Y126" s="685"/>
      <c r="Z126" s="685"/>
      <c r="AA126" s="685"/>
      <c r="AB126" s="685"/>
      <c r="AC126" s="685"/>
      <c r="AD126" s="685"/>
      <c r="AE126" s="685"/>
      <c r="AF126" s="685"/>
      <c r="AG126" s="685"/>
      <c r="AH126" s="685"/>
      <c r="AI126" s="685"/>
      <c r="AJ126" s="685"/>
      <c r="AK126" s="685"/>
      <c r="AL126" s="685"/>
      <c r="AM126" s="685"/>
      <c r="AN126" s="685"/>
      <c r="AO126" s="685"/>
      <c r="AP126" s="675"/>
    </row>
    <row r="127" spans="1:42" ht="14.25" customHeight="1" x14ac:dyDescent="0.3">
      <c r="A127" s="1215"/>
      <c r="B127" s="644"/>
      <c r="C127" s="678"/>
      <c r="D127" s="676" t="s">
        <v>857</v>
      </c>
      <c r="E127" s="687"/>
      <c r="F127" s="687"/>
      <c r="G127" s="687"/>
      <c r="H127" s="687"/>
      <c r="I127" s="687"/>
      <c r="J127" s="685">
        <v>32.234999999999999</v>
      </c>
      <c r="K127" s="685"/>
      <c r="L127" s="685"/>
      <c r="M127" s="685"/>
      <c r="N127" s="685"/>
      <c r="O127" s="685"/>
      <c r="P127" s="685"/>
      <c r="Q127" s="685"/>
      <c r="R127" s="685"/>
      <c r="S127" s="685"/>
      <c r="T127" s="685"/>
      <c r="U127" s="685"/>
      <c r="V127" s="685"/>
      <c r="W127" s="685"/>
      <c r="X127" s="685"/>
      <c r="Y127" s="685"/>
      <c r="Z127" s="685"/>
      <c r="AA127" s="685"/>
      <c r="AB127" s="685"/>
      <c r="AC127" s="685"/>
      <c r="AD127" s="685"/>
      <c r="AE127" s="685"/>
      <c r="AF127" s="685"/>
      <c r="AG127" s="685"/>
      <c r="AH127" s="685"/>
      <c r="AI127" s="685"/>
      <c r="AJ127" s="685"/>
      <c r="AK127" s="685"/>
      <c r="AL127" s="685"/>
      <c r="AM127" s="685"/>
      <c r="AN127" s="685"/>
      <c r="AO127" s="685"/>
      <c r="AP127" s="675"/>
    </row>
    <row r="128" spans="1:42" ht="14.25" customHeight="1" x14ac:dyDescent="0.3">
      <c r="A128" s="1215"/>
      <c r="B128" s="644"/>
      <c r="C128" s="678"/>
      <c r="D128" s="676" t="s">
        <v>858</v>
      </c>
      <c r="E128" s="676"/>
      <c r="F128" s="676"/>
      <c r="G128" s="676"/>
      <c r="H128" s="676"/>
      <c r="I128" s="676"/>
      <c r="J128" s="685">
        <v>37.725000000000001</v>
      </c>
      <c r="K128" s="685"/>
      <c r="L128" s="685"/>
      <c r="M128" s="685"/>
      <c r="N128" s="685"/>
      <c r="O128" s="685"/>
      <c r="P128" s="685"/>
      <c r="Q128" s="685"/>
      <c r="R128" s="685"/>
      <c r="S128" s="685"/>
      <c r="T128" s="685"/>
      <c r="U128" s="685"/>
      <c r="V128" s="685"/>
      <c r="W128" s="685"/>
      <c r="X128" s="685"/>
      <c r="Y128" s="685"/>
      <c r="Z128" s="685"/>
      <c r="AA128" s="685"/>
      <c r="AB128" s="685"/>
      <c r="AC128" s="685"/>
      <c r="AD128" s="685"/>
      <c r="AE128" s="685"/>
      <c r="AF128" s="685"/>
      <c r="AG128" s="685"/>
      <c r="AH128" s="685"/>
      <c r="AI128" s="685"/>
      <c r="AJ128" s="685"/>
      <c r="AK128" s="685"/>
      <c r="AL128" s="685"/>
      <c r="AM128" s="685"/>
      <c r="AN128" s="685"/>
      <c r="AO128" s="685"/>
      <c r="AP128" s="675"/>
    </row>
    <row r="129" spans="1:42" ht="14.25" customHeight="1" x14ac:dyDescent="0.3">
      <c r="A129" s="1215"/>
      <c r="B129" s="644"/>
      <c r="C129" s="678"/>
      <c r="D129" s="676" t="s">
        <v>859</v>
      </c>
      <c r="E129" s="687"/>
      <c r="F129" s="687"/>
      <c r="G129" s="687"/>
      <c r="H129" s="687"/>
      <c r="I129" s="687"/>
      <c r="J129" s="685">
        <v>24.54</v>
      </c>
      <c r="K129" s="685"/>
      <c r="L129" s="685"/>
      <c r="M129" s="685"/>
      <c r="N129" s="685"/>
      <c r="O129" s="685"/>
      <c r="P129" s="685"/>
      <c r="Q129" s="685"/>
      <c r="R129" s="685"/>
      <c r="S129" s="685"/>
      <c r="T129" s="685"/>
      <c r="U129" s="685"/>
      <c r="V129" s="685"/>
      <c r="W129" s="685"/>
      <c r="X129" s="685"/>
      <c r="Y129" s="685"/>
      <c r="Z129" s="685"/>
      <c r="AA129" s="685"/>
      <c r="AB129" s="685"/>
      <c r="AC129" s="685"/>
      <c r="AD129" s="685"/>
      <c r="AE129" s="685"/>
      <c r="AF129" s="685"/>
      <c r="AG129" s="685"/>
      <c r="AH129" s="685"/>
      <c r="AI129" s="685"/>
      <c r="AJ129" s="685"/>
      <c r="AK129" s="685"/>
      <c r="AL129" s="685"/>
      <c r="AM129" s="685"/>
      <c r="AN129" s="685"/>
      <c r="AO129" s="685"/>
      <c r="AP129" s="675"/>
    </row>
    <row r="130" spans="1:42" ht="14.25" customHeight="1" x14ac:dyDescent="0.3">
      <c r="A130" s="1215"/>
      <c r="B130" s="644"/>
      <c r="C130" s="678"/>
      <c r="D130" s="676" t="s">
        <v>860</v>
      </c>
      <c r="E130" s="676"/>
      <c r="F130" s="676"/>
      <c r="G130" s="676"/>
      <c r="H130" s="676"/>
      <c r="I130" s="676"/>
      <c r="J130" s="685">
        <v>407.91624296543074</v>
      </c>
      <c r="K130" s="685"/>
      <c r="L130" s="685"/>
      <c r="M130" s="685"/>
      <c r="N130" s="685"/>
      <c r="O130" s="685"/>
      <c r="P130" s="685"/>
      <c r="Q130" s="685"/>
      <c r="R130" s="685"/>
      <c r="S130" s="685"/>
      <c r="T130" s="685"/>
      <c r="U130" s="685"/>
      <c r="V130" s="685"/>
      <c r="W130" s="685"/>
      <c r="X130" s="685"/>
      <c r="Y130" s="685"/>
      <c r="Z130" s="685"/>
      <c r="AA130" s="685"/>
      <c r="AB130" s="685"/>
      <c r="AC130" s="685"/>
      <c r="AD130" s="685"/>
      <c r="AE130" s="685"/>
      <c r="AF130" s="685"/>
      <c r="AG130" s="685"/>
      <c r="AH130" s="685"/>
      <c r="AI130" s="685"/>
      <c r="AJ130" s="685"/>
      <c r="AK130" s="685"/>
      <c r="AL130" s="685"/>
      <c r="AM130" s="685"/>
      <c r="AN130" s="685"/>
      <c r="AO130" s="685"/>
      <c r="AP130" s="675"/>
    </row>
    <row r="131" spans="1:42" ht="14.25" customHeight="1" x14ac:dyDescent="0.3">
      <c r="A131" s="1215"/>
      <c r="B131" s="644"/>
      <c r="C131" s="678"/>
      <c r="D131" s="676" t="s">
        <v>861</v>
      </c>
      <c r="E131" s="676"/>
      <c r="F131" s="676"/>
      <c r="G131" s="676"/>
      <c r="H131" s="676"/>
      <c r="I131" s="676"/>
      <c r="J131" s="685">
        <v>274.89082312911711</v>
      </c>
      <c r="K131" s="685"/>
      <c r="L131" s="685"/>
      <c r="M131" s="685"/>
      <c r="N131" s="685"/>
      <c r="O131" s="685"/>
      <c r="P131" s="685"/>
      <c r="Q131" s="685"/>
      <c r="R131" s="685"/>
      <c r="S131" s="685"/>
      <c r="T131" s="685"/>
      <c r="U131" s="685"/>
      <c r="V131" s="685"/>
      <c r="W131" s="685"/>
      <c r="X131" s="685"/>
      <c r="Y131" s="685"/>
      <c r="Z131" s="685"/>
      <c r="AA131" s="685"/>
      <c r="AB131" s="685"/>
      <c r="AC131" s="685"/>
      <c r="AD131" s="685"/>
      <c r="AE131" s="685"/>
      <c r="AF131" s="685"/>
      <c r="AG131" s="685"/>
      <c r="AH131" s="685"/>
      <c r="AI131" s="685"/>
      <c r="AJ131" s="685"/>
      <c r="AK131" s="685"/>
      <c r="AL131" s="685"/>
      <c r="AM131" s="685"/>
      <c r="AN131" s="685"/>
      <c r="AO131" s="685"/>
      <c r="AP131" s="675"/>
    </row>
    <row r="132" spans="1:42" ht="13.5" customHeight="1" x14ac:dyDescent="0.3">
      <c r="A132" s="1215"/>
      <c r="B132" s="644"/>
      <c r="C132" s="678"/>
      <c r="D132" s="676" t="s">
        <v>862</v>
      </c>
      <c r="E132" s="676"/>
      <c r="F132" s="676"/>
      <c r="G132" s="676"/>
      <c r="H132" s="676"/>
      <c r="I132" s="676"/>
      <c r="J132" s="685">
        <v>30.03</v>
      </c>
      <c r="K132" s="685"/>
      <c r="L132" s="685"/>
      <c r="M132" s="685"/>
      <c r="N132" s="685"/>
      <c r="O132" s="685"/>
      <c r="P132" s="685"/>
      <c r="Q132" s="685"/>
      <c r="R132" s="685"/>
      <c r="S132" s="685"/>
      <c r="T132" s="685"/>
      <c r="U132" s="685"/>
      <c r="V132" s="685"/>
      <c r="W132" s="685"/>
      <c r="X132" s="685"/>
      <c r="Y132" s="685"/>
      <c r="Z132" s="685"/>
      <c r="AA132" s="685"/>
      <c r="AB132" s="685"/>
      <c r="AC132" s="685"/>
      <c r="AD132" s="685"/>
      <c r="AE132" s="685"/>
      <c r="AF132" s="685"/>
      <c r="AG132" s="685"/>
      <c r="AH132" s="685"/>
      <c r="AI132" s="685"/>
      <c r="AJ132" s="685"/>
      <c r="AK132" s="685"/>
      <c r="AL132" s="685"/>
      <c r="AM132" s="685"/>
      <c r="AN132" s="685"/>
      <c r="AO132" s="685"/>
      <c r="AP132" s="675"/>
    </row>
    <row r="133" spans="1:42" ht="13.5" customHeight="1" x14ac:dyDescent="0.3">
      <c r="A133" s="1215"/>
      <c r="B133" s="644"/>
      <c r="C133" s="678"/>
      <c r="D133" s="676" t="s">
        <v>863</v>
      </c>
      <c r="E133" s="676"/>
      <c r="F133" s="676"/>
      <c r="G133" s="676"/>
      <c r="H133" s="676"/>
      <c r="I133" s="676"/>
      <c r="J133" s="685">
        <v>106.98</v>
      </c>
      <c r="K133" s="685"/>
      <c r="L133" s="685"/>
      <c r="M133" s="685"/>
      <c r="N133" s="685"/>
      <c r="O133" s="685"/>
      <c r="P133" s="685"/>
      <c r="Q133" s="685"/>
      <c r="R133" s="685"/>
      <c r="S133" s="685"/>
      <c r="T133" s="685"/>
      <c r="U133" s="685"/>
      <c r="V133" s="685"/>
      <c r="W133" s="685"/>
      <c r="X133" s="685"/>
      <c r="Y133" s="685"/>
      <c r="Z133" s="685"/>
      <c r="AA133" s="685"/>
      <c r="AB133" s="685"/>
      <c r="AC133" s="685"/>
      <c r="AD133" s="685"/>
      <c r="AE133" s="685"/>
      <c r="AF133" s="685"/>
      <c r="AG133" s="685"/>
      <c r="AH133" s="685"/>
      <c r="AI133" s="685"/>
      <c r="AJ133" s="685"/>
      <c r="AK133" s="685"/>
      <c r="AL133" s="685"/>
      <c r="AM133" s="685"/>
      <c r="AN133" s="685"/>
      <c r="AO133" s="685"/>
      <c r="AP133" s="675"/>
    </row>
    <row r="134" spans="1:42" ht="14" customHeight="1" x14ac:dyDescent="0.3">
      <c r="A134" s="973"/>
      <c r="B134" s="644"/>
      <c r="C134" s="679"/>
      <c r="D134" s="672"/>
      <c r="E134" s="672"/>
      <c r="F134" s="672"/>
      <c r="G134" s="676"/>
      <c r="H134" s="676"/>
      <c r="I134" s="676"/>
      <c r="J134" s="685"/>
      <c r="K134" s="685"/>
      <c r="L134" s="685"/>
      <c r="M134" s="685"/>
      <c r="N134" s="685"/>
      <c r="O134" s="685"/>
      <c r="P134" s="685"/>
      <c r="Q134" s="685"/>
      <c r="R134" s="685"/>
      <c r="S134" s="685"/>
      <c r="T134" s="685"/>
      <c r="U134" s="685"/>
      <c r="V134" s="685"/>
      <c r="W134" s="685"/>
      <c r="X134" s="685"/>
      <c r="Y134" s="685"/>
      <c r="Z134" s="685"/>
      <c r="AA134" s="685"/>
      <c r="AB134" s="685"/>
      <c r="AC134" s="685"/>
      <c r="AD134" s="685"/>
      <c r="AE134" s="685"/>
      <c r="AF134" s="685"/>
      <c r="AG134" s="685"/>
      <c r="AH134" s="685"/>
      <c r="AI134" s="685"/>
      <c r="AJ134" s="685"/>
      <c r="AK134" s="685"/>
      <c r="AL134" s="685"/>
      <c r="AM134" s="685"/>
      <c r="AN134" s="685"/>
      <c r="AO134" s="685"/>
      <c r="AP134" s="675"/>
    </row>
    <row r="135" spans="1:42" ht="14.25" customHeight="1" x14ac:dyDescent="0.3">
      <c r="A135" s="973"/>
      <c r="B135" s="644"/>
      <c r="C135" s="679"/>
      <c r="D135" s="672" t="s">
        <v>873</v>
      </c>
      <c r="E135" s="672"/>
      <c r="F135" s="672"/>
      <c r="G135" s="676"/>
      <c r="H135" s="676"/>
      <c r="I135" s="676"/>
      <c r="J135" s="685"/>
      <c r="K135" s="685"/>
      <c r="L135" s="685"/>
      <c r="M135" s="685"/>
      <c r="N135" s="685"/>
      <c r="O135" s="685"/>
      <c r="P135" s="685"/>
      <c r="Q135" s="685"/>
      <c r="R135" s="685"/>
      <c r="S135" s="685"/>
      <c r="T135" s="685"/>
      <c r="U135" s="685"/>
      <c r="V135" s="685"/>
      <c r="W135" s="685"/>
      <c r="X135" s="685"/>
      <c r="Y135" s="685"/>
      <c r="Z135" s="685"/>
      <c r="AA135" s="685"/>
      <c r="AB135" s="685"/>
      <c r="AC135" s="685"/>
      <c r="AD135" s="685"/>
      <c r="AE135" s="685"/>
      <c r="AF135" s="685"/>
      <c r="AG135" s="685"/>
      <c r="AH135" s="685"/>
      <c r="AI135" s="685"/>
      <c r="AJ135" s="685"/>
      <c r="AK135" s="685"/>
      <c r="AL135" s="685"/>
      <c r="AM135" s="685"/>
      <c r="AN135" s="685"/>
      <c r="AO135" s="685"/>
      <c r="AP135" s="675"/>
    </row>
    <row r="136" spans="1:42" ht="14.25" customHeight="1" x14ac:dyDescent="0.3">
      <c r="A136" s="973"/>
      <c r="B136" s="644"/>
      <c r="C136" s="679"/>
      <c r="D136" s="672"/>
      <c r="E136" s="672"/>
      <c r="F136" s="672"/>
      <c r="G136" s="676"/>
      <c r="H136" s="676"/>
      <c r="I136" s="676"/>
      <c r="J136" s="685"/>
      <c r="K136" s="685"/>
      <c r="L136" s="685"/>
      <c r="M136" s="685"/>
      <c r="N136" s="685"/>
      <c r="O136" s="685"/>
      <c r="P136" s="685"/>
      <c r="Q136" s="685"/>
      <c r="R136" s="685"/>
      <c r="S136" s="685"/>
      <c r="T136" s="685"/>
      <c r="U136" s="685"/>
      <c r="V136" s="685"/>
      <c r="W136" s="685"/>
      <c r="X136" s="685"/>
      <c r="Y136" s="685"/>
      <c r="Z136" s="685"/>
      <c r="AA136" s="685"/>
      <c r="AB136" s="685"/>
      <c r="AC136" s="685"/>
      <c r="AD136" s="685"/>
      <c r="AE136" s="685"/>
      <c r="AF136" s="685"/>
      <c r="AG136" s="685"/>
      <c r="AH136" s="685"/>
      <c r="AI136" s="685"/>
      <c r="AJ136" s="685"/>
      <c r="AK136" s="685"/>
      <c r="AL136" s="685"/>
      <c r="AM136" s="685"/>
      <c r="AN136" s="685"/>
      <c r="AO136" s="685"/>
      <c r="AP136" s="675"/>
    </row>
    <row r="137" spans="1:42" ht="14" customHeight="1" x14ac:dyDescent="0.3">
      <c r="A137" s="1215"/>
      <c r="B137" s="644"/>
      <c r="C137" s="679"/>
      <c r="D137" s="676" t="s">
        <v>849</v>
      </c>
      <c r="E137" s="672"/>
      <c r="F137" s="672"/>
      <c r="G137" s="676"/>
      <c r="H137" s="676"/>
      <c r="I137" s="676"/>
      <c r="J137" s="685">
        <v>0.81136715451228469</v>
      </c>
      <c r="K137" s="685"/>
      <c r="L137" s="685"/>
      <c r="M137" s="685"/>
      <c r="N137" s="685"/>
      <c r="O137" s="685"/>
      <c r="P137" s="685"/>
      <c r="Q137" s="685"/>
      <c r="R137" s="685"/>
      <c r="S137" s="685"/>
      <c r="T137" s="685"/>
      <c r="U137" s="685"/>
      <c r="V137" s="685"/>
      <c r="W137" s="685"/>
      <c r="X137" s="685"/>
      <c r="Y137" s="685"/>
      <c r="Z137" s="685"/>
      <c r="AA137" s="685"/>
      <c r="AB137" s="685"/>
      <c r="AC137" s="685"/>
      <c r="AD137" s="685"/>
      <c r="AE137" s="685"/>
      <c r="AF137" s="685"/>
      <c r="AG137" s="685"/>
      <c r="AH137" s="685"/>
      <c r="AI137" s="685"/>
      <c r="AJ137" s="685"/>
      <c r="AK137" s="685"/>
      <c r="AL137" s="685"/>
      <c r="AM137" s="685"/>
      <c r="AN137" s="685"/>
      <c r="AO137" s="685"/>
      <c r="AP137" s="675"/>
    </row>
    <row r="138" spans="1:42" ht="14.25" customHeight="1" x14ac:dyDescent="0.3">
      <c r="A138" s="1215"/>
      <c r="B138" s="644"/>
      <c r="C138" s="678"/>
      <c r="D138" s="676" t="s">
        <v>865</v>
      </c>
      <c r="E138" s="676"/>
      <c r="F138" s="676"/>
      <c r="G138" s="676"/>
      <c r="H138" s="676"/>
      <c r="I138" s="676"/>
      <c r="J138" s="685">
        <v>150.11754830602945</v>
      </c>
      <c r="K138" s="685"/>
      <c r="L138" s="685"/>
      <c r="M138" s="685"/>
      <c r="N138" s="685"/>
      <c r="O138" s="685"/>
      <c r="P138" s="685"/>
      <c r="Q138" s="685"/>
      <c r="R138" s="685"/>
      <c r="S138" s="685"/>
      <c r="T138" s="685"/>
      <c r="U138" s="685"/>
      <c r="V138" s="685"/>
      <c r="W138" s="685"/>
      <c r="X138" s="685"/>
      <c r="Y138" s="685"/>
      <c r="Z138" s="685"/>
      <c r="AA138" s="685"/>
      <c r="AB138" s="685"/>
      <c r="AC138" s="685"/>
      <c r="AD138" s="685"/>
      <c r="AE138" s="685"/>
      <c r="AF138" s="685"/>
      <c r="AG138" s="685"/>
      <c r="AH138" s="685"/>
      <c r="AI138" s="685"/>
      <c r="AJ138" s="685"/>
      <c r="AK138" s="685"/>
      <c r="AL138" s="685"/>
      <c r="AM138" s="685"/>
      <c r="AN138" s="685"/>
      <c r="AO138" s="685"/>
      <c r="AP138" s="675"/>
    </row>
    <row r="139" spans="1:42" ht="14.25" customHeight="1" x14ac:dyDescent="0.3">
      <c r="A139" s="1215"/>
      <c r="B139" s="644"/>
      <c r="C139" s="678"/>
      <c r="D139" s="676" t="s">
        <v>851</v>
      </c>
      <c r="E139" s="687"/>
      <c r="F139" s="687"/>
      <c r="G139" s="687"/>
      <c r="H139" s="687"/>
      <c r="I139" s="687"/>
      <c r="J139" s="685">
        <v>0.28615283411906589</v>
      </c>
      <c r="K139" s="685"/>
      <c r="L139" s="685"/>
      <c r="M139" s="685"/>
      <c r="N139" s="685"/>
      <c r="O139" s="685"/>
      <c r="P139" s="685"/>
      <c r="Q139" s="685"/>
      <c r="R139" s="685"/>
      <c r="S139" s="685"/>
      <c r="T139" s="685"/>
      <c r="U139" s="685"/>
      <c r="V139" s="685"/>
      <c r="W139" s="685"/>
      <c r="X139" s="685"/>
      <c r="Y139" s="685"/>
      <c r="Z139" s="685"/>
      <c r="AA139" s="685"/>
      <c r="AB139" s="685"/>
      <c r="AC139" s="685"/>
      <c r="AD139" s="685"/>
      <c r="AE139" s="685"/>
      <c r="AF139" s="685"/>
      <c r="AG139" s="685"/>
      <c r="AH139" s="685"/>
      <c r="AI139" s="685"/>
      <c r="AJ139" s="685"/>
      <c r="AK139" s="685"/>
      <c r="AL139" s="685"/>
      <c r="AM139" s="685"/>
      <c r="AN139" s="685"/>
      <c r="AO139" s="685"/>
      <c r="AP139" s="675"/>
    </row>
    <row r="140" spans="1:42" ht="14.25" customHeight="1" x14ac:dyDescent="0.3">
      <c r="A140" s="1215"/>
      <c r="B140" s="644"/>
      <c r="C140" s="678"/>
      <c r="D140" s="676" t="s">
        <v>852</v>
      </c>
      <c r="E140" s="687"/>
      <c r="F140" s="687"/>
      <c r="G140" s="687"/>
      <c r="H140" s="687"/>
      <c r="I140" s="687"/>
      <c r="J140" s="685">
        <v>78.095449884261811</v>
      </c>
      <c r="K140" s="685"/>
      <c r="L140" s="685"/>
      <c r="M140" s="685"/>
      <c r="N140" s="685"/>
      <c r="O140" s="685"/>
      <c r="P140" s="685"/>
      <c r="Q140" s="685"/>
      <c r="R140" s="685"/>
      <c r="S140" s="685"/>
      <c r="T140" s="685"/>
      <c r="U140" s="685"/>
      <c r="V140" s="685"/>
      <c r="W140" s="685"/>
      <c r="X140" s="685"/>
      <c r="Y140" s="685"/>
      <c r="Z140" s="685"/>
      <c r="AA140" s="685"/>
      <c r="AB140" s="685"/>
      <c r="AC140" s="685"/>
      <c r="AD140" s="685"/>
      <c r="AE140" s="685"/>
      <c r="AF140" s="685"/>
      <c r="AG140" s="685"/>
      <c r="AH140" s="685"/>
      <c r="AI140" s="685"/>
      <c r="AJ140" s="685"/>
      <c r="AK140" s="685"/>
      <c r="AL140" s="685"/>
      <c r="AM140" s="685"/>
      <c r="AN140" s="685"/>
      <c r="AO140" s="685"/>
      <c r="AP140" s="675"/>
    </row>
    <row r="141" spans="1:42" ht="14.25" customHeight="1" x14ac:dyDescent="0.3">
      <c r="A141" s="1215"/>
      <c r="B141" s="644"/>
      <c r="C141" s="678"/>
      <c r="D141" s="676" t="s">
        <v>853</v>
      </c>
      <c r="E141" s="687"/>
      <c r="F141" s="687"/>
      <c r="G141" s="687"/>
      <c r="H141" s="687"/>
      <c r="I141" s="687"/>
      <c r="J141" s="685">
        <v>1.5446318639398344E-2</v>
      </c>
      <c r="K141" s="685"/>
      <c r="L141" s="685"/>
      <c r="M141" s="685"/>
      <c r="N141" s="685"/>
      <c r="O141" s="685"/>
      <c r="P141" s="685"/>
      <c r="Q141" s="685"/>
      <c r="R141" s="685"/>
      <c r="S141" s="685"/>
      <c r="T141" s="685"/>
      <c r="U141" s="685"/>
      <c r="V141" s="685"/>
      <c r="W141" s="685"/>
      <c r="X141" s="685"/>
      <c r="Y141" s="685"/>
      <c r="Z141" s="685"/>
      <c r="AA141" s="685"/>
      <c r="AB141" s="685"/>
      <c r="AC141" s="685"/>
      <c r="AD141" s="685"/>
      <c r="AE141" s="685"/>
      <c r="AF141" s="685"/>
      <c r="AG141" s="685"/>
      <c r="AH141" s="685"/>
      <c r="AI141" s="685"/>
      <c r="AJ141" s="685"/>
      <c r="AK141" s="685"/>
      <c r="AL141" s="685"/>
      <c r="AM141" s="685"/>
      <c r="AN141" s="685"/>
      <c r="AO141" s="685"/>
      <c r="AP141" s="675"/>
    </row>
    <row r="142" spans="1:42" ht="14.25" customHeight="1" x14ac:dyDescent="0.3">
      <c r="A142" s="1215"/>
      <c r="B142" s="644"/>
      <c r="C142" s="678"/>
      <c r="D142" s="676" t="s">
        <v>854</v>
      </c>
      <c r="E142" s="687"/>
      <c r="F142" s="687"/>
      <c r="G142" s="687"/>
      <c r="H142" s="687"/>
      <c r="I142" s="687"/>
      <c r="J142" s="685">
        <v>15.789723539977508</v>
      </c>
      <c r="K142" s="685"/>
      <c r="L142" s="685"/>
      <c r="M142" s="685"/>
      <c r="N142" s="685"/>
      <c r="O142" s="685"/>
      <c r="P142" s="685"/>
      <c r="Q142" s="685"/>
      <c r="R142" s="685"/>
      <c r="S142" s="685"/>
      <c r="T142" s="685"/>
      <c r="U142" s="685"/>
      <c r="V142" s="685"/>
      <c r="W142" s="685"/>
      <c r="X142" s="685"/>
      <c r="Y142" s="685"/>
      <c r="Z142" s="685"/>
      <c r="AA142" s="685"/>
      <c r="AB142" s="685"/>
      <c r="AC142" s="685"/>
      <c r="AD142" s="685"/>
      <c r="AE142" s="685"/>
      <c r="AF142" s="685"/>
      <c r="AG142" s="685"/>
      <c r="AH142" s="685"/>
      <c r="AI142" s="685"/>
      <c r="AJ142" s="685"/>
      <c r="AK142" s="685"/>
      <c r="AL142" s="685"/>
      <c r="AM142" s="685"/>
      <c r="AN142" s="685"/>
      <c r="AO142" s="685"/>
      <c r="AP142" s="675"/>
    </row>
    <row r="143" spans="1:42" ht="14.25" customHeight="1" x14ac:dyDescent="0.3">
      <c r="A143" s="1215"/>
      <c r="B143" s="644"/>
      <c r="C143" s="678"/>
      <c r="D143" s="676" t="s">
        <v>855</v>
      </c>
      <c r="E143" s="676"/>
      <c r="F143" s="676"/>
      <c r="G143" s="676"/>
      <c r="H143" s="676"/>
      <c r="I143" s="676"/>
      <c r="J143" s="685">
        <v>7.5716669052069738E-2</v>
      </c>
      <c r="K143" s="685"/>
      <c r="L143" s="685"/>
      <c r="M143" s="685"/>
      <c r="N143" s="685"/>
      <c r="O143" s="685"/>
      <c r="P143" s="685"/>
      <c r="Q143" s="685"/>
      <c r="R143" s="685"/>
      <c r="S143" s="685"/>
      <c r="T143" s="685"/>
      <c r="U143" s="685"/>
      <c r="V143" s="685"/>
      <c r="W143" s="685"/>
      <c r="X143" s="685"/>
      <c r="Y143" s="685"/>
      <c r="Z143" s="685"/>
      <c r="AA143" s="685"/>
      <c r="AB143" s="685"/>
      <c r="AC143" s="685"/>
      <c r="AD143" s="685"/>
      <c r="AE143" s="685"/>
      <c r="AF143" s="685"/>
      <c r="AG143" s="685"/>
      <c r="AH143" s="685"/>
      <c r="AI143" s="685"/>
      <c r="AJ143" s="685"/>
      <c r="AK143" s="685"/>
      <c r="AL143" s="685"/>
      <c r="AM143" s="685"/>
      <c r="AN143" s="685"/>
      <c r="AO143" s="685"/>
      <c r="AP143" s="675"/>
    </row>
    <row r="144" spans="1:42" ht="14.25" customHeight="1" x14ac:dyDescent="0.3">
      <c r="A144" s="1215"/>
      <c r="B144" s="644"/>
      <c r="C144" s="678"/>
      <c r="D144" s="676" t="s">
        <v>856</v>
      </c>
      <c r="E144" s="687"/>
      <c r="F144" s="687"/>
      <c r="G144" s="687"/>
      <c r="H144" s="687"/>
      <c r="I144" s="687"/>
      <c r="J144" s="685">
        <v>0</v>
      </c>
      <c r="K144" s="685"/>
      <c r="L144" s="685"/>
      <c r="M144" s="685"/>
      <c r="N144" s="685"/>
      <c r="O144" s="685"/>
      <c r="P144" s="685"/>
      <c r="Q144" s="685"/>
      <c r="R144" s="685"/>
      <c r="S144" s="685"/>
      <c r="T144" s="685"/>
      <c r="U144" s="685"/>
      <c r="V144" s="685"/>
      <c r="W144" s="685"/>
      <c r="X144" s="685"/>
      <c r="Y144" s="685"/>
      <c r="Z144" s="685"/>
      <c r="AA144" s="685"/>
      <c r="AB144" s="685"/>
      <c r="AC144" s="685"/>
      <c r="AD144" s="685"/>
      <c r="AE144" s="685"/>
      <c r="AF144" s="685"/>
      <c r="AG144" s="685"/>
      <c r="AH144" s="685"/>
      <c r="AI144" s="685"/>
      <c r="AJ144" s="685"/>
      <c r="AK144" s="685"/>
      <c r="AL144" s="685"/>
      <c r="AM144" s="685"/>
      <c r="AN144" s="685"/>
      <c r="AO144" s="685"/>
      <c r="AP144" s="675"/>
    </row>
    <row r="145" spans="1:42" ht="14.25" customHeight="1" x14ac:dyDescent="0.3">
      <c r="A145" s="1215"/>
      <c r="B145" s="644"/>
      <c r="C145" s="678"/>
      <c r="D145" s="676" t="s">
        <v>857</v>
      </c>
      <c r="E145" s="687"/>
      <c r="F145" s="687"/>
      <c r="G145" s="687"/>
      <c r="H145" s="687"/>
      <c r="I145" s="687"/>
      <c r="J145" s="685">
        <v>0.10571143797758918</v>
      </c>
      <c r="K145" s="685"/>
      <c r="L145" s="685"/>
      <c r="M145" s="685"/>
      <c r="N145" s="685"/>
      <c r="O145" s="685"/>
      <c r="P145" s="685"/>
      <c r="Q145" s="685"/>
      <c r="R145" s="685"/>
      <c r="S145" s="685"/>
      <c r="T145" s="685"/>
      <c r="U145" s="685"/>
      <c r="V145" s="685"/>
      <c r="W145" s="685"/>
      <c r="X145" s="685"/>
      <c r="Y145" s="685"/>
      <c r="Z145" s="685"/>
      <c r="AA145" s="685"/>
      <c r="AB145" s="685"/>
      <c r="AC145" s="685"/>
      <c r="AD145" s="685"/>
      <c r="AE145" s="685"/>
      <c r="AF145" s="685"/>
      <c r="AG145" s="685"/>
      <c r="AH145" s="685"/>
      <c r="AI145" s="685"/>
      <c r="AJ145" s="685"/>
      <c r="AK145" s="685"/>
      <c r="AL145" s="685"/>
      <c r="AM145" s="685"/>
      <c r="AN145" s="685"/>
      <c r="AO145" s="685"/>
      <c r="AP145" s="675"/>
    </row>
    <row r="146" spans="1:42" ht="14.25" customHeight="1" x14ac:dyDescent="0.3">
      <c r="A146" s="1215"/>
      <c r="B146" s="644"/>
      <c r="C146" s="678"/>
      <c r="D146" s="676" t="s">
        <v>858</v>
      </c>
      <c r="E146" s="676"/>
      <c r="F146" s="676"/>
      <c r="G146" s="676"/>
      <c r="H146" s="676"/>
      <c r="I146" s="676"/>
      <c r="J146" s="685">
        <v>10.721414314228685</v>
      </c>
      <c r="K146" s="685"/>
      <c r="L146" s="685"/>
      <c r="M146" s="685"/>
      <c r="N146" s="685"/>
      <c r="O146" s="685"/>
      <c r="P146" s="685"/>
      <c r="Q146" s="685"/>
      <c r="R146" s="685"/>
      <c r="S146" s="685"/>
      <c r="T146" s="685"/>
      <c r="U146" s="685"/>
      <c r="V146" s="685"/>
      <c r="W146" s="685"/>
      <c r="X146" s="685"/>
      <c r="Y146" s="685"/>
      <c r="Z146" s="685"/>
      <c r="AA146" s="685"/>
      <c r="AB146" s="685"/>
      <c r="AC146" s="685"/>
      <c r="AD146" s="685"/>
      <c r="AE146" s="685"/>
      <c r="AF146" s="685"/>
      <c r="AG146" s="685"/>
      <c r="AH146" s="685"/>
      <c r="AI146" s="685"/>
      <c r="AJ146" s="685"/>
      <c r="AK146" s="685"/>
      <c r="AL146" s="685"/>
      <c r="AM146" s="685"/>
      <c r="AN146" s="685"/>
      <c r="AO146" s="685"/>
      <c r="AP146" s="675"/>
    </row>
    <row r="147" spans="1:42" ht="14.25" customHeight="1" x14ac:dyDescent="0.3">
      <c r="A147" s="1215"/>
      <c r="B147" s="644"/>
      <c r="C147" s="678"/>
      <c r="D147" s="676" t="s">
        <v>859</v>
      </c>
      <c r="E147" s="687"/>
      <c r="F147" s="687"/>
      <c r="G147" s="687"/>
      <c r="H147" s="687"/>
      <c r="I147" s="687"/>
      <c r="J147" s="685">
        <v>13.668680108750477</v>
      </c>
      <c r="K147" s="685"/>
      <c r="L147" s="685"/>
      <c r="M147" s="685"/>
      <c r="N147" s="685"/>
      <c r="O147" s="685"/>
      <c r="P147" s="685"/>
      <c r="Q147" s="685"/>
      <c r="R147" s="685"/>
      <c r="S147" s="685"/>
      <c r="T147" s="685"/>
      <c r="U147" s="685"/>
      <c r="V147" s="685"/>
      <c r="W147" s="685"/>
      <c r="X147" s="685"/>
      <c r="Y147" s="685"/>
      <c r="Z147" s="685"/>
      <c r="AA147" s="685"/>
      <c r="AB147" s="685"/>
      <c r="AC147" s="685"/>
      <c r="AD147" s="685"/>
      <c r="AE147" s="685"/>
      <c r="AF147" s="685"/>
      <c r="AG147" s="685"/>
      <c r="AH147" s="685"/>
      <c r="AI147" s="685"/>
      <c r="AJ147" s="685"/>
      <c r="AK147" s="685"/>
      <c r="AL147" s="685"/>
      <c r="AM147" s="685"/>
      <c r="AN147" s="685"/>
      <c r="AO147" s="685"/>
      <c r="AP147" s="675"/>
    </row>
    <row r="148" spans="1:42" ht="14.25" customHeight="1" x14ac:dyDescent="0.3">
      <c r="A148" s="1215"/>
      <c r="B148" s="644"/>
      <c r="C148" s="678"/>
      <c r="D148" s="676" t="s">
        <v>860</v>
      </c>
      <c r="E148" s="676"/>
      <c r="F148" s="676"/>
      <c r="G148" s="676"/>
      <c r="H148" s="676"/>
      <c r="I148" s="676"/>
      <c r="J148" s="685">
        <v>22.310781164105485</v>
      </c>
      <c r="K148" s="685"/>
      <c r="L148" s="685"/>
      <c r="M148" s="685"/>
      <c r="N148" s="685"/>
      <c r="O148" s="685"/>
      <c r="P148" s="685"/>
      <c r="Q148" s="685"/>
      <c r="R148" s="685"/>
      <c r="S148" s="685"/>
      <c r="T148" s="685"/>
      <c r="U148" s="685"/>
      <c r="V148" s="685"/>
      <c r="W148" s="685"/>
      <c r="X148" s="685"/>
      <c r="Y148" s="685"/>
      <c r="Z148" s="685"/>
      <c r="AA148" s="685"/>
      <c r="AB148" s="685"/>
      <c r="AC148" s="685"/>
      <c r="AD148" s="685"/>
      <c r="AE148" s="685"/>
      <c r="AF148" s="685"/>
      <c r="AG148" s="685"/>
      <c r="AH148" s="685"/>
      <c r="AI148" s="685"/>
      <c r="AJ148" s="685"/>
      <c r="AK148" s="685"/>
      <c r="AL148" s="685"/>
      <c r="AM148" s="685"/>
      <c r="AN148" s="685"/>
      <c r="AO148" s="685"/>
      <c r="AP148" s="675"/>
    </row>
    <row r="149" spans="1:42" ht="14.25" customHeight="1" x14ac:dyDescent="0.3">
      <c r="A149" s="1215"/>
      <c r="B149" s="644"/>
      <c r="C149" s="678"/>
      <c r="D149" s="676" t="s">
        <v>861</v>
      </c>
      <c r="E149" s="676"/>
      <c r="F149" s="676"/>
      <c r="G149" s="676"/>
      <c r="H149" s="676"/>
      <c r="I149" s="676"/>
      <c r="J149" s="685">
        <v>1.6075970082419015</v>
      </c>
      <c r="K149" s="685"/>
      <c r="L149" s="685"/>
      <c r="M149" s="685"/>
      <c r="N149" s="685"/>
      <c r="O149" s="685"/>
      <c r="P149" s="685"/>
      <c r="Q149" s="685"/>
      <c r="R149" s="685"/>
      <c r="S149" s="685"/>
      <c r="T149" s="685"/>
      <c r="U149" s="685"/>
      <c r="V149" s="685"/>
      <c r="W149" s="685"/>
      <c r="X149" s="685"/>
      <c r="Y149" s="685"/>
      <c r="Z149" s="685"/>
      <c r="AA149" s="685"/>
      <c r="AB149" s="685"/>
      <c r="AC149" s="685"/>
      <c r="AD149" s="685"/>
      <c r="AE149" s="685"/>
      <c r="AF149" s="685"/>
      <c r="AG149" s="685"/>
      <c r="AH149" s="685"/>
      <c r="AI149" s="685"/>
      <c r="AJ149" s="685"/>
      <c r="AK149" s="685"/>
      <c r="AL149" s="685"/>
      <c r="AM149" s="685"/>
      <c r="AN149" s="685"/>
      <c r="AO149" s="685"/>
      <c r="AP149" s="675"/>
    </row>
    <row r="150" spans="1:42" ht="13.5" customHeight="1" x14ac:dyDescent="0.3">
      <c r="A150" s="1215"/>
      <c r="B150" s="644"/>
      <c r="C150" s="678"/>
      <c r="D150" s="676" t="s">
        <v>862</v>
      </c>
      <c r="E150" s="676"/>
      <c r="F150" s="676"/>
      <c r="G150" s="676"/>
      <c r="H150" s="676"/>
      <c r="I150" s="676"/>
      <c r="J150" s="685">
        <v>3.3727361016859615E-2</v>
      </c>
      <c r="K150" s="685"/>
      <c r="L150" s="685"/>
      <c r="M150" s="685"/>
      <c r="N150" s="685"/>
      <c r="O150" s="685"/>
      <c r="P150" s="685"/>
      <c r="Q150" s="685"/>
      <c r="R150" s="685"/>
      <c r="S150" s="685"/>
      <c r="T150" s="685"/>
      <c r="U150" s="685"/>
      <c r="V150" s="685"/>
      <c r="W150" s="685"/>
      <c r="X150" s="685"/>
      <c r="Y150" s="685"/>
      <c r="Z150" s="685"/>
      <c r="AA150" s="685"/>
      <c r="AB150" s="685"/>
      <c r="AC150" s="685"/>
      <c r="AD150" s="685"/>
      <c r="AE150" s="685"/>
      <c r="AF150" s="685"/>
      <c r="AG150" s="685"/>
      <c r="AH150" s="685"/>
      <c r="AI150" s="685"/>
      <c r="AJ150" s="685"/>
      <c r="AK150" s="685"/>
      <c r="AL150" s="685"/>
      <c r="AM150" s="685"/>
      <c r="AN150" s="685"/>
      <c r="AO150" s="685"/>
      <c r="AP150" s="675"/>
    </row>
    <row r="151" spans="1:42" ht="13.5" customHeight="1" x14ac:dyDescent="0.3">
      <c r="A151" s="1215"/>
      <c r="B151" s="644"/>
      <c r="C151" s="678"/>
      <c r="D151" s="676" t="s">
        <v>863</v>
      </c>
      <c r="E151" s="676"/>
      <c r="F151" s="676"/>
      <c r="G151" s="676"/>
      <c r="H151" s="676"/>
      <c r="I151" s="676"/>
      <c r="J151" s="685">
        <v>828.19423846740892</v>
      </c>
      <c r="K151" s="685"/>
      <c r="L151" s="685"/>
      <c r="M151" s="685"/>
      <c r="N151" s="685"/>
      <c r="O151" s="685"/>
      <c r="P151" s="685"/>
      <c r="Q151" s="685"/>
      <c r="R151" s="685"/>
      <c r="S151" s="685"/>
      <c r="T151" s="685"/>
      <c r="U151" s="685"/>
      <c r="V151" s="685"/>
      <c r="W151" s="685"/>
      <c r="X151" s="685"/>
      <c r="Y151" s="685"/>
      <c r="Z151" s="685"/>
      <c r="AA151" s="685"/>
      <c r="AB151" s="685"/>
      <c r="AC151" s="685"/>
      <c r="AD151" s="685"/>
      <c r="AE151" s="685"/>
      <c r="AF151" s="685"/>
      <c r="AG151" s="685"/>
      <c r="AH151" s="685"/>
      <c r="AI151" s="685"/>
      <c r="AJ151" s="685"/>
      <c r="AK151" s="685"/>
      <c r="AL151" s="685"/>
      <c r="AM151" s="685"/>
      <c r="AN151" s="685"/>
      <c r="AO151" s="685"/>
      <c r="AP151" s="675"/>
    </row>
    <row r="152" spans="1:42" ht="13.5" customHeight="1" x14ac:dyDescent="0.3">
      <c r="A152" s="972"/>
      <c r="B152" s="644"/>
      <c r="C152" s="678"/>
      <c r="D152" s="676"/>
      <c r="E152" s="676"/>
      <c r="F152" s="676"/>
      <c r="G152" s="676"/>
      <c r="H152" s="676"/>
      <c r="I152" s="676"/>
      <c r="J152" s="685"/>
      <c r="K152" s="685"/>
      <c r="L152" s="685"/>
      <c r="M152" s="685"/>
      <c r="N152" s="685"/>
      <c r="O152" s="685"/>
      <c r="P152" s="685"/>
      <c r="Q152" s="685"/>
      <c r="R152" s="685"/>
      <c r="S152" s="685"/>
      <c r="T152" s="685"/>
      <c r="U152" s="685"/>
      <c r="V152" s="685"/>
      <c r="W152" s="685"/>
      <c r="X152" s="685"/>
      <c r="Y152" s="685"/>
      <c r="Z152" s="685"/>
      <c r="AA152" s="685"/>
      <c r="AB152" s="685"/>
      <c r="AC152" s="685"/>
      <c r="AD152" s="685"/>
      <c r="AE152" s="685"/>
      <c r="AF152" s="685"/>
      <c r="AG152" s="685"/>
      <c r="AH152" s="685"/>
      <c r="AI152" s="685"/>
      <c r="AJ152" s="685"/>
      <c r="AK152" s="685"/>
      <c r="AL152" s="685"/>
      <c r="AM152" s="685"/>
      <c r="AN152" s="685"/>
      <c r="AO152" s="685"/>
      <c r="AP152" s="675"/>
    </row>
    <row r="153" spans="1:42" ht="14.25" customHeight="1" x14ac:dyDescent="0.3">
      <c r="A153" s="973"/>
      <c r="B153" s="644"/>
      <c r="C153" s="679"/>
      <c r="D153" s="672" t="s">
        <v>874</v>
      </c>
      <c r="E153" s="672"/>
      <c r="F153" s="672"/>
      <c r="G153" s="676"/>
      <c r="H153" s="676"/>
      <c r="I153" s="676"/>
      <c r="J153" s="685"/>
      <c r="K153" s="685"/>
      <c r="L153" s="685"/>
      <c r="M153" s="685"/>
      <c r="N153" s="685"/>
      <c r="O153" s="685"/>
      <c r="P153" s="685"/>
      <c r="Q153" s="685"/>
      <c r="R153" s="685"/>
      <c r="S153" s="685"/>
      <c r="T153" s="685"/>
      <c r="U153" s="685"/>
      <c r="V153" s="685"/>
      <c r="W153" s="685"/>
      <c r="X153" s="685"/>
      <c r="Y153" s="685"/>
      <c r="Z153" s="685"/>
      <c r="AA153" s="685"/>
      <c r="AB153" s="685"/>
      <c r="AC153" s="685"/>
      <c r="AD153" s="685"/>
      <c r="AE153" s="685"/>
      <c r="AF153" s="685"/>
      <c r="AG153" s="685"/>
      <c r="AH153" s="685"/>
      <c r="AI153" s="685"/>
      <c r="AJ153" s="685"/>
      <c r="AK153" s="685"/>
      <c r="AL153" s="685"/>
      <c r="AM153" s="685"/>
      <c r="AN153" s="685"/>
      <c r="AO153" s="685"/>
      <c r="AP153" s="675"/>
    </row>
    <row r="154" spans="1:42" ht="14.25" customHeight="1" x14ac:dyDescent="0.3">
      <c r="A154" s="973"/>
      <c r="B154" s="644"/>
      <c r="C154" s="679"/>
      <c r="D154" s="672"/>
      <c r="E154" s="672"/>
      <c r="F154" s="672"/>
      <c r="G154" s="676"/>
      <c r="H154" s="676"/>
      <c r="I154" s="676"/>
      <c r="J154" s="685"/>
      <c r="K154" s="685"/>
      <c r="L154" s="685"/>
      <c r="M154" s="685"/>
      <c r="N154" s="685"/>
      <c r="O154" s="685"/>
      <c r="P154" s="685"/>
      <c r="Q154" s="685"/>
      <c r="R154" s="685"/>
      <c r="S154" s="685"/>
      <c r="T154" s="685"/>
      <c r="U154" s="685"/>
      <c r="V154" s="685"/>
      <c r="W154" s="685"/>
      <c r="X154" s="685"/>
      <c r="Y154" s="685"/>
      <c r="Z154" s="685"/>
      <c r="AA154" s="685"/>
      <c r="AB154" s="685"/>
      <c r="AC154" s="685"/>
      <c r="AD154" s="685"/>
      <c r="AE154" s="685"/>
      <c r="AF154" s="685"/>
      <c r="AG154" s="685"/>
      <c r="AH154" s="685"/>
      <c r="AI154" s="685"/>
      <c r="AJ154" s="685"/>
      <c r="AK154" s="685"/>
      <c r="AL154" s="685"/>
      <c r="AM154" s="685"/>
      <c r="AN154" s="685"/>
      <c r="AO154" s="685"/>
      <c r="AP154" s="675"/>
    </row>
    <row r="155" spans="1:42" ht="14" customHeight="1" x14ac:dyDescent="0.3">
      <c r="A155" s="1215"/>
      <c r="B155" s="644"/>
      <c r="C155" s="679"/>
      <c r="D155" s="676" t="s">
        <v>849</v>
      </c>
      <c r="E155" s="672"/>
      <c r="F155" s="672"/>
      <c r="G155" s="676"/>
      <c r="H155" s="676"/>
      <c r="I155" s="676"/>
      <c r="J155" s="685">
        <v>0.64028936533822578</v>
      </c>
      <c r="K155" s="685"/>
      <c r="L155" s="685"/>
      <c r="M155" s="685"/>
      <c r="N155" s="685"/>
      <c r="O155" s="685"/>
      <c r="P155" s="685"/>
      <c r="Q155" s="685"/>
      <c r="R155" s="685"/>
      <c r="S155" s="685"/>
      <c r="T155" s="685"/>
      <c r="U155" s="685"/>
      <c r="V155" s="685"/>
      <c r="W155" s="685"/>
      <c r="X155" s="685"/>
      <c r="Y155" s="685"/>
      <c r="Z155" s="685"/>
      <c r="AA155" s="685"/>
      <c r="AB155" s="685"/>
      <c r="AC155" s="685"/>
      <c r="AD155" s="685"/>
      <c r="AE155" s="685"/>
      <c r="AF155" s="685"/>
      <c r="AG155" s="685"/>
      <c r="AH155" s="685"/>
      <c r="AI155" s="685"/>
      <c r="AJ155" s="685"/>
      <c r="AK155" s="685"/>
      <c r="AL155" s="685"/>
      <c r="AM155" s="685"/>
      <c r="AN155" s="685"/>
      <c r="AO155" s="685"/>
      <c r="AP155" s="675"/>
    </row>
    <row r="156" spans="1:42" ht="14.25" customHeight="1" x14ac:dyDescent="0.3">
      <c r="A156" s="1215"/>
      <c r="B156" s="644"/>
      <c r="C156" s="678"/>
      <c r="D156" s="676" t="s">
        <v>865</v>
      </c>
      <c r="E156" s="676"/>
      <c r="F156" s="676"/>
      <c r="G156" s="676"/>
      <c r="H156" s="676"/>
      <c r="I156" s="676"/>
      <c r="J156" s="685">
        <v>39.334874664080829</v>
      </c>
      <c r="K156" s="685"/>
      <c r="L156" s="685"/>
      <c r="M156" s="685"/>
      <c r="N156" s="685"/>
      <c r="O156" s="685"/>
      <c r="P156" s="685"/>
      <c r="Q156" s="685"/>
      <c r="R156" s="685"/>
      <c r="S156" s="685"/>
      <c r="T156" s="685"/>
      <c r="U156" s="685"/>
      <c r="V156" s="685"/>
      <c r="W156" s="685"/>
      <c r="X156" s="685"/>
      <c r="Y156" s="685"/>
      <c r="Z156" s="685"/>
      <c r="AA156" s="685"/>
      <c r="AB156" s="685"/>
      <c r="AC156" s="685"/>
      <c r="AD156" s="685"/>
      <c r="AE156" s="685"/>
      <c r="AF156" s="685"/>
      <c r="AG156" s="685"/>
      <c r="AH156" s="685"/>
      <c r="AI156" s="685"/>
      <c r="AJ156" s="685"/>
      <c r="AK156" s="685"/>
      <c r="AL156" s="685"/>
      <c r="AM156" s="685"/>
      <c r="AN156" s="685"/>
      <c r="AO156" s="685"/>
      <c r="AP156" s="675"/>
    </row>
    <row r="157" spans="1:42" ht="14.25" customHeight="1" x14ac:dyDescent="0.3">
      <c r="A157" s="1215"/>
      <c r="B157" s="644"/>
      <c r="C157" s="678"/>
      <c r="D157" s="676" t="s">
        <v>851</v>
      </c>
      <c r="E157" s="687"/>
      <c r="F157" s="687"/>
      <c r="G157" s="687"/>
      <c r="H157" s="687"/>
      <c r="I157" s="687"/>
      <c r="J157" s="685">
        <v>0.93646164528743192</v>
      </c>
      <c r="K157" s="685"/>
      <c r="L157" s="685"/>
      <c r="M157" s="685"/>
      <c r="N157" s="685"/>
      <c r="O157" s="685"/>
      <c r="P157" s="685"/>
      <c r="Q157" s="685"/>
      <c r="R157" s="685"/>
      <c r="S157" s="685"/>
      <c r="T157" s="685"/>
      <c r="U157" s="685"/>
      <c r="V157" s="685"/>
      <c r="W157" s="685"/>
      <c r="X157" s="685"/>
      <c r="Y157" s="685"/>
      <c r="Z157" s="685"/>
      <c r="AA157" s="685"/>
      <c r="AB157" s="685"/>
      <c r="AC157" s="685"/>
      <c r="AD157" s="685"/>
      <c r="AE157" s="685"/>
      <c r="AF157" s="685"/>
      <c r="AG157" s="685"/>
      <c r="AH157" s="685"/>
      <c r="AI157" s="685"/>
      <c r="AJ157" s="685"/>
      <c r="AK157" s="685"/>
      <c r="AL157" s="685"/>
      <c r="AM157" s="685"/>
      <c r="AN157" s="685"/>
      <c r="AO157" s="685"/>
      <c r="AP157" s="675"/>
    </row>
    <row r="158" spans="1:42" ht="14.25" customHeight="1" x14ac:dyDescent="0.3">
      <c r="A158" s="1215"/>
      <c r="B158" s="644"/>
      <c r="C158" s="678"/>
      <c r="D158" s="676" t="s">
        <v>852</v>
      </c>
      <c r="E158" s="687"/>
      <c r="F158" s="687"/>
      <c r="G158" s="687"/>
      <c r="H158" s="687"/>
      <c r="I158" s="687"/>
      <c r="J158" s="685">
        <v>4.546744319341208</v>
      </c>
      <c r="K158" s="685"/>
      <c r="L158" s="685"/>
      <c r="M158" s="685"/>
      <c r="N158" s="685"/>
      <c r="O158" s="685"/>
      <c r="P158" s="685"/>
      <c r="Q158" s="685"/>
      <c r="R158" s="685"/>
      <c r="S158" s="685"/>
      <c r="T158" s="685"/>
      <c r="U158" s="685"/>
      <c r="V158" s="685"/>
      <c r="W158" s="685"/>
      <c r="X158" s="685"/>
      <c r="Y158" s="685"/>
      <c r="Z158" s="685"/>
      <c r="AA158" s="685"/>
      <c r="AB158" s="685"/>
      <c r="AC158" s="685"/>
      <c r="AD158" s="685"/>
      <c r="AE158" s="685"/>
      <c r="AF158" s="685"/>
      <c r="AG158" s="685"/>
      <c r="AH158" s="685"/>
      <c r="AI158" s="685"/>
      <c r="AJ158" s="685"/>
      <c r="AK158" s="685"/>
      <c r="AL158" s="685"/>
      <c r="AM158" s="685"/>
      <c r="AN158" s="685"/>
      <c r="AO158" s="685"/>
      <c r="AP158" s="675"/>
    </row>
    <row r="159" spans="1:42" ht="14.25" customHeight="1" x14ac:dyDescent="0.3">
      <c r="A159" s="1215"/>
      <c r="B159" s="644"/>
      <c r="C159" s="678"/>
      <c r="D159" s="676" t="s">
        <v>853</v>
      </c>
      <c r="E159" s="687"/>
      <c r="F159" s="687"/>
      <c r="G159" s="687"/>
      <c r="H159" s="687"/>
      <c r="I159" s="687"/>
      <c r="J159" s="685">
        <v>2.7795688815275527E-2</v>
      </c>
      <c r="K159" s="685"/>
      <c r="L159" s="685"/>
      <c r="M159" s="685"/>
      <c r="N159" s="685"/>
      <c r="O159" s="685"/>
      <c r="P159" s="685"/>
      <c r="Q159" s="685"/>
      <c r="R159" s="685"/>
      <c r="S159" s="685"/>
      <c r="T159" s="685"/>
      <c r="U159" s="685"/>
      <c r="V159" s="685"/>
      <c r="W159" s="685"/>
      <c r="X159" s="685"/>
      <c r="Y159" s="685"/>
      <c r="Z159" s="685"/>
      <c r="AA159" s="685"/>
      <c r="AB159" s="685"/>
      <c r="AC159" s="685"/>
      <c r="AD159" s="685"/>
      <c r="AE159" s="685"/>
      <c r="AF159" s="685"/>
      <c r="AG159" s="685"/>
      <c r="AH159" s="685"/>
      <c r="AI159" s="685"/>
      <c r="AJ159" s="685"/>
      <c r="AK159" s="685"/>
      <c r="AL159" s="685"/>
      <c r="AM159" s="685"/>
      <c r="AN159" s="685"/>
      <c r="AO159" s="685"/>
      <c r="AP159" s="675"/>
    </row>
    <row r="160" spans="1:42" ht="14.25" customHeight="1" x14ac:dyDescent="0.3">
      <c r="A160" s="1215"/>
      <c r="B160" s="644"/>
      <c r="C160" s="678"/>
      <c r="D160" s="676" t="s">
        <v>854</v>
      </c>
      <c r="E160" s="687"/>
      <c r="F160" s="687"/>
      <c r="G160" s="687"/>
      <c r="H160" s="687"/>
      <c r="I160" s="687"/>
      <c r="J160" s="685">
        <v>8.289501278564682</v>
      </c>
      <c r="K160" s="685"/>
      <c r="L160" s="685"/>
      <c r="M160" s="685"/>
      <c r="N160" s="685"/>
      <c r="O160" s="685"/>
      <c r="P160" s="685"/>
      <c r="Q160" s="685"/>
      <c r="R160" s="685"/>
      <c r="S160" s="685"/>
      <c r="T160" s="685"/>
      <c r="U160" s="685"/>
      <c r="V160" s="685"/>
      <c r="W160" s="685"/>
      <c r="X160" s="685"/>
      <c r="Y160" s="685"/>
      <c r="Z160" s="685"/>
      <c r="AA160" s="685"/>
      <c r="AB160" s="685"/>
      <c r="AC160" s="685"/>
      <c r="AD160" s="685"/>
      <c r="AE160" s="685"/>
      <c r="AF160" s="685"/>
      <c r="AG160" s="685"/>
      <c r="AH160" s="685"/>
      <c r="AI160" s="685"/>
      <c r="AJ160" s="685"/>
      <c r="AK160" s="685"/>
      <c r="AL160" s="685"/>
      <c r="AM160" s="685"/>
      <c r="AN160" s="685"/>
      <c r="AO160" s="685"/>
      <c r="AP160" s="675"/>
    </row>
    <row r="161" spans="1:42" ht="14.25" customHeight="1" x14ac:dyDescent="0.3">
      <c r="A161" s="1215"/>
      <c r="B161" s="644"/>
      <c r="C161" s="678"/>
      <c r="D161" s="676" t="s">
        <v>855</v>
      </c>
      <c r="E161" s="676"/>
      <c r="F161" s="676"/>
      <c r="G161" s="676"/>
      <c r="H161" s="676"/>
      <c r="I161" s="676"/>
      <c r="J161" s="685">
        <v>0.18812095776583632</v>
      </c>
      <c r="K161" s="685"/>
      <c r="L161" s="685"/>
      <c r="M161" s="685"/>
      <c r="N161" s="685"/>
      <c r="O161" s="685"/>
      <c r="P161" s="685"/>
      <c r="Q161" s="685"/>
      <c r="R161" s="685"/>
      <c r="S161" s="685"/>
      <c r="T161" s="685"/>
      <c r="U161" s="685"/>
      <c r="V161" s="685"/>
      <c r="W161" s="685"/>
      <c r="X161" s="685"/>
      <c r="Y161" s="685"/>
      <c r="Z161" s="685"/>
      <c r="AA161" s="685"/>
      <c r="AB161" s="685"/>
      <c r="AC161" s="685"/>
      <c r="AD161" s="685"/>
      <c r="AE161" s="685"/>
      <c r="AF161" s="685"/>
      <c r="AG161" s="685"/>
      <c r="AH161" s="685"/>
      <c r="AI161" s="685"/>
      <c r="AJ161" s="685"/>
      <c r="AK161" s="685"/>
      <c r="AL161" s="685"/>
      <c r="AM161" s="685"/>
      <c r="AN161" s="685"/>
      <c r="AO161" s="685"/>
      <c r="AP161" s="675"/>
    </row>
    <row r="162" spans="1:42" ht="14.25" customHeight="1" x14ac:dyDescent="0.3">
      <c r="A162" s="1215"/>
      <c r="B162" s="644"/>
      <c r="C162" s="678"/>
      <c r="D162" s="676" t="s">
        <v>856</v>
      </c>
      <c r="E162" s="687"/>
      <c r="F162" s="687"/>
      <c r="G162" s="687"/>
      <c r="H162" s="687"/>
      <c r="I162" s="687"/>
      <c r="J162" s="685">
        <v>0.26280184468662604</v>
      </c>
      <c r="K162" s="685"/>
      <c r="L162" s="685"/>
      <c r="M162" s="685"/>
      <c r="N162" s="685"/>
      <c r="O162" s="685"/>
      <c r="P162" s="685"/>
      <c r="Q162" s="685"/>
      <c r="R162" s="685"/>
      <c r="S162" s="685"/>
      <c r="T162" s="685"/>
      <c r="U162" s="685"/>
      <c r="V162" s="685"/>
      <c r="W162" s="685"/>
      <c r="X162" s="685"/>
      <c r="Y162" s="685"/>
      <c r="Z162" s="685"/>
      <c r="AA162" s="685"/>
      <c r="AB162" s="685"/>
      <c r="AC162" s="685"/>
      <c r="AD162" s="685"/>
      <c r="AE162" s="685"/>
      <c r="AF162" s="685"/>
      <c r="AG162" s="685"/>
      <c r="AH162" s="685"/>
      <c r="AI162" s="685"/>
      <c r="AJ162" s="685"/>
      <c r="AK162" s="685"/>
      <c r="AL162" s="685"/>
      <c r="AM162" s="685"/>
      <c r="AN162" s="685"/>
      <c r="AO162" s="685"/>
      <c r="AP162" s="675"/>
    </row>
    <row r="163" spans="1:42" ht="14.25" customHeight="1" x14ac:dyDescent="0.3">
      <c r="A163" s="1215"/>
      <c r="B163" s="644"/>
      <c r="C163" s="678"/>
      <c r="D163" s="676" t="s">
        <v>857</v>
      </c>
      <c r="E163" s="687"/>
      <c r="F163" s="687"/>
      <c r="G163" s="687"/>
      <c r="H163" s="687"/>
      <c r="I163" s="687"/>
      <c r="J163" s="685">
        <v>9.0023860581714938</v>
      </c>
      <c r="K163" s="685"/>
      <c r="L163" s="685"/>
      <c r="M163" s="685"/>
      <c r="N163" s="685"/>
      <c r="O163" s="685"/>
      <c r="P163" s="685"/>
      <c r="Q163" s="685"/>
      <c r="R163" s="685"/>
      <c r="S163" s="685"/>
      <c r="T163" s="685"/>
      <c r="U163" s="685"/>
      <c r="V163" s="685"/>
      <c r="W163" s="685"/>
      <c r="X163" s="685"/>
      <c r="Y163" s="685"/>
      <c r="Z163" s="685"/>
      <c r="AA163" s="685"/>
      <c r="AB163" s="685"/>
      <c r="AC163" s="685"/>
      <c r="AD163" s="685"/>
      <c r="AE163" s="685"/>
      <c r="AF163" s="685"/>
      <c r="AG163" s="685"/>
      <c r="AH163" s="685"/>
      <c r="AI163" s="685"/>
      <c r="AJ163" s="685"/>
      <c r="AK163" s="685"/>
      <c r="AL163" s="685"/>
      <c r="AM163" s="685"/>
      <c r="AN163" s="685"/>
      <c r="AO163" s="685"/>
      <c r="AP163" s="675"/>
    </row>
    <row r="164" spans="1:42" ht="14.25" customHeight="1" x14ac:dyDescent="0.3">
      <c r="A164" s="1215"/>
      <c r="B164" s="644"/>
      <c r="C164" s="678"/>
      <c r="D164" s="676" t="s">
        <v>858</v>
      </c>
      <c r="E164" s="676"/>
      <c r="F164" s="676"/>
      <c r="G164" s="676"/>
      <c r="H164" s="676"/>
      <c r="I164" s="676"/>
      <c r="J164" s="685">
        <v>6.5469061876247503</v>
      </c>
      <c r="K164" s="685"/>
      <c r="L164" s="685"/>
      <c r="M164" s="685"/>
      <c r="N164" s="685"/>
      <c r="O164" s="685"/>
      <c r="P164" s="685"/>
      <c r="Q164" s="685"/>
      <c r="R164" s="685"/>
      <c r="S164" s="685"/>
      <c r="T164" s="685"/>
      <c r="U164" s="685"/>
      <c r="V164" s="685"/>
      <c r="W164" s="685"/>
      <c r="X164" s="685"/>
      <c r="Y164" s="685"/>
      <c r="Z164" s="685"/>
      <c r="AA164" s="685"/>
      <c r="AB164" s="685"/>
      <c r="AC164" s="685"/>
      <c r="AD164" s="685"/>
      <c r="AE164" s="685"/>
      <c r="AF164" s="685"/>
      <c r="AG164" s="685"/>
      <c r="AH164" s="685"/>
      <c r="AI164" s="685"/>
      <c r="AJ164" s="685"/>
      <c r="AK164" s="685"/>
      <c r="AL164" s="685"/>
      <c r="AM164" s="685"/>
      <c r="AN164" s="685"/>
      <c r="AO164" s="685"/>
      <c r="AP164" s="675"/>
    </row>
    <row r="165" spans="1:42" ht="14.25" customHeight="1" x14ac:dyDescent="0.3">
      <c r="A165" s="1215"/>
      <c r="B165" s="644"/>
      <c r="C165" s="678"/>
      <c r="D165" s="676" t="s">
        <v>859</v>
      </c>
      <c r="E165" s="687"/>
      <c r="F165" s="687"/>
      <c r="G165" s="687"/>
      <c r="H165" s="687"/>
      <c r="I165" s="687"/>
      <c r="J165" s="685">
        <v>3.7456173803929289</v>
      </c>
      <c r="K165" s="685"/>
      <c r="L165" s="685"/>
      <c r="M165" s="685"/>
      <c r="N165" s="685"/>
      <c r="O165" s="685"/>
      <c r="P165" s="685"/>
      <c r="Q165" s="685"/>
      <c r="R165" s="685"/>
      <c r="S165" s="685"/>
      <c r="T165" s="685"/>
      <c r="U165" s="685"/>
      <c r="V165" s="685"/>
      <c r="W165" s="685"/>
      <c r="X165" s="685"/>
      <c r="Y165" s="685"/>
      <c r="Z165" s="685"/>
      <c r="AA165" s="685"/>
      <c r="AB165" s="685"/>
      <c r="AC165" s="685"/>
      <c r="AD165" s="685"/>
      <c r="AE165" s="685"/>
      <c r="AF165" s="685"/>
      <c r="AG165" s="685"/>
      <c r="AH165" s="685"/>
      <c r="AI165" s="685"/>
      <c r="AJ165" s="685"/>
      <c r="AK165" s="685"/>
      <c r="AL165" s="685"/>
      <c r="AM165" s="685"/>
      <c r="AN165" s="685"/>
      <c r="AO165" s="685"/>
      <c r="AP165" s="675"/>
    </row>
    <row r="166" spans="1:42" ht="14.25" customHeight="1" x14ac:dyDescent="0.3">
      <c r="A166" s="1215"/>
      <c r="B166" s="644"/>
      <c r="C166" s="678"/>
      <c r="D166" s="676" t="s">
        <v>860</v>
      </c>
      <c r="E166" s="676"/>
      <c r="F166" s="676"/>
      <c r="G166" s="676"/>
      <c r="H166" s="676"/>
      <c r="I166" s="676"/>
      <c r="J166" s="685">
        <v>7.9279147126696818</v>
      </c>
      <c r="K166" s="685"/>
      <c r="L166" s="685"/>
      <c r="M166" s="685"/>
      <c r="N166" s="685"/>
      <c r="O166" s="685"/>
      <c r="P166" s="685"/>
      <c r="Q166" s="685"/>
      <c r="R166" s="685"/>
      <c r="S166" s="685"/>
      <c r="T166" s="685"/>
      <c r="U166" s="685"/>
      <c r="V166" s="685"/>
      <c r="W166" s="685"/>
      <c r="X166" s="685"/>
      <c r="Y166" s="685"/>
      <c r="Z166" s="685"/>
      <c r="AA166" s="685"/>
      <c r="AB166" s="685"/>
      <c r="AC166" s="685"/>
      <c r="AD166" s="685"/>
      <c r="AE166" s="685"/>
      <c r="AF166" s="685"/>
      <c r="AG166" s="685"/>
      <c r="AH166" s="685"/>
      <c r="AI166" s="685"/>
      <c r="AJ166" s="685"/>
      <c r="AK166" s="685"/>
      <c r="AL166" s="685"/>
      <c r="AM166" s="685"/>
      <c r="AN166" s="685"/>
      <c r="AO166" s="685"/>
      <c r="AP166" s="675"/>
    </row>
    <row r="167" spans="1:42" ht="14.25" customHeight="1" x14ac:dyDescent="0.3">
      <c r="A167" s="1215"/>
      <c r="B167" s="644"/>
      <c r="C167" s="678"/>
      <c r="D167" s="676" t="s">
        <v>861</v>
      </c>
      <c r="E167" s="676"/>
      <c r="F167" s="676"/>
      <c r="G167" s="676"/>
      <c r="H167" s="676"/>
      <c r="I167" s="676"/>
      <c r="J167" s="685">
        <v>4.5624346969127485</v>
      </c>
      <c r="K167" s="685"/>
      <c r="L167" s="685"/>
      <c r="M167" s="685"/>
      <c r="N167" s="685"/>
      <c r="O167" s="685"/>
      <c r="P167" s="685"/>
      <c r="Q167" s="685"/>
      <c r="R167" s="685"/>
      <c r="S167" s="685"/>
      <c r="T167" s="685"/>
      <c r="U167" s="685"/>
      <c r="V167" s="685"/>
      <c r="W167" s="685"/>
      <c r="X167" s="685"/>
      <c r="Y167" s="685"/>
      <c r="Z167" s="685"/>
      <c r="AA167" s="685"/>
      <c r="AB167" s="685"/>
      <c r="AC167" s="685"/>
      <c r="AD167" s="685"/>
      <c r="AE167" s="685"/>
      <c r="AF167" s="685"/>
      <c r="AG167" s="685"/>
      <c r="AH167" s="685"/>
      <c r="AI167" s="685"/>
      <c r="AJ167" s="685"/>
      <c r="AK167" s="685"/>
      <c r="AL167" s="685"/>
      <c r="AM167" s="685"/>
      <c r="AN167" s="685"/>
      <c r="AO167" s="685"/>
      <c r="AP167" s="675"/>
    </row>
    <row r="168" spans="1:42" ht="13.5" customHeight="1" x14ac:dyDescent="0.3">
      <c r="A168" s="1215"/>
      <c r="B168" s="644"/>
      <c r="C168" s="678"/>
      <c r="D168" s="676" t="s">
        <v>862</v>
      </c>
      <c r="E168" s="676"/>
      <c r="F168" s="676"/>
      <c r="G168" s="676"/>
      <c r="H168" s="676"/>
      <c r="I168" s="676"/>
      <c r="J168" s="685">
        <v>4.3421452806136636E-2</v>
      </c>
      <c r="K168" s="685"/>
      <c r="L168" s="685"/>
      <c r="M168" s="685"/>
      <c r="N168" s="685"/>
      <c r="O168" s="685"/>
      <c r="P168" s="685"/>
      <c r="Q168" s="685"/>
      <c r="R168" s="685"/>
      <c r="S168" s="685"/>
      <c r="T168" s="685"/>
      <c r="U168" s="685"/>
      <c r="V168" s="685"/>
      <c r="W168" s="685"/>
      <c r="X168" s="685"/>
      <c r="Y168" s="685"/>
      <c r="Z168" s="685"/>
      <c r="AA168" s="685"/>
      <c r="AB168" s="685"/>
      <c r="AC168" s="685"/>
      <c r="AD168" s="685"/>
      <c r="AE168" s="685"/>
      <c r="AF168" s="685"/>
      <c r="AG168" s="685"/>
      <c r="AH168" s="685"/>
      <c r="AI168" s="685"/>
      <c r="AJ168" s="685"/>
      <c r="AK168" s="685"/>
      <c r="AL168" s="685"/>
      <c r="AM168" s="685"/>
      <c r="AN168" s="685"/>
      <c r="AO168" s="685"/>
      <c r="AP168" s="675"/>
    </row>
    <row r="169" spans="1:42" ht="13.5" customHeight="1" x14ac:dyDescent="0.3">
      <c r="A169" s="1215"/>
      <c r="B169" s="644"/>
      <c r="C169" s="678"/>
      <c r="D169" s="676" t="s">
        <v>863</v>
      </c>
      <c r="E169" s="676"/>
      <c r="F169" s="676"/>
      <c r="G169" s="676"/>
      <c r="H169" s="676"/>
      <c r="I169" s="676"/>
      <c r="J169" s="685">
        <v>0</v>
      </c>
      <c r="K169" s="685"/>
      <c r="L169" s="685"/>
      <c r="M169" s="685"/>
      <c r="N169" s="685"/>
      <c r="O169" s="685"/>
      <c r="P169" s="685"/>
      <c r="Q169" s="685"/>
      <c r="R169" s="685"/>
      <c r="S169" s="685"/>
      <c r="T169" s="685"/>
      <c r="U169" s="685"/>
      <c r="V169" s="685"/>
      <c r="W169" s="685"/>
      <c r="X169" s="685"/>
      <c r="Y169" s="685"/>
      <c r="Z169" s="685"/>
      <c r="AA169" s="685"/>
      <c r="AB169" s="685"/>
      <c r="AC169" s="685"/>
      <c r="AD169" s="685"/>
      <c r="AE169" s="685"/>
      <c r="AF169" s="685"/>
      <c r="AG169" s="685"/>
      <c r="AH169" s="685"/>
      <c r="AI169" s="685"/>
      <c r="AJ169" s="685"/>
      <c r="AK169" s="685"/>
      <c r="AL169" s="685"/>
      <c r="AM169" s="685"/>
      <c r="AN169" s="685"/>
      <c r="AO169" s="685"/>
      <c r="AP169" s="675"/>
    </row>
    <row r="170" spans="1:42" ht="14" customHeight="1" x14ac:dyDescent="0.3">
      <c r="A170" s="973"/>
      <c r="B170" s="644"/>
      <c r="C170" s="679"/>
      <c r="D170" s="672"/>
      <c r="E170" s="672"/>
      <c r="F170" s="672"/>
      <c r="G170" s="676"/>
      <c r="H170" s="676"/>
      <c r="I170" s="676"/>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675"/>
    </row>
    <row r="171" spans="1:42" ht="14.25" customHeight="1" x14ac:dyDescent="0.3">
      <c r="A171" s="973"/>
      <c r="B171" s="644"/>
      <c r="C171" s="679"/>
      <c r="D171" s="672" t="s">
        <v>875</v>
      </c>
      <c r="E171" s="672"/>
      <c r="F171" s="672"/>
      <c r="G171" s="676"/>
      <c r="H171" s="676"/>
      <c r="I171" s="676"/>
      <c r="J171" s="685"/>
      <c r="K171" s="685"/>
      <c r="L171" s="685"/>
      <c r="M171" s="685"/>
      <c r="N171" s="685"/>
      <c r="O171" s="685"/>
      <c r="P171" s="685"/>
      <c r="Q171" s="685"/>
      <c r="R171" s="685"/>
      <c r="S171" s="685"/>
      <c r="T171" s="685"/>
      <c r="U171" s="685"/>
      <c r="V171" s="685"/>
      <c r="W171" s="685"/>
      <c r="X171" s="685"/>
      <c r="Y171" s="685"/>
      <c r="Z171" s="685"/>
      <c r="AA171" s="685"/>
      <c r="AB171" s="685"/>
      <c r="AC171" s="685"/>
      <c r="AD171" s="685"/>
      <c r="AE171" s="685"/>
      <c r="AF171" s="685"/>
      <c r="AG171" s="685"/>
      <c r="AH171" s="685"/>
      <c r="AI171" s="685"/>
      <c r="AJ171" s="685"/>
      <c r="AK171" s="685"/>
      <c r="AL171" s="685"/>
      <c r="AM171" s="685"/>
      <c r="AN171" s="685"/>
      <c r="AO171" s="685"/>
      <c r="AP171" s="675"/>
    </row>
    <row r="172" spans="1:42" ht="14.25" customHeight="1" x14ac:dyDescent="0.3">
      <c r="A172" s="973"/>
      <c r="B172" s="644"/>
      <c r="C172" s="679"/>
      <c r="D172" s="672"/>
      <c r="E172" s="672"/>
      <c r="F172" s="672"/>
      <c r="G172" s="676"/>
      <c r="H172" s="676"/>
      <c r="I172" s="676"/>
      <c r="J172" s="685"/>
      <c r="K172" s="685"/>
      <c r="L172" s="685"/>
      <c r="M172" s="685"/>
      <c r="N172" s="685"/>
      <c r="O172" s="685"/>
      <c r="P172" s="685"/>
      <c r="Q172" s="685"/>
      <c r="R172" s="685"/>
      <c r="S172" s="685"/>
      <c r="T172" s="685"/>
      <c r="U172" s="685"/>
      <c r="V172" s="685"/>
      <c r="W172" s="685"/>
      <c r="X172" s="685"/>
      <c r="Y172" s="685"/>
      <c r="Z172" s="685"/>
      <c r="AA172" s="685"/>
      <c r="AB172" s="685"/>
      <c r="AC172" s="685"/>
      <c r="AD172" s="685"/>
      <c r="AE172" s="685"/>
      <c r="AF172" s="685"/>
      <c r="AG172" s="685"/>
      <c r="AH172" s="685"/>
      <c r="AI172" s="685"/>
      <c r="AJ172" s="685"/>
      <c r="AK172" s="685"/>
      <c r="AL172" s="685"/>
      <c r="AM172" s="685"/>
      <c r="AN172" s="685"/>
      <c r="AO172" s="685"/>
      <c r="AP172" s="675"/>
    </row>
    <row r="173" spans="1:42" ht="14" customHeight="1" x14ac:dyDescent="0.3">
      <c r="A173" s="1215"/>
      <c r="B173" s="644"/>
      <c r="C173" s="679"/>
      <c r="D173" s="676" t="s">
        <v>849</v>
      </c>
      <c r="E173" s="672"/>
      <c r="F173" s="672"/>
      <c r="G173" s="676"/>
      <c r="H173" s="676"/>
      <c r="I173" s="676"/>
      <c r="J173" s="685">
        <v>40.063928716363655</v>
      </c>
      <c r="K173" s="685"/>
      <c r="L173" s="685"/>
      <c r="M173" s="685"/>
      <c r="N173" s="685"/>
      <c r="O173" s="685"/>
      <c r="P173" s="685"/>
      <c r="Q173" s="685"/>
      <c r="R173" s="685"/>
      <c r="S173" s="685"/>
      <c r="T173" s="685"/>
      <c r="U173" s="685"/>
      <c r="V173" s="685"/>
      <c r="W173" s="685"/>
      <c r="X173" s="685"/>
      <c r="Y173" s="685"/>
      <c r="Z173" s="685"/>
      <c r="AA173" s="685"/>
      <c r="AB173" s="685"/>
      <c r="AC173" s="685"/>
      <c r="AD173" s="685"/>
      <c r="AE173" s="685"/>
      <c r="AF173" s="685"/>
      <c r="AG173" s="685"/>
      <c r="AH173" s="685"/>
      <c r="AI173" s="685"/>
      <c r="AJ173" s="685"/>
      <c r="AK173" s="685"/>
      <c r="AL173" s="685"/>
      <c r="AM173" s="685"/>
      <c r="AN173" s="685"/>
      <c r="AO173" s="685"/>
      <c r="AP173" s="675"/>
    </row>
    <row r="174" spans="1:42" ht="14.25" customHeight="1" x14ac:dyDescent="0.3">
      <c r="A174" s="1215"/>
      <c r="B174" s="644"/>
      <c r="C174" s="678"/>
      <c r="D174" s="676" t="s">
        <v>865</v>
      </c>
      <c r="E174" s="676"/>
      <c r="F174" s="676"/>
      <c r="G174" s="676"/>
      <c r="H174" s="676"/>
      <c r="I174" s="676"/>
      <c r="J174" s="685">
        <v>24.643523819673064</v>
      </c>
      <c r="K174" s="685"/>
      <c r="L174" s="685"/>
      <c r="M174" s="685"/>
      <c r="N174" s="685"/>
      <c r="O174" s="685"/>
      <c r="P174" s="685"/>
      <c r="Q174" s="685"/>
      <c r="R174" s="685"/>
      <c r="S174" s="685"/>
      <c r="T174" s="685"/>
      <c r="U174" s="685"/>
      <c r="V174" s="685"/>
      <c r="W174" s="685"/>
      <c r="X174" s="685"/>
      <c r="Y174" s="685"/>
      <c r="Z174" s="685"/>
      <c r="AA174" s="685"/>
      <c r="AB174" s="685"/>
      <c r="AC174" s="685"/>
      <c r="AD174" s="685"/>
      <c r="AE174" s="685"/>
      <c r="AF174" s="685"/>
      <c r="AG174" s="685"/>
      <c r="AH174" s="685"/>
      <c r="AI174" s="685"/>
      <c r="AJ174" s="685"/>
      <c r="AK174" s="685"/>
      <c r="AL174" s="685"/>
      <c r="AM174" s="685"/>
      <c r="AN174" s="685"/>
      <c r="AO174" s="685"/>
      <c r="AP174" s="675"/>
    </row>
    <row r="175" spans="1:42" ht="14.25" customHeight="1" x14ac:dyDescent="0.3">
      <c r="A175" s="1215"/>
      <c r="B175" s="644"/>
      <c r="C175" s="678"/>
      <c r="D175" s="676" t="s">
        <v>851</v>
      </c>
      <c r="E175" s="687"/>
      <c r="F175" s="687"/>
      <c r="G175" s="687"/>
      <c r="H175" s="687"/>
      <c r="I175" s="687"/>
      <c r="J175" s="685">
        <v>22.411278003142929</v>
      </c>
      <c r="K175" s="685"/>
      <c r="L175" s="685"/>
      <c r="M175" s="685"/>
      <c r="N175" s="685"/>
      <c r="O175" s="685"/>
      <c r="P175" s="685"/>
      <c r="Q175" s="685"/>
      <c r="R175" s="685"/>
      <c r="S175" s="685"/>
      <c r="T175" s="685"/>
      <c r="U175" s="685"/>
      <c r="V175" s="685"/>
      <c r="W175" s="685"/>
      <c r="X175" s="685"/>
      <c r="Y175" s="685"/>
      <c r="Z175" s="685"/>
      <c r="AA175" s="685"/>
      <c r="AB175" s="685"/>
      <c r="AC175" s="685"/>
      <c r="AD175" s="685"/>
      <c r="AE175" s="685"/>
      <c r="AF175" s="685"/>
      <c r="AG175" s="685"/>
      <c r="AH175" s="685"/>
      <c r="AI175" s="685"/>
      <c r="AJ175" s="685"/>
      <c r="AK175" s="685"/>
      <c r="AL175" s="685"/>
      <c r="AM175" s="685"/>
      <c r="AN175" s="685"/>
      <c r="AO175" s="685"/>
      <c r="AP175" s="675"/>
    </row>
    <row r="176" spans="1:42" ht="14.25" customHeight="1" x14ac:dyDescent="0.3">
      <c r="A176" s="1215"/>
      <c r="B176" s="644"/>
      <c r="C176" s="678"/>
      <c r="D176" s="676" t="s">
        <v>852</v>
      </c>
      <c r="E176" s="687"/>
      <c r="F176" s="687"/>
      <c r="G176" s="687"/>
      <c r="H176" s="687"/>
      <c r="I176" s="687"/>
      <c r="J176" s="685">
        <v>433.01606557760567</v>
      </c>
      <c r="K176" s="685"/>
      <c r="L176" s="685"/>
      <c r="M176" s="685"/>
      <c r="N176" s="685"/>
      <c r="O176" s="685"/>
      <c r="P176" s="685"/>
      <c r="Q176" s="685"/>
      <c r="R176" s="685"/>
      <c r="S176" s="685"/>
      <c r="T176" s="685"/>
      <c r="U176" s="685"/>
      <c r="V176" s="685"/>
      <c r="W176" s="685"/>
      <c r="X176" s="685"/>
      <c r="Y176" s="685"/>
      <c r="Z176" s="685"/>
      <c r="AA176" s="685"/>
      <c r="AB176" s="685"/>
      <c r="AC176" s="685"/>
      <c r="AD176" s="685"/>
      <c r="AE176" s="685"/>
      <c r="AF176" s="685"/>
      <c r="AG176" s="685"/>
      <c r="AH176" s="685"/>
      <c r="AI176" s="685"/>
      <c r="AJ176" s="685"/>
      <c r="AK176" s="685"/>
      <c r="AL176" s="685"/>
      <c r="AM176" s="685"/>
      <c r="AN176" s="685"/>
      <c r="AO176" s="685"/>
      <c r="AP176" s="675"/>
    </row>
    <row r="177" spans="1:42" ht="14.25" customHeight="1" x14ac:dyDescent="0.3">
      <c r="A177" s="1215"/>
      <c r="B177" s="644"/>
      <c r="C177" s="678"/>
      <c r="D177" s="676" t="s">
        <v>853</v>
      </c>
      <c r="E177" s="687"/>
      <c r="F177" s="687"/>
      <c r="G177" s="687"/>
      <c r="H177" s="687"/>
      <c r="I177" s="687"/>
      <c r="J177" s="685">
        <v>1.9297139669349841</v>
      </c>
      <c r="K177" s="685"/>
      <c r="L177" s="685"/>
      <c r="M177" s="685"/>
      <c r="N177" s="685"/>
      <c r="O177" s="685"/>
      <c r="P177" s="685"/>
      <c r="Q177" s="685"/>
      <c r="R177" s="685"/>
      <c r="S177" s="685"/>
      <c r="T177" s="685"/>
      <c r="U177" s="685"/>
      <c r="V177" s="685"/>
      <c r="W177" s="685"/>
      <c r="X177" s="685"/>
      <c r="Y177" s="685"/>
      <c r="Z177" s="685"/>
      <c r="AA177" s="685"/>
      <c r="AB177" s="685"/>
      <c r="AC177" s="685"/>
      <c r="AD177" s="685"/>
      <c r="AE177" s="685"/>
      <c r="AF177" s="685"/>
      <c r="AG177" s="685"/>
      <c r="AH177" s="685"/>
      <c r="AI177" s="685"/>
      <c r="AJ177" s="685"/>
      <c r="AK177" s="685"/>
      <c r="AL177" s="685"/>
      <c r="AM177" s="685"/>
      <c r="AN177" s="685"/>
      <c r="AO177" s="685"/>
      <c r="AP177" s="675"/>
    </row>
    <row r="178" spans="1:42" ht="14.25" customHeight="1" x14ac:dyDescent="0.3">
      <c r="A178" s="1215"/>
      <c r="B178" s="644"/>
      <c r="C178" s="678"/>
      <c r="D178" s="676" t="s">
        <v>854</v>
      </c>
      <c r="E178" s="687"/>
      <c r="F178" s="687"/>
      <c r="G178" s="687"/>
      <c r="H178" s="687"/>
      <c r="I178" s="687"/>
      <c r="J178" s="685">
        <v>273.41862934226174</v>
      </c>
      <c r="K178" s="685"/>
      <c r="L178" s="685"/>
      <c r="M178" s="685"/>
      <c r="N178" s="685"/>
      <c r="O178" s="685"/>
      <c r="P178" s="685"/>
      <c r="Q178" s="685"/>
      <c r="R178" s="685"/>
      <c r="S178" s="685"/>
      <c r="T178" s="685"/>
      <c r="U178" s="685"/>
      <c r="V178" s="685"/>
      <c r="W178" s="685"/>
      <c r="X178" s="685"/>
      <c r="Y178" s="685"/>
      <c r="Z178" s="685"/>
      <c r="AA178" s="685"/>
      <c r="AB178" s="685"/>
      <c r="AC178" s="685"/>
      <c r="AD178" s="685"/>
      <c r="AE178" s="685"/>
      <c r="AF178" s="685"/>
      <c r="AG178" s="685"/>
      <c r="AH178" s="685"/>
      <c r="AI178" s="685"/>
      <c r="AJ178" s="685"/>
      <c r="AK178" s="685"/>
      <c r="AL178" s="685"/>
      <c r="AM178" s="685"/>
      <c r="AN178" s="685"/>
      <c r="AO178" s="685"/>
      <c r="AP178" s="675"/>
    </row>
    <row r="179" spans="1:42" ht="14.25" customHeight="1" x14ac:dyDescent="0.3">
      <c r="A179" s="1215"/>
      <c r="B179" s="644"/>
      <c r="C179" s="678"/>
      <c r="D179" s="676" t="s">
        <v>855</v>
      </c>
      <c r="E179" s="676"/>
      <c r="F179" s="676"/>
      <c r="G179" s="676"/>
      <c r="H179" s="676"/>
      <c r="I179" s="676"/>
      <c r="J179" s="685">
        <v>2.2480544508007001</v>
      </c>
      <c r="K179" s="685"/>
      <c r="L179" s="685"/>
      <c r="M179" s="685"/>
      <c r="N179" s="685"/>
      <c r="O179" s="685"/>
      <c r="P179" s="685"/>
      <c r="Q179" s="685"/>
      <c r="R179" s="685"/>
      <c r="S179" s="685"/>
      <c r="T179" s="685"/>
      <c r="U179" s="685"/>
      <c r="V179" s="685"/>
      <c r="W179" s="685"/>
      <c r="X179" s="685"/>
      <c r="Y179" s="685"/>
      <c r="Z179" s="685"/>
      <c r="AA179" s="685"/>
      <c r="AB179" s="685"/>
      <c r="AC179" s="685"/>
      <c r="AD179" s="685"/>
      <c r="AE179" s="685"/>
      <c r="AF179" s="685"/>
      <c r="AG179" s="685"/>
      <c r="AH179" s="685"/>
      <c r="AI179" s="685"/>
      <c r="AJ179" s="685"/>
      <c r="AK179" s="685"/>
      <c r="AL179" s="685"/>
      <c r="AM179" s="685"/>
      <c r="AN179" s="685"/>
      <c r="AO179" s="685"/>
      <c r="AP179" s="675"/>
    </row>
    <row r="180" spans="1:42" ht="14.25" customHeight="1" x14ac:dyDescent="0.3">
      <c r="A180" s="1215"/>
      <c r="B180" s="644"/>
      <c r="C180" s="678"/>
      <c r="D180" s="676" t="s">
        <v>856</v>
      </c>
      <c r="E180" s="687"/>
      <c r="F180" s="687"/>
      <c r="G180" s="687"/>
      <c r="H180" s="687"/>
      <c r="I180" s="687"/>
      <c r="J180" s="685">
        <v>6.7242993738295391</v>
      </c>
      <c r="K180" s="685"/>
      <c r="L180" s="685"/>
      <c r="M180" s="685"/>
      <c r="N180" s="685"/>
      <c r="O180" s="685"/>
      <c r="P180" s="685"/>
      <c r="Q180" s="685"/>
      <c r="R180" s="685"/>
      <c r="S180" s="685"/>
      <c r="T180" s="685"/>
      <c r="U180" s="685"/>
      <c r="V180" s="685"/>
      <c r="W180" s="685"/>
      <c r="X180" s="685"/>
      <c r="Y180" s="685"/>
      <c r="Z180" s="685"/>
      <c r="AA180" s="685"/>
      <c r="AB180" s="685"/>
      <c r="AC180" s="685"/>
      <c r="AD180" s="685"/>
      <c r="AE180" s="685"/>
      <c r="AF180" s="685"/>
      <c r="AG180" s="685"/>
      <c r="AH180" s="685"/>
      <c r="AI180" s="685"/>
      <c r="AJ180" s="685"/>
      <c r="AK180" s="685"/>
      <c r="AL180" s="685"/>
      <c r="AM180" s="685"/>
      <c r="AN180" s="685"/>
      <c r="AO180" s="685"/>
      <c r="AP180" s="675"/>
    </row>
    <row r="181" spans="1:42" ht="14.25" customHeight="1" x14ac:dyDescent="0.3">
      <c r="A181" s="1215"/>
      <c r="B181" s="644"/>
      <c r="C181" s="678"/>
      <c r="D181" s="676" t="s">
        <v>857</v>
      </c>
      <c r="E181" s="687"/>
      <c r="F181" s="687"/>
      <c r="G181" s="687"/>
      <c r="H181" s="687"/>
      <c r="I181" s="687"/>
      <c r="J181" s="685">
        <v>7.3517019541514399</v>
      </c>
      <c r="K181" s="685"/>
      <c r="L181" s="685"/>
      <c r="M181" s="685"/>
      <c r="N181" s="685"/>
      <c r="O181" s="685"/>
      <c r="P181" s="685"/>
      <c r="Q181" s="685"/>
      <c r="R181" s="685"/>
      <c r="S181" s="685"/>
      <c r="T181" s="685"/>
      <c r="U181" s="685"/>
      <c r="V181" s="685"/>
      <c r="W181" s="685"/>
      <c r="X181" s="685"/>
      <c r="Y181" s="685"/>
      <c r="Z181" s="685"/>
      <c r="AA181" s="685"/>
      <c r="AB181" s="685"/>
      <c r="AC181" s="685"/>
      <c r="AD181" s="685"/>
      <c r="AE181" s="685"/>
      <c r="AF181" s="685"/>
      <c r="AG181" s="685"/>
      <c r="AH181" s="685"/>
      <c r="AI181" s="685"/>
      <c r="AJ181" s="685"/>
      <c r="AK181" s="685"/>
      <c r="AL181" s="685"/>
      <c r="AM181" s="685"/>
      <c r="AN181" s="685"/>
      <c r="AO181" s="685"/>
      <c r="AP181" s="675"/>
    </row>
    <row r="182" spans="1:42" ht="14.25" customHeight="1" x14ac:dyDescent="0.3">
      <c r="A182" s="1215"/>
      <c r="B182" s="644"/>
      <c r="C182" s="678"/>
      <c r="D182" s="676" t="s">
        <v>858</v>
      </c>
      <c r="E182" s="676"/>
      <c r="F182" s="676"/>
      <c r="G182" s="676"/>
      <c r="H182" s="676"/>
      <c r="I182" s="676"/>
      <c r="J182" s="685">
        <v>99.46735101226119</v>
      </c>
      <c r="K182" s="685"/>
      <c r="L182" s="685"/>
      <c r="M182" s="685"/>
      <c r="N182" s="685"/>
      <c r="O182" s="685"/>
      <c r="P182" s="685"/>
      <c r="Q182" s="685"/>
      <c r="R182" s="685"/>
      <c r="S182" s="685"/>
      <c r="T182" s="685"/>
      <c r="U182" s="685"/>
      <c r="V182" s="685"/>
      <c r="W182" s="685"/>
      <c r="X182" s="685"/>
      <c r="Y182" s="685"/>
      <c r="Z182" s="685"/>
      <c r="AA182" s="685"/>
      <c r="AB182" s="685"/>
      <c r="AC182" s="685"/>
      <c r="AD182" s="685"/>
      <c r="AE182" s="685"/>
      <c r="AF182" s="685"/>
      <c r="AG182" s="685"/>
      <c r="AH182" s="685"/>
      <c r="AI182" s="685"/>
      <c r="AJ182" s="685"/>
      <c r="AK182" s="685"/>
      <c r="AL182" s="685"/>
      <c r="AM182" s="685"/>
      <c r="AN182" s="685"/>
      <c r="AO182" s="685"/>
      <c r="AP182" s="675"/>
    </row>
    <row r="183" spans="1:42" ht="14.25" customHeight="1" x14ac:dyDescent="0.3">
      <c r="A183" s="1215"/>
      <c r="B183" s="644"/>
      <c r="C183" s="678"/>
      <c r="D183" s="676" t="s">
        <v>859</v>
      </c>
      <c r="E183" s="687"/>
      <c r="F183" s="687"/>
      <c r="G183" s="687"/>
      <c r="H183" s="687"/>
      <c r="I183" s="687"/>
      <c r="J183" s="685">
        <v>72.883314675163305</v>
      </c>
      <c r="K183" s="685"/>
      <c r="L183" s="685"/>
      <c r="M183" s="685"/>
      <c r="N183" s="685"/>
      <c r="O183" s="685"/>
      <c r="P183" s="685"/>
      <c r="Q183" s="685"/>
      <c r="R183" s="685"/>
      <c r="S183" s="685"/>
      <c r="T183" s="685"/>
      <c r="U183" s="685"/>
      <c r="V183" s="685"/>
      <c r="W183" s="685"/>
      <c r="X183" s="685"/>
      <c r="Y183" s="685"/>
      <c r="Z183" s="685"/>
      <c r="AA183" s="685"/>
      <c r="AB183" s="685"/>
      <c r="AC183" s="685"/>
      <c r="AD183" s="685"/>
      <c r="AE183" s="685"/>
      <c r="AF183" s="685"/>
      <c r="AG183" s="685"/>
      <c r="AH183" s="685"/>
      <c r="AI183" s="685"/>
      <c r="AJ183" s="685"/>
      <c r="AK183" s="685"/>
      <c r="AL183" s="685"/>
      <c r="AM183" s="685"/>
      <c r="AN183" s="685"/>
      <c r="AO183" s="685"/>
      <c r="AP183" s="675"/>
    </row>
    <row r="184" spans="1:42" ht="14.25" customHeight="1" x14ac:dyDescent="0.3">
      <c r="A184" s="1215"/>
      <c r="B184" s="644"/>
      <c r="C184" s="678"/>
      <c r="D184" s="676" t="s">
        <v>860</v>
      </c>
      <c r="E184" s="676"/>
      <c r="F184" s="676"/>
      <c r="G184" s="676"/>
      <c r="H184" s="676"/>
      <c r="I184" s="676"/>
      <c r="J184" s="685">
        <v>213.79909176515002</v>
      </c>
      <c r="K184" s="685"/>
      <c r="L184" s="685"/>
      <c r="M184" s="685"/>
      <c r="N184" s="685"/>
      <c r="O184" s="685"/>
      <c r="P184" s="685"/>
      <c r="Q184" s="685"/>
      <c r="R184" s="685"/>
      <c r="S184" s="685"/>
      <c r="T184" s="685"/>
      <c r="U184" s="685"/>
      <c r="V184" s="685"/>
      <c r="W184" s="685"/>
      <c r="X184" s="685"/>
      <c r="Y184" s="685"/>
      <c r="Z184" s="685"/>
      <c r="AA184" s="685"/>
      <c r="AB184" s="685"/>
      <c r="AC184" s="685"/>
      <c r="AD184" s="685"/>
      <c r="AE184" s="685"/>
      <c r="AF184" s="685"/>
      <c r="AG184" s="685"/>
      <c r="AH184" s="685"/>
      <c r="AI184" s="685"/>
      <c r="AJ184" s="685"/>
      <c r="AK184" s="685"/>
      <c r="AL184" s="685"/>
      <c r="AM184" s="685"/>
      <c r="AN184" s="685"/>
      <c r="AO184" s="685"/>
      <c r="AP184" s="675"/>
    </row>
    <row r="185" spans="1:42" ht="14.25" customHeight="1" x14ac:dyDescent="0.3">
      <c r="A185" s="1215"/>
      <c r="B185" s="644"/>
      <c r="C185" s="678"/>
      <c r="D185" s="676" t="s">
        <v>861</v>
      </c>
      <c r="E185" s="676"/>
      <c r="F185" s="676"/>
      <c r="G185" s="676"/>
      <c r="H185" s="676"/>
      <c r="I185" s="676"/>
      <c r="J185" s="685">
        <v>50.108261503683956</v>
      </c>
      <c r="K185" s="685"/>
      <c r="L185" s="685"/>
      <c r="M185" s="685"/>
      <c r="N185" s="685"/>
      <c r="O185" s="685"/>
      <c r="P185" s="685"/>
      <c r="Q185" s="685"/>
      <c r="R185" s="685"/>
      <c r="S185" s="685"/>
      <c r="T185" s="685"/>
      <c r="U185" s="685"/>
      <c r="V185" s="685"/>
      <c r="W185" s="685"/>
      <c r="X185" s="685"/>
      <c r="Y185" s="685"/>
      <c r="Z185" s="685"/>
      <c r="AA185" s="685"/>
      <c r="AB185" s="685"/>
      <c r="AC185" s="685"/>
      <c r="AD185" s="685"/>
      <c r="AE185" s="685"/>
      <c r="AF185" s="685"/>
      <c r="AG185" s="685"/>
      <c r="AH185" s="685"/>
      <c r="AI185" s="685"/>
      <c r="AJ185" s="685"/>
      <c r="AK185" s="685"/>
      <c r="AL185" s="685"/>
      <c r="AM185" s="685"/>
      <c r="AN185" s="685"/>
      <c r="AO185" s="685"/>
      <c r="AP185" s="675"/>
    </row>
    <row r="186" spans="1:42" ht="13.5" customHeight="1" x14ac:dyDescent="0.3">
      <c r="A186" s="1215"/>
      <c r="B186" s="644"/>
      <c r="C186" s="678"/>
      <c r="D186" s="676" t="s">
        <v>862</v>
      </c>
      <c r="E186" s="676"/>
      <c r="F186" s="676"/>
      <c r="G186" s="676"/>
      <c r="H186" s="676"/>
      <c r="I186" s="676"/>
      <c r="J186" s="685">
        <v>4.0499088052160834</v>
      </c>
      <c r="K186" s="685"/>
      <c r="L186" s="685"/>
      <c r="M186" s="685"/>
      <c r="N186" s="685"/>
      <c r="O186" s="685"/>
      <c r="P186" s="685"/>
      <c r="Q186" s="685"/>
      <c r="R186" s="685"/>
      <c r="S186" s="685"/>
      <c r="T186" s="685"/>
      <c r="U186" s="685"/>
      <c r="V186" s="685"/>
      <c r="W186" s="685"/>
      <c r="X186" s="685"/>
      <c r="Y186" s="685"/>
      <c r="Z186" s="685"/>
      <c r="AA186" s="685"/>
      <c r="AB186" s="685"/>
      <c r="AC186" s="685"/>
      <c r="AD186" s="685"/>
      <c r="AE186" s="685"/>
      <c r="AF186" s="685"/>
      <c r="AG186" s="685"/>
      <c r="AH186" s="685"/>
      <c r="AI186" s="685"/>
      <c r="AJ186" s="685"/>
      <c r="AK186" s="685"/>
      <c r="AL186" s="685"/>
      <c r="AM186" s="685"/>
      <c r="AN186" s="685"/>
      <c r="AO186" s="685"/>
      <c r="AP186" s="675"/>
    </row>
    <row r="187" spans="1:42" ht="13.5" customHeight="1" x14ac:dyDescent="0.3">
      <c r="A187" s="1215"/>
      <c r="B187" s="644"/>
      <c r="C187" s="678"/>
      <c r="D187" s="676" t="s">
        <v>863</v>
      </c>
      <c r="E187" s="676"/>
      <c r="F187" s="676"/>
      <c r="G187" s="676"/>
      <c r="H187" s="676"/>
      <c r="I187" s="676"/>
      <c r="J187" s="685">
        <v>1.4729324025703214</v>
      </c>
      <c r="K187" s="685"/>
      <c r="L187" s="685"/>
      <c r="M187" s="685"/>
      <c r="N187" s="685"/>
      <c r="O187" s="685"/>
      <c r="P187" s="685"/>
      <c r="Q187" s="685"/>
      <c r="R187" s="685"/>
      <c r="S187" s="685"/>
      <c r="T187" s="685"/>
      <c r="U187" s="685"/>
      <c r="V187" s="685"/>
      <c r="W187" s="685"/>
      <c r="X187" s="685"/>
      <c r="Y187" s="685"/>
      <c r="Z187" s="685"/>
      <c r="AA187" s="685"/>
      <c r="AB187" s="685"/>
      <c r="AC187" s="685"/>
      <c r="AD187" s="685"/>
      <c r="AE187" s="685"/>
      <c r="AF187" s="685"/>
      <c r="AG187" s="685"/>
      <c r="AH187" s="685"/>
      <c r="AI187" s="685"/>
      <c r="AJ187" s="685"/>
      <c r="AK187" s="685"/>
      <c r="AL187" s="685"/>
      <c r="AM187" s="685"/>
      <c r="AN187" s="685"/>
      <c r="AO187" s="685"/>
      <c r="AP187" s="675"/>
    </row>
    <row r="188" spans="1:42" ht="13.5" hidden="1" customHeight="1" x14ac:dyDescent="0.3">
      <c r="A188" s="972"/>
      <c r="B188" s="644"/>
      <c r="C188" s="678"/>
      <c r="D188" s="676"/>
      <c r="E188" s="676"/>
      <c r="F188" s="676"/>
      <c r="G188" s="676"/>
      <c r="H188" s="676"/>
      <c r="I188" s="676"/>
      <c r="J188" s="685"/>
      <c r="K188" s="685"/>
      <c r="L188" s="685"/>
      <c r="M188" s="685"/>
      <c r="N188" s="685"/>
      <c r="O188" s="685"/>
      <c r="P188" s="685"/>
      <c r="Q188" s="685"/>
      <c r="R188" s="685"/>
      <c r="S188" s="685"/>
      <c r="T188" s="685"/>
      <c r="U188" s="685"/>
      <c r="V188" s="685"/>
      <c r="W188" s="685"/>
      <c r="X188" s="685"/>
      <c r="Y188" s="685"/>
      <c r="Z188" s="685"/>
      <c r="AA188" s="685"/>
      <c r="AB188" s="685"/>
      <c r="AC188" s="685"/>
      <c r="AD188" s="685"/>
      <c r="AE188" s="685"/>
      <c r="AF188" s="685"/>
      <c r="AG188" s="685"/>
      <c r="AH188" s="685"/>
      <c r="AI188" s="685"/>
      <c r="AJ188" s="685"/>
      <c r="AK188" s="685"/>
      <c r="AL188" s="685"/>
      <c r="AM188" s="685"/>
      <c r="AN188" s="685"/>
      <c r="AO188" s="685"/>
      <c r="AP188" s="675"/>
    </row>
    <row r="189" spans="1:42" ht="14.25" hidden="1" customHeight="1" x14ac:dyDescent="0.3">
      <c r="A189" s="1215" t="s">
        <v>876</v>
      </c>
      <c r="B189" s="644"/>
      <c r="C189" s="679"/>
      <c r="D189" s="672" t="s">
        <v>877</v>
      </c>
      <c r="E189" s="672"/>
      <c r="F189" s="672"/>
      <c r="G189" s="676"/>
      <c r="H189" s="676"/>
      <c r="I189" s="676"/>
      <c r="J189" s="685"/>
      <c r="K189" s="685"/>
      <c r="L189" s="685"/>
      <c r="M189" s="685"/>
      <c r="N189" s="685"/>
      <c r="O189" s="685"/>
      <c r="P189" s="685"/>
      <c r="Q189" s="685"/>
      <c r="R189" s="685"/>
      <c r="S189" s="685"/>
      <c r="T189" s="685"/>
      <c r="U189" s="685"/>
      <c r="V189" s="685"/>
      <c r="W189" s="685"/>
      <c r="X189" s="685"/>
      <c r="Y189" s="685"/>
      <c r="Z189" s="685"/>
      <c r="AA189" s="685"/>
      <c r="AB189" s="685"/>
      <c r="AC189" s="685"/>
      <c r="AD189" s="685"/>
      <c r="AE189" s="685"/>
      <c r="AF189" s="685"/>
      <c r="AG189" s="685"/>
      <c r="AH189" s="685"/>
      <c r="AI189" s="685"/>
      <c r="AJ189" s="685"/>
      <c r="AK189" s="685"/>
      <c r="AL189" s="685"/>
      <c r="AM189" s="685"/>
      <c r="AN189" s="685"/>
      <c r="AO189" s="685"/>
      <c r="AP189" s="675"/>
    </row>
    <row r="190" spans="1:42" ht="14" hidden="1" customHeight="1" x14ac:dyDescent="0.3">
      <c r="A190" s="1215"/>
      <c r="B190" s="644"/>
      <c r="C190" s="679"/>
      <c r="D190" s="676" t="s">
        <v>878</v>
      </c>
      <c r="E190" s="672"/>
      <c r="F190" s="672"/>
      <c r="G190" s="676"/>
      <c r="H190" s="676"/>
      <c r="I190" s="676"/>
      <c r="J190" s="685">
        <f>0.93*(J137+J27+J9)</f>
        <v>255.7913935765645</v>
      </c>
      <c r="K190" s="685">
        <v>691.92000000000007</v>
      </c>
      <c r="L190" s="685">
        <v>691.92000000000007</v>
      </c>
      <c r="M190" s="685">
        <v>691.92000000000007</v>
      </c>
      <c r="N190" s="685">
        <v>691.92000000000007</v>
      </c>
      <c r="O190" s="685">
        <v>691.92000000000007</v>
      </c>
      <c r="P190" s="685">
        <v>691.92000000000007</v>
      </c>
      <c r="Q190" s="685">
        <v>691.92000000000007</v>
      </c>
      <c r="R190" s="685">
        <v>691.92000000000007</v>
      </c>
      <c r="S190" s="685">
        <v>691.92000000000007</v>
      </c>
      <c r="T190" s="685">
        <v>691.92000000000007</v>
      </c>
      <c r="U190" s="685">
        <v>691.92000000000007</v>
      </c>
      <c r="V190" s="685">
        <v>691.92000000000007</v>
      </c>
      <c r="W190" s="685">
        <v>691.92000000000007</v>
      </c>
      <c r="X190" s="685">
        <v>691.92000000000007</v>
      </c>
      <c r="Y190" s="685">
        <v>691.92000000000007</v>
      </c>
      <c r="Z190" s="685">
        <v>691.92000000000007</v>
      </c>
      <c r="AA190" s="685">
        <v>691.92000000000007</v>
      </c>
      <c r="AB190" s="685">
        <v>691.92000000000007</v>
      </c>
      <c r="AC190" s="685">
        <v>691.92000000000007</v>
      </c>
      <c r="AD190" s="685">
        <v>691.92000000000007</v>
      </c>
      <c r="AE190" s="685">
        <v>691.92000000000007</v>
      </c>
      <c r="AF190" s="685">
        <v>691.92000000000007</v>
      </c>
      <c r="AG190" s="685">
        <v>691.92000000000007</v>
      </c>
      <c r="AH190" s="685">
        <v>691.92000000000007</v>
      </c>
      <c r="AI190" s="685">
        <v>691.92000000000007</v>
      </c>
      <c r="AJ190" s="685">
        <v>691.92000000000007</v>
      </c>
      <c r="AK190" s="685">
        <v>691.92000000000007</v>
      </c>
      <c r="AL190" s="685">
        <v>691.92000000000007</v>
      </c>
      <c r="AM190" s="685">
        <v>691.92000000000007</v>
      </c>
      <c r="AN190" s="685">
        <v>691.92000000000007</v>
      </c>
      <c r="AO190" s="685">
        <v>691.92000000000007</v>
      </c>
      <c r="AP190" s="675"/>
    </row>
    <row r="191" spans="1:42" ht="14.25" hidden="1" customHeight="1" thickBot="1" x14ac:dyDescent="0.35">
      <c r="A191" s="973"/>
      <c r="B191" s="644"/>
      <c r="C191" s="679"/>
      <c r="D191" s="672"/>
      <c r="E191" s="672"/>
      <c r="F191" s="672"/>
      <c r="G191" s="676"/>
      <c r="H191" s="676"/>
      <c r="I191" s="676"/>
      <c r="J191" s="676"/>
      <c r="K191" s="676"/>
      <c r="L191" s="676"/>
      <c r="M191" s="676"/>
      <c r="N191" s="676"/>
      <c r="O191" s="676"/>
      <c r="P191" s="676"/>
      <c r="Q191" s="676"/>
      <c r="R191" s="676"/>
      <c r="S191" s="676"/>
      <c r="T191" s="676"/>
      <c r="U191" s="676"/>
      <c r="V191" s="676"/>
      <c r="W191" s="676"/>
      <c r="X191" s="676"/>
      <c r="Y191" s="676"/>
      <c r="Z191" s="676"/>
      <c r="AA191" s="676"/>
      <c r="AB191" s="676"/>
      <c r="AC191" s="676"/>
      <c r="AD191" s="676"/>
      <c r="AE191" s="676"/>
      <c r="AF191" s="676"/>
      <c r="AG191" s="676"/>
      <c r="AH191" s="676"/>
      <c r="AI191" s="676"/>
      <c r="AJ191" s="676"/>
      <c r="AK191" s="676"/>
      <c r="AL191" s="676"/>
      <c r="AM191" s="676"/>
      <c r="AN191" s="676"/>
      <c r="AO191" s="676"/>
      <c r="AP191" s="675"/>
    </row>
    <row r="192" spans="1:42" ht="14.25" hidden="1" customHeight="1" x14ac:dyDescent="0.3">
      <c r="A192" s="973"/>
      <c r="B192" s="644"/>
      <c r="C192" s="691"/>
      <c r="D192" s="690"/>
      <c r="E192" s="690"/>
      <c r="F192" s="690"/>
      <c r="G192" s="690"/>
      <c r="H192" s="690"/>
      <c r="I192" s="690"/>
      <c r="J192" s="690"/>
      <c r="K192" s="690"/>
      <c r="L192" s="690"/>
      <c r="M192" s="690"/>
      <c r="N192" s="690"/>
      <c r="O192" s="690"/>
      <c r="P192" s="690"/>
      <c r="Q192" s="690"/>
      <c r="R192" s="690"/>
      <c r="S192" s="690"/>
      <c r="T192" s="690"/>
      <c r="U192" s="690"/>
      <c r="V192" s="690"/>
      <c r="W192" s="690"/>
      <c r="X192" s="690"/>
      <c r="Y192" s="690"/>
      <c r="Z192" s="690"/>
      <c r="AA192" s="690"/>
      <c r="AB192" s="690"/>
      <c r="AC192" s="690"/>
      <c r="AD192" s="690"/>
      <c r="AE192" s="690"/>
      <c r="AF192" s="690"/>
      <c r="AG192" s="690"/>
      <c r="AH192" s="690"/>
      <c r="AI192" s="690"/>
      <c r="AJ192" s="690"/>
      <c r="AK192" s="690"/>
      <c r="AL192" s="690"/>
      <c r="AM192" s="690"/>
      <c r="AN192" s="690"/>
      <c r="AO192" s="690"/>
      <c r="AP192" s="689"/>
    </row>
    <row r="193" spans="1:42" ht="14.25" hidden="1" customHeight="1" x14ac:dyDescent="0.3">
      <c r="A193" s="973"/>
      <c r="B193" s="644"/>
      <c r="C193" s="679"/>
      <c r="D193" s="681" t="s">
        <v>879</v>
      </c>
      <c r="E193" s="672"/>
      <c r="F193" s="672"/>
      <c r="G193" s="676"/>
      <c r="H193" s="676"/>
      <c r="I193" s="676"/>
      <c r="J193" s="676"/>
      <c r="K193" s="676"/>
      <c r="L193" s="676"/>
      <c r="M193" s="676"/>
      <c r="N193" s="676"/>
      <c r="O193" s="676"/>
      <c r="P193" s="676"/>
      <c r="Q193" s="676"/>
      <c r="R193" s="676"/>
      <c r="S193" s="676"/>
      <c r="T193" s="676"/>
      <c r="U193" s="676"/>
      <c r="V193" s="676"/>
      <c r="W193" s="676"/>
      <c r="X193" s="676"/>
      <c r="Y193" s="676"/>
      <c r="Z193" s="676"/>
      <c r="AA193" s="676"/>
      <c r="AB193" s="676"/>
      <c r="AC193" s="676"/>
      <c r="AD193" s="676"/>
      <c r="AE193" s="676"/>
      <c r="AF193" s="676"/>
      <c r="AG193" s="676"/>
      <c r="AH193" s="676"/>
      <c r="AI193" s="676"/>
      <c r="AJ193" s="676"/>
      <c r="AK193" s="676"/>
      <c r="AL193" s="676"/>
      <c r="AM193" s="676"/>
      <c r="AN193" s="676"/>
      <c r="AO193" s="676"/>
      <c r="AP193" s="675"/>
    </row>
    <row r="194" spans="1:42" ht="14.25" hidden="1" customHeight="1" x14ac:dyDescent="0.3">
      <c r="A194" s="973"/>
      <c r="B194" s="644"/>
      <c r="C194" s="679"/>
      <c r="D194" s="672"/>
      <c r="E194" s="672"/>
      <c r="F194" s="672"/>
      <c r="G194" s="676"/>
      <c r="H194" s="676"/>
      <c r="I194" s="676"/>
      <c r="J194" s="676"/>
      <c r="K194" s="676"/>
      <c r="L194" s="676"/>
      <c r="M194" s="676"/>
      <c r="N194" s="676"/>
      <c r="O194" s="676"/>
      <c r="P194" s="676"/>
      <c r="Q194" s="676"/>
      <c r="R194" s="676"/>
      <c r="S194" s="676"/>
      <c r="T194" s="676"/>
      <c r="U194" s="676"/>
      <c r="V194" s="676"/>
      <c r="W194" s="676"/>
      <c r="X194" s="676"/>
      <c r="Y194" s="676"/>
      <c r="Z194" s="676"/>
      <c r="AA194" s="676"/>
      <c r="AB194" s="676"/>
      <c r="AC194" s="676"/>
      <c r="AD194" s="676"/>
      <c r="AE194" s="676"/>
      <c r="AF194" s="676"/>
      <c r="AG194" s="676"/>
      <c r="AH194" s="676"/>
      <c r="AI194" s="676"/>
      <c r="AJ194" s="676"/>
      <c r="AK194" s="676"/>
      <c r="AL194" s="676"/>
      <c r="AM194" s="676"/>
      <c r="AN194" s="676"/>
      <c r="AO194" s="676"/>
      <c r="AP194" s="675"/>
    </row>
    <row r="195" spans="1:42" ht="14" hidden="1" customHeight="1" x14ac:dyDescent="0.3">
      <c r="A195" s="1215" t="s">
        <v>880</v>
      </c>
      <c r="B195" s="644"/>
      <c r="C195" s="679"/>
      <c r="D195" s="676" t="s">
        <v>881</v>
      </c>
      <c r="E195" s="697" t="s">
        <v>882</v>
      </c>
      <c r="F195" s="676"/>
      <c r="G195" s="676"/>
      <c r="H195" s="676"/>
      <c r="I195" s="676"/>
      <c r="J195" s="685"/>
      <c r="K195" s="676"/>
      <c r="L195" s="676"/>
      <c r="M195" s="676"/>
      <c r="N195" s="676"/>
      <c r="O195" s="676"/>
      <c r="P195" s="676"/>
      <c r="Q195" s="676"/>
      <c r="R195" s="676"/>
      <c r="S195" s="676"/>
      <c r="T195" s="676"/>
      <c r="U195" s="676"/>
      <c r="V195" s="676"/>
      <c r="W195" s="676"/>
      <c r="X195" s="676"/>
      <c r="Y195" s="676"/>
      <c r="Z195" s="676"/>
      <c r="AA195" s="676"/>
      <c r="AB195" s="676"/>
      <c r="AC195" s="676"/>
      <c r="AD195" s="676"/>
      <c r="AE195" s="676"/>
      <c r="AF195" s="676"/>
      <c r="AG195" s="676"/>
      <c r="AH195" s="676"/>
      <c r="AI195" s="676"/>
      <c r="AJ195" s="676"/>
      <c r="AK195" s="676"/>
      <c r="AL195" s="676"/>
      <c r="AM195" s="676"/>
      <c r="AN195" s="676"/>
      <c r="AO195" s="676"/>
      <c r="AP195" s="675"/>
    </row>
    <row r="196" spans="1:42" ht="14.25" hidden="1" customHeight="1" x14ac:dyDescent="0.3">
      <c r="A196" s="1215"/>
      <c r="B196" s="644"/>
      <c r="C196" s="678"/>
      <c r="D196" s="676" t="s">
        <v>883</v>
      </c>
      <c r="E196" s="697" t="s">
        <v>884</v>
      </c>
      <c r="F196" s="676" t="s">
        <v>885</v>
      </c>
      <c r="G196" s="676"/>
      <c r="H196" s="676"/>
      <c r="I196" s="676"/>
      <c r="J196" s="685"/>
      <c r="K196" s="676"/>
      <c r="L196" s="676"/>
      <c r="M196" s="676"/>
      <c r="N196" s="676"/>
      <c r="O196" s="676"/>
      <c r="P196" s="676"/>
      <c r="Q196" s="676"/>
      <c r="R196" s="676"/>
      <c r="S196" s="676"/>
      <c r="T196" s="676"/>
      <c r="U196" s="676"/>
      <c r="V196" s="676"/>
      <c r="W196" s="676"/>
      <c r="X196" s="676"/>
      <c r="Y196" s="676"/>
      <c r="Z196" s="676"/>
      <c r="AA196" s="676"/>
      <c r="AB196" s="676"/>
      <c r="AC196" s="676"/>
      <c r="AD196" s="676"/>
      <c r="AE196" s="676"/>
      <c r="AF196" s="676"/>
      <c r="AG196" s="676"/>
      <c r="AH196" s="676"/>
      <c r="AI196" s="676"/>
      <c r="AJ196" s="676"/>
      <c r="AK196" s="676"/>
      <c r="AL196" s="676"/>
      <c r="AM196" s="676"/>
      <c r="AN196" s="676"/>
      <c r="AO196" s="676"/>
      <c r="AP196" s="675"/>
    </row>
    <row r="197" spans="1:42" ht="14.25" hidden="1" customHeight="1" x14ac:dyDescent="0.3">
      <c r="A197" s="1215"/>
      <c r="B197" s="644"/>
      <c r="C197" s="678"/>
      <c r="D197" s="676" t="s">
        <v>886</v>
      </c>
      <c r="E197" s="697" t="s">
        <v>887</v>
      </c>
      <c r="F197" s="676" t="s">
        <v>885</v>
      </c>
      <c r="G197" s="676"/>
      <c r="H197" s="687"/>
      <c r="I197" s="687"/>
      <c r="J197" s="685"/>
      <c r="K197" s="687"/>
      <c r="L197" s="687"/>
      <c r="M197" s="676"/>
      <c r="N197" s="676"/>
      <c r="O197" s="676"/>
      <c r="P197" s="676"/>
      <c r="Q197" s="676"/>
      <c r="R197" s="676"/>
      <c r="S197" s="676"/>
      <c r="T197" s="676"/>
      <c r="U197" s="676"/>
      <c r="V197" s="676"/>
      <c r="W197" s="676"/>
      <c r="X197" s="676"/>
      <c r="Y197" s="676"/>
      <c r="Z197" s="676"/>
      <c r="AA197" s="676"/>
      <c r="AB197" s="676"/>
      <c r="AC197" s="676"/>
      <c r="AD197" s="676"/>
      <c r="AE197" s="676"/>
      <c r="AF197" s="676"/>
      <c r="AG197" s="676"/>
      <c r="AH197" s="676"/>
      <c r="AI197" s="676"/>
      <c r="AJ197" s="676"/>
      <c r="AK197" s="676"/>
      <c r="AL197" s="676"/>
      <c r="AM197" s="676"/>
      <c r="AN197" s="676"/>
      <c r="AO197" s="676"/>
      <c r="AP197" s="675"/>
    </row>
    <row r="198" spans="1:42" ht="14.25" hidden="1" customHeight="1" x14ac:dyDescent="0.3">
      <c r="A198" s="1215"/>
      <c r="B198" s="644"/>
      <c r="C198" s="678"/>
      <c r="D198" s="676" t="s">
        <v>888</v>
      </c>
      <c r="E198" s="697" t="s">
        <v>889</v>
      </c>
      <c r="F198" s="676" t="s">
        <v>885</v>
      </c>
      <c r="G198" s="676"/>
      <c r="H198" s="687"/>
      <c r="I198" s="687"/>
      <c r="J198" s="685"/>
      <c r="K198" s="687"/>
      <c r="L198" s="676"/>
      <c r="M198" s="676"/>
      <c r="N198" s="676"/>
      <c r="O198" s="676"/>
      <c r="P198" s="676"/>
      <c r="Q198" s="676"/>
      <c r="R198" s="676"/>
      <c r="S198" s="676"/>
      <c r="T198" s="676"/>
      <c r="U198" s="676"/>
      <c r="V198" s="676"/>
      <c r="W198" s="676"/>
      <c r="X198" s="676"/>
      <c r="Y198" s="676"/>
      <c r="Z198" s="676"/>
      <c r="AA198" s="676"/>
      <c r="AB198" s="676"/>
      <c r="AC198" s="676"/>
      <c r="AD198" s="676"/>
      <c r="AE198" s="676"/>
      <c r="AF198" s="676"/>
      <c r="AG198" s="676"/>
      <c r="AH198" s="676"/>
      <c r="AI198" s="676"/>
      <c r="AJ198" s="676"/>
      <c r="AK198" s="676"/>
      <c r="AL198" s="676"/>
      <c r="AM198" s="676"/>
      <c r="AN198" s="676"/>
      <c r="AO198" s="676"/>
      <c r="AP198" s="675"/>
    </row>
    <row r="199" spans="1:42" ht="14.25" hidden="1" customHeight="1" x14ac:dyDescent="0.3">
      <c r="A199" s="1215"/>
      <c r="B199" s="644"/>
      <c r="C199" s="678"/>
      <c r="D199" s="676" t="s">
        <v>890</v>
      </c>
      <c r="E199" s="697" t="s">
        <v>891</v>
      </c>
      <c r="F199" s="687"/>
      <c r="G199" s="687"/>
      <c r="H199" s="687"/>
      <c r="I199" s="687"/>
      <c r="J199" s="685"/>
      <c r="K199" s="687"/>
      <c r="L199" s="676"/>
      <c r="M199" s="676"/>
      <c r="N199" s="676"/>
      <c r="O199" s="676"/>
      <c r="P199" s="676"/>
      <c r="Q199" s="676"/>
      <c r="R199" s="676"/>
      <c r="S199" s="676"/>
      <c r="T199" s="676"/>
      <c r="U199" s="676"/>
      <c r="V199" s="676"/>
      <c r="W199" s="676"/>
      <c r="X199" s="676"/>
      <c r="Y199" s="676"/>
      <c r="Z199" s="676"/>
      <c r="AA199" s="676"/>
      <c r="AB199" s="676"/>
      <c r="AC199" s="676"/>
      <c r="AD199" s="676"/>
      <c r="AE199" s="676"/>
      <c r="AF199" s="676"/>
      <c r="AG199" s="676"/>
      <c r="AH199" s="676"/>
      <c r="AI199" s="676"/>
      <c r="AJ199" s="676"/>
      <c r="AK199" s="676"/>
      <c r="AL199" s="676"/>
      <c r="AM199" s="676"/>
      <c r="AN199" s="676"/>
      <c r="AO199" s="676"/>
      <c r="AP199" s="675"/>
    </row>
    <row r="200" spans="1:42" ht="14.25" hidden="1" customHeight="1" x14ac:dyDescent="0.3">
      <c r="A200" s="1215"/>
      <c r="B200" s="644"/>
      <c r="C200" s="678"/>
      <c r="D200" s="676" t="s">
        <v>892</v>
      </c>
      <c r="E200" s="697" t="s">
        <v>893</v>
      </c>
      <c r="F200" s="687"/>
      <c r="G200" s="687"/>
      <c r="H200" s="687"/>
      <c r="I200" s="687"/>
      <c r="J200" s="685"/>
      <c r="K200" s="687"/>
      <c r="L200" s="676"/>
      <c r="M200" s="676"/>
      <c r="N200" s="676"/>
      <c r="O200" s="676"/>
      <c r="P200" s="676"/>
      <c r="Q200" s="676"/>
      <c r="R200" s="676"/>
      <c r="S200" s="676"/>
      <c r="T200" s="676"/>
      <c r="U200" s="676"/>
      <c r="V200" s="676"/>
      <c r="W200" s="676"/>
      <c r="X200" s="676"/>
      <c r="Y200" s="676"/>
      <c r="Z200" s="676"/>
      <c r="AA200" s="676"/>
      <c r="AB200" s="676"/>
      <c r="AC200" s="676"/>
      <c r="AD200" s="676"/>
      <c r="AE200" s="676"/>
      <c r="AF200" s="676"/>
      <c r="AG200" s="676"/>
      <c r="AH200" s="676"/>
      <c r="AI200" s="676"/>
      <c r="AJ200" s="676"/>
      <c r="AK200" s="676"/>
      <c r="AL200" s="676"/>
      <c r="AM200" s="676"/>
      <c r="AN200" s="676"/>
      <c r="AO200" s="676"/>
      <c r="AP200" s="675"/>
    </row>
    <row r="201" spans="1:42" ht="14.25" hidden="1" customHeight="1" x14ac:dyDescent="0.3">
      <c r="A201" s="1215"/>
      <c r="B201" s="644"/>
      <c r="C201" s="678"/>
      <c r="D201" s="676" t="s">
        <v>894</v>
      </c>
      <c r="E201" s="685" t="s">
        <v>895</v>
      </c>
      <c r="F201" s="676" t="s">
        <v>885</v>
      </c>
      <c r="G201" s="676"/>
      <c r="H201" s="676"/>
      <c r="I201" s="676"/>
      <c r="J201" s="685"/>
      <c r="K201" s="676"/>
      <c r="L201" s="676"/>
      <c r="M201" s="676"/>
      <c r="N201" s="676"/>
      <c r="O201" s="676"/>
      <c r="P201" s="676"/>
      <c r="Q201" s="676"/>
      <c r="R201" s="676"/>
      <c r="S201" s="676"/>
      <c r="T201" s="676"/>
      <c r="U201" s="676"/>
      <c r="V201" s="676"/>
      <c r="W201" s="676"/>
      <c r="X201" s="676"/>
      <c r="Y201" s="676"/>
      <c r="Z201" s="676"/>
      <c r="AA201" s="676"/>
      <c r="AB201" s="676"/>
      <c r="AC201" s="676"/>
      <c r="AD201" s="676"/>
      <c r="AE201" s="676"/>
      <c r="AF201" s="676"/>
      <c r="AG201" s="676"/>
      <c r="AH201" s="676"/>
      <c r="AI201" s="676"/>
      <c r="AJ201" s="676"/>
      <c r="AK201" s="676"/>
      <c r="AL201" s="676"/>
      <c r="AM201" s="676"/>
      <c r="AN201" s="676"/>
      <c r="AO201" s="676"/>
      <c r="AP201" s="675"/>
    </row>
    <row r="202" spans="1:42" ht="14.25" hidden="1" customHeight="1" x14ac:dyDescent="0.3">
      <c r="A202" s="1215"/>
      <c r="B202" s="644"/>
      <c r="C202" s="678"/>
      <c r="D202" s="676" t="s">
        <v>896</v>
      </c>
      <c r="E202" s="697" t="s">
        <v>897</v>
      </c>
      <c r="F202" s="687"/>
      <c r="G202" s="687"/>
      <c r="H202" s="687"/>
      <c r="I202" s="687"/>
      <c r="J202" s="685"/>
      <c r="K202" s="687"/>
      <c r="L202" s="676"/>
      <c r="M202" s="676"/>
      <c r="N202" s="676"/>
      <c r="O202" s="676"/>
      <c r="P202" s="676"/>
      <c r="Q202" s="676"/>
      <c r="R202" s="676"/>
      <c r="S202" s="676"/>
      <c r="T202" s="676"/>
      <c r="U202" s="676"/>
      <c r="V202" s="676"/>
      <c r="W202" s="676"/>
      <c r="X202" s="676"/>
      <c r="Y202" s="676"/>
      <c r="Z202" s="676"/>
      <c r="AA202" s="676"/>
      <c r="AB202" s="676"/>
      <c r="AC202" s="676"/>
      <c r="AD202" s="676"/>
      <c r="AE202" s="676"/>
      <c r="AF202" s="676"/>
      <c r="AG202" s="676"/>
      <c r="AH202" s="676"/>
      <c r="AI202" s="676"/>
      <c r="AJ202" s="676"/>
      <c r="AK202" s="676"/>
      <c r="AL202" s="676"/>
      <c r="AM202" s="676"/>
      <c r="AN202" s="676"/>
      <c r="AO202" s="676"/>
      <c r="AP202" s="675"/>
    </row>
    <row r="203" spans="1:42" ht="14.25" hidden="1" customHeight="1" x14ac:dyDescent="0.3">
      <c r="A203" s="1215"/>
      <c r="B203" s="644"/>
      <c r="C203" s="678"/>
      <c r="D203" s="676" t="s">
        <v>898</v>
      </c>
      <c r="E203" s="697" t="s">
        <v>899</v>
      </c>
      <c r="F203" s="687"/>
      <c r="G203" s="687"/>
      <c r="H203" s="687"/>
      <c r="I203" s="687"/>
      <c r="J203" s="685"/>
      <c r="K203" s="687"/>
      <c r="L203" s="676"/>
      <c r="M203" s="676"/>
      <c r="N203" s="676"/>
      <c r="O203" s="676"/>
      <c r="P203" s="676"/>
      <c r="Q203" s="676"/>
      <c r="R203" s="676"/>
      <c r="S203" s="676"/>
      <c r="T203" s="676"/>
      <c r="U203" s="676"/>
      <c r="V203" s="676"/>
      <c r="W203" s="676"/>
      <c r="X203" s="676"/>
      <c r="Y203" s="676"/>
      <c r="Z203" s="676"/>
      <c r="AA203" s="676"/>
      <c r="AB203" s="676"/>
      <c r="AC203" s="676"/>
      <c r="AD203" s="676"/>
      <c r="AE203" s="676"/>
      <c r="AF203" s="676"/>
      <c r="AG203" s="676"/>
      <c r="AH203" s="676"/>
      <c r="AI203" s="676"/>
      <c r="AJ203" s="676"/>
      <c r="AK203" s="676"/>
      <c r="AL203" s="676"/>
      <c r="AM203" s="676"/>
      <c r="AN203" s="676"/>
      <c r="AO203" s="676"/>
      <c r="AP203" s="675"/>
    </row>
    <row r="204" spans="1:42" ht="14.25" hidden="1" customHeight="1" x14ac:dyDescent="0.3">
      <c r="A204" s="1215"/>
      <c r="B204" s="644"/>
      <c r="C204" s="678"/>
      <c r="D204" s="676" t="s">
        <v>900</v>
      </c>
      <c r="E204" s="697" t="s">
        <v>901</v>
      </c>
      <c r="F204" s="676"/>
      <c r="G204" s="676"/>
      <c r="H204" s="676"/>
      <c r="I204" s="676"/>
      <c r="J204" s="685"/>
      <c r="K204" s="676"/>
      <c r="L204" s="676"/>
      <c r="M204" s="676"/>
      <c r="N204" s="676"/>
      <c r="O204" s="676"/>
      <c r="P204" s="676"/>
      <c r="Q204" s="676"/>
      <c r="R204" s="676"/>
      <c r="S204" s="676"/>
      <c r="T204" s="676"/>
      <c r="U204" s="676"/>
      <c r="V204" s="676"/>
      <c r="W204" s="676"/>
      <c r="X204" s="676"/>
      <c r="Y204" s="676"/>
      <c r="Z204" s="676"/>
      <c r="AA204" s="676"/>
      <c r="AB204" s="676"/>
      <c r="AC204" s="676"/>
      <c r="AD204" s="676"/>
      <c r="AE204" s="676"/>
      <c r="AF204" s="676"/>
      <c r="AG204" s="676"/>
      <c r="AH204" s="676"/>
      <c r="AI204" s="676"/>
      <c r="AJ204" s="676"/>
      <c r="AK204" s="676"/>
      <c r="AL204" s="676"/>
      <c r="AM204" s="676"/>
      <c r="AN204" s="676"/>
      <c r="AO204" s="676"/>
      <c r="AP204" s="675"/>
    </row>
    <row r="205" spans="1:42" ht="14.25" hidden="1" customHeight="1" x14ac:dyDescent="0.3">
      <c r="A205" s="1215"/>
      <c r="B205" s="644"/>
      <c r="C205" s="678"/>
      <c r="D205" s="676" t="s">
        <v>902</v>
      </c>
      <c r="E205" s="697" t="s">
        <v>903</v>
      </c>
      <c r="F205" s="687"/>
      <c r="G205" s="687"/>
      <c r="H205" s="687"/>
      <c r="I205" s="687"/>
      <c r="J205" s="685"/>
      <c r="K205" s="687"/>
      <c r="L205" s="676"/>
      <c r="M205" s="676"/>
      <c r="N205" s="676"/>
      <c r="O205" s="676"/>
      <c r="P205" s="676"/>
      <c r="Q205" s="676"/>
      <c r="R205" s="676"/>
      <c r="S205" s="676"/>
      <c r="T205" s="676"/>
      <c r="U205" s="676"/>
      <c r="V205" s="676"/>
      <c r="W205" s="676"/>
      <c r="X205" s="676"/>
      <c r="Y205" s="676"/>
      <c r="Z205" s="676"/>
      <c r="AA205" s="676"/>
      <c r="AB205" s="676"/>
      <c r="AC205" s="676"/>
      <c r="AD205" s="676"/>
      <c r="AE205" s="676"/>
      <c r="AF205" s="676"/>
      <c r="AG205" s="676"/>
      <c r="AH205" s="676"/>
      <c r="AI205" s="676"/>
      <c r="AJ205" s="676"/>
      <c r="AK205" s="676"/>
      <c r="AL205" s="676"/>
      <c r="AM205" s="676"/>
      <c r="AN205" s="676"/>
      <c r="AO205" s="676"/>
      <c r="AP205" s="675"/>
    </row>
    <row r="206" spans="1:42" ht="14.25" hidden="1" customHeight="1" x14ac:dyDescent="0.3">
      <c r="A206" s="1215"/>
      <c r="B206" s="644"/>
      <c r="C206" s="678"/>
      <c r="D206" s="676" t="s">
        <v>904</v>
      </c>
      <c r="E206" s="697" t="s">
        <v>905</v>
      </c>
      <c r="F206" s="676"/>
      <c r="G206" s="676"/>
      <c r="H206" s="676"/>
      <c r="I206" s="676"/>
      <c r="J206" s="685"/>
      <c r="K206" s="676"/>
      <c r="L206" s="676"/>
      <c r="M206" s="676"/>
      <c r="N206" s="676"/>
      <c r="O206" s="676"/>
      <c r="P206" s="676"/>
      <c r="Q206" s="676"/>
      <c r="R206" s="676"/>
      <c r="S206" s="676"/>
      <c r="T206" s="676"/>
      <c r="U206" s="676"/>
      <c r="V206" s="676"/>
      <c r="W206" s="676"/>
      <c r="X206" s="676"/>
      <c r="Y206" s="676"/>
      <c r="Z206" s="676"/>
      <c r="AA206" s="676"/>
      <c r="AB206" s="676"/>
      <c r="AC206" s="676"/>
      <c r="AD206" s="676"/>
      <c r="AE206" s="676"/>
      <c r="AF206" s="676"/>
      <c r="AG206" s="676"/>
      <c r="AH206" s="676"/>
      <c r="AI206" s="676"/>
      <c r="AJ206" s="676"/>
      <c r="AK206" s="676"/>
      <c r="AL206" s="676"/>
      <c r="AM206" s="676"/>
      <c r="AN206" s="676"/>
      <c r="AO206" s="676"/>
      <c r="AP206" s="675"/>
    </row>
    <row r="207" spans="1:42" ht="14.25" hidden="1" customHeight="1" x14ac:dyDescent="0.3">
      <c r="A207" s="1215"/>
      <c r="B207" s="644"/>
      <c r="C207" s="678"/>
      <c r="D207" s="676" t="s">
        <v>906</v>
      </c>
      <c r="E207" s="697" t="s">
        <v>907</v>
      </c>
      <c r="F207" s="676"/>
      <c r="G207" s="676"/>
      <c r="H207" s="676"/>
      <c r="I207" s="676"/>
      <c r="J207" s="685"/>
      <c r="K207" s="676"/>
      <c r="L207" s="676"/>
      <c r="M207" s="676"/>
      <c r="N207" s="676"/>
      <c r="O207" s="676"/>
      <c r="P207" s="676"/>
      <c r="Q207" s="676"/>
      <c r="R207" s="676"/>
      <c r="S207" s="676"/>
      <c r="T207" s="676"/>
      <c r="U207" s="676"/>
      <c r="V207" s="676"/>
      <c r="W207" s="676"/>
      <c r="X207" s="676"/>
      <c r="Y207" s="676"/>
      <c r="Z207" s="676"/>
      <c r="AA207" s="676"/>
      <c r="AB207" s="676"/>
      <c r="AC207" s="676"/>
      <c r="AD207" s="676"/>
      <c r="AE207" s="676"/>
      <c r="AF207" s="676"/>
      <c r="AG207" s="676"/>
      <c r="AH207" s="676"/>
      <c r="AI207" s="676"/>
      <c r="AJ207" s="676"/>
      <c r="AK207" s="676"/>
      <c r="AL207" s="676"/>
      <c r="AM207" s="676"/>
      <c r="AN207" s="676"/>
      <c r="AO207" s="676"/>
      <c r="AP207" s="675"/>
    </row>
    <row r="208" spans="1:42" ht="13.5" hidden="1" customHeight="1" x14ac:dyDescent="0.3">
      <c r="A208" s="1215"/>
      <c r="B208" s="644"/>
      <c r="C208" s="678"/>
      <c r="D208" s="676" t="s">
        <v>908</v>
      </c>
      <c r="E208" s="697" t="s">
        <v>909</v>
      </c>
      <c r="F208" s="676"/>
      <c r="G208" s="676"/>
      <c r="H208" s="676"/>
      <c r="I208" s="676"/>
      <c r="J208" s="685"/>
      <c r="K208" s="676"/>
      <c r="L208" s="676"/>
      <c r="M208" s="676"/>
      <c r="N208" s="676"/>
      <c r="O208" s="676"/>
      <c r="P208" s="676"/>
      <c r="Q208" s="676"/>
      <c r="R208" s="676"/>
      <c r="S208" s="676"/>
      <c r="T208" s="676"/>
      <c r="U208" s="676"/>
      <c r="V208" s="676"/>
      <c r="W208" s="676"/>
      <c r="X208" s="676"/>
      <c r="Y208" s="676"/>
      <c r="Z208" s="676"/>
      <c r="AA208" s="676"/>
      <c r="AB208" s="676"/>
      <c r="AC208" s="676"/>
      <c r="AD208" s="676"/>
      <c r="AE208" s="676"/>
      <c r="AF208" s="676"/>
      <c r="AG208" s="676"/>
      <c r="AH208" s="676"/>
      <c r="AI208" s="676"/>
      <c r="AJ208" s="676"/>
      <c r="AK208" s="676"/>
      <c r="AL208" s="676"/>
      <c r="AM208" s="676"/>
      <c r="AN208" s="676"/>
      <c r="AO208" s="676"/>
      <c r="AP208" s="675"/>
    </row>
    <row r="209" spans="1:42" ht="13.5" hidden="1" customHeight="1" x14ac:dyDescent="0.3">
      <c r="A209" s="1215"/>
      <c r="B209" s="644"/>
      <c r="C209" s="678"/>
      <c r="D209" s="676" t="s">
        <v>910</v>
      </c>
      <c r="E209" s="697" t="s">
        <v>911</v>
      </c>
      <c r="F209" s="676" t="s">
        <v>885</v>
      </c>
      <c r="G209" s="676"/>
      <c r="H209" s="676"/>
      <c r="I209" s="676"/>
      <c r="J209" s="685"/>
      <c r="K209" s="676"/>
      <c r="L209" s="676"/>
      <c r="M209" s="676"/>
      <c r="N209" s="676"/>
      <c r="O209" s="676"/>
      <c r="P209" s="676"/>
      <c r="Q209" s="676"/>
      <c r="R209" s="676"/>
      <c r="S209" s="676"/>
      <c r="T209" s="676"/>
      <c r="U209" s="676"/>
      <c r="V209" s="676"/>
      <c r="W209" s="676"/>
      <c r="X209" s="676"/>
      <c r="Y209" s="676"/>
      <c r="Z209" s="676"/>
      <c r="AA209" s="676"/>
      <c r="AB209" s="676"/>
      <c r="AC209" s="676"/>
      <c r="AD209" s="676"/>
      <c r="AE209" s="676"/>
      <c r="AF209" s="676"/>
      <c r="AG209" s="676"/>
      <c r="AH209" s="676"/>
      <c r="AI209" s="676"/>
      <c r="AJ209" s="676"/>
      <c r="AK209" s="676"/>
      <c r="AL209" s="676"/>
      <c r="AM209" s="676"/>
      <c r="AN209" s="676"/>
      <c r="AO209" s="676"/>
      <c r="AP209" s="675"/>
    </row>
    <row r="210" spans="1:42" ht="14.25" hidden="1" customHeight="1" x14ac:dyDescent="0.3">
      <c r="A210" s="973"/>
      <c r="B210" s="644"/>
      <c r="C210" s="679"/>
      <c r="D210" s="682"/>
      <c r="E210" s="683"/>
      <c r="F210" s="683"/>
      <c r="G210" s="683"/>
      <c r="H210" s="683"/>
      <c r="I210" s="683"/>
      <c r="J210" s="683"/>
      <c r="K210" s="683"/>
      <c r="L210" s="683"/>
      <c r="M210" s="683"/>
      <c r="N210" s="682"/>
      <c r="O210" s="682"/>
      <c r="P210" s="682"/>
      <c r="Q210" s="682"/>
      <c r="R210" s="682"/>
      <c r="S210" s="682"/>
      <c r="T210" s="682"/>
      <c r="U210" s="682"/>
      <c r="V210" s="682"/>
      <c r="W210" s="682"/>
      <c r="X210" s="682"/>
      <c r="Y210" s="682"/>
      <c r="Z210" s="682"/>
      <c r="AA210" s="682"/>
      <c r="AB210" s="682"/>
      <c r="AC210" s="682"/>
      <c r="AD210" s="682"/>
      <c r="AE210" s="682"/>
      <c r="AF210" s="682"/>
      <c r="AG210" s="682"/>
      <c r="AH210" s="682"/>
      <c r="AI210" s="682"/>
      <c r="AJ210" s="682"/>
      <c r="AK210" s="682"/>
      <c r="AL210" s="682"/>
      <c r="AM210" s="682"/>
      <c r="AN210" s="682"/>
      <c r="AO210" s="682"/>
      <c r="AP210" s="675"/>
    </row>
    <row r="211" spans="1:42" ht="14.25" hidden="1" customHeight="1" x14ac:dyDescent="0.3">
      <c r="A211" s="973"/>
      <c r="B211" s="644"/>
      <c r="C211" s="679"/>
      <c r="D211" s="681" t="s">
        <v>912</v>
      </c>
      <c r="E211" s="672"/>
      <c r="F211" s="672"/>
      <c r="G211" s="676"/>
      <c r="H211" s="676"/>
      <c r="I211" s="676"/>
      <c r="J211" s="676"/>
      <c r="K211" s="676"/>
      <c r="L211" s="676"/>
      <c r="M211" s="676"/>
      <c r="N211" s="676"/>
      <c r="O211" s="676"/>
      <c r="P211" s="676"/>
      <c r="Q211" s="676"/>
      <c r="R211" s="676"/>
      <c r="S211" s="676"/>
      <c r="T211" s="676"/>
      <c r="U211" s="676"/>
      <c r="V211" s="676"/>
      <c r="W211" s="676"/>
      <c r="X211" s="676"/>
      <c r="Y211" s="676"/>
      <c r="Z211" s="676"/>
      <c r="AA211" s="676"/>
      <c r="AB211" s="676"/>
      <c r="AC211" s="676"/>
      <c r="AD211" s="676"/>
      <c r="AE211" s="676"/>
      <c r="AF211" s="676"/>
      <c r="AG211" s="676"/>
      <c r="AH211" s="676"/>
      <c r="AI211" s="676"/>
      <c r="AJ211" s="676"/>
      <c r="AK211" s="676"/>
      <c r="AL211" s="676"/>
      <c r="AM211" s="676"/>
      <c r="AN211" s="676"/>
      <c r="AO211" s="676"/>
      <c r="AP211" s="675"/>
    </row>
    <row r="212" spans="1:42" ht="14.25" hidden="1" customHeight="1" x14ac:dyDescent="0.3">
      <c r="A212" s="973"/>
      <c r="B212" s="644"/>
      <c r="C212" s="679"/>
      <c r="D212" s="672"/>
      <c r="E212" s="672"/>
      <c r="F212" s="672"/>
      <c r="G212" s="676"/>
      <c r="H212" s="676"/>
      <c r="I212" s="676"/>
      <c r="J212" s="676"/>
      <c r="K212" s="676"/>
      <c r="L212" s="676"/>
      <c r="M212" s="676"/>
      <c r="N212" s="676"/>
      <c r="O212" s="676"/>
      <c r="P212" s="676"/>
      <c r="Q212" s="676"/>
      <c r="R212" s="676"/>
      <c r="S212" s="676"/>
      <c r="T212" s="676"/>
      <c r="U212" s="676"/>
      <c r="V212" s="676"/>
      <c r="W212" s="676"/>
      <c r="X212" s="676"/>
      <c r="Y212" s="676"/>
      <c r="Z212" s="676"/>
      <c r="AA212" s="676"/>
      <c r="AB212" s="676"/>
      <c r="AC212" s="676"/>
      <c r="AD212" s="676"/>
      <c r="AE212" s="676"/>
      <c r="AF212" s="676"/>
      <c r="AG212" s="676"/>
      <c r="AH212" s="676"/>
      <c r="AI212" s="676"/>
      <c r="AJ212" s="676"/>
      <c r="AK212" s="676"/>
      <c r="AL212" s="676"/>
      <c r="AM212" s="676"/>
      <c r="AN212" s="676"/>
      <c r="AO212" s="676"/>
      <c r="AP212" s="675"/>
    </row>
    <row r="213" spans="1:42" ht="14" hidden="1" customHeight="1" x14ac:dyDescent="0.3">
      <c r="A213" s="1215" t="s">
        <v>913</v>
      </c>
      <c r="B213" s="644"/>
      <c r="C213" s="679"/>
      <c r="D213" s="676" t="s">
        <v>849</v>
      </c>
      <c r="E213" s="672"/>
      <c r="F213" s="672"/>
      <c r="G213" s="676"/>
      <c r="H213" s="676"/>
      <c r="I213" s="676"/>
      <c r="J213" s="685">
        <v>744</v>
      </c>
      <c r="K213" s="676"/>
      <c r="L213" s="676"/>
      <c r="M213" s="676"/>
      <c r="N213" s="676"/>
      <c r="O213" s="676"/>
      <c r="P213" s="676"/>
      <c r="Q213" s="676"/>
      <c r="R213" s="676"/>
      <c r="S213" s="676"/>
      <c r="T213" s="676"/>
      <c r="U213" s="676"/>
      <c r="V213" s="676"/>
      <c r="W213" s="676"/>
      <c r="X213" s="676"/>
      <c r="Y213" s="676"/>
      <c r="Z213" s="676"/>
      <c r="AA213" s="676"/>
      <c r="AB213" s="676"/>
      <c r="AC213" s="676"/>
      <c r="AD213" s="676"/>
      <c r="AE213" s="676"/>
      <c r="AF213" s="676"/>
      <c r="AG213" s="676"/>
      <c r="AH213" s="676"/>
      <c r="AI213" s="676"/>
      <c r="AJ213" s="676"/>
      <c r="AK213" s="676"/>
      <c r="AL213" s="676"/>
      <c r="AM213" s="676"/>
      <c r="AN213" s="676"/>
      <c r="AO213" s="676"/>
      <c r="AP213" s="675"/>
    </row>
    <row r="214" spans="1:42" ht="14.25" hidden="1" customHeight="1" x14ac:dyDescent="0.3">
      <c r="A214" s="1215"/>
      <c r="B214" s="644"/>
      <c r="C214" s="678"/>
      <c r="D214" s="676" t="s">
        <v>914</v>
      </c>
      <c r="E214" s="676"/>
      <c r="F214" s="676"/>
      <c r="G214" s="676"/>
      <c r="H214" s="676"/>
      <c r="I214" s="676"/>
      <c r="J214" s="685">
        <f>750+672</f>
        <v>1422</v>
      </c>
      <c r="K214" s="676"/>
      <c r="L214" s="676"/>
      <c r="M214" s="676"/>
      <c r="N214" s="676"/>
      <c r="O214" s="676"/>
      <c r="P214" s="676"/>
      <c r="Q214" s="676"/>
      <c r="R214" s="676"/>
      <c r="S214" s="676"/>
      <c r="T214" s="676"/>
      <c r="U214" s="676"/>
      <c r="V214" s="676"/>
      <c r="W214" s="676"/>
      <c r="X214" s="676"/>
      <c r="Y214" s="676"/>
      <c r="Z214" s="676"/>
      <c r="AA214" s="676"/>
      <c r="AB214" s="676"/>
      <c r="AC214" s="676"/>
      <c r="AD214" s="676"/>
      <c r="AE214" s="676"/>
      <c r="AF214" s="676"/>
      <c r="AG214" s="676"/>
      <c r="AH214" s="676"/>
      <c r="AI214" s="676"/>
      <c r="AJ214" s="676"/>
      <c r="AK214" s="676"/>
      <c r="AL214" s="676"/>
      <c r="AM214" s="676"/>
      <c r="AN214" s="676"/>
      <c r="AO214" s="676"/>
      <c r="AP214" s="675"/>
    </row>
    <row r="215" spans="1:42" ht="14.25" hidden="1" customHeight="1" x14ac:dyDescent="0.3">
      <c r="A215" s="1215"/>
      <c r="B215" s="644"/>
      <c r="C215" s="678"/>
      <c r="D215" s="676" t="s">
        <v>851</v>
      </c>
      <c r="E215" s="687"/>
      <c r="F215" s="687"/>
      <c r="G215" s="687"/>
      <c r="H215" s="687"/>
      <c r="I215" s="687"/>
      <c r="J215" s="685">
        <v>145</v>
      </c>
      <c r="K215" s="687"/>
      <c r="L215" s="687"/>
      <c r="M215" s="676"/>
      <c r="N215" s="676"/>
      <c r="O215" s="676"/>
      <c r="P215" s="676"/>
      <c r="Q215" s="676"/>
      <c r="R215" s="676"/>
      <c r="S215" s="676"/>
      <c r="T215" s="676"/>
      <c r="U215" s="676"/>
      <c r="V215" s="676"/>
      <c r="W215" s="676"/>
      <c r="X215" s="676"/>
      <c r="Y215" s="676"/>
      <c r="Z215" s="676"/>
      <c r="AA215" s="676"/>
      <c r="AB215" s="676"/>
      <c r="AC215" s="676"/>
      <c r="AD215" s="676"/>
      <c r="AE215" s="676"/>
      <c r="AF215" s="676"/>
      <c r="AG215" s="676"/>
      <c r="AH215" s="676"/>
      <c r="AI215" s="676"/>
      <c r="AJ215" s="676"/>
      <c r="AK215" s="676"/>
      <c r="AL215" s="676"/>
      <c r="AM215" s="676"/>
      <c r="AN215" s="676"/>
      <c r="AO215" s="676"/>
      <c r="AP215" s="675"/>
    </row>
    <row r="216" spans="1:42" ht="14.25" hidden="1" customHeight="1" x14ac:dyDescent="0.3">
      <c r="A216" s="1215"/>
      <c r="B216" s="644"/>
      <c r="C216" s="678"/>
      <c r="D216" s="676" t="s">
        <v>852</v>
      </c>
      <c r="E216" s="687"/>
      <c r="F216" s="687"/>
      <c r="G216" s="687"/>
      <c r="H216" s="687"/>
      <c r="I216" s="687"/>
      <c r="J216" s="685">
        <v>978</v>
      </c>
      <c r="K216" s="687"/>
      <c r="L216" s="676"/>
      <c r="M216" s="676"/>
      <c r="N216" s="676"/>
      <c r="O216" s="676"/>
      <c r="P216" s="676"/>
      <c r="Q216" s="676"/>
      <c r="R216" s="676"/>
      <c r="S216" s="676"/>
      <c r="T216" s="676"/>
      <c r="U216" s="676"/>
      <c r="V216" s="676"/>
      <c r="W216" s="676"/>
      <c r="X216" s="676"/>
      <c r="Y216" s="676"/>
      <c r="Z216" s="676"/>
      <c r="AA216" s="676"/>
      <c r="AB216" s="676"/>
      <c r="AC216" s="676"/>
      <c r="AD216" s="676"/>
      <c r="AE216" s="676"/>
      <c r="AF216" s="676"/>
      <c r="AG216" s="676"/>
      <c r="AH216" s="676"/>
      <c r="AI216" s="676"/>
      <c r="AJ216" s="676"/>
      <c r="AK216" s="676"/>
      <c r="AL216" s="676"/>
      <c r="AM216" s="676"/>
      <c r="AN216" s="676"/>
      <c r="AO216" s="676"/>
      <c r="AP216" s="675"/>
    </row>
    <row r="217" spans="1:42" ht="14.25" hidden="1" customHeight="1" x14ac:dyDescent="0.3">
      <c r="A217" s="1215"/>
      <c r="B217" s="644"/>
      <c r="C217" s="678"/>
      <c r="D217" s="676" t="s">
        <v>853</v>
      </c>
      <c r="E217" s="687"/>
      <c r="F217" s="687"/>
      <c r="G217" s="687"/>
      <c r="H217" s="687"/>
      <c r="I217" s="687"/>
      <c r="J217" s="685">
        <f>302+242</f>
        <v>544</v>
      </c>
      <c r="K217" s="687"/>
      <c r="L217" s="676"/>
      <c r="M217" s="676"/>
      <c r="N217" s="676"/>
      <c r="O217" s="676"/>
      <c r="P217" s="676"/>
      <c r="Q217" s="676"/>
      <c r="R217" s="676"/>
      <c r="S217" s="676"/>
      <c r="T217" s="676"/>
      <c r="U217" s="676"/>
      <c r="V217" s="676"/>
      <c r="W217" s="676"/>
      <c r="X217" s="676"/>
      <c r="Y217" s="676"/>
      <c r="Z217" s="676"/>
      <c r="AA217" s="676"/>
      <c r="AB217" s="676"/>
      <c r="AC217" s="676"/>
      <c r="AD217" s="676"/>
      <c r="AE217" s="676"/>
      <c r="AF217" s="676"/>
      <c r="AG217" s="676"/>
      <c r="AH217" s="676"/>
      <c r="AI217" s="676"/>
      <c r="AJ217" s="676"/>
      <c r="AK217" s="676"/>
      <c r="AL217" s="676"/>
      <c r="AM217" s="676"/>
      <c r="AN217" s="676"/>
      <c r="AO217" s="676"/>
      <c r="AP217" s="675"/>
    </row>
    <row r="218" spans="1:42" ht="14.25" hidden="1" customHeight="1" x14ac:dyDescent="0.3">
      <c r="A218" s="1215"/>
      <c r="B218" s="644"/>
      <c r="C218" s="678"/>
      <c r="D218" s="676" t="s">
        <v>854</v>
      </c>
      <c r="E218" s="687"/>
      <c r="F218" s="687"/>
      <c r="G218" s="687"/>
      <c r="H218" s="687"/>
      <c r="I218" s="687"/>
      <c r="J218" s="685">
        <f>2248</f>
        <v>2248</v>
      </c>
      <c r="K218" s="687"/>
      <c r="L218" s="676"/>
      <c r="M218" s="676"/>
      <c r="N218" s="676"/>
      <c r="O218" s="676"/>
      <c r="P218" s="676"/>
      <c r="Q218" s="676"/>
      <c r="R218" s="676"/>
      <c r="S218" s="676"/>
      <c r="T218" s="676"/>
      <c r="U218" s="676"/>
      <c r="V218" s="676"/>
      <c r="W218" s="676"/>
      <c r="X218" s="676"/>
      <c r="Y218" s="676"/>
      <c r="Z218" s="676"/>
      <c r="AA218" s="676"/>
      <c r="AB218" s="676"/>
      <c r="AC218" s="676"/>
      <c r="AD218" s="676"/>
      <c r="AE218" s="676"/>
      <c r="AF218" s="676"/>
      <c r="AG218" s="676"/>
      <c r="AH218" s="676"/>
      <c r="AI218" s="676"/>
      <c r="AJ218" s="676"/>
      <c r="AK218" s="676"/>
      <c r="AL218" s="676"/>
      <c r="AM218" s="676"/>
      <c r="AN218" s="676"/>
      <c r="AO218" s="676"/>
      <c r="AP218" s="675"/>
    </row>
    <row r="219" spans="1:42" ht="14.25" hidden="1" customHeight="1" x14ac:dyDescent="0.3">
      <c r="A219" s="1215"/>
      <c r="B219" s="644"/>
      <c r="C219" s="678"/>
      <c r="D219" s="676" t="s">
        <v>855</v>
      </c>
      <c r="E219" s="676"/>
      <c r="F219" s="676"/>
      <c r="G219" s="676"/>
      <c r="H219" s="676"/>
      <c r="I219" s="676"/>
      <c r="J219" s="685">
        <v>195</v>
      </c>
      <c r="K219" s="676"/>
      <c r="L219" s="676"/>
      <c r="M219" s="676"/>
      <c r="N219" s="676"/>
      <c r="O219" s="676"/>
      <c r="P219" s="676"/>
      <c r="Q219" s="676"/>
      <c r="R219" s="676"/>
      <c r="S219" s="676"/>
      <c r="T219" s="676"/>
      <c r="U219" s="676"/>
      <c r="V219" s="676"/>
      <c r="W219" s="676"/>
      <c r="X219" s="676"/>
      <c r="Y219" s="676"/>
      <c r="Z219" s="676"/>
      <c r="AA219" s="676"/>
      <c r="AB219" s="676"/>
      <c r="AC219" s="676"/>
      <c r="AD219" s="676"/>
      <c r="AE219" s="676"/>
      <c r="AF219" s="676"/>
      <c r="AG219" s="676"/>
      <c r="AH219" s="676"/>
      <c r="AI219" s="676"/>
      <c r="AJ219" s="676"/>
      <c r="AK219" s="676"/>
      <c r="AL219" s="676"/>
      <c r="AM219" s="676"/>
      <c r="AN219" s="676"/>
      <c r="AO219" s="676"/>
      <c r="AP219" s="675"/>
    </row>
    <row r="220" spans="1:42" ht="14.25" hidden="1" customHeight="1" x14ac:dyDescent="0.3">
      <c r="A220" s="1215"/>
      <c r="B220" s="644"/>
      <c r="C220" s="678"/>
      <c r="D220" s="676" t="s">
        <v>856</v>
      </c>
      <c r="E220" s="687"/>
      <c r="F220" s="687"/>
      <c r="G220" s="687"/>
      <c r="H220" s="687"/>
      <c r="I220" s="687"/>
      <c r="J220" s="685">
        <v>277</v>
      </c>
      <c r="K220" s="687"/>
      <c r="L220" s="676"/>
      <c r="M220" s="676"/>
      <c r="N220" s="676"/>
      <c r="O220" s="676"/>
      <c r="P220" s="676"/>
      <c r="Q220" s="676"/>
      <c r="R220" s="676"/>
      <c r="S220" s="676"/>
      <c r="T220" s="676"/>
      <c r="U220" s="676"/>
      <c r="V220" s="676"/>
      <c r="W220" s="676"/>
      <c r="X220" s="676"/>
      <c r="Y220" s="676"/>
      <c r="Z220" s="676"/>
      <c r="AA220" s="676"/>
      <c r="AB220" s="676"/>
      <c r="AC220" s="676"/>
      <c r="AD220" s="676"/>
      <c r="AE220" s="676"/>
      <c r="AF220" s="676"/>
      <c r="AG220" s="676"/>
      <c r="AH220" s="676"/>
      <c r="AI220" s="676"/>
      <c r="AJ220" s="676"/>
      <c r="AK220" s="676"/>
      <c r="AL220" s="676"/>
      <c r="AM220" s="676"/>
      <c r="AN220" s="676"/>
      <c r="AO220" s="676"/>
      <c r="AP220" s="675"/>
    </row>
    <row r="221" spans="1:42" ht="14.25" hidden="1" customHeight="1" x14ac:dyDescent="0.3">
      <c r="A221" s="1215"/>
      <c r="B221" s="644"/>
      <c r="C221" s="678"/>
      <c r="D221" s="676" t="s">
        <v>857</v>
      </c>
      <c r="E221" s="687"/>
      <c r="F221" s="687"/>
      <c r="G221" s="687"/>
      <c r="H221" s="687"/>
      <c r="I221" s="687"/>
      <c r="J221" s="685">
        <v>210</v>
      </c>
      <c r="K221" s="687"/>
      <c r="L221" s="676"/>
      <c r="M221" s="676"/>
      <c r="N221" s="676"/>
      <c r="O221" s="676"/>
      <c r="P221" s="676"/>
      <c r="Q221" s="676"/>
      <c r="R221" s="676"/>
      <c r="S221" s="676"/>
      <c r="T221" s="676"/>
      <c r="U221" s="676"/>
      <c r="V221" s="676"/>
      <c r="W221" s="676"/>
      <c r="X221" s="676"/>
      <c r="Y221" s="676"/>
      <c r="Z221" s="676"/>
      <c r="AA221" s="676"/>
      <c r="AB221" s="676"/>
      <c r="AC221" s="676"/>
      <c r="AD221" s="676"/>
      <c r="AE221" s="676"/>
      <c r="AF221" s="676"/>
      <c r="AG221" s="676"/>
      <c r="AH221" s="676"/>
      <c r="AI221" s="676"/>
      <c r="AJ221" s="676"/>
      <c r="AK221" s="676"/>
      <c r="AL221" s="676"/>
      <c r="AM221" s="676"/>
      <c r="AN221" s="676"/>
      <c r="AO221" s="676"/>
      <c r="AP221" s="675"/>
    </row>
    <row r="222" spans="1:42" ht="14.25" hidden="1" customHeight="1" x14ac:dyDescent="0.3">
      <c r="A222" s="1215"/>
      <c r="B222" s="644"/>
      <c r="C222" s="678"/>
      <c r="D222" s="676" t="s">
        <v>858</v>
      </c>
      <c r="E222" s="676"/>
      <c r="F222" s="676"/>
      <c r="G222" s="676"/>
      <c r="H222" s="676"/>
      <c r="I222" s="676"/>
      <c r="J222" s="685">
        <v>424</v>
      </c>
      <c r="K222" s="676"/>
      <c r="L222" s="676"/>
      <c r="M222" s="676"/>
      <c r="N222" s="676"/>
      <c r="O222" s="676"/>
      <c r="P222" s="676"/>
      <c r="Q222" s="676"/>
      <c r="R222" s="676"/>
      <c r="S222" s="676"/>
      <c r="T222" s="676"/>
      <c r="U222" s="676"/>
      <c r="V222" s="676"/>
      <c r="W222" s="676"/>
      <c r="X222" s="676"/>
      <c r="Y222" s="676"/>
      <c r="Z222" s="676"/>
      <c r="AA222" s="676"/>
      <c r="AB222" s="676"/>
      <c r="AC222" s="676"/>
      <c r="AD222" s="676"/>
      <c r="AE222" s="676"/>
      <c r="AF222" s="676"/>
      <c r="AG222" s="676"/>
      <c r="AH222" s="676"/>
      <c r="AI222" s="676"/>
      <c r="AJ222" s="676"/>
      <c r="AK222" s="676"/>
      <c r="AL222" s="676"/>
      <c r="AM222" s="676"/>
      <c r="AN222" s="676"/>
      <c r="AO222" s="676"/>
      <c r="AP222" s="675"/>
    </row>
    <row r="223" spans="1:42" ht="14.25" hidden="1" customHeight="1" x14ac:dyDescent="0.3">
      <c r="A223" s="1215"/>
      <c r="B223" s="644"/>
      <c r="C223" s="678"/>
      <c r="D223" s="676" t="s">
        <v>859</v>
      </c>
      <c r="E223" s="687"/>
      <c r="F223" s="687"/>
      <c r="G223" s="687"/>
      <c r="H223" s="687"/>
      <c r="I223" s="687"/>
      <c r="J223" s="685">
        <v>612</v>
      </c>
      <c r="K223" s="687"/>
      <c r="L223" s="676"/>
      <c r="M223" s="676"/>
      <c r="N223" s="676"/>
      <c r="O223" s="676"/>
      <c r="P223" s="676"/>
      <c r="Q223" s="676"/>
      <c r="R223" s="676"/>
      <c r="S223" s="676"/>
      <c r="T223" s="676"/>
      <c r="U223" s="676"/>
      <c r="V223" s="676"/>
      <c r="W223" s="676"/>
      <c r="X223" s="676"/>
      <c r="Y223" s="676"/>
      <c r="Z223" s="676"/>
      <c r="AA223" s="676"/>
      <c r="AB223" s="676"/>
      <c r="AC223" s="676"/>
      <c r="AD223" s="676"/>
      <c r="AE223" s="676"/>
      <c r="AF223" s="676"/>
      <c r="AG223" s="676"/>
      <c r="AH223" s="676"/>
      <c r="AI223" s="676"/>
      <c r="AJ223" s="676"/>
      <c r="AK223" s="676"/>
      <c r="AL223" s="676"/>
      <c r="AM223" s="676"/>
      <c r="AN223" s="676"/>
      <c r="AO223" s="676"/>
      <c r="AP223" s="675"/>
    </row>
    <row r="224" spans="1:42" ht="14.25" hidden="1" customHeight="1" x14ac:dyDescent="0.3">
      <c r="A224" s="1215"/>
      <c r="B224" s="644"/>
      <c r="C224" s="678"/>
      <c r="D224" s="676" t="s">
        <v>915</v>
      </c>
      <c r="E224" s="676"/>
      <c r="F224" s="676"/>
      <c r="G224" s="676"/>
      <c r="H224" s="676"/>
      <c r="I224" s="676"/>
      <c r="J224" s="685">
        <v>1084</v>
      </c>
      <c r="K224" s="676"/>
      <c r="L224" s="676"/>
      <c r="M224" s="676"/>
      <c r="N224" s="676"/>
      <c r="O224" s="676"/>
      <c r="P224" s="676"/>
      <c r="Q224" s="676"/>
      <c r="R224" s="676"/>
      <c r="S224" s="676"/>
      <c r="T224" s="676"/>
      <c r="U224" s="676"/>
      <c r="V224" s="676"/>
      <c r="W224" s="676"/>
      <c r="X224" s="676"/>
      <c r="Y224" s="676"/>
      <c r="Z224" s="676"/>
      <c r="AA224" s="676"/>
      <c r="AB224" s="676"/>
      <c r="AC224" s="676"/>
      <c r="AD224" s="676"/>
      <c r="AE224" s="676"/>
      <c r="AF224" s="676"/>
      <c r="AG224" s="676"/>
      <c r="AH224" s="676"/>
      <c r="AI224" s="676"/>
      <c r="AJ224" s="676"/>
      <c r="AK224" s="676"/>
      <c r="AL224" s="676"/>
      <c r="AM224" s="676"/>
      <c r="AN224" s="676"/>
      <c r="AO224" s="676"/>
      <c r="AP224" s="675"/>
    </row>
    <row r="225" spans="1:42" ht="14.25" hidden="1" customHeight="1" x14ac:dyDescent="0.3">
      <c r="A225" s="1215"/>
      <c r="B225" s="644"/>
      <c r="C225" s="678"/>
      <c r="D225" s="676" t="s">
        <v>861</v>
      </c>
      <c r="E225" s="676"/>
      <c r="F225" s="676"/>
      <c r="G225" s="676"/>
      <c r="H225" s="676"/>
      <c r="I225" s="676"/>
      <c r="J225" s="685">
        <v>766</v>
      </c>
      <c r="K225" s="676"/>
      <c r="L225" s="676"/>
      <c r="M225" s="676"/>
      <c r="N225" s="676"/>
      <c r="O225" s="676"/>
      <c r="P225" s="676"/>
      <c r="Q225" s="676"/>
      <c r="R225" s="676"/>
      <c r="S225" s="676"/>
      <c r="T225" s="676"/>
      <c r="U225" s="676"/>
      <c r="V225" s="676"/>
      <c r="W225" s="676"/>
      <c r="X225" s="676"/>
      <c r="Y225" s="676"/>
      <c r="Z225" s="676"/>
      <c r="AA225" s="676"/>
      <c r="AB225" s="676"/>
      <c r="AC225" s="676"/>
      <c r="AD225" s="676"/>
      <c r="AE225" s="676"/>
      <c r="AF225" s="676"/>
      <c r="AG225" s="676"/>
      <c r="AH225" s="676"/>
      <c r="AI225" s="676"/>
      <c r="AJ225" s="676"/>
      <c r="AK225" s="676"/>
      <c r="AL225" s="676"/>
      <c r="AM225" s="676"/>
      <c r="AN225" s="676"/>
      <c r="AO225" s="676"/>
      <c r="AP225" s="675"/>
    </row>
    <row r="226" spans="1:42" ht="13.5" hidden="1" customHeight="1" x14ac:dyDescent="0.3">
      <c r="A226" s="1215"/>
      <c r="B226" s="644"/>
      <c r="C226" s="678"/>
      <c r="D226" s="676" t="s">
        <v>862</v>
      </c>
      <c r="E226" s="676"/>
      <c r="F226" s="676"/>
      <c r="G226" s="676"/>
      <c r="H226" s="676"/>
      <c r="I226" s="676"/>
      <c r="J226" s="685">
        <v>4150</v>
      </c>
      <c r="K226" s="676"/>
      <c r="L226" s="676"/>
      <c r="M226" s="676"/>
      <c r="N226" s="676"/>
      <c r="O226" s="676"/>
      <c r="P226" s="676"/>
      <c r="Q226" s="676"/>
      <c r="R226" s="676"/>
      <c r="S226" s="676"/>
      <c r="T226" s="676"/>
      <c r="U226" s="676"/>
      <c r="V226" s="676"/>
      <c r="W226" s="676"/>
      <c r="X226" s="676"/>
      <c r="Y226" s="676"/>
      <c r="Z226" s="676"/>
      <c r="AA226" s="676"/>
      <c r="AB226" s="676"/>
      <c r="AC226" s="676"/>
      <c r="AD226" s="676"/>
      <c r="AE226" s="676"/>
      <c r="AF226" s="676"/>
      <c r="AG226" s="676"/>
      <c r="AH226" s="676"/>
      <c r="AI226" s="676"/>
      <c r="AJ226" s="676"/>
      <c r="AK226" s="676"/>
      <c r="AL226" s="676"/>
      <c r="AM226" s="676"/>
      <c r="AN226" s="676"/>
      <c r="AO226" s="676"/>
      <c r="AP226" s="675"/>
    </row>
    <row r="227" spans="1:42" ht="13.5" hidden="1" customHeight="1" x14ac:dyDescent="0.3">
      <c r="A227" s="1215"/>
      <c r="B227" s="644"/>
      <c r="C227" s="678"/>
      <c r="D227" s="676" t="s">
        <v>863</v>
      </c>
      <c r="E227" s="676"/>
      <c r="F227" s="676"/>
      <c r="G227" s="676"/>
      <c r="H227" s="676"/>
      <c r="I227" s="676"/>
      <c r="J227" s="685">
        <v>11142</v>
      </c>
      <c r="K227" s="676"/>
      <c r="L227" s="676"/>
      <c r="M227" s="676"/>
      <c r="N227" s="676"/>
      <c r="O227" s="676"/>
      <c r="P227" s="676"/>
      <c r="Q227" s="676"/>
      <c r="R227" s="676"/>
      <c r="S227" s="676"/>
      <c r="T227" s="676"/>
      <c r="U227" s="676"/>
      <c r="V227" s="676"/>
      <c r="W227" s="676"/>
      <c r="X227" s="676"/>
      <c r="Y227" s="676"/>
      <c r="Z227" s="676"/>
      <c r="AA227" s="676"/>
      <c r="AB227" s="676"/>
      <c r="AC227" s="676"/>
      <c r="AD227" s="676"/>
      <c r="AE227" s="676"/>
      <c r="AF227" s="676"/>
      <c r="AG227" s="676"/>
      <c r="AH227" s="676"/>
      <c r="AI227" s="676"/>
      <c r="AJ227" s="676"/>
      <c r="AK227" s="676"/>
      <c r="AL227" s="676"/>
      <c r="AM227" s="676"/>
      <c r="AN227" s="676"/>
      <c r="AO227" s="676"/>
      <c r="AP227" s="675"/>
    </row>
    <row r="228" spans="1:42" s="658" customFormat="1" ht="13.5" hidden="1" customHeight="1" x14ac:dyDescent="0.3">
      <c r="A228" s="684"/>
      <c r="B228" s="662"/>
      <c r="C228" s="674"/>
      <c r="D228" s="672" t="s">
        <v>916</v>
      </c>
      <c r="E228" s="672"/>
      <c r="F228" s="672"/>
      <c r="G228" s="672"/>
      <c r="H228" s="672"/>
      <c r="I228" s="672"/>
      <c r="J228" s="686">
        <f>SUM(J213:J227)</f>
        <v>24941</v>
      </c>
      <c r="K228" s="672"/>
      <c r="L228" s="672"/>
      <c r="M228" s="672"/>
      <c r="N228" s="672"/>
      <c r="O228" s="672"/>
      <c r="P228" s="672"/>
      <c r="Q228" s="672"/>
      <c r="R228" s="672"/>
      <c r="S228" s="672"/>
      <c r="T228" s="672"/>
      <c r="U228" s="672"/>
      <c r="V228" s="672"/>
      <c r="W228" s="672"/>
      <c r="X228" s="672"/>
      <c r="Y228" s="672"/>
      <c r="Z228" s="672"/>
      <c r="AA228" s="672"/>
      <c r="AB228" s="672"/>
      <c r="AC228" s="672"/>
      <c r="AD228" s="672"/>
      <c r="AE228" s="672"/>
      <c r="AF228" s="672"/>
      <c r="AG228" s="672"/>
      <c r="AH228" s="672"/>
      <c r="AI228" s="672"/>
      <c r="AJ228" s="672"/>
      <c r="AK228" s="672"/>
      <c r="AL228" s="672"/>
      <c r="AM228" s="672"/>
      <c r="AN228" s="672"/>
      <c r="AO228" s="672"/>
      <c r="AP228" s="671"/>
    </row>
    <row r="229" spans="1:42" ht="14.25" hidden="1" customHeight="1" x14ac:dyDescent="0.3">
      <c r="A229" s="973"/>
      <c r="B229" s="644"/>
      <c r="C229" s="679"/>
      <c r="D229" s="682"/>
      <c r="E229" s="683"/>
      <c r="F229" s="683"/>
      <c r="G229" s="683"/>
      <c r="H229" s="683"/>
      <c r="I229" s="683"/>
      <c r="J229" s="683"/>
      <c r="K229" s="683"/>
      <c r="L229" s="683"/>
      <c r="M229" s="683"/>
      <c r="N229" s="682"/>
      <c r="O229" s="682"/>
      <c r="P229" s="682"/>
      <c r="Q229" s="682"/>
      <c r="R229" s="682"/>
      <c r="S229" s="682"/>
      <c r="T229" s="682"/>
      <c r="U229" s="682"/>
      <c r="V229" s="682"/>
      <c r="W229" s="682"/>
      <c r="X229" s="682"/>
      <c r="Y229" s="682"/>
      <c r="Z229" s="682"/>
      <c r="AA229" s="682"/>
      <c r="AB229" s="682"/>
      <c r="AC229" s="682"/>
      <c r="AD229" s="682"/>
      <c r="AE229" s="682"/>
      <c r="AF229" s="682"/>
      <c r="AG229" s="682"/>
      <c r="AH229" s="682"/>
      <c r="AI229" s="682"/>
      <c r="AJ229" s="682"/>
      <c r="AK229" s="682"/>
      <c r="AL229" s="682"/>
      <c r="AM229" s="682"/>
      <c r="AN229" s="682"/>
      <c r="AO229" s="682"/>
      <c r="AP229" s="675"/>
    </row>
    <row r="230" spans="1:42" ht="14.25" hidden="1" customHeight="1" x14ac:dyDescent="0.3">
      <c r="A230" s="973"/>
      <c r="B230" s="644"/>
      <c r="C230" s="679"/>
      <c r="D230" s="681" t="s">
        <v>917</v>
      </c>
      <c r="E230" s="672"/>
      <c r="F230" s="672"/>
      <c r="G230" s="676"/>
      <c r="H230" s="676"/>
      <c r="I230" s="676"/>
      <c r="J230" s="676"/>
      <c r="K230" s="676"/>
      <c r="L230" s="676"/>
      <c r="M230" s="676"/>
      <c r="N230" s="676"/>
      <c r="O230" s="676"/>
      <c r="P230" s="676"/>
      <c r="Q230" s="676"/>
      <c r="R230" s="676"/>
      <c r="S230" s="676"/>
      <c r="T230" s="676"/>
      <c r="U230" s="676"/>
      <c r="V230" s="676"/>
      <c r="W230" s="676"/>
      <c r="X230" s="676"/>
      <c r="Y230" s="676"/>
      <c r="Z230" s="676"/>
      <c r="AA230" s="676"/>
      <c r="AB230" s="676"/>
      <c r="AC230" s="676"/>
      <c r="AD230" s="676"/>
      <c r="AE230" s="676"/>
      <c r="AF230" s="676"/>
      <c r="AG230" s="676"/>
      <c r="AH230" s="676"/>
      <c r="AI230" s="676"/>
      <c r="AJ230" s="676"/>
      <c r="AK230" s="676"/>
      <c r="AL230" s="676"/>
      <c r="AM230" s="676"/>
      <c r="AN230" s="676"/>
      <c r="AO230" s="676"/>
      <c r="AP230" s="675"/>
    </row>
    <row r="231" spans="1:42" ht="14.25" hidden="1" customHeight="1" x14ac:dyDescent="0.3">
      <c r="A231" s="973"/>
      <c r="B231" s="644"/>
      <c r="C231" s="679"/>
      <c r="D231" s="688"/>
      <c r="E231" s="672"/>
      <c r="F231" s="672"/>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76"/>
      <c r="AF231" s="676"/>
      <c r="AG231" s="676"/>
      <c r="AH231" s="676"/>
      <c r="AI231" s="676"/>
      <c r="AJ231" s="676"/>
      <c r="AK231" s="676"/>
      <c r="AL231" s="676"/>
      <c r="AM231" s="676"/>
      <c r="AN231" s="676"/>
      <c r="AO231" s="676"/>
      <c r="AP231" s="675"/>
    </row>
    <row r="232" spans="1:42" ht="14" hidden="1" customHeight="1" x14ac:dyDescent="0.3">
      <c r="A232" s="1215" t="s">
        <v>880</v>
      </c>
      <c r="B232" s="644"/>
      <c r="C232" s="679"/>
      <c r="D232" s="676" t="s">
        <v>918</v>
      </c>
      <c r="E232" s="672"/>
      <c r="F232" s="672"/>
      <c r="G232" s="676"/>
      <c r="H232" s="676"/>
      <c r="I232" s="676"/>
      <c r="J232" s="685">
        <v>1.1499999999999999</v>
      </c>
      <c r="K232" s="676"/>
      <c r="L232" s="676"/>
      <c r="M232" s="676"/>
      <c r="N232" s="676"/>
      <c r="O232" s="676"/>
      <c r="P232" s="676"/>
      <c r="Q232" s="676"/>
      <c r="R232" s="676"/>
      <c r="S232" s="676"/>
      <c r="T232" s="676"/>
      <c r="U232" s="676"/>
      <c r="V232" s="676"/>
      <c r="W232" s="676"/>
      <c r="X232" s="676"/>
      <c r="Y232" s="676"/>
      <c r="Z232" s="676"/>
      <c r="AA232" s="676"/>
      <c r="AB232" s="676"/>
      <c r="AC232" s="676"/>
      <c r="AD232" s="676"/>
      <c r="AE232" s="676"/>
      <c r="AF232" s="676"/>
      <c r="AG232" s="676"/>
      <c r="AH232" s="676"/>
      <c r="AI232" s="676"/>
      <c r="AJ232" s="676"/>
      <c r="AK232" s="676"/>
      <c r="AL232" s="676"/>
      <c r="AM232" s="676"/>
      <c r="AN232" s="676"/>
      <c r="AO232" s="676"/>
      <c r="AP232" s="675"/>
    </row>
    <row r="233" spans="1:42" ht="14.25" hidden="1" customHeight="1" x14ac:dyDescent="0.3">
      <c r="A233" s="1215"/>
      <c r="B233" s="644"/>
      <c r="C233" s="678"/>
      <c r="D233" s="676" t="s">
        <v>919</v>
      </c>
      <c r="E233" s="687"/>
      <c r="F233" s="687"/>
      <c r="G233" s="687"/>
      <c r="H233" s="687"/>
      <c r="I233" s="687"/>
      <c r="J233" s="685">
        <v>7.8</v>
      </c>
      <c r="K233" s="687"/>
      <c r="L233" s="676"/>
      <c r="M233" s="676"/>
      <c r="N233" s="676"/>
      <c r="O233" s="676"/>
      <c r="P233" s="676"/>
      <c r="Q233" s="676"/>
      <c r="R233" s="676"/>
      <c r="S233" s="676"/>
      <c r="T233" s="676"/>
      <c r="U233" s="676"/>
      <c r="V233" s="676"/>
      <c r="W233" s="676"/>
      <c r="X233" s="676"/>
      <c r="Y233" s="676"/>
      <c r="Z233" s="676"/>
      <c r="AA233" s="676"/>
      <c r="AB233" s="676"/>
      <c r="AC233" s="676"/>
      <c r="AD233" s="676"/>
      <c r="AE233" s="676"/>
      <c r="AF233" s="676"/>
      <c r="AG233" s="676"/>
      <c r="AH233" s="676"/>
      <c r="AI233" s="676"/>
      <c r="AJ233" s="676"/>
      <c r="AK233" s="676"/>
      <c r="AL233" s="676"/>
      <c r="AM233" s="676"/>
      <c r="AN233" s="676"/>
      <c r="AO233" s="676"/>
      <c r="AP233" s="675"/>
    </row>
    <row r="234" spans="1:42" ht="14.25" hidden="1" customHeight="1" x14ac:dyDescent="0.3">
      <c r="A234" s="1215"/>
      <c r="B234" s="644"/>
      <c r="C234" s="678"/>
      <c r="D234" s="676" t="s">
        <v>920</v>
      </c>
      <c r="E234" s="676"/>
      <c r="F234" s="676"/>
      <c r="G234" s="676"/>
      <c r="H234" s="676"/>
      <c r="I234" s="676"/>
      <c r="J234" s="685">
        <v>1</v>
      </c>
      <c r="K234" s="676"/>
      <c r="L234" s="676"/>
      <c r="M234" s="676"/>
      <c r="N234" s="676"/>
      <c r="O234" s="676"/>
      <c r="P234" s="676"/>
      <c r="Q234" s="676"/>
      <c r="R234" s="676"/>
      <c r="S234" s="676"/>
      <c r="T234" s="676"/>
      <c r="U234" s="676"/>
      <c r="V234" s="676"/>
      <c r="W234" s="676"/>
      <c r="X234" s="676"/>
      <c r="Y234" s="676"/>
      <c r="Z234" s="676"/>
      <c r="AA234" s="676"/>
      <c r="AB234" s="676"/>
      <c r="AC234" s="676"/>
      <c r="AD234" s="676"/>
      <c r="AE234" s="676"/>
      <c r="AF234" s="676"/>
      <c r="AG234" s="676"/>
      <c r="AH234" s="676"/>
      <c r="AI234" s="676"/>
      <c r="AJ234" s="676"/>
      <c r="AK234" s="676"/>
      <c r="AL234" s="676"/>
      <c r="AM234" s="676"/>
      <c r="AN234" s="676"/>
      <c r="AO234" s="676"/>
      <c r="AP234" s="675"/>
    </row>
    <row r="235" spans="1:42" ht="14.25" hidden="1" customHeight="1" x14ac:dyDescent="0.3">
      <c r="A235" s="1215"/>
      <c r="B235" s="644"/>
      <c r="C235" s="678"/>
      <c r="D235" s="676" t="s">
        <v>921</v>
      </c>
      <c r="E235" s="687"/>
      <c r="F235" s="687"/>
      <c r="G235" s="687"/>
      <c r="H235" s="687"/>
      <c r="I235" s="687"/>
      <c r="J235" s="685">
        <v>1.5</v>
      </c>
      <c r="K235" s="687"/>
      <c r="L235" s="676"/>
      <c r="M235" s="676"/>
      <c r="N235" s="676"/>
      <c r="O235" s="676"/>
      <c r="P235" s="676"/>
      <c r="Q235" s="676"/>
      <c r="R235" s="676"/>
      <c r="S235" s="676"/>
      <c r="T235" s="676"/>
      <c r="U235" s="676"/>
      <c r="V235" s="676"/>
      <c r="W235" s="676"/>
      <c r="X235" s="676"/>
      <c r="Y235" s="676"/>
      <c r="Z235" s="676"/>
      <c r="AA235" s="676"/>
      <c r="AB235" s="676"/>
      <c r="AC235" s="676"/>
      <c r="AD235" s="676"/>
      <c r="AE235" s="676"/>
      <c r="AF235" s="676"/>
      <c r="AG235" s="676"/>
      <c r="AH235" s="676"/>
      <c r="AI235" s="676"/>
      <c r="AJ235" s="676"/>
      <c r="AK235" s="676"/>
      <c r="AL235" s="676"/>
      <c r="AM235" s="676"/>
      <c r="AN235" s="676"/>
      <c r="AO235" s="676"/>
      <c r="AP235" s="675"/>
    </row>
    <row r="236" spans="1:42" ht="14.25" hidden="1" customHeight="1" x14ac:dyDescent="0.3">
      <c r="A236" s="1215"/>
      <c r="B236" s="644"/>
      <c r="C236" s="678"/>
      <c r="D236" s="676" t="s">
        <v>922</v>
      </c>
      <c r="E236" s="676"/>
      <c r="F236" s="676"/>
      <c r="G236" s="676"/>
      <c r="H236" s="676"/>
      <c r="I236" s="676"/>
      <c r="J236" s="685">
        <f>3+3.5</f>
        <v>6.5</v>
      </c>
      <c r="K236" s="676"/>
      <c r="L236" s="676"/>
      <c r="M236" s="676"/>
      <c r="N236" s="676"/>
      <c r="O236" s="676"/>
      <c r="P236" s="676"/>
      <c r="Q236" s="676"/>
      <c r="R236" s="676"/>
      <c r="S236" s="676"/>
      <c r="T236" s="676"/>
      <c r="U236" s="676"/>
      <c r="V236" s="676"/>
      <c r="W236" s="676"/>
      <c r="X236" s="676"/>
      <c r="Y236" s="676"/>
      <c r="Z236" s="676"/>
      <c r="AA236" s="676"/>
      <c r="AB236" s="676"/>
      <c r="AC236" s="676"/>
      <c r="AD236" s="676"/>
      <c r="AE236" s="676"/>
      <c r="AF236" s="676"/>
      <c r="AG236" s="676"/>
      <c r="AH236" s="676"/>
      <c r="AI236" s="676"/>
      <c r="AJ236" s="676"/>
      <c r="AK236" s="676"/>
      <c r="AL236" s="676"/>
      <c r="AM236" s="676"/>
      <c r="AN236" s="676"/>
      <c r="AO236" s="676"/>
      <c r="AP236" s="675"/>
    </row>
    <row r="237" spans="1:42" ht="14.25" hidden="1" customHeight="1" x14ac:dyDescent="0.3">
      <c r="A237" s="1215"/>
      <c r="B237" s="644"/>
      <c r="C237" s="678"/>
      <c r="D237" s="676" t="s">
        <v>923</v>
      </c>
      <c r="E237" s="687"/>
      <c r="F237" s="687"/>
      <c r="G237" s="687"/>
      <c r="H237" s="687"/>
      <c r="I237" s="687"/>
      <c r="J237" s="685">
        <f>0.75+3.7+0.73</f>
        <v>5.18</v>
      </c>
      <c r="K237" s="687"/>
      <c r="L237" s="676"/>
      <c r="M237" s="676"/>
      <c r="N237" s="676"/>
      <c r="O237" s="676"/>
      <c r="P237" s="676"/>
      <c r="Q237" s="676"/>
      <c r="R237" s="676"/>
      <c r="S237" s="676"/>
      <c r="T237" s="676"/>
      <c r="U237" s="676"/>
      <c r="V237" s="676"/>
      <c r="W237" s="676"/>
      <c r="X237" s="676"/>
      <c r="Y237" s="676"/>
      <c r="Z237" s="676"/>
      <c r="AA237" s="676"/>
      <c r="AB237" s="676"/>
      <c r="AC237" s="676"/>
      <c r="AD237" s="676"/>
      <c r="AE237" s="676"/>
      <c r="AF237" s="676"/>
      <c r="AG237" s="676"/>
      <c r="AH237" s="676"/>
      <c r="AI237" s="676"/>
      <c r="AJ237" s="676"/>
      <c r="AK237" s="676"/>
      <c r="AL237" s="676"/>
      <c r="AM237" s="676"/>
      <c r="AN237" s="676"/>
      <c r="AO237" s="676"/>
      <c r="AP237" s="675"/>
    </row>
    <row r="238" spans="1:42" ht="14.25" hidden="1" customHeight="1" x14ac:dyDescent="0.3">
      <c r="A238" s="1215"/>
      <c r="B238" s="644"/>
      <c r="C238" s="678"/>
      <c r="D238" s="676" t="s">
        <v>924</v>
      </c>
      <c r="E238" s="676"/>
      <c r="F238" s="676"/>
      <c r="G238" s="676"/>
      <c r="H238" s="676"/>
      <c r="I238" s="676"/>
      <c r="J238" s="685">
        <v>0.75</v>
      </c>
      <c r="K238" s="676"/>
      <c r="L238" s="676"/>
      <c r="M238" s="676"/>
      <c r="N238" s="676"/>
      <c r="O238" s="676"/>
      <c r="P238" s="676"/>
      <c r="Q238" s="676"/>
      <c r="R238" s="676"/>
      <c r="S238" s="676"/>
      <c r="T238" s="676"/>
      <c r="U238" s="676"/>
      <c r="V238" s="676"/>
      <c r="W238" s="676"/>
      <c r="X238" s="676"/>
      <c r="Y238" s="676"/>
      <c r="Z238" s="676"/>
      <c r="AA238" s="676"/>
      <c r="AB238" s="676"/>
      <c r="AC238" s="676"/>
      <c r="AD238" s="676"/>
      <c r="AE238" s="676"/>
      <c r="AF238" s="676"/>
      <c r="AG238" s="676"/>
      <c r="AH238" s="676"/>
      <c r="AI238" s="676"/>
      <c r="AJ238" s="676"/>
      <c r="AK238" s="676"/>
      <c r="AL238" s="676"/>
      <c r="AM238" s="676"/>
      <c r="AN238" s="676"/>
      <c r="AO238" s="676"/>
      <c r="AP238" s="675"/>
    </row>
    <row r="239" spans="1:42" s="658" customFormat="1" ht="13.5" hidden="1" customHeight="1" x14ac:dyDescent="0.3">
      <c r="A239" s="684"/>
      <c r="B239" s="662"/>
      <c r="C239" s="674"/>
      <c r="D239" s="672" t="s">
        <v>925</v>
      </c>
      <c r="E239" s="672"/>
      <c r="F239" s="672"/>
      <c r="G239" s="672"/>
      <c r="H239" s="672"/>
      <c r="I239" s="672"/>
      <c r="J239" s="686">
        <f>SUM(J232:J238)</f>
        <v>23.88</v>
      </c>
      <c r="K239" s="672"/>
      <c r="L239" s="672"/>
      <c r="M239" s="672"/>
      <c r="N239" s="672"/>
      <c r="O239" s="672"/>
      <c r="P239" s="672"/>
      <c r="Q239" s="672"/>
      <c r="R239" s="672"/>
      <c r="S239" s="672"/>
      <c r="T239" s="672"/>
      <c r="U239" s="672"/>
      <c r="V239" s="672"/>
      <c r="W239" s="672"/>
      <c r="X239" s="672"/>
      <c r="Y239" s="672"/>
      <c r="Z239" s="672"/>
      <c r="AA239" s="672"/>
      <c r="AB239" s="672"/>
      <c r="AC239" s="672"/>
      <c r="AD239" s="672"/>
      <c r="AE239" s="672"/>
      <c r="AF239" s="672"/>
      <c r="AG239" s="672"/>
      <c r="AH239" s="672"/>
      <c r="AI239" s="672"/>
      <c r="AJ239" s="672"/>
      <c r="AK239" s="672"/>
      <c r="AL239" s="672"/>
      <c r="AM239" s="672"/>
      <c r="AN239" s="672"/>
      <c r="AO239" s="672"/>
      <c r="AP239" s="671"/>
    </row>
    <row r="240" spans="1:42" ht="14.25" hidden="1" customHeight="1" x14ac:dyDescent="0.3">
      <c r="A240" s="973"/>
      <c r="B240" s="644"/>
      <c r="C240" s="679"/>
      <c r="D240" s="682"/>
      <c r="E240" s="683"/>
      <c r="F240" s="683"/>
      <c r="G240" s="683"/>
      <c r="H240" s="683"/>
      <c r="I240" s="683"/>
      <c r="J240" s="683"/>
      <c r="K240" s="683"/>
      <c r="L240" s="683"/>
      <c r="M240" s="683"/>
      <c r="N240" s="682"/>
      <c r="O240" s="682"/>
      <c r="P240" s="682"/>
      <c r="Q240" s="682"/>
      <c r="R240" s="682"/>
      <c r="S240" s="682"/>
      <c r="T240" s="682"/>
      <c r="U240" s="682"/>
      <c r="V240" s="682"/>
      <c r="W240" s="682"/>
      <c r="X240" s="682"/>
      <c r="Y240" s="682"/>
      <c r="Z240" s="682"/>
      <c r="AA240" s="682"/>
      <c r="AB240" s="682"/>
      <c r="AC240" s="682"/>
      <c r="AD240" s="682"/>
      <c r="AE240" s="682"/>
      <c r="AF240" s="682"/>
      <c r="AG240" s="682"/>
      <c r="AH240" s="682"/>
      <c r="AI240" s="682"/>
      <c r="AJ240" s="682"/>
      <c r="AK240" s="682"/>
      <c r="AL240" s="682"/>
      <c r="AM240" s="682"/>
      <c r="AN240" s="682"/>
      <c r="AO240" s="682"/>
      <c r="AP240" s="675"/>
    </row>
    <row r="241" spans="1:42" ht="14.25" hidden="1" customHeight="1" x14ac:dyDescent="0.3">
      <c r="A241" s="973"/>
      <c r="B241" s="644"/>
      <c r="C241" s="679"/>
      <c r="D241" s="681" t="s">
        <v>926</v>
      </c>
      <c r="E241" s="672"/>
      <c r="F241" s="672"/>
      <c r="G241" s="676"/>
      <c r="H241" s="676"/>
      <c r="I241" s="676"/>
      <c r="J241" s="676"/>
      <c r="K241" s="676"/>
      <c r="L241" s="676"/>
      <c r="M241" s="676"/>
      <c r="N241" s="676"/>
      <c r="O241" s="676"/>
      <c r="P241" s="676"/>
      <c r="Q241" s="676"/>
      <c r="R241" s="676"/>
      <c r="S241" s="676"/>
      <c r="T241" s="676"/>
      <c r="U241" s="676"/>
      <c r="V241" s="676"/>
      <c r="W241" s="676"/>
      <c r="X241" s="676"/>
      <c r="Y241" s="676"/>
      <c r="Z241" s="676"/>
      <c r="AA241" s="676"/>
      <c r="AB241" s="676"/>
      <c r="AC241" s="676"/>
      <c r="AD241" s="676"/>
      <c r="AE241" s="676"/>
      <c r="AF241" s="676"/>
      <c r="AG241" s="676"/>
      <c r="AH241" s="676"/>
      <c r="AI241" s="676"/>
      <c r="AJ241" s="676"/>
      <c r="AK241" s="676"/>
      <c r="AL241" s="676"/>
      <c r="AM241" s="676"/>
      <c r="AN241" s="676"/>
      <c r="AO241" s="676"/>
      <c r="AP241" s="675"/>
    </row>
    <row r="242" spans="1:42" ht="14.25" hidden="1" customHeight="1" x14ac:dyDescent="0.3">
      <c r="A242" s="973"/>
      <c r="B242" s="644"/>
      <c r="C242" s="679"/>
      <c r="D242" s="688"/>
      <c r="E242" s="672"/>
      <c r="F242" s="672"/>
      <c r="G242" s="676"/>
      <c r="H242" s="676"/>
      <c r="I242" s="676"/>
      <c r="J242" s="676"/>
      <c r="K242" s="676"/>
      <c r="L242" s="676"/>
      <c r="M242" s="676"/>
      <c r="N242" s="676"/>
      <c r="O242" s="676"/>
      <c r="P242" s="676"/>
      <c r="Q242" s="676"/>
      <c r="R242" s="676"/>
      <c r="S242" s="676"/>
      <c r="T242" s="676"/>
      <c r="U242" s="676"/>
      <c r="V242" s="676"/>
      <c r="W242" s="676"/>
      <c r="X242" s="676"/>
      <c r="Y242" s="676"/>
      <c r="Z242" s="676"/>
      <c r="AA242" s="676"/>
      <c r="AB242" s="676"/>
      <c r="AC242" s="676"/>
      <c r="AD242" s="676"/>
      <c r="AE242" s="676"/>
      <c r="AF242" s="676"/>
      <c r="AG242" s="676"/>
      <c r="AH242" s="676"/>
      <c r="AI242" s="676"/>
      <c r="AJ242" s="676"/>
      <c r="AK242" s="676"/>
      <c r="AL242" s="676"/>
      <c r="AM242" s="676"/>
      <c r="AN242" s="676"/>
      <c r="AO242" s="676"/>
      <c r="AP242" s="675"/>
    </row>
    <row r="243" spans="1:42" ht="14" hidden="1" customHeight="1" x14ac:dyDescent="0.3">
      <c r="A243" s="1215" t="s">
        <v>880</v>
      </c>
      <c r="B243" s="644"/>
      <c r="C243" s="679"/>
      <c r="D243" s="676" t="s">
        <v>918</v>
      </c>
      <c r="E243" s="672"/>
      <c r="F243" s="672"/>
      <c r="G243" s="676"/>
      <c r="H243" s="676"/>
      <c r="I243" s="676"/>
      <c r="J243" s="685">
        <v>2.5</v>
      </c>
      <c r="K243" s="676"/>
      <c r="L243" s="676"/>
      <c r="M243" s="676"/>
      <c r="N243" s="676"/>
      <c r="O243" s="676"/>
      <c r="P243" s="676"/>
      <c r="Q243" s="676"/>
      <c r="R243" s="676"/>
      <c r="S243" s="676"/>
      <c r="T243" s="676"/>
      <c r="U243" s="676"/>
      <c r="V243" s="676"/>
      <c r="W243" s="676"/>
      <c r="X243" s="676"/>
      <c r="Y243" s="676"/>
      <c r="Z243" s="676"/>
      <c r="AA243" s="676"/>
      <c r="AB243" s="676"/>
      <c r="AC243" s="676"/>
      <c r="AD243" s="676"/>
      <c r="AE243" s="676"/>
      <c r="AF243" s="676"/>
      <c r="AG243" s="676"/>
      <c r="AH243" s="676"/>
      <c r="AI243" s="676"/>
      <c r="AJ243" s="676"/>
      <c r="AK243" s="676"/>
      <c r="AL243" s="676"/>
      <c r="AM243" s="676"/>
      <c r="AN243" s="676"/>
      <c r="AO243" s="676"/>
      <c r="AP243" s="675"/>
    </row>
    <row r="244" spans="1:42" ht="14.25" hidden="1" customHeight="1" x14ac:dyDescent="0.3">
      <c r="A244" s="1215"/>
      <c r="B244" s="644"/>
      <c r="C244" s="678"/>
      <c r="D244" s="676" t="s">
        <v>919</v>
      </c>
      <c r="E244" s="687"/>
      <c r="F244" s="687"/>
      <c r="G244" s="687"/>
      <c r="H244" s="687"/>
      <c r="I244" s="687"/>
      <c r="J244" s="685">
        <v>7.8</v>
      </c>
      <c r="K244" s="687"/>
      <c r="L244" s="676"/>
      <c r="M244" s="676"/>
      <c r="N244" s="676"/>
      <c r="O244" s="676"/>
      <c r="P244" s="676"/>
      <c r="Q244" s="676"/>
      <c r="R244" s="676"/>
      <c r="S244" s="676"/>
      <c r="T244" s="676"/>
      <c r="U244" s="676"/>
      <c r="V244" s="676"/>
      <c r="W244" s="676"/>
      <c r="X244" s="676"/>
      <c r="Y244" s="676"/>
      <c r="Z244" s="676"/>
      <c r="AA244" s="676"/>
      <c r="AB244" s="676"/>
      <c r="AC244" s="676"/>
      <c r="AD244" s="676"/>
      <c r="AE244" s="676"/>
      <c r="AF244" s="676"/>
      <c r="AG244" s="676"/>
      <c r="AH244" s="676"/>
      <c r="AI244" s="676"/>
      <c r="AJ244" s="676"/>
      <c r="AK244" s="676"/>
      <c r="AL244" s="676"/>
      <c r="AM244" s="676"/>
      <c r="AN244" s="676"/>
      <c r="AO244" s="676"/>
      <c r="AP244" s="675"/>
    </row>
    <row r="245" spans="1:42" ht="14.25" hidden="1" customHeight="1" x14ac:dyDescent="0.3">
      <c r="A245" s="1215"/>
      <c r="B245" s="644"/>
      <c r="C245" s="678"/>
      <c r="D245" s="676" t="s">
        <v>920</v>
      </c>
      <c r="E245" s="676"/>
      <c r="F245" s="676"/>
      <c r="G245" s="676"/>
      <c r="H245" s="676"/>
      <c r="I245" s="676"/>
      <c r="J245" s="685">
        <v>1.1000000000000001</v>
      </c>
      <c r="K245" s="676"/>
      <c r="L245" s="676"/>
      <c r="M245" s="676"/>
      <c r="N245" s="676"/>
      <c r="O245" s="676"/>
      <c r="P245" s="676"/>
      <c r="Q245" s="676"/>
      <c r="R245" s="676"/>
      <c r="S245" s="676"/>
      <c r="T245" s="676"/>
      <c r="U245" s="676"/>
      <c r="V245" s="676"/>
      <c r="W245" s="676"/>
      <c r="X245" s="676"/>
      <c r="Y245" s="676"/>
      <c r="Z245" s="676"/>
      <c r="AA245" s="676"/>
      <c r="AB245" s="676"/>
      <c r="AC245" s="676"/>
      <c r="AD245" s="676"/>
      <c r="AE245" s="676"/>
      <c r="AF245" s="676"/>
      <c r="AG245" s="676"/>
      <c r="AH245" s="676"/>
      <c r="AI245" s="676"/>
      <c r="AJ245" s="676"/>
      <c r="AK245" s="676"/>
      <c r="AL245" s="676"/>
      <c r="AM245" s="676"/>
      <c r="AN245" s="676"/>
      <c r="AO245" s="676"/>
      <c r="AP245" s="675"/>
    </row>
    <row r="246" spans="1:42" ht="14.25" hidden="1" customHeight="1" x14ac:dyDescent="0.3">
      <c r="A246" s="1215"/>
      <c r="B246" s="644"/>
      <c r="C246" s="678"/>
      <c r="D246" s="676" t="s">
        <v>921</v>
      </c>
      <c r="E246" s="687"/>
      <c r="F246" s="687"/>
      <c r="G246" s="687"/>
      <c r="H246" s="687"/>
      <c r="I246" s="687"/>
      <c r="J246" s="685">
        <v>2</v>
      </c>
      <c r="K246" s="687"/>
      <c r="L246" s="676"/>
      <c r="M246" s="676"/>
      <c r="N246" s="676"/>
      <c r="O246" s="676"/>
      <c r="P246" s="676"/>
      <c r="Q246" s="676"/>
      <c r="R246" s="676"/>
      <c r="S246" s="676"/>
      <c r="T246" s="676"/>
      <c r="U246" s="676"/>
      <c r="V246" s="676"/>
      <c r="W246" s="676"/>
      <c r="X246" s="676"/>
      <c r="Y246" s="676"/>
      <c r="Z246" s="676"/>
      <c r="AA246" s="676"/>
      <c r="AB246" s="676"/>
      <c r="AC246" s="676"/>
      <c r="AD246" s="676"/>
      <c r="AE246" s="676"/>
      <c r="AF246" s="676"/>
      <c r="AG246" s="676"/>
      <c r="AH246" s="676"/>
      <c r="AI246" s="676"/>
      <c r="AJ246" s="676"/>
      <c r="AK246" s="676"/>
      <c r="AL246" s="676"/>
      <c r="AM246" s="676"/>
      <c r="AN246" s="676"/>
      <c r="AO246" s="676"/>
      <c r="AP246" s="675"/>
    </row>
    <row r="247" spans="1:42" ht="14.25" hidden="1" customHeight="1" x14ac:dyDescent="0.3">
      <c r="A247" s="1215"/>
      <c r="B247" s="644"/>
      <c r="C247" s="678"/>
      <c r="D247" s="676" t="s">
        <v>922</v>
      </c>
      <c r="E247" s="676"/>
      <c r="F247" s="676"/>
      <c r="G247" s="676"/>
      <c r="H247" s="676"/>
      <c r="I247" s="676"/>
      <c r="J247" s="685">
        <f>3.5+3.5</f>
        <v>7</v>
      </c>
      <c r="K247" s="676"/>
      <c r="L247" s="676"/>
      <c r="M247" s="676"/>
      <c r="N247" s="676"/>
      <c r="O247" s="676"/>
      <c r="P247" s="676"/>
      <c r="Q247" s="676"/>
      <c r="R247" s="676"/>
      <c r="S247" s="676"/>
      <c r="T247" s="676"/>
      <c r="U247" s="676"/>
      <c r="V247" s="676"/>
      <c r="W247" s="676"/>
      <c r="X247" s="676"/>
      <c r="Y247" s="676"/>
      <c r="Z247" s="676"/>
      <c r="AA247" s="676"/>
      <c r="AB247" s="676"/>
      <c r="AC247" s="676"/>
      <c r="AD247" s="676"/>
      <c r="AE247" s="676"/>
      <c r="AF247" s="676"/>
      <c r="AG247" s="676"/>
      <c r="AH247" s="676"/>
      <c r="AI247" s="676"/>
      <c r="AJ247" s="676"/>
      <c r="AK247" s="676"/>
      <c r="AL247" s="676"/>
      <c r="AM247" s="676"/>
      <c r="AN247" s="676"/>
      <c r="AO247" s="676"/>
      <c r="AP247" s="675"/>
    </row>
    <row r="248" spans="1:42" ht="14.25" hidden="1" customHeight="1" x14ac:dyDescent="0.3">
      <c r="A248" s="1215"/>
      <c r="B248" s="644"/>
      <c r="C248" s="678"/>
      <c r="D248" s="676" t="s">
        <v>923</v>
      </c>
      <c r="E248" s="687"/>
      <c r="F248" s="687"/>
      <c r="G248" s="687"/>
      <c r="H248" s="687"/>
      <c r="I248" s="687"/>
      <c r="J248" s="685">
        <f>0.8+4+0.8</f>
        <v>5.6</v>
      </c>
      <c r="K248" s="687"/>
      <c r="L248" s="676"/>
      <c r="M248" s="676"/>
      <c r="N248" s="676"/>
      <c r="O248" s="676"/>
      <c r="P248" s="676"/>
      <c r="Q248" s="676"/>
      <c r="R248" s="676"/>
      <c r="S248" s="676"/>
      <c r="T248" s="676"/>
      <c r="U248" s="676"/>
      <c r="V248" s="676"/>
      <c r="W248" s="676"/>
      <c r="X248" s="676"/>
      <c r="Y248" s="676"/>
      <c r="Z248" s="676"/>
      <c r="AA248" s="676"/>
      <c r="AB248" s="676"/>
      <c r="AC248" s="676"/>
      <c r="AD248" s="676"/>
      <c r="AE248" s="676"/>
      <c r="AF248" s="676"/>
      <c r="AG248" s="676"/>
      <c r="AH248" s="676"/>
      <c r="AI248" s="676"/>
      <c r="AJ248" s="676"/>
      <c r="AK248" s="676"/>
      <c r="AL248" s="676"/>
      <c r="AM248" s="676"/>
      <c r="AN248" s="676"/>
      <c r="AO248" s="676"/>
      <c r="AP248" s="675"/>
    </row>
    <row r="249" spans="1:42" ht="14.25" hidden="1" customHeight="1" x14ac:dyDescent="0.3">
      <c r="A249" s="1215"/>
      <c r="B249" s="644"/>
      <c r="C249" s="678"/>
      <c r="D249" s="676" t="s">
        <v>924</v>
      </c>
      <c r="E249" s="676"/>
      <c r="F249" s="676"/>
      <c r="G249" s="676"/>
      <c r="H249" s="676"/>
      <c r="I249" s="676"/>
      <c r="J249" s="685">
        <v>1.2</v>
      </c>
      <c r="K249" s="676"/>
      <c r="L249" s="676"/>
      <c r="M249" s="676"/>
      <c r="N249" s="676"/>
      <c r="O249" s="676"/>
      <c r="P249" s="676"/>
      <c r="Q249" s="676"/>
      <c r="R249" s="676"/>
      <c r="S249" s="676"/>
      <c r="T249" s="676"/>
      <c r="U249" s="676"/>
      <c r="V249" s="676"/>
      <c r="W249" s="676"/>
      <c r="X249" s="676"/>
      <c r="Y249" s="676"/>
      <c r="Z249" s="676"/>
      <c r="AA249" s="676"/>
      <c r="AB249" s="676"/>
      <c r="AC249" s="676"/>
      <c r="AD249" s="676"/>
      <c r="AE249" s="676"/>
      <c r="AF249" s="676"/>
      <c r="AG249" s="676"/>
      <c r="AH249" s="676"/>
      <c r="AI249" s="676"/>
      <c r="AJ249" s="676"/>
      <c r="AK249" s="676"/>
      <c r="AL249" s="676"/>
      <c r="AM249" s="676"/>
      <c r="AN249" s="676"/>
      <c r="AO249" s="676"/>
      <c r="AP249" s="675"/>
    </row>
    <row r="250" spans="1:42" s="658" customFormat="1" ht="13.5" hidden="1" customHeight="1" x14ac:dyDescent="0.3">
      <c r="A250" s="684"/>
      <c r="B250" s="662"/>
      <c r="C250" s="674"/>
      <c r="D250" s="672" t="s">
        <v>925</v>
      </c>
      <c r="E250" s="672"/>
      <c r="F250" s="672"/>
      <c r="G250" s="672"/>
      <c r="H250" s="672"/>
      <c r="I250" s="672"/>
      <c r="J250" s="686">
        <f>SUM(J243:J249)</f>
        <v>27.2</v>
      </c>
      <c r="K250" s="672"/>
      <c r="L250" s="672"/>
      <c r="M250" s="672"/>
      <c r="N250" s="672"/>
      <c r="O250" s="672"/>
      <c r="P250" s="672"/>
      <c r="Q250" s="672"/>
      <c r="R250" s="672"/>
      <c r="S250" s="672"/>
      <c r="T250" s="672"/>
      <c r="U250" s="672"/>
      <c r="V250" s="672"/>
      <c r="W250" s="672"/>
      <c r="X250" s="672"/>
      <c r="Y250" s="672"/>
      <c r="Z250" s="672"/>
      <c r="AA250" s="672"/>
      <c r="AB250" s="672"/>
      <c r="AC250" s="672"/>
      <c r="AD250" s="672"/>
      <c r="AE250" s="672"/>
      <c r="AF250" s="672"/>
      <c r="AG250" s="672"/>
      <c r="AH250" s="672"/>
      <c r="AI250" s="672"/>
      <c r="AJ250" s="672"/>
      <c r="AK250" s="672"/>
      <c r="AL250" s="672"/>
      <c r="AM250" s="672"/>
      <c r="AN250" s="672"/>
      <c r="AO250" s="672"/>
      <c r="AP250" s="671"/>
    </row>
    <row r="251" spans="1:42" ht="14.25" hidden="1" customHeight="1" x14ac:dyDescent="0.3">
      <c r="A251" s="973"/>
      <c r="B251" s="644"/>
      <c r="C251" s="679"/>
      <c r="D251" s="682"/>
      <c r="E251" s="683"/>
      <c r="F251" s="683"/>
      <c r="G251" s="683"/>
      <c r="H251" s="683"/>
      <c r="I251" s="683"/>
      <c r="J251" s="683"/>
      <c r="K251" s="683"/>
      <c r="L251" s="683"/>
      <c r="M251" s="683"/>
      <c r="N251" s="682"/>
      <c r="O251" s="682"/>
      <c r="P251" s="682"/>
      <c r="Q251" s="682"/>
      <c r="R251" s="682"/>
      <c r="S251" s="682"/>
      <c r="T251" s="682"/>
      <c r="U251" s="682"/>
      <c r="V251" s="682"/>
      <c r="W251" s="682"/>
      <c r="X251" s="682"/>
      <c r="Y251" s="682"/>
      <c r="Z251" s="682"/>
      <c r="AA251" s="682"/>
      <c r="AB251" s="682"/>
      <c r="AC251" s="682"/>
      <c r="AD251" s="682"/>
      <c r="AE251" s="682"/>
      <c r="AF251" s="682"/>
      <c r="AG251" s="682"/>
      <c r="AH251" s="682"/>
      <c r="AI251" s="682"/>
      <c r="AJ251" s="682"/>
      <c r="AK251" s="682"/>
      <c r="AL251" s="682"/>
      <c r="AM251" s="682"/>
      <c r="AN251" s="682"/>
      <c r="AO251" s="682"/>
      <c r="AP251" s="675"/>
    </row>
    <row r="252" spans="1:42" ht="14.25" hidden="1" customHeight="1" x14ac:dyDescent="0.3">
      <c r="A252" s="973"/>
      <c r="B252" s="644"/>
      <c r="C252" s="679"/>
      <c r="D252" s="681" t="s">
        <v>927</v>
      </c>
      <c r="E252" s="672"/>
      <c r="F252" s="672"/>
      <c r="G252" s="676"/>
      <c r="H252" s="676"/>
      <c r="I252" s="676"/>
      <c r="J252" s="676"/>
      <c r="K252" s="676"/>
      <c r="L252" s="676"/>
      <c r="M252" s="676"/>
      <c r="N252" s="676"/>
      <c r="O252" s="676"/>
      <c r="P252" s="676"/>
      <c r="Q252" s="676"/>
      <c r="R252" s="676"/>
      <c r="S252" s="676"/>
      <c r="T252" s="676"/>
      <c r="U252" s="676"/>
      <c r="V252" s="676"/>
      <c r="W252" s="676"/>
      <c r="X252" s="676"/>
      <c r="Y252" s="676"/>
      <c r="Z252" s="676"/>
      <c r="AA252" s="676"/>
      <c r="AB252" s="676"/>
      <c r="AC252" s="676"/>
      <c r="AD252" s="676"/>
      <c r="AE252" s="676"/>
      <c r="AF252" s="676"/>
      <c r="AG252" s="676"/>
      <c r="AH252" s="676"/>
      <c r="AI252" s="676"/>
      <c r="AJ252" s="676"/>
      <c r="AK252" s="676"/>
      <c r="AL252" s="676"/>
      <c r="AM252" s="676"/>
      <c r="AN252" s="676"/>
      <c r="AO252" s="676"/>
      <c r="AP252" s="675"/>
    </row>
    <row r="253" spans="1:42" ht="14.25" hidden="1" customHeight="1" x14ac:dyDescent="0.3">
      <c r="A253" s="973"/>
      <c r="B253" s="644"/>
      <c r="C253" s="679"/>
      <c r="D253" s="672"/>
      <c r="E253" s="672"/>
      <c r="F253" s="672"/>
      <c r="G253" s="676"/>
      <c r="H253" s="676"/>
      <c r="I253" s="676"/>
      <c r="J253" s="676"/>
      <c r="K253" s="676"/>
      <c r="L253" s="676"/>
      <c r="M253" s="676"/>
      <c r="N253" s="676"/>
      <c r="O253" s="676"/>
      <c r="P253" s="676"/>
      <c r="Q253" s="676"/>
      <c r="R253" s="676"/>
      <c r="S253" s="676"/>
      <c r="T253" s="676"/>
      <c r="U253" s="676"/>
      <c r="V253" s="676"/>
      <c r="W253" s="676"/>
      <c r="X253" s="676"/>
      <c r="Y253" s="676"/>
      <c r="Z253" s="676"/>
      <c r="AA253" s="676"/>
      <c r="AB253" s="676"/>
      <c r="AC253" s="676"/>
      <c r="AD253" s="676"/>
      <c r="AE253" s="676"/>
      <c r="AF253" s="676"/>
      <c r="AG253" s="676"/>
      <c r="AH253" s="676"/>
      <c r="AI253" s="676"/>
      <c r="AJ253" s="676"/>
      <c r="AK253" s="676"/>
      <c r="AL253" s="676"/>
      <c r="AM253" s="676"/>
      <c r="AN253" s="676"/>
      <c r="AO253" s="676"/>
      <c r="AP253" s="675"/>
    </row>
    <row r="254" spans="1:42" ht="14.25" hidden="1" customHeight="1" x14ac:dyDescent="0.3">
      <c r="A254" s="1215" t="s">
        <v>880</v>
      </c>
      <c r="B254" s="644"/>
      <c r="C254" s="678"/>
      <c r="D254" s="676" t="s">
        <v>928</v>
      </c>
      <c r="E254" s="687"/>
      <c r="F254" s="687"/>
      <c r="G254" s="687"/>
      <c r="H254" s="687"/>
      <c r="I254" s="687"/>
      <c r="J254" s="685">
        <v>1.1200000000000001</v>
      </c>
      <c r="K254" s="687"/>
      <c r="L254" s="687"/>
      <c r="M254" s="676"/>
      <c r="N254" s="676"/>
      <c r="O254" s="676"/>
      <c r="P254" s="676"/>
      <c r="Q254" s="676"/>
      <c r="R254" s="676"/>
      <c r="S254" s="676"/>
      <c r="T254" s="676"/>
      <c r="U254" s="676"/>
      <c r="V254" s="676"/>
      <c r="W254" s="676"/>
      <c r="X254" s="676"/>
      <c r="Y254" s="676"/>
      <c r="Z254" s="676"/>
      <c r="AA254" s="676"/>
      <c r="AB254" s="676"/>
      <c r="AC254" s="676"/>
      <c r="AD254" s="676"/>
      <c r="AE254" s="676"/>
      <c r="AF254" s="676"/>
      <c r="AG254" s="676"/>
      <c r="AH254" s="676"/>
      <c r="AI254" s="676"/>
      <c r="AJ254" s="676"/>
      <c r="AK254" s="676"/>
      <c r="AL254" s="676"/>
      <c r="AM254" s="676"/>
      <c r="AN254" s="676"/>
      <c r="AO254" s="676"/>
      <c r="AP254" s="675"/>
    </row>
    <row r="255" spans="1:42" ht="14.25" hidden="1" customHeight="1" x14ac:dyDescent="0.3">
      <c r="A255" s="1215"/>
      <c r="B255" s="644"/>
      <c r="C255" s="678"/>
      <c r="D255" s="676" t="s">
        <v>929</v>
      </c>
      <c r="E255" s="687"/>
      <c r="F255" s="687"/>
      <c r="G255" s="687"/>
      <c r="H255" s="687"/>
      <c r="I255" s="687"/>
      <c r="J255" s="685">
        <v>1.1499999999999999</v>
      </c>
      <c r="K255" s="687"/>
      <c r="L255" s="676"/>
      <c r="M255" s="676"/>
      <c r="N255" s="676"/>
      <c r="O255" s="676"/>
      <c r="P255" s="676"/>
      <c r="Q255" s="676"/>
      <c r="R255" s="676"/>
      <c r="S255" s="676"/>
      <c r="T255" s="676"/>
      <c r="U255" s="676"/>
      <c r="V255" s="676"/>
      <c r="W255" s="676"/>
      <c r="X255" s="676"/>
      <c r="Y255" s="676"/>
      <c r="Z255" s="676"/>
      <c r="AA255" s="676"/>
      <c r="AB255" s="676"/>
      <c r="AC255" s="676"/>
      <c r="AD255" s="676"/>
      <c r="AE255" s="676"/>
      <c r="AF255" s="676"/>
      <c r="AG255" s="676"/>
      <c r="AH255" s="676"/>
      <c r="AI255" s="676"/>
      <c r="AJ255" s="676"/>
      <c r="AK255" s="676"/>
      <c r="AL255" s="676"/>
      <c r="AM255" s="676"/>
      <c r="AN255" s="676"/>
      <c r="AO255" s="676"/>
      <c r="AP255" s="675"/>
    </row>
    <row r="256" spans="1:42" ht="14.25" hidden="1" customHeight="1" x14ac:dyDescent="0.3">
      <c r="A256" s="1215"/>
      <c r="B256" s="644"/>
      <c r="C256" s="678"/>
      <c r="D256" s="676" t="s">
        <v>930</v>
      </c>
      <c r="E256" s="676"/>
      <c r="F256" s="676"/>
      <c r="G256" s="676"/>
      <c r="H256" s="676"/>
      <c r="I256" s="676"/>
      <c r="J256" s="685">
        <v>3.93</v>
      </c>
      <c r="K256" s="676"/>
      <c r="L256" s="676"/>
      <c r="M256" s="676"/>
      <c r="N256" s="676"/>
      <c r="O256" s="676"/>
      <c r="P256" s="676"/>
      <c r="Q256" s="676"/>
      <c r="R256" s="676"/>
      <c r="S256" s="676"/>
      <c r="T256" s="676"/>
      <c r="U256" s="676"/>
      <c r="V256" s="676"/>
      <c r="W256" s="676"/>
      <c r="X256" s="676"/>
      <c r="Y256" s="676"/>
      <c r="Z256" s="676"/>
      <c r="AA256" s="676"/>
      <c r="AB256" s="676"/>
      <c r="AC256" s="676"/>
      <c r="AD256" s="676"/>
      <c r="AE256" s="676"/>
      <c r="AF256" s="676"/>
      <c r="AG256" s="676"/>
      <c r="AH256" s="676"/>
      <c r="AI256" s="676"/>
      <c r="AJ256" s="676"/>
      <c r="AK256" s="676"/>
      <c r="AL256" s="676"/>
      <c r="AM256" s="676"/>
      <c r="AN256" s="676"/>
      <c r="AO256" s="676"/>
      <c r="AP256" s="675"/>
    </row>
    <row r="257" spans="1:42" ht="14.25" hidden="1" customHeight="1" x14ac:dyDescent="0.3">
      <c r="A257" s="1215"/>
      <c r="B257" s="644"/>
      <c r="C257" s="678"/>
      <c r="D257" s="676" t="s">
        <v>931</v>
      </c>
      <c r="E257" s="676"/>
      <c r="F257" s="676"/>
      <c r="G257" s="676"/>
      <c r="H257" s="676"/>
      <c r="I257" s="676"/>
      <c r="J257" s="685">
        <v>1.24</v>
      </c>
      <c r="K257" s="676"/>
      <c r="L257" s="676"/>
      <c r="M257" s="676"/>
      <c r="N257" s="676"/>
      <c r="O257" s="676"/>
      <c r="P257" s="676"/>
      <c r="Q257" s="676"/>
      <c r="R257" s="676"/>
      <c r="S257" s="676"/>
      <c r="T257" s="676"/>
      <c r="U257" s="676"/>
      <c r="V257" s="676"/>
      <c r="W257" s="676"/>
      <c r="X257" s="676"/>
      <c r="Y257" s="676"/>
      <c r="Z257" s="676"/>
      <c r="AA257" s="676"/>
      <c r="AB257" s="676"/>
      <c r="AC257" s="676"/>
      <c r="AD257" s="676"/>
      <c r="AE257" s="676"/>
      <c r="AF257" s="676"/>
      <c r="AG257" s="676"/>
      <c r="AH257" s="676"/>
      <c r="AI257" s="676"/>
      <c r="AJ257" s="676"/>
      <c r="AK257" s="676"/>
      <c r="AL257" s="676"/>
      <c r="AM257" s="676"/>
      <c r="AN257" s="676"/>
      <c r="AO257" s="676"/>
      <c r="AP257" s="675"/>
    </row>
    <row r="258" spans="1:42" s="658" customFormat="1" ht="13.5" hidden="1" customHeight="1" x14ac:dyDescent="0.3">
      <c r="A258" s="684"/>
      <c r="B258" s="662"/>
      <c r="C258" s="674"/>
      <c r="D258" s="672" t="s">
        <v>932</v>
      </c>
      <c r="E258" s="672"/>
      <c r="F258" s="672"/>
      <c r="G258" s="672"/>
      <c r="H258" s="672"/>
      <c r="I258" s="672"/>
      <c r="J258" s="686">
        <f>SUM(J254:J257)</f>
        <v>7.44</v>
      </c>
      <c r="K258" s="672"/>
      <c r="L258" s="672"/>
      <c r="M258" s="672"/>
      <c r="N258" s="672"/>
      <c r="O258" s="672"/>
      <c r="P258" s="672"/>
      <c r="Q258" s="672"/>
      <c r="R258" s="672"/>
      <c r="S258" s="672"/>
      <c r="T258" s="672"/>
      <c r="U258" s="672"/>
      <c r="V258" s="672"/>
      <c r="W258" s="672"/>
      <c r="X258" s="672"/>
      <c r="Y258" s="672"/>
      <c r="Z258" s="672"/>
      <c r="AA258" s="672"/>
      <c r="AB258" s="672"/>
      <c r="AC258" s="672"/>
      <c r="AD258" s="672"/>
      <c r="AE258" s="672"/>
      <c r="AF258" s="672"/>
      <c r="AG258" s="672"/>
      <c r="AH258" s="672"/>
      <c r="AI258" s="672"/>
      <c r="AJ258" s="672"/>
      <c r="AK258" s="672"/>
      <c r="AL258" s="672"/>
      <c r="AM258" s="672"/>
      <c r="AN258" s="672"/>
      <c r="AO258" s="672"/>
      <c r="AP258" s="671"/>
    </row>
    <row r="259" spans="1:42" ht="14.25" hidden="1" customHeight="1" x14ac:dyDescent="0.3">
      <c r="A259" s="973"/>
      <c r="B259" s="644"/>
      <c r="C259" s="679"/>
      <c r="D259" s="682"/>
      <c r="E259" s="683"/>
      <c r="F259" s="683"/>
      <c r="G259" s="683"/>
      <c r="H259" s="683"/>
      <c r="I259" s="683"/>
      <c r="J259" s="683"/>
      <c r="K259" s="683"/>
      <c r="L259" s="683"/>
      <c r="M259" s="683"/>
      <c r="N259" s="682"/>
      <c r="O259" s="682"/>
      <c r="P259" s="682"/>
      <c r="Q259" s="682"/>
      <c r="R259" s="682"/>
      <c r="S259" s="682"/>
      <c r="T259" s="682"/>
      <c r="U259" s="682"/>
      <c r="V259" s="682"/>
      <c r="W259" s="682"/>
      <c r="X259" s="682"/>
      <c r="Y259" s="682"/>
      <c r="Z259" s="682"/>
      <c r="AA259" s="682"/>
      <c r="AB259" s="682"/>
      <c r="AC259" s="682"/>
      <c r="AD259" s="682"/>
      <c r="AE259" s="682"/>
      <c r="AF259" s="682"/>
      <c r="AG259" s="682"/>
      <c r="AH259" s="682"/>
      <c r="AI259" s="682"/>
      <c r="AJ259" s="682"/>
      <c r="AK259" s="682"/>
      <c r="AL259" s="682"/>
      <c r="AM259" s="682"/>
      <c r="AN259" s="682"/>
      <c r="AO259" s="682"/>
      <c r="AP259" s="675"/>
    </row>
    <row r="260" spans="1:42" ht="14.25" hidden="1" customHeight="1" x14ac:dyDescent="0.3">
      <c r="A260" s="973"/>
      <c r="B260" s="644"/>
      <c r="C260" s="679"/>
      <c r="D260" s="681" t="s">
        <v>933</v>
      </c>
      <c r="E260" s="672"/>
      <c r="F260" s="672"/>
      <c r="G260" s="676"/>
      <c r="H260" s="676"/>
      <c r="I260" s="676"/>
      <c r="J260" s="676"/>
      <c r="K260" s="676"/>
      <c r="L260" s="676"/>
      <c r="M260" s="676"/>
      <c r="N260" s="676"/>
      <c r="O260" s="676"/>
      <c r="P260" s="676"/>
      <c r="Q260" s="676"/>
      <c r="R260" s="676"/>
      <c r="S260" s="676"/>
      <c r="T260" s="676"/>
      <c r="U260" s="676"/>
      <c r="V260" s="676"/>
      <c r="W260" s="676"/>
      <c r="X260" s="676"/>
      <c r="Y260" s="676"/>
      <c r="Z260" s="676"/>
      <c r="AA260" s="676"/>
      <c r="AB260" s="676"/>
      <c r="AC260" s="676"/>
      <c r="AD260" s="676"/>
      <c r="AE260" s="676"/>
      <c r="AF260" s="676"/>
      <c r="AG260" s="676"/>
      <c r="AH260" s="676"/>
      <c r="AI260" s="676"/>
      <c r="AJ260" s="676"/>
      <c r="AK260" s="676"/>
      <c r="AL260" s="676"/>
      <c r="AM260" s="676"/>
      <c r="AN260" s="676"/>
      <c r="AO260" s="676"/>
      <c r="AP260" s="675"/>
    </row>
    <row r="261" spans="1:42" ht="14.25" hidden="1" customHeight="1" x14ac:dyDescent="0.3">
      <c r="A261" s="973"/>
      <c r="B261" s="644"/>
      <c r="C261" s="679"/>
      <c r="D261" s="680" t="s">
        <v>934</v>
      </c>
      <c r="E261" s="672"/>
      <c r="F261" s="672"/>
      <c r="G261" s="676"/>
      <c r="H261" s="676"/>
      <c r="I261" s="676"/>
      <c r="J261" s="676"/>
      <c r="K261" s="676"/>
      <c r="L261" s="676"/>
      <c r="M261" s="676"/>
      <c r="N261" s="676"/>
      <c r="O261" s="676"/>
      <c r="P261" s="676"/>
      <c r="Q261" s="676"/>
      <c r="R261" s="676"/>
      <c r="S261" s="676"/>
      <c r="T261" s="676"/>
      <c r="U261" s="676"/>
      <c r="V261" s="676"/>
      <c r="W261" s="676"/>
      <c r="X261" s="676"/>
      <c r="Y261" s="676"/>
      <c r="Z261" s="676"/>
      <c r="AA261" s="676"/>
      <c r="AB261" s="676"/>
      <c r="AC261" s="676"/>
      <c r="AD261" s="676"/>
      <c r="AE261" s="676"/>
      <c r="AF261" s="676"/>
      <c r="AG261" s="676"/>
      <c r="AH261" s="676"/>
      <c r="AI261" s="676"/>
      <c r="AJ261" s="676"/>
      <c r="AK261" s="676"/>
      <c r="AL261" s="676"/>
      <c r="AM261" s="676"/>
      <c r="AN261" s="676"/>
      <c r="AO261" s="676"/>
      <c r="AP261" s="675"/>
    </row>
    <row r="262" spans="1:42" ht="14.25" hidden="1" customHeight="1" x14ac:dyDescent="0.3">
      <c r="A262" s="1215" t="s">
        <v>935</v>
      </c>
      <c r="B262" s="644"/>
      <c r="C262" s="679"/>
      <c r="D262" s="676" t="s">
        <v>936</v>
      </c>
      <c r="E262" s="685">
        <v>63.38</v>
      </c>
      <c r="F262" s="685">
        <v>16.22</v>
      </c>
      <c r="G262" s="685">
        <v>15.59</v>
      </c>
      <c r="H262" s="685">
        <v>15.35</v>
      </c>
      <c r="I262" s="685">
        <v>15.58</v>
      </c>
      <c r="J262" s="685">
        <v>15.39</v>
      </c>
      <c r="K262" s="685">
        <v>14.9</v>
      </c>
      <c r="L262" s="685">
        <v>14.59</v>
      </c>
      <c r="M262" s="676">
        <v>16.510000000000002</v>
      </c>
      <c r="N262" s="676"/>
      <c r="O262" s="676"/>
      <c r="P262" s="676"/>
      <c r="Q262" s="676"/>
      <c r="R262" s="676"/>
      <c r="S262" s="676"/>
      <c r="T262" s="676"/>
      <c r="U262" s="676"/>
      <c r="V262" s="676"/>
      <c r="W262" s="676"/>
      <c r="X262" s="676"/>
      <c r="Y262" s="676"/>
      <c r="Z262" s="676"/>
      <c r="AA262" s="676"/>
      <c r="AB262" s="676"/>
      <c r="AC262" s="676"/>
      <c r="AD262" s="676"/>
      <c r="AE262" s="676"/>
      <c r="AF262" s="676"/>
      <c r="AG262" s="676"/>
      <c r="AH262" s="676"/>
      <c r="AI262" s="676"/>
      <c r="AJ262" s="676"/>
      <c r="AK262" s="676"/>
      <c r="AL262" s="676"/>
      <c r="AM262" s="676"/>
      <c r="AN262" s="676"/>
      <c r="AO262" s="676"/>
      <c r="AP262" s="675"/>
    </row>
    <row r="263" spans="1:42" ht="14.25" hidden="1" customHeight="1" x14ac:dyDescent="0.3">
      <c r="A263" s="1215"/>
      <c r="B263" s="644"/>
      <c r="C263" s="678"/>
      <c r="D263" s="676" t="s">
        <v>937</v>
      </c>
      <c r="E263" s="685">
        <v>7.8</v>
      </c>
      <c r="F263" s="685">
        <v>8.11</v>
      </c>
      <c r="G263" s="685">
        <v>7.89</v>
      </c>
      <c r="H263" s="685">
        <v>7.77</v>
      </c>
      <c r="I263" s="685">
        <v>7.81</v>
      </c>
      <c r="J263" s="685">
        <v>7.32</v>
      </c>
      <c r="K263" s="685">
        <v>7.04</v>
      </c>
      <c r="L263" s="685">
        <v>7.22</v>
      </c>
      <c r="M263" s="676">
        <v>8.3800000000000008</v>
      </c>
      <c r="N263" s="676"/>
      <c r="O263" s="676"/>
      <c r="P263" s="676"/>
      <c r="Q263" s="676"/>
      <c r="R263" s="676"/>
      <c r="S263" s="676"/>
      <c r="T263" s="676"/>
      <c r="U263" s="676"/>
      <c r="V263" s="676"/>
      <c r="W263" s="676"/>
      <c r="X263" s="676"/>
      <c r="Y263" s="676"/>
      <c r="Z263" s="676"/>
      <c r="AA263" s="676"/>
      <c r="AB263" s="676"/>
      <c r="AC263" s="676"/>
      <c r="AD263" s="676"/>
      <c r="AE263" s="676"/>
      <c r="AF263" s="676"/>
      <c r="AG263" s="676"/>
      <c r="AH263" s="676"/>
      <c r="AI263" s="676"/>
      <c r="AJ263" s="676"/>
      <c r="AK263" s="676"/>
      <c r="AL263" s="676"/>
      <c r="AM263" s="676"/>
      <c r="AN263" s="676"/>
      <c r="AO263" s="676"/>
      <c r="AP263" s="675"/>
    </row>
    <row r="264" spans="1:42" ht="14.25" hidden="1" customHeight="1" x14ac:dyDescent="0.3">
      <c r="A264" s="1215"/>
      <c r="B264" s="644"/>
      <c r="C264" s="678"/>
      <c r="D264" s="676" t="s">
        <v>938</v>
      </c>
      <c r="E264" s="685">
        <v>11.5</v>
      </c>
      <c r="F264" s="685">
        <v>11.86</v>
      </c>
      <c r="G264" s="685">
        <v>11.85</v>
      </c>
      <c r="H264" s="685">
        <v>11.76</v>
      </c>
      <c r="I264" s="685">
        <v>12.66</v>
      </c>
      <c r="J264" s="685">
        <v>13.06</v>
      </c>
      <c r="K264" s="685">
        <v>12.92</v>
      </c>
      <c r="L264" s="685">
        <v>12.87</v>
      </c>
      <c r="M264" s="676">
        <v>13.44</v>
      </c>
      <c r="N264" s="676"/>
      <c r="O264" s="676"/>
      <c r="P264" s="676"/>
      <c r="Q264" s="676"/>
      <c r="R264" s="676"/>
      <c r="S264" s="676"/>
      <c r="T264" s="676"/>
      <c r="U264" s="676"/>
      <c r="V264" s="676"/>
      <c r="W264" s="676"/>
      <c r="X264" s="676"/>
      <c r="Y264" s="676"/>
      <c r="Z264" s="676"/>
      <c r="AA264" s="676"/>
      <c r="AB264" s="676"/>
      <c r="AC264" s="676"/>
      <c r="AD264" s="676"/>
      <c r="AE264" s="676"/>
      <c r="AF264" s="676"/>
      <c r="AG264" s="676"/>
      <c r="AH264" s="676"/>
      <c r="AI264" s="676"/>
      <c r="AJ264" s="676"/>
      <c r="AK264" s="676"/>
      <c r="AL264" s="676"/>
      <c r="AM264" s="676"/>
      <c r="AN264" s="676"/>
      <c r="AO264" s="676"/>
      <c r="AP264" s="675"/>
    </row>
    <row r="265" spans="1:42" ht="14.25" hidden="1" customHeight="1" x14ac:dyDescent="0.3">
      <c r="A265" s="1215"/>
      <c r="B265" s="644"/>
      <c r="C265" s="678"/>
      <c r="D265" s="676" t="s">
        <v>939</v>
      </c>
      <c r="E265" s="685">
        <v>33.630000000000003</v>
      </c>
      <c r="F265" s="685">
        <v>30.97</v>
      </c>
      <c r="G265" s="685">
        <v>27.85</v>
      </c>
      <c r="H265" s="685">
        <v>23.99</v>
      </c>
      <c r="I265" s="685">
        <v>24.69</v>
      </c>
      <c r="J265" s="685">
        <v>25.86</v>
      </c>
      <c r="K265" s="685">
        <v>25.13</v>
      </c>
      <c r="L265" s="685">
        <v>31.95</v>
      </c>
      <c r="M265" s="676">
        <v>56.05</v>
      </c>
      <c r="N265" s="676"/>
      <c r="O265" s="676"/>
      <c r="P265" s="676"/>
      <c r="Q265" s="676"/>
      <c r="R265" s="676"/>
      <c r="S265" s="676"/>
      <c r="T265" s="676"/>
      <c r="U265" s="676"/>
      <c r="V265" s="676"/>
      <c r="W265" s="676"/>
      <c r="X265" s="676"/>
      <c r="Y265" s="676"/>
      <c r="Z265" s="676"/>
      <c r="AA265" s="676"/>
      <c r="AB265" s="676"/>
      <c r="AC265" s="676"/>
      <c r="AD265" s="676"/>
      <c r="AE265" s="676"/>
      <c r="AF265" s="676"/>
      <c r="AG265" s="676"/>
      <c r="AH265" s="676"/>
      <c r="AI265" s="676"/>
      <c r="AJ265" s="676"/>
      <c r="AK265" s="676"/>
      <c r="AL265" s="676"/>
      <c r="AM265" s="676"/>
      <c r="AN265" s="676"/>
      <c r="AO265" s="676"/>
      <c r="AP265" s="675"/>
    </row>
    <row r="266" spans="1:42" ht="14" customHeight="1" x14ac:dyDescent="0.3">
      <c r="A266" s="973"/>
      <c r="B266" s="644"/>
      <c r="C266" s="679"/>
      <c r="D266" s="672"/>
      <c r="E266" s="672"/>
      <c r="F266" s="672"/>
      <c r="G266" s="676"/>
      <c r="H266" s="676"/>
      <c r="I266" s="676"/>
      <c r="J266" s="685"/>
      <c r="K266" s="685"/>
      <c r="L266" s="685"/>
      <c r="M266" s="685"/>
      <c r="N266" s="685"/>
      <c r="O266" s="685"/>
      <c r="P266" s="685"/>
      <c r="Q266" s="685"/>
      <c r="R266" s="685"/>
      <c r="S266" s="685"/>
      <c r="T266" s="685"/>
      <c r="U266" s="685"/>
      <c r="V266" s="685"/>
      <c r="W266" s="685"/>
      <c r="X266" s="685"/>
      <c r="Y266" s="685"/>
      <c r="Z266" s="685"/>
      <c r="AA266" s="685"/>
      <c r="AB266" s="685"/>
      <c r="AC266" s="685"/>
      <c r="AD266" s="685"/>
      <c r="AE266" s="685"/>
      <c r="AF266" s="685"/>
      <c r="AG266" s="685"/>
      <c r="AH266" s="685"/>
      <c r="AI266" s="685"/>
      <c r="AJ266" s="685"/>
      <c r="AK266" s="685"/>
      <c r="AL266" s="685"/>
      <c r="AM266" s="685"/>
      <c r="AN266" s="685"/>
      <c r="AO266" s="685"/>
      <c r="AP266" s="675"/>
    </row>
    <row r="267" spans="1:42" ht="14.25" customHeight="1" x14ac:dyDescent="0.3">
      <c r="A267" s="973"/>
      <c r="B267" s="644"/>
      <c r="C267" s="679"/>
      <c r="D267" s="672" t="s">
        <v>940</v>
      </c>
      <c r="E267" s="672"/>
      <c r="F267" s="672"/>
      <c r="G267" s="676"/>
      <c r="H267" s="676"/>
      <c r="I267" s="676"/>
      <c r="J267" s="685"/>
      <c r="K267" s="685"/>
      <c r="L267" s="685"/>
      <c r="M267" s="685"/>
      <c r="N267" s="685"/>
      <c r="O267" s="685"/>
      <c r="P267" s="685"/>
      <c r="Q267" s="685"/>
      <c r="R267" s="685"/>
      <c r="S267" s="685"/>
      <c r="T267" s="685"/>
      <c r="U267" s="685"/>
      <c r="V267" s="685"/>
      <c r="W267" s="685"/>
      <c r="X267" s="685"/>
      <c r="Y267" s="685"/>
      <c r="Z267" s="685"/>
      <c r="AA267" s="685"/>
      <c r="AB267" s="685"/>
      <c r="AC267" s="685"/>
      <c r="AD267" s="685"/>
      <c r="AE267" s="685"/>
      <c r="AF267" s="685"/>
      <c r="AG267" s="685"/>
      <c r="AH267" s="685"/>
      <c r="AI267" s="685"/>
      <c r="AJ267" s="685"/>
      <c r="AK267" s="685"/>
      <c r="AL267" s="685"/>
      <c r="AM267" s="685"/>
      <c r="AN267" s="685"/>
      <c r="AO267" s="685"/>
      <c r="AP267" s="675"/>
    </row>
    <row r="268" spans="1:42" ht="14.25" customHeight="1" x14ac:dyDescent="0.3">
      <c r="A268" s="973"/>
      <c r="B268" s="644"/>
      <c r="C268" s="679"/>
      <c r="D268" s="672"/>
      <c r="E268" s="672"/>
      <c r="F268" s="672"/>
      <c r="G268" s="676"/>
      <c r="H268" s="676"/>
      <c r="I268" s="676"/>
      <c r="J268" s="685"/>
      <c r="K268" s="685"/>
      <c r="L268" s="685"/>
      <c r="M268" s="685"/>
      <c r="N268" s="685"/>
      <c r="O268" s="685"/>
      <c r="P268" s="685"/>
      <c r="Q268" s="685"/>
      <c r="R268" s="685"/>
      <c r="S268" s="685"/>
      <c r="T268" s="685"/>
      <c r="U268" s="685"/>
      <c r="V268" s="685"/>
      <c r="W268" s="685"/>
      <c r="X268" s="685"/>
      <c r="Y268" s="685"/>
      <c r="Z268" s="685"/>
      <c r="AA268" s="685"/>
      <c r="AB268" s="685"/>
      <c r="AC268" s="685"/>
      <c r="AD268" s="685"/>
      <c r="AE268" s="685"/>
      <c r="AF268" s="685"/>
      <c r="AG268" s="685"/>
      <c r="AH268" s="685"/>
      <c r="AI268" s="685"/>
      <c r="AJ268" s="685"/>
      <c r="AK268" s="685"/>
      <c r="AL268" s="685"/>
      <c r="AM268" s="685"/>
      <c r="AN268" s="685"/>
      <c r="AO268" s="685"/>
      <c r="AP268" s="675"/>
    </row>
    <row r="269" spans="1:42" ht="14" hidden="1" customHeight="1" x14ac:dyDescent="0.3">
      <c r="A269" s="1215" t="s">
        <v>941</v>
      </c>
      <c r="B269" s="644"/>
      <c r="C269" s="679"/>
      <c r="D269" s="676" t="s">
        <v>942</v>
      </c>
      <c r="E269" s="672"/>
      <c r="F269" s="672"/>
      <c r="G269" s="676"/>
      <c r="H269" s="676"/>
      <c r="I269" s="676">
        <v>906</v>
      </c>
      <c r="J269" s="685">
        <v>1165.9382921022377</v>
      </c>
      <c r="K269" s="685">
        <v>158.96735594767225</v>
      </c>
      <c r="L269" s="839">
        <f>('Calibración-BAU_Agricultura '!R296*1000000)*Costos_Agricultura!$B285</f>
        <v>916.17554255357186</v>
      </c>
      <c r="M269" s="839">
        <f>('Calibración-BAU_Agricultura '!S296*1000000)*Costos_Agricultura!$B285</f>
        <v>916.17554255357186</v>
      </c>
      <c r="N269" s="839">
        <f>('Calibración-BAU_Agricultura '!T296*1000000)*Costos_Agricultura!$B285</f>
        <v>911.63724492130598</v>
      </c>
      <c r="O269" s="839">
        <f>('Calibración-BAU_Agricultura '!U296*1000000)*Costos_Agricultura!$B285</f>
        <v>967.18765472271173</v>
      </c>
      <c r="P269" s="839">
        <f>('Calibración-BAU_Agricultura '!V296*1000000)*Costos_Agricultura!$B285</f>
        <v>968.85738353745205</v>
      </c>
      <c r="Q269" s="839">
        <f>('Calibración-BAU_Agricultura '!W296*1000000)*Costos_Agricultura!$B285</f>
        <v>1027.0069271909315</v>
      </c>
      <c r="R269" s="839">
        <f>('Calibración-BAU_Agricultura '!X296*1000000)*Costos_Agricultura!$B285</f>
        <v>1052.5421979767252</v>
      </c>
      <c r="S269" s="839">
        <f>('Calibración-BAU_Agricultura '!Y296*1000000)*Costos_Agricultura!$B285</f>
        <v>1079.2290694082831</v>
      </c>
      <c r="T269" s="839">
        <f>('Calibración-BAU_Agricultura '!Z296*1000000)*Costos_Agricultura!$B285</f>
        <v>1102.9925583961324</v>
      </c>
      <c r="U269" s="839">
        <f>('Calibración-BAU_Agricultura '!AA296*1000000)*Costos_Agricultura!$B285</f>
        <v>1130.7785729701307</v>
      </c>
      <c r="V269" s="839">
        <f>('Calibración-BAU_Agricultura '!AB296*1000000)*Costos_Agricultura!$B285</f>
        <v>1116.7456824133335</v>
      </c>
      <c r="W269" s="839">
        <f>('Calibración-BAU_Agricultura '!AC296*1000000)*Costos_Agricultura!$B285</f>
        <v>1137.5210541643435</v>
      </c>
      <c r="X269" s="839">
        <f>('Calibración-BAU_Agricultura '!AD296*1000000)*Costos_Agricultura!$B285</f>
        <v>1162.6405873300916</v>
      </c>
      <c r="Y269" s="839">
        <f>('Calibración-BAU_Agricultura '!AE296*1000000)*Costos_Agricultura!$B285</f>
        <v>1180.97946135907</v>
      </c>
      <c r="Z269" s="839">
        <f>('Calibración-BAU_Agricultura '!AF296*1000000)*Costos_Agricultura!$B285</f>
        <v>1198.5210164865091</v>
      </c>
      <c r="AA269" s="839">
        <f>('Calibración-BAU_Agricultura '!AG296*1000000)*Costos_Agricultura!$B285</f>
        <v>1215.4711848863246</v>
      </c>
      <c r="AB269" s="839">
        <f>('Calibración-BAU_Agricultura '!AH296*1000000)*Costos_Agricultura!$B285</f>
        <v>1230.1118909917034</v>
      </c>
      <c r="AC269" s="839">
        <f>('Calibración-BAU_Agricultura '!AI296*1000000)*Costos_Agricultura!$B285</f>
        <v>1242.8853857600564</v>
      </c>
      <c r="AD269" s="839">
        <f>('Calibración-BAU_Agricultura '!AJ296*1000000)*Costos_Agricultura!$B285</f>
        <v>1261.2227486569022</v>
      </c>
      <c r="AE269" s="839">
        <f>('Calibración-BAU_Agricultura '!AK296*1000000)*Costos_Agricultura!$B285</f>
        <v>1278.214913773978</v>
      </c>
      <c r="AF269" s="839">
        <f>('Calibración-BAU_Agricultura '!AL296*1000000)*Costos_Agricultura!$B285</f>
        <v>1294.2741600826428</v>
      </c>
      <c r="AG269" s="839">
        <f>('Calibración-BAU_Agricultura '!AM296*1000000)*Costos_Agricultura!$B285</f>
        <v>1309.7943642803925</v>
      </c>
      <c r="AH269" s="839">
        <f>('Calibración-BAU_Agricultura '!AN296*1000000)*Costos_Agricultura!$B285</f>
        <v>1323.2307530601549</v>
      </c>
      <c r="AI269" s="839">
        <f>('Calibración-BAU_Agricultura '!AO296*1000000)*Costos_Agricultura!$B285</f>
        <v>1338.2189993595641</v>
      </c>
      <c r="AJ269" s="839">
        <f>('Calibración-BAU_Agricultura '!AP296*1000000)*Costos_Agricultura!$B285</f>
        <v>1352.0026384075461</v>
      </c>
      <c r="AK269" s="839">
        <f>('Calibración-BAU_Agricultura '!AQ296*1000000)*Costos_Agricultura!$B285</f>
        <v>1367.8686377574231</v>
      </c>
      <c r="AL269" s="839">
        <f>('Calibración-BAU_Agricultura '!AR296*1000000)*Costos_Agricultura!$B285</f>
        <v>1381.7215026629442</v>
      </c>
      <c r="AM269" s="839">
        <f>('Calibración-BAU_Agricultura '!AS296*1000000)*Costos_Agricultura!$B285</f>
        <v>1395.1057678401496</v>
      </c>
      <c r="AN269" s="839">
        <f>('Calibración-BAU_Agricultura '!AT296*1000000)*Costos_Agricultura!$B285</f>
        <v>1408.4779720225613</v>
      </c>
      <c r="AO269" s="839">
        <f>('Calibración-BAU_Agricultura '!AU296*1000000)*Costos_Agricultura!$B285</f>
        <v>1421.666887758543</v>
      </c>
      <c r="AP269" s="675"/>
    </row>
    <row r="270" spans="1:42" ht="14.25" hidden="1" customHeight="1" x14ac:dyDescent="0.3">
      <c r="A270" s="1215"/>
      <c r="B270" s="644"/>
      <c r="C270" s="678"/>
      <c r="D270" s="676" t="s">
        <v>943</v>
      </c>
      <c r="E270" s="676"/>
      <c r="F270" s="676"/>
      <c r="G270" s="676"/>
      <c r="H270" s="676"/>
      <c r="I270" s="837">
        <v>101186</v>
      </c>
      <c r="J270" s="685">
        <v>125057</v>
      </c>
      <c r="K270" s="685">
        <v>135893</v>
      </c>
      <c r="L270" s="839">
        <f>'Calibración-BAU_Agricultura '!R8*Costos_Agricultura!$B286</f>
        <v>115431.21242633306</v>
      </c>
      <c r="M270" s="839">
        <f>'Calibración-BAU_Agricultura '!S8*Costos_Agricultura!$B286</f>
        <v>118703.84780213398</v>
      </c>
      <c r="N270" s="839">
        <f>'Calibración-BAU_Agricultura '!T8*Costos_Agricultura!$B286</f>
        <v>118115.84543097293</v>
      </c>
      <c r="O270" s="839">
        <f>'Calibración-BAU_Agricultura '!U8*Costos_Agricultura!$B286</f>
        <v>125313.2078185709</v>
      </c>
      <c r="P270" s="839">
        <f>'Calibración-BAU_Agricultura '!V8*Costos_Agricultura!$B286</f>
        <v>125529.54543717108</v>
      </c>
      <c r="Q270" s="839">
        <f>'Calibración-BAU_Agricultura '!W8*Costos_Agricultura!$B286</f>
        <v>133063.66336436139</v>
      </c>
      <c r="R270" s="839">
        <f>'Calibración-BAU_Agricultura '!X8*Costos_Agricultura!$B286</f>
        <v>136372.12856142913</v>
      </c>
      <c r="S270" s="839">
        <f>'Calibración-BAU_Agricultura '!Y8*Costos_Agricultura!$B286</f>
        <v>137053.98920423625</v>
      </c>
      <c r="T270" s="839">
        <f>'Calibración-BAU_Agricultura '!Z8*Costos_Agricultura!$B286</f>
        <v>137739.25915025742</v>
      </c>
      <c r="U270" s="839">
        <f>'Calibración-BAU_Agricultura '!AA8*Costos_Agricultura!$B286</f>
        <v>138427.95544600868</v>
      </c>
      <c r="V270" s="839">
        <f>'Calibración-BAU_Agricultura '!AB8*Costos_Agricultura!$B286</f>
        <v>139120.09522323872</v>
      </c>
      <c r="W270" s="839">
        <f>'Calibración-BAU_Agricultura '!AC8*Costos_Agricultura!$B286</f>
        <v>139815.6956993549</v>
      </c>
      <c r="X270" s="839">
        <f>'Calibración-BAU_Agricultura '!AD8*Costos_Agricultura!$B286</f>
        <v>140514.77417785165</v>
      </c>
      <c r="Y270" s="839">
        <f>'Calibración-BAU_Agricultura '!AE8*Costos_Agricultura!$B286</f>
        <v>141217.34804874088</v>
      </c>
      <c r="Z270" s="839">
        <f>'Calibración-BAU_Agricultura '!AF8*Costos_Agricultura!$B286</f>
        <v>141923.43478898457</v>
      </c>
      <c r="AA270" s="839">
        <f>'Calibración-BAU_Agricultura '!AG8*Costos_Agricultura!$B286</f>
        <v>142633.05196292949</v>
      </c>
      <c r="AB270" s="839">
        <f>'Calibración-BAU_Agricultura '!AH8*Costos_Agricultura!$B286</f>
        <v>143346.2172227441</v>
      </c>
      <c r="AC270" s="839">
        <f>'Calibración-BAU_Agricultura '!AI8*Costos_Agricultura!$B286</f>
        <v>144062.94830885783</v>
      </c>
      <c r="AD270" s="839">
        <f>'Calibración-BAU_Agricultura '!AJ8*Costos_Agricultura!$B286</f>
        <v>144783.26305040211</v>
      </c>
      <c r="AE270" s="839">
        <f>'Calibración-BAU_Agricultura '!AK8*Costos_Agricultura!$B286</f>
        <v>145507.1793656541</v>
      </c>
      <c r="AF270" s="839">
        <f>'Calibración-BAU_Agricultura '!AL8*Costos_Agricultura!$B286</f>
        <v>146234.71526248232</v>
      </c>
      <c r="AG270" s="839">
        <f>'Calibración-BAU_Agricultura '!AM8*Costos_Agricultura!$B286</f>
        <v>146965.88883879472</v>
      </c>
      <c r="AH270" s="839">
        <f>'Calibración-BAU_Agricultura '!AN8*Costos_Agricultura!$B286</f>
        <v>147700.7182829887</v>
      </c>
      <c r="AI270" s="839">
        <f>'Calibración-BAU_Agricultura '!AO8*Costos_Agricultura!$B286</f>
        <v>148439.22187440362</v>
      </c>
      <c r="AJ270" s="839">
        <f>'Calibración-BAU_Agricultura '!AP8*Costos_Agricultura!$B286</f>
        <v>149181.41798377561</v>
      </c>
      <c r="AK270" s="839">
        <f>'Calibración-BAU_Agricultura '!AQ8*Costos_Agricultura!$B286</f>
        <v>149927.32507369449</v>
      </c>
      <c r="AL270" s="839">
        <f>'Calibración-BAU_Agricultura '!AR8*Costos_Agricultura!$B286</f>
        <v>150676.96169906293</v>
      </c>
      <c r="AM270" s="839">
        <f>'Calibración-BAU_Agricultura '!AS8*Costos_Agricultura!$B286</f>
        <v>151430.34650755825</v>
      </c>
      <c r="AN270" s="839">
        <f>'Calibración-BAU_Agricultura '!AT8*Costos_Agricultura!$B286</f>
        <v>152187.49824009603</v>
      </c>
      <c r="AO270" s="839">
        <f>'Calibración-BAU_Agricultura '!AU8*Costos_Agricultura!$B286</f>
        <v>152948.43573129649</v>
      </c>
      <c r="AP270" s="675"/>
    </row>
    <row r="271" spans="1:42" ht="14.25" hidden="1" customHeight="1" x14ac:dyDescent="0.3">
      <c r="A271" s="1215"/>
      <c r="B271" s="644"/>
      <c r="C271" s="678"/>
      <c r="D271" s="676" t="s">
        <v>944</v>
      </c>
      <c r="E271" s="687"/>
      <c r="F271" s="687"/>
      <c r="G271" s="687"/>
      <c r="H271" s="687"/>
      <c r="I271" s="687">
        <v>49974.983990163913</v>
      </c>
      <c r="J271" s="685">
        <v>46245.496051431161</v>
      </c>
      <c r="K271" s="685">
        <v>58831.242576373523</v>
      </c>
      <c r="L271" s="839">
        <f>'Calibración-BAU_Agricultura '!R9*Costos_Agricultura!$B287</f>
        <v>55074.769006271592</v>
      </c>
      <c r="M271" s="839">
        <f>'Calibración-BAU_Agricultura '!S9*Costos_Agricultura!$B287</f>
        <v>51964.639804826467</v>
      </c>
      <c r="N271" s="839">
        <f>'Calibración-BAU_Agricultura '!T9*Costos_Agricultura!$B287</f>
        <v>51707.231709069536</v>
      </c>
      <c r="O271" s="839">
        <f>'Calibración-BAU_Agricultura '!U9*Costos_Agricultura!$B287</f>
        <v>54858.000205131808</v>
      </c>
      <c r="P271" s="839">
        <f>'Calibración-BAU_Agricultura '!V9*Costos_Agricultura!$B287</f>
        <v>54952.705698129226</v>
      </c>
      <c r="Q271" s="839">
        <f>'Calibración-BAU_Agricultura '!W9*Costos_Agricultura!$B287</f>
        <v>59415.912585688944</v>
      </c>
      <c r="R271" s="839">
        <f>'Calibración-BAU_Agricultura '!X9*Costos_Agricultura!$B287</f>
        <v>62111.080892865044</v>
      </c>
      <c r="S271" s="839">
        <f>'Calibración-BAU_Agricultura '!Y9*Costos_Agricultura!$B287</f>
        <v>64959.605271902117</v>
      </c>
      <c r="T271" s="839">
        <f>'Calibración-BAU_Agricultura '!Z9*Costos_Agricultura!$B287</f>
        <v>67717.746405360551</v>
      </c>
      <c r="U271" s="839">
        <f>'Calibración-BAU_Agricultura '!AA9*Costos_Agricultura!$B287</f>
        <v>70812.12976765701</v>
      </c>
      <c r="V271" s="839">
        <f>'Calibración-BAU_Agricultura '!AB9*Costos_Agricultura!$B287</f>
        <v>71332.022831197362</v>
      </c>
      <c r="W271" s="839">
        <f>'Calibración-BAU_Agricultura '!AC9*Costos_Agricultura!$B287</f>
        <v>74112.228653432961</v>
      </c>
      <c r="X271" s="839">
        <f>'Calibración-BAU_Agricultura '!AD9*Costos_Agricultura!$B287</f>
        <v>77263.803099921279</v>
      </c>
      <c r="Y271" s="839">
        <f>'Calibración-BAU_Agricultura '!AE9*Costos_Agricultura!$B287</f>
        <v>80052.171645392344</v>
      </c>
      <c r="Z271" s="839">
        <f>'Calibración-BAU_Agricultura '!AF9*Costos_Agricultura!$B287</f>
        <v>82866.042583344446</v>
      </c>
      <c r="AA271" s="839">
        <f>'Calibración-BAU_Agricultura '!AG9*Costos_Agricultura!$B287</f>
        <v>84037.981462256692</v>
      </c>
      <c r="AB271" s="839">
        <f>'Calibración-BAU_Agricultura '!AH9*Costos_Agricultura!$B287</f>
        <v>85050.24354101035</v>
      </c>
      <c r="AC271" s="839">
        <f>'Calibración-BAU_Agricultura '!AI9*Costos_Agricultura!$B287</f>
        <v>85933.406161316685</v>
      </c>
      <c r="AD271" s="839">
        <f>'Calibración-BAU_Agricultura '!AJ9*Costos_Agricultura!$B287</f>
        <v>87201.256014405502</v>
      </c>
      <c r="AE271" s="839">
        <f>'Calibración-BAU_Agricultura '!AK9*Costos_Agricultura!$B287</f>
        <v>88376.098556843877</v>
      </c>
      <c r="AF271" s="839">
        <f>'Calibración-BAU_Agricultura '!AL9*Costos_Agricultura!$B287</f>
        <v>89486.438859737682</v>
      </c>
      <c r="AG271" s="839">
        <f>'Calibración-BAU_Agricultura '!AM9*Costos_Agricultura!$B287</f>
        <v>90559.509656379334</v>
      </c>
      <c r="AH271" s="839">
        <f>'Calibración-BAU_Agricultura '!AN9*Costos_Agricultura!$B287</f>
        <v>91488.504934287936</v>
      </c>
      <c r="AI271" s="839">
        <f>'Calibración-BAU_Agricultura '!AO9*Costos_Agricultura!$B287</f>
        <v>92524.796028905097</v>
      </c>
      <c r="AJ271" s="839">
        <f>'Calibración-BAU_Agricultura '!AP9*Costos_Agricultura!$B287</f>
        <v>93477.800277134214</v>
      </c>
      <c r="AK271" s="839">
        <f>'Calibración-BAU_Agricultura '!AQ9*Costos_Agricultura!$B287</f>
        <v>94574.77943700616</v>
      </c>
      <c r="AL271" s="839">
        <f>'Calibración-BAU_Agricultura '!AR9*Costos_Agricultura!$B287</f>
        <v>95532.569978324667</v>
      </c>
      <c r="AM271" s="839">
        <f>'Calibración-BAU_Agricultura '!AS9*Costos_Agricultura!$B287</f>
        <v>96457.961417327082</v>
      </c>
      <c r="AN271" s="839">
        <f>'Calibración-BAU_Agricultura '!AT9*Costos_Agricultura!$B287</f>
        <v>97382.518956135478</v>
      </c>
      <c r="AO271" s="839">
        <f>'Calibración-BAU_Agricultura '!AU9*Costos_Agricultura!$B287</f>
        <v>98294.403885955006</v>
      </c>
      <c r="AP271" s="675"/>
    </row>
    <row r="272" spans="1:42" ht="14.25" hidden="1" customHeight="1" x14ac:dyDescent="0.3">
      <c r="A272" s="1215"/>
      <c r="B272" s="644"/>
      <c r="C272" s="678"/>
      <c r="D272" s="676" t="s">
        <v>945</v>
      </c>
      <c r="E272" s="687"/>
      <c r="F272" s="687"/>
      <c r="G272" s="687"/>
      <c r="H272" s="687"/>
      <c r="I272" s="687">
        <v>613.54535735896388</v>
      </c>
      <c r="J272" s="685">
        <v>296.2108731615881</v>
      </c>
      <c r="K272" s="685">
        <v>544.85644653959605</v>
      </c>
      <c r="L272" s="839">
        <f>'Calibración-BAU_Agricultura '!R10*Costos_Agricultura!$B288</f>
        <v>409.87282943466704</v>
      </c>
      <c r="M272" s="839">
        <f>'Calibración-BAU_Agricultura '!S10*Costos_Agricultura!$B288</f>
        <v>427.08217514676716</v>
      </c>
      <c r="N272" s="839">
        <f>'Calibración-BAU_Agricultura '!T10*Costos_Agricultura!$B288</f>
        <v>424.96661329838014</v>
      </c>
      <c r="O272" s="839">
        <f>'Calibración-BAU_Agricultura '!U10*Costos_Agricultura!$B288</f>
        <v>450.86185798277035</v>
      </c>
      <c r="P272" s="839">
        <f>'Calibración-BAU_Agricultura '!V10*Costos_Agricultura!$B288</f>
        <v>451.64021472881166</v>
      </c>
      <c r="Q272" s="839">
        <f>'Calibración-BAU_Agricultura '!W10*Costos_Agricultura!$B288</f>
        <v>478.74706536368069</v>
      </c>
      <c r="R272" s="839">
        <f>'Calibración-BAU_Agricultura '!X10*Costos_Agricultura!$B288</f>
        <v>490.65052543614917</v>
      </c>
      <c r="S272" s="839">
        <f>'Calibración-BAU_Agricultura '!Y10*Costos_Agricultura!$B288</f>
        <v>503.09081288050146</v>
      </c>
      <c r="T272" s="839">
        <f>'Calibración-BAU_Agricultura '!Z10*Costos_Agricultura!$B288</f>
        <v>514.16834343509322</v>
      </c>
      <c r="U272" s="839">
        <f>'Calibración-BAU_Agricultura '!AA10*Costos_Agricultura!$B288</f>
        <v>527.12100478844843</v>
      </c>
      <c r="V272" s="839">
        <f>'Calibración-BAU_Agricultura '!AB10*Costos_Agricultura!$B288</f>
        <v>520.57946646502944</v>
      </c>
      <c r="W272" s="839">
        <f>'Calibración-BAU_Agricultura '!AC10*Costos_Agricultura!$B288</f>
        <v>530.264063515256</v>
      </c>
      <c r="X272" s="839">
        <f>'Calibración-BAU_Agricultura '!AD10*Costos_Agricultura!$B288</f>
        <v>541.97372434422505</v>
      </c>
      <c r="Y272" s="839">
        <f>'Calibración-BAU_Agricultura '!AE10*Costos_Agricultura!$B288</f>
        <v>550.52252950901777</v>
      </c>
      <c r="Z272" s="839">
        <f>'Calibración-BAU_Agricultura '!AF10*Costos_Agricultura!$B288</f>
        <v>558.69965842298416</v>
      </c>
      <c r="AA272" s="839">
        <f>'Calibración-BAU_Agricultura '!AG10*Costos_Agricultura!$B288</f>
        <v>566.6011079302699</v>
      </c>
      <c r="AB272" s="839">
        <f>'Calibración-BAU_Agricultura '!AH10*Costos_Agricultura!$B288</f>
        <v>573.42598407981427</v>
      </c>
      <c r="AC272" s="839">
        <f>'Calibración-BAU_Agricultura '!AI10*Costos_Agricultura!$B288</f>
        <v>579.38044550834013</v>
      </c>
      <c r="AD272" s="839">
        <f>'Calibración-BAU_Agricultura '!AJ10*Costos_Agricultura!$B288</f>
        <v>587.92854624743256</v>
      </c>
      <c r="AE272" s="839">
        <f>'Calibración-BAU_Agricultura '!AK10*Costos_Agricultura!$B288</f>
        <v>595.84957284286736</v>
      </c>
      <c r="AF272" s="839">
        <f>'Calibración-BAU_Agricultura '!AL10*Costos_Agricultura!$B288</f>
        <v>603.33571226283675</v>
      </c>
      <c r="AG272" s="839">
        <f>'Calibración-BAU_Agricultura '!AM10*Costos_Agricultura!$B288</f>
        <v>610.57057311605513</v>
      </c>
      <c r="AH272" s="839">
        <f>'Calibración-BAU_Agricultura '!AN10*Costos_Agricultura!$B288</f>
        <v>616.83404761373106</v>
      </c>
      <c r="AI272" s="839">
        <f>'Calibración-BAU_Agricultura '!AO10*Costos_Agricultura!$B288</f>
        <v>623.82093225959886</v>
      </c>
      <c r="AJ272" s="839">
        <f>'Calibración-BAU_Agricultura '!AP10*Costos_Agricultura!$B288</f>
        <v>630.24628010248307</v>
      </c>
      <c r="AK272" s="839">
        <f>'Calibración-BAU_Agricultura '!AQ10*Costos_Agricultura!$B288</f>
        <v>637.64233598751184</v>
      </c>
      <c r="AL272" s="839">
        <f>'Calibración-BAU_Agricultura '!AR10*Costos_Agricultura!$B288</f>
        <v>644.099953988724</v>
      </c>
      <c r="AM272" s="839">
        <f>'Calibración-BAU_Agricultura '!AS10*Costos_Agricultura!$B288</f>
        <v>650.33913067389278</v>
      </c>
      <c r="AN272" s="839">
        <f>'Calibración-BAU_Agricultura '!AT10*Costos_Agricultura!$B288</f>
        <v>656.57268503489809</v>
      </c>
      <c r="AO272" s="839">
        <f>'Calibración-BAU_Agricultura '!AU10*Costos_Agricultura!$B288</f>
        <v>662.72079809699835</v>
      </c>
      <c r="AP272" s="675"/>
    </row>
    <row r="273" spans="1:42" ht="14.25" hidden="1" customHeight="1" x14ac:dyDescent="0.3">
      <c r="A273" s="1215"/>
      <c r="B273" s="644"/>
      <c r="C273" s="678"/>
      <c r="D273" s="676" t="s">
        <v>946</v>
      </c>
      <c r="E273" s="687"/>
      <c r="F273" s="687"/>
      <c r="G273" s="687"/>
      <c r="H273" s="687"/>
      <c r="I273" s="687">
        <v>9928</v>
      </c>
      <c r="J273" s="685">
        <v>25197</v>
      </c>
      <c r="K273" s="685">
        <v>36131</v>
      </c>
      <c r="L273" s="839">
        <f>'Calibración-BAU_Agricultura '!R11*Costos_Agricultura!$B289</f>
        <v>24196.805432989298</v>
      </c>
      <c r="M273" s="839">
        <f>'Calibración-BAU_Agricultura '!S11*Costos_Agricultura!$B289</f>
        <v>22485.567506259151</v>
      </c>
      <c r="N273" s="839">
        <f>'Calibración-BAU_Agricultura '!T11*Costos_Agricultura!$B289</f>
        <v>22374.184705655909</v>
      </c>
      <c r="O273" s="839">
        <f>'Calibración-BAU_Agricultura '!U11*Costos_Agricultura!$B289</f>
        <v>23737.550601790197</v>
      </c>
      <c r="P273" s="839">
        <f>'Calibración-BAU_Agricultura '!V11*Costos_Agricultura!$B289</f>
        <v>23778.530521289413</v>
      </c>
      <c r="Q273" s="839">
        <f>'Calibración-BAU_Agricultura '!W11*Costos_Agricultura!$B289</f>
        <v>25205.686594059185</v>
      </c>
      <c r="R273" s="839">
        <f>'Calibración-BAU_Agricultura '!X11*Costos_Agricultura!$B289</f>
        <v>25205.686594059185</v>
      </c>
      <c r="S273" s="839">
        <f>'Calibración-BAU_Agricultura '!Y11*Costos_Agricultura!$B289</f>
        <v>25205.686594059185</v>
      </c>
      <c r="T273" s="839">
        <f>'Calibración-BAU_Agricultura '!Z11*Costos_Agricultura!$B289</f>
        <v>25205.686594059185</v>
      </c>
      <c r="U273" s="839">
        <f>'Calibración-BAU_Agricultura '!AA11*Costos_Agricultura!$B289</f>
        <v>25205.686594059185</v>
      </c>
      <c r="V273" s="839">
        <f>'Calibración-BAU_Agricultura '!AB11*Costos_Agricultura!$B289</f>
        <v>25205.686594059185</v>
      </c>
      <c r="W273" s="839">
        <f>'Calibración-BAU_Agricultura '!AC11*Costos_Agricultura!$B289</f>
        <v>25205.686594059185</v>
      </c>
      <c r="X273" s="839">
        <f>'Calibración-BAU_Agricultura '!AD11*Costos_Agricultura!$B289</f>
        <v>25205.686594059185</v>
      </c>
      <c r="Y273" s="839">
        <f>'Calibración-BAU_Agricultura '!AE11*Costos_Agricultura!$B289</f>
        <v>25205.686594059185</v>
      </c>
      <c r="Z273" s="839">
        <f>'Calibración-BAU_Agricultura '!AF11*Costos_Agricultura!$B289</f>
        <v>25205.686594059185</v>
      </c>
      <c r="AA273" s="839">
        <f>'Calibración-BAU_Agricultura '!AG11*Costos_Agricultura!$B289</f>
        <v>25205.686594059185</v>
      </c>
      <c r="AB273" s="839">
        <f>'Calibración-BAU_Agricultura '!AH11*Costos_Agricultura!$B289</f>
        <v>25205.686594059185</v>
      </c>
      <c r="AC273" s="839">
        <f>'Calibración-BAU_Agricultura '!AI11*Costos_Agricultura!$B289</f>
        <v>25205.686594059185</v>
      </c>
      <c r="AD273" s="839">
        <f>'Calibración-BAU_Agricultura '!AJ11*Costos_Agricultura!$B289</f>
        <v>25205.686594059185</v>
      </c>
      <c r="AE273" s="839">
        <f>'Calibración-BAU_Agricultura '!AK11*Costos_Agricultura!$B289</f>
        <v>25205.686594059185</v>
      </c>
      <c r="AF273" s="839">
        <f>'Calibración-BAU_Agricultura '!AL11*Costos_Agricultura!$B289</f>
        <v>25205.686594059185</v>
      </c>
      <c r="AG273" s="839">
        <f>'Calibración-BAU_Agricultura '!AM11*Costos_Agricultura!$B289</f>
        <v>25205.686594059185</v>
      </c>
      <c r="AH273" s="839">
        <f>'Calibración-BAU_Agricultura '!AN11*Costos_Agricultura!$B289</f>
        <v>25205.686594059185</v>
      </c>
      <c r="AI273" s="839">
        <f>'Calibración-BAU_Agricultura '!AO11*Costos_Agricultura!$B289</f>
        <v>25205.686594059185</v>
      </c>
      <c r="AJ273" s="839">
        <f>'Calibración-BAU_Agricultura '!AP11*Costos_Agricultura!$B289</f>
        <v>25205.686594059185</v>
      </c>
      <c r="AK273" s="839">
        <f>'Calibración-BAU_Agricultura '!AQ11*Costos_Agricultura!$B289</f>
        <v>25205.686594059185</v>
      </c>
      <c r="AL273" s="839">
        <f>'Calibración-BAU_Agricultura '!AR11*Costos_Agricultura!$B289</f>
        <v>25205.686594059185</v>
      </c>
      <c r="AM273" s="839">
        <f>'Calibración-BAU_Agricultura '!AS11*Costos_Agricultura!$B289</f>
        <v>25205.686594059185</v>
      </c>
      <c r="AN273" s="839">
        <f>'Calibración-BAU_Agricultura '!AT11*Costos_Agricultura!$B289</f>
        <v>25205.686594059185</v>
      </c>
      <c r="AO273" s="839">
        <f>'Calibración-BAU_Agricultura '!AU11*Costos_Agricultura!$B289</f>
        <v>25205.686594059185</v>
      </c>
      <c r="AP273" s="675"/>
    </row>
    <row r="274" spans="1:42" ht="14.25" hidden="1" customHeight="1" x14ac:dyDescent="0.3">
      <c r="A274" s="1215"/>
      <c r="B274" s="644"/>
      <c r="C274" s="678"/>
      <c r="D274" s="676" t="s">
        <v>659</v>
      </c>
      <c r="E274" s="687"/>
      <c r="F274" s="687"/>
      <c r="G274" s="687"/>
      <c r="H274" s="687"/>
      <c r="I274" s="687">
        <v>21243</v>
      </c>
      <c r="J274" s="685">
        <v>20408</v>
      </c>
      <c r="K274" s="685">
        <v>33332</v>
      </c>
      <c r="L274" s="839">
        <f>'Calibración-BAU_Agricultura '!R12*Costos_Agricultura!$B290</f>
        <v>25913.448985510451</v>
      </c>
      <c r="M274" s="839">
        <f>'Calibración-BAU_Agricultura '!S12*Costos_Agricultura!$B290</f>
        <v>24742.506833995776</v>
      </c>
      <c r="N274" s="839">
        <f>'Calibración-BAU_Agricultura '!T12*Costos_Agricultura!$B290</f>
        <v>24619.944230034453</v>
      </c>
      <c r="O274" s="839">
        <f>'Calibración-BAU_Agricultura '!U12*Costos_Agricultura!$B290</f>
        <v>26120.154976014044</v>
      </c>
      <c r="P274" s="839">
        <f>'Calibración-BAU_Agricultura '!V12*Costos_Agricultura!$B290</f>
        <v>26165.248164699791</v>
      </c>
      <c r="Q274" s="839">
        <f>'Calibración-BAU_Agricultura '!W12*Costos_Agricultura!$B290</f>
        <v>27735.651885835814</v>
      </c>
      <c r="R274" s="839">
        <f>'Calibración-BAU_Agricultura '!X12*Costos_Agricultura!$B290</f>
        <v>28425.264937680069</v>
      </c>
      <c r="S274" s="839">
        <f>'Calibración-BAU_Agricultura '!Y12*Costos_Agricultura!$B290</f>
        <v>29145.978456110064</v>
      </c>
      <c r="T274" s="839">
        <f>'Calibración-BAU_Agricultura '!Z12*Costos_Agricultura!$B290</f>
        <v>29787.742246314123</v>
      </c>
      <c r="U274" s="839">
        <f>'Calibración-BAU_Agricultura '!AA12*Costos_Agricultura!$B290</f>
        <v>30538.139548528135</v>
      </c>
      <c r="V274" s="839">
        <f>'Calibración-BAU_Agricultura '!AB12*Costos_Agricultura!$B290</f>
        <v>30159.163168592775</v>
      </c>
      <c r="W274" s="839">
        <f>'Calibración-BAU_Agricultura '!AC12*Costos_Agricultura!$B290</f>
        <v>30720.228983660752</v>
      </c>
      <c r="X274" s="839">
        <f>'Calibración-BAU_Agricultura '!AD12*Costos_Agricultura!$B290</f>
        <v>31398.614502758985</v>
      </c>
      <c r="Y274" s="839">
        <f>'Calibración-BAU_Agricultura '!AE12*Costos_Agricultura!$B290</f>
        <v>31893.879541951243</v>
      </c>
      <c r="Z274" s="839">
        <f>'Calibración-BAU_Agricultura '!AF12*Costos_Agricultura!$B290</f>
        <v>32367.611951801286</v>
      </c>
      <c r="AA274" s="839">
        <f>'Calibración-BAU_Agricultura '!AG12*Costos_Agricultura!$B290</f>
        <v>32825.373197316403</v>
      </c>
      <c r="AB274" s="839">
        <f>'Calibración-BAU_Agricultura '!AH12*Costos_Agricultura!$B290</f>
        <v>33220.764423169479</v>
      </c>
      <c r="AC274" s="839">
        <f>'Calibración-BAU_Agricultura '!AI12*Costos_Agricultura!$B290</f>
        <v>33565.729189112782</v>
      </c>
      <c r="AD274" s="839">
        <f>'Calibración-BAU_Agricultura '!AJ12*Costos_Agricultura!$B290</f>
        <v>34060.95341822513</v>
      </c>
      <c r="AE274" s="839">
        <f>'Calibración-BAU_Agricultura '!AK12*Costos_Agricultura!$B290</f>
        <v>34519.848839469196</v>
      </c>
      <c r="AF274" s="839">
        <f>'Calibración-BAU_Agricultura '!AL12*Costos_Agricultura!$B290</f>
        <v>34953.549580304811</v>
      </c>
      <c r="AG274" s="839">
        <f>'Calibración-BAU_Agricultura '!AM12*Costos_Agricultura!$B290</f>
        <v>35372.692790958004</v>
      </c>
      <c r="AH274" s="839">
        <f>'Calibración-BAU_Agricultura '!AN12*Costos_Agricultura!$B290</f>
        <v>35735.559868025892</v>
      </c>
      <c r="AI274" s="839">
        <f>'Calibración-BAU_Agricultura '!AO12*Costos_Agricultura!$B290</f>
        <v>36140.336866830199</v>
      </c>
      <c r="AJ274" s="839">
        <f>'Calibración-BAU_Agricultura '!AP12*Costos_Agricultura!$B290</f>
        <v>36512.58188702738</v>
      </c>
      <c r="AK274" s="839">
        <f>'Calibración-BAU_Agricultura '!AQ12*Costos_Agricultura!$B290</f>
        <v>36941.06374351566</v>
      </c>
      <c r="AL274" s="839">
        <f>'Calibración-BAU_Agricultura '!AR12*Costos_Agricultura!$B290</f>
        <v>37315.178297632607</v>
      </c>
      <c r="AM274" s="839">
        <f>'Calibración-BAU_Agricultura '!AS12*Costos_Agricultura!$B290</f>
        <v>37676.637709321338</v>
      </c>
      <c r="AN274" s="839">
        <f>'Calibración-BAU_Agricultura '!AT12*Costos_Agricultura!$B290</f>
        <v>38037.77139822852</v>
      </c>
      <c r="AO274" s="839">
        <f>'Calibración-BAU_Agricultura '!AU12*Costos_Agricultura!$B290</f>
        <v>38393.955145309323</v>
      </c>
      <c r="AP274" s="675"/>
    </row>
    <row r="275" spans="1:42" ht="14.25" hidden="1" customHeight="1" x14ac:dyDescent="0.3">
      <c r="A275" s="1215"/>
      <c r="B275" s="644"/>
      <c r="C275" s="678"/>
      <c r="D275" s="676" t="s">
        <v>947</v>
      </c>
      <c r="E275" s="676"/>
      <c r="F275" s="676"/>
      <c r="G275" s="676"/>
      <c r="H275" s="676"/>
      <c r="I275" s="676">
        <v>18234.725433397954</v>
      </c>
      <c r="J275" s="685">
        <v>13747.912972214577</v>
      </c>
      <c r="K275" s="685">
        <v>28123.057757973678</v>
      </c>
      <c r="L275" s="839">
        <f>'Calibración-BAU_Agricultura '!R13*Costos_Agricultura!$B291</f>
        <v>17545.763055780659</v>
      </c>
      <c r="M275" s="839">
        <f>'Calibración-BAU_Agricultura '!S13*Costos_Agricultura!$B291</f>
        <v>15251.750121495936</v>
      </c>
      <c r="N275" s="839">
        <f>'Calibración-BAU_Agricultura '!T13*Costos_Agricultura!$B291</f>
        <v>15176.200209662038</v>
      </c>
      <c r="O275" s="839">
        <f>'Calibración-BAU_Agricultura '!U13*Costos_Agricultura!$B291</f>
        <v>16100.95854481286</v>
      </c>
      <c r="P275" s="839">
        <f>'Calibración-BAU_Agricultura '!V13*Costos_Agricultura!$B291</f>
        <v>16128.754840904872</v>
      </c>
      <c r="Q275" s="839">
        <f>'Calibración-BAU_Agricultura '!W13*Costos_Agricultura!$B291</f>
        <v>17096.781456208268</v>
      </c>
      <c r="R275" s="839">
        <f>'Calibración-BAU_Agricultura '!X13*Costos_Agricultura!$B291</f>
        <v>17521.872010605915</v>
      </c>
      <c r="S275" s="839">
        <f>'Calibración-BAU_Agricultura '!Y13*Costos_Agricultura!$B291</f>
        <v>17966.133482009263</v>
      </c>
      <c r="T275" s="839">
        <f>'Calibración-BAU_Agricultura '!Z13*Costos_Agricultura!$B291</f>
        <v>18361.728844713896</v>
      </c>
      <c r="U275" s="839">
        <f>'Calibración-BAU_Agricultura '!AA13*Costos_Agricultura!$B291</f>
        <v>18824.287962995626</v>
      </c>
      <c r="V275" s="839">
        <f>'Calibración-BAU_Agricultura '!AB13*Costos_Agricultura!$B291</f>
        <v>18590.679740211119</v>
      </c>
      <c r="W275" s="839">
        <f>'Calibración-BAU_Agricultura '!AC13*Costos_Agricultura!$B291</f>
        <v>18936.531341689624</v>
      </c>
      <c r="X275" s="839">
        <f>'Calibración-BAU_Agricultura '!AD13*Costos_Agricultura!$B291</f>
        <v>19354.701032123394</v>
      </c>
      <c r="Y275" s="839">
        <f>'Calibración-BAU_Agricultura '!AE13*Costos_Agricultura!$B291</f>
        <v>19659.991788324973</v>
      </c>
      <c r="Z275" s="839">
        <f>'Calibración-BAU_Agricultura '!AF13*Costos_Agricultura!$B291</f>
        <v>19952.009423723157</v>
      </c>
      <c r="AA275" s="839">
        <f>'Calibración-BAU_Agricultura '!AG13*Costos_Agricultura!$B291</f>
        <v>20234.182130746871</v>
      </c>
      <c r="AB275" s="839">
        <f>'Calibración-BAU_Agricultura '!AH13*Costos_Agricultura!$B291</f>
        <v>20477.908775641939</v>
      </c>
      <c r="AC275" s="839">
        <f>'Calibración-BAU_Agricultura '!AI13*Costos_Agricultura!$B291</f>
        <v>20690.551594988712</v>
      </c>
      <c r="AD275" s="839">
        <f>'Calibración-BAU_Agricultura '!AJ13*Costos_Agricultura!$B291</f>
        <v>20995.817195083608</v>
      </c>
      <c r="AE275" s="839">
        <f>'Calibración-BAU_Agricultura '!AK13*Costos_Agricultura!$B291</f>
        <v>21278.68902952104</v>
      </c>
      <c r="AF275" s="839">
        <f>'Calibración-BAU_Agricultura '!AL13*Costos_Agricultura!$B291</f>
        <v>21546.030385476286</v>
      </c>
      <c r="AG275" s="839">
        <f>'Calibración-BAU_Agricultura '!AM13*Costos_Agricultura!$B291</f>
        <v>21804.398203939236</v>
      </c>
      <c r="AH275" s="839">
        <f>'Calibración-BAU_Agricultura '!AN13*Costos_Agricultura!$B291</f>
        <v>22028.07634713986</v>
      </c>
      <c r="AI275" s="839">
        <f>'Calibración-BAU_Agricultura '!AO13*Costos_Agricultura!$B291</f>
        <v>22277.588560357071</v>
      </c>
      <c r="AJ275" s="839">
        <f>'Calibración-BAU_Agricultura '!AP13*Costos_Agricultura!$B291</f>
        <v>22507.047445429223</v>
      </c>
      <c r="AK275" s="839">
        <f>'Calibración-BAU_Agricultura '!AQ13*Costos_Agricultura!$B291</f>
        <v>22771.171782166788</v>
      </c>
      <c r="AL275" s="839">
        <f>'Calibración-BAU_Agricultura '!AR13*Costos_Agricultura!$B291</f>
        <v>23001.783083377653</v>
      </c>
      <c r="AM275" s="839">
        <f>'Calibración-BAU_Agricultura '!AS13*Costos_Agricultura!$B291</f>
        <v>23224.593514961118</v>
      </c>
      <c r="AN275" s="839">
        <f>'Calibración-BAU_Agricultura '!AT13*Costos_Agricultura!$B291</f>
        <v>23447.203164849088</v>
      </c>
      <c r="AO275" s="839">
        <f>'Calibración-BAU_Agricultura '!AU13*Costos_Agricultura!$B291</f>
        <v>23666.761576786172</v>
      </c>
      <c r="AP275" s="675"/>
    </row>
    <row r="276" spans="1:42" ht="14.25" hidden="1" customHeight="1" x14ac:dyDescent="0.3">
      <c r="A276" s="1215"/>
      <c r="B276" s="644"/>
      <c r="C276" s="678"/>
      <c r="D276" s="676" t="s">
        <v>948</v>
      </c>
      <c r="E276" s="687"/>
      <c r="F276" s="687"/>
      <c r="G276" s="687"/>
      <c r="H276" s="687"/>
      <c r="I276" s="687">
        <v>23</v>
      </c>
      <c r="J276" s="685">
        <v>0</v>
      </c>
      <c r="K276" s="685">
        <v>0</v>
      </c>
      <c r="L276" s="839">
        <f>'Calibración-BAU_Agricultura '!R14*Costos_Agricultura!$B292</f>
        <v>6.1730644055567367</v>
      </c>
      <c r="M276" s="839">
        <f>'Calibración-BAU_Agricultura '!S14*Costos_Agricultura!$B292</f>
        <v>7.27446716249628</v>
      </c>
      <c r="N276" s="839">
        <f>'Calibración-BAU_Agricultura '!T14*Costos_Agricultura!$B292</f>
        <v>7.2384329140731705</v>
      </c>
      <c r="O276" s="839">
        <f>'Calibración-BAU_Agricultura '!U14*Costos_Agricultura!$B292</f>
        <v>7.6795051902848108</v>
      </c>
      <c r="P276" s="839">
        <f>'Calibración-BAU_Agricultura '!V14*Costos_Agricultura!$B292</f>
        <v>7.6927628978626057</v>
      </c>
      <c r="Q276" s="839">
        <f>'Calibración-BAU_Agricultura '!W14*Costos_Agricultura!$B292</f>
        <v>8.1544723914847221</v>
      </c>
      <c r="R276" s="839">
        <f>'Calibración-BAU_Agricultura '!X14*Costos_Agricultura!$B292</f>
        <v>8.3572233711703081</v>
      </c>
      <c r="S276" s="839">
        <f>'Calibración-BAU_Agricultura '!Y14*Costos_Agricultura!$B292</f>
        <v>8.5691181019088525</v>
      </c>
      <c r="T276" s="839">
        <f>'Calibración-BAU_Agricultura '!Z14*Costos_Agricultura!$B292</f>
        <v>8.7578010696146205</v>
      </c>
      <c r="U276" s="839">
        <f>'Calibración-BAU_Agricultura '!AA14*Costos_Agricultura!$B292</f>
        <v>8.9784230369199456</v>
      </c>
      <c r="V276" s="839">
        <f>'Calibración-BAU_Agricultura '!AB14*Costos_Agricultura!$B292</f>
        <v>8.8670013750124461</v>
      </c>
      <c r="W276" s="839">
        <f>'Calibración-BAU_Agricultura '!AC14*Costos_Agricultura!$B292</f>
        <v>9.0319585830712263</v>
      </c>
      <c r="X276" s="839">
        <f>'Calibración-BAU_Agricultura '!AD14*Costos_Agricultura!$B292</f>
        <v>9.2314085909181518</v>
      </c>
      <c r="Y276" s="839">
        <f>'Calibración-BAU_Agricultura '!AE14*Costos_Agricultura!$B292</f>
        <v>9.3770199183599754</v>
      </c>
      <c r="Z276" s="839">
        <f>'Calibración-BAU_Agricultura '!AF14*Costos_Agricultura!$B292</f>
        <v>9.5163005046960958</v>
      </c>
      <c r="AA276" s="839">
        <f>'Calibración-BAU_Agricultura '!AG14*Costos_Agricultura!$B292</f>
        <v>9.6508854588846411</v>
      </c>
      <c r="AB276" s="839">
        <f>'Calibración-BAU_Agricultura '!AH14*Costos_Agricultura!$B292</f>
        <v>9.7671331983762357</v>
      </c>
      <c r="AC276" s="839">
        <f>'Calibración-BAU_Agricultura '!AI14*Costos_Agricultura!$B292</f>
        <v>9.868555211873467</v>
      </c>
      <c r="AD276" s="839">
        <f>'Calibración-BAU_Agricultura '!AJ14*Costos_Agricultura!$B292</f>
        <v>10.014154540871145</v>
      </c>
      <c r="AE276" s="839">
        <f>'Calibración-BAU_Agricultura '!AK14*Costos_Agricultura!$B292</f>
        <v>10.149072950523685</v>
      </c>
      <c r="AF276" s="839">
        <f>'Calibración-BAU_Agricultura '!AL14*Costos_Agricultura!$B292</f>
        <v>10.27658395087326</v>
      </c>
      <c r="AG276" s="839">
        <f>'Calibración-BAU_Agricultura '!AM14*Costos_Agricultura!$B292</f>
        <v>10.399814937237608</v>
      </c>
      <c r="AH276" s="839">
        <f>'Calibración-BAU_Agricultura '!AN14*Costos_Agricultura!$B292</f>
        <v>10.506500353318993</v>
      </c>
      <c r="AI276" s="839">
        <f>'Calibración-BAU_Agricultura '!AO14*Costos_Agricultura!$B292</f>
        <v>10.625507574603862</v>
      </c>
      <c r="AJ276" s="839">
        <f>'Calibración-BAU_Agricultura '!AP14*Costos_Agricultura!$B292</f>
        <v>10.734950170457029</v>
      </c>
      <c r="AK276" s="839">
        <f>'Calibración-BAU_Agricultura '!AQ14*Costos_Agricultura!$B292</f>
        <v>10.86092678291841</v>
      </c>
      <c r="AL276" s="839">
        <f>'Calibración-BAU_Agricultura '!AR14*Costos_Agricultura!$B292</f>
        <v>10.9709190346007</v>
      </c>
      <c r="AM276" s="839">
        <f>'Calibración-BAU_Agricultura '!AS14*Costos_Agricultura!$B292</f>
        <v>11.077190587380151</v>
      </c>
      <c r="AN276" s="839">
        <f>'Calibración-BAU_Agricultura '!AT14*Costos_Agricultura!$B292</f>
        <v>11.183366375421844</v>
      </c>
      <c r="AO276" s="839">
        <f>'Calibración-BAU_Agricultura '!AU14*Costos_Agricultura!$B292</f>
        <v>11.288086846526012</v>
      </c>
      <c r="AP276" s="675"/>
    </row>
    <row r="277" spans="1:42" ht="14.25" hidden="1" customHeight="1" x14ac:dyDescent="0.3">
      <c r="A277" s="1215"/>
      <c r="B277" s="644"/>
      <c r="C277" s="678"/>
      <c r="D277" s="676" t="s">
        <v>949</v>
      </c>
      <c r="E277" s="687"/>
      <c r="F277" s="687"/>
      <c r="G277" s="687"/>
      <c r="H277" s="687"/>
      <c r="I277" s="687">
        <v>850.39338634559033</v>
      </c>
      <c r="J277" s="685">
        <v>0</v>
      </c>
      <c r="K277" s="685">
        <v>0</v>
      </c>
      <c r="L277" s="839">
        <f>'Calibración-BAU_Agricultura '!R15*Costos_Agricultura!$B293</f>
        <v>192.61688506796202</v>
      </c>
      <c r="M277" s="839">
        <f>'Calibración-BAU_Agricultura '!S15*Costos_Agricultura!$B293</f>
        <v>175.93970811974975</v>
      </c>
      <c r="N277" s="839">
        <f>'Calibración-BAU_Agricultura '!T15*Costos_Agricultura!$B293</f>
        <v>175.06818653497146</v>
      </c>
      <c r="O277" s="839">
        <f>'Calibración-BAU_Agricultura '!U15*Costos_Agricultura!$B293</f>
        <v>185.73592697601293</v>
      </c>
      <c r="P277" s="839">
        <f>'Calibración-BAU_Agricultura '!V15*Costos_Agricultura!$B293</f>
        <v>186.05657688059969</v>
      </c>
      <c r="Q277" s="839">
        <f>'Calibración-BAU_Agricultura '!W15*Costos_Agricultura!$B293</f>
        <v>197.2234474883594</v>
      </c>
      <c r="R277" s="839">
        <f>'Calibración-BAU_Agricultura '!X15*Costos_Agricultura!$B293</f>
        <v>202.12716722343262</v>
      </c>
      <c r="S277" s="839">
        <f>'Calibración-BAU_Agricultura '!Y15*Costos_Agricultura!$B293</f>
        <v>207.2520370242689</v>
      </c>
      <c r="T277" s="839">
        <f>'Calibración-BAU_Agricultura '!Z15*Costos_Agricultura!$B293</f>
        <v>211.81550889427308</v>
      </c>
      <c r="U277" s="839">
        <f>'Calibración-BAU_Agricultura '!AA15*Costos_Agricultura!$B293</f>
        <v>217.15145497326867</v>
      </c>
      <c r="V277" s="839">
        <f>'Calibración-BAU_Agricultura '!AB15*Costos_Agricultura!$B293</f>
        <v>214.45661915418771</v>
      </c>
      <c r="W277" s="839">
        <f>'Calibración-BAU_Agricultura '!AC15*Costos_Agricultura!$B293</f>
        <v>218.44626161044027</v>
      </c>
      <c r="X277" s="839">
        <f>'Calibración-BAU_Agricultura '!AD15*Costos_Agricultura!$B293</f>
        <v>223.27014429232017</v>
      </c>
      <c r="Y277" s="839">
        <f>'Calibración-BAU_Agricultura '!AE15*Costos_Agricultura!$B293</f>
        <v>226.79188875507927</v>
      </c>
      <c r="Z277" s="839">
        <f>'Calibración-BAU_Agricultura '!AF15*Costos_Agricultura!$B293</f>
        <v>230.16051839616975</v>
      </c>
      <c r="AA277" s="839">
        <f>'Calibración-BAU_Agricultura '!AG15*Costos_Agricultura!$B293</f>
        <v>233.41557983617733</v>
      </c>
      <c r="AB277" s="839">
        <f>'Calibración-BAU_Agricultura '!AH15*Costos_Agricultura!$B293</f>
        <v>236.22713879972252</v>
      </c>
      <c r="AC277" s="839">
        <f>'Calibración-BAU_Agricultura '!AI15*Costos_Agricultura!$B293</f>
        <v>238.68012388481799</v>
      </c>
      <c r="AD277" s="839">
        <f>'Calibración-BAU_Agricultura '!AJ15*Costos_Agricultura!$B293</f>
        <v>242.20157815412179</v>
      </c>
      <c r="AE277" s="839">
        <f>'Calibración-BAU_Agricultura '!AK15*Costos_Agricultura!$B293</f>
        <v>245.46470452255582</v>
      </c>
      <c r="AF277" s="839">
        <f>'Calibración-BAU_Agricultura '!AL15*Costos_Agricultura!$B293</f>
        <v>248.54867585439737</v>
      </c>
      <c r="AG277" s="839">
        <f>'Calibración-BAU_Agricultura '!AM15*Costos_Agricultura!$B293</f>
        <v>251.52913109433993</v>
      </c>
      <c r="AH277" s="839">
        <f>'Calibración-BAU_Agricultura '!AN15*Costos_Agricultura!$B293</f>
        <v>254.10941643300544</v>
      </c>
      <c r="AI277" s="839">
        <f>'Calibración-BAU_Agricultura '!AO15*Costos_Agricultura!$B293</f>
        <v>256.98771601279452</v>
      </c>
      <c r="AJ277" s="839">
        <f>'Calibración-BAU_Agricultura '!AP15*Costos_Agricultura!$B293</f>
        <v>259.63468629118756</v>
      </c>
      <c r="AK277" s="839">
        <f>'Calibración-BAU_Agricultura '!AQ15*Costos_Agricultura!$B293</f>
        <v>262.68154703456116</v>
      </c>
      <c r="AL277" s="839">
        <f>'Calibración-BAU_Agricultura '!AR15*Costos_Agricultura!$B293</f>
        <v>265.34181124692662</v>
      </c>
      <c r="AM277" s="839">
        <f>'Calibración-BAU_Agricultura '!AS15*Costos_Agricultura!$B293</f>
        <v>267.91208691932826</v>
      </c>
      <c r="AN277" s="839">
        <f>'Calibración-BAU_Agricultura '!AT15*Costos_Agricultura!$B293</f>
        <v>270.48004643308457</v>
      </c>
      <c r="AO277" s="839">
        <f>'Calibración-BAU_Agricultura '!AU15*Costos_Agricultura!$B293</f>
        <v>273.01280776235666</v>
      </c>
      <c r="AP277" s="675"/>
    </row>
    <row r="278" spans="1:42" ht="14.25" hidden="1" customHeight="1" x14ac:dyDescent="0.3">
      <c r="A278" s="1215"/>
      <c r="B278" s="644"/>
      <c r="C278" s="678"/>
      <c r="D278" s="676" t="s">
        <v>950</v>
      </c>
      <c r="E278" s="676"/>
      <c r="F278" s="676"/>
      <c r="G278" s="676"/>
      <c r="H278" s="676"/>
      <c r="I278" s="837">
        <v>4499</v>
      </c>
      <c r="J278" s="685">
        <v>3962</v>
      </c>
      <c r="K278" s="685">
        <v>4185</v>
      </c>
      <c r="L278" s="839">
        <f>'Calibración-BAU_Agricultura '!R16*Costos_Agricultura!$B294</f>
        <v>5584.3194165894365</v>
      </c>
      <c r="M278" s="839">
        <f>'Calibración-BAU_Agricultura '!S16*Costos_Agricultura!$B294</f>
        <v>4781.2731852281267</v>
      </c>
      <c r="N278" s="839">
        <f>'Calibración-BAU_Agricultura '!T16*Costos_Agricultura!$B294</f>
        <v>4757.5890332639092</v>
      </c>
      <c r="O278" s="839">
        <f>'Calibración-BAU_Agricultura '!U16*Costos_Agricultura!$B294</f>
        <v>5047.4916474197171</v>
      </c>
      <c r="P278" s="839">
        <f>'Calibración-BAU_Agricultura '!V16*Costos_Agricultura!$B294</f>
        <v>5056.2055119988445</v>
      </c>
      <c r="Q278" s="839">
        <f>'Calibración-BAU_Agricultura '!W16*Costos_Agricultura!$B294</f>
        <v>5359.6723050860164</v>
      </c>
      <c r="R278" s="839">
        <f>'Calibración-BAU_Agricultura '!X16*Costos_Agricultura!$B294</f>
        <v>5492.9339998321584</v>
      </c>
      <c r="S278" s="839">
        <f>'Calibración-BAU_Agricultura '!Y16*Costos_Agricultura!$B294</f>
        <v>5632.2055879141744</v>
      </c>
      <c r="T278" s="839">
        <f>'Calibración-BAU_Agricultura '!Z16*Costos_Agricultura!$B294</f>
        <v>5756.2208310720362</v>
      </c>
      <c r="U278" s="839">
        <f>'Calibración-BAU_Agricultura '!AA16*Costos_Agricultura!$B294</f>
        <v>5901.2285509209296</v>
      </c>
      <c r="V278" s="839">
        <f>'Calibración-BAU_Agricultura '!AB16*Costos_Agricultura!$B294</f>
        <v>5827.9946779194224</v>
      </c>
      <c r="W278" s="839">
        <f>'Calibración-BAU_Agricultura '!AC16*Costos_Agricultura!$B294</f>
        <v>5936.4157427181935</v>
      </c>
      <c r="X278" s="839">
        <f>'Calibración-BAU_Agricultura '!AD16*Costos_Agricultura!$B294</f>
        <v>6067.5078148947623</v>
      </c>
      <c r="Y278" s="839">
        <f>'Calibración-BAU_Agricultura '!AE16*Costos_Agricultura!$B294</f>
        <v>6163.2134548834038</v>
      </c>
      <c r="Z278" s="839">
        <f>'Calibración-BAU_Agricultura '!AF16*Costos_Agricultura!$B294</f>
        <v>6254.7581024563578</v>
      </c>
      <c r="AA278" s="839">
        <f>'Calibración-BAU_Agricultura '!AG16*Costos_Agricultura!$B294</f>
        <v>6343.2164621166185</v>
      </c>
      <c r="AB278" s="839">
        <f>'Calibración-BAU_Agricultura '!AH16*Costos_Agricultura!$B294</f>
        <v>6419.6223606187177</v>
      </c>
      <c r="AC278" s="839">
        <f>'Calibración-BAU_Agricultura '!AI16*Costos_Agricultura!$B294</f>
        <v>6486.2837864927942</v>
      </c>
      <c r="AD278" s="839">
        <f>'Calibración-BAU_Agricultura '!AJ16*Costos_Agricultura!$B294</f>
        <v>6581.9815402901895</v>
      </c>
      <c r="AE278" s="839">
        <f>'Calibración-BAU_Agricultura '!AK16*Costos_Agricultura!$B294</f>
        <v>6670.6590694968727</v>
      </c>
      <c r="AF278" s="839">
        <f>'Calibración-BAU_Agricultura '!AL16*Costos_Agricultura!$B294</f>
        <v>6754.4679469272605</v>
      </c>
      <c r="AG278" s="839">
        <f>'Calibración-BAU_Agricultura '!AM16*Costos_Agricultura!$B294</f>
        <v>6835.4637088891413</v>
      </c>
      <c r="AH278" s="839">
        <f>'Calibración-BAU_Agricultura '!AN16*Costos_Agricultura!$B294</f>
        <v>6905.5845999139337</v>
      </c>
      <c r="AI278" s="839">
        <f>'Calibración-BAU_Agricultura '!AO16*Costos_Agricultura!$B294</f>
        <v>6983.8042170030567</v>
      </c>
      <c r="AJ278" s="839">
        <f>'Calibración-BAU_Agricultura '!AP16*Costos_Agricultura!$B294</f>
        <v>7055.7373135702192</v>
      </c>
      <c r="AK278" s="839">
        <f>'Calibración-BAU_Agricultura '!AQ16*Costos_Agricultura!$B294</f>
        <v>7138.5376872158377</v>
      </c>
      <c r="AL278" s="839">
        <f>'Calibración-BAU_Agricultura '!AR16*Costos_Agricultura!$B294</f>
        <v>7210.8320548724423</v>
      </c>
      <c r="AM278" s="839">
        <f>'Calibración-BAU_Agricultura '!AS16*Costos_Agricultura!$B294</f>
        <v>7280.6809268663301</v>
      </c>
      <c r="AN278" s="839">
        <f>'Calibración-BAU_Agricultura '!AT16*Costos_Agricultura!$B294</f>
        <v>7350.4668557796467</v>
      </c>
      <c r="AO278" s="839">
        <f>'Calibración-BAU_Agricultura '!AU16*Costos_Agricultura!$B294</f>
        <v>7419.2962516996922</v>
      </c>
      <c r="AP278" s="675"/>
    </row>
    <row r="279" spans="1:42" ht="14.25" hidden="1" customHeight="1" x14ac:dyDescent="0.3">
      <c r="A279" s="1215"/>
      <c r="B279" s="644"/>
      <c r="C279" s="678"/>
      <c r="D279" s="676" t="s">
        <v>951</v>
      </c>
      <c r="E279" s="687"/>
      <c r="F279" s="687"/>
      <c r="G279" s="687"/>
      <c r="H279" s="687"/>
      <c r="I279" s="687">
        <v>2002</v>
      </c>
      <c r="J279" s="685">
        <v>2165</v>
      </c>
      <c r="K279" s="685">
        <v>4589</v>
      </c>
      <c r="L279" s="839">
        <f>'Calibración-BAU_Agricultura '!R17*Costos_Agricultura!$B295</f>
        <v>2995.1636629016698</v>
      </c>
      <c r="M279" s="839">
        <f>'Calibración-BAU_Agricultura '!S17*Costos_Agricultura!$B295</f>
        <v>2107.3780873589922</v>
      </c>
      <c r="N279" s="839">
        <f>'Calibración-BAU_Agricultura '!T17*Costos_Agricultura!$B295</f>
        <v>2096.939139209936</v>
      </c>
      <c r="O279" s="839">
        <f>'Calibración-BAU_Agricultura '!U17*Costos_Agricultura!$B295</f>
        <v>2224.7156524674374</v>
      </c>
      <c r="P279" s="839">
        <f>'Calibración-BAU_Agricultura '!V17*Costos_Agricultura!$B295</f>
        <v>2228.5563464748411</v>
      </c>
      <c r="Q279" s="839">
        <f>'Calibración-BAU_Agricultura '!W17*Costos_Agricultura!$B295</f>
        <v>2362.3113621825455</v>
      </c>
      <c r="R279" s="839">
        <f>'Calibración-BAU_Agricultura '!X17*Costos_Agricultura!$B295</f>
        <v>2421.0473441088625</v>
      </c>
      <c r="S279" s="839">
        <f>'Calibración-BAU_Agricultura '!Y17*Costos_Agricultura!$B295</f>
        <v>2482.4322266590793</v>
      </c>
      <c r="T279" s="839">
        <f>'Calibración-BAU_Agricultura '!Z17*Costos_Agricultura!$B295</f>
        <v>2537.0927732969108</v>
      </c>
      <c r="U279" s="839">
        <f>'Calibración-BAU_Agricultura '!AA17*Costos_Agricultura!$B295</f>
        <v>2601.005894231218</v>
      </c>
      <c r="V279" s="839">
        <f>'Calibración-BAU_Agricultura '!AB17*Costos_Agricultura!$B295</f>
        <v>2568.7275756250738</v>
      </c>
      <c r="W279" s="839">
        <f>'Calibración-BAU_Agricultura '!AC17*Costos_Agricultura!$B295</f>
        <v>2616.514884007905</v>
      </c>
      <c r="X279" s="839">
        <f>'Calibración-BAU_Agricultura '!AD17*Costos_Agricultura!$B295</f>
        <v>2674.2945902972046</v>
      </c>
      <c r="Y279" s="839">
        <f>'Calibración-BAU_Agricultura '!AE17*Costos_Agricultura!$B295</f>
        <v>2716.4774902770378</v>
      </c>
      <c r="Z279" s="839">
        <f>'Calibración-BAU_Agricultura '!AF17*Costos_Agricultura!$B295</f>
        <v>2756.8264050611306</v>
      </c>
      <c r="AA279" s="839">
        <f>'Calibración-BAU_Agricultura '!AG17*Costos_Agricultura!$B295</f>
        <v>2795.8150178364244</v>
      </c>
      <c r="AB279" s="839">
        <f>'Calibración-BAU_Agricultura '!AH17*Costos_Agricultura!$B295</f>
        <v>2829.4914278658212</v>
      </c>
      <c r="AC279" s="839">
        <f>'Calibración-BAU_Agricultura '!AI17*Costos_Agricultura!$B295</f>
        <v>2858.8728965075115</v>
      </c>
      <c r="AD279" s="839">
        <f>'Calibración-BAU_Agricultura '!AJ17*Costos_Agricultura!$B295</f>
        <v>2901.0523205958848</v>
      </c>
      <c r="AE279" s="839">
        <f>'Calibración-BAU_Agricultura '!AK17*Costos_Agricultura!$B295</f>
        <v>2940.1375338124531</v>
      </c>
      <c r="AF279" s="839">
        <f>'Calibración-BAU_Agricultura '!AL17*Costos_Agricultura!$B295</f>
        <v>2977.0768562441053</v>
      </c>
      <c r="AG279" s="839">
        <f>'Calibración-BAU_Agricultura '!AM17*Costos_Agricultura!$B295</f>
        <v>3012.7762792460703</v>
      </c>
      <c r="AH279" s="839">
        <f>'Calibración-BAU_Agricultura '!AN17*Costos_Agricultura!$B295</f>
        <v>3043.6825302564243</v>
      </c>
      <c r="AI279" s="839">
        <f>'Calibración-BAU_Agricultura '!AO17*Costos_Agricultura!$B295</f>
        <v>3078.1583488656806</v>
      </c>
      <c r="AJ279" s="839">
        <f>'Calibración-BAU_Agricultura '!AP17*Costos_Agricultura!$B295</f>
        <v>3109.8633415713607</v>
      </c>
      <c r="AK279" s="839">
        <f>'Calibración-BAU_Agricultura '!AQ17*Costos_Agricultura!$B295</f>
        <v>3146.3581592247447</v>
      </c>
      <c r="AL279" s="839">
        <f>'Calibración-BAU_Agricultura '!AR17*Costos_Agricultura!$B295</f>
        <v>3178.2223845757867</v>
      </c>
      <c r="AM279" s="839">
        <f>'Calibración-BAU_Agricultura '!AS17*Costos_Agricultura!$B295</f>
        <v>3209.0087413816336</v>
      </c>
      <c r="AN279" s="839">
        <f>'Calibración-BAU_Agricultura '!AT17*Costos_Agricultura!$B295</f>
        <v>3239.7673556043628</v>
      </c>
      <c r="AO279" s="839">
        <f>'Calibración-BAU_Agricultura '!AU17*Costos_Agricultura!$B295</f>
        <v>3270.1043715222559</v>
      </c>
      <c r="AP279" s="675"/>
    </row>
    <row r="280" spans="1:42" ht="14.25" hidden="1" customHeight="1" x14ac:dyDescent="0.3">
      <c r="A280" s="1215"/>
      <c r="B280" s="644"/>
      <c r="C280" s="678"/>
      <c r="D280" s="676" t="s">
        <v>952</v>
      </c>
      <c r="E280" s="676"/>
      <c r="F280" s="676"/>
      <c r="G280" s="676"/>
      <c r="H280" s="676"/>
      <c r="I280" s="837">
        <v>4943</v>
      </c>
      <c r="J280" s="685">
        <v>5173</v>
      </c>
      <c r="K280" s="685">
        <v>5350</v>
      </c>
      <c r="L280" s="839">
        <f>'Calibración-BAU_Agricultura '!R18*Costos_Agricultura!$B296</f>
        <v>5501.9189502805493</v>
      </c>
      <c r="M280" s="839">
        <f>'Calibración-BAU_Agricultura '!S18*Costos_Agricultura!$B296</f>
        <v>5200.5261002397119</v>
      </c>
      <c r="N280" s="839">
        <f>'Calibración-BAU_Agricultura '!T18*Costos_Agricultura!$B296</f>
        <v>5174.7651688558944</v>
      </c>
      <c r="O280" s="839">
        <f>'Calibración-BAU_Agricultura '!U18*Costos_Agricultura!$B296</f>
        <v>5490.0883166950325</v>
      </c>
      <c r="P280" s="839">
        <f>'Calibración-BAU_Agricultura '!V18*Costos_Agricultura!$B296</f>
        <v>5499.5662692031037</v>
      </c>
      <c r="Q280" s="839">
        <f>'Calibración-BAU_Agricultura '!W18*Costos_Agricultura!$B296</f>
        <v>5829.6429907930224</v>
      </c>
      <c r="R280" s="839">
        <f>'Calibración-BAU_Agricultura '!X18*Costos_Agricultura!$B296</f>
        <v>5974.58993166865</v>
      </c>
      <c r="S280" s="839">
        <f>'Calibración-BAU_Agricultura '!Y18*Costos_Agricultura!$B296</f>
        <v>6126.0737521456022</v>
      </c>
      <c r="T280" s="839">
        <f>'Calibración-BAU_Agricultura '!Z18*Costos_Agricultura!$B296</f>
        <v>6260.9634528350762</v>
      </c>
      <c r="U280" s="839">
        <f>'Calibración-BAU_Agricultura '!AA18*Costos_Agricultura!$B296</f>
        <v>6418.6863861617639</v>
      </c>
      <c r="V280" s="839">
        <f>'Calibración-BAU_Agricultura '!AB18*Costos_Agricultura!$B296</f>
        <v>6339.0308941596249</v>
      </c>
      <c r="W280" s="839">
        <f>'Calibración-BAU_Agricultura '!AC18*Costos_Agricultura!$B296</f>
        <v>6456.9590182090533</v>
      </c>
      <c r="X280" s="839">
        <f>'Calibración-BAU_Agricultura '!AD18*Costos_Agricultura!$B296</f>
        <v>6599.5460899946684</v>
      </c>
      <c r="Y280" s="839">
        <f>'Calibración-BAU_Agricultura '!AE18*Costos_Agricultura!$B296</f>
        <v>6703.643818657988</v>
      </c>
      <c r="Z280" s="839">
        <f>'Calibración-BAU_Agricultura '!AF18*Costos_Agricultura!$B296</f>
        <v>6803.2156922148561</v>
      </c>
      <c r="AA280" s="839">
        <f>'Calibración-BAU_Agricultura '!AG18*Costos_Agricultura!$B296</f>
        <v>6899.4306522005891</v>
      </c>
      <c r="AB280" s="839">
        <f>'Calibración-BAU_Agricultura '!AH18*Costos_Agricultura!$B296</f>
        <v>6982.5363133872497</v>
      </c>
      <c r="AC280" s="839">
        <f>'Calibración-BAU_Agricultura '!AI18*Costos_Agricultura!$B296</f>
        <v>7055.0430436465449</v>
      </c>
      <c r="AD280" s="839">
        <f>'Calibración-BAU_Agricultura '!AJ18*Costos_Agricultura!$B296</f>
        <v>7159.1321946064309</v>
      </c>
      <c r="AE280" s="839">
        <f>'Calibración-BAU_Agricultura '!AK18*Costos_Agricultura!$B296</f>
        <v>7255.5855423400253</v>
      </c>
      <c r="AF280" s="839">
        <f>'Calibración-BAU_Agricultura '!AL18*Costos_Agricultura!$B296</f>
        <v>7346.7433234630753</v>
      </c>
      <c r="AG280" s="839">
        <f>'Calibración-BAU_Agricultura '!AM18*Costos_Agricultura!$B296</f>
        <v>7434.8413169834903</v>
      </c>
      <c r="AH280" s="839">
        <f>'Calibración-BAU_Agricultura '!AN18*Costos_Agricultura!$B296</f>
        <v>7511.1108606425178</v>
      </c>
      <c r="AI280" s="839">
        <f>'Calibración-BAU_Agricultura '!AO18*Costos_Agricultura!$B296</f>
        <v>7596.1892789766771</v>
      </c>
      <c r="AJ280" s="839">
        <f>'Calibración-BAU_Agricultura '!AP18*Costos_Agricultura!$B296</f>
        <v>7674.429934065025</v>
      </c>
      <c r="AK280" s="839">
        <f>'Calibración-BAU_Agricultura '!AQ18*Costos_Agricultura!$B296</f>
        <v>7764.4907792775539</v>
      </c>
      <c r="AL280" s="839">
        <f>'Calibración-BAU_Agricultura '!AR18*Costos_Agricultura!$B296</f>
        <v>7843.1243840379047</v>
      </c>
      <c r="AM280" s="839">
        <f>'Calibración-BAU_Agricultura '!AS18*Costos_Agricultura!$B296</f>
        <v>7919.0980562804343</v>
      </c>
      <c r="AN280" s="839">
        <f>'Calibración-BAU_Agricultura '!AT18*Costos_Agricultura!$B296</f>
        <v>7995.0032661865398</v>
      </c>
      <c r="AO280" s="839">
        <f>'Calibración-BAU_Agricultura '!AU18*Costos_Agricultura!$B296</f>
        <v>8069.8680681082997</v>
      </c>
      <c r="AP280" s="675"/>
    </row>
    <row r="281" spans="1:42" ht="14.25" hidden="1" customHeight="1" x14ac:dyDescent="0.3">
      <c r="A281" s="1215"/>
      <c r="B281" s="644"/>
      <c r="C281" s="678"/>
      <c r="D281" s="676" t="s">
        <v>953</v>
      </c>
      <c r="E281" s="676"/>
      <c r="F281" s="676"/>
      <c r="G281" s="676"/>
      <c r="H281" s="676"/>
      <c r="I281" s="837">
        <v>3002</v>
      </c>
      <c r="J281" s="685">
        <v>2392</v>
      </c>
      <c r="K281" s="685">
        <v>4341</v>
      </c>
      <c r="L281" s="839">
        <f>'Calibración-BAU_Agricultura '!R19*Costos_Agricultura!$B297</f>
        <v>3064.7477234802359</v>
      </c>
      <c r="M281" s="839">
        <f>'Calibración-BAU_Agricultura '!S19*Costos_Agricultura!$B297</f>
        <v>3173.2659961117542</v>
      </c>
      <c r="N281" s="839">
        <f>'Calibración-BAU_Agricultura '!T19*Costos_Agricultura!$B297</f>
        <v>3157.5471465160049</v>
      </c>
      <c r="O281" s="839">
        <f>'Calibración-BAU_Agricultura '!U19*Costos_Agricultura!$B297</f>
        <v>3349.9515693644425</v>
      </c>
      <c r="P281" s="839">
        <f>'Calibración-BAU_Agricultura '!V19*Costos_Agricultura!$B297</f>
        <v>3355.7348427923444</v>
      </c>
      <c r="Q281" s="839">
        <f>'Calibración-BAU_Agricultura '!W19*Costos_Agricultura!$B297</f>
        <v>3557.1416267485015</v>
      </c>
      <c r="R281" s="839">
        <f>'Calibración-BAU_Agricultura '!X19*Costos_Agricultura!$B297</f>
        <v>3645.5856014263427</v>
      </c>
      <c r="S281" s="839">
        <f>'Calibración-BAU_Agricultura '!Y19*Costos_Agricultura!$B297</f>
        <v>3738.0182605872019</v>
      </c>
      <c r="T281" s="839">
        <f>'Calibración-BAU_Agricultura '!Z19*Costos_Agricultura!$B297</f>
        <v>3820.3254910814148</v>
      </c>
      <c r="U281" s="839">
        <f>'Calibración-BAU_Agricultura '!AA19*Costos_Agricultura!$B297</f>
        <v>3916.5651428946248</v>
      </c>
      <c r="V281" s="839">
        <f>'Calibración-BAU_Agricultura '!AB19*Costos_Agricultura!$B297</f>
        <v>3867.9608172356716</v>
      </c>
      <c r="W281" s="839">
        <f>'Calibración-BAU_Agricultura '!AC19*Costos_Agricultura!$B297</f>
        <v>3939.9184036064139</v>
      </c>
      <c r="X281" s="839">
        <f>'Calibración-BAU_Agricultura '!AD19*Costos_Agricultura!$B297</f>
        <v>4026.9224292878889</v>
      </c>
      <c r="Y281" s="839">
        <f>'Calibración-BAU_Agricultura '!AE19*Costos_Agricultura!$B297</f>
        <v>4090.4409611196115</v>
      </c>
      <c r="Z281" s="839">
        <f>'Calibración-BAU_Agricultura '!AF19*Costos_Agricultura!$B297</f>
        <v>4151.1978988672345</v>
      </c>
      <c r="AA281" s="839">
        <f>'Calibración-BAU_Agricultura '!AG19*Costos_Agricultura!$B297</f>
        <v>4209.9065092953033</v>
      </c>
      <c r="AB281" s="839">
        <f>'Calibración-BAU_Agricultura '!AH19*Costos_Agricultura!$B297</f>
        <v>4260.6160651450191</v>
      </c>
      <c r="AC281" s="839">
        <f>'Calibración-BAU_Agricultura '!AI19*Costos_Agricultura!$B297</f>
        <v>4304.8583470192443</v>
      </c>
      <c r="AD281" s="839">
        <f>'Calibración-BAU_Agricultura '!AJ19*Costos_Agricultura!$B297</f>
        <v>4368.3716448930736</v>
      </c>
      <c r="AE281" s="839">
        <f>'Calibración-BAU_Agricultura '!AK19*Costos_Agricultura!$B297</f>
        <v>4427.2257151687818</v>
      </c>
      <c r="AF281" s="839">
        <f>'Calibración-BAU_Agricultura '!AL19*Costos_Agricultura!$B297</f>
        <v>4482.8485274656823</v>
      </c>
      <c r="AG281" s="839">
        <f>'Calibración-BAU_Agricultura '!AM19*Costos_Agricultura!$B297</f>
        <v>4536.6043132795685</v>
      </c>
      <c r="AH281" s="839">
        <f>'Calibración-BAU_Agricultura '!AN19*Costos_Agricultura!$B297</f>
        <v>4583.1425951316669</v>
      </c>
      <c r="AI281" s="839">
        <f>'Calibración-BAU_Agricultura '!AO19*Costos_Agricultura!$B297</f>
        <v>4635.055891344201</v>
      </c>
      <c r="AJ281" s="839">
        <f>'Calibración-BAU_Agricultura '!AP19*Costos_Agricultura!$B297</f>
        <v>4682.7969093719576</v>
      </c>
      <c r="AK281" s="839">
        <f>'Calibración-BAU_Agricultura '!AQ19*Costos_Agricultura!$B297</f>
        <v>4737.7503914207891</v>
      </c>
      <c r="AL281" s="839">
        <f>'Calibración-BAU_Agricultura '!AR19*Costos_Agricultura!$B297</f>
        <v>4785.7311801579554</v>
      </c>
      <c r="AM281" s="839">
        <f>'Calibración-BAU_Agricultura '!AS19*Costos_Agricultura!$B297</f>
        <v>4832.0889266782242</v>
      </c>
      <c r="AN281" s="839">
        <f>'Calibración-BAU_Agricultura '!AT19*Costos_Agricultura!$B297</f>
        <v>4878.4048987318338</v>
      </c>
      <c r="AO281" s="839">
        <f>'Calibración-BAU_Agricultura '!AU19*Costos_Agricultura!$B297</f>
        <v>4924.0860328449799</v>
      </c>
      <c r="AP281" s="675"/>
    </row>
    <row r="282" spans="1:42" ht="13.5" hidden="1" customHeight="1" x14ac:dyDescent="0.3">
      <c r="A282" s="1215"/>
      <c r="B282" s="644"/>
      <c r="C282" s="678"/>
      <c r="D282" s="676" t="s">
        <v>954</v>
      </c>
      <c r="E282" s="676"/>
      <c r="F282" s="676"/>
      <c r="G282" s="676"/>
      <c r="H282" s="676"/>
      <c r="I282" s="837">
        <v>10637</v>
      </c>
      <c r="J282" s="685">
        <v>6102</v>
      </c>
      <c r="K282" s="685">
        <v>10245</v>
      </c>
      <c r="L282" s="839">
        <f>'Calibración-BAU_Agricultura '!R20*Costos_Agricultura!$B298</f>
        <v>6306.5528884911</v>
      </c>
      <c r="M282" s="839">
        <f>'Calibración-BAU_Agricultura '!S20*Costos_Agricultura!$B298</f>
        <v>7324.4106711272016</v>
      </c>
      <c r="N282" s="839">
        <f>'Calibración-BAU_Agricultura '!T20*Costos_Agricultura!$B298</f>
        <v>7288.129026330319</v>
      </c>
      <c r="O282" s="839">
        <f>'Calibración-BAU_Agricultura '!U20*Costos_Agricultura!$B298</f>
        <v>7732.2295239280438</v>
      </c>
      <c r="P282" s="839">
        <f>'Calibración-BAU_Agricultura '!V20*Costos_Agricultura!$B298</f>
        <v>7745.5782534897226</v>
      </c>
      <c r="Q282" s="839">
        <f>'Calibración-BAU_Agricultura '!W20*Costos_Agricultura!$B298</f>
        <v>8210.4576551703394</v>
      </c>
      <c r="R282" s="839">
        <f>'Calibración-BAU_Agricultura '!X20*Costos_Agricultura!$B298</f>
        <v>8414.6006399440848</v>
      </c>
      <c r="S282" s="839">
        <f>'Calibración-BAU_Agricultura '!Y20*Costos_Agricultura!$B298</f>
        <v>8627.9501530161087</v>
      </c>
      <c r="T282" s="839">
        <f>'Calibración-BAU_Agricultura '!Z20*Costos_Agricultura!$B298</f>
        <v>8817.9285406083964</v>
      </c>
      <c r="U282" s="839">
        <f>'Calibración-BAU_Agricultura '!AA20*Costos_Agricultura!$B298</f>
        <v>9040.0652078748535</v>
      </c>
      <c r="V282" s="839">
        <f>'Calibración-BAU_Agricultura '!AB20*Costos_Agricultura!$B298</f>
        <v>8927.8785705253249</v>
      </c>
      <c r="W282" s="839">
        <f>'Calibración-BAU_Agricultura '!AC20*Costos_Agricultura!$B298</f>
        <v>9093.9683071336713</v>
      </c>
      <c r="X282" s="839">
        <f>'Calibración-BAU_Agricultura '!AD20*Costos_Agricultura!$B298</f>
        <v>9294.7876569496821</v>
      </c>
      <c r="Y282" s="839">
        <f>'Calibración-BAU_Agricultura '!AE20*Costos_Agricultura!$B298</f>
        <v>9441.398692057568</v>
      </c>
      <c r="Z282" s="839">
        <f>'Calibración-BAU_Agricultura '!AF20*Costos_Agricultura!$B298</f>
        <v>9581.635521787246</v>
      </c>
      <c r="AA282" s="839">
        <f>'Calibración-BAU_Agricultura '!AG20*Costos_Agricultura!$B298</f>
        <v>9717.1444810844769</v>
      </c>
      <c r="AB282" s="839">
        <f>'Calibración-BAU_Agricultura '!AH20*Costos_Agricultura!$B298</f>
        <v>9834.1903298878515</v>
      </c>
      <c r="AC282" s="839">
        <f>'Calibración-BAU_Agricultura '!AI20*Costos_Agricultura!$B298</f>
        <v>9936.3086653414975</v>
      </c>
      <c r="AD282" s="839">
        <f>'Calibración-BAU_Agricultura '!AJ20*Costos_Agricultura!$B298</f>
        <v>10082.907619628837</v>
      </c>
      <c r="AE282" s="839">
        <f>'Calibración-BAU_Agricultura '!AK20*Costos_Agricultura!$B298</f>
        <v>10218.752323758546</v>
      </c>
      <c r="AF282" s="839">
        <f>'Calibración-BAU_Agricultura '!AL20*Costos_Agricultura!$B298</f>
        <v>10347.138762350434</v>
      </c>
      <c r="AG282" s="839">
        <f>'Calibración-BAU_Agricultura '!AM20*Costos_Agricultura!$B298</f>
        <v>10471.215802136097</v>
      </c>
      <c r="AH282" s="839">
        <f>'Calibración-BAU_Agricultura '!AN20*Costos_Agricultura!$B298</f>
        <v>10578.633676537775</v>
      </c>
      <c r="AI282" s="839">
        <f>'Calibración-BAU_Agricultura '!AO20*Costos_Agricultura!$B298</f>
        <v>10698.457952604886</v>
      </c>
      <c r="AJ282" s="839">
        <f>'Calibración-BAU_Agricultura '!AP20*Costos_Agricultura!$B298</f>
        <v>10808.65193644407</v>
      </c>
      <c r="AK282" s="839">
        <f>'Calibración-BAU_Agricultura '!AQ20*Costos_Agricultura!$B298</f>
        <v>10935.493452669702</v>
      </c>
      <c r="AL282" s="839">
        <f>'Calibración-BAU_Agricultura '!AR20*Costos_Agricultura!$B298</f>
        <v>11046.240866049546</v>
      </c>
      <c r="AM282" s="839">
        <f>'Calibración-BAU_Agricultura '!AS20*Costos_Agricultura!$B298</f>
        <v>11153.242035733561</v>
      </c>
      <c r="AN282" s="839">
        <f>'Calibración-BAU_Agricultura '!AT20*Costos_Agricultura!$B298</f>
        <v>11260.146783198399</v>
      </c>
      <c r="AO282" s="839">
        <f>'Calibración-BAU_Agricultura '!AU20*Costos_Agricultura!$B298</f>
        <v>11365.586222116375</v>
      </c>
      <c r="AP282" s="675"/>
    </row>
    <row r="283" spans="1:42" ht="13.5" hidden="1" customHeight="1" x14ac:dyDescent="0.3">
      <c r="A283" s="1215"/>
      <c r="B283" s="644"/>
      <c r="C283" s="678"/>
      <c r="D283" s="676" t="s">
        <v>955</v>
      </c>
      <c r="E283" s="676"/>
      <c r="F283" s="676"/>
      <c r="G283" s="676"/>
      <c r="H283" s="676"/>
      <c r="I283" s="840">
        <f>'Calibración-BAU_Agricultura '!O21</f>
        <v>7508</v>
      </c>
      <c r="J283" s="840">
        <f>'Calibración-BAU_Agricultura '!P21</f>
        <v>9316</v>
      </c>
      <c r="K283" s="840">
        <f>'Calibración-BAU_Agricultura '!Q21</f>
        <v>5218</v>
      </c>
      <c r="L283" s="840">
        <f>'Calibración-BAU_Agricultura '!R21</f>
        <v>7464</v>
      </c>
      <c r="M283" s="840">
        <f>'Calibración-BAU_Agricultura '!S21</f>
        <v>7854</v>
      </c>
      <c r="N283" s="840">
        <f>'Calibración-BAU_Agricultura '!T21</f>
        <v>7815.0950216980591</v>
      </c>
      <c r="O283" s="840">
        <f>'Calibración-BAU_Agricultura '!U21</f>
        <v>8291.3060733096336</v>
      </c>
      <c r="P283" s="840">
        <f>'Calibración-BAU_Agricultura '!V21</f>
        <v>8305.6199787806527</v>
      </c>
      <c r="Q283" s="840">
        <f>'Calibración-BAU_Agricultura '!W21</f>
        <v>8804.1123469369668</v>
      </c>
      <c r="R283" s="840">
        <f>'Calibración-BAU_Agricultura '!X21</f>
        <v>9023.0158293336244</v>
      </c>
      <c r="S283" s="840">
        <f>'Calibración-BAU_Agricultura '!Y21</f>
        <v>9251.7915153110753</v>
      </c>
      <c r="T283" s="840">
        <f>'Calibración-BAU_Agricultura '!Z21</f>
        <v>9455.5062335520452</v>
      </c>
      <c r="U283" s="840">
        <f>'Calibración-BAU_Agricultura '!AA21</f>
        <v>9693.7044262869513</v>
      </c>
      <c r="V283" s="840">
        <f>'Calibración-BAU_Agricultura '!AB21</f>
        <v>9573.406167586556</v>
      </c>
      <c r="W283" s="840">
        <f>'Calibración-BAU_Agricultura '!AC21</f>
        <v>9751.5049730596256</v>
      </c>
      <c r="X283" s="840">
        <f>'Calibración-BAU_Agricultura '!AD21</f>
        <v>9966.8445060642935</v>
      </c>
      <c r="Y283" s="840">
        <f>'Calibración-BAU_Agricultura '!AE21</f>
        <v>10124.056208334958</v>
      </c>
      <c r="Z283" s="840">
        <f>'Calibración-BAU_Agricultura '!AF21</f>
        <v>10274.432820208824</v>
      </c>
      <c r="AA283" s="840">
        <f>'Calibración-BAU_Agricultura '!AG21</f>
        <v>10419.739714388839</v>
      </c>
      <c r="AB283" s="840">
        <f>'Calibración-BAU_Agricultura '!AH21</f>
        <v>10545.248528377859</v>
      </c>
      <c r="AC283" s="840">
        <f>'Calibración-BAU_Agricultura '!AI21</f>
        <v>10654.750499616932</v>
      </c>
      <c r="AD283" s="840">
        <f>'Calibración-BAU_Agricultura '!AJ21</f>
        <v>10811.949247566927</v>
      </c>
      <c r="AE283" s="840">
        <f>'Calibración-BAU_Agricultura '!AK21</f>
        <v>10957.616162509386</v>
      </c>
      <c r="AF283" s="840">
        <f>'Calibración-BAU_Agricultura '!AL21</f>
        <v>11095.285544248942</v>
      </c>
      <c r="AG283" s="840">
        <f>'Calibración-BAU_Agricultura '!AM21</f>
        <v>11228.333937386982</v>
      </c>
      <c r="AH283" s="840">
        <f>'Calibración-BAU_Agricultura '!AN21</f>
        <v>11343.518629156992</v>
      </c>
      <c r="AI283" s="840">
        <f>'Calibración-BAU_Agricultura '!AO21</f>
        <v>11472.006763764313</v>
      </c>
      <c r="AJ283" s="840">
        <f>'Calibración-BAU_Agricultura '!AP21</f>
        <v>11590.168290736661</v>
      </c>
      <c r="AK283" s="840">
        <f>'Calibración-BAU_Agricultura '!AQ21</f>
        <v>11726.181044959085</v>
      </c>
      <c r="AL283" s="840">
        <f>'Calibración-BAU_Agricultura '!AR21</f>
        <v>11844.936017029955</v>
      </c>
      <c r="AM283" s="840">
        <f>'Calibración-BAU_Agricultura '!AS21</f>
        <v>11959.673874371991</v>
      </c>
      <c r="AN283" s="840">
        <f>'Calibración-BAU_Agricultura '!AT21</f>
        <v>12074.308337715047</v>
      </c>
      <c r="AO283" s="840">
        <f>'Calibración-BAU_Agricultura '!AU21</f>
        <v>12187.371543813832</v>
      </c>
      <c r="AP283" s="675"/>
    </row>
    <row r="284" spans="1:42" ht="14.25" hidden="1" customHeight="1" x14ac:dyDescent="0.3">
      <c r="A284" s="973"/>
      <c r="B284" s="644" t="s">
        <v>956</v>
      </c>
      <c r="C284" s="679"/>
      <c r="D284" s="672"/>
      <c r="E284" s="672"/>
      <c r="F284" s="672"/>
      <c r="G284" s="676"/>
      <c r="H284" s="676"/>
      <c r="I284" s="676"/>
      <c r="J284" s="685"/>
      <c r="K284" s="685"/>
      <c r="L284" s="685"/>
      <c r="M284" s="685"/>
      <c r="N284" s="685"/>
      <c r="O284" s="685"/>
      <c r="P284" s="685"/>
      <c r="Q284" s="685"/>
      <c r="R284" s="685"/>
      <c r="S284" s="685"/>
      <c r="T284" s="685"/>
      <c r="U284" s="685"/>
      <c r="V284" s="685"/>
      <c r="W284" s="685"/>
      <c r="X284" s="685"/>
      <c r="Y284" s="685"/>
      <c r="Z284" s="685"/>
      <c r="AA284" s="685"/>
      <c r="AB284" s="685"/>
      <c r="AC284" s="685"/>
      <c r="AD284" s="685"/>
      <c r="AE284" s="685"/>
      <c r="AF284" s="685"/>
      <c r="AG284" s="685"/>
      <c r="AH284" s="685"/>
      <c r="AI284" s="685"/>
      <c r="AJ284" s="685"/>
      <c r="AK284" s="685"/>
      <c r="AL284" s="685"/>
      <c r="AM284" s="685"/>
      <c r="AN284" s="685"/>
      <c r="AO284" s="685"/>
      <c r="AP284" s="675"/>
    </row>
    <row r="285" spans="1:42" ht="14" hidden="1" customHeight="1" x14ac:dyDescent="0.3">
      <c r="A285" s="1215" t="s">
        <v>957</v>
      </c>
      <c r="B285" s="838">
        <f>AVERAGE(I285:K285)</f>
        <v>2.692408752041906E-3</v>
      </c>
      <c r="C285" s="679"/>
      <c r="D285" s="676" t="s">
        <v>942</v>
      </c>
      <c r="E285" s="672"/>
      <c r="F285" s="672"/>
      <c r="G285" s="676"/>
      <c r="H285" s="676"/>
      <c r="I285" s="676">
        <f>I269/('Calibración-BAU_Agricultura '!O$296*1000000)</f>
        <v>3.0372312251506881E-3</v>
      </c>
      <c r="J285" s="676">
        <f>J269/('Calibración-BAU_Agricultura '!P$296*1000000)</f>
        <v>4.5319108188664877E-3</v>
      </c>
      <c r="K285" s="676">
        <f>K269/('Calibración-BAU_Agricultura '!Q$296*1000000)</f>
        <v>5.0808421210854222E-4</v>
      </c>
      <c r="L285" s="676"/>
      <c r="M285" s="685"/>
      <c r="N285" s="685"/>
      <c r="O285" s="685"/>
      <c r="P285" s="685"/>
      <c r="Q285" s="685"/>
      <c r="R285" s="685"/>
      <c r="S285" s="685"/>
      <c r="T285" s="685"/>
      <c r="U285" s="685"/>
      <c r="V285" s="685"/>
      <c r="W285" s="685"/>
      <c r="X285" s="685"/>
      <c r="Y285" s="685"/>
      <c r="Z285" s="685"/>
      <c r="AA285" s="685"/>
      <c r="AB285" s="685"/>
      <c r="AC285" s="685"/>
      <c r="AD285" s="685"/>
      <c r="AE285" s="685"/>
      <c r="AF285" s="685"/>
      <c r="AG285" s="685"/>
      <c r="AH285" s="685"/>
      <c r="AI285" s="685"/>
      <c r="AJ285" s="685"/>
      <c r="AK285" s="685"/>
      <c r="AL285" s="685"/>
      <c r="AM285" s="685"/>
      <c r="AN285" s="685"/>
      <c r="AO285" s="685"/>
      <c r="AP285" s="675"/>
    </row>
    <row r="286" spans="1:42" ht="14.25" hidden="1" customHeight="1" x14ac:dyDescent="0.3">
      <c r="A286" s="1215"/>
      <c r="B286" s="838">
        <f t="shared" ref="B286:B299" si="26">AVERAGE(I286:K286)</f>
        <v>0.68752844029431281</v>
      </c>
      <c r="C286" s="678"/>
      <c r="D286" s="676" t="s">
        <v>943</v>
      </c>
      <c r="E286" s="676"/>
      <c r="F286" s="676"/>
      <c r="G286" s="676"/>
      <c r="H286" s="676"/>
      <c r="I286" s="676">
        <f>I270/'Calibración-BAU_Agricultura '!O$8</f>
        <v>0.58251298170471943</v>
      </c>
      <c r="J286" s="676">
        <f>J270/'Calibración-BAU_Agricultura '!P8</f>
        <v>0.65687752454289028</v>
      </c>
      <c r="K286" s="676">
        <f>K270/'Calibración-BAU_Agricultura '!Q8</f>
        <v>0.82319481463532829</v>
      </c>
      <c r="L286" s="676"/>
      <c r="M286" s="685"/>
      <c r="N286" s="685"/>
      <c r="O286" s="685"/>
      <c r="P286" s="685"/>
      <c r="Q286" s="685"/>
      <c r="R286" s="685"/>
      <c r="S286" s="685"/>
      <c r="T286" s="685"/>
      <c r="U286" s="685"/>
      <c r="V286" s="685"/>
      <c r="W286" s="685"/>
      <c r="X286" s="685"/>
      <c r="Y286" s="685"/>
      <c r="Z286" s="685"/>
      <c r="AA286" s="685"/>
      <c r="AB286" s="685"/>
      <c r="AC286" s="685"/>
      <c r="AD286" s="685"/>
      <c r="AE286" s="685"/>
      <c r="AF286" s="685"/>
      <c r="AG286" s="685"/>
      <c r="AH286" s="685"/>
      <c r="AI286" s="685"/>
      <c r="AJ286" s="685"/>
      <c r="AK286" s="685"/>
      <c r="AL286" s="685"/>
      <c r="AM286" s="685"/>
      <c r="AN286" s="685"/>
      <c r="AO286" s="685"/>
      <c r="AP286" s="675"/>
    </row>
    <row r="287" spans="1:42" ht="14.25" hidden="1" customHeight="1" x14ac:dyDescent="0.3">
      <c r="A287" s="1215"/>
      <c r="B287" s="838">
        <f t="shared" si="26"/>
        <v>8.7843870930409809E-2</v>
      </c>
      <c r="C287" s="678"/>
      <c r="D287" s="676" t="s">
        <v>944</v>
      </c>
      <c r="E287" s="687"/>
      <c r="F287" s="687"/>
      <c r="G287" s="687"/>
      <c r="H287" s="687"/>
      <c r="I287" s="676">
        <f>I271/'Calibración-BAU_Agricultura '!O9</f>
        <v>8.7089770003056483E-2</v>
      </c>
      <c r="J287" s="676">
        <f>J271/'Calibración-BAU_Agricultura '!P9</f>
        <v>7.6825631279850551E-2</v>
      </c>
      <c r="K287" s="676">
        <f>K271/'Calibración-BAU_Agricultura '!Q9</f>
        <v>9.961621150832238E-2</v>
      </c>
      <c r="L287" s="676"/>
      <c r="M287" s="685"/>
      <c r="N287" s="685"/>
      <c r="O287" s="685"/>
      <c r="P287" s="685"/>
      <c r="Q287" s="685"/>
      <c r="R287" s="685"/>
      <c r="S287" s="685"/>
      <c r="T287" s="685"/>
      <c r="U287" s="685"/>
      <c r="V287" s="685"/>
      <c r="W287" s="685"/>
      <c r="X287" s="685"/>
      <c r="Y287" s="685"/>
      <c r="Z287" s="685"/>
      <c r="AA287" s="685"/>
      <c r="AB287" s="685"/>
      <c r="AC287" s="685"/>
      <c r="AD287" s="685"/>
      <c r="AE287" s="685"/>
      <c r="AF287" s="685"/>
      <c r="AG287" s="685"/>
      <c r="AH287" s="685"/>
      <c r="AI287" s="685"/>
      <c r="AJ287" s="685"/>
      <c r="AK287" s="685"/>
      <c r="AL287" s="685"/>
      <c r="AM287" s="685"/>
      <c r="AN287" s="685"/>
      <c r="AO287" s="685"/>
      <c r="AP287" s="675"/>
    </row>
    <row r="288" spans="1:42" ht="14.25" hidden="1" customHeight="1" x14ac:dyDescent="0.3">
      <c r="A288" s="1215"/>
      <c r="B288" s="838">
        <f t="shared" si="26"/>
        <v>1.1733784587749192E-2</v>
      </c>
      <c r="C288" s="678"/>
      <c r="D288" s="676" t="s">
        <v>945</v>
      </c>
      <c r="E288" s="687"/>
      <c r="F288" s="687"/>
      <c r="G288" s="687"/>
      <c r="H288" s="687"/>
      <c r="I288" s="676">
        <f>I272/'Calibración-BAU_Agricultura '!O10</f>
        <v>1.3380994446457382E-2</v>
      </c>
      <c r="J288" s="676">
        <f>J272/'Calibración-BAU_Agricultura '!P10</f>
        <v>6.1586143244191554E-3</v>
      </c>
      <c r="K288" s="676">
        <f>K272/'Calibración-BAU_Agricultura '!Q10</f>
        <v>1.5661744992371038E-2</v>
      </c>
      <c r="L288" s="676"/>
      <c r="M288" s="685"/>
      <c r="N288" s="685"/>
      <c r="O288" s="685"/>
      <c r="P288" s="685"/>
      <c r="Q288" s="685"/>
      <c r="R288" s="685"/>
      <c r="S288" s="685"/>
      <c r="T288" s="685"/>
      <c r="U288" s="685"/>
      <c r="V288" s="685"/>
      <c r="W288" s="685"/>
      <c r="X288" s="685"/>
      <c r="Y288" s="685"/>
      <c r="Z288" s="685"/>
      <c r="AA288" s="685"/>
      <c r="AB288" s="685"/>
      <c r="AC288" s="685"/>
      <c r="AD288" s="685"/>
      <c r="AE288" s="685"/>
      <c r="AF288" s="685"/>
      <c r="AG288" s="685"/>
      <c r="AH288" s="685"/>
      <c r="AI288" s="685"/>
      <c r="AJ288" s="685"/>
      <c r="AK288" s="685"/>
      <c r="AL288" s="685"/>
      <c r="AM288" s="685"/>
      <c r="AN288" s="685"/>
      <c r="AO288" s="685"/>
      <c r="AP288" s="675"/>
    </row>
    <row r="289" spans="1:42" ht="14.25" hidden="1" customHeight="1" x14ac:dyDescent="0.3">
      <c r="A289" s="1215"/>
      <c r="B289" s="838">
        <f t="shared" si="26"/>
        <v>0.15943705643623848</v>
      </c>
      <c r="C289" s="678"/>
      <c r="D289" s="676" t="s">
        <v>946</v>
      </c>
      <c r="E289" s="687"/>
      <c r="F289" s="687"/>
      <c r="G289" s="687"/>
      <c r="H289" s="687"/>
      <c r="I289" s="676">
        <f>I273/'Calibración-BAU_Agricultura '!O11</f>
        <v>7.4775365102319025E-2</v>
      </c>
      <c r="J289" s="676">
        <f>J273/'Calibración-BAU_Agricultura '!P11</f>
        <v>0.17483832468289434</v>
      </c>
      <c r="K289" s="676">
        <f>K273/'Calibración-BAU_Agricultura '!Q11</f>
        <v>0.22869747952350208</v>
      </c>
      <c r="L289" s="676"/>
      <c r="M289" s="685"/>
      <c r="N289" s="685"/>
      <c r="O289" s="685"/>
      <c r="P289" s="685"/>
      <c r="Q289" s="685"/>
      <c r="R289" s="685"/>
      <c r="S289" s="685"/>
      <c r="T289" s="685"/>
      <c r="U289" s="685"/>
      <c r="V289" s="685"/>
      <c r="W289" s="685"/>
      <c r="X289" s="685"/>
      <c r="Y289" s="685"/>
      <c r="Z289" s="685"/>
      <c r="AA289" s="685"/>
      <c r="AB289" s="685"/>
      <c r="AC289" s="685"/>
      <c r="AD289" s="685"/>
      <c r="AE289" s="685"/>
      <c r="AF289" s="685"/>
      <c r="AG289" s="685"/>
      <c r="AH289" s="685"/>
      <c r="AI289" s="685"/>
      <c r="AJ289" s="685"/>
      <c r="AK289" s="685"/>
      <c r="AL289" s="685"/>
      <c r="AM289" s="685"/>
      <c r="AN289" s="685"/>
      <c r="AO289" s="685"/>
      <c r="AP289" s="675"/>
    </row>
    <row r="290" spans="1:42" ht="14.25" hidden="1" customHeight="1" x14ac:dyDescent="0.3">
      <c r="A290" s="1215"/>
      <c r="B290" s="838">
        <f t="shared" si="26"/>
        <v>5.7113557287809723E-2</v>
      </c>
      <c r="C290" s="678"/>
      <c r="D290" s="676" t="s">
        <v>659</v>
      </c>
      <c r="E290" s="687"/>
      <c r="F290" s="687"/>
      <c r="G290" s="687"/>
      <c r="H290" s="687"/>
      <c r="I290" s="676">
        <f>I274/'Calibración-BAU_Agricultura '!O12</f>
        <v>4.6025648525502276E-2</v>
      </c>
      <c r="J290" s="676">
        <f>J274/'Calibración-BAU_Agricultura '!P12</f>
        <v>5.0357919256574193E-2</v>
      </c>
      <c r="K290" s="676">
        <f>K274/'Calibración-BAU_Agricultura '!Q12</f>
        <v>7.4957104081352699E-2</v>
      </c>
      <c r="L290" s="676"/>
      <c r="M290" s="685"/>
      <c r="N290" s="685"/>
      <c r="O290" s="685"/>
      <c r="P290" s="685"/>
      <c r="Q290" s="685"/>
      <c r="R290" s="685"/>
      <c r="S290" s="685"/>
      <c r="T290" s="685"/>
      <c r="U290" s="685"/>
      <c r="V290" s="685"/>
      <c r="W290" s="685"/>
      <c r="X290" s="685"/>
      <c r="Y290" s="685"/>
      <c r="Z290" s="685"/>
      <c r="AA290" s="685"/>
      <c r="AB290" s="685"/>
      <c r="AC290" s="685"/>
      <c r="AD290" s="685"/>
      <c r="AE290" s="685"/>
      <c r="AF290" s="685"/>
      <c r="AG290" s="685"/>
      <c r="AH290" s="685"/>
      <c r="AI290" s="685"/>
      <c r="AJ290" s="685"/>
      <c r="AK290" s="685"/>
      <c r="AL290" s="685"/>
      <c r="AM290" s="685"/>
      <c r="AN290" s="685"/>
      <c r="AO290" s="685"/>
      <c r="AP290" s="675"/>
    </row>
    <row r="291" spans="1:42" ht="14.25" hidden="1" customHeight="1" x14ac:dyDescent="0.3">
      <c r="A291" s="1215"/>
      <c r="B291" s="838">
        <f t="shared" si="26"/>
        <v>7.778239191302519E-2</v>
      </c>
      <c r="C291" s="678"/>
      <c r="D291" s="676" t="s">
        <v>947</v>
      </c>
      <c r="E291" s="676"/>
      <c r="F291" s="676"/>
      <c r="G291" s="676"/>
      <c r="H291" s="676"/>
      <c r="I291" s="676">
        <f>I275/'Calibración-BAU_Agricultura '!O13</f>
        <v>6.8101006249618887E-2</v>
      </c>
      <c r="J291" s="676">
        <f>J275/'Calibración-BAU_Agricultura '!P13</f>
        <v>5.5755728390724804E-2</v>
      </c>
      <c r="K291" s="676">
        <f>K275/'Calibración-BAU_Agricultura '!Q13</f>
        <v>0.10949044109873188</v>
      </c>
      <c r="L291" s="676"/>
      <c r="M291" s="685"/>
      <c r="N291" s="685"/>
      <c r="O291" s="685"/>
      <c r="P291" s="685"/>
      <c r="Q291" s="685"/>
      <c r="R291" s="685"/>
      <c r="S291" s="685"/>
      <c r="T291" s="685"/>
      <c r="U291" s="685"/>
      <c r="V291" s="685"/>
      <c r="W291" s="685"/>
      <c r="X291" s="685"/>
      <c r="Y291" s="685"/>
      <c r="Z291" s="685"/>
      <c r="AA291" s="685"/>
      <c r="AB291" s="685"/>
      <c r="AC291" s="685"/>
      <c r="AD291" s="685"/>
      <c r="AE291" s="685"/>
      <c r="AF291" s="685"/>
      <c r="AG291" s="685"/>
      <c r="AH291" s="685"/>
      <c r="AI291" s="685"/>
      <c r="AJ291" s="685"/>
      <c r="AK291" s="685"/>
      <c r="AL291" s="685"/>
      <c r="AM291" s="685"/>
      <c r="AN291" s="685"/>
      <c r="AO291" s="685"/>
      <c r="AP291" s="675"/>
    </row>
    <row r="292" spans="1:42" ht="14.25" hidden="1" customHeight="1" x14ac:dyDescent="0.3">
      <c r="A292" s="1215"/>
      <c r="B292" s="838">
        <f t="shared" si="26"/>
        <v>3.2821910058861755E-4</v>
      </c>
      <c r="C292" s="678"/>
      <c r="D292" s="676" t="s">
        <v>948</v>
      </c>
      <c r="E292" s="687"/>
      <c r="F292" s="687"/>
      <c r="G292" s="687"/>
      <c r="H292" s="687"/>
      <c r="I292" s="676">
        <f>I276/'Calibración-BAU_Agricultura '!O14</f>
        <v>9.8465730176585265E-4</v>
      </c>
      <c r="J292" s="676">
        <f>J276/'Calibración-BAU_Agricultura '!P14</f>
        <v>0</v>
      </c>
      <c r="K292" s="676">
        <f>K276/'Calibración-BAU_Agricultura '!Q14</f>
        <v>0</v>
      </c>
      <c r="L292" s="676"/>
      <c r="M292" s="685"/>
      <c r="N292" s="685"/>
      <c r="O292" s="685"/>
      <c r="P292" s="685"/>
      <c r="Q292" s="685"/>
      <c r="R292" s="685"/>
      <c r="S292" s="685"/>
      <c r="T292" s="685"/>
      <c r="U292" s="685"/>
      <c r="V292" s="685"/>
      <c r="W292" s="685"/>
      <c r="X292" s="685"/>
      <c r="Y292" s="685"/>
      <c r="Z292" s="685"/>
      <c r="AA292" s="685"/>
      <c r="AB292" s="685"/>
      <c r="AC292" s="685"/>
      <c r="AD292" s="685"/>
      <c r="AE292" s="685"/>
      <c r="AF292" s="685"/>
      <c r="AG292" s="685"/>
      <c r="AH292" s="685"/>
      <c r="AI292" s="685"/>
      <c r="AJ292" s="685"/>
      <c r="AK292" s="685"/>
      <c r="AL292" s="685"/>
      <c r="AM292" s="685"/>
      <c r="AN292" s="685"/>
      <c r="AO292" s="685"/>
      <c r="AP292" s="675"/>
    </row>
    <row r="293" spans="1:42" ht="14.25" hidden="1" customHeight="1" x14ac:dyDescent="0.3">
      <c r="A293" s="1215"/>
      <c r="B293" s="838">
        <f t="shared" si="26"/>
        <v>4.445654034292898E-2</v>
      </c>
      <c r="C293" s="678"/>
      <c r="D293" s="676" t="s">
        <v>949</v>
      </c>
      <c r="E293" s="687"/>
      <c r="F293" s="687"/>
      <c r="G293" s="687"/>
      <c r="H293" s="687"/>
      <c r="I293" s="676">
        <f>I277/'Calibración-BAU_Agricultura '!O15</f>
        <v>0.13336962102878694</v>
      </c>
      <c r="J293" s="676">
        <f>J277/'Calibración-BAU_Agricultura '!P15</f>
        <v>0</v>
      </c>
      <c r="K293" s="676">
        <f>K277/'Calibración-BAU_Agricultura '!Q15</f>
        <v>0</v>
      </c>
      <c r="L293" s="676"/>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675"/>
    </row>
    <row r="294" spans="1:42" ht="14.25" hidden="1" customHeight="1" x14ac:dyDescent="0.3">
      <c r="A294" s="1215"/>
      <c r="B294" s="838">
        <f t="shared" si="26"/>
        <v>9.3996287099637046E-2</v>
      </c>
      <c r="C294" s="678"/>
      <c r="D294" s="676" t="s">
        <v>950</v>
      </c>
      <c r="E294" s="676"/>
      <c r="F294" s="676"/>
      <c r="G294" s="676"/>
      <c r="H294" s="676"/>
      <c r="I294" s="676">
        <f>I278/'Calibración-BAU_Agricultura '!O16</f>
        <v>9.8580130592926946E-2</v>
      </c>
      <c r="J294" s="676">
        <f>J278/'Calibración-BAU_Agricultura '!P16</f>
        <v>8.3644731564169142E-2</v>
      </c>
      <c r="K294" s="676">
        <f>K278/'Calibración-BAU_Agricultura '!Q16</f>
        <v>9.9763999141815066E-2</v>
      </c>
      <c r="L294" s="676"/>
      <c r="M294" s="685"/>
      <c r="N294" s="685"/>
      <c r="O294" s="685"/>
      <c r="P294" s="685"/>
      <c r="Q294" s="685"/>
      <c r="R294" s="685"/>
      <c r="S294" s="685"/>
      <c r="T294" s="685"/>
      <c r="U294" s="685"/>
      <c r="V294" s="685"/>
      <c r="W294" s="685"/>
      <c r="X294" s="685"/>
      <c r="Y294" s="685"/>
      <c r="Z294" s="685"/>
      <c r="AA294" s="685"/>
      <c r="AB294" s="685"/>
      <c r="AC294" s="685"/>
      <c r="AD294" s="685"/>
      <c r="AE294" s="685"/>
      <c r="AF294" s="685"/>
      <c r="AG294" s="685"/>
      <c r="AH294" s="685"/>
      <c r="AI294" s="685"/>
      <c r="AJ294" s="685"/>
      <c r="AK294" s="685"/>
      <c r="AL294" s="685"/>
      <c r="AM294" s="685"/>
      <c r="AN294" s="685"/>
      <c r="AO294" s="685"/>
      <c r="AP294" s="675"/>
    </row>
    <row r="295" spans="1:42" ht="14.25" hidden="1" customHeight="1" x14ac:dyDescent="0.3">
      <c r="A295" s="1215"/>
      <c r="B295" s="838">
        <f t="shared" si="26"/>
        <v>0.15227839050799075</v>
      </c>
      <c r="C295" s="678"/>
      <c r="D295" s="676" t="s">
        <v>951</v>
      </c>
      <c r="E295" s="687"/>
      <c r="F295" s="687"/>
      <c r="G295" s="687"/>
      <c r="H295" s="687"/>
      <c r="I295" s="676">
        <f>I279/'Calibración-BAU_Agricultura '!O17</f>
        <v>0.12771929824561404</v>
      </c>
      <c r="J295" s="676">
        <f>J279/'Calibración-BAU_Agricultura '!P17</f>
        <v>0.13693864642631245</v>
      </c>
      <c r="K295" s="676">
        <f>K279/'Calibración-BAU_Agricultura '!Q17</f>
        <v>0.19217722685204572</v>
      </c>
      <c r="L295" s="676"/>
      <c r="M295" s="685"/>
      <c r="N295" s="685"/>
      <c r="O295" s="685"/>
      <c r="P295" s="685"/>
      <c r="Q295" s="685"/>
      <c r="R295" s="685"/>
      <c r="S295" s="685"/>
      <c r="T295" s="685"/>
      <c r="U295" s="685"/>
      <c r="V295" s="685"/>
      <c r="W295" s="685"/>
      <c r="X295" s="685"/>
      <c r="Y295" s="685"/>
      <c r="Z295" s="685"/>
      <c r="AA295" s="685"/>
      <c r="AB295" s="685"/>
      <c r="AC295" s="685"/>
      <c r="AD295" s="685"/>
      <c r="AE295" s="685"/>
      <c r="AF295" s="685"/>
      <c r="AG295" s="685"/>
      <c r="AH295" s="685"/>
      <c r="AI295" s="685"/>
      <c r="AJ295" s="685"/>
      <c r="AK295" s="685"/>
      <c r="AL295" s="685"/>
      <c r="AM295" s="685"/>
      <c r="AN295" s="685"/>
      <c r="AO295" s="685"/>
      <c r="AP295" s="675"/>
    </row>
    <row r="296" spans="1:42" ht="14.25" hidden="1" customHeight="1" x14ac:dyDescent="0.3">
      <c r="A296" s="1215"/>
      <c r="B296" s="838">
        <f t="shared" si="26"/>
        <v>0.1390040410874043</v>
      </c>
      <c r="C296" s="678"/>
      <c r="D296" s="676" t="s">
        <v>952</v>
      </c>
      <c r="E296" s="676"/>
      <c r="F296" s="676"/>
      <c r="G296" s="676"/>
      <c r="H296" s="676"/>
      <c r="I296" s="676">
        <f>I280/'Calibración-BAU_Agricultura '!O18</f>
        <v>0.12545048474696716</v>
      </c>
      <c r="J296" s="676">
        <f>J280/'Calibración-BAU_Agricultura '!P18</f>
        <v>0.14371440477844144</v>
      </c>
      <c r="K296" s="676">
        <f>K280/'Calibración-BAU_Agricultura '!Q18</f>
        <v>0.14784723373680428</v>
      </c>
      <c r="L296" s="676"/>
      <c r="M296" s="685"/>
      <c r="N296" s="685"/>
      <c r="O296" s="685"/>
      <c r="P296" s="685"/>
      <c r="Q296" s="685"/>
      <c r="R296" s="685"/>
      <c r="S296" s="685"/>
      <c r="T296" s="685"/>
      <c r="U296" s="685"/>
      <c r="V296" s="685"/>
      <c r="W296" s="685"/>
      <c r="X296" s="685"/>
      <c r="Y296" s="685"/>
      <c r="Z296" s="685"/>
      <c r="AA296" s="685"/>
      <c r="AB296" s="685"/>
      <c r="AC296" s="685"/>
      <c r="AD296" s="685"/>
      <c r="AE296" s="685"/>
      <c r="AF296" s="685"/>
      <c r="AG296" s="685"/>
      <c r="AH296" s="685"/>
      <c r="AI296" s="685"/>
      <c r="AJ296" s="685"/>
      <c r="AK296" s="685"/>
      <c r="AL296" s="685"/>
      <c r="AM296" s="685"/>
      <c r="AN296" s="685"/>
      <c r="AO296" s="685"/>
      <c r="AP296" s="675"/>
    </row>
    <row r="297" spans="1:42" ht="14.25" hidden="1" customHeight="1" x14ac:dyDescent="0.3">
      <c r="A297" s="1215"/>
      <c r="B297" s="838">
        <f t="shared" si="26"/>
        <v>1.7938971590760147E-2</v>
      </c>
      <c r="C297" s="678"/>
      <c r="D297" s="676" t="s">
        <v>953</v>
      </c>
      <c r="E297" s="676"/>
      <c r="F297" s="676"/>
      <c r="G297" s="676"/>
      <c r="H297" s="676"/>
      <c r="I297" s="676">
        <f>I281/'Calibración-BAU_Agricultura '!O19</f>
        <v>1.8360407084841962E-2</v>
      </c>
      <c r="J297" s="676">
        <f>J281/'Calibración-BAU_Agricultura '!P19</f>
        <v>1.2222102998809469E-2</v>
      </c>
      <c r="K297" s="676">
        <f>K281/'Calibración-BAU_Agricultura '!Q19</f>
        <v>2.3234404688629005E-2</v>
      </c>
      <c r="L297" s="676"/>
      <c r="M297" s="685"/>
      <c r="N297" s="685"/>
      <c r="O297" s="685"/>
      <c r="P297" s="685"/>
      <c r="Q297" s="685"/>
      <c r="R297" s="685"/>
      <c r="S297" s="685"/>
      <c r="T297" s="685"/>
      <c r="U297" s="685"/>
      <c r="V297" s="685"/>
      <c r="W297" s="685"/>
      <c r="X297" s="685"/>
      <c r="Y297" s="685"/>
      <c r="Z297" s="685"/>
      <c r="AA297" s="685"/>
      <c r="AB297" s="685"/>
      <c r="AC297" s="685"/>
      <c r="AD297" s="685"/>
      <c r="AE297" s="685"/>
      <c r="AF297" s="685"/>
      <c r="AG297" s="685"/>
      <c r="AH297" s="685"/>
      <c r="AI297" s="685"/>
      <c r="AJ297" s="685"/>
      <c r="AK297" s="685"/>
      <c r="AL297" s="685"/>
      <c r="AM297" s="685"/>
      <c r="AN297" s="685"/>
      <c r="AO297" s="685"/>
      <c r="AP297" s="675"/>
    </row>
    <row r="298" spans="1:42" ht="13.5" hidden="1" customHeight="1" x14ac:dyDescent="0.3">
      <c r="A298" s="1215"/>
      <c r="B298" s="838">
        <f t="shared" si="26"/>
        <v>0.45996301425797537</v>
      </c>
      <c r="C298" s="678"/>
      <c r="D298" s="676" t="s">
        <v>954</v>
      </c>
      <c r="E298" s="676"/>
      <c r="F298" s="676"/>
      <c r="G298" s="676"/>
      <c r="H298" s="676"/>
      <c r="I298" s="676">
        <f>I282/'Calibración-BAU_Agricultura '!O20</f>
        <v>0.46417350322918483</v>
      </c>
      <c r="J298" s="676">
        <f>J282/'Calibración-BAU_Agricultura '!P20</f>
        <v>0.32173362859854476</v>
      </c>
      <c r="K298" s="676">
        <f>K282/'Calibración-BAU_Agricultura '!Q20</f>
        <v>0.59398191094619668</v>
      </c>
      <c r="L298" s="676"/>
      <c r="M298" s="685"/>
      <c r="N298" s="685"/>
      <c r="O298" s="685"/>
      <c r="P298" s="685"/>
      <c r="Q298" s="685"/>
      <c r="R298" s="685"/>
      <c r="S298" s="685"/>
      <c r="T298" s="685"/>
      <c r="U298" s="685"/>
      <c r="V298" s="685"/>
      <c r="W298" s="685"/>
      <c r="X298" s="685"/>
      <c r="Y298" s="685"/>
      <c r="Z298" s="685"/>
      <c r="AA298" s="685"/>
      <c r="AB298" s="685"/>
      <c r="AC298" s="685"/>
      <c r="AD298" s="685"/>
      <c r="AE298" s="685"/>
      <c r="AF298" s="685"/>
      <c r="AG298" s="685"/>
      <c r="AH298" s="685"/>
      <c r="AI298" s="685"/>
      <c r="AJ298" s="685"/>
      <c r="AK298" s="685"/>
      <c r="AL298" s="685"/>
      <c r="AM298" s="685"/>
      <c r="AN298" s="685"/>
      <c r="AO298" s="685"/>
      <c r="AP298" s="675"/>
    </row>
    <row r="299" spans="1:42" ht="13.5" hidden="1" customHeight="1" x14ac:dyDescent="0.3">
      <c r="A299" s="1215"/>
      <c r="B299" s="838">
        <f t="shared" si="26"/>
        <v>1</v>
      </c>
      <c r="C299" s="678"/>
      <c r="D299" s="676" t="s">
        <v>955</v>
      </c>
      <c r="E299" s="676"/>
      <c r="F299" s="676"/>
      <c r="G299" s="676"/>
      <c r="H299" s="676"/>
      <c r="I299" s="676">
        <f>I283/'Calibración-BAU_Agricultura '!O21</f>
        <v>1</v>
      </c>
      <c r="J299" s="676">
        <f>J283/'Calibración-BAU_Agricultura '!P21</f>
        <v>1</v>
      </c>
      <c r="K299" s="676">
        <f>K283/'Calibración-BAU_Agricultura '!Q21</f>
        <v>1</v>
      </c>
      <c r="L299" s="676"/>
      <c r="M299" s="685"/>
      <c r="N299" s="685"/>
      <c r="O299" s="685"/>
      <c r="P299" s="685"/>
      <c r="Q299" s="685"/>
      <c r="R299" s="685"/>
      <c r="S299" s="685"/>
      <c r="T299" s="685"/>
      <c r="U299" s="685"/>
      <c r="V299" s="685"/>
      <c r="W299" s="685"/>
      <c r="X299" s="685"/>
      <c r="Y299" s="685"/>
      <c r="Z299" s="685"/>
      <c r="AA299" s="685"/>
      <c r="AB299" s="685"/>
      <c r="AC299" s="685"/>
      <c r="AD299" s="685"/>
      <c r="AE299" s="685"/>
      <c r="AF299" s="685"/>
      <c r="AG299" s="685"/>
      <c r="AH299" s="685"/>
      <c r="AI299" s="685"/>
      <c r="AJ299" s="685"/>
      <c r="AK299" s="685"/>
      <c r="AL299" s="685"/>
      <c r="AM299" s="685"/>
      <c r="AN299" s="685"/>
      <c r="AO299" s="685"/>
      <c r="AP299" s="675"/>
    </row>
    <row r="300" spans="1:42" ht="14.25" hidden="1" customHeight="1" x14ac:dyDescent="0.3">
      <c r="A300" s="973"/>
      <c r="B300" s="644"/>
      <c r="C300" s="679"/>
      <c r="D300" s="672"/>
      <c r="E300" s="672"/>
      <c r="F300" s="672"/>
      <c r="G300" s="676"/>
      <c r="H300" s="676"/>
      <c r="I300" s="676"/>
      <c r="J300" s="685"/>
      <c r="K300" s="685"/>
      <c r="L300" s="685"/>
      <c r="M300" s="685"/>
      <c r="N300" s="685"/>
      <c r="O300" s="685"/>
      <c r="P300" s="685"/>
      <c r="Q300" s="685"/>
      <c r="R300" s="685"/>
      <c r="S300" s="685"/>
      <c r="T300" s="685"/>
      <c r="U300" s="685"/>
      <c r="V300" s="685"/>
      <c r="W300" s="685"/>
      <c r="X300" s="685"/>
      <c r="Y300" s="685"/>
      <c r="Z300" s="685"/>
      <c r="AA300" s="685"/>
      <c r="AB300" s="685"/>
      <c r="AC300" s="685"/>
      <c r="AD300" s="685"/>
      <c r="AE300" s="685"/>
      <c r="AF300" s="685"/>
      <c r="AG300" s="685"/>
      <c r="AH300" s="685"/>
      <c r="AI300" s="685"/>
      <c r="AJ300" s="685"/>
      <c r="AK300" s="685"/>
      <c r="AL300" s="685"/>
      <c r="AM300" s="685"/>
      <c r="AN300" s="685"/>
      <c r="AO300" s="685"/>
      <c r="AP300" s="675"/>
    </row>
    <row r="301" spans="1:42" ht="14" hidden="1" customHeight="1" x14ac:dyDescent="0.3">
      <c r="A301" s="1215" t="s">
        <v>958</v>
      </c>
      <c r="B301" s="644"/>
      <c r="C301" s="679"/>
      <c r="D301" s="676" t="s">
        <v>942</v>
      </c>
      <c r="E301" s="672"/>
      <c r="F301" s="672"/>
      <c r="G301" s="676"/>
      <c r="H301" s="676"/>
      <c r="I301" s="676">
        <v>0</v>
      </c>
      <c r="J301" s="685">
        <v>926.20449534759211</v>
      </c>
      <c r="K301" s="685">
        <v>734.38014471275096</v>
      </c>
      <c r="L301" s="839">
        <f>('Calibración-BAU_Agricultura '!R296*1000000)*Costos_Agricultura!$B317</f>
        <v>674.5817485111121</v>
      </c>
      <c r="M301" s="839">
        <f>('Calibración-BAU_Agricultura '!S296*1000000)*Costos_Agricultura!$B317</f>
        <v>674.5817485111121</v>
      </c>
      <c r="N301" s="839">
        <f>('Calibración-BAU_Agricultura '!T296*1000000)*Costos_Agricultura!$B317</f>
        <v>671.24019156067789</v>
      </c>
      <c r="O301" s="839">
        <f>('Calibración-BAU_Agricultura '!U296*1000000)*Costos_Agricultura!$B317</f>
        <v>712.14206116297612</v>
      </c>
      <c r="P301" s="839">
        <f>('Calibración-BAU_Agricultura '!V296*1000000)*Costos_Agricultura!$B317</f>
        <v>713.37148558119134</v>
      </c>
      <c r="Q301" s="839">
        <f>('Calibración-BAU_Agricultura '!W296*1000000)*Costos_Agricultura!$B317</f>
        <v>756.18710225172003</v>
      </c>
      <c r="R301" s="839">
        <f>('Calibración-BAU_Agricultura '!X296*1000000)*Costos_Agricultura!$B317</f>
        <v>774.98876941626156</v>
      </c>
      <c r="S301" s="839">
        <f>('Calibración-BAU_Agricultura '!Y296*1000000)*Costos_Agricultura!$B317</f>
        <v>794.63836226875674</v>
      </c>
      <c r="T301" s="839">
        <f>('Calibración-BAU_Agricultura '!Z296*1000000)*Costos_Agricultura!$B317</f>
        <v>812.13546321457306</v>
      </c>
      <c r="U301" s="839">
        <f>('Calibración-BAU_Agricultura '!AA296*1000000)*Costos_Agricultura!$B317</f>
        <v>832.59435719818646</v>
      </c>
      <c r="V301" s="839">
        <f>('Calibración-BAU_Agricultura '!AB296*1000000)*Costos_Agricultura!$B317</f>
        <v>822.26191389579856</v>
      </c>
      <c r="W301" s="839">
        <f>('Calibración-BAU_Agricultura '!AC296*1000000)*Costos_Agricultura!$B317</f>
        <v>837.55885858688123</v>
      </c>
      <c r="X301" s="839">
        <f>('Calibración-BAU_Agricultura '!AD296*1000000)*Costos_Agricultura!$B317</f>
        <v>856.05441737194053</v>
      </c>
      <c r="Y301" s="839">
        <f>('Calibración-BAU_Agricultura '!AE296*1000000)*Costos_Agricultura!$B317</f>
        <v>869.55736427850456</v>
      </c>
      <c r="Z301" s="839">
        <f>('Calibración-BAU_Agricultura '!AF296*1000000)*Costos_Agricultura!$B317</f>
        <v>882.47324380142902</v>
      </c>
      <c r="AA301" s="839">
        <f>('Calibración-BAU_Agricultura '!AG296*1000000)*Costos_Agricultura!$B317</f>
        <v>894.95368418170347</v>
      </c>
      <c r="AB301" s="839">
        <f>('Calibración-BAU_Agricultura '!AH296*1000000)*Costos_Agricultura!$B317</f>
        <v>905.73366319803495</v>
      </c>
      <c r="AC301" s="839">
        <f>('Calibración-BAU_Agricultura '!AI296*1000000)*Costos_Agricultura!$B317</f>
        <v>915.13881104930408</v>
      </c>
      <c r="AD301" s="839">
        <f>('Calibración-BAU_Agricultura '!AJ296*1000000)*Costos_Agricultura!$B317</f>
        <v>928.64064530648068</v>
      </c>
      <c r="AE301" s="839">
        <f>('Calibración-BAU_Agricultura '!AK296*1000000)*Costos_Agricultura!$B317</f>
        <v>941.15200794744112</v>
      </c>
      <c r="AF301" s="839">
        <f>('Calibración-BAU_Agricultura '!AL296*1000000)*Costos_Agricultura!$B317</f>
        <v>952.9764607422353</v>
      </c>
      <c r="AG301" s="839">
        <f>('Calibración-BAU_Agricultura '!AM296*1000000)*Costos_Agricultura!$B317</f>
        <v>964.40401583259109</v>
      </c>
      <c r="AH301" s="839">
        <f>('Calibración-BAU_Agricultura '!AN296*1000000)*Costos_Agricultura!$B317</f>
        <v>974.29725377197565</v>
      </c>
      <c r="AI301" s="839">
        <f>('Calibración-BAU_Agricultura '!AO296*1000000)*Costos_Agricultura!$B317</f>
        <v>985.33312727672978</v>
      </c>
      <c r="AJ301" s="839">
        <f>('Calibración-BAU_Agricultura '!AP296*1000000)*Costos_Agricultura!$B317</f>
        <v>995.4820462316253</v>
      </c>
      <c r="AK301" s="839">
        <f>('Calibración-BAU_Agricultura '!AQ296*1000000)*Costos_Agricultura!$B317</f>
        <v>1007.1642109328189</v>
      </c>
      <c r="AL301" s="839">
        <f>('Calibración-BAU_Agricultura '!AR296*1000000)*Costos_Agricultura!$B317</f>
        <v>1017.3641010148096</v>
      </c>
      <c r="AM301" s="839">
        <f>('Calibración-BAU_Agricultura '!AS296*1000000)*Costos_Agricultura!$B317</f>
        <v>1027.2189602491114</v>
      </c>
      <c r="AN301" s="839">
        <f>('Calibración-BAU_Agricultura '!AT296*1000000)*Costos_Agricultura!$B317</f>
        <v>1037.0649389506129</v>
      </c>
      <c r="AO301" s="839">
        <f>('Calibración-BAU_Agricultura '!AU296*1000000)*Costos_Agricultura!$B317</f>
        <v>1046.7759620296031</v>
      </c>
      <c r="AP301" s="675"/>
    </row>
    <row r="302" spans="1:42" ht="14.25" hidden="1" customHeight="1" x14ac:dyDescent="0.3">
      <c r="A302" s="1215"/>
      <c r="B302" s="644"/>
      <c r="C302" s="678"/>
      <c r="D302" s="676" t="s">
        <v>943</v>
      </c>
      <c r="E302" s="676"/>
      <c r="F302" s="676"/>
      <c r="G302" s="676"/>
      <c r="H302" s="676"/>
      <c r="I302" s="837">
        <v>3036</v>
      </c>
      <c r="J302" s="685">
        <v>2957.0642267246217</v>
      </c>
      <c r="K302" s="685">
        <v>3002</v>
      </c>
      <c r="L302" s="839">
        <f>'Calibración-BAU_Agricultura '!R8*Costos_Agricultura!$B318</f>
        <v>2865.1096689265801</v>
      </c>
      <c r="M302" s="839">
        <f>'Calibración-BAU_Agricultura '!S8*Costos_Agricultura!$B318</f>
        <v>2946.3395118866233</v>
      </c>
      <c r="N302" s="839">
        <f>'Calibración-BAU_Agricultura '!T8*Costos_Agricultura!$B318</f>
        <v>2931.7447481000049</v>
      </c>
      <c r="O302" s="839">
        <f>'Calibración-BAU_Agricultura '!U8*Costos_Agricultura!$B318</f>
        <v>3110.3899527549911</v>
      </c>
      <c r="P302" s="839">
        <f>'Calibración-BAU_Agricultura '!V8*Costos_Agricultura!$B318</f>
        <v>3115.7596529407142</v>
      </c>
      <c r="Q302" s="839">
        <f>'Calibración-BAU_Agricultura '!W8*Costos_Agricultura!$B318</f>
        <v>3302.7634421784128</v>
      </c>
      <c r="R302" s="839">
        <f>'Calibración-BAU_Agricultura '!X8*Costos_Agricultura!$B318</f>
        <v>3384.8826145077801</v>
      </c>
      <c r="S302" s="839">
        <f>'Calibración-BAU_Agricultura '!Y8*Costos_Agricultura!$B318</f>
        <v>3401.8070275803188</v>
      </c>
      <c r="T302" s="839">
        <f>'Calibración-BAU_Agricultura '!Z8*Costos_Agricultura!$B318</f>
        <v>3418.8160627182201</v>
      </c>
      <c r="U302" s="839">
        <f>'Calibración-BAU_Agricultura '!AA8*Costos_Agricultura!$B318</f>
        <v>3435.9101430318105</v>
      </c>
      <c r="V302" s="839">
        <f>'Calibración-BAU_Agricultura '!AB8*Costos_Agricultura!$B318</f>
        <v>3453.0896937469693</v>
      </c>
      <c r="W302" s="839">
        <f>'Calibración-BAU_Agricultura '!AC8*Costos_Agricultura!$B318</f>
        <v>3470.3551422157038</v>
      </c>
      <c r="X302" s="839">
        <f>'Calibración-BAU_Agricultura '!AD8*Costos_Agricultura!$B318</f>
        <v>3487.7069179267819</v>
      </c>
      <c r="Y302" s="839">
        <f>'Calibración-BAU_Agricultura '!AE8*Costos_Agricultura!$B318</f>
        <v>3505.1454525164154</v>
      </c>
      <c r="Z302" s="839">
        <f>'Calibración-BAU_Agricultura '!AF8*Costos_Agricultura!$B318</f>
        <v>3522.6711797789972</v>
      </c>
      <c r="AA302" s="839">
        <f>'Calibración-BAU_Agricultura '!AG8*Costos_Agricultura!$B318</f>
        <v>3540.2845356778917</v>
      </c>
      <c r="AB302" s="839">
        <f>'Calibración-BAU_Agricultura '!AH8*Costos_Agricultura!$B318</f>
        <v>3557.9859583562807</v>
      </c>
      <c r="AC302" s="839">
        <f>'Calibración-BAU_Agricultura '!AI8*Costos_Agricultura!$B318</f>
        <v>3575.7758881480622</v>
      </c>
      <c r="AD302" s="839">
        <f>'Calibración-BAU_Agricultura '!AJ8*Costos_Agricultura!$B318</f>
        <v>3593.6547675888019</v>
      </c>
      <c r="AE302" s="839">
        <f>'Calibración-BAU_Agricultura '!AK8*Costos_Agricultura!$B318</f>
        <v>3611.6230414267452</v>
      </c>
      <c r="AF302" s="839">
        <f>'Calibración-BAU_Agricultura '!AL8*Costos_Agricultura!$B318</f>
        <v>3629.6811566338783</v>
      </c>
      <c r="AG302" s="839">
        <f>'Calibración-BAU_Agricultura '!AM8*Costos_Agricultura!$B318</f>
        <v>3647.8295624170473</v>
      </c>
      <c r="AH302" s="839">
        <f>'Calibración-BAU_Agricultura '!AN8*Costos_Agricultura!$B318</f>
        <v>3666.0687102291326</v>
      </c>
      <c r="AI302" s="839">
        <f>'Calibración-BAU_Agricultura '!AO8*Costos_Agricultura!$B318</f>
        <v>3684.3990537802779</v>
      </c>
      <c r="AJ302" s="839">
        <f>'Calibración-BAU_Agricultura '!AP8*Costos_Agricultura!$B318</f>
        <v>3702.8210490491783</v>
      </c>
      <c r="AK302" s="839">
        <f>'Calibración-BAU_Agricultura '!AQ8*Costos_Agricultura!$B318</f>
        <v>3721.3351542944242</v>
      </c>
      <c r="AL302" s="839">
        <f>'Calibración-BAU_Agricultura '!AR8*Costos_Agricultura!$B318</f>
        <v>3739.9418300658958</v>
      </c>
      <c r="AM302" s="839">
        <f>'Calibración-BAU_Agricultura '!AS8*Costos_Agricultura!$B318</f>
        <v>3758.6415392162248</v>
      </c>
      <c r="AN302" s="839">
        <f>'Calibración-BAU_Agricultura '!AT8*Costos_Agricultura!$B318</f>
        <v>3777.4347469123059</v>
      </c>
      <c r="AO302" s="839">
        <f>'Calibración-BAU_Agricultura '!AU8*Costos_Agricultura!$B318</f>
        <v>3796.3219206468671</v>
      </c>
      <c r="AP302" s="675"/>
    </row>
    <row r="303" spans="1:42" ht="14.25" hidden="1" customHeight="1" x14ac:dyDescent="0.3">
      <c r="A303" s="1215"/>
      <c r="B303" s="644"/>
      <c r="C303" s="678"/>
      <c r="D303" s="676" t="s">
        <v>944</v>
      </c>
      <c r="E303" s="687"/>
      <c r="F303" s="687"/>
      <c r="G303" s="687"/>
      <c r="H303" s="687"/>
      <c r="I303" s="687">
        <v>2290.4381510101657</v>
      </c>
      <c r="J303" s="685">
        <v>3853.7943976709062</v>
      </c>
      <c r="K303" s="685">
        <v>2547.474228169433</v>
      </c>
      <c r="L303" s="839">
        <f>'Calibración-BAU_Agricultura '!R9*Costos_Agricultura!$B319</f>
        <v>3073.6044029448071</v>
      </c>
      <c r="M303" s="839">
        <f>'Calibración-BAU_Agricultura '!S9*Costos_Agricultura!$B319</f>
        <v>2900.0347815052619</v>
      </c>
      <c r="N303" s="839">
        <f>'Calibración-BAU_Agricultura '!T9*Costos_Agricultura!$B319</f>
        <v>2885.669389316653</v>
      </c>
      <c r="O303" s="839">
        <f>'Calibración-BAU_Agricultura '!U9*Costos_Agricultura!$B319</f>
        <v>3061.5070023814305</v>
      </c>
      <c r="P303" s="839">
        <f>'Calibración-BAU_Agricultura '!V9*Costos_Agricultura!$B319</f>
        <v>3066.7923122522134</v>
      </c>
      <c r="Q303" s="839">
        <f>'Calibración-BAU_Agricultura '!W9*Costos_Agricultura!$B319</f>
        <v>3315.8742891424836</v>
      </c>
      <c r="R303" s="839">
        <f>'Calibración-BAU_Agricultura '!X9*Costos_Agricultura!$B319</f>
        <v>3466.2858355743979</v>
      </c>
      <c r="S303" s="839">
        <f>'Calibración-BAU_Agricultura '!Y9*Costos_Agricultura!$B319</f>
        <v>3625.2558545372917</v>
      </c>
      <c r="T303" s="839">
        <f>'Calibración-BAU_Agricultura '!Z9*Costos_Agricultura!$B319</f>
        <v>3779.1817789615166</v>
      </c>
      <c r="U303" s="839">
        <f>'Calibración-BAU_Agricultura '!AA9*Costos_Agricultura!$B319</f>
        <v>3951.8726589844637</v>
      </c>
      <c r="V303" s="839">
        <f>'Calibración-BAU_Agricultura '!AB9*Costos_Agricultura!$B319</f>
        <v>3980.8867726700992</v>
      </c>
      <c r="W303" s="839">
        <f>'Calibración-BAU_Agricultura '!AC9*Costos_Agricultura!$B319</f>
        <v>4136.0440799180524</v>
      </c>
      <c r="X303" s="839">
        <f>'Calibración-BAU_Agricultura '!AD9*Costos_Agricultura!$B319</f>
        <v>4311.9266713426623</v>
      </c>
      <c r="Y303" s="839">
        <f>'Calibración-BAU_Agricultura '!AE9*Costos_Agricultura!$B319</f>
        <v>4467.5395226179298</v>
      </c>
      <c r="Z303" s="839">
        <f>'Calibración-BAU_Agricultura '!AF9*Costos_Agricultura!$B319</f>
        <v>4624.575607566796</v>
      </c>
      <c r="AA303" s="839">
        <f>'Calibración-BAU_Agricultura '!AG9*Costos_Agricultura!$B319</f>
        <v>4689.9789957824905</v>
      </c>
      <c r="AB303" s="839">
        <f>'Calibración-BAU_Agricultura '!AH9*Costos_Agricultura!$B319</f>
        <v>4746.4711652155929</v>
      </c>
      <c r="AC303" s="839">
        <f>'Calibración-BAU_Agricultura '!AI9*Costos_Agricultura!$B319</f>
        <v>4795.7585715409969</v>
      </c>
      <c r="AD303" s="839">
        <f>'Calibración-BAU_Agricultura '!AJ9*Costos_Agricultura!$B319</f>
        <v>4866.5145449393231</v>
      </c>
      <c r="AE303" s="839">
        <f>'Calibración-BAU_Agricultura '!AK9*Costos_Agricultura!$B319</f>
        <v>4932.0799803711852</v>
      </c>
      <c r="AF303" s="839">
        <f>'Calibración-BAU_Agricultura '!AL9*Costos_Agricultura!$B319</f>
        <v>4994.0456845460476</v>
      </c>
      <c r="AG303" s="839">
        <f>'Calibración-BAU_Agricultura '!AM9*Costos_Agricultura!$B319</f>
        <v>5053.9314577365567</v>
      </c>
      <c r="AH303" s="839">
        <f>'Calibración-BAU_Agricultura '!AN9*Costos_Agricultura!$B319</f>
        <v>5105.7766861054615</v>
      </c>
      <c r="AI303" s="839">
        <f>'Calibración-BAU_Agricultura '!AO9*Costos_Agricultura!$B319</f>
        <v>5163.6098632320891</v>
      </c>
      <c r="AJ303" s="839">
        <f>'Calibración-BAU_Agricultura '!AP9*Costos_Agricultura!$B319</f>
        <v>5216.7949805958779</v>
      </c>
      <c r="AK303" s="839">
        <f>'Calibración-BAU_Agricultura '!AQ9*Costos_Agricultura!$B319</f>
        <v>5278.0150281159522</v>
      </c>
      <c r="AL303" s="839">
        <f>'Calibración-BAU_Agricultura '!AR9*Costos_Agricultura!$B319</f>
        <v>5331.4672582026597</v>
      </c>
      <c r="AM303" s="839">
        <f>'Calibración-BAU_Agricultura '!AS9*Costos_Agricultura!$B319</f>
        <v>5383.1113640733774</v>
      </c>
      <c r="AN303" s="839">
        <f>'Calibración-BAU_Agricultura '!AT9*Costos_Agricultura!$B319</f>
        <v>5434.7089317678283</v>
      </c>
      <c r="AO303" s="839">
        <f>'Calibración-BAU_Agricultura '!AU9*Costos_Agricultura!$B319</f>
        <v>5485.5992684109669</v>
      </c>
      <c r="AP303" s="675"/>
    </row>
    <row r="304" spans="1:42" ht="14.25" hidden="1" customHeight="1" x14ac:dyDescent="0.3">
      <c r="A304" s="1215"/>
      <c r="B304" s="644"/>
      <c r="C304" s="678"/>
      <c r="D304" s="676" t="s">
        <v>945</v>
      </c>
      <c r="E304" s="687"/>
      <c r="F304" s="687"/>
      <c r="G304" s="687"/>
      <c r="H304" s="687"/>
      <c r="I304" s="687">
        <v>722.21059877830919</v>
      </c>
      <c r="J304" s="685">
        <v>301.2671390926094</v>
      </c>
      <c r="K304" s="685">
        <v>751.61468060324933</v>
      </c>
      <c r="L304" s="839">
        <f>'Calibración-BAU_Agricultura '!R10*Costos_Agricultura!$B320</f>
        <v>507.89208430999219</v>
      </c>
      <c r="M304" s="839">
        <f>'Calibración-BAU_Agricultura '!S10*Costos_Agricultura!$B320</f>
        <v>529.21696811696575</v>
      </c>
      <c r="N304" s="839">
        <f>'Calibración-BAU_Agricultura '!T10*Costos_Agricultura!$B320</f>
        <v>526.59547910988522</v>
      </c>
      <c r="O304" s="839">
        <f>'Calibración-BAU_Agricultura '!U10*Costos_Agricultura!$B320</f>
        <v>558.68345579917343</v>
      </c>
      <c r="P304" s="839">
        <f>'Calibración-BAU_Agricultura '!V10*Costos_Agricultura!$B320</f>
        <v>559.64795308148632</v>
      </c>
      <c r="Q304" s="839">
        <f>'Calibración-BAU_Agricultura '!W10*Costos_Agricultura!$B320</f>
        <v>593.2372858679812</v>
      </c>
      <c r="R304" s="839">
        <f>'Calibración-BAU_Agricultura '!X10*Costos_Agricultura!$B320</f>
        <v>607.98740520388719</v>
      </c>
      <c r="S304" s="839">
        <f>'Calibración-BAU_Agricultura '!Y10*Costos_Agricultura!$B320</f>
        <v>623.40273177784502</v>
      </c>
      <c r="T304" s="839">
        <f>'Calibración-BAU_Agricultura '!Z10*Costos_Agricultura!$B320</f>
        <v>637.12940424388614</v>
      </c>
      <c r="U304" s="839">
        <f>'Calibración-BAU_Agricultura '!AA10*Costos_Agricultura!$B320</f>
        <v>653.1796366566831</v>
      </c>
      <c r="V304" s="839">
        <f>'Calibración-BAU_Agricultura '!AB10*Costos_Agricultura!$B320</f>
        <v>645.07371868632742</v>
      </c>
      <c r="W304" s="839">
        <f>'Calibración-BAU_Agricultura '!AC10*Costos_Agricultura!$B320</f>
        <v>657.07434382736528</v>
      </c>
      <c r="X304" s="839">
        <f>'Calibración-BAU_Agricultura '!AD10*Costos_Agricultura!$B320</f>
        <v>671.58431769704373</v>
      </c>
      <c r="Y304" s="839">
        <f>'Calibración-BAU_Agricultura '!AE10*Costos_Agricultura!$B320</f>
        <v>682.17753140065827</v>
      </c>
      <c r="Z304" s="839">
        <f>'Calibración-BAU_Agricultura '!AF10*Costos_Agricultura!$B320</f>
        <v>692.31018413959237</v>
      </c>
      <c r="AA304" s="839">
        <f>'Calibración-BAU_Agricultura '!AG10*Costos_Agricultura!$B320</f>
        <v>702.10122997412782</v>
      </c>
      <c r="AB304" s="839">
        <f>'Calibración-BAU_Agricultura '!AH10*Costos_Agricultura!$B320</f>
        <v>710.55824474510121</v>
      </c>
      <c r="AC304" s="839">
        <f>'Calibración-BAU_Agricultura '!AI10*Costos_Agricultura!$B320</f>
        <v>717.93668900560203</v>
      </c>
      <c r="AD304" s="839">
        <f>'Calibración-BAU_Agricultura '!AJ10*Costos_Agricultura!$B320</f>
        <v>728.52902982325918</v>
      </c>
      <c r="AE304" s="839">
        <f>'Calibración-BAU_Agricultura '!AK10*Costos_Agricultura!$B320</f>
        <v>738.3443345190575</v>
      </c>
      <c r="AF304" s="839">
        <f>'Calibración-BAU_Agricultura '!AL10*Costos_Agricultura!$B320</f>
        <v>747.62075071548543</v>
      </c>
      <c r="AG304" s="839">
        <f>'Calibración-BAU_Agricultura '!AM10*Costos_Agricultura!$B320</f>
        <v>756.58579619923239</v>
      </c>
      <c r="AH304" s="839">
        <f>'Calibración-BAU_Agricultura '!AN10*Costos_Agricultura!$B320</f>
        <v>764.34715262296709</v>
      </c>
      <c r="AI304" s="839">
        <f>'Calibración-BAU_Agricultura '!AO10*Costos_Agricultura!$B320</f>
        <v>773.00491949792149</v>
      </c>
      <c r="AJ304" s="839">
        <f>'Calibración-BAU_Agricultura '!AP10*Costos_Agricultura!$B320</f>
        <v>780.96686055373721</v>
      </c>
      <c r="AK304" s="839">
        <f>'Calibración-BAU_Agricultura '!AQ10*Costos_Agricultura!$B320</f>
        <v>790.13165014055016</v>
      </c>
      <c r="AL304" s="839">
        <f>'Calibración-BAU_Agricultura '!AR10*Costos_Agricultura!$B320</f>
        <v>798.1335786187982</v>
      </c>
      <c r="AM304" s="839">
        <f>'Calibración-BAU_Agricultura '!AS10*Costos_Agricultura!$B320</f>
        <v>805.864826516785</v>
      </c>
      <c r="AN304" s="839">
        <f>'Calibración-BAU_Agricultura '!AT10*Costos_Agricultura!$B320</f>
        <v>813.5891075369185</v>
      </c>
      <c r="AO304" s="839">
        <f>'Calibración-BAU_Agricultura '!AU10*Costos_Agricultura!$B320</f>
        <v>821.20751435346824</v>
      </c>
      <c r="AP304" s="675"/>
    </row>
    <row r="305" spans="1:42" ht="14.25" hidden="1" customHeight="1" x14ac:dyDescent="0.3">
      <c r="A305" s="1215"/>
      <c r="B305" s="644"/>
      <c r="C305" s="678"/>
      <c r="D305" s="676" t="s">
        <v>946</v>
      </c>
      <c r="E305" s="687"/>
      <c r="F305" s="687"/>
      <c r="G305" s="687"/>
      <c r="H305" s="687"/>
      <c r="I305" s="687">
        <v>2063.6499999999996</v>
      </c>
      <c r="J305" s="685">
        <v>1279</v>
      </c>
      <c r="K305" s="685">
        <v>19128.643899999999</v>
      </c>
      <c r="L305" s="839">
        <f>'Calibración-BAU_Agricultura '!R11*Costos_Agricultura!$B321</f>
        <v>7360.3424153934384</v>
      </c>
      <c r="M305" s="839">
        <f>'Calibración-BAU_Agricultura '!S11*Costos_Agricultura!$B321</f>
        <v>6839.8068790052448</v>
      </c>
      <c r="N305" s="839">
        <f>'Calibración-BAU_Agricultura '!T11*Costos_Agricultura!$B321</f>
        <v>6805.9257307728585</v>
      </c>
      <c r="O305" s="839">
        <f>'Calibración-BAU_Agricultura '!U11*Costos_Agricultura!$B321</f>
        <v>7220.6432793686263</v>
      </c>
      <c r="P305" s="839">
        <f>'Calibración-BAU_Agricultura '!V11*Costos_Agricultura!$B321</f>
        <v>7233.1088191071185</v>
      </c>
      <c r="Q305" s="839">
        <f>'Calibración-BAU_Agricultura '!W11*Costos_Agricultura!$B321</f>
        <v>7667.2304805340564</v>
      </c>
      <c r="R305" s="839">
        <f>'Calibración-BAU_Agricultura '!X11*Costos_Agricultura!$B321</f>
        <v>7667.2304805340564</v>
      </c>
      <c r="S305" s="839">
        <f>'Calibración-BAU_Agricultura '!Y11*Costos_Agricultura!$B321</f>
        <v>7667.2304805340564</v>
      </c>
      <c r="T305" s="839">
        <f>'Calibración-BAU_Agricultura '!Z11*Costos_Agricultura!$B321</f>
        <v>7667.2304805340564</v>
      </c>
      <c r="U305" s="839">
        <f>'Calibración-BAU_Agricultura '!AA11*Costos_Agricultura!$B321</f>
        <v>7667.2304805340564</v>
      </c>
      <c r="V305" s="839">
        <f>'Calibración-BAU_Agricultura '!AB11*Costos_Agricultura!$B321</f>
        <v>7667.2304805340564</v>
      </c>
      <c r="W305" s="839">
        <f>'Calibración-BAU_Agricultura '!AC11*Costos_Agricultura!$B321</f>
        <v>7667.2304805340564</v>
      </c>
      <c r="X305" s="839">
        <f>'Calibración-BAU_Agricultura '!AD11*Costos_Agricultura!$B321</f>
        <v>7667.2304805340564</v>
      </c>
      <c r="Y305" s="839">
        <f>'Calibración-BAU_Agricultura '!AE11*Costos_Agricultura!$B321</f>
        <v>7667.2304805340564</v>
      </c>
      <c r="Z305" s="839">
        <f>'Calibración-BAU_Agricultura '!AF11*Costos_Agricultura!$B321</f>
        <v>7667.2304805340564</v>
      </c>
      <c r="AA305" s="839">
        <f>'Calibración-BAU_Agricultura '!AG11*Costos_Agricultura!$B321</f>
        <v>7667.2304805340564</v>
      </c>
      <c r="AB305" s="839">
        <f>'Calibración-BAU_Agricultura '!AH11*Costos_Agricultura!$B321</f>
        <v>7667.2304805340564</v>
      </c>
      <c r="AC305" s="839">
        <f>'Calibración-BAU_Agricultura '!AI11*Costos_Agricultura!$B321</f>
        <v>7667.2304805340564</v>
      </c>
      <c r="AD305" s="839">
        <f>'Calibración-BAU_Agricultura '!AJ11*Costos_Agricultura!$B321</f>
        <v>7667.2304805340564</v>
      </c>
      <c r="AE305" s="839">
        <f>'Calibración-BAU_Agricultura '!AK11*Costos_Agricultura!$B321</f>
        <v>7667.2304805340564</v>
      </c>
      <c r="AF305" s="839">
        <f>'Calibración-BAU_Agricultura '!AL11*Costos_Agricultura!$B321</f>
        <v>7667.2304805340564</v>
      </c>
      <c r="AG305" s="839">
        <f>'Calibración-BAU_Agricultura '!AM11*Costos_Agricultura!$B321</f>
        <v>7667.2304805340564</v>
      </c>
      <c r="AH305" s="839">
        <f>'Calibración-BAU_Agricultura '!AN11*Costos_Agricultura!$B321</f>
        <v>7667.2304805340564</v>
      </c>
      <c r="AI305" s="839">
        <f>'Calibración-BAU_Agricultura '!AO11*Costos_Agricultura!$B321</f>
        <v>7667.2304805340564</v>
      </c>
      <c r="AJ305" s="839">
        <f>'Calibración-BAU_Agricultura '!AP11*Costos_Agricultura!$B321</f>
        <v>7667.2304805340564</v>
      </c>
      <c r="AK305" s="839">
        <f>'Calibración-BAU_Agricultura '!AQ11*Costos_Agricultura!$B321</f>
        <v>7667.2304805340564</v>
      </c>
      <c r="AL305" s="839">
        <f>'Calibración-BAU_Agricultura '!AR11*Costos_Agricultura!$B321</f>
        <v>7667.2304805340564</v>
      </c>
      <c r="AM305" s="839">
        <f>'Calibración-BAU_Agricultura '!AS11*Costos_Agricultura!$B321</f>
        <v>7667.2304805340564</v>
      </c>
      <c r="AN305" s="839">
        <f>'Calibración-BAU_Agricultura '!AT11*Costos_Agricultura!$B321</f>
        <v>7667.2304805340564</v>
      </c>
      <c r="AO305" s="839">
        <f>'Calibración-BAU_Agricultura '!AU11*Costos_Agricultura!$B321</f>
        <v>7667.2304805340564</v>
      </c>
      <c r="AP305" s="675"/>
    </row>
    <row r="306" spans="1:42" ht="14.25" hidden="1" customHeight="1" x14ac:dyDescent="0.3">
      <c r="A306" s="1215"/>
      <c r="B306" s="644"/>
      <c r="C306" s="678"/>
      <c r="D306" s="676" t="s">
        <v>659</v>
      </c>
      <c r="E306" s="687"/>
      <c r="F306" s="687"/>
      <c r="G306" s="687"/>
      <c r="H306" s="687"/>
      <c r="I306" s="687">
        <v>3294</v>
      </c>
      <c r="J306" s="685">
        <v>2671</v>
      </c>
      <c r="K306" s="685">
        <v>5687</v>
      </c>
      <c r="L306" s="839">
        <f>'Calibración-BAU_Agricultura '!R12*Costos_Agricultura!$B322</f>
        <v>4010.3616621380284</v>
      </c>
      <c r="M306" s="839">
        <f>'Calibración-BAU_Agricultura '!S12*Costos_Agricultura!$B322</f>
        <v>3829.1468220894653</v>
      </c>
      <c r="N306" s="839">
        <f>'Calibración-BAU_Agricultura '!T12*Costos_Agricultura!$B322</f>
        <v>3810.1790510137921</v>
      </c>
      <c r="O306" s="839">
        <f>'Calibración-BAU_Agricultura '!U12*Costos_Agricultura!$B322</f>
        <v>4042.3514516914529</v>
      </c>
      <c r="P306" s="839">
        <f>'Calibración-BAU_Agricultura '!V12*Costos_Agricultura!$B322</f>
        <v>4049.3300671289417</v>
      </c>
      <c r="Q306" s="839">
        <f>'Calibración-BAU_Agricultura '!W12*Costos_Agricultura!$B322</f>
        <v>4292.3655226117016</v>
      </c>
      <c r="R306" s="839">
        <f>'Calibración-BAU_Agricultura '!X12*Costos_Agricultura!$B322</f>
        <v>4399.0899399739992</v>
      </c>
      <c r="S306" s="839">
        <f>'Calibración-BAU_Agricultura '!Y12*Costos_Agricultura!$B322</f>
        <v>4510.6274611010549</v>
      </c>
      <c r="T306" s="839">
        <f>'Calibración-BAU_Agricultura '!Z12*Costos_Agricultura!$B322</f>
        <v>4609.946733569257</v>
      </c>
      <c r="U306" s="839">
        <f>'Calibración-BAU_Agricultura '!AA12*Costos_Agricultura!$B322</f>
        <v>4726.0781128331118</v>
      </c>
      <c r="V306" s="839">
        <f>'Calibración-BAU_Agricultura '!AB12*Costos_Agricultura!$B322</f>
        <v>4667.4277824275205</v>
      </c>
      <c r="W306" s="839">
        <f>'Calibración-BAU_Agricultura '!AC12*Costos_Agricultura!$B322</f>
        <v>4754.2582477948663</v>
      </c>
      <c r="X306" s="839">
        <f>'Calibración-BAU_Agricultura '!AD12*Costos_Agricultura!$B322</f>
        <v>4859.2450937937283</v>
      </c>
      <c r="Y306" s="839">
        <f>'Calibración-BAU_Agricultura '!AE12*Costos_Agricultura!$B322</f>
        <v>4935.8922404890409</v>
      </c>
      <c r="Z306" s="839">
        <f>'Calibración-BAU_Agricultura '!AF12*Costos_Agricultura!$B322</f>
        <v>5009.207000544221</v>
      </c>
      <c r="AA306" s="839">
        <f>'Calibración-BAU_Agricultura '!AG12*Costos_Agricultura!$B322</f>
        <v>5080.050065489103</v>
      </c>
      <c r="AB306" s="839">
        <f>'Calibración-BAU_Agricultura '!AH12*Costos_Agricultura!$B322</f>
        <v>5141.2407551033475</v>
      </c>
      <c r="AC306" s="839">
        <f>'Calibración-BAU_Agricultura '!AI12*Costos_Agricultura!$B322</f>
        <v>5194.6274529875618</v>
      </c>
      <c r="AD306" s="839">
        <f>'Calibración-BAU_Agricultura '!AJ12*Costos_Agricultura!$B322</f>
        <v>5271.2682839207391</v>
      </c>
      <c r="AE306" s="839">
        <f>'Calibración-BAU_Agricultura '!AK12*Costos_Agricultura!$B322</f>
        <v>5342.2868737393655</v>
      </c>
      <c r="AF306" s="839">
        <f>'Calibración-BAU_Agricultura '!AL12*Costos_Agricultura!$B322</f>
        <v>5409.4063384181327</v>
      </c>
      <c r="AG306" s="839">
        <f>'Calibración-BAU_Agricultura '!AM12*Costos_Agricultura!$B322</f>
        <v>5474.2728818060432</v>
      </c>
      <c r="AH306" s="839">
        <f>'Calibración-BAU_Agricultura '!AN12*Costos_Agricultura!$B322</f>
        <v>5530.4301388017766</v>
      </c>
      <c r="AI306" s="839">
        <f>'Calibración-BAU_Agricultura '!AO12*Costos_Agricultura!$B322</f>
        <v>5593.0733692967897</v>
      </c>
      <c r="AJ306" s="839">
        <f>'Calibración-BAU_Agricultura '!AP12*Costos_Agricultura!$B322</f>
        <v>5650.6819554311678</v>
      </c>
      <c r="AK306" s="839">
        <f>'Calibración-BAU_Agricultura '!AQ12*Costos_Agricultura!$B322</f>
        <v>5716.993746314085</v>
      </c>
      <c r="AL306" s="839">
        <f>'Calibración-BAU_Agricultura '!AR12*Costos_Agricultura!$B322</f>
        <v>5774.8916612507401</v>
      </c>
      <c r="AM306" s="839">
        <f>'Calibración-BAU_Agricultura '!AS12*Costos_Agricultura!$B322</f>
        <v>5830.8310681535422</v>
      </c>
      <c r="AN306" s="839">
        <f>'Calibración-BAU_Agricultura '!AT12*Costos_Agricultura!$B322</f>
        <v>5886.7200662452151</v>
      </c>
      <c r="AO306" s="839">
        <f>'Calibración-BAU_Agricultura '!AU12*Costos_Agricultura!$B322</f>
        <v>5941.8430120471512</v>
      </c>
      <c r="AP306" s="675"/>
    </row>
    <row r="307" spans="1:42" ht="14.25" hidden="1" customHeight="1" x14ac:dyDescent="0.3">
      <c r="A307" s="1215"/>
      <c r="B307" s="644"/>
      <c r="C307" s="678"/>
      <c r="D307" s="676" t="s">
        <v>947</v>
      </c>
      <c r="E307" s="676"/>
      <c r="F307" s="676"/>
      <c r="G307" s="676"/>
      <c r="H307" s="676"/>
      <c r="I307" s="676">
        <v>630.65235395343495</v>
      </c>
      <c r="J307" s="685">
        <v>678.35835585076109</v>
      </c>
      <c r="K307" s="685">
        <v>669.78332959076681</v>
      </c>
      <c r="L307" s="839">
        <f>'Calibración-BAU_Agricultura '!R13*Costos_Agricultura!$B323</f>
        <v>580.03354072907052</v>
      </c>
      <c r="M307" s="839">
        <f>'Calibración-BAU_Agricultura '!S13*Costos_Agricultura!$B323</f>
        <v>504.19731516730627</v>
      </c>
      <c r="N307" s="839">
        <f>'Calibración-BAU_Agricultura '!T13*Costos_Agricultura!$B323</f>
        <v>501.69976161415104</v>
      </c>
      <c r="O307" s="839">
        <f>'Calibración-BAU_Agricultura '!U13*Costos_Agricultura!$B323</f>
        <v>532.27072337574464</v>
      </c>
      <c r="P307" s="839">
        <f>'Calibración-BAU_Agricultura '!V13*Costos_Agricultura!$B323</f>
        <v>533.18962237091205</v>
      </c>
      <c r="Q307" s="839">
        <f>'Calibración-BAU_Agricultura '!W13*Costos_Agricultura!$B323</f>
        <v>565.19096100801494</v>
      </c>
      <c r="R307" s="839">
        <f>'Calibración-BAU_Agricultura '!X13*Costos_Agricultura!$B323</f>
        <v>579.24374278865787</v>
      </c>
      <c r="S307" s="839">
        <f>'Calibración-BAU_Agricultura '!Y13*Costos_Agricultura!$B323</f>
        <v>593.93028297778312</v>
      </c>
      <c r="T307" s="839">
        <f>'Calibración-BAU_Agricultura '!Z13*Costos_Agricultura!$B323</f>
        <v>607.008003120024</v>
      </c>
      <c r="U307" s="839">
        <f>'Calibración-BAU_Agricultura '!AA13*Costos_Agricultura!$B323</f>
        <v>622.29943286978767</v>
      </c>
      <c r="V307" s="839">
        <f>'Calibración-BAU_Agricultura '!AB13*Costos_Agricultura!$B323</f>
        <v>614.57673627492613</v>
      </c>
      <c r="W307" s="839">
        <f>'Calibración-BAU_Agricultura '!AC13*Costos_Agricultura!$B323</f>
        <v>626.01001098259439</v>
      </c>
      <c r="X307" s="839">
        <f>'Calibración-BAU_Agricultura '!AD13*Costos_Agricultura!$B323</f>
        <v>639.83400059175347</v>
      </c>
      <c r="Y307" s="839">
        <f>'Calibración-BAU_Agricultura '!AE13*Costos_Agricultura!$B323</f>
        <v>649.92640168645062</v>
      </c>
      <c r="Z307" s="839">
        <f>'Calibración-BAU_Agricultura '!AF13*Costos_Agricultura!$B323</f>
        <v>659.58001563740015</v>
      </c>
      <c r="AA307" s="839">
        <f>'Calibración-BAU_Agricultura '!AG13*Costos_Agricultura!$B323</f>
        <v>668.90817274471669</v>
      </c>
      <c r="AB307" s="839">
        <f>'Calibración-BAU_Agricultura '!AH13*Costos_Agricultura!$B323</f>
        <v>676.96536742807507</v>
      </c>
      <c r="AC307" s="839">
        <f>'Calibración-BAU_Agricultura '!AI13*Costos_Agricultura!$B323</f>
        <v>683.9949828984428</v>
      </c>
      <c r="AD307" s="839">
        <f>'Calibración-BAU_Agricultura '!AJ13*Costos_Agricultura!$B323</f>
        <v>694.08655237438484</v>
      </c>
      <c r="AE307" s="839">
        <f>'Calibración-BAU_Agricultura '!AK13*Costos_Agricultura!$B323</f>
        <v>703.43782146309013</v>
      </c>
      <c r="AF307" s="839">
        <f>'Calibración-BAU_Agricultura '!AL13*Costos_Agricultura!$B323</f>
        <v>712.27567894384219</v>
      </c>
      <c r="AG307" s="839">
        <f>'Calibración-BAU_Agricultura '!AM13*Costos_Agricultura!$B323</f>
        <v>720.8168863041077</v>
      </c>
      <c r="AH307" s="839">
        <f>'Calibración-BAU_Agricultura '!AN13*Costos_Agricultura!$B323</f>
        <v>728.21131109896555</v>
      </c>
      <c r="AI307" s="839">
        <f>'Calibración-BAU_Agricultura '!AO13*Costos_Agricultura!$B323</f>
        <v>736.45976698130141</v>
      </c>
      <c r="AJ307" s="839">
        <f>'Calibración-BAU_Agricultura '!AP13*Costos_Agricultura!$B323</f>
        <v>744.0452934207625</v>
      </c>
      <c r="AK307" s="839">
        <f>'Calibración-BAU_Agricultura '!AQ13*Costos_Agricultura!$B323</f>
        <v>752.77680163408775</v>
      </c>
      <c r="AL307" s="839">
        <f>'Calibración-BAU_Agricultura '!AR13*Costos_Agricultura!$B323</f>
        <v>760.40042502101176</v>
      </c>
      <c r="AM307" s="839">
        <f>'Calibración-BAU_Agricultura '!AS13*Costos_Agricultura!$B323</f>
        <v>767.76616472306193</v>
      </c>
      <c r="AN307" s="839">
        <f>'Calibración-BAU_Agricultura '!AT13*Costos_Agricultura!$B323</f>
        <v>775.12526691853111</v>
      </c>
      <c r="AO307" s="839">
        <f>'Calibración-BAU_Agricultura '!AU13*Costos_Agricultura!$B323</f>
        <v>782.38350029760102</v>
      </c>
      <c r="AP307" s="675"/>
    </row>
    <row r="308" spans="1:42" ht="14.25" hidden="1" customHeight="1" x14ac:dyDescent="0.3">
      <c r="A308" s="1215"/>
      <c r="B308" s="644"/>
      <c r="C308" s="678"/>
      <c r="D308" s="676" t="s">
        <v>948</v>
      </c>
      <c r="E308" s="687"/>
      <c r="F308" s="687"/>
      <c r="G308" s="687"/>
      <c r="H308" s="687"/>
      <c r="I308" s="687">
        <v>0</v>
      </c>
      <c r="J308" s="685">
        <v>283.09423320488526</v>
      </c>
      <c r="K308" s="685">
        <v>240</v>
      </c>
      <c r="L308" s="839">
        <f>'Calibración-BAU_Agricultura '!R14*Costos_Agricultura!$B324</f>
        <v>135.39212535853281</v>
      </c>
      <c r="M308" s="839">
        <f>'Calibración-BAU_Agricultura '!S14*Costos_Agricultura!$B324</f>
        <v>159.5488893805572</v>
      </c>
      <c r="N308" s="839">
        <f>'Calibración-BAU_Agricultura '!T14*Costos_Agricultura!$B324</f>
        <v>158.7585601114651</v>
      </c>
      <c r="O308" s="839">
        <f>'Calibración-BAU_Agricultura '!U14*Costos_Agricultura!$B324</f>
        <v>168.43247714678137</v>
      </c>
      <c r="P308" s="839">
        <f>'Calibración-BAU_Agricultura '!V14*Costos_Agricultura!$B324</f>
        <v>168.7232548041024</v>
      </c>
      <c r="Q308" s="839">
        <f>'Calibración-BAU_Agricultura '!W14*Costos_Agricultura!$B324</f>
        <v>178.84980225814155</v>
      </c>
      <c r="R308" s="839">
        <f>'Calibración-BAU_Agricultura '!X14*Costos_Agricultura!$B324</f>
        <v>183.29668378321458</v>
      </c>
      <c r="S308" s="839">
        <f>'Calibración-BAU_Agricultura '!Y14*Costos_Agricultura!$B324</f>
        <v>187.94411268759163</v>
      </c>
      <c r="T308" s="839">
        <f>'Calibración-BAU_Agricultura '!Z14*Costos_Agricultura!$B324</f>
        <v>192.08244437155136</v>
      </c>
      <c r="U308" s="839">
        <f>'Calibración-BAU_Agricultura '!AA14*Costos_Agricultura!$B324</f>
        <v>196.92128535745789</v>
      </c>
      <c r="V308" s="839">
        <f>'Calibración-BAU_Agricultura '!AB14*Costos_Agricultura!$B324</f>
        <v>194.47750466353594</v>
      </c>
      <c r="W308" s="839">
        <f>'Calibración-BAU_Agricultura '!AC14*Costos_Agricultura!$B324</f>
        <v>198.09546578057595</v>
      </c>
      <c r="X308" s="839">
        <f>'Calibración-BAU_Agricultura '!AD14*Costos_Agricultura!$B324</f>
        <v>202.46994799736009</v>
      </c>
      <c r="Y308" s="839">
        <f>'Calibración-BAU_Agricultura '!AE14*Costos_Agricultura!$B324</f>
        <v>205.66360123073309</v>
      </c>
      <c r="Z308" s="839">
        <f>'Calibración-BAU_Agricultura '!AF14*Costos_Agricultura!$B324</f>
        <v>208.71840405900991</v>
      </c>
      <c r="AA308" s="839">
        <f>'Calibración-BAU_Agricultura '!AG14*Costos_Agricultura!$B324</f>
        <v>211.67021887767044</v>
      </c>
      <c r="AB308" s="839">
        <f>'Calibración-BAU_Agricultura '!AH14*Costos_Agricultura!$B324</f>
        <v>214.21984860512384</v>
      </c>
      <c r="AC308" s="839">
        <f>'Calibración-BAU_Agricultura '!AI14*Costos_Agricultura!$B324</f>
        <v>216.44430975818926</v>
      </c>
      <c r="AD308" s="839">
        <f>'Calibración-BAU_Agricultura '!AJ14*Costos_Agricultura!$B324</f>
        <v>219.63769983298374</v>
      </c>
      <c r="AE308" s="839">
        <f>'Calibración-BAU_Agricultura '!AK14*Costos_Agricultura!$B324</f>
        <v>222.59682823870838</v>
      </c>
      <c r="AF308" s="839">
        <f>'Calibración-BAU_Agricultura '!AL14*Costos_Agricultura!$B324</f>
        <v>225.3934919716157</v>
      </c>
      <c r="AG308" s="839">
        <f>'Calibración-BAU_Agricultura '!AM14*Costos_Agricultura!$B324</f>
        <v>228.09628333385689</v>
      </c>
      <c r="AH308" s="839">
        <f>'Calibración-BAU_Agricultura '!AN14*Costos_Agricultura!$B324</f>
        <v>230.43618524951094</v>
      </c>
      <c r="AI308" s="839">
        <f>'Calibración-BAU_Agricultura '!AO14*Costos_Agricultura!$B324</f>
        <v>233.04633793287965</v>
      </c>
      <c r="AJ308" s="839">
        <f>'Calibración-BAU_Agricultura '!AP14*Costos_Agricultura!$B324</f>
        <v>235.44671231484415</v>
      </c>
      <c r="AK308" s="839">
        <f>'Calibración-BAU_Agricultura '!AQ14*Costos_Agricultura!$B324</f>
        <v>238.20972273982227</v>
      </c>
      <c r="AL308" s="839">
        <f>'Calibración-BAU_Agricultura '!AR14*Costos_Agricultura!$B324</f>
        <v>240.62215257205125</v>
      </c>
      <c r="AM308" s="839">
        <f>'Calibración-BAU_Agricultura '!AS14*Costos_Agricultura!$B324</f>
        <v>242.95297733762627</v>
      </c>
      <c r="AN308" s="839">
        <f>'Calibración-BAU_Agricultura '!AT14*Costos_Agricultura!$B324</f>
        <v>245.28170172152252</v>
      </c>
      <c r="AO308" s="839">
        <f>'Calibración-BAU_Agricultura '!AU14*Costos_Agricultura!$B324</f>
        <v>247.57850703892328</v>
      </c>
      <c r="AP308" s="675"/>
    </row>
    <row r="309" spans="1:42" ht="14.25" hidden="1" customHeight="1" x14ac:dyDescent="0.3">
      <c r="A309" s="1215"/>
      <c r="B309" s="644"/>
      <c r="C309" s="678"/>
      <c r="D309" s="676" t="s">
        <v>949</v>
      </c>
      <c r="E309" s="687"/>
      <c r="F309" s="687"/>
      <c r="G309" s="687"/>
      <c r="H309" s="687"/>
      <c r="I309" s="687">
        <v>0</v>
      </c>
      <c r="J309" s="685">
        <v>0</v>
      </c>
      <c r="K309" s="685">
        <v>0</v>
      </c>
      <c r="L309" s="839">
        <f>'Calibración-BAU_Agricultura '!R15*Costos_Agricultura!$B325</f>
        <v>0</v>
      </c>
      <c r="M309" s="839">
        <f>'Calibración-BAU_Agricultura '!S15*Costos_Agricultura!$B325</f>
        <v>0</v>
      </c>
      <c r="N309" s="839">
        <f>'Calibración-BAU_Agricultura '!T15*Costos_Agricultura!$B325</f>
        <v>0</v>
      </c>
      <c r="O309" s="839">
        <f>'Calibración-BAU_Agricultura '!U15*Costos_Agricultura!$B325</f>
        <v>0</v>
      </c>
      <c r="P309" s="839">
        <f>'Calibración-BAU_Agricultura '!V15*Costos_Agricultura!$B325</f>
        <v>0</v>
      </c>
      <c r="Q309" s="839">
        <f>'Calibración-BAU_Agricultura '!W15*Costos_Agricultura!$B325</f>
        <v>0</v>
      </c>
      <c r="R309" s="839">
        <f>'Calibración-BAU_Agricultura '!X15*Costos_Agricultura!$B325</f>
        <v>0</v>
      </c>
      <c r="S309" s="839">
        <f>'Calibración-BAU_Agricultura '!Y15*Costos_Agricultura!$B325</f>
        <v>0</v>
      </c>
      <c r="T309" s="839">
        <f>'Calibración-BAU_Agricultura '!Z15*Costos_Agricultura!$B325</f>
        <v>0</v>
      </c>
      <c r="U309" s="839">
        <f>'Calibración-BAU_Agricultura '!AA15*Costos_Agricultura!$B325</f>
        <v>0</v>
      </c>
      <c r="V309" s="839">
        <f>'Calibración-BAU_Agricultura '!AB15*Costos_Agricultura!$B325</f>
        <v>0</v>
      </c>
      <c r="W309" s="839">
        <f>'Calibración-BAU_Agricultura '!AC15*Costos_Agricultura!$B325</f>
        <v>0</v>
      </c>
      <c r="X309" s="839">
        <f>'Calibración-BAU_Agricultura '!AD15*Costos_Agricultura!$B325</f>
        <v>0</v>
      </c>
      <c r="Y309" s="839">
        <f>'Calibración-BAU_Agricultura '!AE15*Costos_Agricultura!$B325</f>
        <v>0</v>
      </c>
      <c r="Z309" s="839">
        <f>'Calibración-BAU_Agricultura '!AF15*Costos_Agricultura!$B325</f>
        <v>0</v>
      </c>
      <c r="AA309" s="839">
        <f>'Calibración-BAU_Agricultura '!AG15*Costos_Agricultura!$B325</f>
        <v>0</v>
      </c>
      <c r="AB309" s="839">
        <f>'Calibración-BAU_Agricultura '!AH15*Costos_Agricultura!$B325</f>
        <v>0</v>
      </c>
      <c r="AC309" s="839">
        <f>'Calibración-BAU_Agricultura '!AI15*Costos_Agricultura!$B325</f>
        <v>0</v>
      </c>
      <c r="AD309" s="839">
        <f>'Calibración-BAU_Agricultura '!AJ15*Costos_Agricultura!$B325</f>
        <v>0</v>
      </c>
      <c r="AE309" s="839">
        <f>'Calibración-BAU_Agricultura '!AK15*Costos_Agricultura!$B325</f>
        <v>0</v>
      </c>
      <c r="AF309" s="839">
        <f>'Calibración-BAU_Agricultura '!AL15*Costos_Agricultura!$B325</f>
        <v>0</v>
      </c>
      <c r="AG309" s="839">
        <f>'Calibración-BAU_Agricultura '!AM15*Costos_Agricultura!$B325</f>
        <v>0</v>
      </c>
      <c r="AH309" s="839">
        <f>'Calibración-BAU_Agricultura '!AN15*Costos_Agricultura!$B325</f>
        <v>0</v>
      </c>
      <c r="AI309" s="839">
        <f>'Calibración-BAU_Agricultura '!AO15*Costos_Agricultura!$B325</f>
        <v>0</v>
      </c>
      <c r="AJ309" s="839">
        <f>'Calibración-BAU_Agricultura '!AP15*Costos_Agricultura!$B325</f>
        <v>0</v>
      </c>
      <c r="AK309" s="839">
        <f>'Calibración-BAU_Agricultura '!AQ15*Costos_Agricultura!$B325</f>
        <v>0</v>
      </c>
      <c r="AL309" s="839">
        <f>'Calibración-BAU_Agricultura '!AR15*Costos_Agricultura!$B325</f>
        <v>0</v>
      </c>
      <c r="AM309" s="839">
        <f>'Calibración-BAU_Agricultura '!AS15*Costos_Agricultura!$B325</f>
        <v>0</v>
      </c>
      <c r="AN309" s="839">
        <f>'Calibración-BAU_Agricultura '!AT15*Costos_Agricultura!$B325</f>
        <v>0</v>
      </c>
      <c r="AO309" s="839">
        <f>'Calibración-BAU_Agricultura '!AU15*Costos_Agricultura!$B325</f>
        <v>0</v>
      </c>
      <c r="AP309" s="675"/>
    </row>
    <row r="310" spans="1:42" ht="14.25" hidden="1" customHeight="1" x14ac:dyDescent="0.3">
      <c r="A310" s="1215"/>
      <c r="B310" s="644"/>
      <c r="C310" s="678"/>
      <c r="D310" s="676" t="s">
        <v>950</v>
      </c>
      <c r="E310" s="676"/>
      <c r="F310" s="676"/>
      <c r="G310" s="676"/>
      <c r="H310" s="676"/>
      <c r="I310" s="676">
        <v>341</v>
      </c>
      <c r="J310" s="685">
        <v>161</v>
      </c>
      <c r="K310" s="685">
        <v>307</v>
      </c>
      <c r="L310" s="839">
        <f>'Calibración-BAU_Agricultura '!R16*Costos_Agricultura!$B326</f>
        <v>360.20768079625691</v>
      </c>
      <c r="M310" s="839">
        <f>'Calibración-BAU_Agricultura '!S16*Costos_Agricultura!$B326</f>
        <v>308.40845532367524</v>
      </c>
      <c r="N310" s="839">
        <f>'Calibración-BAU_Agricultura '!T16*Costos_Agricultura!$B326</f>
        <v>306.88074660677898</v>
      </c>
      <c r="O310" s="839">
        <f>'Calibración-BAU_Agricultura '!U16*Costos_Agricultura!$B326</f>
        <v>325.58045565128987</v>
      </c>
      <c r="P310" s="839">
        <f>'Calibración-BAU_Agricultura '!V16*Costos_Agricultura!$B326</f>
        <v>326.14252968693614</v>
      </c>
      <c r="Q310" s="839">
        <f>'Calibración-BAU_Agricultura '!W16*Costos_Agricultura!$B326</f>
        <v>345.71717461356326</v>
      </c>
      <c r="R310" s="839">
        <f>'Calibración-BAU_Agricultura '!X16*Costos_Agricultura!$B326</f>
        <v>354.3130092036991</v>
      </c>
      <c r="S310" s="839">
        <f>'Calibración-BAU_Agricultura '!Y16*Costos_Agricultura!$B326</f>
        <v>363.29650244636775</v>
      </c>
      <c r="T310" s="839">
        <f>'Calibración-BAU_Agricultura '!Z16*Costos_Agricultura!$B326</f>
        <v>371.29590931922172</v>
      </c>
      <c r="U310" s="839">
        <f>'Calibración-BAU_Agricultura '!AA16*Costos_Agricultura!$B326</f>
        <v>380.64940265793621</v>
      </c>
      <c r="V310" s="839">
        <f>'Calibración-BAU_Agricultura '!AB16*Costos_Agricultura!$B326</f>
        <v>375.92556765107128</v>
      </c>
      <c r="W310" s="839">
        <f>'Calibración-BAU_Agricultura '!AC16*Costos_Agricultura!$B326</f>
        <v>382.91909674337347</v>
      </c>
      <c r="X310" s="839">
        <f>'Calibración-BAU_Agricultura '!AD16*Costos_Agricultura!$B326</f>
        <v>391.37498326541208</v>
      </c>
      <c r="Y310" s="839">
        <f>'Calibración-BAU_Agricultura '!AE16*Costos_Agricultura!$B326</f>
        <v>397.54832401612521</v>
      </c>
      <c r="Z310" s="839">
        <f>'Calibración-BAU_Agricultura '!AF16*Costos_Agricultura!$B326</f>
        <v>403.45326654029469</v>
      </c>
      <c r="AA310" s="839">
        <f>'Calibración-BAU_Agricultura '!AG16*Costos_Agricultura!$B326</f>
        <v>409.15913295001451</v>
      </c>
      <c r="AB310" s="839">
        <f>'Calibración-BAU_Agricultura '!AH16*Costos_Agricultura!$B326</f>
        <v>414.08757443866494</v>
      </c>
      <c r="AC310" s="839">
        <f>'Calibración-BAU_Agricultura '!AI16*Costos_Agricultura!$B326</f>
        <v>418.38746415151695</v>
      </c>
      <c r="AD310" s="839">
        <f>'Calibración-BAU_Agricultura '!AJ16*Costos_Agricultura!$B326</f>
        <v>424.56029621595206</v>
      </c>
      <c r="AE310" s="839">
        <f>'Calibración-BAU_Agricultura '!AK16*Costos_Agricultura!$B326</f>
        <v>430.28029981019313</v>
      </c>
      <c r="AF310" s="839">
        <f>'Calibración-BAU_Agricultura '!AL16*Costos_Agricultura!$B326</f>
        <v>435.68625873146397</v>
      </c>
      <c r="AG310" s="839">
        <f>'Calibración-BAU_Agricultura '!AM16*Costos_Agricultura!$B326</f>
        <v>440.91076209420913</v>
      </c>
      <c r="AH310" s="839">
        <f>'Calibración-BAU_Agricultura '!AN16*Costos_Agricultura!$B326</f>
        <v>445.43379912829658</v>
      </c>
      <c r="AI310" s="839">
        <f>'Calibración-BAU_Agricultura '!AO16*Costos_Agricultura!$B326</f>
        <v>450.47923166224928</v>
      </c>
      <c r="AJ310" s="839">
        <f>'Calibración-BAU_Agricultura '!AP16*Costos_Agricultura!$B326</f>
        <v>455.11916214508966</v>
      </c>
      <c r="AK310" s="839">
        <f>'Calibración-BAU_Agricultura '!AQ16*Costos_Agricultura!$B326</f>
        <v>460.46006912676222</v>
      </c>
      <c r="AL310" s="839">
        <f>'Calibración-BAU_Agricultura '!AR16*Costos_Agricultura!$B326</f>
        <v>465.12330282912831</v>
      </c>
      <c r="AM310" s="839">
        <f>'Calibración-BAU_Agricultura '!AS16*Costos_Agricultura!$B326</f>
        <v>469.62879370638888</v>
      </c>
      <c r="AN310" s="839">
        <f>'Calibración-BAU_Agricultura '!AT16*Costos_Agricultura!$B326</f>
        <v>474.13022453991215</v>
      </c>
      <c r="AO310" s="839">
        <f>'Calibración-BAU_Agricultura '!AU16*Costos_Agricultura!$B326</f>
        <v>478.56995572744313</v>
      </c>
      <c r="AP310" s="675"/>
    </row>
    <row r="311" spans="1:42" ht="14.25" hidden="1" customHeight="1" x14ac:dyDescent="0.3">
      <c r="A311" s="1215"/>
      <c r="B311" s="644"/>
      <c r="C311" s="678"/>
      <c r="D311" s="676" t="s">
        <v>951</v>
      </c>
      <c r="E311" s="687"/>
      <c r="F311" s="687"/>
      <c r="G311" s="687"/>
      <c r="H311" s="687"/>
      <c r="I311" s="687">
        <v>1</v>
      </c>
      <c r="J311" s="685">
        <v>37.154205754396095</v>
      </c>
      <c r="K311" s="685">
        <v>0</v>
      </c>
      <c r="L311" s="839">
        <f>'Calibración-BAU_Agricultura '!R17*Costos_Agricultura!$B327</f>
        <v>15.825942885712445</v>
      </c>
      <c r="M311" s="839">
        <f>'Calibración-BAU_Agricultura '!S17*Costos_Agricultura!$B327</f>
        <v>11.13503267358524</v>
      </c>
      <c r="N311" s="839">
        <f>'Calibración-BAU_Agricultura '!T17*Costos_Agricultura!$B327</f>
        <v>11.079875020853224</v>
      </c>
      <c r="O311" s="839">
        <f>'Calibración-BAU_Agricultura '!U17*Costos_Agricultura!$B327</f>
        <v>11.755024704990896</v>
      </c>
      <c r="P311" s="839">
        <f>'Calibración-BAU_Agricultura '!V17*Costos_Agricultura!$B327</f>
        <v>11.77531828852876</v>
      </c>
      <c r="Q311" s="839">
        <f>'Calibración-BAU_Agricultura '!W17*Costos_Agricultura!$B327</f>
        <v>12.482057377776718</v>
      </c>
      <c r="R311" s="839">
        <f>'Calibración-BAU_Agricultura '!X17*Costos_Agricultura!$B327</f>
        <v>12.792408463700882</v>
      </c>
      <c r="S311" s="839">
        <f>'Calibración-BAU_Agricultura '!Y17*Costos_Agricultura!$B327</f>
        <v>13.116755896637068</v>
      </c>
      <c r="T311" s="839">
        <f>'Calibración-BAU_Agricultura '!Z17*Costos_Agricultura!$B327</f>
        <v>13.40557306543047</v>
      </c>
      <c r="U311" s="839">
        <f>'Calibración-BAU_Agricultura '!AA17*Costos_Agricultura!$B327</f>
        <v>13.743279286323279</v>
      </c>
      <c r="V311" s="839">
        <f>'Calibración-BAU_Agricultura '!AB17*Costos_Agricultura!$B327</f>
        <v>13.572726059788479</v>
      </c>
      <c r="W311" s="839">
        <f>'Calibración-BAU_Agricultura '!AC17*Costos_Agricultura!$B327</f>
        <v>13.825226189412763</v>
      </c>
      <c r="X311" s="839">
        <f>'Calibración-BAU_Agricultura '!AD17*Costos_Agricultura!$B327</f>
        <v>14.130524475117065</v>
      </c>
      <c r="Y311" s="839">
        <f>'Calibración-BAU_Agricultura '!AE17*Costos_Agricultura!$B327</f>
        <v>14.353411849888369</v>
      </c>
      <c r="Z311" s="839">
        <f>'Calibración-BAU_Agricultura '!AF17*Costos_Agricultura!$B327</f>
        <v>14.566608754212091</v>
      </c>
      <c r="AA311" s="839">
        <f>'Calibración-BAU_Agricultura '!AG17*Costos_Agricultura!$B327</f>
        <v>14.772618050671433</v>
      </c>
      <c r="AB311" s="839">
        <f>'Calibración-BAU_Agricultura '!AH17*Costos_Agricultura!$B327</f>
        <v>14.950558558004088</v>
      </c>
      <c r="AC311" s="839">
        <f>'Calibración-BAU_Agricultura '!AI17*Costos_Agricultura!$B327</f>
        <v>15.105805314761037</v>
      </c>
      <c r="AD311" s="839">
        <f>'Calibración-BAU_Agricultura '!AJ17*Costos_Agricultura!$B327</f>
        <v>15.328674323504334</v>
      </c>
      <c r="AE311" s="839">
        <f>'Calibración-BAU_Agricultura '!AK17*Costos_Agricultura!$B327</f>
        <v>15.535194040507728</v>
      </c>
      <c r="AF311" s="839">
        <f>'Calibración-BAU_Agricultura '!AL17*Costos_Agricultura!$B327</f>
        <v>15.730375230197341</v>
      </c>
      <c r="AG311" s="839">
        <f>'Calibración-BAU_Agricultura '!AM17*Costos_Agricultura!$B327</f>
        <v>15.919004999074359</v>
      </c>
      <c r="AH311" s="839">
        <f>'Calibración-BAU_Agricultura '!AN17*Costos_Agricultura!$B327</f>
        <v>16.082308450354716</v>
      </c>
      <c r="AI311" s="839">
        <f>'Calibración-BAU_Agricultura '!AO17*Costos_Agricultura!$B327</f>
        <v>16.264472898663925</v>
      </c>
      <c r="AJ311" s="839">
        <f>'Calibración-BAU_Agricultura '!AP17*Costos_Agricultura!$B327</f>
        <v>16.431996767214709</v>
      </c>
      <c r="AK311" s="839">
        <f>'Calibración-BAU_Agricultura '!AQ17*Costos_Agricultura!$B327</f>
        <v>16.624829268143024</v>
      </c>
      <c r="AL311" s="839">
        <f>'Calibración-BAU_Agricultura '!AR17*Costos_Agricultura!$B327</f>
        <v>16.793194495308782</v>
      </c>
      <c r="AM311" s="839">
        <f>'Calibración-BAU_Agricultura '!AS17*Costos_Agricultura!$B327</f>
        <v>16.955864445703575</v>
      </c>
      <c r="AN311" s="839">
        <f>'Calibración-BAU_Agricultura '!AT17*Costos_Agricultura!$B327</f>
        <v>17.118387808938085</v>
      </c>
      <c r="AO311" s="839">
        <f>'Calibración-BAU_Agricultura '!AU17*Costos_Agricultura!$B327</f>
        <v>17.278683517378404</v>
      </c>
      <c r="AP311" s="675"/>
    </row>
    <row r="312" spans="1:42" ht="14.25" hidden="1" customHeight="1" x14ac:dyDescent="0.3">
      <c r="A312" s="1215"/>
      <c r="B312" s="644"/>
      <c r="C312" s="678"/>
      <c r="D312" s="676" t="s">
        <v>952</v>
      </c>
      <c r="E312" s="676"/>
      <c r="F312" s="676"/>
      <c r="G312" s="676"/>
      <c r="H312" s="676"/>
      <c r="I312" s="676">
        <v>29.179386297583751</v>
      </c>
      <c r="J312" s="685">
        <v>155</v>
      </c>
      <c r="K312" s="685">
        <v>13</v>
      </c>
      <c r="L312" s="839">
        <f>'Calibración-BAU_Agricultura '!R18*Costos_Agricultura!$B328</f>
        <v>71.32449444428832</v>
      </c>
      <c r="M312" s="839">
        <f>'Calibración-BAU_Agricultura '!S18*Costos_Agricultura!$B328</f>
        <v>67.417368066646958</v>
      </c>
      <c r="N312" s="839">
        <f>'Calibración-BAU_Agricultura '!T18*Costos_Agricultura!$B328</f>
        <v>67.08341450899394</v>
      </c>
      <c r="O312" s="839">
        <f>'Calibración-BAU_Agricultura '!U18*Costos_Agricultura!$B328</f>
        <v>71.171127234217067</v>
      </c>
      <c r="P312" s="839">
        <f>'Calibración-BAU_Agricultura '!V18*Costos_Agricultura!$B328</f>
        <v>71.293995305723413</v>
      </c>
      <c r="Q312" s="839">
        <f>'Calibración-BAU_Agricultura '!W18*Costos_Agricultura!$B328</f>
        <v>75.572966971423526</v>
      </c>
      <c r="R312" s="839">
        <f>'Calibración-BAU_Agricultura '!X18*Costos_Agricultura!$B328</f>
        <v>77.451996337836349</v>
      </c>
      <c r="S312" s="839">
        <f>'Calibración-BAU_Agricultura '!Y18*Costos_Agricultura!$B328</f>
        <v>79.415766980342269</v>
      </c>
      <c r="T312" s="839">
        <f>'Calibración-BAU_Agricultura '!Z18*Costos_Agricultura!$B328</f>
        <v>81.164418640673901</v>
      </c>
      <c r="U312" s="839">
        <f>'Calibración-BAU_Agricultura '!AA18*Costos_Agricultura!$B328</f>
        <v>83.20907044006519</v>
      </c>
      <c r="V312" s="839">
        <f>'Calibración-BAU_Agricultura '!AB18*Costos_Agricultura!$B328</f>
        <v>82.176451139761994</v>
      </c>
      <c r="W312" s="839">
        <f>'Calibración-BAU_Agricultura '!AC18*Costos_Agricultura!$B328</f>
        <v>83.70522026642459</v>
      </c>
      <c r="X312" s="839">
        <f>'Calibración-BAU_Agricultura '!AD18*Costos_Agricultura!$B328</f>
        <v>85.553657311990634</v>
      </c>
      <c r="Y312" s="839">
        <f>'Calibración-BAU_Agricultura '!AE18*Costos_Agricultura!$B328</f>
        <v>86.903135182676351</v>
      </c>
      <c r="Z312" s="839">
        <f>'Calibración-BAU_Agricultura '!AF18*Costos_Agricultura!$B328</f>
        <v>88.193941827865487</v>
      </c>
      <c r="AA312" s="839">
        <f>'Calibración-BAU_Agricultura '!AG18*Costos_Agricultura!$B328</f>
        <v>89.441230899364797</v>
      </c>
      <c r="AB312" s="839">
        <f>'Calibración-BAU_Agricultura '!AH18*Costos_Agricultura!$B328</f>
        <v>90.518576698741683</v>
      </c>
      <c r="AC312" s="839">
        <f>'Calibración-BAU_Agricultura '!AI18*Costos_Agricultura!$B328</f>
        <v>91.458522547869279</v>
      </c>
      <c r="AD312" s="839">
        <f>'Calibración-BAU_Agricultura '!AJ18*Costos_Agricultura!$B328</f>
        <v>92.80788922092259</v>
      </c>
      <c r="AE312" s="839">
        <f>'Calibración-BAU_Agricultura '!AK18*Costos_Agricultura!$B328</f>
        <v>94.058268647941773</v>
      </c>
      <c r="AF312" s="839">
        <f>'Calibración-BAU_Agricultura '!AL18*Costos_Agricultura!$B328</f>
        <v>95.239998642879826</v>
      </c>
      <c r="AG312" s="839">
        <f>'Calibración-BAU_Agricultura '!AM18*Costos_Agricultura!$B328</f>
        <v>96.382062876501337</v>
      </c>
      <c r="AH312" s="839">
        <f>'Calibración-BAU_Agricultura '!AN18*Costos_Agricultura!$B328</f>
        <v>97.370788208905452</v>
      </c>
      <c r="AI312" s="839">
        <f>'Calibración-BAU_Agricultura '!AO18*Costos_Agricultura!$B328</f>
        <v>98.47370797756075</v>
      </c>
      <c r="AJ312" s="839">
        <f>'Calibración-BAU_Agricultura '!AP18*Costos_Agricultura!$B328</f>
        <v>99.487985944865557</v>
      </c>
      <c r="AK312" s="839">
        <f>'Calibración-BAU_Agricultura '!AQ18*Costos_Agricultura!$B328</f>
        <v>100.65549573773181</v>
      </c>
      <c r="AL312" s="839">
        <f>'Calibración-BAU_Agricultura '!AR18*Costos_Agricultura!$B328</f>
        <v>101.67486773440181</v>
      </c>
      <c r="AM312" s="839">
        <f>'Calibración-BAU_Agricultura '!AS18*Costos_Agricultura!$B328</f>
        <v>102.65975751790147</v>
      </c>
      <c r="AN312" s="839">
        <f>'Calibración-BAU_Agricultura '!AT18*Costos_Agricultura!$B328</f>
        <v>103.64375978532209</v>
      </c>
      <c r="AO312" s="839">
        <f>'Calibración-BAU_Agricultura '!AU18*Costos_Agricultura!$B328</f>
        <v>104.61427465422415</v>
      </c>
      <c r="AP312" s="675"/>
    </row>
    <row r="313" spans="1:42" ht="14.25" hidden="1" customHeight="1" x14ac:dyDescent="0.3">
      <c r="A313" s="1215"/>
      <c r="B313" s="644"/>
      <c r="C313" s="678"/>
      <c r="D313" s="676" t="s">
        <v>953</v>
      </c>
      <c r="E313" s="676"/>
      <c r="F313" s="676"/>
      <c r="G313" s="676"/>
      <c r="H313" s="676"/>
      <c r="I313" s="837">
        <v>720</v>
      </c>
      <c r="J313" s="685">
        <v>348</v>
      </c>
      <c r="K313" s="685">
        <v>555</v>
      </c>
      <c r="L313" s="839">
        <f>'Calibración-BAU_Agricultura '!R19*Costos_Agricultura!$B329</f>
        <v>521.19811671561831</v>
      </c>
      <c r="M313" s="839">
        <f>'Calibración-BAU_Agricultura '!S19*Costos_Agricultura!$B329</f>
        <v>539.65298622786395</v>
      </c>
      <c r="N313" s="839">
        <f>'Calibración-BAU_Agricultura '!T19*Costos_Agricultura!$B329</f>
        <v>536.97980215353573</v>
      </c>
      <c r="O313" s="839">
        <f>'Calibración-BAU_Agricultura '!U19*Costos_Agricultura!$B329</f>
        <v>569.70054522418741</v>
      </c>
      <c r="P313" s="839">
        <f>'Calibración-BAU_Agricultura '!V19*Costos_Agricultura!$B329</f>
        <v>570.68406213684568</v>
      </c>
      <c r="Q313" s="839">
        <f>'Calibración-BAU_Agricultura '!W19*Costos_Agricultura!$B329</f>
        <v>604.93576764835007</v>
      </c>
      <c r="R313" s="839">
        <f>'Calibración-BAU_Agricultura '!X19*Costos_Agricultura!$B329</f>
        <v>619.97675542159118</v>
      </c>
      <c r="S313" s="839">
        <f>'Calibración-BAU_Agricultura '!Y19*Costos_Agricultura!$B329</f>
        <v>635.6960681430146</v>
      </c>
      <c r="T313" s="839">
        <f>'Calibración-BAU_Agricultura '!Z19*Costos_Agricultura!$B329</f>
        <v>649.69342694582929</v>
      </c>
      <c r="U313" s="839">
        <f>'Calibración-BAU_Agricultura '!AA19*Costos_Agricultura!$B329</f>
        <v>666.06016568067423</v>
      </c>
      <c r="V313" s="839">
        <f>'Calibración-BAU_Agricultura '!AB19*Costos_Agricultura!$B329</f>
        <v>657.79440115996113</v>
      </c>
      <c r="W313" s="839">
        <f>'Calibración-BAU_Agricultura '!AC19*Costos_Agricultura!$B329</f>
        <v>670.03167544276698</v>
      </c>
      <c r="X313" s="839">
        <f>'Calibración-BAU_Agricultura '!AD19*Costos_Agricultura!$B329</f>
        <v>684.82778214494215</v>
      </c>
      <c r="Y313" s="839">
        <f>'Calibración-BAU_Agricultura '!AE19*Costos_Agricultura!$B329</f>
        <v>695.62989121042858</v>
      </c>
      <c r="Z313" s="839">
        <f>'Calibración-BAU_Agricultura '!AF19*Costos_Agricultura!$B329</f>
        <v>705.96235717128422</v>
      </c>
      <c r="AA313" s="839">
        <f>'Calibración-BAU_Agricultura '!AG19*Costos_Agricultura!$B329</f>
        <v>715.94647983027858</v>
      </c>
      <c r="AB313" s="839">
        <f>'Calibración-BAU_Agricultura '!AH19*Costos_Agricultura!$B329</f>
        <v>724.57026468730578</v>
      </c>
      <c r="AC313" s="839">
        <f>'Calibración-BAU_Agricultura '!AI19*Costos_Agricultura!$B329</f>
        <v>732.0942099097407</v>
      </c>
      <c r="AD313" s="839">
        <f>'Calibración-BAU_Agricultura '!AJ19*Costos_Agricultura!$B329</f>
        <v>742.89542887619029</v>
      </c>
      <c r="AE313" s="839">
        <f>'Calibración-BAU_Agricultura '!AK19*Costos_Agricultura!$B329</f>
        <v>752.90428877475142</v>
      </c>
      <c r="AF313" s="839">
        <f>'Calibración-BAU_Agricultura '!AL19*Costos_Agricultura!$B329</f>
        <v>762.3636334358024</v>
      </c>
      <c r="AG313" s="839">
        <f>'Calibración-BAU_Agricultura '!AM19*Costos_Agricultura!$B329</f>
        <v>771.50546723638354</v>
      </c>
      <c r="AH313" s="839">
        <f>'Calibración-BAU_Agricultura '!AN19*Costos_Agricultura!$B329</f>
        <v>779.41987554825278</v>
      </c>
      <c r="AI313" s="839">
        <f>'Calibración-BAU_Agricultura '!AO19*Costos_Agricultura!$B329</f>
        <v>788.24837128745435</v>
      </c>
      <c r="AJ313" s="839">
        <f>'Calibración-BAU_Agricultura '!AP19*Costos_Agricultura!$B329</f>
        <v>796.36731970709684</v>
      </c>
      <c r="AK313" s="839">
        <f>'Calibración-BAU_Agricultura '!AQ19*Costos_Agricultura!$B329</f>
        <v>805.71283651142687</v>
      </c>
      <c r="AL313" s="839">
        <f>'Calibración-BAU_Agricultura '!AR19*Costos_Agricultura!$B329</f>
        <v>813.87256089485606</v>
      </c>
      <c r="AM313" s="839">
        <f>'Calibración-BAU_Agricultura '!AS19*Costos_Agricultura!$B329</f>
        <v>821.75626694884318</v>
      </c>
      <c r="AN313" s="839">
        <f>'Calibración-BAU_Agricultura '!AT19*Costos_Agricultura!$B329</f>
        <v>829.6328687399955</v>
      </c>
      <c r="AO313" s="839">
        <f>'Calibración-BAU_Agricultura '!AU19*Costos_Agricultura!$B329</f>
        <v>837.4015085163777</v>
      </c>
      <c r="AP313" s="675"/>
    </row>
    <row r="314" spans="1:42" ht="13.5" hidden="1" customHeight="1" x14ac:dyDescent="0.3">
      <c r="A314" s="1215"/>
      <c r="B314" s="644"/>
      <c r="C314" s="678"/>
      <c r="D314" s="676" t="s">
        <v>954</v>
      </c>
      <c r="E314" s="676"/>
      <c r="F314" s="676"/>
      <c r="G314" s="676"/>
      <c r="H314" s="676"/>
      <c r="I314" s="676">
        <v>876</v>
      </c>
      <c r="J314" s="685">
        <v>910</v>
      </c>
      <c r="K314" s="685">
        <v>2499</v>
      </c>
      <c r="L314" s="839">
        <f>'Calibración-BAU_Agricultura '!R20*Costos_Agricultura!$B330</f>
        <v>1056.1744499538081</v>
      </c>
      <c r="M314" s="839">
        <f>'Calibración-BAU_Agricultura '!S20*Costos_Agricultura!$B330</f>
        <v>1226.637681249106</v>
      </c>
      <c r="N314" s="839">
        <f>'Calibración-BAU_Agricultura '!T20*Costos_Agricultura!$B330</f>
        <v>1220.5615019298623</v>
      </c>
      <c r="O314" s="839">
        <f>'Calibración-BAU_Agricultura '!U20*Costos_Agricultura!$B330</f>
        <v>1294.9361416209777</v>
      </c>
      <c r="P314" s="839">
        <f>'Calibración-BAU_Agricultura '!V20*Costos_Agricultura!$B330</f>
        <v>1297.1716873068178</v>
      </c>
      <c r="Q314" s="839">
        <f>'Calibración-BAU_Agricultura '!W20*Costos_Agricultura!$B330</f>
        <v>1375.0262229059565</v>
      </c>
      <c r="R314" s="839">
        <f>'Calibración-BAU_Agricultura '!X20*Costos_Agricultura!$B330</f>
        <v>1409.2145677066176</v>
      </c>
      <c r="S314" s="839">
        <f>'Calibración-BAU_Agricultura '!Y20*Costos_Agricultura!$B330</f>
        <v>1444.9447532138181</v>
      </c>
      <c r="T314" s="839">
        <f>'Calibración-BAU_Agricultura '!Z20*Costos_Agricultura!$B330</f>
        <v>1476.7609169035834</v>
      </c>
      <c r="U314" s="839">
        <f>'Calibración-BAU_Agricultura '!AA20*Costos_Agricultura!$B330</f>
        <v>1513.9627094696734</v>
      </c>
      <c r="V314" s="839">
        <f>'Calibración-BAU_Agricultura '!AB20*Costos_Agricultura!$B330</f>
        <v>1495.1745280193859</v>
      </c>
      <c r="W314" s="839">
        <f>'Calibración-BAU_Agricultura '!AC20*Costos_Agricultura!$B330</f>
        <v>1522.9899985794473</v>
      </c>
      <c r="X314" s="839">
        <f>'Calibración-BAU_Agricultura '!AD20*Costos_Agricultura!$B330</f>
        <v>1556.6217257816515</v>
      </c>
      <c r="Y314" s="839">
        <f>'Calibración-BAU_Agricultura '!AE20*Costos_Agricultura!$B330</f>
        <v>1581.1750486666162</v>
      </c>
      <c r="Z314" s="839">
        <f>'Calibración-BAU_Agricultura '!AF20*Costos_Agricultura!$B330</f>
        <v>1604.6608671671327</v>
      </c>
      <c r="AA314" s="839">
        <f>'Calibración-BAU_Agricultura '!AG20*Costos_Agricultura!$B330</f>
        <v>1627.354897183237</v>
      </c>
      <c r="AB314" s="839">
        <f>'Calibración-BAU_Agricultura '!AH20*Costos_Agricultura!$B330</f>
        <v>1646.9568631327934</v>
      </c>
      <c r="AC314" s="839">
        <f>'Calibración-BAU_Agricultura '!AI20*Costos_Agricultura!$B330</f>
        <v>1664.0588804606396</v>
      </c>
      <c r="AD314" s="839">
        <f>'Calibración-BAU_Agricultura '!AJ20*Costos_Agricultura!$B330</f>
        <v>1688.6101801398659</v>
      </c>
      <c r="AE314" s="839">
        <f>'Calibración-BAU_Agricultura '!AK20*Costos_Agricultura!$B330</f>
        <v>1711.3604381968726</v>
      </c>
      <c r="AF314" s="839">
        <f>'Calibración-BAU_Agricultura '!AL20*Costos_Agricultura!$B330</f>
        <v>1732.8616415577087</v>
      </c>
      <c r="AG314" s="839">
        <f>'Calibración-BAU_Agricultura '!AM20*Costos_Agricultura!$B330</f>
        <v>1753.6411389415598</v>
      </c>
      <c r="AH314" s="839">
        <f>'Calibración-BAU_Agricultura '!AN20*Costos_Agricultura!$B330</f>
        <v>1771.6306835338899</v>
      </c>
      <c r="AI314" s="839">
        <f>'Calibración-BAU_Agricultura '!AO20*Costos_Agricultura!$B330</f>
        <v>1791.6979597629129</v>
      </c>
      <c r="AJ314" s="839">
        <f>'Calibración-BAU_Agricultura '!AP20*Costos_Agricultura!$B330</f>
        <v>1810.1524264624566</v>
      </c>
      <c r="AK314" s="839">
        <f>'Calibración-BAU_Agricultura '!AQ20*Costos_Agricultura!$B330</f>
        <v>1831.3948977458401</v>
      </c>
      <c r="AL314" s="839">
        <f>'Calibración-BAU_Agricultura '!AR20*Costos_Agricultura!$B330</f>
        <v>1849.9420486979429</v>
      </c>
      <c r="AM314" s="839">
        <f>'Calibración-BAU_Agricultura '!AS20*Costos_Agricultura!$B330</f>
        <v>1867.861806691516</v>
      </c>
      <c r="AN314" s="839">
        <f>'Calibración-BAU_Agricultura '!AT20*Costos_Agricultura!$B330</f>
        <v>1885.7654166108391</v>
      </c>
      <c r="AO314" s="839">
        <f>'Calibración-BAU_Agricultura '!AU20*Costos_Agricultura!$B330</f>
        <v>1903.423627581504</v>
      </c>
      <c r="AP314" s="675"/>
    </row>
    <row r="315" spans="1:42" ht="13.25" hidden="1" customHeight="1" x14ac:dyDescent="0.3">
      <c r="A315" s="1215"/>
      <c r="B315" s="644"/>
      <c r="C315" s="678"/>
      <c r="D315" s="676" t="s">
        <v>955</v>
      </c>
      <c r="E315" s="676"/>
      <c r="F315" s="676"/>
      <c r="G315" s="676"/>
      <c r="H315" s="676"/>
      <c r="I315" s="676"/>
      <c r="J315" s="685"/>
      <c r="K315" s="685"/>
      <c r="L315" s="839">
        <f>'Calibración-BAU_Agricultura '!R21*Costos_Agricultura!$B331</f>
        <v>0</v>
      </c>
      <c r="M315" s="839">
        <f>'Calibración-BAU_Agricultura '!S21*Costos_Agricultura!$B331</f>
        <v>0</v>
      </c>
      <c r="N315" s="839">
        <f>'Calibración-BAU_Agricultura '!T21*Costos_Agricultura!$B331</f>
        <v>0</v>
      </c>
      <c r="O315" s="839">
        <f>'Calibración-BAU_Agricultura '!U21*Costos_Agricultura!$B331</f>
        <v>0</v>
      </c>
      <c r="P315" s="839">
        <f>'Calibración-BAU_Agricultura '!V21*Costos_Agricultura!$B331</f>
        <v>0</v>
      </c>
      <c r="Q315" s="839">
        <f>'Calibración-BAU_Agricultura '!W21*Costos_Agricultura!$B331</f>
        <v>0</v>
      </c>
      <c r="R315" s="839">
        <f>'Calibración-BAU_Agricultura '!X21*Costos_Agricultura!$B331</f>
        <v>0</v>
      </c>
      <c r="S315" s="839">
        <f>'Calibración-BAU_Agricultura '!Y21*Costos_Agricultura!$B331</f>
        <v>0</v>
      </c>
      <c r="T315" s="839">
        <f>'Calibración-BAU_Agricultura '!Z21*Costos_Agricultura!$B331</f>
        <v>0</v>
      </c>
      <c r="U315" s="839">
        <f>'Calibración-BAU_Agricultura '!AA21*Costos_Agricultura!$B331</f>
        <v>0</v>
      </c>
      <c r="V315" s="839">
        <f>'Calibración-BAU_Agricultura '!AB21*Costos_Agricultura!$B331</f>
        <v>0</v>
      </c>
      <c r="W315" s="839">
        <f>'Calibración-BAU_Agricultura '!AC21*Costos_Agricultura!$B331</f>
        <v>0</v>
      </c>
      <c r="X315" s="839">
        <f>'Calibración-BAU_Agricultura '!AD21*Costos_Agricultura!$B331</f>
        <v>0</v>
      </c>
      <c r="Y315" s="839">
        <f>'Calibración-BAU_Agricultura '!AE21*Costos_Agricultura!$B331</f>
        <v>0</v>
      </c>
      <c r="Z315" s="839">
        <f>'Calibración-BAU_Agricultura '!AF21*Costos_Agricultura!$B331</f>
        <v>0</v>
      </c>
      <c r="AA315" s="839">
        <f>'Calibración-BAU_Agricultura '!AG21*Costos_Agricultura!$B331</f>
        <v>0</v>
      </c>
      <c r="AB315" s="839">
        <f>'Calibración-BAU_Agricultura '!AH21*Costos_Agricultura!$B331</f>
        <v>0</v>
      </c>
      <c r="AC315" s="839">
        <f>'Calibración-BAU_Agricultura '!AI21*Costos_Agricultura!$B331</f>
        <v>0</v>
      </c>
      <c r="AD315" s="839">
        <f>'Calibración-BAU_Agricultura '!AJ21*Costos_Agricultura!$B331</f>
        <v>0</v>
      </c>
      <c r="AE315" s="839">
        <f>'Calibración-BAU_Agricultura '!AK21*Costos_Agricultura!$B331</f>
        <v>0</v>
      </c>
      <c r="AF315" s="839">
        <f>'Calibración-BAU_Agricultura '!AL21*Costos_Agricultura!$B331</f>
        <v>0</v>
      </c>
      <c r="AG315" s="839">
        <f>'Calibración-BAU_Agricultura '!AM21*Costos_Agricultura!$B331</f>
        <v>0</v>
      </c>
      <c r="AH315" s="839">
        <f>'Calibración-BAU_Agricultura '!AN21*Costos_Agricultura!$B331</f>
        <v>0</v>
      </c>
      <c r="AI315" s="839">
        <f>'Calibración-BAU_Agricultura '!AO21*Costos_Agricultura!$B331</f>
        <v>0</v>
      </c>
      <c r="AJ315" s="839">
        <f>'Calibración-BAU_Agricultura '!AP21*Costos_Agricultura!$B331</f>
        <v>0</v>
      </c>
      <c r="AK315" s="839">
        <f>'Calibración-BAU_Agricultura '!AQ21*Costos_Agricultura!$B331</f>
        <v>0</v>
      </c>
      <c r="AL315" s="839">
        <f>'Calibración-BAU_Agricultura '!AR21*Costos_Agricultura!$B331</f>
        <v>0</v>
      </c>
      <c r="AM315" s="839">
        <f>'Calibración-BAU_Agricultura '!AS21*Costos_Agricultura!$B331</f>
        <v>0</v>
      </c>
      <c r="AN315" s="839">
        <f>'Calibración-BAU_Agricultura '!AT21*Costos_Agricultura!$B331</f>
        <v>0</v>
      </c>
      <c r="AO315" s="839">
        <f>'Calibración-BAU_Agricultura '!AU21*Costos_Agricultura!$B331</f>
        <v>0</v>
      </c>
      <c r="AP315" s="675"/>
    </row>
    <row r="316" spans="1:42" ht="14.25" hidden="1" customHeight="1" x14ac:dyDescent="0.3">
      <c r="A316" s="973"/>
      <c r="B316" s="644" t="s">
        <v>956</v>
      </c>
      <c r="C316" s="679"/>
      <c r="D316" s="672"/>
      <c r="E316" s="672"/>
      <c r="F316" s="672"/>
      <c r="G316" s="676"/>
      <c r="H316" s="676"/>
      <c r="I316" s="676"/>
      <c r="J316" s="685"/>
      <c r="K316" s="685"/>
      <c r="L316" s="685"/>
      <c r="M316" s="685"/>
      <c r="N316" s="685"/>
      <c r="O316" s="685"/>
      <c r="P316" s="685"/>
      <c r="Q316" s="685"/>
      <c r="R316" s="685"/>
      <c r="S316" s="685"/>
      <c r="T316" s="685"/>
      <c r="U316" s="685"/>
      <c r="V316" s="685"/>
      <c r="W316" s="685"/>
      <c r="X316" s="685"/>
      <c r="Y316" s="685"/>
      <c r="Z316" s="685"/>
      <c r="AA316" s="685"/>
      <c r="AB316" s="685"/>
      <c r="AC316" s="685"/>
      <c r="AD316" s="685"/>
      <c r="AE316" s="685"/>
      <c r="AF316" s="685"/>
      <c r="AG316" s="685"/>
      <c r="AH316" s="685"/>
      <c r="AI316" s="685"/>
      <c r="AJ316" s="685"/>
      <c r="AK316" s="685"/>
      <c r="AL316" s="685"/>
      <c r="AM316" s="685"/>
      <c r="AN316" s="685"/>
      <c r="AO316" s="685"/>
      <c r="AP316" s="675"/>
    </row>
    <row r="317" spans="1:42" ht="14" hidden="1" customHeight="1" x14ac:dyDescent="0.3">
      <c r="A317" s="1215" t="s">
        <v>959</v>
      </c>
      <c r="B317" s="838">
        <f>AVERAGE(I317:K317)</f>
        <v>1.9824255497988782E-3</v>
      </c>
      <c r="C317" s="679"/>
      <c r="D317" s="676" t="s">
        <v>942</v>
      </c>
      <c r="E317" s="672"/>
      <c r="F317" s="672"/>
      <c r="G317" s="676"/>
      <c r="H317" s="676"/>
      <c r="I317" s="676">
        <f>I301/('Calibración-BAU_Agricultura '!O$296*1000000)</f>
        <v>0</v>
      </c>
      <c r="J317" s="676">
        <f>J301/('Calibración-BAU_Agricultura '!P$296*1000000)</f>
        <v>3.6000843281167949E-3</v>
      </c>
      <c r="K317" s="676">
        <f>K301/('Calibración-BAU_Agricultura '!Q$296*1000000)</f>
        <v>2.3471923212798392E-3</v>
      </c>
      <c r="L317" s="676"/>
      <c r="M317" s="685"/>
      <c r="N317" s="685"/>
      <c r="O317" s="685"/>
      <c r="P317" s="685"/>
      <c r="Q317" s="685"/>
      <c r="R317" s="685"/>
      <c r="S317" s="685"/>
      <c r="T317" s="685"/>
      <c r="U317" s="685"/>
      <c r="V317" s="685"/>
      <c r="W317" s="685"/>
      <c r="X317" s="685"/>
      <c r="Y317" s="685"/>
      <c r="Z317" s="685"/>
      <c r="AA317" s="685"/>
      <c r="AB317" s="685"/>
      <c r="AC317" s="685"/>
      <c r="AD317" s="685"/>
      <c r="AE317" s="685"/>
      <c r="AF317" s="685"/>
      <c r="AG317" s="685"/>
      <c r="AH317" s="685"/>
      <c r="AI317" s="685"/>
      <c r="AJ317" s="685"/>
      <c r="AK317" s="685"/>
      <c r="AL317" s="685"/>
      <c r="AM317" s="685"/>
      <c r="AN317" s="685"/>
      <c r="AO317" s="685"/>
      <c r="AP317" s="675"/>
    </row>
    <row r="318" spans="1:42" ht="14.25" hidden="1" customHeight="1" x14ac:dyDescent="0.3">
      <c r="A318" s="1215"/>
      <c r="B318" s="838">
        <f t="shared" ref="B318:B331" si="27">AVERAGE(I318:K318)</f>
        <v>1.7065093058832592E-2</v>
      </c>
      <c r="C318" s="678"/>
      <c r="D318" s="676" t="s">
        <v>943</v>
      </c>
      <c r="E318" s="676"/>
      <c r="F318" s="676"/>
      <c r="G318" s="676"/>
      <c r="H318" s="676"/>
      <c r="I318" s="676">
        <f>I302/'Calibración-BAU_Agricultura '!O8</f>
        <v>1.7477807329625918E-2</v>
      </c>
      <c r="J318" s="676">
        <f>J302/'Calibración-BAU_Agricultura '!P8</f>
        <v>1.5532349481957872E-2</v>
      </c>
      <c r="K318" s="676">
        <f>K302/'Calibración-BAU_Agricultura '!Q8</f>
        <v>1.8185122364913982E-2</v>
      </c>
      <c r="L318" s="676"/>
      <c r="M318" s="685"/>
      <c r="N318" s="685"/>
      <c r="O318" s="685"/>
      <c r="P318" s="685"/>
      <c r="Q318" s="685"/>
      <c r="R318" s="685"/>
      <c r="S318" s="685"/>
      <c r="T318" s="685"/>
      <c r="U318" s="685"/>
      <c r="V318" s="685"/>
      <c r="W318" s="685"/>
      <c r="X318" s="685"/>
      <c r="Y318" s="685"/>
      <c r="Z318" s="685"/>
      <c r="AA318" s="685"/>
      <c r="AB318" s="685"/>
      <c r="AC318" s="685"/>
      <c r="AD318" s="685"/>
      <c r="AE318" s="685"/>
      <c r="AF318" s="685"/>
      <c r="AG318" s="685"/>
      <c r="AH318" s="685"/>
      <c r="AI318" s="685"/>
      <c r="AJ318" s="685"/>
      <c r="AK318" s="685"/>
      <c r="AL318" s="685"/>
      <c r="AM318" s="685"/>
      <c r="AN318" s="685"/>
      <c r="AO318" s="685"/>
      <c r="AP318" s="675"/>
    </row>
    <row r="319" spans="1:42" ht="14.25" hidden="1" customHeight="1" x14ac:dyDescent="0.3">
      <c r="A319" s="1215"/>
      <c r="B319" s="838">
        <f t="shared" si="27"/>
        <v>4.9023775012597371E-3</v>
      </c>
      <c r="C319" s="678"/>
      <c r="D319" s="676" t="s">
        <v>944</v>
      </c>
      <c r="E319" s="687"/>
      <c r="F319" s="687"/>
      <c r="G319" s="687"/>
      <c r="H319" s="687"/>
      <c r="I319" s="676">
        <f>I303/'Calibración-BAU_Agricultura '!O9</f>
        <v>3.9914716494348808E-3</v>
      </c>
      <c r="J319" s="676">
        <f>J303/'Calibración-BAU_Agricultura '!P9</f>
        <v>6.4021410235182525E-3</v>
      </c>
      <c r="K319" s="676">
        <f>K303/'Calibración-BAU_Agricultura '!Q9</f>
        <v>4.3135198308260755E-3</v>
      </c>
      <c r="L319" s="676"/>
      <c r="M319" s="685"/>
      <c r="N319" s="685"/>
      <c r="O319" s="685"/>
      <c r="P319" s="685"/>
      <c r="Q319" s="685"/>
      <c r="R319" s="685"/>
      <c r="S319" s="685"/>
      <c r="T319" s="685"/>
      <c r="U319" s="685"/>
      <c r="V319" s="685"/>
      <c r="W319" s="685"/>
      <c r="X319" s="685"/>
      <c r="Y319" s="685"/>
      <c r="Z319" s="685"/>
      <c r="AA319" s="685"/>
      <c r="AB319" s="685"/>
      <c r="AC319" s="685"/>
      <c r="AD319" s="685"/>
      <c r="AE319" s="685"/>
      <c r="AF319" s="685"/>
      <c r="AG319" s="685"/>
      <c r="AH319" s="685"/>
      <c r="AI319" s="685"/>
      <c r="AJ319" s="685"/>
      <c r="AK319" s="685"/>
      <c r="AL319" s="685"/>
      <c r="AM319" s="685"/>
      <c r="AN319" s="685"/>
      <c r="AO319" s="685"/>
      <c r="AP319" s="675"/>
    </row>
    <row r="320" spans="1:42" ht="14.25" hidden="1" customHeight="1" x14ac:dyDescent="0.3">
      <c r="A320" s="1215"/>
      <c r="B320" s="838">
        <f t="shared" si="27"/>
        <v>1.4539866717528618E-2</v>
      </c>
      <c r="C320" s="678"/>
      <c r="D320" s="676" t="s">
        <v>945</v>
      </c>
      <c r="E320" s="687"/>
      <c r="F320" s="687"/>
      <c r="G320" s="687"/>
      <c r="H320" s="687"/>
      <c r="I320" s="676">
        <f>I304/'Calibración-BAU_Agricultura '!O10</f>
        <v>1.5750907240214367E-2</v>
      </c>
      <c r="J320" s="676">
        <f>J304/'Calibración-BAU_Agricultura '!P10</f>
        <v>6.2637407549869925E-3</v>
      </c>
      <c r="K320" s="676">
        <f>K304/'Calibración-BAU_Agricultura '!Q10</f>
        <v>2.1604952157384498E-2</v>
      </c>
      <c r="L320" s="676"/>
      <c r="M320" s="685"/>
      <c r="N320" s="685"/>
      <c r="O320" s="685"/>
      <c r="P320" s="685"/>
      <c r="Q320" s="685"/>
      <c r="R320" s="685"/>
      <c r="S320" s="685"/>
      <c r="T320" s="685"/>
      <c r="U320" s="685"/>
      <c r="V320" s="685"/>
      <c r="W320" s="685"/>
      <c r="X320" s="685"/>
      <c r="Y320" s="685"/>
      <c r="Z320" s="685"/>
      <c r="AA320" s="685"/>
      <c r="AB320" s="685"/>
      <c r="AC320" s="685"/>
      <c r="AD320" s="685"/>
      <c r="AE320" s="685"/>
      <c r="AF320" s="685"/>
      <c r="AG320" s="685"/>
      <c r="AH320" s="685"/>
      <c r="AI320" s="685"/>
      <c r="AJ320" s="685"/>
      <c r="AK320" s="685"/>
      <c r="AL320" s="685"/>
      <c r="AM320" s="685"/>
      <c r="AN320" s="685"/>
      <c r="AO320" s="685"/>
      <c r="AP320" s="675"/>
    </row>
    <row r="321" spans="1:42" ht="14.25" hidden="1" customHeight="1" x14ac:dyDescent="0.3">
      <c r="A321" s="1215"/>
      <c r="B321" s="838">
        <f t="shared" si="27"/>
        <v>4.8498605831379236E-2</v>
      </c>
      <c r="C321" s="678"/>
      <c r="D321" s="676" t="s">
        <v>946</v>
      </c>
      <c r="E321" s="687"/>
      <c r="F321" s="687"/>
      <c r="G321" s="687"/>
      <c r="H321" s="687"/>
      <c r="I321" s="676">
        <f>I305/'Calibración-BAU_Agricultura '!O11</f>
        <v>1.554292729587033E-2</v>
      </c>
      <c r="J321" s="676">
        <f>J305/'Calibración-BAU_Agricultura '!P11</f>
        <v>8.8747953037830642E-3</v>
      </c>
      <c r="K321" s="676">
        <f>K305/'Calibración-BAU_Agricultura '!Q11</f>
        <v>0.12107809489448432</v>
      </c>
      <c r="L321" s="676"/>
      <c r="M321" s="685"/>
      <c r="N321" s="685"/>
      <c r="O321" s="685"/>
      <c r="P321" s="685"/>
      <c r="Q321" s="685"/>
      <c r="R321" s="685"/>
      <c r="S321" s="685"/>
      <c r="T321" s="685"/>
      <c r="U321" s="685"/>
      <c r="V321" s="685"/>
      <c r="W321" s="685"/>
      <c r="X321" s="685"/>
      <c r="Y321" s="685"/>
      <c r="Z321" s="685"/>
      <c r="AA321" s="685"/>
      <c r="AB321" s="685"/>
      <c r="AC321" s="685"/>
      <c r="AD321" s="685"/>
      <c r="AE321" s="685"/>
      <c r="AF321" s="685"/>
      <c r="AG321" s="685"/>
      <c r="AH321" s="685"/>
      <c r="AI321" s="685"/>
      <c r="AJ321" s="685"/>
      <c r="AK321" s="685"/>
      <c r="AL321" s="685"/>
      <c r="AM321" s="685"/>
      <c r="AN321" s="685"/>
      <c r="AO321" s="685"/>
      <c r="AP321" s="675"/>
    </row>
    <row r="322" spans="1:42" ht="14.25" hidden="1" customHeight="1" x14ac:dyDescent="0.3">
      <c r="A322" s="1215"/>
      <c r="B322" s="838">
        <f t="shared" si="27"/>
        <v>8.8388859647138274E-3</v>
      </c>
      <c r="C322" s="678"/>
      <c r="D322" s="676" t="s">
        <v>659</v>
      </c>
      <c r="E322" s="687"/>
      <c r="F322" s="687"/>
      <c r="G322" s="687"/>
      <c r="H322" s="687"/>
      <c r="I322" s="676">
        <f>I306/'Calibración-BAU_Agricultura '!O12</f>
        <v>7.1368679679425931E-3</v>
      </c>
      <c r="J322" s="676">
        <f>J306/'Calibración-BAU_Agricultura '!P12</f>
        <v>6.5908468411559028E-3</v>
      </c>
      <c r="K322" s="676">
        <f>K306/'Calibración-BAU_Agricultura '!Q12</f>
        <v>1.2788943085042985E-2</v>
      </c>
      <c r="L322" s="676"/>
      <c r="M322" s="685"/>
      <c r="N322" s="685"/>
      <c r="O322" s="685"/>
      <c r="P322" s="685"/>
      <c r="Q322" s="685"/>
      <c r="R322" s="685"/>
      <c r="S322" s="685"/>
      <c r="T322" s="685"/>
      <c r="U322" s="685"/>
      <c r="V322" s="685"/>
      <c r="W322" s="685"/>
      <c r="X322" s="685"/>
      <c r="Y322" s="685"/>
      <c r="Z322" s="685"/>
      <c r="AA322" s="685"/>
      <c r="AB322" s="685"/>
      <c r="AC322" s="685"/>
      <c r="AD322" s="685"/>
      <c r="AE322" s="685"/>
      <c r="AF322" s="685"/>
      <c r="AG322" s="685"/>
      <c r="AH322" s="685"/>
      <c r="AI322" s="685"/>
      <c r="AJ322" s="685"/>
      <c r="AK322" s="685"/>
      <c r="AL322" s="685"/>
      <c r="AM322" s="685"/>
      <c r="AN322" s="685"/>
      <c r="AO322" s="685"/>
      <c r="AP322" s="675"/>
    </row>
    <row r="323" spans="1:42" ht="14.25" hidden="1" customHeight="1" x14ac:dyDescent="0.3">
      <c r="A323" s="1215"/>
      <c r="B323" s="838">
        <f t="shared" si="27"/>
        <v>2.5713556055816048E-3</v>
      </c>
      <c r="C323" s="678"/>
      <c r="D323" s="676" t="s">
        <v>947</v>
      </c>
      <c r="E323" s="676"/>
      <c r="F323" s="676"/>
      <c r="G323" s="676"/>
      <c r="H323" s="676"/>
      <c r="I323" s="676">
        <f>I307/'Calibración-BAU_Agricultura '!O13</f>
        <v>2.3552896398021921E-3</v>
      </c>
      <c r="J323" s="676">
        <f>J307/'Calibración-BAU_Agricultura '!P13</f>
        <v>2.7511349771296286E-3</v>
      </c>
      <c r="K323" s="676">
        <f>K307/'Calibración-BAU_Agricultura '!Q13</f>
        <v>2.6076421998129941E-3</v>
      </c>
      <c r="L323" s="676"/>
      <c r="M323" s="685"/>
      <c r="N323" s="685"/>
      <c r="O323" s="685"/>
      <c r="P323" s="685"/>
      <c r="Q323" s="685"/>
      <c r="R323" s="685"/>
      <c r="S323" s="685"/>
      <c r="T323" s="685"/>
      <c r="U323" s="685"/>
      <c r="V323" s="685"/>
      <c r="W323" s="685"/>
      <c r="X323" s="685"/>
      <c r="Y323" s="685"/>
      <c r="Z323" s="685"/>
      <c r="AA323" s="685"/>
      <c r="AB323" s="685"/>
      <c r="AC323" s="685"/>
      <c r="AD323" s="685"/>
      <c r="AE323" s="685"/>
      <c r="AF323" s="685"/>
      <c r="AG323" s="685"/>
      <c r="AH323" s="685"/>
      <c r="AI323" s="685"/>
      <c r="AJ323" s="685"/>
      <c r="AK323" s="685"/>
      <c r="AL323" s="685"/>
      <c r="AM323" s="685"/>
      <c r="AN323" s="685"/>
      <c r="AO323" s="685"/>
      <c r="AP323" s="675"/>
    </row>
    <row r="324" spans="1:42" ht="14.25" hidden="1" customHeight="1" x14ac:dyDescent="0.3">
      <c r="A324" s="1215"/>
      <c r="B324" s="838">
        <f t="shared" si="27"/>
        <v>7.1987393444263277E-3</v>
      </c>
      <c r="C324" s="678"/>
      <c r="D324" s="676" t="s">
        <v>948</v>
      </c>
      <c r="E324" s="687"/>
      <c r="F324" s="687"/>
      <c r="G324" s="687"/>
      <c r="H324" s="687"/>
      <c r="I324" s="676">
        <f>I308/'Calibración-BAU_Agricultura '!O14</f>
        <v>0</v>
      </c>
      <c r="J324" s="676">
        <f>J308/'Calibración-BAU_Agricultura '!P14</f>
        <v>1.0124969604940789E-2</v>
      </c>
      <c r="K324" s="676">
        <f>K308/'Calibración-BAU_Agricultura '!Q14</f>
        <v>1.1471248428338195E-2</v>
      </c>
      <c r="L324" s="676"/>
      <c r="M324" s="685"/>
      <c r="N324" s="685"/>
      <c r="O324" s="685"/>
      <c r="P324" s="685"/>
      <c r="Q324" s="685"/>
      <c r="R324" s="685"/>
      <c r="S324" s="685"/>
      <c r="T324" s="685"/>
      <c r="U324" s="685"/>
      <c r="V324" s="685"/>
      <c r="W324" s="685"/>
      <c r="X324" s="685"/>
      <c r="Y324" s="685"/>
      <c r="Z324" s="685"/>
      <c r="AA324" s="685"/>
      <c r="AB324" s="685"/>
      <c r="AC324" s="685"/>
      <c r="AD324" s="685"/>
      <c r="AE324" s="685"/>
      <c r="AF324" s="685"/>
      <c r="AG324" s="685"/>
      <c r="AH324" s="685"/>
      <c r="AI324" s="685"/>
      <c r="AJ324" s="685"/>
      <c r="AK324" s="685"/>
      <c r="AL324" s="685"/>
      <c r="AM324" s="685"/>
      <c r="AN324" s="685"/>
      <c r="AO324" s="685"/>
      <c r="AP324" s="675"/>
    </row>
    <row r="325" spans="1:42" ht="14.25" hidden="1" customHeight="1" x14ac:dyDescent="0.3">
      <c r="A325" s="1215"/>
      <c r="B325" s="838">
        <f t="shared" si="27"/>
        <v>0</v>
      </c>
      <c r="C325" s="678"/>
      <c r="D325" s="676" t="s">
        <v>949</v>
      </c>
      <c r="E325" s="687"/>
      <c r="F325" s="687"/>
      <c r="G325" s="687"/>
      <c r="H325" s="687"/>
      <c r="I325" s="676">
        <f>I309/'Calibración-BAU_Agricultura '!O15</f>
        <v>0</v>
      </c>
      <c r="J325" s="676">
        <f>J309/'Calibración-BAU_Agricultura '!P15</f>
        <v>0</v>
      </c>
      <c r="K325" s="676">
        <f>K309/'Calibración-BAU_Agricultura '!Q15</f>
        <v>0</v>
      </c>
      <c r="L325" s="676"/>
      <c r="M325" s="685"/>
      <c r="N325" s="685"/>
      <c r="O325" s="685"/>
      <c r="P325" s="685"/>
      <c r="Q325" s="685"/>
      <c r="R325" s="685"/>
      <c r="S325" s="685"/>
      <c r="T325" s="685"/>
      <c r="U325" s="685"/>
      <c r="V325" s="685"/>
      <c r="W325" s="685"/>
      <c r="X325" s="685"/>
      <c r="Y325" s="685"/>
      <c r="Z325" s="685"/>
      <c r="AA325" s="685"/>
      <c r="AB325" s="685"/>
      <c r="AC325" s="685"/>
      <c r="AD325" s="685"/>
      <c r="AE325" s="685"/>
      <c r="AF325" s="685"/>
      <c r="AG325" s="685"/>
      <c r="AH325" s="685"/>
      <c r="AI325" s="685"/>
      <c r="AJ325" s="685"/>
      <c r="AK325" s="685"/>
      <c r="AL325" s="685"/>
      <c r="AM325" s="685"/>
      <c r="AN325" s="685"/>
      <c r="AO325" s="685"/>
      <c r="AP325" s="675"/>
    </row>
    <row r="326" spans="1:42" ht="14.25" hidden="1" customHeight="1" x14ac:dyDescent="0.3">
      <c r="A326" s="1215"/>
      <c r="B326" s="838">
        <f t="shared" si="27"/>
        <v>6.0630816494909425E-3</v>
      </c>
      <c r="C326" s="678"/>
      <c r="D326" s="676" t="s">
        <v>950</v>
      </c>
      <c r="E326" s="676"/>
      <c r="F326" s="676"/>
      <c r="G326" s="676"/>
      <c r="H326" s="676"/>
      <c r="I326" s="676">
        <f>I310/'Calibración-BAU_Agricultura '!O16</f>
        <v>7.4718436390727025E-3</v>
      </c>
      <c r="J326" s="676">
        <f>J310/'Calibración-BAU_Agricultura '!P16</f>
        <v>3.3989908586146474E-3</v>
      </c>
      <c r="K326" s="676">
        <f>K310/'Calibración-BAU_Agricultura '!Q16</f>
        <v>7.3184104507854775E-3</v>
      </c>
      <c r="L326" s="676"/>
      <c r="M326" s="685"/>
      <c r="N326" s="685"/>
      <c r="O326" s="685"/>
      <c r="P326" s="685"/>
      <c r="Q326" s="685"/>
      <c r="R326" s="685"/>
      <c r="S326" s="685"/>
      <c r="T326" s="685"/>
      <c r="U326" s="685"/>
      <c r="V326" s="685"/>
      <c r="W326" s="685"/>
      <c r="X326" s="685"/>
      <c r="Y326" s="685"/>
      <c r="Z326" s="685"/>
      <c r="AA326" s="685"/>
      <c r="AB326" s="685"/>
      <c r="AC326" s="685"/>
      <c r="AD326" s="685"/>
      <c r="AE326" s="685"/>
      <c r="AF326" s="685"/>
      <c r="AG326" s="685"/>
      <c r="AH326" s="685"/>
      <c r="AI326" s="685"/>
      <c r="AJ326" s="685"/>
      <c r="AK326" s="685"/>
      <c r="AL326" s="685"/>
      <c r="AM326" s="685"/>
      <c r="AN326" s="685"/>
      <c r="AO326" s="685"/>
      <c r="AP326" s="675"/>
    </row>
    <row r="327" spans="1:42" ht="14.25" hidden="1" customHeight="1" x14ac:dyDescent="0.3">
      <c r="A327" s="1215"/>
      <c r="B327" s="838">
        <f t="shared" si="27"/>
        <v>8.046134976720954E-4</v>
      </c>
      <c r="C327" s="678"/>
      <c r="D327" s="676" t="s">
        <v>951</v>
      </c>
      <c r="E327" s="687"/>
      <c r="F327" s="687"/>
      <c r="G327" s="687"/>
      <c r="H327" s="687"/>
      <c r="I327" s="676">
        <f>I311/'Calibración-BAU_Agricultura '!O17</f>
        <v>6.3795853269537486E-5</v>
      </c>
      <c r="J327" s="676">
        <f>J311/'Calibración-BAU_Agricultura '!P17</f>
        <v>2.3500446397467485E-3</v>
      </c>
      <c r="K327" s="676">
        <f>K311/'Calibración-BAU_Agricultura '!Q17</f>
        <v>0</v>
      </c>
      <c r="L327" s="676"/>
      <c r="M327" s="685"/>
      <c r="N327" s="685"/>
      <c r="O327" s="685"/>
      <c r="P327" s="685"/>
      <c r="Q327" s="685"/>
      <c r="R327" s="685"/>
      <c r="S327" s="685"/>
      <c r="T327" s="685"/>
      <c r="U327" s="685"/>
      <c r="V327" s="685"/>
      <c r="W327" s="685"/>
      <c r="X327" s="685"/>
      <c r="Y327" s="685"/>
      <c r="Z327" s="685"/>
      <c r="AA327" s="685"/>
      <c r="AB327" s="685"/>
      <c r="AC327" s="685"/>
      <c r="AD327" s="685"/>
      <c r="AE327" s="685"/>
      <c r="AF327" s="685"/>
      <c r="AG327" s="685"/>
      <c r="AH327" s="685"/>
      <c r="AI327" s="685"/>
      <c r="AJ327" s="685"/>
      <c r="AK327" s="685"/>
      <c r="AL327" s="685"/>
      <c r="AM327" s="685"/>
      <c r="AN327" s="685"/>
      <c r="AO327" s="685"/>
      <c r="AP327" s="675"/>
    </row>
    <row r="328" spans="1:42" ht="14.25" hidden="1" customHeight="1" x14ac:dyDescent="0.3">
      <c r="A328" s="1215"/>
      <c r="B328" s="838">
        <f t="shared" si="27"/>
        <v>1.8019881873699076E-3</v>
      </c>
      <c r="C328" s="678"/>
      <c r="D328" s="676" t="s">
        <v>952</v>
      </c>
      <c r="E328" s="676"/>
      <c r="F328" s="676"/>
      <c r="G328" s="676"/>
      <c r="H328" s="676"/>
      <c r="I328" s="676">
        <f>I312/'Calibración-BAU_Agricultura '!O18</f>
        <v>7.4055596917881712E-4</v>
      </c>
      <c r="J328" s="676">
        <f>J312/'Calibración-BAU_Agricultura '!P18</f>
        <v>4.3061536324489509E-3</v>
      </c>
      <c r="K328" s="676">
        <f>K312/'Calibración-BAU_Agricultura '!Q18</f>
        <v>3.5925496048195437E-4</v>
      </c>
      <c r="L328" s="676"/>
      <c r="M328" s="685"/>
      <c r="N328" s="685"/>
      <c r="O328" s="685"/>
      <c r="P328" s="685"/>
      <c r="Q328" s="685"/>
      <c r="R328" s="685"/>
      <c r="S328" s="685"/>
      <c r="T328" s="685"/>
      <c r="U328" s="685"/>
      <c r="V328" s="685"/>
      <c r="W328" s="685"/>
      <c r="X328" s="685"/>
      <c r="Y328" s="685"/>
      <c r="Z328" s="685"/>
      <c r="AA328" s="685"/>
      <c r="AB328" s="685"/>
      <c r="AC328" s="685"/>
      <c r="AD328" s="685"/>
      <c r="AE328" s="685"/>
      <c r="AF328" s="685"/>
      <c r="AG328" s="685"/>
      <c r="AH328" s="685"/>
      <c r="AI328" s="685"/>
      <c r="AJ328" s="685"/>
      <c r="AK328" s="685"/>
      <c r="AL328" s="685"/>
      <c r="AM328" s="685"/>
      <c r="AN328" s="685"/>
      <c r="AO328" s="685"/>
      <c r="AP328" s="675"/>
    </row>
    <row r="329" spans="1:42" ht="14.25" hidden="1" customHeight="1" x14ac:dyDescent="0.3">
      <c r="A329" s="1215"/>
      <c r="B329" s="838">
        <f t="shared" si="27"/>
        <v>3.0507431777457568E-3</v>
      </c>
      <c r="C329" s="678"/>
      <c r="D329" s="676" t="s">
        <v>953</v>
      </c>
      <c r="E329" s="676"/>
      <c r="F329" s="676"/>
      <c r="G329" s="676"/>
      <c r="H329" s="676"/>
      <c r="I329" s="676">
        <f>I313/'Calibración-BAU_Agricultura '!O19</f>
        <v>4.4035619923671592E-3</v>
      </c>
      <c r="J329" s="676">
        <f>J313/'Calibración-BAU_Agricultura '!P19</f>
        <v>1.7781320416328157E-3</v>
      </c>
      <c r="K329" s="676">
        <f>K313/'Calibración-BAU_Agricultura '!Q19</f>
        <v>2.970535499237295E-3</v>
      </c>
      <c r="L329" s="676"/>
      <c r="M329" s="685"/>
      <c r="N329" s="685"/>
      <c r="O329" s="685"/>
      <c r="P329" s="685"/>
      <c r="Q329" s="685"/>
      <c r="R329" s="685"/>
      <c r="S329" s="685"/>
      <c r="T329" s="685"/>
      <c r="U329" s="685"/>
      <c r="V329" s="685"/>
      <c r="W329" s="685"/>
      <c r="X329" s="685"/>
      <c r="Y329" s="685"/>
      <c r="Z329" s="685"/>
      <c r="AA329" s="685"/>
      <c r="AB329" s="685"/>
      <c r="AC329" s="685"/>
      <c r="AD329" s="685"/>
      <c r="AE329" s="685"/>
      <c r="AF329" s="685"/>
      <c r="AG329" s="685"/>
      <c r="AH329" s="685"/>
      <c r="AI329" s="685"/>
      <c r="AJ329" s="685"/>
      <c r="AK329" s="685"/>
      <c r="AL329" s="685"/>
      <c r="AM329" s="685"/>
      <c r="AN329" s="685"/>
      <c r="AO329" s="685"/>
      <c r="AP329" s="675"/>
    </row>
    <row r="330" spans="1:42" ht="13.5" hidden="1" customHeight="1" x14ac:dyDescent="0.3">
      <c r="A330" s="1215"/>
      <c r="B330" s="838">
        <f t="shared" si="27"/>
        <v>7.7031175694975432E-2</v>
      </c>
      <c r="C330" s="678"/>
      <c r="D330" s="676" t="s">
        <v>954</v>
      </c>
      <c r="E330" s="676"/>
      <c r="F330" s="676"/>
      <c r="G330" s="676"/>
      <c r="H330" s="676"/>
      <c r="I330" s="676">
        <f>I314/'Calibración-BAU_Agricultura '!O20</f>
        <v>3.8226566591028105E-2</v>
      </c>
      <c r="J330" s="676">
        <f>J314/'Calibración-BAU_Agricultura '!P20</f>
        <v>4.7980596857534537E-2</v>
      </c>
      <c r="K330" s="676">
        <f>K314/'Calibración-BAU_Agricultura '!Q20</f>
        <v>0.14488636363636365</v>
      </c>
      <c r="L330" s="676"/>
      <c r="M330" s="685"/>
      <c r="N330" s="685"/>
      <c r="O330" s="685"/>
      <c r="P330" s="685"/>
      <c r="Q330" s="685"/>
      <c r="R330" s="685"/>
      <c r="S330" s="685"/>
      <c r="T330" s="685"/>
      <c r="U330" s="685"/>
      <c r="V330" s="685"/>
      <c r="W330" s="685"/>
      <c r="X330" s="685"/>
      <c r="Y330" s="685"/>
      <c r="Z330" s="685"/>
      <c r="AA330" s="685"/>
      <c r="AB330" s="685"/>
      <c r="AC330" s="685"/>
      <c r="AD330" s="685"/>
      <c r="AE330" s="685"/>
      <c r="AF330" s="685"/>
      <c r="AG330" s="685"/>
      <c r="AH330" s="685"/>
      <c r="AI330" s="685"/>
      <c r="AJ330" s="685"/>
      <c r="AK330" s="685"/>
      <c r="AL330" s="685"/>
      <c r="AM330" s="685"/>
      <c r="AN330" s="685"/>
      <c r="AO330" s="685"/>
      <c r="AP330" s="675"/>
    </row>
    <row r="331" spans="1:42" ht="13.25" hidden="1" customHeight="1" x14ac:dyDescent="0.3">
      <c r="A331" s="1215"/>
      <c r="B331" s="838">
        <f t="shared" si="27"/>
        <v>0</v>
      </c>
      <c r="C331" s="678"/>
      <c r="D331" s="676" t="s">
        <v>955</v>
      </c>
      <c r="E331" s="676"/>
      <c r="F331" s="676"/>
      <c r="G331" s="676"/>
      <c r="H331" s="676"/>
      <c r="I331" s="676">
        <f>I315/'Calibración-BAU_Agricultura '!O21</f>
        <v>0</v>
      </c>
      <c r="J331" s="676">
        <f>J315/'Calibración-BAU_Agricultura '!P21</f>
        <v>0</v>
      </c>
      <c r="K331" s="676">
        <f>K315/'Calibración-BAU_Agricultura '!Q21</f>
        <v>0</v>
      </c>
      <c r="L331" s="676"/>
      <c r="M331" s="685"/>
      <c r="N331" s="685"/>
      <c r="O331" s="685"/>
      <c r="P331" s="685"/>
      <c r="Q331" s="685"/>
      <c r="R331" s="685"/>
      <c r="S331" s="685"/>
      <c r="T331" s="685"/>
      <c r="U331" s="685"/>
      <c r="V331" s="685"/>
      <c r="W331" s="685"/>
      <c r="X331" s="685"/>
      <c r="Y331" s="685"/>
      <c r="Z331" s="685"/>
      <c r="AA331" s="685"/>
      <c r="AB331" s="685"/>
      <c r="AC331" s="685"/>
      <c r="AD331" s="685"/>
      <c r="AE331" s="685"/>
      <c r="AF331" s="685"/>
      <c r="AG331" s="685"/>
      <c r="AH331" s="685"/>
      <c r="AI331" s="685"/>
      <c r="AJ331" s="685"/>
      <c r="AK331" s="685"/>
      <c r="AL331" s="685"/>
      <c r="AM331" s="685"/>
      <c r="AN331" s="685"/>
      <c r="AO331" s="685"/>
      <c r="AP331" s="675"/>
    </row>
    <row r="332" spans="1:42" ht="14.25" hidden="1" customHeight="1" x14ac:dyDescent="0.3">
      <c r="A332" s="973"/>
      <c r="B332" s="644"/>
      <c r="C332" s="679"/>
      <c r="D332" s="672"/>
      <c r="E332" s="672"/>
      <c r="F332" s="672"/>
      <c r="G332" s="676"/>
      <c r="H332" s="676"/>
      <c r="I332" s="676"/>
      <c r="J332" s="685"/>
      <c r="K332" s="685"/>
      <c r="L332" s="685"/>
      <c r="M332" s="685"/>
      <c r="N332" s="685"/>
      <c r="O332" s="685"/>
      <c r="P332" s="685"/>
      <c r="Q332" s="685"/>
      <c r="R332" s="685"/>
      <c r="S332" s="685"/>
      <c r="T332" s="685"/>
      <c r="U332" s="685"/>
      <c r="V332" s="685"/>
      <c r="W332" s="685"/>
      <c r="X332" s="685"/>
      <c r="Y332" s="685"/>
      <c r="Z332" s="685"/>
      <c r="AA332" s="685"/>
      <c r="AB332" s="685"/>
      <c r="AC332" s="685"/>
      <c r="AD332" s="685"/>
      <c r="AE332" s="685"/>
      <c r="AF332" s="685"/>
      <c r="AG332" s="685"/>
      <c r="AH332" s="685"/>
      <c r="AI332" s="685"/>
      <c r="AJ332" s="685"/>
      <c r="AK332" s="685"/>
      <c r="AL332" s="685"/>
      <c r="AM332" s="685"/>
      <c r="AN332" s="685"/>
      <c r="AO332" s="685"/>
      <c r="AP332" s="675"/>
    </row>
    <row r="333" spans="1:42" ht="14" hidden="1" customHeight="1" x14ac:dyDescent="0.3">
      <c r="A333" s="1215" t="s">
        <v>960</v>
      </c>
      <c r="B333" s="644"/>
      <c r="C333" s="679"/>
      <c r="D333" s="676" t="s">
        <v>942</v>
      </c>
      <c r="E333" s="672"/>
      <c r="F333" s="672"/>
      <c r="G333" s="676"/>
      <c r="H333" s="676"/>
      <c r="I333" s="685">
        <v>211038</v>
      </c>
      <c r="J333" s="685">
        <v>198859.74660431634</v>
      </c>
      <c r="K333" s="685">
        <v>251415.60132855442</v>
      </c>
      <c r="L333" s="839">
        <f>('Calibración-BAU_Agricultura '!R296*1000000)*Costos_Agricultura!$B349</f>
        <v>259066.02832981042</v>
      </c>
      <c r="M333" s="839">
        <f>('Calibración-BAU_Agricultura '!S296*1000000)*Costos_Agricultura!$B349</f>
        <v>259066.02832981042</v>
      </c>
      <c r="N333" s="839">
        <f>('Calibración-BAU_Agricultura '!T296*1000000)*Costos_Agricultura!$B349</f>
        <v>257782.73851430987</v>
      </c>
      <c r="O333" s="839">
        <f>('Calibración-BAU_Agricultura '!U296*1000000)*Costos_Agricultura!$B349</f>
        <v>273490.67151504487</v>
      </c>
      <c r="P333" s="839">
        <f>('Calibración-BAU_Agricultura '!V296*1000000)*Costos_Agricultura!$B349</f>
        <v>273962.81903736026</v>
      </c>
      <c r="Q333" s="839">
        <f>('Calibración-BAU_Agricultura '!W296*1000000)*Costos_Agricultura!$B349</f>
        <v>290405.70647955255</v>
      </c>
      <c r="R333" s="839">
        <f>('Calibración-BAU_Agricultura '!X296*1000000)*Costos_Agricultura!$B349</f>
        <v>297626.28908358444</v>
      </c>
      <c r="S333" s="839">
        <f>('Calibración-BAU_Agricultura '!Y296*1000000)*Costos_Agricultura!$B349</f>
        <v>305172.50863344519</v>
      </c>
      <c r="T333" s="839">
        <f>('Calibración-BAU_Agricultura '!Z296*1000000)*Costos_Agricultura!$B349</f>
        <v>311892.0862966759</v>
      </c>
      <c r="U333" s="839">
        <f>('Calibración-BAU_Agricultura '!AA296*1000000)*Costos_Agricultura!$B349</f>
        <v>319749.10943739029</v>
      </c>
      <c r="V333" s="839">
        <f>('Calibración-BAU_Agricultura '!AB296*1000000)*Costos_Agricultura!$B349</f>
        <v>315781.0432168016</v>
      </c>
      <c r="W333" s="839">
        <f>('Calibración-BAU_Agricultura '!AC296*1000000)*Costos_Agricultura!$B349</f>
        <v>321655.67400164902</v>
      </c>
      <c r="X333" s="839">
        <f>('Calibración-BAU_Agricultura '!AD296*1000000)*Costos_Agricultura!$B349</f>
        <v>328758.69890079799</v>
      </c>
      <c r="Y333" s="839">
        <f>('Calibración-BAU_Agricultura '!AE296*1000000)*Costos_Agricultura!$B349</f>
        <v>333944.36369761865</v>
      </c>
      <c r="Z333" s="839">
        <f>('Calibración-BAU_Agricultura '!AF296*1000000)*Costos_Agricultura!$B349</f>
        <v>338904.57143786002</v>
      </c>
      <c r="AA333" s="839">
        <f>('Calibración-BAU_Agricultura '!AG296*1000000)*Costos_Agricultura!$B349</f>
        <v>343697.55335333711</v>
      </c>
      <c r="AB333" s="839">
        <f>('Calibración-BAU_Agricultura '!AH296*1000000)*Costos_Agricultura!$B349</f>
        <v>347837.49095971859</v>
      </c>
      <c r="AC333" s="839">
        <f>('Calibración-BAU_Agricultura '!AI296*1000000)*Costos_Agricultura!$B349</f>
        <v>351449.43911138549</v>
      </c>
      <c r="AD333" s="839">
        <f>('Calibración-BAU_Agricultura '!AJ296*1000000)*Costos_Agricultura!$B349</f>
        <v>356634.67660690675</v>
      </c>
      <c r="AE333" s="839">
        <f>('Calibración-BAU_Agricultura '!AK296*1000000)*Costos_Agricultura!$B349</f>
        <v>361439.5338915005</v>
      </c>
      <c r="AF333" s="839">
        <f>('Calibración-BAU_Agricultura '!AL296*1000000)*Costos_Agricultura!$B349</f>
        <v>365980.59067147085</v>
      </c>
      <c r="AG333" s="839">
        <f>('Calibración-BAU_Agricultura '!AM296*1000000)*Costos_Agricultura!$B349</f>
        <v>370369.22306081839</v>
      </c>
      <c r="AH333" s="839">
        <f>('Calibración-BAU_Agricultura '!AN296*1000000)*Costos_Agricultura!$B349</f>
        <v>374168.61707931216</v>
      </c>
      <c r="AI333" s="839">
        <f>('Calibración-BAU_Agricultura '!AO296*1000000)*Costos_Agricultura!$B349</f>
        <v>378406.8282736367</v>
      </c>
      <c r="AJ333" s="839">
        <f>('Calibración-BAU_Agricultura '!AP296*1000000)*Costos_Agricultura!$B349</f>
        <v>382304.41389804619</v>
      </c>
      <c r="AK333" s="839">
        <f>('Calibración-BAU_Agricultura '!AQ296*1000000)*Costos_Agricultura!$B349</f>
        <v>386790.82643160893</v>
      </c>
      <c r="AL333" s="839">
        <f>('Calibración-BAU_Agricultura '!AR296*1000000)*Costos_Agricultura!$B349</f>
        <v>390707.98698149656</v>
      </c>
      <c r="AM333" s="839">
        <f>('Calibración-BAU_Agricultura '!AS296*1000000)*Costos_Agricultura!$B349</f>
        <v>394492.64206179616</v>
      </c>
      <c r="AN333" s="839">
        <f>('Calibración-BAU_Agricultura '!AT296*1000000)*Costos_Agricultura!$B349</f>
        <v>398273.88666683878</v>
      </c>
      <c r="AO333" s="839">
        <f>('Calibración-BAU_Agricultura '!AU296*1000000)*Costos_Agricultura!$B349</f>
        <v>402003.30298390612</v>
      </c>
      <c r="AP333" s="675"/>
    </row>
    <row r="334" spans="1:42" ht="14.25" hidden="1" customHeight="1" x14ac:dyDescent="0.3">
      <c r="A334" s="1215"/>
      <c r="B334" s="644"/>
      <c r="C334" s="678"/>
      <c r="D334" s="676" t="s">
        <v>943</v>
      </c>
      <c r="E334" s="676"/>
      <c r="F334" s="676"/>
      <c r="G334" s="676"/>
      <c r="H334" s="676"/>
      <c r="I334" s="685">
        <v>10232</v>
      </c>
      <c r="J334" s="685">
        <v>21866</v>
      </c>
      <c r="K334" s="685">
        <v>13986</v>
      </c>
      <c r="L334" s="839">
        <f>'Calibración-BAU_Agricultura '!R8*Costos_Agricultura!$B350</f>
        <v>14465.693471180706</v>
      </c>
      <c r="M334" s="839">
        <f>'Calibración-BAU_Agricultura '!S8*Costos_Agricultura!$B350</f>
        <v>14875.815995185996</v>
      </c>
      <c r="N334" s="839">
        <f>'Calibración-BAU_Agricultura '!T8*Costos_Agricultura!$B350</f>
        <v>14802.128282107771</v>
      </c>
      <c r="O334" s="839">
        <f>'Calibración-BAU_Agricultura '!U8*Costos_Agricultura!$B350</f>
        <v>15704.092628765244</v>
      </c>
      <c r="P334" s="839">
        <f>'Calibración-BAU_Agricultura '!V8*Costos_Agricultura!$B350</f>
        <v>15731.203785368165</v>
      </c>
      <c r="Q334" s="839">
        <f>'Calibración-BAU_Agricultura '!W8*Costos_Agricultura!$B350</f>
        <v>16675.369910106881</v>
      </c>
      <c r="R334" s="839">
        <f>'Calibración-BAU_Agricultura '!X8*Costos_Agricultura!$B350</f>
        <v>17089.982581973207</v>
      </c>
      <c r="S334" s="839">
        <f>'Calibración-BAU_Agricultura '!Y8*Costos_Agricultura!$B350</f>
        <v>17175.432494883069</v>
      </c>
      <c r="T334" s="839">
        <f>'Calibración-BAU_Agricultura '!Z8*Costos_Agricultura!$B350</f>
        <v>17261.309657357484</v>
      </c>
      <c r="U334" s="839">
        <f>'Calibración-BAU_Agricultura '!AA8*Costos_Agricultura!$B350</f>
        <v>17347.616205644266</v>
      </c>
      <c r="V334" s="839">
        <f>'Calibración-BAU_Agricultura '!AB8*Costos_Agricultura!$B350</f>
        <v>17434.354286672489</v>
      </c>
      <c r="W334" s="839">
        <f>'Calibración-BAU_Agricultura '!AC8*Costos_Agricultura!$B350</f>
        <v>17521.52605810585</v>
      </c>
      <c r="X334" s="839">
        <f>'Calibración-BAU_Agricultura '!AD8*Costos_Agricultura!$B350</f>
        <v>17609.133688396378</v>
      </c>
      <c r="Y334" s="839">
        <f>'Calibración-BAU_Agricultura '!AE8*Costos_Agricultura!$B350</f>
        <v>17697.179356838355</v>
      </c>
      <c r="Z334" s="839">
        <f>'Calibración-BAU_Agricultura '!AF8*Costos_Agricultura!$B350</f>
        <v>17785.665253622545</v>
      </c>
      <c r="AA334" s="839">
        <f>'Calibración-BAU_Agricultura '!AG8*Costos_Agricultura!$B350</f>
        <v>17874.593579890658</v>
      </c>
      <c r="AB334" s="839">
        <f>'Calibración-BAU_Agricultura '!AH8*Costos_Agricultura!$B350</f>
        <v>17963.966547790107</v>
      </c>
      <c r="AC334" s="839">
        <f>'Calibración-BAU_Agricultura '!AI8*Costos_Agricultura!$B350</f>
        <v>18053.786380529058</v>
      </c>
      <c r="AD334" s="839">
        <f>'Calibración-BAU_Agricultura '!AJ8*Costos_Agricultura!$B350</f>
        <v>18144.055312431701</v>
      </c>
      <c r="AE334" s="839">
        <f>'Calibración-BAU_Agricultura '!AK8*Costos_Agricultura!$B350</f>
        <v>18234.775588993856</v>
      </c>
      <c r="AF334" s="839">
        <f>'Calibración-BAU_Agricultura '!AL8*Costos_Agricultura!$B350</f>
        <v>18325.949466938822</v>
      </c>
      <c r="AG334" s="839">
        <f>'Calibración-BAU_Agricultura '!AM8*Costos_Agricultura!$B350</f>
        <v>18417.579214273515</v>
      </c>
      <c r="AH334" s="839">
        <f>'Calibración-BAU_Agricultura '!AN8*Costos_Agricultura!$B350</f>
        <v>18509.667110344883</v>
      </c>
      <c r="AI334" s="839">
        <f>'Calibración-BAU_Agricultura '!AO8*Costos_Agricultura!$B350</f>
        <v>18602.215445896603</v>
      </c>
      <c r="AJ334" s="839">
        <f>'Calibración-BAU_Agricultura '!AP8*Costos_Agricultura!$B350</f>
        <v>18695.226523126083</v>
      </c>
      <c r="AK334" s="839">
        <f>'Calibración-BAU_Agricultura '!AQ8*Costos_Agricultura!$B350</f>
        <v>18788.702655741712</v>
      </c>
      <c r="AL334" s="839">
        <f>'Calibración-BAU_Agricultura '!AR8*Costos_Agricultura!$B350</f>
        <v>18882.64616902042</v>
      </c>
      <c r="AM334" s="839">
        <f>'Calibración-BAU_Agricultura '!AS8*Costos_Agricultura!$B350</f>
        <v>18977.05939986552</v>
      </c>
      <c r="AN334" s="839">
        <f>'Calibración-BAU_Agricultura '!AT8*Costos_Agricultura!$B350</f>
        <v>19071.944696864844</v>
      </c>
      <c r="AO334" s="839">
        <f>'Calibración-BAU_Agricultura '!AU8*Costos_Agricultura!$B350</f>
        <v>19167.30442034917</v>
      </c>
      <c r="AP334" s="675"/>
    </row>
    <row r="335" spans="1:42" ht="14.25" hidden="1" customHeight="1" x14ac:dyDescent="0.3">
      <c r="A335" s="1215"/>
      <c r="B335" s="644"/>
      <c r="C335" s="678"/>
      <c r="D335" s="676" t="s">
        <v>944</v>
      </c>
      <c r="E335" s="687"/>
      <c r="F335" s="687"/>
      <c r="G335" s="687"/>
      <c r="H335" s="687"/>
      <c r="I335" s="687">
        <v>43158.447675519019</v>
      </c>
      <c r="J335" s="685">
        <v>41052.674386870269</v>
      </c>
      <c r="K335" s="685">
        <v>43914.442102103283</v>
      </c>
      <c r="L335" s="839">
        <f>'Calibración-BAU_Agricultura '!R9*Costos_Agricultura!$B351</f>
        <v>45510.779410027229</v>
      </c>
      <c r="M335" s="839">
        <f>'Calibración-BAU_Agricultura '!S9*Costos_Agricultura!$B351</f>
        <v>42940.738598643431</v>
      </c>
      <c r="N335" s="839">
        <f>'Calibración-BAU_Agricultura '!T9*Costos_Agricultura!$B351</f>
        <v>42728.030615010946</v>
      </c>
      <c r="O335" s="839">
        <f>'Calibración-BAU_Agricultura '!U9*Costos_Agricultura!$B351</f>
        <v>45331.653518631741</v>
      </c>
      <c r="P335" s="839">
        <f>'Calibración-BAU_Agricultura '!V9*Costos_Agricultura!$B351</f>
        <v>45409.912962629271</v>
      </c>
      <c r="Q335" s="839">
        <f>'Calibración-BAU_Agricultura '!W9*Costos_Agricultura!$B351</f>
        <v>49098.063231546679</v>
      </c>
      <c r="R335" s="839">
        <f>'Calibración-BAU_Agricultura '!X9*Costos_Agricultura!$B351</f>
        <v>51325.203036469327</v>
      </c>
      <c r="S335" s="839">
        <f>'Calibración-BAU_Agricultura '!Y9*Costos_Agricultura!$B351</f>
        <v>53679.067918656649</v>
      </c>
      <c r="T335" s="839">
        <f>'Calibración-BAU_Agricultura '!Z9*Costos_Agricultura!$B351</f>
        <v>55958.24502591342</v>
      </c>
      <c r="U335" s="839">
        <f>'Calibración-BAU_Agricultura '!AA9*Costos_Agricultura!$B351</f>
        <v>58515.27433629502</v>
      </c>
      <c r="V335" s="839">
        <f>'Calibración-BAU_Agricultura '!AB9*Costos_Agricultura!$B351</f>
        <v>58944.885553164473</v>
      </c>
      <c r="W335" s="839">
        <f>'Calibración-BAU_Agricultura '!AC9*Costos_Agricultura!$B351</f>
        <v>61242.295713447296</v>
      </c>
      <c r="X335" s="839">
        <f>'Calibración-BAU_Agricultura '!AD9*Costos_Agricultura!$B351</f>
        <v>63846.584610457023</v>
      </c>
      <c r="Y335" s="839">
        <f>'Calibración-BAU_Agricultura '!AE9*Costos_Agricultura!$B351</f>
        <v>66150.739999149446</v>
      </c>
      <c r="Z335" s="839">
        <f>'Calibración-BAU_Agricultura '!AF9*Costos_Agricultura!$B351</f>
        <v>68475.969171347024</v>
      </c>
      <c r="AA335" s="839">
        <f>'Calibración-BAU_Agricultura '!AG9*Costos_Agricultura!$B351</f>
        <v>69444.39541738604</v>
      </c>
      <c r="AB335" s="839">
        <f>'Calibración-BAU_Agricultura '!AH9*Costos_Agricultura!$B351</f>
        <v>70280.873481707051</v>
      </c>
      <c r="AC335" s="839">
        <f>'Calibración-BAU_Agricultura '!AI9*Costos_Agricultura!$B351</f>
        <v>71010.670808525916</v>
      </c>
      <c r="AD335" s="839">
        <f>'Calibración-BAU_Agricultura '!AJ9*Costos_Agricultura!$B351</f>
        <v>72058.352642332437</v>
      </c>
      <c r="AE335" s="839">
        <f>'Calibración-BAU_Agricultura '!AK9*Costos_Agricultura!$B351</f>
        <v>73029.178317231577</v>
      </c>
      <c r="AF335" s="839">
        <f>'Calibración-BAU_Agricultura '!AL9*Costos_Agricultura!$B351</f>
        <v>73946.702866255262</v>
      </c>
      <c r="AG335" s="839">
        <f>'Calibración-BAU_Agricultura '!AM9*Costos_Agricultura!$B351</f>
        <v>74833.429931996361</v>
      </c>
      <c r="AH335" s="839">
        <f>'Calibración-BAU_Agricultura '!AN9*Costos_Agricultura!$B351</f>
        <v>75601.100862418985</v>
      </c>
      <c r="AI335" s="839">
        <f>'Calibración-BAU_Agricultura '!AO9*Costos_Agricultura!$B351</f>
        <v>76457.435192324701</v>
      </c>
      <c r="AJ335" s="839">
        <f>'Calibración-BAU_Agricultura '!AP9*Costos_Agricultura!$B351</f>
        <v>77244.945823790724</v>
      </c>
      <c r="AK335" s="839">
        <f>'Calibración-BAU_Agricultura '!AQ9*Costos_Agricultura!$B351</f>
        <v>78151.429454373778</v>
      </c>
      <c r="AL335" s="839">
        <f>'Calibración-BAU_Agricultura '!AR9*Costos_Agricultura!$B351</f>
        <v>78942.895216890072</v>
      </c>
      <c r="AM335" s="839">
        <f>'Calibración-BAU_Agricultura '!AS9*Costos_Agricultura!$B351</f>
        <v>79707.588131781289</v>
      </c>
      <c r="AN335" s="839">
        <f>'Calibración-BAU_Agricultura '!AT9*Costos_Agricultura!$B351</f>
        <v>80471.591957122713</v>
      </c>
      <c r="AO335" s="839">
        <f>'Calibración-BAU_Agricultura '!AU9*Costos_Agricultura!$B351</f>
        <v>81225.123830921744</v>
      </c>
      <c r="AP335" s="675"/>
    </row>
    <row r="336" spans="1:42" ht="14.25" hidden="1" customHeight="1" x14ac:dyDescent="0.3">
      <c r="A336" s="1215"/>
      <c r="B336" s="644"/>
      <c r="C336" s="678"/>
      <c r="D336" s="676" t="s">
        <v>945</v>
      </c>
      <c r="E336" s="687"/>
      <c r="F336" s="687"/>
      <c r="G336" s="687"/>
      <c r="H336" s="687"/>
      <c r="I336" s="687">
        <v>513.1598827728111</v>
      </c>
      <c r="J336" s="685">
        <v>483.65702589043457</v>
      </c>
      <c r="K336" s="685">
        <v>1601.48054243298</v>
      </c>
      <c r="L336" s="839">
        <f>'Calibración-BAU_Agricultura '!R10*Costos_Agricultura!$B352</f>
        <v>783.40488652425086</v>
      </c>
      <c r="M336" s="839">
        <f>'Calibración-BAU_Agricultura '!S10*Costos_Agricultura!$B352</f>
        <v>816.29773659030639</v>
      </c>
      <c r="N336" s="839">
        <f>'Calibración-BAU_Agricultura '!T10*Costos_Agricultura!$B352</f>
        <v>812.25418607719564</v>
      </c>
      <c r="O336" s="839">
        <f>'Calibración-BAU_Agricultura '!U10*Costos_Agricultura!$B352</f>
        <v>861.74871161447834</v>
      </c>
      <c r="P336" s="839">
        <f>'Calibración-BAU_Agricultura '!V10*Costos_Agricultura!$B352</f>
        <v>863.23641324902894</v>
      </c>
      <c r="Q336" s="839">
        <f>'Calibración-BAU_Agricultura '!W10*Costos_Agricultura!$B352</f>
        <v>915.04672542544108</v>
      </c>
      <c r="R336" s="839">
        <f>'Calibración-BAU_Agricultura '!X10*Costos_Agricultura!$B352</f>
        <v>937.79824276846739</v>
      </c>
      <c r="S336" s="839">
        <f>'Calibración-BAU_Agricultura '!Y10*Costos_Agricultura!$B352</f>
        <v>961.57581784489821</v>
      </c>
      <c r="T336" s="839">
        <f>'Calibración-BAU_Agricultura '!Z10*Costos_Agricultura!$B352</f>
        <v>982.7487059796365</v>
      </c>
      <c r="U336" s="839">
        <f>'Calibración-BAU_Agricultura '!AA10*Costos_Agricultura!$B352</f>
        <v>1007.5055999940756</v>
      </c>
      <c r="V336" s="839">
        <f>'Calibración-BAU_Agricultura '!AB10*Costos_Agricultura!$B352</f>
        <v>995.00251923358576</v>
      </c>
      <c r="W336" s="839">
        <f>'Calibración-BAU_Agricultura '!AC10*Costos_Agricultura!$B352</f>
        <v>1013.5130427626287</v>
      </c>
      <c r="X336" s="839">
        <f>'Calibración-BAU_Agricultura '!AD10*Costos_Agricultura!$B352</f>
        <v>1035.8941445439027</v>
      </c>
      <c r="Y336" s="839">
        <f>'Calibración-BAU_Agricultura '!AE10*Costos_Agricultura!$B352</f>
        <v>1052.233787621195</v>
      </c>
      <c r="Z336" s="839">
        <f>'Calibración-BAU_Agricultura '!AF10*Costos_Agricultura!$B352</f>
        <v>1067.8630323256455</v>
      </c>
      <c r="AA336" s="839">
        <f>'Calibración-BAU_Agricultura '!AG10*Costos_Agricultura!$B352</f>
        <v>1082.965360926373</v>
      </c>
      <c r="AB336" s="839">
        <f>'Calibración-BAU_Agricultura '!AH10*Costos_Agricultura!$B352</f>
        <v>1096.0099956069653</v>
      </c>
      <c r="AC336" s="839">
        <f>'Calibración-BAU_Agricultura '!AI10*Costos_Agricultura!$B352</f>
        <v>1107.3909748881763</v>
      </c>
      <c r="AD336" s="839">
        <f>'Calibración-BAU_Agricultura '!AJ10*Costos_Agricultura!$B352</f>
        <v>1123.7292715709382</v>
      </c>
      <c r="AE336" s="839">
        <f>'Calibración-BAU_Agricultura '!AK10*Costos_Agricultura!$B352</f>
        <v>1138.8690185742003</v>
      </c>
      <c r="AF336" s="839">
        <f>'Calibración-BAU_Agricultura '!AL10*Costos_Agricultura!$B352</f>
        <v>1153.1775498591235</v>
      </c>
      <c r="AG336" s="839">
        <f>'Calibración-BAU_Agricultura '!AM10*Costos_Agricultura!$B352</f>
        <v>1167.0058032555535</v>
      </c>
      <c r="AH336" s="839">
        <f>'Calibración-BAU_Agricultura '!AN10*Costos_Agricultura!$B352</f>
        <v>1178.9774104852086</v>
      </c>
      <c r="AI336" s="839">
        <f>'Calibración-BAU_Agricultura '!AO10*Costos_Agricultura!$B352</f>
        <v>1192.3316979131012</v>
      </c>
      <c r="AJ336" s="839">
        <f>'Calibración-BAU_Agricultura '!AP10*Costos_Agricultura!$B352</f>
        <v>1204.6126995708019</v>
      </c>
      <c r="AK336" s="839">
        <f>'Calibración-BAU_Agricultura '!AQ10*Costos_Agricultura!$B352</f>
        <v>1218.7490509101422</v>
      </c>
      <c r="AL336" s="839">
        <f>'Calibración-BAU_Agricultura '!AR10*Costos_Agricultura!$B352</f>
        <v>1231.0917316983132</v>
      </c>
      <c r="AM336" s="839">
        <f>'Calibración-BAU_Agricultura '!AS10*Costos_Agricultura!$B352</f>
        <v>1243.0168976328082</v>
      </c>
      <c r="AN336" s="839">
        <f>'Calibración-BAU_Agricultura '!AT10*Costos_Agricultura!$B352</f>
        <v>1254.9313174140893</v>
      </c>
      <c r="AO336" s="839">
        <f>'Calibración-BAU_Agricultura '!AU10*Costos_Agricultura!$B352</f>
        <v>1266.6824301248203</v>
      </c>
      <c r="AP336" s="675"/>
    </row>
    <row r="337" spans="1:42" ht="14.25" hidden="1" customHeight="1" x14ac:dyDescent="0.3">
      <c r="A337" s="1215"/>
      <c r="B337" s="644"/>
      <c r="C337" s="678"/>
      <c r="D337" s="676" t="s">
        <v>946</v>
      </c>
      <c r="E337" s="687"/>
      <c r="F337" s="687"/>
      <c r="G337" s="687"/>
      <c r="H337" s="687"/>
      <c r="I337" s="687">
        <v>76614</v>
      </c>
      <c r="J337" s="685">
        <v>94916</v>
      </c>
      <c r="K337" s="685">
        <v>77475</v>
      </c>
      <c r="L337" s="839">
        <f>'Calibración-BAU_Agricultura '!R11*Costos_Agricultura!$B353</f>
        <v>87316.838547410487</v>
      </c>
      <c r="M337" s="839">
        <f>'Calibración-BAU_Agricultura '!S11*Costos_Agricultura!$B353</f>
        <v>81141.647934818844</v>
      </c>
      <c r="N337" s="839">
        <f>'Calibración-BAU_Agricultura '!T11*Costos_Agricultura!$B353</f>
        <v>80739.710826047798</v>
      </c>
      <c r="O337" s="839">
        <f>'Calibración-BAU_Agricultura '!U11*Costos_Agricultura!$B353</f>
        <v>85659.566885703534</v>
      </c>
      <c r="P337" s="839">
        <f>'Calibración-BAU_Agricultura '!V11*Costos_Agricultura!$B353</f>
        <v>85807.447440618445</v>
      </c>
      <c r="Q337" s="839">
        <f>'Calibración-BAU_Agricultura '!W11*Costos_Agricultura!$B353</f>
        <v>90957.497381429974</v>
      </c>
      <c r="R337" s="839">
        <f>'Calibración-BAU_Agricultura '!X11*Costos_Agricultura!$B353</f>
        <v>90957.497381429974</v>
      </c>
      <c r="S337" s="839">
        <f>'Calibración-BAU_Agricultura '!Y11*Costos_Agricultura!$B353</f>
        <v>90957.497381429974</v>
      </c>
      <c r="T337" s="839">
        <f>'Calibración-BAU_Agricultura '!Z11*Costos_Agricultura!$B353</f>
        <v>90957.497381429974</v>
      </c>
      <c r="U337" s="839">
        <f>'Calibración-BAU_Agricultura '!AA11*Costos_Agricultura!$B353</f>
        <v>90957.497381429974</v>
      </c>
      <c r="V337" s="839">
        <f>'Calibración-BAU_Agricultura '!AB11*Costos_Agricultura!$B353</f>
        <v>90957.497381429974</v>
      </c>
      <c r="W337" s="839">
        <f>'Calibración-BAU_Agricultura '!AC11*Costos_Agricultura!$B353</f>
        <v>90957.497381429974</v>
      </c>
      <c r="X337" s="839">
        <f>'Calibración-BAU_Agricultura '!AD11*Costos_Agricultura!$B353</f>
        <v>90957.497381429974</v>
      </c>
      <c r="Y337" s="839">
        <f>'Calibración-BAU_Agricultura '!AE11*Costos_Agricultura!$B353</f>
        <v>90957.497381429974</v>
      </c>
      <c r="Z337" s="839">
        <f>'Calibración-BAU_Agricultura '!AF11*Costos_Agricultura!$B353</f>
        <v>90957.497381429974</v>
      </c>
      <c r="AA337" s="839">
        <f>'Calibración-BAU_Agricultura '!AG11*Costos_Agricultura!$B353</f>
        <v>90957.497381429974</v>
      </c>
      <c r="AB337" s="839">
        <f>'Calibración-BAU_Agricultura '!AH11*Costos_Agricultura!$B353</f>
        <v>90957.497381429974</v>
      </c>
      <c r="AC337" s="839">
        <f>'Calibración-BAU_Agricultura '!AI11*Costos_Agricultura!$B353</f>
        <v>90957.497381429974</v>
      </c>
      <c r="AD337" s="839">
        <f>'Calibración-BAU_Agricultura '!AJ11*Costos_Agricultura!$B353</f>
        <v>90957.497381429974</v>
      </c>
      <c r="AE337" s="839">
        <f>'Calibración-BAU_Agricultura '!AK11*Costos_Agricultura!$B353</f>
        <v>90957.497381429974</v>
      </c>
      <c r="AF337" s="839">
        <f>'Calibración-BAU_Agricultura '!AL11*Costos_Agricultura!$B353</f>
        <v>90957.497381429974</v>
      </c>
      <c r="AG337" s="839">
        <f>'Calibración-BAU_Agricultura '!AM11*Costos_Agricultura!$B353</f>
        <v>90957.497381429974</v>
      </c>
      <c r="AH337" s="839">
        <f>'Calibración-BAU_Agricultura '!AN11*Costos_Agricultura!$B353</f>
        <v>90957.497381429974</v>
      </c>
      <c r="AI337" s="839">
        <f>'Calibración-BAU_Agricultura '!AO11*Costos_Agricultura!$B353</f>
        <v>90957.497381429974</v>
      </c>
      <c r="AJ337" s="839">
        <f>'Calibración-BAU_Agricultura '!AP11*Costos_Agricultura!$B353</f>
        <v>90957.497381429974</v>
      </c>
      <c r="AK337" s="839">
        <f>'Calibración-BAU_Agricultura '!AQ11*Costos_Agricultura!$B353</f>
        <v>90957.497381429974</v>
      </c>
      <c r="AL337" s="839">
        <f>'Calibración-BAU_Agricultura '!AR11*Costos_Agricultura!$B353</f>
        <v>90957.497381429974</v>
      </c>
      <c r="AM337" s="839">
        <f>'Calibración-BAU_Agricultura '!AS11*Costos_Agricultura!$B353</f>
        <v>90957.497381429974</v>
      </c>
      <c r="AN337" s="839">
        <f>'Calibración-BAU_Agricultura '!AT11*Costos_Agricultura!$B353</f>
        <v>90957.497381429974</v>
      </c>
      <c r="AO337" s="839">
        <f>'Calibración-BAU_Agricultura '!AU11*Costos_Agricultura!$B353</f>
        <v>90957.497381429974</v>
      </c>
      <c r="AP337" s="675"/>
    </row>
    <row r="338" spans="1:42" ht="14.25" hidden="1" customHeight="1" x14ac:dyDescent="0.3">
      <c r="A338" s="1215"/>
      <c r="B338" s="644"/>
      <c r="C338" s="678"/>
      <c r="D338" s="676" t="s">
        <v>659</v>
      </c>
      <c r="E338" s="687"/>
      <c r="F338" s="687"/>
      <c r="G338" s="687"/>
      <c r="H338" s="687"/>
      <c r="I338" s="687">
        <v>29885</v>
      </c>
      <c r="J338" s="685">
        <v>28417</v>
      </c>
      <c r="K338" s="685">
        <v>31272</v>
      </c>
      <c r="L338" s="839">
        <f>'Calibración-BAU_Agricultura '!R12*Costos_Agricultura!$B354</f>
        <v>31033.523963234922</v>
      </c>
      <c r="M338" s="839">
        <f>'Calibración-BAU_Agricultura '!S12*Costos_Agricultura!$B354</f>
        <v>29631.222735833227</v>
      </c>
      <c r="N338" s="839">
        <f>'Calibración-BAU_Agricultura '!T12*Costos_Agricultura!$B354</f>
        <v>29484.443759821315</v>
      </c>
      <c r="O338" s="839">
        <f>'Calibración-BAU_Agricultura '!U12*Costos_Agricultura!$B354</f>
        <v>31281.071686937172</v>
      </c>
      <c r="P338" s="839">
        <f>'Calibración-BAU_Agricultura '!V12*Costos_Agricultura!$B354</f>
        <v>31335.07455442271</v>
      </c>
      <c r="Q338" s="839">
        <f>'Calibración-BAU_Agricultura '!W12*Costos_Agricultura!$B354</f>
        <v>33215.764444027074</v>
      </c>
      <c r="R338" s="839">
        <f>'Calibración-BAU_Agricultura '!X12*Costos_Agricultura!$B354</f>
        <v>34041.633790162159</v>
      </c>
      <c r="S338" s="839">
        <f>'Calibración-BAU_Agricultura '!Y12*Costos_Agricultura!$B354</f>
        <v>34904.748547959578</v>
      </c>
      <c r="T338" s="839">
        <f>'Calibración-BAU_Agricultura '!Z12*Costos_Agricultura!$B354</f>
        <v>35673.314398579088</v>
      </c>
      <c r="U338" s="839">
        <f>'Calibración-BAU_Agricultura '!AA12*Costos_Agricultura!$B354</f>
        <v>36571.977971815773</v>
      </c>
      <c r="V338" s="839">
        <f>'Calibración-BAU_Agricultura '!AB12*Costos_Agricultura!$B354</f>
        <v>36118.122038751819</v>
      </c>
      <c r="W338" s="839">
        <f>'Calibración-BAU_Agricultura '!AC12*Costos_Agricultura!$B354</f>
        <v>36790.045310200549</v>
      </c>
      <c r="X338" s="839">
        <f>'Calibración-BAU_Agricultura '!AD12*Costos_Agricultura!$B354</f>
        <v>37602.468746193896</v>
      </c>
      <c r="Y338" s="839">
        <f>'Calibración-BAU_Agricultura '!AE12*Costos_Agricultura!$B354</f>
        <v>38195.590081393981</v>
      </c>
      <c r="Z338" s="839">
        <f>'Calibración-BAU_Agricultura '!AF12*Costos_Agricultura!$B354</f>
        <v>38762.92429080249</v>
      </c>
      <c r="AA338" s="839">
        <f>'Calibración-BAU_Agricultura '!AG12*Costos_Agricultura!$B354</f>
        <v>39311.131694227523</v>
      </c>
      <c r="AB338" s="839">
        <f>'Calibración-BAU_Agricultura '!AH12*Costos_Agricultura!$B354</f>
        <v>39784.645779103885</v>
      </c>
      <c r="AC338" s="839">
        <f>'Calibración-BAU_Agricultura '!AI12*Costos_Agricultura!$B354</f>
        <v>40197.769957840545</v>
      </c>
      <c r="AD338" s="839">
        <f>'Calibración-BAU_Agricultura '!AJ12*Costos_Agricultura!$B354</f>
        <v>40790.842419554378</v>
      </c>
      <c r="AE338" s="839">
        <f>'Calibración-BAU_Agricultura '!AK12*Costos_Agricultura!$B354</f>
        <v>41340.40809333865</v>
      </c>
      <c r="AF338" s="839">
        <f>'Calibración-BAU_Agricultura '!AL12*Costos_Agricultura!$B354</f>
        <v>41859.801028687412</v>
      </c>
      <c r="AG338" s="839">
        <f>'Calibración-BAU_Agricultura '!AM12*Costos_Agricultura!$B354</f>
        <v>42361.760103263186</v>
      </c>
      <c r="AH338" s="839">
        <f>'Calibración-BAU_Agricultura '!AN12*Costos_Agricultura!$B354</f>
        <v>42796.323797889549</v>
      </c>
      <c r="AI338" s="839">
        <f>'Calibración-BAU_Agricultura '!AO12*Costos_Agricultura!$B354</f>
        <v>43281.07813140894</v>
      </c>
      <c r="AJ338" s="839">
        <f>'Calibración-BAU_Agricultura '!AP12*Costos_Agricultura!$B354</f>
        <v>43726.872697811254</v>
      </c>
      <c r="AK338" s="839">
        <f>'Calibración-BAU_Agricultura '!AQ12*Costos_Agricultura!$B354</f>
        <v>44240.015582364198</v>
      </c>
      <c r="AL338" s="839">
        <f>'Calibración-BAU_Agricultura '!AR12*Costos_Agricultura!$B354</f>
        <v>44688.049072104404</v>
      </c>
      <c r="AM338" s="839">
        <f>'Calibración-BAU_Agricultura '!AS12*Costos_Agricultura!$B354</f>
        <v>45120.926969625929</v>
      </c>
      <c r="AN338" s="839">
        <f>'Calibración-BAU_Agricultura '!AT12*Costos_Agricultura!$B354</f>
        <v>45553.414786855479</v>
      </c>
      <c r="AO338" s="839">
        <f>'Calibración-BAU_Agricultura '!AU12*Costos_Agricultura!$B354</f>
        <v>45979.97463446694</v>
      </c>
      <c r="AP338" s="675"/>
    </row>
    <row r="339" spans="1:42" ht="14.25" hidden="1" customHeight="1" x14ac:dyDescent="0.3">
      <c r="A339" s="1215"/>
      <c r="B339" s="644"/>
      <c r="C339" s="678"/>
      <c r="D339" s="676" t="s">
        <v>947</v>
      </c>
      <c r="E339" s="676"/>
      <c r="F339" s="676"/>
      <c r="G339" s="676"/>
      <c r="H339" s="676"/>
      <c r="I339" s="676">
        <v>2963.3572083136269</v>
      </c>
      <c r="J339" s="685">
        <v>4557.0831843177075</v>
      </c>
      <c r="K339" s="685">
        <v>4308.9230195752507</v>
      </c>
      <c r="L339" s="839">
        <f>'Calibración-BAU_Agricultura '!R13*Costos_Agricultura!$B355</f>
        <v>3483.2228465933035</v>
      </c>
      <c r="M339" s="839">
        <f>'Calibración-BAU_Agricultura '!S13*Costos_Agricultura!$B355</f>
        <v>3027.8104351935895</v>
      </c>
      <c r="N339" s="839">
        <f>'Calibración-BAU_Agricultura '!T13*Costos_Agricultura!$B355</f>
        <v>3012.8121032247072</v>
      </c>
      <c r="O339" s="839">
        <f>'Calibración-BAU_Agricultura '!U13*Costos_Agricultura!$B355</f>
        <v>3196.397128870753</v>
      </c>
      <c r="P339" s="839">
        <f>'Calibración-BAU_Agricultura '!V13*Costos_Agricultura!$B355</f>
        <v>3201.9153097153571</v>
      </c>
      <c r="Q339" s="839">
        <f>'Calibración-BAU_Agricultura '!W13*Costos_Agricultura!$B355</f>
        <v>3394.0900479593161</v>
      </c>
      <c r="R339" s="839">
        <f>'Calibración-BAU_Agricultura '!X13*Costos_Agricultura!$B355</f>
        <v>3478.4799446108082</v>
      </c>
      <c r="S339" s="839">
        <f>'Calibración-BAU_Agricultura '!Y13*Costos_Agricultura!$B355</f>
        <v>3566.6756931874697</v>
      </c>
      <c r="T339" s="839">
        <f>'Calibración-BAU_Agricultura '!Z13*Costos_Agricultura!$B355</f>
        <v>3645.2101405636504</v>
      </c>
      <c r="U339" s="839">
        <f>'Calibración-BAU_Agricultura '!AA13*Costos_Agricultura!$B355</f>
        <v>3737.038377590261</v>
      </c>
      <c r="V339" s="839">
        <f>'Calibración-BAU_Agricultura '!AB13*Costos_Agricultura!$B355</f>
        <v>3690.6619677317581</v>
      </c>
      <c r="W339" s="839">
        <f>'Calibración-BAU_Agricultura '!AC13*Costos_Agricultura!$B355</f>
        <v>3759.321175995939</v>
      </c>
      <c r="X339" s="839">
        <f>'Calibración-BAU_Agricultura '!AD13*Costos_Agricultura!$B355</f>
        <v>3842.3371277582573</v>
      </c>
      <c r="Y339" s="839">
        <f>'Calibración-BAU_Agricultura '!AE13*Costos_Agricultura!$B355</f>
        <v>3902.9441092542679</v>
      </c>
      <c r="Z339" s="839">
        <f>'Calibración-BAU_Agricultura '!AF13*Costos_Agricultura!$B355</f>
        <v>3960.9160820885868</v>
      </c>
      <c r="AA339" s="839">
        <f>'Calibración-BAU_Agricultura '!AG13*Costos_Agricultura!$B355</f>
        <v>4016.9336184399776</v>
      </c>
      <c r="AB339" s="839">
        <f>'Calibración-BAU_Agricultura '!AH13*Costos_Agricultura!$B355</f>
        <v>4065.3187593496705</v>
      </c>
      <c r="AC339" s="839">
        <f>'Calibración-BAU_Agricultura '!AI13*Costos_Agricultura!$B355</f>
        <v>4107.5330719536851</v>
      </c>
      <c r="AD339" s="839">
        <f>'Calibración-BAU_Agricultura '!AJ13*Costos_Agricultura!$B355</f>
        <v>4168.1350594049654</v>
      </c>
      <c r="AE339" s="839">
        <f>'Calibración-BAU_Agricultura '!AK13*Costos_Agricultura!$B355</f>
        <v>4224.2913880432679</v>
      </c>
      <c r="AF339" s="839">
        <f>'Calibración-BAU_Agricultura '!AL13*Costos_Agricultura!$B355</f>
        <v>4277.3645724891139</v>
      </c>
      <c r="AG339" s="839">
        <f>'Calibración-BAU_Agricultura '!AM13*Costos_Agricultura!$B355</f>
        <v>4328.6563108554383</v>
      </c>
      <c r="AH339" s="839">
        <f>'Calibración-BAU_Agricultura '!AN13*Costos_Agricultura!$B355</f>
        <v>4373.061379828674</v>
      </c>
      <c r="AI339" s="839">
        <f>'Calibración-BAU_Agricultura '!AO13*Costos_Agricultura!$B355</f>
        <v>4422.5950842802404</v>
      </c>
      <c r="AJ339" s="839">
        <f>'Calibración-BAU_Agricultura '!AP13*Costos_Agricultura!$B355</f>
        <v>4468.1477586379287</v>
      </c>
      <c r="AK339" s="839">
        <f>'Calibración-BAU_Agricultura '!AQ13*Costos_Agricultura!$B355</f>
        <v>4520.5822934678336</v>
      </c>
      <c r="AL339" s="839">
        <f>'Calibración-BAU_Agricultura '!AR13*Costos_Agricultura!$B355</f>
        <v>4566.3637479709278</v>
      </c>
      <c r="AM339" s="839">
        <f>'Calibración-BAU_Agricultura '!AS13*Costos_Agricultura!$B355</f>
        <v>4610.5965569564078</v>
      </c>
      <c r="AN339" s="839">
        <f>'Calibración-BAU_Agricultura '!AT13*Costos_Agricultura!$B355</f>
        <v>4654.7895063252563</v>
      </c>
      <c r="AO339" s="839">
        <f>'Calibración-BAU_Agricultura '!AU13*Costos_Agricultura!$B355</f>
        <v>4698.3767173339575</v>
      </c>
      <c r="AP339" s="675"/>
    </row>
    <row r="340" spans="1:42" ht="14.25" hidden="1" customHeight="1" x14ac:dyDescent="0.3">
      <c r="A340" s="1215"/>
      <c r="B340" s="644"/>
      <c r="C340" s="678"/>
      <c r="D340" s="676" t="s">
        <v>948</v>
      </c>
      <c r="E340" s="687"/>
      <c r="F340" s="687"/>
      <c r="G340" s="687"/>
      <c r="H340" s="687"/>
      <c r="I340" s="687">
        <v>1036.114042447344</v>
      </c>
      <c r="J340" s="685">
        <v>3870.4443245150569</v>
      </c>
      <c r="K340" s="685">
        <v>2925.7801443580511</v>
      </c>
      <c r="L340" s="839">
        <f>'Calibración-BAU_Agricultura '!R14*Costos_Agricultura!$B356</f>
        <v>2022.637803368252</v>
      </c>
      <c r="M340" s="839">
        <f>'Calibración-BAU_Agricultura '!S14*Costos_Agricultura!$B356</f>
        <v>2383.5183493276654</v>
      </c>
      <c r="N340" s="839">
        <f>'Calibración-BAU_Agricultura '!T14*Costos_Agricultura!$B356</f>
        <v>2371.7115337352443</v>
      </c>
      <c r="O340" s="839">
        <f>'Calibración-BAU_Agricultura '!U14*Costos_Agricultura!$B356</f>
        <v>2516.2312408486659</v>
      </c>
      <c r="P340" s="839">
        <f>'Calibración-BAU_Agricultura '!V14*Costos_Agricultura!$B356</f>
        <v>2520.5752001484766</v>
      </c>
      <c r="Q340" s="839">
        <f>'Calibración-BAU_Agricultura '!W14*Costos_Agricultura!$B356</f>
        <v>2671.8568027077299</v>
      </c>
      <c r="R340" s="839">
        <f>'Calibración-BAU_Agricultura '!X14*Costos_Agricultura!$B356</f>
        <v>2738.2892533092281</v>
      </c>
      <c r="S340" s="839">
        <f>'Calibración-BAU_Agricultura '!Y14*Costos_Agricultura!$B356</f>
        <v>2807.7177031955634</v>
      </c>
      <c r="T340" s="839">
        <f>'Calibración-BAU_Agricultura '!Z14*Costos_Agricultura!$B356</f>
        <v>2869.540693895266</v>
      </c>
      <c r="U340" s="839">
        <f>'Calibración-BAU_Agricultura '!AA14*Costos_Agricultura!$B356</f>
        <v>2941.8286698515089</v>
      </c>
      <c r="V340" s="839">
        <f>'Calibración-BAU_Agricultura '!AB14*Costos_Agricultura!$B356</f>
        <v>2905.3207621605793</v>
      </c>
      <c r="W340" s="839">
        <f>'Calibración-BAU_Agricultura '!AC14*Costos_Agricultura!$B356</f>
        <v>2959.3698799143867</v>
      </c>
      <c r="X340" s="839">
        <f>'Calibración-BAU_Agricultura '!AD14*Costos_Agricultura!$B356</f>
        <v>3024.7207493124361</v>
      </c>
      <c r="Y340" s="839">
        <f>'Calibración-BAU_Agricultura '!AE14*Costos_Agricultura!$B356</f>
        <v>3072.4310850765264</v>
      </c>
      <c r="Z340" s="839">
        <f>'Calibración-BAU_Agricultura '!AF14*Costos_Agricultura!$B356</f>
        <v>3118.0671194171277</v>
      </c>
      <c r="AA340" s="839">
        <f>'Calibración-BAU_Agricultura '!AG14*Costos_Agricultura!$B356</f>
        <v>3162.1646045918005</v>
      </c>
      <c r="AB340" s="839">
        <f>'Calibración-BAU_Agricultura '!AH14*Costos_Agricultura!$B356</f>
        <v>3200.2538025985718</v>
      </c>
      <c r="AC340" s="839">
        <f>'Calibración-BAU_Agricultura '!AI14*Costos_Agricultura!$B356</f>
        <v>3233.4852716252949</v>
      </c>
      <c r="AD340" s="839">
        <f>'Calibración-BAU_Agricultura '!AJ14*Costos_Agricultura!$B356</f>
        <v>3281.1916760345316</v>
      </c>
      <c r="AE340" s="839">
        <f>'Calibración-BAU_Agricultura '!AK14*Costos_Agricultura!$B356</f>
        <v>3325.3984196881224</v>
      </c>
      <c r="AF340" s="839">
        <f>'Calibración-BAU_Agricultura '!AL14*Costos_Agricultura!$B356</f>
        <v>3367.1780857839749</v>
      </c>
      <c r="AG340" s="839">
        <f>'Calibración-BAU_Agricultura '!AM14*Costos_Agricultura!$B356</f>
        <v>3407.5553822434968</v>
      </c>
      <c r="AH340" s="839">
        <f>'Calibración-BAU_Agricultura '!AN14*Costos_Agricultura!$B356</f>
        <v>3442.5114334779596</v>
      </c>
      <c r="AI340" s="839">
        <f>'Calibración-BAU_Agricultura '!AO14*Costos_Agricultura!$B356</f>
        <v>3481.5047905581014</v>
      </c>
      <c r="AJ340" s="839">
        <f>'Calibración-BAU_Agricultura '!AP14*Costos_Agricultura!$B356</f>
        <v>3517.364246596193</v>
      </c>
      <c r="AK340" s="839">
        <f>'Calibración-BAU_Agricultura '!AQ14*Costos_Agricultura!$B356</f>
        <v>3558.6411622355795</v>
      </c>
      <c r="AL340" s="839">
        <f>'Calibración-BAU_Agricultura '!AR14*Costos_Agricultura!$B356</f>
        <v>3594.6807159667751</v>
      </c>
      <c r="AM340" s="839">
        <f>'Calibración-BAU_Agricultura '!AS14*Costos_Agricultura!$B356</f>
        <v>3629.5011626611063</v>
      </c>
      <c r="AN340" s="839">
        <f>'Calibración-BAU_Agricultura '!AT14*Costos_Agricultura!$B356</f>
        <v>3664.2902315232795</v>
      </c>
      <c r="AO340" s="839">
        <f>'Calibración-BAU_Agricultura '!AU14*Costos_Agricultura!$B356</f>
        <v>3698.6024579518844</v>
      </c>
      <c r="AP340" s="675"/>
    </row>
    <row r="341" spans="1:42" ht="14.25" hidden="1" customHeight="1" x14ac:dyDescent="0.3">
      <c r="A341" s="1215"/>
      <c r="B341" s="644"/>
      <c r="C341" s="678"/>
      <c r="D341" s="676" t="s">
        <v>949</v>
      </c>
      <c r="E341" s="687"/>
      <c r="F341" s="687"/>
      <c r="G341" s="687"/>
      <c r="H341" s="687"/>
      <c r="I341" s="687">
        <v>0</v>
      </c>
      <c r="J341" s="685">
        <v>0</v>
      </c>
      <c r="K341" s="685">
        <v>0</v>
      </c>
      <c r="L341" s="839">
        <f>'Calibración-BAU_Agricultura '!R15*Costos_Agricultura!$B357</f>
        <v>0</v>
      </c>
      <c r="M341" s="839">
        <f>'Calibración-BAU_Agricultura '!S15*Costos_Agricultura!$B357</f>
        <v>0</v>
      </c>
      <c r="N341" s="839">
        <f>'Calibración-BAU_Agricultura '!T15*Costos_Agricultura!$B357</f>
        <v>0</v>
      </c>
      <c r="O341" s="839">
        <f>'Calibración-BAU_Agricultura '!U15*Costos_Agricultura!$B357</f>
        <v>0</v>
      </c>
      <c r="P341" s="839">
        <f>'Calibración-BAU_Agricultura '!V15*Costos_Agricultura!$B357</f>
        <v>0</v>
      </c>
      <c r="Q341" s="839">
        <f>'Calibración-BAU_Agricultura '!W15*Costos_Agricultura!$B357</f>
        <v>0</v>
      </c>
      <c r="R341" s="839">
        <f>'Calibración-BAU_Agricultura '!X15*Costos_Agricultura!$B357</f>
        <v>0</v>
      </c>
      <c r="S341" s="839">
        <f>'Calibración-BAU_Agricultura '!Y15*Costos_Agricultura!$B357</f>
        <v>0</v>
      </c>
      <c r="T341" s="839">
        <f>'Calibración-BAU_Agricultura '!Z15*Costos_Agricultura!$B357</f>
        <v>0</v>
      </c>
      <c r="U341" s="839">
        <f>'Calibración-BAU_Agricultura '!AA15*Costos_Agricultura!$B357</f>
        <v>0</v>
      </c>
      <c r="V341" s="839">
        <f>'Calibración-BAU_Agricultura '!AB15*Costos_Agricultura!$B357</f>
        <v>0</v>
      </c>
      <c r="W341" s="839">
        <f>'Calibración-BAU_Agricultura '!AC15*Costos_Agricultura!$B357</f>
        <v>0</v>
      </c>
      <c r="X341" s="839">
        <f>'Calibración-BAU_Agricultura '!AD15*Costos_Agricultura!$B357</f>
        <v>0</v>
      </c>
      <c r="Y341" s="839">
        <f>'Calibración-BAU_Agricultura '!AE15*Costos_Agricultura!$B357</f>
        <v>0</v>
      </c>
      <c r="Z341" s="839">
        <f>'Calibración-BAU_Agricultura '!AF15*Costos_Agricultura!$B357</f>
        <v>0</v>
      </c>
      <c r="AA341" s="839">
        <f>'Calibración-BAU_Agricultura '!AG15*Costos_Agricultura!$B357</f>
        <v>0</v>
      </c>
      <c r="AB341" s="839">
        <f>'Calibración-BAU_Agricultura '!AH15*Costos_Agricultura!$B357</f>
        <v>0</v>
      </c>
      <c r="AC341" s="839">
        <f>'Calibración-BAU_Agricultura '!AI15*Costos_Agricultura!$B357</f>
        <v>0</v>
      </c>
      <c r="AD341" s="839">
        <f>'Calibración-BAU_Agricultura '!AJ15*Costos_Agricultura!$B357</f>
        <v>0</v>
      </c>
      <c r="AE341" s="839">
        <f>'Calibración-BAU_Agricultura '!AK15*Costos_Agricultura!$B357</f>
        <v>0</v>
      </c>
      <c r="AF341" s="839">
        <f>'Calibración-BAU_Agricultura '!AL15*Costos_Agricultura!$B357</f>
        <v>0</v>
      </c>
      <c r="AG341" s="839">
        <f>'Calibración-BAU_Agricultura '!AM15*Costos_Agricultura!$B357</f>
        <v>0</v>
      </c>
      <c r="AH341" s="839">
        <f>'Calibración-BAU_Agricultura '!AN15*Costos_Agricultura!$B357</f>
        <v>0</v>
      </c>
      <c r="AI341" s="839">
        <f>'Calibración-BAU_Agricultura '!AO15*Costos_Agricultura!$B357</f>
        <v>0</v>
      </c>
      <c r="AJ341" s="839">
        <f>'Calibración-BAU_Agricultura '!AP15*Costos_Agricultura!$B357</f>
        <v>0</v>
      </c>
      <c r="AK341" s="839">
        <f>'Calibración-BAU_Agricultura '!AQ15*Costos_Agricultura!$B357</f>
        <v>0</v>
      </c>
      <c r="AL341" s="839">
        <f>'Calibración-BAU_Agricultura '!AR15*Costos_Agricultura!$B357</f>
        <v>0</v>
      </c>
      <c r="AM341" s="839">
        <f>'Calibración-BAU_Agricultura '!AS15*Costos_Agricultura!$B357</f>
        <v>0</v>
      </c>
      <c r="AN341" s="839">
        <f>'Calibración-BAU_Agricultura '!AT15*Costos_Agricultura!$B357</f>
        <v>0</v>
      </c>
      <c r="AO341" s="839">
        <f>'Calibración-BAU_Agricultura '!AU15*Costos_Agricultura!$B357</f>
        <v>0</v>
      </c>
      <c r="AP341" s="675"/>
    </row>
    <row r="342" spans="1:42" ht="14.25" hidden="1" customHeight="1" x14ac:dyDescent="0.3">
      <c r="A342" s="1215"/>
      <c r="B342" s="644"/>
      <c r="C342" s="678"/>
      <c r="D342" s="676" t="s">
        <v>950</v>
      </c>
      <c r="E342" s="676"/>
      <c r="F342" s="676"/>
      <c r="G342" s="676"/>
      <c r="H342" s="676"/>
      <c r="I342" s="837">
        <v>8028</v>
      </c>
      <c r="J342" s="685">
        <v>6631</v>
      </c>
      <c r="K342" s="685">
        <v>6888</v>
      </c>
      <c r="L342" s="839">
        <f>'Calibración-BAU_Agricultura '!R16*Costos_Agricultura!$B358</f>
        <v>9507.5289578262873</v>
      </c>
      <c r="M342" s="839">
        <f>'Calibración-BAU_Agricultura '!S16*Costos_Agricultura!$B358</f>
        <v>8140.3103713572636</v>
      </c>
      <c r="N342" s="839">
        <f>'Calibración-BAU_Agricultura '!T16*Costos_Agricultura!$B358</f>
        <v>8099.9871477299748</v>
      </c>
      <c r="O342" s="839">
        <f>'Calibración-BAU_Agricultura '!U16*Costos_Agricultura!$B358</f>
        <v>8593.5580367532293</v>
      </c>
      <c r="P342" s="839">
        <f>'Calibración-BAU_Agricultura '!V16*Costos_Agricultura!$B358</f>
        <v>8608.3937425286767</v>
      </c>
      <c r="Q342" s="839">
        <f>'Calibración-BAU_Agricultura '!W16*Costos_Agricultura!$B358</f>
        <v>9125.0581930692006</v>
      </c>
      <c r="R342" s="839">
        <f>'Calibración-BAU_Agricultura '!X16*Costos_Agricultura!$B358</f>
        <v>9351.9416012789989</v>
      </c>
      <c r="S342" s="839">
        <f>'Calibración-BAU_Agricultura '!Y16*Costos_Agricultura!$B358</f>
        <v>9589.0570952026828</v>
      </c>
      <c r="T342" s="839">
        <f>'Calibración-BAU_Agricultura '!Z16*Costos_Agricultura!$B358</f>
        <v>9800.198046780868</v>
      </c>
      <c r="U342" s="839">
        <f>'Calibración-BAU_Agricultura '!AA16*Costos_Agricultura!$B358</f>
        <v>10047.079536309582</v>
      </c>
      <c r="V342" s="839">
        <f>'Calibración-BAU_Agricultura '!AB16*Costos_Agricultura!$B358</f>
        <v>9922.3959148485355</v>
      </c>
      <c r="W342" s="839">
        <f>'Calibración-BAU_Agricultura '!AC16*Costos_Agricultura!$B358</f>
        <v>10106.987149037328</v>
      </c>
      <c r="X342" s="839">
        <f>'Calibración-BAU_Agricultura '!AD16*Costos_Agricultura!$B358</f>
        <v>10330.176687346615</v>
      </c>
      <c r="Y342" s="839">
        <f>'Calibración-BAU_Agricultura '!AE16*Costos_Agricultura!$B358</f>
        <v>10493.119398129988</v>
      </c>
      <c r="Z342" s="839">
        <f>'Calibración-BAU_Agricultura '!AF16*Costos_Agricultura!$B358</f>
        <v>10648.977851560903</v>
      </c>
      <c r="AA342" s="839">
        <f>'Calibración-BAU_Agricultura '!AG16*Costos_Agricultura!$B358</f>
        <v>10799.581775386125</v>
      </c>
      <c r="AB342" s="839">
        <f>'Calibración-BAU_Agricultura '!AH16*Costos_Agricultura!$B358</f>
        <v>10929.665898153067</v>
      </c>
      <c r="AC342" s="839">
        <f>'Calibración-BAU_Agricultura '!AI16*Costos_Agricultura!$B358</f>
        <v>11043.159663388806</v>
      </c>
      <c r="AD342" s="839">
        <f>'Calibración-BAU_Agricultura '!AJ16*Costos_Agricultura!$B358</f>
        <v>11206.088947613624</v>
      </c>
      <c r="AE342" s="839">
        <f>'Calibración-BAU_Agricultura '!AK16*Costos_Agricultura!$B358</f>
        <v>11357.066016428205</v>
      </c>
      <c r="AF342" s="839">
        <f>'Calibración-BAU_Agricultura '!AL16*Costos_Agricultura!$B358</f>
        <v>11499.754009297167</v>
      </c>
      <c r="AG342" s="839">
        <f>'Calibración-BAU_Agricultura '!AM16*Costos_Agricultura!$B358</f>
        <v>11637.652559660552</v>
      </c>
      <c r="AH342" s="839">
        <f>'Calibración-BAU_Agricultura '!AN16*Costos_Agricultura!$B358</f>
        <v>11757.036203795644</v>
      </c>
      <c r="AI342" s="839">
        <f>'Calibración-BAU_Agricultura '!AO16*Costos_Agricultura!$B358</f>
        <v>11890.208255583309</v>
      </c>
      <c r="AJ342" s="839">
        <f>'Calibración-BAU_Agricultura '!AP16*Costos_Agricultura!$B358</f>
        <v>12012.677252719597</v>
      </c>
      <c r="AK342" s="839">
        <f>'Calibración-BAU_Agricultura '!AQ16*Costos_Agricultura!$B358</f>
        <v>12153.648227233687</v>
      </c>
      <c r="AL342" s="839">
        <f>'Calibración-BAU_Agricultura '!AR16*Costos_Agricultura!$B358</f>
        <v>12276.732302965638</v>
      </c>
      <c r="AM342" s="839">
        <f>'Calibración-BAU_Agricultura '!AS16*Costos_Agricultura!$B358</f>
        <v>12395.65282373323</v>
      </c>
      <c r="AN342" s="839">
        <f>'Calibración-BAU_Agricultura '!AT16*Costos_Agricultura!$B358</f>
        <v>12514.466181368383</v>
      </c>
      <c r="AO342" s="839">
        <f>'Calibración-BAU_Agricultura '!AU16*Costos_Agricultura!$B358</f>
        <v>12631.651003016566</v>
      </c>
      <c r="AP342" s="675"/>
    </row>
    <row r="343" spans="1:42" ht="14.25" hidden="1" customHeight="1" x14ac:dyDescent="0.3">
      <c r="A343" s="1215"/>
      <c r="B343" s="644"/>
      <c r="C343" s="678"/>
      <c r="D343" s="676" t="s">
        <v>951</v>
      </c>
      <c r="E343" s="687"/>
      <c r="F343" s="687"/>
      <c r="G343" s="687"/>
      <c r="H343" s="687"/>
      <c r="I343" s="687">
        <v>824</v>
      </c>
      <c r="J343" s="685">
        <v>1057</v>
      </c>
      <c r="K343" s="685">
        <v>1334</v>
      </c>
      <c r="L343" s="839">
        <f>'Calibración-BAU_Agricultura '!R17*Costos_Agricultura!$B359</f>
        <v>1149.2543531571232</v>
      </c>
      <c r="M343" s="839">
        <f>'Calibración-BAU_Agricultura '!S17*Costos_Agricultura!$B359</f>
        <v>808.6080472473883</v>
      </c>
      <c r="N343" s="839">
        <f>'Calibración-BAU_Agricultura '!T17*Costos_Agricultura!$B359</f>
        <v>804.60258779577953</v>
      </c>
      <c r="O343" s="839">
        <f>'Calibración-BAU_Agricultura '!U17*Costos_Agricultura!$B359</f>
        <v>853.63086491842546</v>
      </c>
      <c r="P343" s="839">
        <f>'Calibración-BAU_Agricultura '!V17*Costos_Agricultura!$B359</f>
        <v>855.10455210347811</v>
      </c>
      <c r="Q343" s="839">
        <f>'Calibración-BAU_Agricultura '!W17*Costos_Agricultura!$B359</f>
        <v>906.42680068797051</v>
      </c>
      <c r="R343" s="839">
        <f>'Calibración-BAU_Agricultura '!X17*Costos_Agricultura!$B359</f>
        <v>928.9639941481712</v>
      </c>
      <c r="S343" s="839">
        <f>'Calibración-BAU_Agricultura '!Y17*Costos_Agricultura!$B359</f>
        <v>952.51757967095045</v>
      </c>
      <c r="T343" s="839">
        <f>'Calibración-BAU_Agricultura '!Z17*Costos_Agricultura!$B359</f>
        <v>973.4910149284475</v>
      </c>
      <c r="U343" s="839">
        <f>'Calibración-BAU_Agricultura '!AA17*Costos_Agricultura!$B359</f>
        <v>998.01469400728979</v>
      </c>
      <c r="V343" s="839">
        <f>'Calibración-BAU_Agricultura '!AB17*Costos_Agricultura!$B359</f>
        <v>985.6293947896952</v>
      </c>
      <c r="W343" s="839">
        <f>'Calibración-BAU_Agricultura '!AC17*Costos_Agricultura!$B359</f>
        <v>1003.9655454531369</v>
      </c>
      <c r="X343" s="839">
        <f>'Calibración-BAU_Agricultura '!AD17*Costos_Agricultura!$B359</f>
        <v>1026.1358127408973</v>
      </c>
      <c r="Y343" s="839">
        <f>'Calibración-BAU_Agricultura '!AE17*Costos_Agricultura!$B359</f>
        <v>1042.3215330843555</v>
      </c>
      <c r="Z343" s="839">
        <f>'Calibración-BAU_Agricultura '!AF17*Costos_Agricultura!$B359</f>
        <v>1057.8035471509461</v>
      </c>
      <c r="AA343" s="839">
        <f>'Calibración-BAU_Agricultura '!AG17*Costos_Agricultura!$B359</f>
        <v>1072.7636087698011</v>
      </c>
      <c r="AB343" s="839">
        <f>'Calibración-BAU_Agricultura '!AH17*Costos_Agricultura!$B359</f>
        <v>1085.6853603603279</v>
      </c>
      <c r="AC343" s="839">
        <f>'Calibración-BAU_Agricultura '!AI17*Costos_Agricultura!$B359</f>
        <v>1096.9591285209297</v>
      </c>
      <c r="AD343" s="839">
        <f>'Calibración-BAU_Agricultura '!AJ17*Costos_Agricultura!$B359</f>
        <v>1113.1435151531653</v>
      </c>
      <c r="AE343" s="839">
        <f>'Calibración-BAU_Agricultura '!AK17*Costos_Agricultura!$B359</f>
        <v>1128.1406426856549</v>
      </c>
      <c r="AF343" s="839">
        <f>'Calibración-BAU_Agricultura '!AL17*Costos_Agricultura!$B359</f>
        <v>1142.3143847195454</v>
      </c>
      <c r="AG343" s="839">
        <f>'Calibración-BAU_Agricultura '!AM17*Costos_Agricultura!$B359</f>
        <v>1156.0123731795345</v>
      </c>
      <c r="AH343" s="839">
        <f>'Calibración-BAU_Agricultura '!AN17*Costos_Agricultura!$B359</f>
        <v>1167.8712054541643</v>
      </c>
      <c r="AI343" s="839">
        <f>'Calibración-BAU_Agricultura '!AO17*Costos_Agricultura!$B359</f>
        <v>1181.0996928006482</v>
      </c>
      <c r="AJ343" s="839">
        <f>'Calibración-BAU_Agricultura '!AP17*Costos_Agricultura!$B359</f>
        <v>1193.2650049454001</v>
      </c>
      <c r="AK343" s="839">
        <f>'Calibración-BAU_Agricultura '!AQ17*Costos_Agricultura!$B359</f>
        <v>1207.2681890035274</v>
      </c>
      <c r="AL343" s="839">
        <f>'Calibración-BAU_Agricultura '!AR17*Costos_Agricultura!$B359</f>
        <v>1219.4945992488986</v>
      </c>
      <c r="AM343" s="839">
        <f>'Calibración-BAU_Agricultura '!AS17*Costos_Agricultura!$B359</f>
        <v>1231.3074277147366</v>
      </c>
      <c r="AN343" s="839">
        <f>'Calibración-BAU_Agricultura '!AT17*Costos_Agricultura!$B359</f>
        <v>1243.1096112582916</v>
      </c>
      <c r="AO343" s="839">
        <f>'Calibración-BAU_Agricultura '!AU17*Costos_Agricultura!$B359</f>
        <v>1254.7500261168434</v>
      </c>
      <c r="AP343" s="675"/>
    </row>
    <row r="344" spans="1:42" ht="14.25" hidden="1" customHeight="1" x14ac:dyDescent="0.3">
      <c r="A344" s="1215"/>
      <c r="B344" s="644"/>
      <c r="C344" s="678"/>
      <c r="D344" s="676" t="s">
        <v>952</v>
      </c>
      <c r="E344" s="676"/>
      <c r="F344" s="676"/>
      <c r="G344" s="676"/>
      <c r="H344" s="676"/>
      <c r="I344" s="837">
        <v>4009</v>
      </c>
      <c r="J344" s="685">
        <v>3529</v>
      </c>
      <c r="K344" s="685">
        <v>4828</v>
      </c>
      <c r="L344" s="839">
        <f>'Calibración-BAU_Agricultura '!R18*Costos_Agricultura!$B360</f>
        <v>4396.2519623694425</v>
      </c>
      <c r="M344" s="839">
        <f>'Calibración-BAU_Agricultura '!S18*Costos_Agricultura!$B360</f>
        <v>4155.4270937354568</v>
      </c>
      <c r="N344" s="839">
        <f>'Calibración-BAU_Agricultura '!T18*Costos_Agricultura!$B360</f>
        <v>4134.8430854699773</v>
      </c>
      <c r="O344" s="839">
        <f>'Calibración-BAU_Agricultura '!U18*Costos_Agricultura!$B360</f>
        <v>4386.7988158243179</v>
      </c>
      <c r="P344" s="839">
        <f>'Calibración-BAU_Agricultura '!V18*Costos_Agricultura!$B360</f>
        <v>4394.3720766610168</v>
      </c>
      <c r="Q344" s="839">
        <f>'Calibración-BAU_Agricultura '!W18*Costos_Agricultura!$B360</f>
        <v>4658.1164989499266</v>
      </c>
      <c r="R344" s="839">
        <f>'Calibración-BAU_Agricultura '!X18*Costos_Agricultura!$B360</f>
        <v>4773.9348668725288</v>
      </c>
      <c r="S344" s="839">
        <f>'Calibración-BAU_Agricultura '!Y18*Costos_Agricultura!$B360</f>
        <v>4894.9764614610967</v>
      </c>
      <c r="T344" s="839">
        <f>'Calibración-BAU_Agricultura '!Z18*Costos_Agricultura!$B360</f>
        <v>5002.7586946634401</v>
      </c>
      <c r="U344" s="839">
        <f>'Calibración-BAU_Agricultura '!AA18*Costos_Agricultura!$B360</f>
        <v>5128.785588446156</v>
      </c>
      <c r="V344" s="839">
        <f>'Calibración-BAU_Agricultura '!AB18*Costos_Agricultura!$B360</f>
        <v>5065.1376837437329</v>
      </c>
      <c r="W344" s="839">
        <f>'Calibración-BAU_Agricultura '!AC18*Costos_Agricultura!$B360</f>
        <v>5159.3669429269157</v>
      </c>
      <c r="X344" s="839">
        <f>'Calibración-BAU_Agricultura '!AD18*Costos_Agricultura!$B360</f>
        <v>5273.2996816333007</v>
      </c>
      <c r="Y344" s="839">
        <f>'Calibración-BAU_Agricultura '!AE18*Costos_Agricultura!$B360</f>
        <v>5356.4779050949501</v>
      </c>
      <c r="Z344" s="839">
        <f>'Calibración-BAU_Agricultura '!AF18*Costos_Agricultura!$B360</f>
        <v>5436.0397904075035</v>
      </c>
      <c r="AA344" s="839">
        <f>'Calibración-BAU_Agricultura '!AG18*Costos_Agricultura!$B360</f>
        <v>5512.9193683273143</v>
      </c>
      <c r="AB344" s="839">
        <f>'Calibración-BAU_Agricultura '!AH18*Costos_Agricultura!$B360</f>
        <v>5579.3240953648201</v>
      </c>
      <c r="AC344" s="839">
        <f>'Calibración-BAU_Agricultura '!AI18*Costos_Agricultura!$B360</f>
        <v>5637.259855245683</v>
      </c>
      <c r="AD344" s="839">
        <f>'Calibración-BAU_Agricultura '!AJ18*Costos_Agricultura!$B360</f>
        <v>5720.4312247812941</v>
      </c>
      <c r="AE344" s="839">
        <f>'Calibración-BAU_Agricultura '!AK18*Costos_Agricultura!$B360</f>
        <v>5797.5012839884184</v>
      </c>
      <c r="AF344" s="839">
        <f>'Calibración-BAU_Agricultura '!AL18*Costos_Agricultura!$B360</f>
        <v>5870.3399749558694</v>
      </c>
      <c r="AG344" s="839">
        <f>'Calibración-BAU_Agricultura '!AM18*Costos_Agricultura!$B360</f>
        <v>5940.7337739912382</v>
      </c>
      <c r="AH344" s="839">
        <f>'Calibración-BAU_Agricultura '!AN18*Costos_Agricultura!$B360</f>
        <v>6001.6761713638716</v>
      </c>
      <c r="AI344" s="839">
        <f>'Calibración-BAU_Agricultura '!AO18*Costos_Agricultura!$B360</f>
        <v>6069.6572097864328</v>
      </c>
      <c r="AJ344" s="839">
        <f>'Calibración-BAU_Agricultura '!AP18*Costos_Agricultura!$B360</f>
        <v>6132.1746035498727</v>
      </c>
      <c r="AK344" s="839">
        <f>'Calibración-BAU_Agricultura '!AQ18*Costos_Agricultura!$B360</f>
        <v>6204.1367991176649</v>
      </c>
      <c r="AL344" s="839">
        <f>'Calibración-BAU_Agricultura '!AR18*Costos_Agricultura!$B360</f>
        <v>6266.9681752901997</v>
      </c>
      <c r="AM344" s="839">
        <f>'Calibración-BAU_Agricultura '!AS18*Costos_Agricultura!$B360</f>
        <v>6327.6741596390966</v>
      </c>
      <c r="AN344" s="839">
        <f>'Calibración-BAU_Agricultura '!AT18*Costos_Agricultura!$B360</f>
        <v>6388.3254398595673</v>
      </c>
      <c r="AO344" s="839">
        <f>'Calibración-BAU_Agricultura '!AU18*Costos_Agricultura!$B360</f>
        <v>6448.1453927405801</v>
      </c>
      <c r="AP344" s="675"/>
    </row>
    <row r="345" spans="1:42" ht="14.25" hidden="1" customHeight="1" x14ac:dyDescent="0.3">
      <c r="A345" s="1215"/>
      <c r="B345" s="644"/>
      <c r="C345" s="678"/>
      <c r="D345" s="676" t="s">
        <v>953</v>
      </c>
      <c r="E345" s="676"/>
      <c r="F345" s="676"/>
      <c r="G345" s="676"/>
      <c r="H345" s="676"/>
      <c r="I345" s="837">
        <v>3117</v>
      </c>
      <c r="J345" s="685">
        <v>4006</v>
      </c>
      <c r="K345" s="685">
        <v>1980</v>
      </c>
      <c r="L345" s="839">
        <f>'Calibración-BAU_Agricultura '!R19*Costos_Agricultura!$B361</f>
        <v>2854.8034249746211</v>
      </c>
      <c r="M345" s="839">
        <f>'Calibración-BAU_Agricultura '!S19*Costos_Agricultura!$B361</f>
        <v>2955.8878744408207</v>
      </c>
      <c r="N345" s="839">
        <f>'Calibración-BAU_Agricultura '!T19*Costos_Agricultura!$B361</f>
        <v>2941.2458126101492</v>
      </c>
      <c r="O345" s="839">
        <f>'Calibración-BAU_Agricultura '!U19*Costos_Agricultura!$B361</f>
        <v>3120.4699624870741</v>
      </c>
      <c r="P345" s="839">
        <f>'Calibración-BAU_Agricultura '!V19*Costos_Agricultura!$B361</f>
        <v>3125.8570645519676</v>
      </c>
      <c r="Q345" s="839">
        <f>'Calibración-BAU_Agricultura '!W19*Costos_Agricultura!$B361</f>
        <v>3313.46688713085</v>
      </c>
      <c r="R345" s="839">
        <f>'Calibración-BAU_Agricultura '!X19*Costos_Agricultura!$B361</f>
        <v>3395.8521875241722</v>
      </c>
      <c r="S345" s="839">
        <f>'Calibración-BAU_Agricultura '!Y19*Costos_Agricultura!$B361</f>
        <v>3481.952935696776</v>
      </c>
      <c r="T345" s="839">
        <f>'Calibración-BAU_Agricultura '!Z19*Costos_Agricultura!$B361</f>
        <v>3558.6218770634182</v>
      </c>
      <c r="U345" s="839">
        <f>'Calibración-BAU_Agricultura '!AA19*Costos_Agricultura!$B361</f>
        <v>3648.2688276133067</v>
      </c>
      <c r="V345" s="839">
        <f>'Calibración-BAU_Agricultura '!AB19*Costos_Agricultura!$B361</f>
        <v>3602.9940422544009</v>
      </c>
      <c r="W345" s="839">
        <f>'Calibración-BAU_Agricultura '!AC19*Costos_Agricultura!$B361</f>
        <v>3670.0223207812969</v>
      </c>
      <c r="X345" s="839">
        <f>'Calibración-BAU_Agricultura '!AD19*Costos_Agricultura!$B361</f>
        <v>3751.0663129504151</v>
      </c>
      <c r="Y345" s="839">
        <f>'Calibración-BAU_Agricultura '!AE19*Costos_Agricultura!$B361</f>
        <v>3810.2336371752763</v>
      </c>
      <c r="Z345" s="839">
        <f>'Calibración-BAU_Agricultura '!AF19*Costos_Agricultura!$B361</f>
        <v>3866.8285446921404</v>
      </c>
      <c r="AA345" s="839">
        <f>'Calibración-BAU_Agricultura '!AG19*Costos_Agricultura!$B361</f>
        <v>3921.5154413790979</v>
      </c>
      <c r="AB345" s="839">
        <f>'Calibración-BAU_Agricultura '!AH19*Costos_Agricultura!$B361</f>
        <v>3968.7512424238639</v>
      </c>
      <c r="AC345" s="839">
        <f>'Calibración-BAU_Agricultura '!AI19*Costos_Agricultura!$B361</f>
        <v>4009.9627969200369</v>
      </c>
      <c r="AD345" s="839">
        <f>'Calibración-BAU_Agricultura '!AJ19*Costos_Agricultura!$B361</f>
        <v>4069.1252457286273</v>
      </c>
      <c r="AE345" s="839">
        <f>'Calibración-BAU_Agricultura '!AK19*Costos_Agricultura!$B361</f>
        <v>4123.947637832729</v>
      </c>
      <c r="AF345" s="839">
        <f>'Calibración-BAU_Agricultura '!AL19*Costos_Agricultura!$B361</f>
        <v>4175.7601227023133</v>
      </c>
      <c r="AG345" s="839">
        <f>'Calibración-BAU_Agricultura '!AM19*Costos_Agricultura!$B361</f>
        <v>4225.8334779341158</v>
      </c>
      <c r="AH345" s="839">
        <f>'Calibración-BAU_Agricultura '!AN19*Costos_Agricultura!$B361</f>
        <v>4269.1837496076805</v>
      </c>
      <c r="AI345" s="839">
        <f>'Calibración-BAU_Agricultura '!AO19*Costos_Agricultura!$B361</f>
        <v>4317.5408312342788</v>
      </c>
      <c r="AJ345" s="839">
        <f>'Calibración-BAU_Agricultura '!AP19*Costos_Agricultura!$B361</f>
        <v>4362.0114480923103</v>
      </c>
      <c r="AK345" s="839">
        <f>'Calibración-BAU_Agricultura '!AQ19*Costos_Agricultura!$B361</f>
        <v>4413.2004538187375</v>
      </c>
      <c r="AL345" s="839">
        <f>'Calibración-BAU_Agricultura '!AR19*Costos_Agricultura!$B361</f>
        <v>4457.8944163822534</v>
      </c>
      <c r="AM345" s="839">
        <f>'Calibración-BAU_Agricultura '!AS19*Costos_Agricultura!$B361</f>
        <v>4501.0765199290618</v>
      </c>
      <c r="AN345" s="839">
        <f>'Calibración-BAU_Agricultura '!AT19*Costos_Agricultura!$B361</f>
        <v>4544.2197106839358</v>
      </c>
      <c r="AO345" s="839">
        <f>'Calibración-BAU_Agricultura '!AU19*Costos_Agricultura!$B361</f>
        <v>4586.7715517780025</v>
      </c>
      <c r="AP345" s="675"/>
    </row>
    <row r="346" spans="1:42" ht="13.5" hidden="1" customHeight="1" x14ac:dyDescent="0.3">
      <c r="A346" s="1215"/>
      <c r="B346" s="644"/>
      <c r="C346" s="678"/>
      <c r="D346" s="676" t="s">
        <v>954</v>
      </c>
      <c r="E346" s="676"/>
      <c r="F346" s="676"/>
      <c r="G346" s="676"/>
      <c r="H346" s="676"/>
      <c r="I346" s="837">
        <v>3813</v>
      </c>
      <c r="J346" s="685">
        <v>6346</v>
      </c>
      <c r="K346" s="685">
        <v>1311</v>
      </c>
      <c r="L346" s="839">
        <f>'Calibración-BAU_Agricultura '!R20*Costos_Agricultura!$B362</f>
        <v>2637.072567785066</v>
      </c>
      <c r="M346" s="839">
        <f>'Calibración-BAU_Agricultura '!S20*Costos_Agricultura!$B362</f>
        <v>3062.6877784962235</v>
      </c>
      <c r="N346" s="839">
        <f>'Calibración-BAU_Agricultura '!T20*Costos_Agricultura!$B362</f>
        <v>3047.5166807666565</v>
      </c>
      <c r="O346" s="839">
        <f>'Calibración-BAU_Agricultura '!U20*Costos_Agricultura!$B362</f>
        <v>3233.2164220138689</v>
      </c>
      <c r="P346" s="839">
        <f>'Calibración-BAU_Agricultura '!V20*Costos_Agricultura!$B362</f>
        <v>3238.7981667743265</v>
      </c>
      <c r="Q346" s="839">
        <f>'Calibración-BAU_Agricultura '!W20*Costos_Agricultura!$B362</f>
        <v>3433.186565504398</v>
      </c>
      <c r="R346" s="839">
        <f>'Calibración-BAU_Agricultura '!X20*Costos_Agricultura!$B362</f>
        <v>3518.5485492332637</v>
      </c>
      <c r="S346" s="839">
        <f>'Calibración-BAU_Agricultura '!Y20*Costos_Agricultura!$B362</f>
        <v>3607.7602244892128</v>
      </c>
      <c r="T346" s="839">
        <f>'Calibración-BAU_Agricultura '!Z20*Costos_Agricultura!$B362</f>
        <v>3687.1993100324289</v>
      </c>
      <c r="U346" s="839">
        <f>'Calibración-BAU_Agricultura '!AA20*Costos_Agricultura!$B362</f>
        <v>3780.0853163666638</v>
      </c>
      <c r="V346" s="839">
        <f>'Calibración-BAU_Agricultura '!AB20*Costos_Agricultura!$B362</f>
        <v>3733.1746967211225</v>
      </c>
      <c r="W346" s="839">
        <f>'Calibración-BAU_Agricultura '!AC20*Costos_Agricultura!$B362</f>
        <v>3802.6247902896416</v>
      </c>
      <c r="X346" s="839">
        <f>'Calibración-BAU_Agricultura '!AD20*Costos_Agricultura!$B362</f>
        <v>3886.5970026604696</v>
      </c>
      <c r="Y346" s="839">
        <f>'Calibración-BAU_Agricultura '!AE20*Costos_Agricultura!$B362</f>
        <v>3947.9021158742398</v>
      </c>
      <c r="Z346" s="839">
        <f>'Calibración-BAU_Agricultura '!AF20*Costos_Agricultura!$B362</f>
        <v>4006.5418677659841</v>
      </c>
      <c r="AA346" s="839">
        <f>'Calibración-BAU_Agricultura '!AG20*Costos_Agricultura!$B362</f>
        <v>4063.2046700242445</v>
      </c>
      <c r="AB346" s="839">
        <f>'Calibración-BAU_Agricultura '!AH20*Costos_Agricultura!$B362</f>
        <v>4112.1471592905709</v>
      </c>
      <c r="AC346" s="839">
        <f>'Calibración-BAU_Agricultura '!AI20*Costos_Agricultura!$B362</f>
        <v>4154.8477384903617</v>
      </c>
      <c r="AD346" s="839">
        <f>'Calibración-BAU_Agricultura '!AJ20*Costos_Agricultura!$B362</f>
        <v>4216.1478001330088</v>
      </c>
      <c r="AE346" s="839">
        <f>'Calibración-BAU_Agricultura '!AK20*Costos_Agricultura!$B362</f>
        <v>4272.9509934263015</v>
      </c>
      <c r="AF346" s="839">
        <f>'Calibración-BAU_Agricultura '!AL20*Costos_Agricultura!$B362</f>
        <v>4326.6355277943776</v>
      </c>
      <c r="AG346" s="839">
        <f>'Calibración-BAU_Agricultura '!AM20*Costos_Agricultura!$B362</f>
        <v>4378.5180956085414</v>
      </c>
      <c r="AH346" s="839">
        <f>'Calibración-BAU_Agricultura '!AN20*Costos_Agricultura!$B362</f>
        <v>4423.4346664964805</v>
      </c>
      <c r="AI346" s="839">
        <f>'Calibración-BAU_Agricultura '!AO20*Costos_Agricultura!$B362</f>
        <v>4473.5389496061844</v>
      </c>
      <c r="AJ346" s="839">
        <f>'Calibración-BAU_Agricultura '!AP20*Costos_Agricultura!$B362</f>
        <v>4519.6163451430657</v>
      </c>
      <c r="AK346" s="839">
        <f>'Calibración-BAU_Agricultura '!AQ20*Costos_Agricultura!$B362</f>
        <v>4572.6548732913498</v>
      </c>
      <c r="AL346" s="839">
        <f>'Calibración-BAU_Agricultura '!AR20*Costos_Agricultura!$B362</f>
        <v>4618.9636842917462</v>
      </c>
      <c r="AM346" s="839">
        <f>'Calibración-BAU_Agricultura '!AS20*Costos_Agricultura!$B362</f>
        <v>4663.7060109294198</v>
      </c>
      <c r="AN346" s="839">
        <f>'Calibración-BAU_Agricultura '!AT20*Costos_Agricultura!$B362</f>
        <v>4708.4080188076041</v>
      </c>
      <c r="AO346" s="839">
        <f>'Calibración-BAU_Agricultura '!AU20*Costos_Agricultura!$B362</f>
        <v>4752.4973108264912</v>
      </c>
      <c r="AP346" s="675"/>
    </row>
    <row r="347" spans="1:42" ht="13.5" hidden="1" customHeight="1" x14ac:dyDescent="0.3">
      <c r="A347" s="1215"/>
      <c r="B347" s="644"/>
      <c r="C347" s="678"/>
      <c r="D347" s="676" t="s">
        <v>955</v>
      </c>
      <c r="E347" s="676"/>
      <c r="F347" s="676"/>
      <c r="G347" s="676"/>
      <c r="H347" s="676"/>
      <c r="I347" s="676"/>
      <c r="J347" s="685"/>
      <c r="K347" s="685"/>
      <c r="L347" s="839">
        <f>'Calibración-BAU_Agricultura '!R21*Costos_Agricultura!$B363</f>
        <v>0</v>
      </c>
      <c r="M347" s="839">
        <f>'Calibración-BAU_Agricultura '!S21*Costos_Agricultura!$B363</f>
        <v>0</v>
      </c>
      <c r="N347" s="839">
        <f>'Calibración-BAU_Agricultura '!T21*Costos_Agricultura!$B363</f>
        <v>0</v>
      </c>
      <c r="O347" s="839">
        <f>'Calibración-BAU_Agricultura '!U21*Costos_Agricultura!$B363</f>
        <v>0</v>
      </c>
      <c r="P347" s="839">
        <f>'Calibración-BAU_Agricultura '!V21*Costos_Agricultura!$B363</f>
        <v>0</v>
      </c>
      <c r="Q347" s="839">
        <f>'Calibración-BAU_Agricultura '!W21*Costos_Agricultura!$B363</f>
        <v>0</v>
      </c>
      <c r="R347" s="839">
        <f>'Calibración-BAU_Agricultura '!X21*Costos_Agricultura!$B363</f>
        <v>0</v>
      </c>
      <c r="S347" s="839">
        <f>'Calibración-BAU_Agricultura '!Y21*Costos_Agricultura!$B363</f>
        <v>0</v>
      </c>
      <c r="T347" s="839">
        <f>'Calibración-BAU_Agricultura '!Z21*Costos_Agricultura!$B363</f>
        <v>0</v>
      </c>
      <c r="U347" s="839">
        <f>'Calibración-BAU_Agricultura '!AA21*Costos_Agricultura!$B363</f>
        <v>0</v>
      </c>
      <c r="V347" s="839">
        <f>'Calibración-BAU_Agricultura '!AB21*Costos_Agricultura!$B363</f>
        <v>0</v>
      </c>
      <c r="W347" s="839">
        <f>'Calibración-BAU_Agricultura '!AC21*Costos_Agricultura!$B363</f>
        <v>0</v>
      </c>
      <c r="X347" s="839">
        <f>'Calibración-BAU_Agricultura '!AD21*Costos_Agricultura!$B363</f>
        <v>0</v>
      </c>
      <c r="Y347" s="839">
        <f>'Calibración-BAU_Agricultura '!AE21*Costos_Agricultura!$B363</f>
        <v>0</v>
      </c>
      <c r="Z347" s="839">
        <f>'Calibración-BAU_Agricultura '!AF21*Costos_Agricultura!$B363</f>
        <v>0</v>
      </c>
      <c r="AA347" s="839">
        <f>'Calibración-BAU_Agricultura '!AG21*Costos_Agricultura!$B363</f>
        <v>0</v>
      </c>
      <c r="AB347" s="839">
        <f>'Calibración-BAU_Agricultura '!AH21*Costos_Agricultura!$B363</f>
        <v>0</v>
      </c>
      <c r="AC347" s="839">
        <f>'Calibración-BAU_Agricultura '!AI21*Costos_Agricultura!$B363</f>
        <v>0</v>
      </c>
      <c r="AD347" s="839">
        <f>'Calibración-BAU_Agricultura '!AJ21*Costos_Agricultura!$B363</f>
        <v>0</v>
      </c>
      <c r="AE347" s="839">
        <f>'Calibración-BAU_Agricultura '!AK21*Costos_Agricultura!$B363</f>
        <v>0</v>
      </c>
      <c r="AF347" s="839">
        <f>'Calibración-BAU_Agricultura '!AL21*Costos_Agricultura!$B363</f>
        <v>0</v>
      </c>
      <c r="AG347" s="839">
        <f>'Calibración-BAU_Agricultura '!AM21*Costos_Agricultura!$B363</f>
        <v>0</v>
      </c>
      <c r="AH347" s="839">
        <f>'Calibración-BAU_Agricultura '!AN21*Costos_Agricultura!$B363</f>
        <v>0</v>
      </c>
      <c r="AI347" s="839">
        <f>'Calibración-BAU_Agricultura '!AO21*Costos_Agricultura!$B363</f>
        <v>0</v>
      </c>
      <c r="AJ347" s="839">
        <f>'Calibración-BAU_Agricultura '!AP21*Costos_Agricultura!$B363</f>
        <v>0</v>
      </c>
      <c r="AK347" s="839">
        <f>'Calibración-BAU_Agricultura '!AQ21*Costos_Agricultura!$B363</f>
        <v>0</v>
      </c>
      <c r="AL347" s="839">
        <f>'Calibración-BAU_Agricultura '!AR21*Costos_Agricultura!$B363</f>
        <v>0</v>
      </c>
      <c r="AM347" s="839">
        <f>'Calibración-BAU_Agricultura '!AS21*Costos_Agricultura!$B363</f>
        <v>0</v>
      </c>
      <c r="AN347" s="839">
        <f>'Calibración-BAU_Agricultura '!AT21*Costos_Agricultura!$B363</f>
        <v>0</v>
      </c>
      <c r="AO347" s="839">
        <f>'Calibración-BAU_Agricultura '!AU21*Costos_Agricultura!$B363</f>
        <v>0</v>
      </c>
      <c r="AP347" s="675"/>
    </row>
    <row r="348" spans="1:42" ht="14.25" hidden="1" customHeight="1" x14ac:dyDescent="0.3">
      <c r="A348" s="973"/>
      <c r="B348" s="644" t="s">
        <v>956</v>
      </c>
      <c r="C348" s="679"/>
      <c r="D348" s="672"/>
      <c r="E348" s="672"/>
      <c r="F348" s="672"/>
      <c r="G348" s="676"/>
      <c r="H348" s="676"/>
      <c r="I348" s="676"/>
      <c r="J348" s="685"/>
      <c r="K348" s="685"/>
      <c r="L348" s="685"/>
      <c r="M348" s="685"/>
      <c r="N348" s="685"/>
      <c r="O348" s="685"/>
      <c r="P348" s="685"/>
      <c r="Q348" s="685"/>
      <c r="R348" s="685"/>
      <c r="S348" s="685"/>
      <c r="T348" s="685"/>
      <c r="U348" s="685"/>
      <c r="V348" s="685"/>
      <c r="W348" s="685"/>
      <c r="X348" s="685"/>
      <c r="Y348" s="685"/>
      <c r="Z348" s="685"/>
      <c r="AA348" s="685"/>
      <c r="AB348" s="685"/>
      <c r="AC348" s="685"/>
      <c r="AD348" s="685"/>
      <c r="AE348" s="685"/>
      <c r="AF348" s="685"/>
      <c r="AG348" s="685"/>
      <c r="AH348" s="685"/>
      <c r="AI348" s="685"/>
      <c r="AJ348" s="685"/>
      <c r="AK348" s="685"/>
      <c r="AL348" s="685"/>
      <c r="AM348" s="685"/>
      <c r="AN348" s="685"/>
      <c r="AO348" s="685"/>
      <c r="AP348" s="675"/>
    </row>
    <row r="349" spans="1:42" ht="14" hidden="1" customHeight="1" x14ac:dyDescent="0.3">
      <c r="A349" s="1215" t="s">
        <v>961</v>
      </c>
      <c r="B349" s="838">
        <f>AVERAGE(I349:K349)</f>
        <v>0.76132969025543717</v>
      </c>
      <c r="C349" s="679"/>
      <c r="D349" s="676" t="s">
        <v>942</v>
      </c>
      <c r="E349" s="672"/>
      <c r="F349" s="672"/>
      <c r="G349" s="676"/>
      <c r="H349" s="676"/>
      <c r="I349" s="676">
        <f>I333/('Calibración-BAU_Agricultura '!O296*1000000)</f>
        <v>0.70747373431937188</v>
      </c>
      <c r="J349" s="676">
        <f>J333/('Calibración-BAU_Agricultura '!P296*1000000)</f>
        <v>0.77295225929000078</v>
      </c>
      <c r="K349" s="676">
        <f>K333/('Calibración-BAU_Agricultura '!Q296*1000000)</f>
        <v>0.80356307715693887</v>
      </c>
      <c r="L349" s="676"/>
      <c r="M349" s="685"/>
      <c r="N349" s="685"/>
      <c r="O349" s="685"/>
      <c r="P349" s="685"/>
      <c r="Q349" s="685"/>
      <c r="R349" s="685"/>
      <c r="S349" s="685"/>
      <c r="T349" s="685"/>
      <c r="U349" s="685"/>
      <c r="V349" s="685"/>
      <c r="W349" s="685"/>
      <c r="X349" s="685"/>
      <c r="Y349" s="685"/>
      <c r="Z349" s="685"/>
      <c r="AA349" s="685"/>
      <c r="AB349" s="685"/>
      <c r="AC349" s="685"/>
      <c r="AD349" s="685"/>
      <c r="AE349" s="685"/>
      <c r="AF349" s="685"/>
      <c r="AG349" s="685"/>
      <c r="AH349" s="685"/>
      <c r="AI349" s="685"/>
      <c r="AJ349" s="685"/>
      <c r="AK349" s="685"/>
      <c r="AL349" s="685"/>
      <c r="AM349" s="685"/>
      <c r="AN349" s="685"/>
      <c r="AO349" s="685"/>
      <c r="AP349" s="675"/>
    </row>
    <row r="350" spans="1:42" ht="14.25" hidden="1" customHeight="1" x14ac:dyDescent="0.3">
      <c r="A350" s="1215"/>
      <c r="B350" s="838">
        <f t="shared" ref="B350:B363" si="28">AVERAGE(I350:K350)</f>
        <v>8.6160194118758415E-2</v>
      </c>
      <c r="C350" s="678"/>
      <c r="D350" s="676" t="s">
        <v>943</v>
      </c>
      <c r="E350" s="676"/>
      <c r="F350" s="676"/>
      <c r="G350" s="676"/>
      <c r="H350" s="676"/>
      <c r="I350" s="676">
        <f>I334/'Calibración-BAU_Agricultura '!O8</f>
        <v>5.8904125361242558E-2</v>
      </c>
      <c r="J350" s="676">
        <f>J334/'Calibración-BAU_Agricultura '!P8</f>
        <v>0.11485389823564326</v>
      </c>
      <c r="K350" s="676">
        <f>K334/'Calibración-BAU_Agricultura '!Q8</f>
        <v>8.4722558759389388E-2</v>
      </c>
      <c r="L350" s="676"/>
      <c r="M350" s="685"/>
      <c r="N350" s="685"/>
      <c r="O350" s="685"/>
      <c r="P350" s="685"/>
      <c r="Q350" s="685"/>
      <c r="R350" s="685"/>
      <c r="S350" s="685"/>
      <c r="T350" s="685"/>
      <c r="U350" s="685"/>
      <c r="V350" s="685"/>
      <c r="W350" s="685"/>
      <c r="X350" s="685"/>
      <c r="Y350" s="685"/>
      <c r="Z350" s="685"/>
      <c r="AA350" s="685"/>
      <c r="AB350" s="685"/>
      <c r="AC350" s="685"/>
      <c r="AD350" s="685"/>
      <c r="AE350" s="685"/>
      <c r="AF350" s="685"/>
      <c r="AG350" s="685"/>
      <c r="AH350" s="685"/>
      <c r="AI350" s="685"/>
      <c r="AJ350" s="685"/>
      <c r="AK350" s="685"/>
      <c r="AL350" s="685"/>
      <c r="AM350" s="685"/>
      <c r="AN350" s="685"/>
      <c r="AO350" s="685"/>
      <c r="AP350" s="675"/>
    </row>
    <row r="351" spans="1:42" ht="14.25" hidden="1" customHeight="1" x14ac:dyDescent="0.3">
      <c r="A351" s="1215"/>
      <c r="B351" s="838">
        <f t="shared" si="28"/>
        <v>7.2589374491639408E-2</v>
      </c>
      <c r="C351" s="678"/>
      <c r="D351" s="676" t="s">
        <v>944</v>
      </c>
      <c r="E351" s="687"/>
      <c r="F351" s="687"/>
      <c r="G351" s="687"/>
      <c r="H351" s="687"/>
      <c r="I351" s="676">
        <f>I335/'Calibración-BAU_Agricultura '!O9</f>
        <v>7.5210815124816838E-2</v>
      </c>
      <c r="J351" s="676">
        <f>J335/'Calibración-BAU_Agricultura '!P9</f>
        <v>6.819902249485886E-2</v>
      </c>
      <c r="K351" s="676">
        <f>K335/'Calibración-BAU_Agricultura '!Q9</f>
        <v>7.435828585524254E-2</v>
      </c>
      <c r="L351" s="676"/>
      <c r="M351" s="685"/>
      <c r="N351" s="685"/>
      <c r="O351" s="685"/>
      <c r="P351" s="685"/>
      <c r="Q351" s="685"/>
      <c r="R351" s="685"/>
      <c r="S351" s="685"/>
      <c r="T351" s="685"/>
      <c r="U351" s="685"/>
      <c r="V351" s="685"/>
      <c r="W351" s="685"/>
      <c r="X351" s="685"/>
      <c r="Y351" s="685"/>
      <c r="Z351" s="685"/>
      <c r="AA351" s="685"/>
      <c r="AB351" s="685"/>
      <c r="AC351" s="685"/>
      <c r="AD351" s="685"/>
      <c r="AE351" s="685"/>
      <c r="AF351" s="685"/>
      <c r="AG351" s="685"/>
      <c r="AH351" s="685"/>
      <c r="AI351" s="685"/>
      <c r="AJ351" s="685"/>
      <c r="AK351" s="685"/>
      <c r="AL351" s="685"/>
      <c r="AM351" s="685"/>
      <c r="AN351" s="685"/>
      <c r="AO351" s="685"/>
      <c r="AP351" s="675"/>
    </row>
    <row r="352" spans="1:42" ht="14.25" hidden="1" customHeight="1" x14ac:dyDescent="0.3">
      <c r="A352" s="1215"/>
      <c r="B352" s="838">
        <f t="shared" si="28"/>
        <v>2.2427210401198102E-2</v>
      </c>
      <c r="C352" s="678"/>
      <c r="D352" s="676" t="s">
        <v>945</v>
      </c>
      <c r="E352" s="687"/>
      <c r="F352" s="687"/>
      <c r="G352" s="687"/>
      <c r="H352" s="687"/>
      <c r="I352" s="676">
        <f>I336/'Calibración-BAU_Agricultura '!O10</f>
        <v>1.119165756723395E-2</v>
      </c>
      <c r="J352" s="676">
        <f>J336/'Calibración-BAU_Agricultura '!P10</f>
        <v>1.0055866808541793E-2</v>
      </c>
      <c r="K352" s="676">
        <f>K336/'Calibración-BAU_Agricultura '!Q10</f>
        <v>4.6034106827818562E-2</v>
      </c>
      <c r="L352" s="676"/>
      <c r="M352" s="685"/>
      <c r="N352" s="685"/>
      <c r="O352" s="685"/>
      <c r="P352" s="685"/>
      <c r="Q352" s="685"/>
      <c r="R352" s="685"/>
      <c r="S352" s="685"/>
      <c r="T352" s="685"/>
      <c r="U352" s="685"/>
      <c r="V352" s="685"/>
      <c r="W352" s="685"/>
      <c r="X352" s="685"/>
      <c r="Y352" s="685"/>
      <c r="Z352" s="685"/>
      <c r="AA352" s="685"/>
      <c r="AB352" s="685"/>
      <c r="AC352" s="685"/>
      <c r="AD352" s="685"/>
      <c r="AE352" s="685"/>
      <c r="AF352" s="685"/>
      <c r="AG352" s="685"/>
      <c r="AH352" s="685"/>
      <c r="AI352" s="685"/>
      <c r="AJ352" s="685"/>
      <c r="AK352" s="685"/>
      <c r="AL352" s="685"/>
      <c r="AM352" s="685"/>
      <c r="AN352" s="685"/>
      <c r="AO352" s="685"/>
      <c r="AP352" s="675"/>
    </row>
    <row r="353" spans="1:42" ht="14.25" hidden="1" customHeight="1" x14ac:dyDescent="0.3">
      <c r="A353" s="1215"/>
      <c r="B353" s="838">
        <f t="shared" si="28"/>
        <v>0.57534618583729003</v>
      </c>
      <c r="C353" s="678"/>
      <c r="D353" s="676" t="s">
        <v>946</v>
      </c>
      <c r="E353" s="687"/>
      <c r="F353" s="687"/>
      <c r="G353" s="687"/>
      <c r="H353" s="687"/>
      <c r="I353" s="676">
        <f>I337/'Calibración-BAU_Agricultura '!O11</f>
        <v>0.57703866055087327</v>
      </c>
      <c r="J353" s="676">
        <f>J337/'Calibración-BAU_Agricultura '!P11</f>
        <v>0.65860834327902518</v>
      </c>
      <c r="K353" s="676">
        <f>K337/'Calibración-BAU_Agricultura '!Q11</f>
        <v>0.49039155368197185</v>
      </c>
      <c r="L353" s="676"/>
      <c r="M353" s="685"/>
      <c r="N353" s="685"/>
      <c r="O353" s="685"/>
      <c r="P353" s="685"/>
      <c r="Q353" s="685"/>
      <c r="R353" s="685"/>
      <c r="S353" s="685"/>
      <c r="T353" s="685"/>
      <c r="U353" s="685"/>
      <c r="V353" s="685"/>
      <c r="W353" s="685"/>
      <c r="X353" s="685"/>
      <c r="Y353" s="685"/>
      <c r="Z353" s="685"/>
      <c r="AA353" s="685"/>
      <c r="AB353" s="685"/>
      <c r="AC353" s="685"/>
      <c r="AD353" s="685"/>
      <c r="AE353" s="685"/>
      <c r="AF353" s="685"/>
      <c r="AG353" s="685"/>
      <c r="AH353" s="685"/>
      <c r="AI353" s="685"/>
      <c r="AJ353" s="685"/>
      <c r="AK353" s="685"/>
      <c r="AL353" s="685"/>
      <c r="AM353" s="685"/>
      <c r="AN353" s="685"/>
      <c r="AO353" s="685"/>
      <c r="AP353" s="675"/>
    </row>
    <row r="354" spans="1:42" ht="14.25" hidden="1" customHeight="1" x14ac:dyDescent="0.3">
      <c r="A354" s="1215"/>
      <c r="B354" s="838">
        <f t="shared" si="28"/>
        <v>6.8398264920578253E-2</v>
      </c>
      <c r="C354" s="678"/>
      <c r="D354" s="676" t="s">
        <v>659</v>
      </c>
      <c r="E354" s="687"/>
      <c r="F354" s="687"/>
      <c r="G354" s="687"/>
      <c r="H354" s="687"/>
      <c r="I354" s="676">
        <f>I338/'Calibración-BAU_Agricultura '!O12</f>
        <v>6.4749635465077227E-2</v>
      </c>
      <c r="J354" s="676">
        <f>J338/'Calibración-BAU_Agricultura '!P12</f>
        <v>7.0120589548905765E-2</v>
      </c>
      <c r="K354" s="676">
        <f>K338/'Calibración-BAU_Agricultura '!Q12</f>
        <v>7.0324569747751753E-2</v>
      </c>
      <c r="L354" s="676"/>
      <c r="M354" s="685"/>
      <c r="N354" s="685"/>
      <c r="O354" s="685"/>
      <c r="P354" s="685"/>
      <c r="Q354" s="685"/>
      <c r="R354" s="685"/>
      <c r="S354" s="685"/>
      <c r="T354" s="685"/>
      <c r="U354" s="685"/>
      <c r="V354" s="685"/>
      <c r="W354" s="685"/>
      <c r="X354" s="685"/>
      <c r="Y354" s="685"/>
      <c r="Z354" s="685"/>
      <c r="AA354" s="685"/>
      <c r="AB354" s="685"/>
      <c r="AC354" s="685"/>
      <c r="AD354" s="685"/>
      <c r="AE354" s="685"/>
      <c r="AF354" s="685"/>
      <c r="AG354" s="685"/>
      <c r="AH354" s="685"/>
      <c r="AI354" s="685"/>
      <c r="AJ354" s="685"/>
      <c r="AK354" s="685"/>
      <c r="AL354" s="685"/>
      <c r="AM354" s="685"/>
      <c r="AN354" s="685"/>
      <c r="AO354" s="685"/>
      <c r="AP354" s="675"/>
    </row>
    <row r="355" spans="1:42" ht="14.25" hidden="1" customHeight="1" x14ac:dyDescent="0.3">
      <c r="A355" s="1215"/>
      <c r="B355" s="838">
        <f t="shared" si="28"/>
        <v>1.5441528744733696E-2</v>
      </c>
      <c r="C355" s="678"/>
      <c r="D355" s="676" t="s">
        <v>947</v>
      </c>
      <c r="E355" s="676"/>
      <c r="F355" s="676"/>
      <c r="G355" s="676"/>
      <c r="H355" s="676"/>
      <c r="I355" s="676">
        <f>I339/'Calibración-BAU_Agricultura '!O13</f>
        <v>1.1067213953964846E-2</v>
      </c>
      <c r="J355" s="676">
        <f>J339/'Calibración-BAU_Agricultura '!P13</f>
        <v>1.8481604647358228E-2</v>
      </c>
      <c r="K355" s="676">
        <f>K339/'Calibración-BAU_Agricultura '!Q13</f>
        <v>1.6775767632878018E-2</v>
      </c>
      <c r="L355" s="676"/>
      <c r="M355" s="685"/>
      <c r="N355" s="685"/>
      <c r="O355" s="685"/>
      <c r="P355" s="685"/>
      <c r="Q355" s="685"/>
      <c r="R355" s="685"/>
      <c r="S355" s="685"/>
      <c r="T355" s="685"/>
      <c r="U355" s="685"/>
      <c r="V355" s="685"/>
      <c r="W355" s="685"/>
      <c r="X355" s="685"/>
      <c r="Y355" s="685"/>
      <c r="Z355" s="685"/>
      <c r="AA355" s="685"/>
      <c r="AB355" s="685"/>
      <c r="AC355" s="685"/>
      <c r="AD355" s="685"/>
      <c r="AE355" s="685"/>
      <c r="AF355" s="685"/>
      <c r="AG355" s="685"/>
      <c r="AH355" s="685"/>
      <c r="AI355" s="685"/>
      <c r="AJ355" s="685"/>
      <c r="AK355" s="685"/>
      <c r="AL355" s="685"/>
      <c r="AM355" s="685"/>
      <c r="AN355" s="685"/>
      <c r="AO355" s="685"/>
      <c r="AP355" s="675"/>
    </row>
    <row r="356" spans="1:42" ht="14.25" hidden="1" customHeight="1" x14ac:dyDescent="0.3">
      <c r="A356" s="1215"/>
      <c r="B356" s="838">
        <f t="shared" si="28"/>
        <v>0.10754275624282779</v>
      </c>
      <c r="C356" s="678"/>
      <c r="D356" s="676" t="s">
        <v>948</v>
      </c>
      <c r="E356" s="687"/>
      <c r="F356" s="687"/>
      <c r="G356" s="687"/>
      <c r="H356" s="687"/>
      <c r="I356" s="676">
        <f>I340/'Calibración-BAU_Agricultura '!O14</f>
        <v>4.4357272059039651E-2</v>
      </c>
      <c r="J356" s="676">
        <f>J340/'Calibración-BAU_Agricultura '!P14</f>
        <v>0.13842786799181708</v>
      </c>
      <c r="K356" s="676">
        <f>K340/'Calibración-BAU_Agricultura '!Q14</f>
        <v>0.13984312867762663</v>
      </c>
      <c r="L356" s="676"/>
      <c r="M356" s="685"/>
      <c r="N356" s="685"/>
      <c r="O356" s="685"/>
      <c r="P356" s="685"/>
      <c r="Q356" s="685"/>
      <c r="R356" s="685"/>
      <c r="S356" s="685"/>
      <c r="T356" s="685"/>
      <c r="U356" s="685"/>
      <c r="V356" s="685"/>
      <c r="W356" s="685"/>
      <c r="X356" s="685"/>
      <c r="Y356" s="685"/>
      <c r="Z356" s="685"/>
      <c r="AA356" s="685"/>
      <c r="AB356" s="685"/>
      <c r="AC356" s="685"/>
      <c r="AD356" s="685"/>
      <c r="AE356" s="685"/>
      <c r="AF356" s="685"/>
      <c r="AG356" s="685"/>
      <c r="AH356" s="685"/>
      <c r="AI356" s="685"/>
      <c r="AJ356" s="685"/>
      <c r="AK356" s="685"/>
      <c r="AL356" s="685"/>
      <c r="AM356" s="685"/>
      <c r="AN356" s="685"/>
      <c r="AO356" s="685"/>
      <c r="AP356" s="675"/>
    </row>
    <row r="357" spans="1:42" ht="14.25" hidden="1" customHeight="1" x14ac:dyDescent="0.3">
      <c r="A357" s="1215"/>
      <c r="B357" s="838">
        <f t="shared" si="28"/>
        <v>0</v>
      </c>
      <c r="C357" s="678"/>
      <c r="D357" s="676" t="s">
        <v>949</v>
      </c>
      <c r="E357" s="687"/>
      <c r="F357" s="687"/>
      <c r="G357" s="687"/>
      <c r="H357" s="687"/>
      <c r="I357" s="676">
        <f>I341/'Calibración-BAU_Agricultura '!O15</f>
        <v>0</v>
      </c>
      <c r="J357" s="676">
        <f>J341/'Calibración-BAU_Agricultura '!P15</f>
        <v>0</v>
      </c>
      <c r="K357" s="676">
        <f>K341/'Calibración-BAU_Agricultura '!Q15</f>
        <v>0</v>
      </c>
      <c r="L357" s="676"/>
      <c r="M357" s="685"/>
      <c r="N357" s="685"/>
      <c r="O357" s="685"/>
      <c r="P357" s="685"/>
      <c r="Q357" s="685"/>
      <c r="R357" s="685"/>
      <c r="S357" s="685"/>
      <c r="T357" s="685"/>
      <c r="U357" s="685"/>
      <c r="V357" s="685"/>
      <c r="W357" s="685"/>
      <c r="X357" s="685"/>
      <c r="Y357" s="685"/>
      <c r="Z357" s="685"/>
      <c r="AA357" s="685"/>
      <c r="AB357" s="685"/>
      <c r="AC357" s="685"/>
      <c r="AD357" s="685"/>
      <c r="AE357" s="685"/>
      <c r="AF357" s="685"/>
      <c r="AG357" s="685"/>
      <c r="AH357" s="685"/>
      <c r="AI357" s="685"/>
      <c r="AJ357" s="685"/>
      <c r="AK357" s="685"/>
      <c r="AL357" s="685"/>
      <c r="AM357" s="685"/>
      <c r="AN357" s="685"/>
      <c r="AO357" s="685"/>
      <c r="AP357" s="675"/>
    </row>
    <row r="358" spans="1:42" ht="14.25" hidden="1" customHeight="1" x14ac:dyDescent="0.3">
      <c r="A358" s="1215"/>
      <c r="B358" s="838">
        <f t="shared" si="28"/>
        <v>0.16003246857139011</v>
      </c>
      <c r="C358" s="678"/>
      <c r="D358" s="676" t="s">
        <v>950</v>
      </c>
      <c r="E358" s="676"/>
      <c r="F358" s="676"/>
      <c r="G358" s="676"/>
      <c r="H358" s="676"/>
      <c r="I358" s="676">
        <f>I342/'Calibración-BAU_Agricultura '!O16</f>
        <v>0.17590604320960604</v>
      </c>
      <c r="J358" s="676">
        <f>J342/'Calibración-BAU_Agricultura '!P16</f>
        <v>0.13999197753710388</v>
      </c>
      <c r="K358" s="676">
        <f>K342/'Calibración-BAU_Agricultura '!Q16</f>
        <v>0.16419938496746048</v>
      </c>
      <c r="L358" s="676"/>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675"/>
    </row>
    <row r="359" spans="1:42" ht="14.25" hidden="1" customHeight="1" x14ac:dyDescent="0.3">
      <c r="A359" s="1215"/>
      <c r="B359" s="838">
        <f t="shared" si="28"/>
        <v>5.842972968412849E-2</v>
      </c>
      <c r="C359" s="678"/>
      <c r="D359" s="676" t="s">
        <v>951</v>
      </c>
      <c r="E359" s="687"/>
      <c r="F359" s="687"/>
      <c r="G359" s="687"/>
      <c r="H359" s="687"/>
      <c r="I359" s="676">
        <f>I343/'Calibración-BAU_Agricultura '!O17</f>
        <v>5.2567783094098881E-2</v>
      </c>
      <c r="J359" s="676">
        <f>J343/'Calibración-BAU_Agricultura '!P17</f>
        <v>6.6856419987349786E-2</v>
      </c>
      <c r="K359" s="676">
        <f>K343/'Calibración-BAU_Agricultura '!Q17</f>
        <v>5.5864985970936809E-2</v>
      </c>
      <c r="L359" s="676"/>
      <c r="M359" s="685"/>
      <c r="N359" s="685"/>
      <c r="O359" s="685"/>
      <c r="P359" s="685"/>
      <c r="Q359" s="685"/>
      <c r="R359" s="685"/>
      <c r="S359" s="685"/>
      <c r="T359" s="685"/>
      <c r="U359" s="685"/>
      <c r="V359" s="685"/>
      <c r="W359" s="685"/>
      <c r="X359" s="685"/>
      <c r="Y359" s="685"/>
      <c r="Z359" s="685"/>
      <c r="AA359" s="685"/>
      <c r="AB359" s="685"/>
      <c r="AC359" s="685"/>
      <c r="AD359" s="685"/>
      <c r="AE359" s="685"/>
      <c r="AF359" s="685"/>
      <c r="AG359" s="685"/>
      <c r="AH359" s="685"/>
      <c r="AI359" s="685"/>
      <c r="AJ359" s="685"/>
      <c r="AK359" s="685"/>
      <c r="AL359" s="685"/>
      <c r="AM359" s="685"/>
      <c r="AN359" s="685"/>
      <c r="AO359" s="685"/>
      <c r="AP359" s="675"/>
    </row>
    <row r="360" spans="1:42" ht="14.25" hidden="1" customHeight="1" x14ac:dyDescent="0.3">
      <c r="A360" s="1215"/>
      <c r="B360" s="838">
        <f t="shared" si="28"/>
        <v>0.11106975474013903</v>
      </c>
      <c r="C360" s="678"/>
      <c r="D360" s="676" t="s">
        <v>952</v>
      </c>
      <c r="E360" s="676"/>
      <c r="F360" s="676"/>
      <c r="G360" s="676"/>
      <c r="H360" s="676"/>
      <c r="I360" s="676">
        <f>I344/'Calibración-BAU_Agricultura '!O18</f>
        <v>0.10174610425866708</v>
      </c>
      <c r="J360" s="676">
        <f>J344/'Calibración-BAU_Agricultura '!P18</f>
        <v>9.804139463814418E-2</v>
      </c>
      <c r="K360" s="676">
        <f>K344/'Calibración-BAU_Agricultura '!Q18</f>
        <v>0.13342176532360581</v>
      </c>
      <c r="L360" s="676"/>
      <c r="M360" s="685"/>
      <c r="N360" s="685"/>
      <c r="O360" s="685"/>
      <c r="P360" s="685"/>
      <c r="Q360" s="685"/>
      <c r="R360" s="685"/>
      <c r="S360" s="685"/>
      <c r="T360" s="685"/>
      <c r="U360" s="685"/>
      <c r="V360" s="685"/>
      <c r="W360" s="685"/>
      <c r="X360" s="685"/>
      <c r="Y360" s="685"/>
      <c r="Z360" s="685"/>
      <c r="AA360" s="685"/>
      <c r="AB360" s="685"/>
      <c r="AC360" s="685"/>
      <c r="AD360" s="685"/>
      <c r="AE360" s="685"/>
      <c r="AF360" s="685"/>
      <c r="AG360" s="685"/>
      <c r="AH360" s="685"/>
      <c r="AI360" s="685"/>
      <c r="AJ360" s="685"/>
      <c r="AK360" s="685"/>
      <c r="AL360" s="685"/>
      <c r="AM360" s="685"/>
      <c r="AN360" s="685"/>
      <c r="AO360" s="685"/>
      <c r="AP360" s="675"/>
    </row>
    <row r="361" spans="1:42" ht="14.25" hidden="1" customHeight="1" x14ac:dyDescent="0.3">
      <c r="A361" s="1215"/>
      <c r="B361" s="838">
        <f t="shared" si="28"/>
        <v>1.6710098891816585E-2</v>
      </c>
      <c r="C361" s="678"/>
      <c r="D361" s="676" t="s">
        <v>953</v>
      </c>
      <c r="E361" s="676"/>
      <c r="F361" s="676"/>
      <c r="G361" s="676"/>
      <c r="H361" s="676"/>
      <c r="I361" s="676">
        <f>I345/'Calibración-BAU_Agricultura '!O19</f>
        <v>1.906375379195616E-2</v>
      </c>
      <c r="J361" s="676">
        <f>J345/'Calibración-BAU_Agricultura '!P19</f>
        <v>2.0468956778106492E-2</v>
      </c>
      <c r="K361" s="676">
        <f>K345/'Calibración-BAU_Agricultura '!Q19</f>
        <v>1.0597586105387106E-2</v>
      </c>
      <c r="L361" s="676"/>
      <c r="M361" s="685"/>
      <c r="N361" s="685"/>
      <c r="O361" s="685"/>
      <c r="P361" s="685"/>
      <c r="Q361" s="685"/>
      <c r="R361" s="685"/>
      <c r="S361" s="685"/>
      <c r="T361" s="685"/>
      <c r="U361" s="685"/>
      <c r="V361" s="685"/>
      <c r="W361" s="685"/>
      <c r="X361" s="685"/>
      <c r="Y361" s="685"/>
      <c r="Z361" s="685"/>
      <c r="AA361" s="685"/>
      <c r="AB361" s="685"/>
      <c r="AC361" s="685"/>
      <c r="AD361" s="685"/>
      <c r="AE361" s="685"/>
      <c r="AF361" s="685"/>
      <c r="AG361" s="685"/>
      <c r="AH361" s="685"/>
      <c r="AI361" s="685"/>
      <c r="AJ361" s="685"/>
      <c r="AK361" s="685"/>
      <c r="AL361" s="685"/>
      <c r="AM361" s="685"/>
      <c r="AN361" s="685"/>
      <c r="AO361" s="685"/>
      <c r="AP361" s="675"/>
    </row>
    <row r="362" spans="1:42" ht="13.5" hidden="1" customHeight="1" x14ac:dyDescent="0.3">
      <c r="A362" s="1215"/>
      <c r="B362" s="838">
        <f t="shared" si="28"/>
        <v>0.19233262109146423</v>
      </c>
      <c r="C362" s="678"/>
      <c r="D362" s="676" t="s">
        <v>954</v>
      </c>
      <c r="E362" s="676"/>
      <c r="F362" s="676"/>
      <c r="G362" s="676"/>
      <c r="H362" s="676"/>
      <c r="I362" s="676">
        <f>I346/'Calibración-BAU_Agricultura '!O20</f>
        <v>0.16639029499039973</v>
      </c>
      <c r="J362" s="676">
        <f>J346/'Calibración-BAU_Agricultura '!P20</f>
        <v>0.33459875566803754</v>
      </c>
      <c r="K362" s="676">
        <f>K346/'Calibración-BAU_Agricultura '!Q20</f>
        <v>7.6008812615955476E-2</v>
      </c>
      <c r="L362" s="676"/>
      <c r="M362" s="685"/>
      <c r="N362" s="685"/>
      <c r="O362" s="685"/>
      <c r="P362" s="685"/>
      <c r="Q362" s="685"/>
      <c r="R362" s="685"/>
      <c r="S362" s="685"/>
      <c r="T362" s="685"/>
      <c r="U362" s="685"/>
      <c r="V362" s="685"/>
      <c r="W362" s="685"/>
      <c r="X362" s="685"/>
      <c r="Y362" s="685"/>
      <c r="Z362" s="685"/>
      <c r="AA362" s="685"/>
      <c r="AB362" s="685"/>
      <c r="AC362" s="685"/>
      <c r="AD362" s="685"/>
      <c r="AE362" s="685"/>
      <c r="AF362" s="685"/>
      <c r="AG362" s="685"/>
      <c r="AH362" s="685"/>
      <c r="AI362" s="685"/>
      <c r="AJ362" s="685"/>
      <c r="AK362" s="685"/>
      <c r="AL362" s="685"/>
      <c r="AM362" s="685"/>
      <c r="AN362" s="685"/>
      <c r="AO362" s="685"/>
      <c r="AP362" s="675"/>
    </row>
    <row r="363" spans="1:42" ht="13.5" hidden="1" customHeight="1" x14ac:dyDescent="0.3">
      <c r="A363" s="1215"/>
      <c r="B363" s="838">
        <f t="shared" si="28"/>
        <v>0</v>
      </c>
      <c r="C363" s="678"/>
      <c r="D363" s="676" t="s">
        <v>955</v>
      </c>
      <c r="E363" s="676"/>
      <c r="F363" s="676"/>
      <c r="G363" s="676"/>
      <c r="H363" s="676"/>
      <c r="I363" s="676">
        <f>I347/'Calibración-BAU_Agricultura '!O21</f>
        <v>0</v>
      </c>
      <c r="J363" s="676">
        <f>J347/'Calibración-BAU_Agricultura '!P21</f>
        <v>0</v>
      </c>
      <c r="K363" s="676">
        <f>K347/'Calibración-BAU_Agricultura '!Q21</f>
        <v>0</v>
      </c>
      <c r="L363" s="676"/>
      <c r="M363" s="685"/>
      <c r="N363" s="685"/>
      <c r="O363" s="685"/>
      <c r="P363" s="685"/>
      <c r="Q363" s="685"/>
      <c r="R363" s="685"/>
      <c r="S363" s="685"/>
      <c r="T363" s="685"/>
      <c r="U363" s="685"/>
      <c r="V363" s="685"/>
      <c r="W363" s="685"/>
      <c r="X363" s="685"/>
      <c r="Y363" s="685"/>
      <c r="Z363" s="685"/>
      <c r="AA363" s="685"/>
      <c r="AB363" s="685"/>
      <c r="AC363" s="685"/>
      <c r="AD363" s="685"/>
      <c r="AE363" s="685"/>
      <c r="AF363" s="685"/>
      <c r="AG363" s="685"/>
      <c r="AH363" s="685"/>
      <c r="AI363" s="685"/>
      <c r="AJ363" s="685"/>
      <c r="AK363" s="685"/>
      <c r="AL363" s="685"/>
      <c r="AM363" s="685"/>
      <c r="AN363" s="685"/>
      <c r="AO363" s="685"/>
      <c r="AP363" s="675"/>
    </row>
    <row r="364" spans="1:42" ht="14.25" hidden="1" customHeight="1" x14ac:dyDescent="0.3">
      <c r="A364" s="973"/>
      <c r="B364" s="644"/>
      <c r="C364" s="679"/>
      <c r="D364" s="672"/>
      <c r="E364" s="672"/>
      <c r="F364" s="672"/>
      <c r="G364" s="676"/>
      <c r="H364" s="676"/>
      <c r="I364" s="676"/>
      <c r="J364" s="685"/>
      <c r="K364" s="685"/>
      <c r="L364" s="685"/>
      <c r="M364" s="685"/>
      <c r="N364" s="685"/>
      <c r="O364" s="685"/>
      <c r="P364" s="685"/>
      <c r="Q364" s="685"/>
      <c r="R364" s="685"/>
      <c r="S364" s="685"/>
      <c r="T364" s="685"/>
      <c r="U364" s="685"/>
      <c r="V364" s="685"/>
      <c r="W364" s="685"/>
      <c r="X364" s="685"/>
      <c r="Y364" s="685"/>
      <c r="Z364" s="685"/>
      <c r="AA364" s="685"/>
      <c r="AB364" s="685"/>
      <c r="AC364" s="685"/>
      <c r="AD364" s="685"/>
      <c r="AE364" s="685"/>
      <c r="AF364" s="685"/>
      <c r="AG364" s="685"/>
      <c r="AH364" s="685"/>
      <c r="AI364" s="685"/>
      <c r="AJ364" s="685"/>
      <c r="AK364" s="685"/>
      <c r="AL364" s="685"/>
      <c r="AM364" s="685"/>
      <c r="AN364" s="685"/>
      <c r="AO364" s="685"/>
      <c r="AP364" s="675"/>
    </row>
    <row r="365" spans="1:42" ht="14" customHeight="1" x14ac:dyDescent="0.3">
      <c r="A365" s="1215" t="s">
        <v>962</v>
      </c>
      <c r="B365" s="644">
        <v>3166.5</v>
      </c>
      <c r="C365" s="679"/>
      <c r="D365" s="676" t="s">
        <v>849</v>
      </c>
      <c r="E365" s="672"/>
      <c r="F365" s="672"/>
      <c r="G365" s="676"/>
      <c r="H365" s="676"/>
      <c r="I365" s="842">
        <f>$B$365*I285+$B$366*I317+$B$367*I349+$B$368</f>
        <v>131.14055407679569</v>
      </c>
      <c r="J365" s="842">
        <f>$B$368</f>
        <v>72</v>
      </c>
      <c r="K365" s="842">
        <f t="shared" ref="K365:O365" si="29">$B$368</f>
        <v>72</v>
      </c>
      <c r="L365" s="842">
        <f t="shared" si="29"/>
        <v>72</v>
      </c>
      <c r="M365" s="842">
        <f t="shared" si="29"/>
        <v>72</v>
      </c>
      <c r="N365" s="842">
        <f t="shared" si="29"/>
        <v>72</v>
      </c>
      <c r="O365" s="842">
        <f t="shared" si="29"/>
        <v>72</v>
      </c>
      <c r="P365" s="842">
        <f t="shared" ref="P365:AK365" si="30">$B$365*$B285+$B$366*$B317+$B$367*$B349+$B$368</f>
        <v>138.84403939996145</v>
      </c>
      <c r="Q365" s="842">
        <f>$B$368</f>
        <v>72</v>
      </c>
      <c r="R365" s="842">
        <f t="shared" ref="R365:V365" si="31">$B$368</f>
        <v>72</v>
      </c>
      <c r="S365" s="842">
        <f t="shared" si="31"/>
        <v>72</v>
      </c>
      <c r="T365" s="842">
        <f t="shared" si="31"/>
        <v>72</v>
      </c>
      <c r="U365" s="842">
        <f t="shared" si="31"/>
        <v>72</v>
      </c>
      <c r="V365" s="842">
        <f t="shared" si="31"/>
        <v>72</v>
      </c>
      <c r="W365" s="842">
        <f t="shared" si="30"/>
        <v>138.84403939996145</v>
      </c>
      <c r="X365" s="842">
        <f>$B$368</f>
        <v>72</v>
      </c>
      <c r="Y365" s="842">
        <f t="shared" ref="X365:AC379" si="32">$B$368</f>
        <v>72</v>
      </c>
      <c r="Z365" s="842">
        <f t="shared" si="32"/>
        <v>72</v>
      </c>
      <c r="AA365" s="842">
        <f t="shared" si="32"/>
        <v>72</v>
      </c>
      <c r="AB365" s="842">
        <f t="shared" si="32"/>
        <v>72</v>
      </c>
      <c r="AC365" s="842">
        <f t="shared" si="32"/>
        <v>72</v>
      </c>
      <c r="AD365" s="842">
        <f t="shared" si="30"/>
        <v>138.84403939996145</v>
      </c>
      <c r="AE365" s="842">
        <f>$B$368</f>
        <v>72</v>
      </c>
      <c r="AF365" s="842">
        <f t="shared" ref="AF365:AJ365" si="33">$B$368</f>
        <v>72</v>
      </c>
      <c r="AG365" s="842">
        <f t="shared" si="33"/>
        <v>72</v>
      </c>
      <c r="AH365" s="842">
        <f t="shared" si="33"/>
        <v>72</v>
      </c>
      <c r="AI365" s="842">
        <f t="shared" si="33"/>
        <v>72</v>
      </c>
      <c r="AJ365" s="842">
        <f t="shared" si="33"/>
        <v>72</v>
      </c>
      <c r="AK365" s="842">
        <f t="shared" si="30"/>
        <v>138.84403939996145</v>
      </c>
      <c r="AL365" s="842">
        <f>$B$368</f>
        <v>72</v>
      </c>
      <c r="AM365" s="842">
        <f t="shared" ref="AM365:AO365" si="34">$B$368</f>
        <v>72</v>
      </c>
      <c r="AN365" s="842">
        <f t="shared" si="34"/>
        <v>72</v>
      </c>
      <c r="AO365" s="842">
        <f t="shared" si="34"/>
        <v>72</v>
      </c>
      <c r="AP365" s="675"/>
    </row>
    <row r="366" spans="1:42" ht="14.25" customHeight="1" x14ac:dyDescent="0.3">
      <c r="A366" s="1215"/>
      <c r="B366" s="644">
        <v>2535</v>
      </c>
      <c r="C366" s="678"/>
      <c r="D366" s="676" t="s">
        <v>865</v>
      </c>
      <c r="E366" s="676"/>
      <c r="F366" s="676"/>
      <c r="G366" s="676"/>
      <c r="H366" s="676"/>
      <c r="I366" s="842">
        <f t="shared" ref="I366:I379" si="35">$B$365*I286+$B$366*I318+$B$367*I350+$B$368</f>
        <v>1964.9568869238826</v>
      </c>
      <c r="J366" s="842">
        <f t="shared" ref="J366:Y379" si="36">$B$368</f>
        <v>72</v>
      </c>
      <c r="K366" s="842">
        <f t="shared" si="36"/>
        <v>72</v>
      </c>
      <c r="L366" s="842">
        <f t="shared" si="36"/>
        <v>72</v>
      </c>
      <c r="M366" s="842">
        <f t="shared" si="36"/>
        <v>72</v>
      </c>
      <c r="N366" s="842">
        <f t="shared" si="36"/>
        <v>72</v>
      </c>
      <c r="O366" s="842">
        <f t="shared" si="36"/>
        <v>72</v>
      </c>
      <c r="P366" s="842">
        <f t="shared" ref="P366:AK366" si="37">$B$365*$B286+$B$366*$B318+$B$367*$B350+$B$368</f>
        <v>2298.3500306843953</v>
      </c>
      <c r="Q366" s="842">
        <f t="shared" si="36"/>
        <v>72</v>
      </c>
      <c r="R366" s="842">
        <f t="shared" si="36"/>
        <v>72</v>
      </c>
      <c r="S366" s="842">
        <f t="shared" si="36"/>
        <v>72</v>
      </c>
      <c r="T366" s="842">
        <f t="shared" si="36"/>
        <v>72</v>
      </c>
      <c r="U366" s="842">
        <f t="shared" si="36"/>
        <v>72</v>
      </c>
      <c r="V366" s="842">
        <f t="shared" si="36"/>
        <v>72</v>
      </c>
      <c r="W366" s="842">
        <f t="shared" si="37"/>
        <v>2298.3500306843953</v>
      </c>
      <c r="X366" s="842">
        <f t="shared" si="36"/>
        <v>72</v>
      </c>
      <c r="Y366" s="842">
        <f t="shared" si="36"/>
        <v>72</v>
      </c>
      <c r="Z366" s="842">
        <f t="shared" si="32"/>
        <v>72</v>
      </c>
      <c r="AA366" s="842">
        <f t="shared" si="32"/>
        <v>72</v>
      </c>
      <c r="AB366" s="842">
        <f t="shared" si="32"/>
        <v>72</v>
      </c>
      <c r="AC366" s="842">
        <f t="shared" si="32"/>
        <v>72</v>
      </c>
      <c r="AD366" s="842">
        <f t="shared" si="37"/>
        <v>2298.3500306843953</v>
      </c>
      <c r="AE366" s="842">
        <f t="shared" ref="AE366:AO379" si="38">$B$368</f>
        <v>72</v>
      </c>
      <c r="AF366" s="842">
        <f t="shared" si="38"/>
        <v>72</v>
      </c>
      <c r="AG366" s="842">
        <f t="shared" si="38"/>
        <v>72</v>
      </c>
      <c r="AH366" s="842">
        <f t="shared" si="38"/>
        <v>72</v>
      </c>
      <c r="AI366" s="842">
        <f t="shared" si="38"/>
        <v>72</v>
      </c>
      <c r="AJ366" s="842">
        <f t="shared" si="38"/>
        <v>72</v>
      </c>
      <c r="AK366" s="842">
        <f t="shared" si="37"/>
        <v>2298.3500306843953</v>
      </c>
      <c r="AL366" s="842">
        <f t="shared" si="38"/>
        <v>72</v>
      </c>
      <c r="AM366" s="842">
        <f t="shared" si="38"/>
        <v>72</v>
      </c>
      <c r="AN366" s="842">
        <f t="shared" si="38"/>
        <v>72</v>
      </c>
      <c r="AO366" s="842">
        <f t="shared" si="38"/>
        <v>72</v>
      </c>
      <c r="AP366" s="675"/>
    </row>
    <row r="367" spans="1:42" ht="14.25" customHeight="1" x14ac:dyDescent="0.3">
      <c r="A367" s="1215"/>
      <c r="B367" s="644">
        <v>70</v>
      </c>
      <c r="C367" s="678"/>
      <c r="D367" s="676" t="s">
        <v>851</v>
      </c>
      <c r="E367" s="687"/>
      <c r="F367" s="687"/>
      <c r="G367" s="687"/>
      <c r="H367" s="687"/>
      <c r="I367" s="842">
        <f t="shared" si="35"/>
        <v>363.15289440473299</v>
      </c>
      <c r="J367" s="842">
        <f t="shared" si="36"/>
        <v>72</v>
      </c>
      <c r="K367" s="842">
        <f t="shared" si="36"/>
        <v>72</v>
      </c>
      <c r="L367" s="842">
        <f t="shared" si="36"/>
        <v>72</v>
      </c>
      <c r="M367" s="842">
        <f t="shared" si="36"/>
        <v>72</v>
      </c>
      <c r="N367" s="842">
        <f t="shared" si="36"/>
        <v>72</v>
      </c>
      <c r="O367" s="842">
        <f t="shared" si="36"/>
        <v>72</v>
      </c>
      <c r="P367" s="842">
        <f t="shared" ref="P367:AK367" si="39">$B$365*$B287+$B$366*$B319+$B$367*$B351+$B$368</f>
        <v>367.66640048125083</v>
      </c>
      <c r="Q367" s="842">
        <f t="shared" si="36"/>
        <v>72</v>
      </c>
      <c r="R367" s="842">
        <f t="shared" si="36"/>
        <v>72</v>
      </c>
      <c r="S367" s="842">
        <f t="shared" si="36"/>
        <v>72</v>
      </c>
      <c r="T367" s="842">
        <f t="shared" si="36"/>
        <v>72</v>
      </c>
      <c r="U367" s="842">
        <f t="shared" si="36"/>
        <v>72</v>
      </c>
      <c r="V367" s="842">
        <f t="shared" si="36"/>
        <v>72</v>
      </c>
      <c r="W367" s="842">
        <f t="shared" si="39"/>
        <v>367.66640048125083</v>
      </c>
      <c r="X367" s="842">
        <f t="shared" si="32"/>
        <v>72</v>
      </c>
      <c r="Y367" s="842">
        <f t="shared" si="32"/>
        <v>72</v>
      </c>
      <c r="Z367" s="842">
        <f t="shared" si="32"/>
        <v>72</v>
      </c>
      <c r="AA367" s="842">
        <f t="shared" si="32"/>
        <v>72</v>
      </c>
      <c r="AB367" s="842">
        <f t="shared" si="32"/>
        <v>72</v>
      </c>
      <c r="AC367" s="842">
        <f t="shared" si="32"/>
        <v>72</v>
      </c>
      <c r="AD367" s="842">
        <f t="shared" si="39"/>
        <v>367.66640048125083</v>
      </c>
      <c r="AE367" s="842">
        <f t="shared" si="38"/>
        <v>72</v>
      </c>
      <c r="AF367" s="842">
        <f t="shared" si="38"/>
        <v>72</v>
      </c>
      <c r="AG367" s="842">
        <f t="shared" si="38"/>
        <v>72</v>
      </c>
      <c r="AH367" s="842">
        <f t="shared" si="38"/>
        <v>72</v>
      </c>
      <c r="AI367" s="842">
        <f t="shared" si="38"/>
        <v>72</v>
      </c>
      <c r="AJ367" s="842">
        <f t="shared" si="38"/>
        <v>72</v>
      </c>
      <c r="AK367" s="842">
        <f t="shared" si="39"/>
        <v>367.66640048125083</v>
      </c>
      <c r="AL367" s="842">
        <f t="shared" si="38"/>
        <v>72</v>
      </c>
      <c r="AM367" s="842">
        <f t="shared" si="38"/>
        <v>72</v>
      </c>
      <c r="AN367" s="842">
        <f t="shared" si="38"/>
        <v>72</v>
      </c>
      <c r="AO367" s="842">
        <f t="shared" si="38"/>
        <v>72</v>
      </c>
      <c r="AP367" s="675"/>
    </row>
    <row r="368" spans="1:42" ht="14.25" customHeight="1" x14ac:dyDescent="0.3">
      <c r="A368" s="1215"/>
      <c r="B368" s="644">
        <v>72</v>
      </c>
      <c r="C368" s="678"/>
      <c r="D368" s="676" t="s">
        <v>852</v>
      </c>
      <c r="E368" s="687"/>
      <c r="F368" s="687"/>
      <c r="G368" s="687"/>
      <c r="H368" s="687"/>
      <c r="I368" s="842">
        <f t="shared" si="35"/>
        <v>155.0828847983571</v>
      </c>
      <c r="J368" s="842">
        <f t="shared" si="36"/>
        <v>72</v>
      </c>
      <c r="K368" s="842">
        <f t="shared" si="36"/>
        <v>72</v>
      </c>
      <c r="L368" s="842">
        <f t="shared" si="36"/>
        <v>72</v>
      </c>
      <c r="M368" s="842">
        <f t="shared" si="36"/>
        <v>72</v>
      </c>
      <c r="N368" s="842">
        <f t="shared" si="36"/>
        <v>72</v>
      </c>
      <c r="O368" s="842">
        <f t="shared" si="36"/>
        <v>72</v>
      </c>
      <c r="P368" s="842">
        <f t="shared" ref="P368:AK368" si="40">$B$365*$B288+$B$366*$B320+$B$367*$B352+$B$368</f>
        <v>147.58349575412672</v>
      </c>
      <c r="Q368" s="842">
        <f t="shared" si="36"/>
        <v>72</v>
      </c>
      <c r="R368" s="842">
        <f t="shared" si="36"/>
        <v>72</v>
      </c>
      <c r="S368" s="842">
        <f t="shared" si="36"/>
        <v>72</v>
      </c>
      <c r="T368" s="842">
        <f t="shared" si="36"/>
        <v>72</v>
      </c>
      <c r="U368" s="842">
        <f t="shared" si="36"/>
        <v>72</v>
      </c>
      <c r="V368" s="842">
        <f t="shared" si="36"/>
        <v>72</v>
      </c>
      <c r="W368" s="842">
        <f t="shared" si="40"/>
        <v>147.58349575412672</v>
      </c>
      <c r="X368" s="842">
        <f t="shared" si="32"/>
        <v>72</v>
      </c>
      <c r="Y368" s="842">
        <f t="shared" si="32"/>
        <v>72</v>
      </c>
      <c r="Z368" s="842">
        <f t="shared" si="32"/>
        <v>72</v>
      </c>
      <c r="AA368" s="842">
        <f t="shared" si="32"/>
        <v>72</v>
      </c>
      <c r="AB368" s="842">
        <f t="shared" si="32"/>
        <v>72</v>
      </c>
      <c r="AC368" s="842">
        <f t="shared" si="32"/>
        <v>72</v>
      </c>
      <c r="AD368" s="842">
        <f t="shared" si="40"/>
        <v>147.58349575412672</v>
      </c>
      <c r="AE368" s="842">
        <f t="shared" si="38"/>
        <v>72</v>
      </c>
      <c r="AF368" s="842">
        <f t="shared" si="38"/>
        <v>72</v>
      </c>
      <c r="AG368" s="842">
        <f t="shared" si="38"/>
        <v>72</v>
      </c>
      <c r="AH368" s="842">
        <f t="shared" si="38"/>
        <v>72</v>
      </c>
      <c r="AI368" s="842">
        <f t="shared" si="38"/>
        <v>72</v>
      </c>
      <c r="AJ368" s="842">
        <f t="shared" si="38"/>
        <v>72</v>
      </c>
      <c r="AK368" s="842">
        <f t="shared" si="40"/>
        <v>147.58349575412672</v>
      </c>
      <c r="AL368" s="842">
        <f t="shared" si="38"/>
        <v>72</v>
      </c>
      <c r="AM368" s="842">
        <f t="shared" si="38"/>
        <v>72</v>
      </c>
      <c r="AN368" s="842">
        <f t="shared" si="38"/>
        <v>72</v>
      </c>
      <c r="AO368" s="842">
        <f t="shared" si="38"/>
        <v>72</v>
      </c>
      <c r="AP368" s="675"/>
    </row>
    <row r="369" spans="1:42" ht="14.25" customHeight="1" x14ac:dyDescent="0.3">
      <c r="A369" s="1215"/>
      <c r="B369" s="644"/>
      <c r="C369" s="678"/>
      <c r="D369" s="676" t="s">
        <v>853</v>
      </c>
      <c r="E369" s="687"/>
      <c r="F369" s="687"/>
      <c r="G369" s="687"/>
      <c r="H369" s="687"/>
      <c r="I369" s="842">
        <f t="shared" si="35"/>
        <v>388.57022053008558</v>
      </c>
      <c r="J369" s="842">
        <f t="shared" si="36"/>
        <v>72</v>
      </c>
      <c r="K369" s="842">
        <f t="shared" si="36"/>
        <v>72</v>
      </c>
      <c r="L369" s="842">
        <f t="shared" si="36"/>
        <v>72</v>
      </c>
      <c r="M369" s="842">
        <f t="shared" si="36"/>
        <v>72</v>
      </c>
      <c r="N369" s="842">
        <f t="shared" si="36"/>
        <v>72</v>
      </c>
      <c r="O369" s="842">
        <f t="shared" si="36"/>
        <v>72</v>
      </c>
      <c r="P369" s="842">
        <f t="shared" ref="P369:AK369" si="41">$B$365*$B289+$B$366*$B321+$B$367*$B353+$B$368</f>
        <v>740.07563799650586</v>
      </c>
      <c r="Q369" s="842">
        <f t="shared" si="36"/>
        <v>72</v>
      </c>
      <c r="R369" s="842">
        <f t="shared" si="36"/>
        <v>72</v>
      </c>
      <c r="S369" s="842">
        <f t="shared" si="36"/>
        <v>72</v>
      </c>
      <c r="T369" s="842">
        <f t="shared" si="36"/>
        <v>72</v>
      </c>
      <c r="U369" s="842">
        <f t="shared" si="36"/>
        <v>72</v>
      </c>
      <c r="V369" s="842">
        <f t="shared" si="36"/>
        <v>72</v>
      </c>
      <c r="W369" s="842">
        <f t="shared" si="41"/>
        <v>740.07563799650586</v>
      </c>
      <c r="X369" s="842">
        <f t="shared" si="32"/>
        <v>72</v>
      </c>
      <c r="Y369" s="842">
        <f t="shared" si="32"/>
        <v>72</v>
      </c>
      <c r="Z369" s="842">
        <f t="shared" si="32"/>
        <v>72</v>
      </c>
      <c r="AA369" s="842">
        <f t="shared" si="32"/>
        <v>72</v>
      </c>
      <c r="AB369" s="842">
        <f t="shared" si="32"/>
        <v>72</v>
      </c>
      <c r="AC369" s="842">
        <f t="shared" si="32"/>
        <v>72</v>
      </c>
      <c r="AD369" s="842">
        <f t="shared" si="41"/>
        <v>740.07563799650586</v>
      </c>
      <c r="AE369" s="842">
        <f t="shared" si="38"/>
        <v>72</v>
      </c>
      <c r="AF369" s="842">
        <f t="shared" si="38"/>
        <v>72</v>
      </c>
      <c r="AG369" s="842">
        <f t="shared" si="38"/>
        <v>72</v>
      </c>
      <c r="AH369" s="842">
        <f t="shared" si="38"/>
        <v>72</v>
      </c>
      <c r="AI369" s="842">
        <f t="shared" si="38"/>
        <v>72</v>
      </c>
      <c r="AJ369" s="842">
        <f t="shared" si="38"/>
        <v>72</v>
      </c>
      <c r="AK369" s="842">
        <f t="shared" si="41"/>
        <v>740.07563799650586</v>
      </c>
      <c r="AL369" s="842">
        <f t="shared" si="38"/>
        <v>72</v>
      </c>
      <c r="AM369" s="842">
        <f t="shared" si="38"/>
        <v>72</v>
      </c>
      <c r="AN369" s="842">
        <f t="shared" si="38"/>
        <v>72</v>
      </c>
      <c r="AO369" s="842">
        <f t="shared" si="38"/>
        <v>72</v>
      </c>
      <c r="AP369" s="675"/>
    </row>
    <row r="370" spans="1:42" ht="14.25" customHeight="1" x14ac:dyDescent="0.3">
      <c r="A370" s="1215"/>
      <c r="B370" s="644"/>
      <c r="C370" s="678"/>
      <c r="D370" s="676" t="s">
        <v>854</v>
      </c>
      <c r="E370" s="687"/>
      <c r="F370" s="687"/>
      <c r="G370" s="687"/>
      <c r="H370" s="687"/>
      <c r="I370" s="842">
        <f t="shared" si="35"/>
        <v>240.36465083729286</v>
      </c>
      <c r="J370" s="842">
        <f t="shared" si="36"/>
        <v>72</v>
      </c>
      <c r="K370" s="842">
        <f t="shared" si="36"/>
        <v>72</v>
      </c>
      <c r="L370" s="842">
        <f t="shared" si="36"/>
        <v>72</v>
      </c>
      <c r="M370" s="842">
        <f t="shared" si="36"/>
        <v>72</v>
      </c>
      <c r="N370" s="842">
        <f t="shared" si="36"/>
        <v>72</v>
      </c>
      <c r="O370" s="842">
        <f t="shared" si="36"/>
        <v>72</v>
      </c>
      <c r="P370" s="842">
        <f t="shared" ref="P370:AK370" si="42">$B$365*$B290+$B$366*$B322+$B$367*$B354+$B$368</f>
        <v>280.04453361683954</v>
      </c>
      <c r="Q370" s="842">
        <f t="shared" si="36"/>
        <v>72</v>
      </c>
      <c r="R370" s="842">
        <f t="shared" si="36"/>
        <v>72</v>
      </c>
      <c r="S370" s="842">
        <f t="shared" si="36"/>
        <v>72</v>
      </c>
      <c r="T370" s="842">
        <f t="shared" si="36"/>
        <v>72</v>
      </c>
      <c r="U370" s="842">
        <f t="shared" si="36"/>
        <v>72</v>
      </c>
      <c r="V370" s="842">
        <f t="shared" si="36"/>
        <v>72</v>
      </c>
      <c r="W370" s="842">
        <f t="shared" si="42"/>
        <v>280.04453361683954</v>
      </c>
      <c r="X370" s="842">
        <f t="shared" si="32"/>
        <v>72</v>
      </c>
      <c r="Y370" s="842">
        <f t="shared" si="32"/>
        <v>72</v>
      </c>
      <c r="Z370" s="842">
        <f t="shared" si="32"/>
        <v>72</v>
      </c>
      <c r="AA370" s="842">
        <f t="shared" si="32"/>
        <v>72</v>
      </c>
      <c r="AB370" s="842">
        <f t="shared" si="32"/>
        <v>72</v>
      </c>
      <c r="AC370" s="842">
        <f t="shared" si="32"/>
        <v>72</v>
      </c>
      <c r="AD370" s="842">
        <f t="shared" si="42"/>
        <v>280.04453361683954</v>
      </c>
      <c r="AE370" s="842">
        <f t="shared" si="38"/>
        <v>72</v>
      </c>
      <c r="AF370" s="842">
        <f t="shared" si="38"/>
        <v>72</v>
      </c>
      <c r="AG370" s="842">
        <f t="shared" si="38"/>
        <v>72</v>
      </c>
      <c r="AH370" s="842">
        <f t="shared" si="38"/>
        <v>72</v>
      </c>
      <c r="AI370" s="842">
        <f t="shared" si="38"/>
        <v>72</v>
      </c>
      <c r="AJ370" s="842">
        <f t="shared" si="38"/>
        <v>72</v>
      </c>
      <c r="AK370" s="842">
        <f t="shared" si="42"/>
        <v>280.04453361683954</v>
      </c>
      <c r="AL370" s="842">
        <f t="shared" si="38"/>
        <v>72</v>
      </c>
      <c r="AM370" s="842">
        <f t="shared" si="38"/>
        <v>72</v>
      </c>
      <c r="AN370" s="842">
        <f t="shared" si="38"/>
        <v>72</v>
      </c>
      <c r="AO370" s="842">
        <f t="shared" si="38"/>
        <v>72</v>
      </c>
      <c r="AP370" s="675"/>
    </row>
    <row r="371" spans="1:42" ht="14.25" customHeight="1" x14ac:dyDescent="0.3">
      <c r="A371" s="1215"/>
      <c r="B371" s="644"/>
      <c r="C371" s="678"/>
      <c r="D371" s="676" t="s">
        <v>855</v>
      </c>
      <c r="E371" s="676"/>
      <c r="F371" s="676"/>
      <c r="G371" s="676"/>
      <c r="H371" s="676"/>
      <c r="I371" s="842">
        <f t="shared" si="35"/>
        <v>294.38720050309428</v>
      </c>
      <c r="J371" s="842">
        <f t="shared" si="36"/>
        <v>72</v>
      </c>
      <c r="K371" s="842">
        <f t="shared" si="36"/>
        <v>72</v>
      </c>
      <c r="L371" s="842">
        <f t="shared" si="36"/>
        <v>72</v>
      </c>
      <c r="M371" s="842">
        <f t="shared" si="36"/>
        <v>72</v>
      </c>
      <c r="N371" s="842">
        <f t="shared" si="36"/>
        <v>72</v>
      </c>
      <c r="O371" s="842">
        <f t="shared" si="36"/>
        <v>72</v>
      </c>
      <c r="P371" s="842">
        <f t="shared" ref="P371:AK371" si="43">$B$365*$B291+$B$366*$B323+$B$367*$B355+$B$368</f>
        <v>325.89723746487499</v>
      </c>
      <c r="Q371" s="842">
        <f t="shared" si="36"/>
        <v>72</v>
      </c>
      <c r="R371" s="842">
        <f t="shared" si="36"/>
        <v>72</v>
      </c>
      <c r="S371" s="842">
        <f t="shared" si="36"/>
        <v>72</v>
      </c>
      <c r="T371" s="842">
        <f t="shared" si="36"/>
        <v>72</v>
      </c>
      <c r="U371" s="842">
        <f t="shared" si="36"/>
        <v>72</v>
      </c>
      <c r="V371" s="842">
        <f t="shared" si="36"/>
        <v>72</v>
      </c>
      <c r="W371" s="842">
        <f t="shared" si="43"/>
        <v>325.89723746487499</v>
      </c>
      <c r="X371" s="842">
        <f t="shared" si="32"/>
        <v>72</v>
      </c>
      <c r="Y371" s="842">
        <f t="shared" si="32"/>
        <v>72</v>
      </c>
      <c r="Z371" s="842">
        <f t="shared" si="32"/>
        <v>72</v>
      </c>
      <c r="AA371" s="842">
        <f t="shared" si="32"/>
        <v>72</v>
      </c>
      <c r="AB371" s="842">
        <f t="shared" si="32"/>
        <v>72</v>
      </c>
      <c r="AC371" s="842">
        <f t="shared" si="32"/>
        <v>72</v>
      </c>
      <c r="AD371" s="842">
        <f t="shared" si="43"/>
        <v>325.89723746487499</v>
      </c>
      <c r="AE371" s="842">
        <f t="shared" si="38"/>
        <v>72</v>
      </c>
      <c r="AF371" s="842">
        <f t="shared" si="38"/>
        <v>72</v>
      </c>
      <c r="AG371" s="842">
        <f t="shared" si="38"/>
        <v>72</v>
      </c>
      <c r="AH371" s="842">
        <f t="shared" si="38"/>
        <v>72</v>
      </c>
      <c r="AI371" s="842">
        <f t="shared" si="38"/>
        <v>72</v>
      </c>
      <c r="AJ371" s="842">
        <f t="shared" si="38"/>
        <v>72</v>
      </c>
      <c r="AK371" s="842">
        <f t="shared" si="43"/>
        <v>325.89723746487499</v>
      </c>
      <c r="AL371" s="842">
        <f t="shared" si="38"/>
        <v>72</v>
      </c>
      <c r="AM371" s="842">
        <f t="shared" si="38"/>
        <v>72</v>
      </c>
      <c r="AN371" s="842">
        <f t="shared" si="38"/>
        <v>72</v>
      </c>
      <c r="AO371" s="842">
        <f t="shared" si="38"/>
        <v>72</v>
      </c>
      <c r="AP371" s="675"/>
    </row>
    <row r="372" spans="1:42" ht="14.25" customHeight="1" x14ac:dyDescent="0.3">
      <c r="A372" s="1215"/>
      <c r="B372" s="644"/>
      <c r="C372" s="678"/>
      <c r="D372" s="676" t="s">
        <v>856</v>
      </c>
      <c r="E372" s="687"/>
      <c r="F372" s="687"/>
      <c r="G372" s="687"/>
      <c r="H372" s="687"/>
      <c r="I372" s="842">
        <f t="shared" si="35"/>
        <v>78.222926390174351</v>
      </c>
      <c r="J372" s="842">
        <f t="shared" si="36"/>
        <v>72</v>
      </c>
      <c r="K372" s="842">
        <f t="shared" si="36"/>
        <v>72</v>
      </c>
      <c r="L372" s="842">
        <f t="shared" si="36"/>
        <v>72</v>
      </c>
      <c r="M372" s="842">
        <f t="shared" si="36"/>
        <v>72</v>
      </c>
      <c r="N372" s="842">
        <f t="shared" si="36"/>
        <v>72</v>
      </c>
      <c r="O372" s="842">
        <f t="shared" si="36"/>
        <v>72</v>
      </c>
      <c r="P372" s="842">
        <f t="shared" ref="P372:AK372" si="44">$B$365*$B292+$B$366*$B324+$B$367*$B356+$B$368</f>
        <v>98.816102957132543</v>
      </c>
      <c r="Q372" s="842">
        <f t="shared" si="36"/>
        <v>72</v>
      </c>
      <c r="R372" s="842">
        <f t="shared" si="36"/>
        <v>72</v>
      </c>
      <c r="S372" s="842">
        <f t="shared" si="36"/>
        <v>72</v>
      </c>
      <c r="T372" s="842">
        <f t="shared" si="36"/>
        <v>72</v>
      </c>
      <c r="U372" s="842">
        <f t="shared" si="36"/>
        <v>72</v>
      </c>
      <c r="V372" s="842">
        <f t="shared" si="36"/>
        <v>72</v>
      </c>
      <c r="W372" s="842">
        <f t="shared" si="44"/>
        <v>98.816102957132543</v>
      </c>
      <c r="X372" s="842">
        <f t="shared" si="32"/>
        <v>72</v>
      </c>
      <c r="Y372" s="842">
        <f t="shared" si="32"/>
        <v>72</v>
      </c>
      <c r="Z372" s="842">
        <f t="shared" si="32"/>
        <v>72</v>
      </c>
      <c r="AA372" s="842">
        <f t="shared" si="32"/>
        <v>72</v>
      </c>
      <c r="AB372" s="842">
        <f t="shared" si="32"/>
        <v>72</v>
      </c>
      <c r="AC372" s="842">
        <f t="shared" si="32"/>
        <v>72</v>
      </c>
      <c r="AD372" s="842">
        <f t="shared" si="44"/>
        <v>98.816102957132543</v>
      </c>
      <c r="AE372" s="842">
        <f t="shared" si="38"/>
        <v>72</v>
      </c>
      <c r="AF372" s="842">
        <f t="shared" si="38"/>
        <v>72</v>
      </c>
      <c r="AG372" s="842">
        <f t="shared" si="38"/>
        <v>72</v>
      </c>
      <c r="AH372" s="842">
        <f t="shared" si="38"/>
        <v>72</v>
      </c>
      <c r="AI372" s="842">
        <f t="shared" si="38"/>
        <v>72</v>
      </c>
      <c r="AJ372" s="842">
        <f t="shared" si="38"/>
        <v>72</v>
      </c>
      <c r="AK372" s="842">
        <f t="shared" si="44"/>
        <v>98.816102957132543</v>
      </c>
      <c r="AL372" s="842">
        <f t="shared" si="38"/>
        <v>72</v>
      </c>
      <c r="AM372" s="842">
        <f t="shared" si="38"/>
        <v>72</v>
      </c>
      <c r="AN372" s="842">
        <f t="shared" si="38"/>
        <v>72</v>
      </c>
      <c r="AO372" s="842">
        <f t="shared" si="38"/>
        <v>72</v>
      </c>
      <c r="AP372" s="675"/>
    </row>
    <row r="373" spans="1:42" ht="14.25" customHeight="1" x14ac:dyDescent="0.3">
      <c r="A373" s="1215"/>
      <c r="B373" s="644"/>
      <c r="C373" s="678"/>
      <c r="D373" s="676" t="s">
        <v>857</v>
      </c>
      <c r="E373" s="687"/>
      <c r="F373" s="687"/>
      <c r="G373" s="687"/>
      <c r="H373" s="687"/>
      <c r="I373" s="842">
        <f t="shared" si="35"/>
        <v>494.31490498765385</v>
      </c>
      <c r="J373" s="842">
        <f t="shared" si="36"/>
        <v>72</v>
      </c>
      <c r="K373" s="842">
        <f t="shared" si="36"/>
        <v>72</v>
      </c>
      <c r="L373" s="842">
        <f t="shared" si="36"/>
        <v>72</v>
      </c>
      <c r="M373" s="842">
        <f t="shared" si="36"/>
        <v>72</v>
      </c>
      <c r="N373" s="842">
        <f t="shared" si="36"/>
        <v>72</v>
      </c>
      <c r="O373" s="842">
        <f t="shared" si="36"/>
        <v>72</v>
      </c>
      <c r="P373" s="842">
        <f t="shared" ref="P373:AK373" si="45">$B$365*$B293+$B$366*$B325+$B$367*$B357+$B$368</f>
        <v>212.77163499588463</v>
      </c>
      <c r="Q373" s="842">
        <f t="shared" si="36"/>
        <v>72</v>
      </c>
      <c r="R373" s="842">
        <f t="shared" si="36"/>
        <v>72</v>
      </c>
      <c r="S373" s="842">
        <f t="shared" si="36"/>
        <v>72</v>
      </c>
      <c r="T373" s="842">
        <f t="shared" si="36"/>
        <v>72</v>
      </c>
      <c r="U373" s="842">
        <f t="shared" si="36"/>
        <v>72</v>
      </c>
      <c r="V373" s="842">
        <f t="shared" si="36"/>
        <v>72</v>
      </c>
      <c r="W373" s="842">
        <f t="shared" si="45"/>
        <v>212.77163499588463</v>
      </c>
      <c r="X373" s="842">
        <f t="shared" si="32"/>
        <v>72</v>
      </c>
      <c r="Y373" s="842">
        <f t="shared" si="32"/>
        <v>72</v>
      </c>
      <c r="Z373" s="842">
        <f t="shared" si="32"/>
        <v>72</v>
      </c>
      <c r="AA373" s="842">
        <f t="shared" si="32"/>
        <v>72</v>
      </c>
      <c r="AB373" s="842">
        <f t="shared" si="32"/>
        <v>72</v>
      </c>
      <c r="AC373" s="842">
        <f t="shared" si="32"/>
        <v>72</v>
      </c>
      <c r="AD373" s="842">
        <f t="shared" si="45"/>
        <v>212.77163499588463</v>
      </c>
      <c r="AE373" s="842">
        <f t="shared" si="38"/>
        <v>72</v>
      </c>
      <c r="AF373" s="842">
        <f t="shared" si="38"/>
        <v>72</v>
      </c>
      <c r="AG373" s="842">
        <f t="shared" si="38"/>
        <v>72</v>
      </c>
      <c r="AH373" s="842">
        <f t="shared" si="38"/>
        <v>72</v>
      </c>
      <c r="AI373" s="842">
        <f t="shared" si="38"/>
        <v>72</v>
      </c>
      <c r="AJ373" s="842">
        <f t="shared" si="38"/>
        <v>72</v>
      </c>
      <c r="AK373" s="842">
        <f t="shared" si="45"/>
        <v>212.77163499588463</v>
      </c>
      <c r="AL373" s="842">
        <f t="shared" si="38"/>
        <v>72</v>
      </c>
      <c r="AM373" s="842">
        <f t="shared" si="38"/>
        <v>72</v>
      </c>
      <c r="AN373" s="842">
        <f t="shared" si="38"/>
        <v>72</v>
      </c>
      <c r="AO373" s="842">
        <f t="shared" si="38"/>
        <v>72</v>
      </c>
      <c r="AP373" s="675"/>
    </row>
    <row r="374" spans="1:42" ht="14.25" customHeight="1" x14ac:dyDescent="0.3">
      <c r="A374" s="1215"/>
      <c r="B374" s="644"/>
      <c r="C374" s="678"/>
      <c r="D374" s="676" t="s">
        <v>858</v>
      </c>
      <c r="E374" s="676"/>
      <c r="F374" s="676"/>
      <c r="G374" s="676"/>
      <c r="H374" s="676"/>
      <c r="I374" s="842">
        <f t="shared" si="35"/>
        <v>415.40853017222486</v>
      </c>
      <c r="J374" s="842">
        <f t="shared" si="36"/>
        <v>72</v>
      </c>
      <c r="K374" s="842">
        <f t="shared" si="36"/>
        <v>72</v>
      </c>
      <c r="L374" s="842">
        <f t="shared" si="36"/>
        <v>72</v>
      </c>
      <c r="M374" s="842">
        <f t="shared" si="36"/>
        <v>72</v>
      </c>
      <c r="N374" s="842">
        <f t="shared" si="36"/>
        <v>72</v>
      </c>
      <c r="O374" s="842">
        <f t="shared" si="36"/>
        <v>72</v>
      </c>
      <c r="P374" s="842">
        <f t="shared" ref="P374:AK374" si="46">$B$365*$B294+$B$366*$B326+$B$367*$B358+$B$368</f>
        <v>396.2114278824576</v>
      </c>
      <c r="Q374" s="842">
        <f t="shared" si="36"/>
        <v>72</v>
      </c>
      <c r="R374" s="842">
        <f t="shared" si="36"/>
        <v>72</v>
      </c>
      <c r="S374" s="842">
        <f t="shared" si="36"/>
        <v>72</v>
      </c>
      <c r="T374" s="842">
        <f t="shared" si="36"/>
        <v>72</v>
      </c>
      <c r="U374" s="842">
        <f t="shared" si="36"/>
        <v>72</v>
      </c>
      <c r="V374" s="842">
        <f t="shared" si="36"/>
        <v>72</v>
      </c>
      <c r="W374" s="842">
        <f t="shared" si="46"/>
        <v>396.2114278824576</v>
      </c>
      <c r="X374" s="842">
        <f t="shared" si="32"/>
        <v>72</v>
      </c>
      <c r="Y374" s="842">
        <f t="shared" si="32"/>
        <v>72</v>
      </c>
      <c r="Z374" s="842">
        <f t="shared" si="32"/>
        <v>72</v>
      </c>
      <c r="AA374" s="842">
        <f t="shared" si="32"/>
        <v>72</v>
      </c>
      <c r="AB374" s="842">
        <f t="shared" si="32"/>
        <v>72</v>
      </c>
      <c r="AC374" s="842">
        <f t="shared" si="32"/>
        <v>72</v>
      </c>
      <c r="AD374" s="842">
        <f t="shared" si="46"/>
        <v>396.2114278824576</v>
      </c>
      <c r="AE374" s="842">
        <f t="shared" si="38"/>
        <v>72</v>
      </c>
      <c r="AF374" s="842">
        <f t="shared" si="38"/>
        <v>72</v>
      </c>
      <c r="AG374" s="842">
        <f t="shared" si="38"/>
        <v>72</v>
      </c>
      <c r="AH374" s="842">
        <f t="shared" si="38"/>
        <v>72</v>
      </c>
      <c r="AI374" s="842">
        <f t="shared" si="38"/>
        <v>72</v>
      </c>
      <c r="AJ374" s="842">
        <f t="shared" si="38"/>
        <v>72</v>
      </c>
      <c r="AK374" s="842">
        <f t="shared" si="46"/>
        <v>396.2114278824576</v>
      </c>
      <c r="AL374" s="842">
        <f t="shared" si="38"/>
        <v>72</v>
      </c>
      <c r="AM374" s="842">
        <f t="shared" si="38"/>
        <v>72</v>
      </c>
      <c r="AN374" s="842">
        <f t="shared" si="38"/>
        <v>72</v>
      </c>
      <c r="AO374" s="842">
        <f t="shared" si="38"/>
        <v>72</v>
      </c>
      <c r="AP374" s="675"/>
    </row>
    <row r="375" spans="1:42" ht="14.25" customHeight="1" x14ac:dyDescent="0.3">
      <c r="A375" s="1215"/>
      <c r="B375" s="644"/>
      <c r="C375" s="678"/>
      <c r="D375" s="676" t="s">
        <v>859</v>
      </c>
      <c r="E375" s="687"/>
      <c r="F375" s="687"/>
      <c r="G375" s="687"/>
      <c r="H375" s="687"/>
      <c r="I375" s="842">
        <f t="shared" si="35"/>
        <v>480.26462519936206</v>
      </c>
      <c r="J375" s="842">
        <f t="shared" si="36"/>
        <v>72</v>
      </c>
      <c r="K375" s="842">
        <f t="shared" si="36"/>
        <v>72</v>
      </c>
      <c r="L375" s="842">
        <f t="shared" si="36"/>
        <v>72</v>
      </c>
      <c r="M375" s="842">
        <f t="shared" si="36"/>
        <v>72</v>
      </c>
      <c r="N375" s="842">
        <f t="shared" si="36"/>
        <v>72</v>
      </c>
      <c r="O375" s="842">
        <f t="shared" si="36"/>
        <v>72</v>
      </c>
      <c r="P375" s="842">
        <f t="shared" ref="P375:AK375" si="47">$B$365*$B295+$B$366*$B327+$B$367*$B359+$B$368</f>
        <v>560.31929983804048</v>
      </c>
      <c r="Q375" s="842">
        <f t="shared" si="36"/>
        <v>72</v>
      </c>
      <c r="R375" s="842">
        <f t="shared" si="36"/>
        <v>72</v>
      </c>
      <c r="S375" s="842">
        <f t="shared" si="36"/>
        <v>72</v>
      </c>
      <c r="T375" s="842">
        <f t="shared" si="36"/>
        <v>72</v>
      </c>
      <c r="U375" s="842">
        <f t="shared" si="36"/>
        <v>72</v>
      </c>
      <c r="V375" s="842">
        <f t="shared" si="36"/>
        <v>72</v>
      </c>
      <c r="W375" s="842">
        <f t="shared" si="47"/>
        <v>560.31929983804048</v>
      </c>
      <c r="X375" s="842">
        <f t="shared" si="32"/>
        <v>72</v>
      </c>
      <c r="Y375" s="842">
        <f t="shared" si="32"/>
        <v>72</v>
      </c>
      <c r="Z375" s="842">
        <f t="shared" si="32"/>
        <v>72</v>
      </c>
      <c r="AA375" s="842">
        <f t="shared" si="32"/>
        <v>72</v>
      </c>
      <c r="AB375" s="842">
        <f t="shared" si="32"/>
        <v>72</v>
      </c>
      <c r="AC375" s="842">
        <f t="shared" si="32"/>
        <v>72</v>
      </c>
      <c r="AD375" s="842">
        <f t="shared" si="47"/>
        <v>560.31929983804048</v>
      </c>
      <c r="AE375" s="842">
        <f t="shared" si="38"/>
        <v>72</v>
      </c>
      <c r="AF375" s="842">
        <f t="shared" si="38"/>
        <v>72</v>
      </c>
      <c r="AG375" s="842">
        <f t="shared" si="38"/>
        <v>72</v>
      </c>
      <c r="AH375" s="842">
        <f t="shared" si="38"/>
        <v>72</v>
      </c>
      <c r="AI375" s="842">
        <f t="shared" si="38"/>
        <v>72</v>
      </c>
      <c r="AJ375" s="842">
        <f t="shared" si="38"/>
        <v>72</v>
      </c>
      <c r="AK375" s="842">
        <f t="shared" si="47"/>
        <v>560.31929983804048</v>
      </c>
      <c r="AL375" s="842">
        <f t="shared" si="38"/>
        <v>72</v>
      </c>
      <c r="AM375" s="842">
        <f t="shared" si="38"/>
        <v>72</v>
      </c>
      <c r="AN375" s="842">
        <f t="shared" si="38"/>
        <v>72</v>
      </c>
      <c r="AO375" s="842">
        <f t="shared" si="38"/>
        <v>72</v>
      </c>
      <c r="AP375" s="675"/>
    </row>
    <row r="376" spans="1:42" ht="14.25" customHeight="1" x14ac:dyDescent="0.3">
      <c r="A376" s="1215"/>
      <c r="B376" s="644"/>
      <c r="C376" s="678"/>
      <c r="D376" s="676" t="s">
        <v>860</v>
      </c>
      <c r="E376" s="676"/>
      <c r="F376" s="676"/>
      <c r="G376" s="676"/>
      <c r="H376" s="676"/>
      <c r="I376" s="842">
        <f t="shared" si="35"/>
        <v>478.23849663124651</v>
      </c>
      <c r="J376" s="842">
        <f t="shared" si="36"/>
        <v>72</v>
      </c>
      <c r="K376" s="842">
        <f t="shared" si="36"/>
        <v>72</v>
      </c>
      <c r="L376" s="842">
        <f t="shared" si="36"/>
        <v>72</v>
      </c>
      <c r="M376" s="842">
        <f t="shared" si="36"/>
        <v>72</v>
      </c>
      <c r="N376" s="842">
        <f t="shared" si="36"/>
        <v>72</v>
      </c>
      <c r="O376" s="842">
        <f t="shared" si="36"/>
        <v>72</v>
      </c>
      <c r="P376" s="842">
        <f t="shared" ref="P376:AK376" si="48">$B$365*$B296+$B$366*$B328+$B$367*$B360+$B$368</f>
        <v>524.49921899005813</v>
      </c>
      <c r="Q376" s="842">
        <f t="shared" si="36"/>
        <v>72</v>
      </c>
      <c r="R376" s="842">
        <f t="shared" si="36"/>
        <v>72</v>
      </c>
      <c r="S376" s="842">
        <f t="shared" si="36"/>
        <v>72</v>
      </c>
      <c r="T376" s="842">
        <f t="shared" si="36"/>
        <v>72</v>
      </c>
      <c r="U376" s="842">
        <f t="shared" si="36"/>
        <v>72</v>
      </c>
      <c r="V376" s="842">
        <f t="shared" si="36"/>
        <v>72</v>
      </c>
      <c r="W376" s="842">
        <f t="shared" si="48"/>
        <v>524.49921899005813</v>
      </c>
      <c r="X376" s="842">
        <f t="shared" si="32"/>
        <v>72</v>
      </c>
      <c r="Y376" s="842">
        <f t="shared" si="32"/>
        <v>72</v>
      </c>
      <c r="Z376" s="842">
        <f t="shared" si="32"/>
        <v>72</v>
      </c>
      <c r="AA376" s="842">
        <f t="shared" si="32"/>
        <v>72</v>
      </c>
      <c r="AB376" s="842">
        <f t="shared" si="32"/>
        <v>72</v>
      </c>
      <c r="AC376" s="842">
        <f t="shared" si="32"/>
        <v>72</v>
      </c>
      <c r="AD376" s="842">
        <f t="shared" si="48"/>
        <v>524.49921899005813</v>
      </c>
      <c r="AE376" s="842">
        <f t="shared" si="38"/>
        <v>72</v>
      </c>
      <c r="AF376" s="842">
        <f t="shared" si="38"/>
        <v>72</v>
      </c>
      <c r="AG376" s="842">
        <f t="shared" si="38"/>
        <v>72</v>
      </c>
      <c r="AH376" s="842">
        <f t="shared" si="38"/>
        <v>72</v>
      </c>
      <c r="AI376" s="842">
        <f t="shared" si="38"/>
        <v>72</v>
      </c>
      <c r="AJ376" s="842">
        <f t="shared" si="38"/>
        <v>72</v>
      </c>
      <c r="AK376" s="842">
        <f t="shared" si="48"/>
        <v>524.49921899005813</v>
      </c>
      <c r="AL376" s="842">
        <f t="shared" si="38"/>
        <v>72</v>
      </c>
      <c r="AM376" s="842">
        <f t="shared" si="38"/>
        <v>72</v>
      </c>
      <c r="AN376" s="842">
        <f t="shared" si="38"/>
        <v>72</v>
      </c>
      <c r="AO376" s="842">
        <f t="shared" si="38"/>
        <v>72</v>
      </c>
      <c r="AP376" s="675"/>
    </row>
    <row r="377" spans="1:42" ht="14.25" customHeight="1" x14ac:dyDescent="0.3">
      <c r="A377" s="1215"/>
      <c r="B377" s="644"/>
      <c r="C377" s="678"/>
      <c r="D377" s="676" t="s">
        <v>861</v>
      </c>
      <c r="E377" s="676"/>
      <c r="F377" s="676"/>
      <c r="G377" s="676"/>
      <c r="H377" s="676"/>
      <c r="I377" s="842">
        <f t="shared" si="35"/>
        <v>142.63572145023977</v>
      </c>
      <c r="J377" s="842">
        <f t="shared" si="36"/>
        <v>72</v>
      </c>
      <c r="K377" s="842">
        <f t="shared" si="36"/>
        <v>72</v>
      </c>
      <c r="L377" s="842">
        <f t="shared" si="36"/>
        <v>72</v>
      </c>
      <c r="M377" s="842">
        <f t="shared" si="36"/>
        <v>72</v>
      </c>
      <c r="N377" s="842">
        <f t="shared" si="36"/>
        <v>72</v>
      </c>
      <c r="O377" s="842">
        <f t="shared" si="36"/>
        <v>72</v>
      </c>
      <c r="P377" s="842">
        <f t="shared" ref="P377:AK377" si="49">$B$365*$B297+$B$366*$B329+$B$367*$B361+$B$368</f>
        <v>137.70709442015465</v>
      </c>
      <c r="Q377" s="842">
        <f t="shared" si="36"/>
        <v>72</v>
      </c>
      <c r="R377" s="842">
        <f t="shared" si="36"/>
        <v>72</v>
      </c>
      <c r="S377" s="842">
        <f t="shared" si="36"/>
        <v>72</v>
      </c>
      <c r="T377" s="842">
        <f t="shared" si="36"/>
        <v>72</v>
      </c>
      <c r="U377" s="842">
        <f t="shared" si="36"/>
        <v>72</v>
      </c>
      <c r="V377" s="842">
        <f t="shared" si="36"/>
        <v>72</v>
      </c>
      <c r="W377" s="842">
        <f t="shared" si="49"/>
        <v>137.70709442015465</v>
      </c>
      <c r="X377" s="842">
        <f t="shared" si="32"/>
        <v>72</v>
      </c>
      <c r="Y377" s="842">
        <f t="shared" si="32"/>
        <v>72</v>
      </c>
      <c r="Z377" s="842">
        <f t="shared" si="32"/>
        <v>72</v>
      </c>
      <c r="AA377" s="842">
        <f t="shared" si="32"/>
        <v>72</v>
      </c>
      <c r="AB377" s="842">
        <f t="shared" si="32"/>
        <v>72</v>
      </c>
      <c r="AC377" s="842">
        <f t="shared" si="32"/>
        <v>72</v>
      </c>
      <c r="AD377" s="842">
        <f t="shared" si="49"/>
        <v>137.70709442015465</v>
      </c>
      <c r="AE377" s="842">
        <f t="shared" si="38"/>
        <v>72</v>
      </c>
      <c r="AF377" s="842">
        <f t="shared" si="38"/>
        <v>72</v>
      </c>
      <c r="AG377" s="842">
        <f t="shared" si="38"/>
        <v>72</v>
      </c>
      <c r="AH377" s="842">
        <f t="shared" si="38"/>
        <v>72</v>
      </c>
      <c r="AI377" s="842">
        <f t="shared" si="38"/>
        <v>72</v>
      </c>
      <c r="AJ377" s="842">
        <f t="shared" si="38"/>
        <v>72</v>
      </c>
      <c r="AK377" s="842">
        <f t="shared" si="49"/>
        <v>137.70709442015465</v>
      </c>
      <c r="AL377" s="842">
        <f t="shared" si="38"/>
        <v>72</v>
      </c>
      <c r="AM377" s="842">
        <f t="shared" si="38"/>
        <v>72</v>
      </c>
      <c r="AN377" s="842">
        <f t="shared" si="38"/>
        <v>72</v>
      </c>
      <c r="AO377" s="842">
        <f t="shared" si="38"/>
        <v>72</v>
      </c>
      <c r="AP377" s="675"/>
    </row>
    <row r="378" spans="1:42" ht="13.5" customHeight="1" x14ac:dyDescent="0.3">
      <c r="A378" s="1215"/>
      <c r="B378" s="644"/>
      <c r="C378" s="678"/>
      <c r="D378" s="676" t="s">
        <v>862</v>
      </c>
      <c r="E378" s="676"/>
      <c r="F378" s="676"/>
      <c r="G378" s="676"/>
      <c r="H378" s="676"/>
      <c r="I378" s="842">
        <f t="shared" si="35"/>
        <v>1650.357064932798</v>
      </c>
      <c r="J378" s="842">
        <f t="shared" si="36"/>
        <v>72</v>
      </c>
      <c r="K378" s="842">
        <f t="shared" si="36"/>
        <v>72</v>
      </c>
      <c r="L378" s="842">
        <f t="shared" si="36"/>
        <v>72</v>
      </c>
      <c r="M378" s="842">
        <f t="shared" si="36"/>
        <v>72</v>
      </c>
      <c r="N378" s="842">
        <f t="shared" si="36"/>
        <v>72</v>
      </c>
      <c r="O378" s="842">
        <f t="shared" si="36"/>
        <v>72</v>
      </c>
      <c r="P378" s="842">
        <f t="shared" ref="P378:AK378" si="50">$B$365*$B298+$B$366*$B330+$B$367*$B362+$B$368</f>
        <v>1737.2101985110442</v>
      </c>
      <c r="Q378" s="842">
        <f t="shared" si="36"/>
        <v>72</v>
      </c>
      <c r="R378" s="842">
        <f t="shared" si="36"/>
        <v>72</v>
      </c>
      <c r="S378" s="842">
        <f t="shared" si="36"/>
        <v>72</v>
      </c>
      <c r="T378" s="842">
        <f t="shared" si="36"/>
        <v>72</v>
      </c>
      <c r="U378" s="842">
        <f t="shared" si="36"/>
        <v>72</v>
      </c>
      <c r="V378" s="842">
        <f t="shared" si="36"/>
        <v>72</v>
      </c>
      <c r="W378" s="842">
        <f t="shared" si="50"/>
        <v>1737.2101985110442</v>
      </c>
      <c r="X378" s="842">
        <f t="shared" si="32"/>
        <v>72</v>
      </c>
      <c r="Y378" s="842">
        <f t="shared" si="32"/>
        <v>72</v>
      </c>
      <c r="Z378" s="842">
        <f t="shared" si="32"/>
        <v>72</v>
      </c>
      <c r="AA378" s="842">
        <f t="shared" si="32"/>
        <v>72</v>
      </c>
      <c r="AB378" s="842">
        <f t="shared" si="32"/>
        <v>72</v>
      </c>
      <c r="AC378" s="842">
        <f t="shared" si="32"/>
        <v>72</v>
      </c>
      <c r="AD378" s="842">
        <f t="shared" si="50"/>
        <v>1737.2101985110442</v>
      </c>
      <c r="AE378" s="842">
        <f t="shared" si="38"/>
        <v>72</v>
      </c>
      <c r="AF378" s="842">
        <f t="shared" si="38"/>
        <v>72</v>
      </c>
      <c r="AG378" s="842">
        <f t="shared" si="38"/>
        <v>72</v>
      </c>
      <c r="AH378" s="842">
        <f t="shared" si="38"/>
        <v>72</v>
      </c>
      <c r="AI378" s="842">
        <f t="shared" si="38"/>
        <v>72</v>
      </c>
      <c r="AJ378" s="842">
        <f t="shared" si="38"/>
        <v>72</v>
      </c>
      <c r="AK378" s="842">
        <f t="shared" si="50"/>
        <v>1737.2101985110442</v>
      </c>
      <c r="AL378" s="842">
        <f t="shared" si="38"/>
        <v>72</v>
      </c>
      <c r="AM378" s="842">
        <f t="shared" si="38"/>
        <v>72</v>
      </c>
      <c r="AN378" s="842">
        <f t="shared" si="38"/>
        <v>72</v>
      </c>
      <c r="AO378" s="842">
        <f t="shared" si="38"/>
        <v>72</v>
      </c>
      <c r="AP378" s="675"/>
    </row>
    <row r="379" spans="1:42" ht="13.5" customHeight="1" x14ac:dyDescent="0.3">
      <c r="A379" s="1215"/>
      <c r="B379" s="644"/>
      <c r="C379" s="678"/>
      <c r="D379" s="676" t="s">
        <v>863</v>
      </c>
      <c r="E379" s="676"/>
      <c r="F379" s="676"/>
      <c r="G379" s="676"/>
      <c r="H379" s="676"/>
      <c r="I379" s="842">
        <f t="shared" si="35"/>
        <v>3238.5</v>
      </c>
      <c r="J379" s="842">
        <f t="shared" si="36"/>
        <v>72</v>
      </c>
      <c r="K379" s="842">
        <f t="shared" si="36"/>
        <v>72</v>
      </c>
      <c r="L379" s="842">
        <f t="shared" si="36"/>
        <v>72</v>
      </c>
      <c r="M379" s="842">
        <f t="shared" si="36"/>
        <v>72</v>
      </c>
      <c r="N379" s="842">
        <f t="shared" si="36"/>
        <v>72</v>
      </c>
      <c r="O379" s="842">
        <f t="shared" si="36"/>
        <v>72</v>
      </c>
      <c r="P379" s="842">
        <f t="shared" ref="P379:AK379" si="51">$B$365*$B299+$B$366*$B331+$B$367*$B363+$B$368</f>
        <v>3238.5</v>
      </c>
      <c r="Q379" s="842">
        <f t="shared" si="36"/>
        <v>72</v>
      </c>
      <c r="R379" s="842">
        <f t="shared" si="36"/>
        <v>72</v>
      </c>
      <c r="S379" s="842">
        <f t="shared" si="36"/>
        <v>72</v>
      </c>
      <c r="T379" s="842">
        <f t="shared" si="36"/>
        <v>72</v>
      </c>
      <c r="U379" s="842">
        <f t="shared" si="36"/>
        <v>72</v>
      </c>
      <c r="V379" s="842">
        <f t="shared" si="36"/>
        <v>72</v>
      </c>
      <c r="W379" s="842">
        <f t="shared" si="51"/>
        <v>3238.5</v>
      </c>
      <c r="X379" s="842">
        <f t="shared" si="32"/>
        <v>72</v>
      </c>
      <c r="Y379" s="842">
        <f t="shared" si="32"/>
        <v>72</v>
      </c>
      <c r="Z379" s="842">
        <f t="shared" si="32"/>
        <v>72</v>
      </c>
      <c r="AA379" s="842">
        <f t="shared" si="32"/>
        <v>72</v>
      </c>
      <c r="AB379" s="842">
        <f t="shared" si="32"/>
        <v>72</v>
      </c>
      <c r="AC379" s="842">
        <f t="shared" si="32"/>
        <v>72</v>
      </c>
      <c r="AD379" s="842">
        <f t="shared" si="51"/>
        <v>3238.5</v>
      </c>
      <c r="AE379" s="842">
        <f t="shared" si="38"/>
        <v>72</v>
      </c>
      <c r="AF379" s="842">
        <f t="shared" si="38"/>
        <v>72</v>
      </c>
      <c r="AG379" s="842">
        <f t="shared" si="38"/>
        <v>72</v>
      </c>
      <c r="AH379" s="842">
        <f t="shared" si="38"/>
        <v>72</v>
      </c>
      <c r="AI379" s="842">
        <f t="shared" si="38"/>
        <v>72</v>
      </c>
      <c r="AJ379" s="842">
        <f t="shared" si="38"/>
        <v>72</v>
      </c>
      <c r="AK379" s="842">
        <f t="shared" si="51"/>
        <v>3238.5</v>
      </c>
      <c r="AL379" s="842">
        <f t="shared" si="38"/>
        <v>72</v>
      </c>
      <c r="AM379" s="842">
        <f t="shared" si="38"/>
        <v>72</v>
      </c>
      <c r="AN379" s="842">
        <f t="shared" si="38"/>
        <v>72</v>
      </c>
      <c r="AO379" s="842">
        <f t="shared" si="38"/>
        <v>72</v>
      </c>
      <c r="AP379" s="675"/>
    </row>
    <row r="380" spans="1:42" ht="14.25" customHeight="1" x14ac:dyDescent="0.3">
      <c r="A380" s="973"/>
      <c r="B380" s="644"/>
      <c r="C380" s="679"/>
      <c r="D380" s="682"/>
      <c r="E380" s="683"/>
      <c r="F380" s="683"/>
      <c r="G380" s="683"/>
      <c r="H380" s="683"/>
      <c r="I380" s="683"/>
      <c r="J380" s="683"/>
      <c r="K380" s="683"/>
      <c r="L380" s="683"/>
      <c r="M380" s="683"/>
      <c r="N380" s="682"/>
      <c r="O380" s="682"/>
      <c r="P380" s="682"/>
      <c r="Q380" s="682"/>
      <c r="R380" s="682"/>
      <c r="S380" s="682"/>
      <c r="T380" s="682"/>
      <c r="U380" s="682"/>
      <c r="V380" s="682"/>
      <c r="W380" s="682"/>
      <c r="X380" s="682"/>
      <c r="Y380" s="682"/>
      <c r="Z380" s="682"/>
      <c r="AA380" s="682"/>
      <c r="AB380" s="682"/>
      <c r="AC380" s="682"/>
      <c r="AD380" s="682"/>
      <c r="AE380" s="682"/>
      <c r="AF380" s="682"/>
      <c r="AG380" s="682"/>
      <c r="AH380" s="682"/>
      <c r="AI380" s="682"/>
      <c r="AJ380" s="682"/>
      <c r="AK380" s="682"/>
      <c r="AL380" s="682"/>
      <c r="AM380" s="682"/>
      <c r="AN380" s="682"/>
      <c r="AO380" s="682"/>
      <c r="AP380" s="675"/>
    </row>
    <row r="381" spans="1:42" ht="14.25" customHeight="1" x14ac:dyDescent="0.3">
      <c r="A381" s="973"/>
      <c r="B381" s="644"/>
      <c r="C381" s="679"/>
      <c r="D381" s="681" t="s">
        <v>963</v>
      </c>
      <c r="E381" s="672"/>
      <c r="F381" s="672"/>
      <c r="G381" s="676"/>
      <c r="H381" s="676"/>
      <c r="I381" s="676"/>
      <c r="J381" s="676"/>
      <c r="K381" s="676"/>
      <c r="L381" s="676"/>
      <c r="M381" s="676"/>
      <c r="N381" s="676"/>
      <c r="O381" s="676"/>
      <c r="P381" s="676"/>
      <c r="Q381" s="676"/>
      <c r="R381" s="676"/>
      <c r="S381" s="676"/>
      <c r="T381" s="676"/>
      <c r="U381" s="676"/>
      <c r="V381" s="676"/>
      <c r="W381" s="676"/>
      <c r="X381" s="676"/>
      <c r="Y381" s="676"/>
      <c r="Z381" s="676"/>
      <c r="AA381" s="676"/>
      <c r="AB381" s="676"/>
      <c r="AC381" s="676"/>
      <c r="AD381" s="676"/>
      <c r="AE381" s="676"/>
      <c r="AF381" s="676"/>
      <c r="AG381" s="676"/>
      <c r="AH381" s="676"/>
      <c r="AI381" s="676"/>
      <c r="AJ381" s="676"/>
      <c r="AK381" s="676"/>
      <c r="AL381" s="676"/>
      <c r="AM381" s="676"/>
      <c r="AN381" s="676"/>
      <c r="AO381" s="676"/>
      <c r="AP381" s="675"/>
    </row>
    <row r="382" spans="1:42" ht="14.25" customHeight="1" x14ac:dyDescent="0.3">
      <c r="A382" s="973"/>
      <c r="B382" s="644"/>
      <c r="C382" s="679"/>
      <c r="D382" s="680" t="s">
        <v>964</v>
      </c>
      <c r="E382" s="672"/>
      <c r="F382" s="672"/>
      <c r="G382" s="676"/>
      <c r="H382" s="676"/>
      <c r="I382" s="676"/>
      <c r="J382" s="676"/>
      <c r="K382" s="676"/>
      <c r="L382" s="676"/>
      <c r="M382" s="676"/>
      <c r="N382" s="676"/>
      <c r="O382" s="676"/>
      <c r="P382" s="676"/>
      <c r="Q382" s="676"/>
      <c r="R382" s="676"/>
      <c r="S382" s="676"/>
      <c r="T382" s="676"/>
      <c r="U382" s="676"/>
      <c r="V382" s="676"/>
      <c r="W382" s="676"/>
      <c r="X382" s="676"/>
      <c r="Y382" s="676"/>
      <c r="Z382" s="676"/>
      <c r="AA382" s="676"/>
      <c r="AB382" s="676"/>
      <c r="AC382" s="676"/>
      <c r="AD382" s="676"/>
      <c r="AE382" s="676"/>
      <c r="AF382" s="676"/>
      <c r="AG382" s="676"/>
      <c r="AH382" s="676"/>
      <c r="AI382" s="676"/>
      <c r="AJ382" s="676"/>
      <c r="AK382" s="676"/>
      <c r="AL382" s="676"/>
      <c r="AM382" s="676"/>
      <c r="AN382" s="676"/>
      <c r="AO382" s="676"/>
      <c r="AP382" s="675"/>
    </row>
    <row r="383" spans="1:42" ht="14.25" hidden="1" customHeight="1" x14ac:dyDescent="0.3">
      <c r="A383" s="973"/>
      <c r="B383" s="644"/>
      <c r="C383" s="679"/>
      <c r="D383" s="676" t="s">
        <v>965</v>
      </c>
      <c r="E383" s="677">
        <v>0.67810000000000004</v>
      </c>
      <c r="F383" s="677">
        <v>0.90944168697683136</v>
      </c>
      <c r="G383" s="677">
        <v>1.0945992857380624</v>
      </c>
      <c r="H383" s="677">
        <v>0.78367661745014527</v>
      </c>
      <c r="I383" s="677">
        <v>0.58556431291301059</v>
      </c>
      <c r="J383" s="677">
        <v>0.62682343292285725</v>
      </c>
      <c r="K383" s="677">
        <v>0.74768786358758421</v>
      </c>
      <c r="L383" s="677">
        <v>0.5084779227283579</v>
      </c>
      <c r="M383" s="677">
        <v>0.5084779227283579</v>
      </c>
      <c r="N383" s="677">
        <v>0.5084779227283579</v>
      </c>
      <c r="O383" s="677">
        <v>0.5084779227283579</v>
      </c>
      <c r="P383" s="677">
        <v>0.5084779227283579</v>
      </c>
      <c r="Q383" s="677">
        <v>0.5084779227283579</v>
      </c>
      <c r="R383" s="677">
        <v>0.5084779227283579</v>
      </c>
      <c r="S383" s="677">
        <v>0.5084779227283579</v>
      </c>
      <c r="T383" s="677">
        <v>0.5084779227283579</v>
      </c>
      <c r="U383" s="677">
        <v>0.5084779227283579</v>
      </c>
      <c r="V383" s="677">
        <v>0.5084779227283579</v>
      </c>
      <c r="W383" s="677">
        <v>0.5084779227283579</v>
      </c>
      <c r="X383" s="677">
        <v>0.5084779227283579</v>
      </c>
      <c r="Y383" s="677">
        <v>0.5084779227283579</v>
      </c>
      <c r="Z383" s="677">
        <v>0.5084779227283579</v>
      </c>
      <c r="AA383" s="677">
        <v>0.5084779227283579</v>
      </c>
      <c r="AB383" s="677">
        <v>0.5084779227283579</v>
      </c>
      <c r="AC383" s="677">
        <v>0.5084779227283579</v>
      </c>
      <c r="AD383" s="677">
        <v>0.5084779227283579</v>
      </c>
      <c r="AE383" s="677">
        <v>0.5084779227283579</v>
      </c>
      <c r="AF383" s="677">
        <v>0.5084779227283579</v>
      </c>
      <c r="AG383" s="677">
        <v>0.5084779227283579</v>
      </c>
      <c r="AH383" s="677">
        <v>0.5084779227283579</v>
      </c>
      <c r="AI383" s="677">
        <v>0.5084779227283579</v>
      </c>
      <c r="AJ383" s="677">
        <v>0.5084779227283579</v>
      </c>
      <c r="AK383" s="677">
        <v>0.5084779227283579</v>
      </c>
      <c r="AL383" s="677">
        <v>0.5084779227283579</v>
      </c>
      <c r="AM383" s="677">
        <v>0.5084779227283579</v>
      </c>
      <c r="AN383" s="677">
        <v>0.5084779227283579</v>
      </c>
      <c r="AO383" s="677">
        <v>0.5084779227283579</v>
      </c>
      <c r="AP383" s="675"/>
    </row>
    <row r="384" spans="1:42" ht="14.25" hidden="1" customHeight="1" x14ac:dyDescent="0.3">
      <c r="A384" s="1216" t="s">
        <v>521</v>
      </c>
      <c r="B384" s="644"/>
      <c r="C384" s="678"/>
      <c r="D384" s="676" t="s">
        <v>966</v>
      </c>
      <c r="E384" s="677">
        <v>0.84612162999999996</v>
      </c>
      <c r="F384" s="677">
        <v>0.84145920500000004</v>
      </c>
      <c r="G384" s="677">
        <v>0.85075988199999997</v>
      </c>
      <c r="H384" s="677">
        <v>0.93144318699999995</v>
      </c>
      <c r="I384" s="677">
        <v>0.90503627399999997</v>
      </c>
      <c r="J384" s="677">
        <v>1.0444</v>
      </c>
      <c r="K384" s="677">
        <v>0.95530616999999995</v>
      </c>
      <c r="L384" s="677">
        <v>0.98483810299999996</v>
      </c>
      <c r="M384" s="677">
        <v>0.98483810299999996</v>
      </c>
      <c r="N384" s="677">
        <v>0.98483810299999996</v>
      </c>
      <c r="O384" s="677">
        <v>0.98483810299999996</v>
      </c>
      <c r="P384" s="677">
        <v>0.98483810299999996</v>
      </c>
      <c r="Q384" s="677">
        <v>0.98483810299999996</v>
      </c>
      <c r="R384" s="677">
        <v>0.98483810299999996</v>
      </c>
      <c r="S384" s="677">
        <v>0.98483810299999996</v>
      </c>
      <c r="T384" s="677">
        <v>0.98483810299999996</v>
      </c>
      <c r="U384" s="677">
        <v>0.98483810299999996</v>
      </c>
      <c r="V384" s="677">
        <v>0.98483810299999996</v>
      </c>
      <c r="W384" s="677">
        <v>0.98483810299999996</v>
      </c>
      <c r="X384" s="677">
        <v>0.98483810299999996</v>
      </c>
      <c r="Y384" s="677">
        <v>0.98483810299999996</v>
      </c>
      <c r="Z384" s="677">
        <v>0.98483810299999996</v>
      </c>
      <c r="AA384" s="677">
        <v>0.98483810299999996</v>
      </c>
      <c r="AB384" s="677">
        <v>0.98483810299999996</v>
      </c>
      <c r="AC384" s="677">
        <v>0.98483810299999996</v>
      </c>
      <c r="AD384" s="677">
        <v>0.98483810299999996</v>
      </c>
      <c r="AE384" s="677">
        <v>0.98483810299999996</v>
      </c>
      <c r="AF384" s="677">
        <v>0.98483810299999996</v>
      </c>
      <c r="AG384" s="677">
        <v>0.98483810299999996</v>
      </c>
      <c r="AH384" s="677">
        <v>0.98483810299999996</v>
      </c>
      <c r="AI384" s="677">
        <v>0.98483810299999996</v>
      </c>
      <c r="AJ384" s="677">
        <v>0.98483810299999996</v>
      </c>
      <c r="AK384" s="677">
        <v>0.98483810299999996</v>
      </c>
      <c r="AL384" s="677">
        <v>0.98483810299999996</v>
      </c>
      <c r="AM384" s="677">
        <v>0.98483810299999996</v>
      </c>
      <c r="AN384" s="677">
        <v>0.98483810299999996</v>
      </c>
      <c r="AO384" s="677">
        <v>0.98483810299999996</v>
      </c>
      <c r="AP384" s="675"/>
    </row>
    <row r="385" spans="1:42" ht="14.25" hidden="1" customHeight="1" x14ac:dyDescent="0.3">
      <c r="A385" s="1217"/>
      <c r="B385" s="644"/>
      <c r="C385" s="678"/>
      <c r="D385" s="676" t="s">
        <v>967</v>
      </c>
      <c r="E385" s="677">
        <v>2.9537</v>
      </c>
      <c r="F385" s="677">
        <v>2.9879176178313904</v>
      </c>
      <c r="G385" s="677">
        <v>2.7373634777989206</v>
      </c>
      <c r="H385" s="677">
        <v>2.0089584872320052</v>
      </c>
      <c r="I385" s="677">
        <v>2.2675286096153946</v>
      </c>
      <c r="J385" s="677">
        <v>2.4258385585967996</v>
      </c>
      <c r="K385" s="677">
        <v>2.5244147370792316</v>
      </c>
      <c r="L385" s="677">
        <v>2.4848330128098568</v>
      </c>
      <c r="M385" s="677">
        <v>2.4848330128098568</v>
      </c>
      <c r="N385" s="677">
        <v>2.4848330128098568</v>
      </c>
      <c r="O385" s="677">
        <v>2.4848330128098568</v>
      </c>
      <c r="P385" s="677">
        <v>2.4848330128098568</v>
      </c>
      <c r="Q385" s="677">
        <v>2.4848330128098568</v>
      </c>
      <c r="R385" s="677">
        <v>2.4848330128098568</v>
      </c>
      <c r="S385" s="677">
        <v>2.4848330128098568</v>
      </c>
      <c r="T385" s="677">
        <v>2.4848330128098568</v>
      </c>
      <c r="U385" s="677">
        <v>2.4848330128098568</v>
      </c>
      <c r="V385" s="677">
        <v>2.4848330128098568</v>
      </c>
      <c r="W385" s="677">
        <v>2.4848330128098568</v>
      </c>
      <c r="X385" s="677">
        <v>2.4848330128098568</v>
      </c>
      <c r="Y385" s="677">
        <v>2.4848330128098568</v>
      </c>
      <c r="Z385" s="677">
        <v>2.4848330128098568</v>
      </c>
      <c r="AA385" s="677">
        <v>2.4848330128098568</v>
      </c>
      <c r="AB385" s="677">
        <v>2.4848330128098568</v>
      </c>
      <c r="AC385" s="677">
        <v>2.4848330128098568</v>
      </c>
      <c r="AD385" s="677">
        <v>2.4848330128098568</v>
      </c>
      <c r="AE385" s="677">
        <v>2.4848330128098568</v>
      </c>
      <c r="AF385" s="677">
        <v>2.4848330128098568</v>
      </c>
      <c r="AG385" s="677">
        <v>2.4848330128098568</v>
      </c>
      <c r="AH385" s="677">
        <v>2.4848330128098568</v>
      </c>
      <c r="AI385" s="677">
        <v>2.4848330128098568</v>
      </c>
      <c r="AJ385" s="677">
        <v>2.4848330128098568</v>
      </c>
      <c r="AK385" s="677">
        <v>2.4848330128098568</v>
      </c>
      <c r="AL385" s="677">
        <v>2.4848330128098568</v>
      </c>
      <c r="AM385" s="677">
        <v>2.4848330128098568</v>
      </c>
      <c r="AN385" s="677">
        <v>2.4848330128098568</v>
      </c>
      <c r="AO385" s="677">
        <v>2.4848330128098568</v>
      </c>
      <c r="AP385" s="675"/>
    </row>
    <row r="386" spans="1:42" ht="14.25" hidden="1" customHeight="1" x14ac:dyDescent="0.3">
      <c r="A386" s="1217"/>
      <c r="B386" s="644"/>
      <c r="C386" s="678"/>
      <c r="D386" s="676" t="s">
        <v>968</v>
      </c>
      <c r="E386" s="677">
        <v>2.7928999999999999</v>
      </c>
      <c r="F386" s="677">
        <v>3.0703628600518442</v>
      </c>
      <c r="G386" s="677">
        <v>3.5945044328095097</v>
      </c>
      <c r="H386" s="677">
        <v>3.4101590277894136</v>
      </c>
      <c r="I386" s="677">
        <v>3.017987041221573</v>
      </c>
      <c r="J386" s="677">
        <v>4.9759967642510814</v>
      </c>
      <c r="K386" s="677">
        <v>5.0713288557344613</v>
      </c>
      <c r="L386" s="677">
        <v>4.0550960690801645</v>
      </c>
      <c r="M386" s="677">
        <v>4.0550960690801645</v>
      </c>
      <c r="N386" s="677">
        <v>4.0550960690801645</v>
      </c>
      <c r="O386" s="677">
        <v>4.0550960690801645</v>
      </c>
      <c r="P386" s="677">
        <v>4.0550960690801645</v>
      </c>
      <c r="Q386" s="677">
        <v>4.0550960690801645</v>
      </c>
      <c r="R386" s="677">
        <v>4.0550960690801645</v>
      </c>
      <c r="S386" s="677">
        <v>4.0550960690801645</v>
      </c>
      <c r="T386" s="677">
        <v>4.0550960690801645</v>
      </c>
      <c r="U386" s="677">
        <v>4.0550960690801645</v>
      </c>
      <c r="V386" s="677">
        <v>4.0550960690801645</v>
      </c>
      <c r="W386" s="677">
        <v>4.0550960690801645</v>
      </c>
      <c r="X386" s="677">
        <v>4.0550960690801645</v>
      </c>
      <c r="Y386" s="677">
        <v>4.0550960690801645</v>
      </c>
      <c r="Z386" s="677">
        <v>4.0550960690801645</v>
      </c>
      <c r="AA386" s="677">
        <v>4.0550960690801645</v>
      </c>
      <c r="AB386" s="677">
        <v>4.0550960690801645</v>
      </c>
      <c r="AC386" s="677">
        <v>4.0550960690801645</v>
      </c>
      <c r="AD386" s="677">
        <v>4.0550960690801645</v>
      </c>
      <c r="AE386" s="677">
        <v>4.0550960690801645</v>
      </c>
      <c r="AF386" s="677">
        <v>4.0550960690801645</v>
      </c>
      <c r="AG386" s="677">
        <v>4.0550960690801645</v>
      </c>
      <c r="AH386" s="677">
        <v>4.0550960690801645</v>
      </c>
      <c r="AI386" s="677">
        <v>4.0550960690801645</v>
      </c>
      <c r="AJ386" s="677">
        <v>4.0550960690801645</v>
      </c>
      <c r="AK386" s="677">
        <v>4.0550960690801645</v>
      </c>
      <c r="AL386" s="677">
        <v>4.0550960690801645</v>
      </c>
      <c r="AM386" s="677">
        <v>4.0550960690801645</v>
      </c>
      <c r="AN386" s="677">
        <v>4.0550960690801645</v>
      </c>
      <c r="AO386" s="677">
        <v>4.0550960690801645</v>
      </c>
      <c r="AP386" s="675"/>
    </row>
    <row r="387" spans="1:42" ht="14.25" hidden="1" customHeight="1" x14ac:dyDescent="0.3">
      <c r="A387" s="1217"/>
      <c r="B387" s="644"/>
      <c r="C387" s="678"/>
      <c r="D387" s="676" t="s">
        <v>969</v>
      </c>
      <c r="E387" s="677">
        <v>0.56540000000000001</v>
      </c>
      <c r="F387" s="677">
        <v>0.88904054314540115</v>
      </c>
      <c r="G387" s="677">
        <v>0.61592292486312405</v>
      </c>
      <c r="H387" s="677">
        <v>0.58764615402730191</v>
      </c>
      <c r="I387" s="677">
        <v>0.89586835076288174</v>
      </c>
      <c r="J387" s="677">
        <v>0.47944599393399834</v>
      </c>
      <c r="K387" s="677">
        <v>0.48383805640920463</v>
      </c>
      <c r="L387" s="677">
        <v>0.68905175947220232</v>
      </c>
      <c r="M387" s="677">
        <v>0.68905175947220232</v>
      </c>
      <c r="N387" s="677">
        <v>0.68905175947220232</v>
      </c>
      <c r="O387" s="677">
        <v>0.68905175947220232</v>
      </c>
      <c r="P387" s="677">
        <v>0.68905175947220232</v>
      </c>
      <c r="Q387" s="677">
        <v>0.68905175947220232</v>
      </c>
      <c r="R387" s="677">
        <v>0.68905175947220232</v>
      </c>
      <c r="S387" s="677">
        <v>0.68905175947220232</v>
      </c>
      <c r="T387" s="677">
        <v>0.68905175947220232</v>
      </c>
      <c r="U387" s="677">
        <v>0.68905175947220232</v>
      </c>
      <c r="V387" s="677">
        <v>0.68905175947220232</v>
      </c>
      <c r="W387" s="677">
        <v>0.68905175947220232</v>
      </c>
      <c r="X387" s="677">
        <v>0.68905175947220232</v>
      </c>
      <c r="Y387" s="677">
        <v>0.68905175947220232</v>
      </c>
      <c r="Z387" s="677">
        <v>0.68905175947220232</v>
      </c>
      <c r="AA387" s="677">
        <v>0.68905175947220232</v>
      </c>
      <c r="AB387" s="677">
        <v>0.68905175947220232</v>
      </c>
      <c r="AC387" s="677">
        <v>0.68905175947220232</v>
      </c>
      <c r="AD387" s="677">
        <v>0.68905175947220232</v>
      </c>
      <c r="AE387" s="677">
        <v>0.68905175947220232</v>
      </c>
      <c r="AF387" s="677">
        <v>0.68905175947220232</v>
      </c>
      <c r="AG387" s="677">
        <v>0.68905175947220232</v>
      </c>
      <c r="AH387" s="677">
        <v>0.68905175947220232</v>
      </c>
      <c r="AI387" s="677">
        <v>0.68905175947220232</v>
      </c>
      <c r="AJ387" s="677">
        <v>0.68905175947220232</v>
      </c>
      <c r="AK387" s="677">
        <v>0.68905175947220232</v>
      </c>
      <c r="AL387" s="677">
        <v>0.68905175947220232</v>
      </c>
      <c r="AM387" s="677">
        <v>0.68905175947220232</v>
      </c>
      <c r="AN387" s="677">
        <v>0.68905175947220232</v>
      </c>
      <c r="AO387" s="677">
        <v>0.68905175947220232</v>
      </c>
      <c r="AP387" s="675"/>
    </row>
    <row r="388" spans="1:42" ht="14.25" hidden="1" customHeight="1" x14ac:dyDescent="0.3">
      <c r="A388" s="1217"/>
      <c r="B388" s="644"/>
      <c r="C388" s="678"/>
      <c r="D388" s="676" t="s">
        <v>970</v>
      </c>
      <c r="E388" s="677">
        <v>1.5027999999999999</v>
      </c>
      <c r="F388" s="677">
        <v>3.0433843870000001</v>
      </c>
      <c r="G388" s="677">
        <v>3.9061560989999999</v>
      </c>
      <c r="H388" s="677">
        <v>2.784547291</v>
      </c>
      <c r="I388" s="677">
        <v>3.899333038</v>
      </c>
      <c r="J388" s="677">
        <v>3.2644000000000002</v>
      </c>
      <c r="K388" s="677">
        <v>2.8261756020000002</v>
      </c>
      <c r="L388" s="677">
        <v>4.9982021830000001</v>
      </c>
      <c r="M388" s="677">
        <v>4.9982021830000001</v>
      </c>
      <c r="N388" s="677">
        <v>4.9982021830000001</v>
      </c>
      <c r="O388" s="677">
        <v>4.9982021830000001</v>
      </c>
      <c r="P388" s="677">
        <v>4.9982021830000001</v>
      </c>
      <c r="Q388" s="677">
        <v>4.9982021830000001</v>
      </c>
      <c r="R388" s="677">
        <v>4.9982021830000001</v>
      </c>
      <c r="S388" s="677">
        <v>4.9982021830000001</v>
      </c>
      <c r="T388" s="677">
        <v>4.9982021830000001</v>
      </c>
      <c r="U388" s="677">
        <v>4.9982021830000001</v>
      </c>
      <c r="V388" s="677">
        <v>4.9982021830000001</v>
      </c>
      <c r="W388" s="677">
        <v>4.9982021830000001</v>
      </c>
      <c r="X388" s="677">
        <v>4.9982021830000001</v>
      </c>
      <c r="Y388" s="677">
        <v>4.9982021830000001</v>
      </c>
      <c r="Z388" s="677">
        <v>4.9982021830000001</v>
      </c>
      <c r="AA388" s="677">
        <v>4.9982021830000001</v>
      </c>
      <c r="AB388" s="677">
        <v>4.9982021830000001</v>
      </c>
      <c r="AC388" s="677">
        <v>4.9982021830000001</v>
      </c>
      <c r="AD388" s="677">
        <v>4.9982021830000001</v>
      </c>
      <c r="AE388" s="677">
        <v>4.9982021830000001</v>
      </c>
      <c r="AF388" s="677">
        <v>4.9982021830000001</v>
      </c>
      <c r="AG388" s="677">
        <v>4.9982021830000001</v>
      </c>
      <c r="AH388" s="677">
        <v>4.9982021830000001</v>
      </c>
      <c r="AI388" s="677">
        <v>4.9982021830000001</v>
      </c>
      <c r="AJ388" s="677">
        <v>4.9982021830000001</v>
      </c>
      <c r="AK388" s="677">
        <v>4.9982021830000001</v>
      </c>
      <c r="AL388" s="677">
        <v>4.9982021830000001</v>
      </c>
      <c r="AM388" s="677">
        <v>4.9982021830000001</v>
      </c>
      <c r="AN388" s="677">
        <v>4.9982021830000001</v>
      </c>
      <c r="AO388" s="677">
        <v>4.9982021830000001</v>
      </c>
      <c r="AP388" s="675"/>
    </row>
    <row r="389" spans="1:42" ht="14.25" hidden="1" customHeight="1" x14ac:dyDescent="0.3">
      <c r="A389" s="1217"/>
      <c r="B389" s="644"/>
      <c r="C389" s="678"/>
      <c r="D389" s="676" t="s">
        <v>971</v>
      </c>
      <c r="E389" s="677">
        <v>0.99467446289134853</v>
      </c>
      <c r="F389" s="677">
        <v>0.81923129140946027</v>
      </c>
      <c r="G389" s="677">
        <v>0.72937499675115125</v>
      </c>
      <c r="H389" s="677">
        <v>0.81806685871498974</v>
      </c>
      <c r="I389" s="677">
        <v>0.68050340882493598</v>
      </c>
      <c r="J389" s="677">
        <v>0.67654520962706577</v>
      </c>
      <c r="K389" s="677">
        <v>0.7392336836740141</v>
      </c>
      <c r="L389" s="677">
        <v>1.2313303321334899</v>
      </c>
      <c r="M389" s="677">
        <v>1.2313303321334899</v>
      </c>
      <c r="N389" s="677">
        <v>1.2313303321334899</v>
      </c>
      <c r="O389" s="677">
        <v>1.2313303321334899</v>
      </c>
      <c r="P389" s="677">
        <v>1.2313303321334899</v>
      </c>
      <c r="Q389" s="677">
        <v>1.2313303321334899</v>
      </c>
      <c r="R389" s="677">
        <v>1.2313303321334899</v>
      </c>
      <c r="S389" s="677">
        <v>1.2313303321334899</v>
      </c>
      <c r="T389" s="677">
        <v>1.2313303321334899</v>
      </c>
      <c r="U389" s="677">
        <v>1.2313303321334899</v>
      </c>
      <c r="V389" s="677">
        <v>1.2313303321334899</v>
      </c>
      <c r="W389" s="677">
        <v>1.2313303321334899</v>
      </c>
      <c r="X389" s="677">
        <v>1.2313303321334899</v>
      </c>
      <c r="Y389" s="677">
        <v>1.2313303321334899</v>
      </c>
      <c r="Z389" s="677">
        <v>1.2313303321334899</v>
      </c>
      <c r="AA389" s="677">
        <v>1.2313303321334899</v>
      </c>
      <c r="AB389" s="677">
        <v>1.2313303321334899</v>
      </c>
      <c r="AC389" s="677">
        <v>1.2313303321334899</v>
      </c>
      <c r="AD389" s="677">
        <v>1.2313303321334899</v>
      </c>
      <c r="AE389" s="677">
        <v>1.2313303321334899</v>
      </c>
      <c r="AF389" s="677">
        <v>1.2313303321334899</v>
      </c>
      <c r="AG389" s="677">
        <v>1.2313303321334899</v>
      </c>
      <c r="AH389" s="677">
        <v>1.2313303321334899</v>
      </c>
      <c r="AI389" s="677">
        <v>1.2313303321334899</v>
      </c>
      <c r="AJ389" s="677">
        <v>1.2313303321334899</v>
      </c>
      <c r="AK389" s="677">
        <v>1.2313303321334899</v>
      </c>
      <c r="AL389" s="677">
        <v>1.2313303321334899</v>
      </c>
      <c r="AM389" s="677">
        <v>1.2313303321334899</v>
      </c>
      <c r="AN389" s="677">
        <v>1.2313303321334899</v>
      </c>
      <c r="AO389" s="677">
        <v>1.2313303321334899</v>
      </c>
      <c r="AP389" s="675"/>
    </row>
    <row r="390" spans="1:42" ht="14.25" hidden="1" customHeight="1" x14ac:dyDescent="0.3">
      <c r="A390" s="1217"/>
      <c r="B390" s="644"/>
      <c r="C390" s="678"/>
      <c r="D390" s="676" t="s">
        <v>972</v>
      </c>
      <c r="E390" s="677">
        <v>2.1031033598358553</v>
      </c>
      <c r="F390" s="677">
        <v>6.5505522514868311</v>
      </c>
      <c r="G390" s="677">
        <v>0</v>
      </c>
      <c r="H390" s="677">
        <v>0</v>
      </c>
      <c r="I390" s="677">
        <v>7.449987454093387</v>
      </c>
      <c r="J390" s="677">
        <v>3.8252295860857437</v>
      </c>
      <c r="K390" s="677">
        <v>13.523999999999999</v>
      </c>
      <c r="L390" s="677">
        <v>4.2329105210860263</v>
      </c>
      <c r="M390" s="677">
        <v>4.2329105210860263</v>
      </c>
      <c r="N390" s="677">
        <v>4.2329105210860263</v>
      </c>
      <c r="O390" s="677">
        <v>4.2329105210860263</v>
      </c>
      <c r="P390" s="677">
        <v>4.2329105210860263</v>
      </c>
      <c r="Q390" s="677">
        <v>4.2329105210860263</v>
      </c>
      <c r="R390" s="677">
        <v>4.2329105210860263</v>
      </c>
      <c r="S390" s="677">
        <v>4.2329105210860263</v>
      </c>
      <c r="T390" s="677">
        <v>4.2329105210860263</v>
      </c>
      <c r="U390" s="677">
        <v>4.2329105210860263</v>
      </c>
      <c r="V390" s="677">
        <v>4.2329105210860263</v>
      </c>
      <c r="W390" s="677">
        <v>4.2329105210860263</v>
      </c>
      <c r="X390" s="677">
        <v>4.2329105210860263</v>
      </c>
      <c r="Y390" s="677">
        <v>4.2329105210860263</v>
      </c>
      <c r="Z390" s="677">
        <v>4.2329105210860263</v>
      </c>
      <c r="AA390" s="677">
        <v>4.2329105210860263</v>
      </c>
      <c r="AB390" s="677">
        <v>4.2329105210860263</v>
      </c>
      <c r="AC390" s="677">
        <v>4.2329105210860263</v>
      </c>
      <c r="AD390" s="677">
        <v>4.2329105210860263</v>
      </c>
      <c r="AE390" s="677">
        <v>4.2329105210860263</v>
      </c>
      <c r="AF390" s="677">
        <v>4.2329105210860263</v>
      </c>
      <c r="AG390" s="677">
        <v>4.2329105210860263</v>
      </c>
      <c r="AH390" s="677">
        <v>4.2329105210860263</v>
      </c>
      <c r="AI390" s="677">
        <v>4.2329105210860263</v>
      </c>
      <c r="AJ390" s="677">
        <v>4.2329105210860263</v>
      </c>
      <c r="AK390" s="677">
        <v>4.2329105210860263</v>
      </c>
      <c r="AL390" s="677">
        <v>4.2329105210860263</v>
      </c>
      <c r="AM390" s="677">
        <v>4.2329105210860263</v>
      </c>
      <c r="AN390" s="677">
        <v>4.2329105210860263</v>
      </c>
      <c r="AO390" s="677">
        <v>4.2329105210860263</v>
      </c>
      <c r="AP390" s="675"/>
    </row>
    <row r="391" spans="1:42" ht="14.25" hidden="1" customHeight="1" x14ac:dyDescent="0.3">
      <c r="A391" s="1217"/>
      <c r="B391" s="644"/>
      <c r="C391" s="678"/>
      <c r="D391" s="676" t="s">
        <v>973</v>
      </c>
      <c r="E391" s="677">
        <v>2.3242525188414822</v>
      </c>
      <c r="F391" s="677">
        <v>2.3287614598970596</v>
      </c>
      <c r="G391" s="677">
        <v>2.0251303291347615</v>
      </c>
      <c r="H391" s="677">
        <v>1.9597545622592736</v>
      </c>
      <c r="I391" s="677">
        <v>2.0221357683009931</v>
      </c>
      <c r="J391" s="677">
        <v>1.9633379741023307</v>
      </c>
      <c r="K391" s="677">
        <v>1.9454019240916713</v>
      </c>
      <c r="L391" s="677">
        <v>2.2697210735329776</v>
      </c>
      <c r="M391" s="677">
        <v>2.2697210735329776</v>
      </c>
      <c r="N391" s="677">
        <v>2.2697210735329776</v>
      </c>
      <c r="O391" s="677">
        <v>2.2697210735329776</v>
      </c>
      <c r="P391" s="677">
        <v>2.2697210735329776</v>
      </c>
      <c r="Q391" s="677">
        <v>2.2697210735329776</v>
      </c>
      <c r="R391" s="677">
        <v>2.2697210735329776</v>
      </c>
      <c r="S391" s="677">
        <v>2.2697210735329776</v>
      </c>
      <c r="T391" s="677">
        <v>2.2697210735329776</v>
      </c>
      <c r="U391" s="677">
        <v>2.2697210735329776</v>
      </c>
      <c r="V391" s="677">
        <v>2.2697210735329776</v>
      </c>
      <c r="W391" s="677">
        <v>2.2697210735329776</v>
      </c>
      <c r="X391" s="677">
        <v>2.2697210735329776</v>
      </c>
      <c r="Y391" s="677">
        <v>2.2697210735329776</v>
      </c>
      <c r="Z391" s="677">
        <v>2.2697210735329776</v>
      </c>
      <c r="AA391" s="677">
        <v>2.2697210735329776</v>
      </c>
      <c r="AB391" s="677">
        <v>2.2697210735329776</v>
      </c>
      <c r="AC391" s="677">
        <v>2.2697210735329776</v>
      </c>
      <c r="AD391" s="677">
        <v>2.2697210735329776</v>
      </c>
      <c r="AE391" s="677">
        <v>2.2697210735329776</v>
      </c>
      <c r="AF391" s="677">
        <v>2.2697210735329776</v>
      </c>
      <c r="AG391" s="677">
        <v>2.2697210735329776</v>
      </c>
      <c r="AH391" s="677">
        <v>2.2697210735329776</v>
      </c>
      <c r="AI391" s="677">
        <v>2.2697210735329776</v>
      </c>
      <c r="AJ391" s="677">
        <v>2.2697210735329776</v>
      </c>
      <c r="AK391" s="677">
        <v>2.2697210735329776</v>
      </c>
      <c r="AL391" s="677">
        <v>2.2697210735329776</v>
      </c>
      <c r="AM391" s="677">
        <v>2.2697210735329776</v>
      </c>
      <c r="AN391" s="677">
        <v>2.2697210735329776</v>
      </c>
      <c r="AO391" s="677">
        <v>2.2697210735329776</v>
      </c>
      <c r="AP391" s="675"/>
    </row>
    <row r="392" spans="1:42" ht="14.25" hidden="1" customHeight="1" x14ac:dyDescent="0.3">
      <c r="A392" s="1217"/>
      <c r="B392" s="644"/>
      <c r="C392" s="678"/>
      <c r="D392" s="676" t="s">
        <v>974</v>
      </c>
      <c r="E392" s="677">
        <v>6.6464167459999999</v>
      </c>
      <c r="F392" s="677">
        <v>3.9019659369999999</v>
      </c>
      <c r="G392" s="677">
        <v>5.8378889660000004</v>
      </c>
      <c r="H392" s="677">
        <v>6.4342377480000001</v>
      </c>
      <c r="I392" s="677">
        <v>4.9188479799999998</v>
      </c>
      <c r="J392" s="677">
        <v>5.1199000000000003</v>
      </c>
      <c r="K392" s="677">
        <v>5.0661227330000003</v>
      </c>
      <c r="L392" s="677">
        <v>6.930496174</v>
      </c>
      <c r="M392" s="677">
        <v>6.930496174</v>
      </c>
      <c r="N392" s="677">
        <v>6.930496174</v>
      </c>
      <c r="O392" s="677">
        <v>6.930496174</v>
      </c>
      <c r="P392" s="677">
        <v>6.930496174</v>
      </c>
      <c r="Q392" s="677">
        <v>6.930496174</v>
      </c>
      <c r="R392" s="677">
        <v>6.930496174</v>
      </c>
      <c r="S392" s="677">
        <v>6.930496174</v>
      </c>
      <c r="T392" s="677">
        <v>6.930496174</v>
      </c>
      <c r="U392" s="677">
        <v>6.930496174</v>
      </c>
      <c r="V392" s="677">
        <v>6.930496174</v>
      </c>
      <c r="W392" s="677">
        <v>6.930496174</v>
      </c>
      <c r="X392" s="677">
        <v>6.930496174</v>
      </c>
      <c r="Y392" s="677">
        <v>6.930496174</v>
      </c>
      <c r="Z392" s="677">
        <v>6.930496174</v>
      </c>
      <c r="AA392" s="677">
        <v>6.930496174</v>
      </c>
      <c r="AB392" s="677">
        <v>6.930496174</v>
      </c>
      <c r="AC392" s="677">
        <v>6.930496174</v>
      </c>
      <c r="AD392" s="677">
        <v>6.930496174</v>
      </c>
      <c r="AE392" s="677">
        <v>6.930496174</v>
      </c>
      <c r="AF392" s="677">
        <v>6.930496174</v>
      </c>
      <c r="AG392" s="677">
        <v>6.930496174</v>
      </c>
      <c r="AH392" s="677">
        <v>6.930496174</v>
      </c>
      <c r="AI392" s="677">
        <v>6.930496174</v>
      </c>
      <c r="AJ392" s="677">
        <v>6.930496174</v>
      </c>
      <c r="AK392" s="677">
        <v>6.930496174</v>
      </c>
      <c r="AL392" s="677">
        <v>6.930496174</v>
      </c>
      <c r="AM392" s="677">
        <v>6.930496174</v>
      </c>
      <c r="AN392" s="677">
        <v>6.930496174</v>
      </c>
      <c r="AO392" s="677">
        <v>6.930496174</v>
      </c>
      <c r="AP392" s="675"/>
    </row>
    <row r="393" spans="1:42" ht="14.25" hidden="1" customHeight="1" x14ac:dyDescent="0.3">
      <c r="A393" s="1217"/>
      <c r="B393" s="644"/>
      <c r="C393" s="678"/>
      <c r="D393" s="676" t="s">
        <v>975</v>
      </c>
      <c r="E393" s="677">
        <v>4.6542000000000003</v>
      </c>
      <c r="F393" s="677">
        <v>3.8500169010322818</v>
      </c>
      <c r="G393" s="677">
        <v>2.7070047688558976</v>
      </c>
      <c r="H393" s="677">
        <v>2.4280225085005558</v>
      </c>
      <c r="I393" s="677">
        <v>2.4837224805738516</v>
      </c>
      <c r="J393" s="677">
        <v>2.560450190248913</v>
      </c>
      <c r="K393" s="677">
        <v>2.5424479834277607</v>
      </c>
      <c r="L393" s="677">
        <v>2.3481886581629143</v>
      </c>
      <c r="M393" s="677">
        <v>2.3481886581629143</v>
      </c>
      <c r="N393" s="677">
        <v>2.3481886581629143</v>
      </c>
      <c r="O393" s="677">
        <v>2.3481886581629143</v>
      </c>
      <c r="P393" s="677">
        <v>2.3481886581629143</v>
      </c>
      <c r="Q393" s="677">
        <v>2.3481886581629143</v>
      </c>
      <c r="R393" s="677">
        <v>2.3481886581629143</v>
      </c>
      <c r="S393" s="677">
        <v>2.3481886581629143</v>
      </c>
      <c r="T393" s="677">
        <v>2.3481886581629143</v>
      </c>
      <c r="U393" s="677">
        <v>2.3481886581629143</v>
      </c>
      <c r="V393" s="677">
        <v>2.3481886581629143</v>
      </c>
      <c r="W393" s="677">
        <v>2.3481886581629143</v>
      </c>
      <c r="X393" s="677">
        <v>2.3481886581629143</v>
      </c>
      <c r="Y393" s="677">
        <v>2.3481886581629143</v>
      </c>
      <c r="Z393" s="677">
        <v>2.3481886581629143</v>
      </c>
      <c r="AA393" s="677">
        <v>2.3481886581629143</v>
      </c>
      <c r="AB393" s="677">
        <v>2.3481886581629143</v>
      </c>
      <c r="AC393" s="677">
        <v>2.3481886581629143</v>
      </c>
      <c r="AD393" s="677">
        <v>2.3481886581629143</v>
      </c>
      <c r="AE393" s="677">
        <v>2.3481886581629143</v>
      </c>
      <c r="AF393" s="677">
        <v>2.3481886581629143</v>
      </c>
      <c r="AG393" s="677">
        <v>2.3481886581629143</v>
      </c>
      <c r="AH393" s="677">
        <v>2.3481886581629143</v>
      </c>
      <c r="AI393" s="677">
        <v>2.3481886581629143</v>
      </c>
      <c r="AJ393" s="677">
        <v>2.3481886581629143</v>
      </c>
      <c r="AK393" s="677">
        <v>2.3481886581629143</v>
      </c>
      <c r="AL393" s="677">
        <v>2.3481886581629143</v>
      </c>
      <c r="AM393" s="677">
        <v>2.3481886581629143</v>
      </c>
      <c r="AN393" s="677">
        <v>2.3481886581629143</v>
      </c>
      <c r="AO393" s="677">
        <v>2.3481886581629143</v>
      </c>
      <c r="AP393" s="675"/>
    </row>
    <row r="394" spans="1:42" ht="14.25" hidden="1" customHeight="1" x14ac:dyDescent="0.3">
      <c r="A394" s="1217"/>
      <c r="B394" s="644"/>
      <c r="C394" s="678"/>
      <c r="D394" s="676" t="s">
        <v>915</v>
      </c>
      <c r="E394" s="677">
        <v>2.8240831690000001</v>
      </c>
      <c r="F394" s="677">
        <v>4.3284580830000001</v>
      </c>
      <c r="G394" s="677">
        <v>7.2324927900000002</v>
      </c>
      <c r="H394" s="677">
        <v>4.8431902899999999</v>
      </c>
      <c r="I394" s="677">
        <v>7.2266281530000001</v>
      </c>
      <c r="J394" s="677">
        <v>4.6867999999999999</v>
      </c>
      <c r="K394" s="677">
        <v>1.890546284</v>
      </c>
      <c r="L394" s="677">
        <v>2.7400191270000001</v>
      </c>
      <c r="M394" s="677">
        <v>2.7400191270000001</v>
      </c>
      <c r="N394" s="677">
        <v>2.7400191270000001</v>
      </c>
      <c r="O394" s="677">
        <v>2.7400191270000001</v>
      </c>
      <c r="P394" s="677">
        <v>2.7400191270000001</v>
      </c>
      <c r="Q394" s="677">
        <v>2.7400191270000001</v>
      </c>
      <c r="R394" s="677">
        <v>2.7400191270000001</v>
      </c>
      <c r="S394" s="677">
        <v>2.7400191270000001</v>
      </c>
      <c r="T394" s="677">
        <v>2.7400191270000001</v>
      </c>
      <c r="U394" s="677">
        <v>2.7400191270000001</v>
      </c>
      <c r="V394" s="677">
        <v>2.7400191270000001</v>
      </c>
      <c r="W394" s="677">
        <v>2.7400191270000001</v>
      </c>
      <c r="X394" s="677">
        <v>2.7400191270000001</v>
      </c>
      <c r="Y394" s="677">
        <v>2.7400191270000001</v>
      </c>
      <c r="Z394" s="677">
        <v>2.7400191270000001</v>
      </c>
      <c r="AA394" s="677">
        <v>2.7400191270000001</v>
      </c>
      <c r="AB394" s="677">
        <v>2.7400191270000001</v>
      </c>
      <c r="AC394" s="677">
        <v>2.7400191270000001</v>
      </c>
      <c r="AD394" s="677">
        <v>2.7400191270000001</v>
      </c>
      <c r="AE394" s="677">
        <v>2.7400191270000001</v>
      </c>
      <c r="AF394" s="677">
        <v>2.7400191270000001</v>
      </c>
      <c r="AG394" s="677">
        <v>2.7400191270000001</v>
      </c>
      <c r="AH394" s="677">
        <v>2.7400191270000001</v>
      </c>
      <c r="AI394" s="677">
        <v>2.7400191270000001</v>
      </c>
      <c r="AJ394" s="677">
        <v>2.7400191270000001</v>
      </c>
      <c r="AK394" s="677">
        <v>2.7400191270000001</v>
      </c>
      <c r="AL394" s="677">
        <v>2.7400191270000001</v>
      </c>
      <c r="AM394" s="677">
        <v>2.7400191270000001</v>
      </c>
      <c r="AN394" s="677">
        <v>2.7400191270000001</v>
      </c>
      <c r="AO394" s="677">
        <v>2.7400191270000001</v>
      </c>
      <c r="AP394" s="675"/>
    </row>
    <row r="395" spans="1:42" ht="14.25" hidden="1" customHeight="1" x14ac:dyDescent="0.3">
      <c r="A395" s="1217"/>
      <c r="B395" s="644"/>
      <c r="C395" s="678"/>
      <c r="D395" s="676" t="s">
        <v>976</v>
      </c>
      <c r="E395" s="677">
        <v>3.2084145949999998</v>
      </c>
      <c r="F395" s="677">
        <v>4.6443175009999997</v>
      </c>
      <c r="G395" s="677">
        <v>6.5020326629999996</v>
      </c>
      <c r="H395" s="677">
        <v>7.2817777860000001</v>
      </c>
      <c r="I395" s="677">
        <v>6.5909010300000004</v>
      </c>
      <c r="J395" s="677">
        <v>9.4863999999999997</v>
      </c>
      <c r="K395" s="677">
        <v>5.568946135</v>
      </c>
      <c r="L395" s="677">
        <v>3.3076757699999999</v>
      </c>
      <c r="M395" s="677">
        <v>3.3076757699999999</v>
      </c>
      <c r="N395" s="677">
        <v>3.3076757699999999</v>
      </c>
      <c r="O395" s="677">
        <v>3.3076757699999999</v>
      </c>
      <c r="P395" s="677">
        <v>3.3076757699999999</v>
      </c>
      <c r="Q395" s="677">
        <v>3.3076757699999999</v>
      </c>
      <c r="R395" s="677">
        <v>3.3076757699999999</v>
      </c>
      <c r="S395" s="677">
        <v>3.3076757699999999</v>
      </c>
      <c r="T395" s="677">
        <v>3.3076757699999999</v>
      </c>
      <c r="U395" s="677">
        <v>3.3076757699999999</v>
      </c>
      <c r="V395" s="677">
        <v>3.3076757699999999</v>
      </c>
      <c r="W395" s="677">
        <v>3.3076757699999999</v>
      </c>
      <c r="X395" s="677">
        <v>3.3076757699999999</v>
      </c>
      <c r="Y395" s="677">
        <v>3.3076757699999999</v>
      </c>
      <c r="Z395" s="677">
        <v>3.3076757699999999</v>
      </c>
      <c r="AA395" s="677">
        <v>3.3076757699999999</v>
      </c>
      <c r="AB395" s="677">
        <v>3.3076757699999999</v>
      </c>
      <c r="AC395" s="677">
        <v>3.3076757699999999</v>
      </c>
      <c r="AD395" s="677">
        <v>3.3076757699999999</v>
      </c>
      <c r="AE395" s="677">
        <v>3.3076757699999999</v>
      </c>
      <c r="AF395" s="677">
        <v>3.3076757699999999</v>
      </c>
      <c r="AG395" s="677">
        <v>3.3076757699999999</v>
      </c>
      <c r="AH395" s="677">
        <v>3.3076757699999999</v>
      </c>
      <c r="AI395" s="677">
        <v>3.3076757699999999</v>
      </c>
      <c r="AJ395" s="677">
        <v>3.3076757699999999</v>
      </c>
      <c r="AK395" s="677">
        <v>3.3076757699999999</v>
      </c>
      <c r="AL395" s="677">
        <v>3.3076757699999999</v>
      </c>
      <c r="AM395" s="677">
        <v>3.3076757699999999</v>
      </c>
      <c r="AN395" s="677">
        <v>3.3076757699999999</v>
      </c>
      <c r="AO395" s="677">
        <v>3.3076757699999999</v>
      </c>
      <c r="AP395" s="675"/>
    </row>
    <row r="396" spans="1:42" ht="13.5" hidden="1" customHeight="1" x14ac:dyDescent="0.3">
      <c r="A396" s="1217"/>
      <c r="B396" s="644"/>
      <c r="C396" s="678"/>
      <c r="D396" s="676" t="s">
        <v>977</v>
      </c>
      <c r="E396" s="677">
        <v>5.2013395649999996</v>
      </c>
      <c r="F396" s="677">
        <v>1.96168828</v>
      </c>
      <c r="G396" s="677">
        <v>4.682008744</v>
      </c>
      <c r="H396" s="677">
        <v>5.4061178700000001</v>
      </c>
      <c r="I396" s="677">
        <v>6.3982697699999997</v>
      </c>
      <c r="J396" s="677">
        <v>7.2260999999999997</v>
      </c>
      <c r="K396" s="677">
        <v>3.616321766</v>
      </c>
      <c r="L396" s="677">
        <v>2.9915233990000001</v>
      </c>
      <c r="M396" s="677">
        <v>2.9915233990000001</v>
      </c>
      <c r="N396" s="677">
        <v>2.9915233990000001</v>
      </c>
      <c r="O396" s="677">
        <v>2.9915233990000001</v>
      </c>
      <c r="P396" s="677">
        <v>2.9915233990000001</v>
      </c>
      <c r="Q396" s="677">
        <v>2.9915233990000001</v>
      </c>
      <c r="R396" s="677">
        <v>2.9915233990000001</v>
      </c>
      <c r="S396" s="677">
        <v>2.9915233990000001</v>
      </c>
      <c r="T396" s="677">
        <v>2.9915233990000001</v>
      </c>
      <c r="U396" s="677">
        <v>2.9915233990000001</v>
      </c>
      <c r="V396" s="677">
        <v>2.9915233990000001</v>
      </c>
      <c r="W396" s="677">
        <v>2.9915233990000001</v>
      </c>
      <c r="X396" s="677">
        <v>2.9915233990000001</v>
      </c>
      <c r="Y396" s="677">
        <v>2.9915233990000001</v>
      </c>
      <c r="Z396" s="677">
        <v>2.9915233990000001</v>
      </c>
      <c r="AA396" s="677">
        <v>2.9915233990000001</v>
      </c>
      <c r="AB396" s="677">
        <v>2.9915233990000001</v>
      </c>
      <c r="AC396" s="677">
        <v>2.9915233990000001</v>
      </c>
      <c r="AD396" s="677">
        <v>2.9915233990000001</v>
      </c>
      <c r="AE396" s="677">
        <v>2.9915233990000001</v>
      </c>
      <c r="AF396" s="677">
        <v>2.9915233990000001</v>
      </c>
      <c r="AG396" s="677">
        <v>2.9915233990000001</v>
      </c>
      <c r="AH396" s="677">
        <v>2.9915233990000001</v>
      </c>
      <c r="AI396" s="677">
        <v>2.9915233990000001</v>
      </c>
      <c r="AJ396" s="677">
        <v>2.9915233990000001</v>
      </c>
      <c r="AK396" s="677">
        <v>2.9915233990000001</v>
      </c>
      <c r="AL396" s="677">
        <v>2.9915233990000001</v>
      </c>
      <c r="AM396" s="677">
        <v>2.9915233990000001</v>
      </c>
      <c r="AN396" s="677">
        <v>2.9915233990000001</v>
      </c>
      <c r="AO396" s="677">
        <v>2.9915233990000001</v>
      </c>
      <c r="AP396" s="675"/>
    </row>
    <row r="397" spans="1:42" ht="13.5" hidden="1" customHeight="1" x14ac:dyDescent="0.3">
      <c r="A397" s="1217"/>
      <c r="B397" s="644"/>
      <c r="C397" s="678"/>
      <c r="D397" s="676" t="s">
        <v>978</v>
      </c>
      <c r="E397" s="677">
        <v>5.5587148236468549</v>
      </c>
      <c r="F397" s="677">
        <v>5.6227849112886439</v>
      </c>
      <c r="G397" s="677">
        <v>5.6042946114997987</v>
      </c>
      <c r="H397" s="677">
        <v>5.5373043642968858</v>
      </c>
      <c r="I397" s="677">
        <v>5.4480283315859248</v>
      </c>
      <c r="J397" s="677">
        <v>5.5541419788213222</v>
      </c>
      <c r="K397" s="677">
        <v>5.4094394506028713</v>
      </c>
      <c r="L397" s="677">
        <v>5.5262430297077101</v>
      </c>
      <c r="M397" s="677">
        <v>5.5262430297077101</v>
      </c>
      <c r="N397" s="677">
        <v>5.5262430297077101</v>
      </c>
      <c r="O397" s="677">
        <v>5.5262430297077101</v>
      </c>
      <c r="P397" s="677">
        <v>5.5262430297077101</v>
      </c>
      <c r="Q397" s="677">
        <v>5.5262430297077101</v>
      </c>
      <c r="R397" s="677">
        <v>5.5262430297077101</v>
      </c>
      <c r="S397" s="677">
        <v>5.5262430297077101</v>
      </c>
      <c r="T397" s="677">
        <v>5.5262430297077101</v>
      </c>
      <c r="U397" s="677">
        <v>5.5262430297077101</v>
      </c>
      <c r="V397" s="677">
        <v>5.5262430297077101</v>
      </c>
      <c r="W397" s="677">
        <v>5.5262430297077101</v>
      </c>
      <c r="X397" s="677">
        <v>5.5262430297077101</v>
      </c>
      <c r="Y397" s="677">
        <v>5.5262430297077101</v>
      </c>
      <c r="Z397" s="677">
        <v>5.5262430297077101</v>
      </c>
      <c r="AA397" s="677">
        <v>5.5262430297077101</v>
      </c>
      <c r="AB397" s="677">
        <v>5.5262430297077101</v>
      </c>
      <c r="AC397" s="677">
        <v>5.5262430297077101</v>
      </c>
      <c r="AD397" s="677">
        <v>5.5262430297077101</v>
      </c>
      <c r="AE397" s="677">
        <v>5.5262430297077101</v>
      </c>
      <c r="AF397" s="677">
        <v>5.5262430297077101</v>
      </c>
      <c r="AG397" s="677">
        <v>5.5262430297077101</v>
      </c>
      <c r="AH397" s="677">
        <v>5.5262430297077101</v>
      </c>
      <c r="AI397" s="677">
        <v>5.5262430297077101</v>
      </c>
      <c r="AJ397" s="677">
        <v>5.5262430297077101</v>
      </c>
      <c r="AK397" s="677">
        <v>5.5262430297077101</v>
      </c>
      <c r="AL397" s="677">
        <v>5.5262430297077101</v>
      </c>
      <c r="AM397" s="677">
        <v>5.5262430297077101</v>
      </c>
      <c r="AN397" s="677">
        <v>5.5262430297077101</v>
      </c>
      <c r="AO397" s="677">
        <v>5.5262430297077101</v>
      </c>
      <c r="AP397" s="675"/>
    </row>
    <row r="398" spans="1:42" ht="13.5" customHeight="1" x14ac:dyDescent="0.3">
      <c r="B398" s="644"/>
      <c r="C398" s="678"/>
      <c r="D398" s="676"/>
      <c r="E398" s="677"/>
      <c r="F398" s="677"/>
      <c r="G398" s="677"/>
      <c r="H398" s="677"/>
      <c r="I398" s="677"/>
      <c r="J398" s="677"/>
      <c r="K398" s="677"/>
      <c r="L398" s="677"/>
      <c r="M398" s="677"/>
      <c r="N398" s="677"/>
      <c r="O398" s="677"/>
      <c r="P398" s="677"/>
      <c r="Q398" s="677"/>
      <c r="R398" s="677"/>
      <c r="S398" s="677"/>
      <c r="T398" s="677"/>
      <c r="U398" s="677"/>
      <c r="V398" s="677"/>
      <c r="W398" s="677"/>
      <c r="X398" s="677"/>
      <c r="Y398" s="677"/>
      <c r="Z398" s="677"/>
      <c r="AA398" s="677"/>
      <c r="AB398" s="677"/>
      <c r="AC398" s="677"/>
      <c r="AD398" s="677"/>
      <c r="AE398" s="677"/>
      <c r="AF398" s="677"/>
      <c r="AG398" s="677"/>
      <c r="AH398" s="677"/>
      <c r="AI398" s="677"/>
      <c r="AJ398" s="677"/>
      <c r="AK398" s="677"/>
      <c r="AL398" s="677"/>
      <c r="AM398" s="677"/>
      <c r="AN398" s="677"/>
      <c r="AO398" s="677"/>
      <c r="AP398" s="675"/>
    </row>
    <row r="399" spans="1:42" ht="14.25" customHeight="1" x14ac:dyDescent="0.3">
      <c r="A399" s="973"/>
      <c r="B399" s="644"/>
      <c r="C399" s="679"/>
      <c r="D399" s="676" t="s">
        <v>965</v>
      </c>
      <c r="E399" s="677">
        <v>0.67810000000000004</v>
      </c>
      <c r="F399" s="677">
        <v>0.90944168697683136</v>
      </c>
      <c r="G399" s="677">
        <v>1.0945992857380624</v>
      </c>
      <c r="H399" s="677">
        <v>0.78367661745014527</v>
      </c>
      <c r="I399" s="685">
        <f>I383*1000</f>
        <v>585.56431291301055</v>
      </c>
      <c r="J399" s="685">
        <f t="shared" ref="J399:AO407" si="52">J383*1000</f>
        <v>626.82343292285725</v>
      </c>
      <c r="K399" s="685">
        <f t="shared" si="52"/>
        <v>747.68786358758416</v>
      </c>
      <c r="L399" s="685">
        <f t="shared" si="52"/>
        <v>508.4779227283579</v>
      </c>
      <c r="M399" s="685">
        <f t="shared" si="52"/>
        <v>508.4779227283579</v>
      </c>
      <c r="N399" s="685">
        <f t="shared" si="52"/>
        <v>508.4779227283579</v>
      </c>
      <c r="O399" s="685">
        <f t="shared" si="52"/>
        <v>508.4779227283579</v>
      </c>
      <c r="P399" s="685">
        <f t="shared" si="52"/>
        <v>508.4779227283579</v>
      </c>
      <c r="Q399" s="685">
        <f t="shared" si="52"/>
        <v>508.4779227283579</v>
      </c>
      <c r="R399" s="685">
        <f t="shared" si="52"/>
        <v>508.4779227283579</v>
      </c>
      <c r="S399" s="685">
        <f t="shared" si="52"/>
        <v>508.4779227283579</v>
      </c>
      <c r="T399" s="685">
        <f t="shared" si="52"/>
        <v>508.4779227283579</v>
      </c>
      <c r="U399" s="685">
        <f t="shared" si="52"/>
        <v>508.4779227283579</v>
      </c>
      <c r="V399" s="685">
        <f t="shared" si="52"/>
        <v>508.4779227283579</v>
      </c>
      <c r="W399" s="685">
        <f t="shared" si="52"/>
        <v>508.4779227283579</v>
      </c>
      <c r="X399" s="685">
        <f t="shared" si="52"/>
        <v>508.4779227283579</v>
      </c>
      <c r="Y399" s="685">
        <f t="shared" si="52"/>
        <v>508.4779227283579</v>
      </c>
      <c r="Z399" s="685">
        <f t="shared" si="52"/>
        <v>508.4779227283579</v>
      </c>
      <c r="AA399" s="685">
        <f t="shared" si="52"/>
        <v>508.4779227283579</v>
      </c>
      <c r="AB399" s="685">
        <f t="shared" si="52"/>
        <v>508.4779227283579</v>
      </c>
      <c r="AC399" s="685">
        <f t="shared" si="52"/>
        <v>508.4779227283579</v>
      </c>
      <c r="AD399" s="685">
        <f t="shared" si="52"/>
        <v>508.4779227283579</v>
      </c>
      <c r="AE399" s="685">
        <f t="shared" si="52"/>
        <v>508.4779227283579</v>
      </c>
      <c r="AF399" s="685">
        <f t="shared" si="52"/>
        <v>508.4779227283579</v>
      </c>
      <c r="AG399" s="685">
        <f t="shared" si="52"/>
        <v>508.4779227283579</v>
      </c>
      <c r="AH399" s="685">
        <f t="shared" si="52"/>
        <v>508.4779227283579</v>
      </c>
      <c r="AI399" s="685">
        <f t="shared" si="52"/>
        <v>508.4779227283579</v>
      </c>
      <c r="AJ399" s="685">
        <f t="shared" si="52"/>
        <v>508.4779227283579</v>
      </c>
      <c r="AK399" s="685">
        <f t="shared" si="52"/>
        <v>508.4779227283579</v>
      </c>
      <c r="AL399" s="685">
        <f t="shared" si="52"/>
        <v>508.4779227283579</v>
      </c>
      <c r="AM399" s="685">
        <f t="shared" si="52"/>
        <v>508.4779227283579</v>
      </c>
      <c r="AN399" s="685">
        <f t="shared" si="52"/>
        <v>508.4779227283579</v>
      </c>
      <c r="AO399" s="685">
        <f t="shared" si="52"/>
        <v>508.4779227283579</v>
      </c>
      <c r="AP399" s="675"/>
    </row>
    <row r="400" spans="1:42" ht="14.25" customHeight="1" x14ac:dyDescent="0.3">
      <c r="A400" s="1216" t="s">
        <v>521</v>
      </c>
      <c r="B400" s="644"/>
      <c r="C400" s="678"/>
      <c r="D400" s="676" t="s">
        <v>979</v>
      </c>
      <c r="E400" s="677">
        <v>0.84612162999999996</v>
      </c>
      <c r="F400" s="677">
        <v>0.84145920500000004</v>
      </c>
      <c r="G400" s="677">
        <v>0.85075988199999997</v>
      </c>
      <c r="H400" s="677">
        <v>0.93144318699999995</v>
      </c>
      <c r="I400" s="685">
        <f t="shared" ref="I400:X413" si="53">I384*1000</f>
        <v>905.03627399999993</v>
      </c>
      <c r="J400" s="685">
        <f t="shared" si="53"/>
        <v>1044.4000000000001</v>
      </c>
      <c r="K400" s="685">
        <f t="shared" si="53"/>
        <v>955.30616999999995</v>
      </c>
      <c r="L400" s="685">
        <f t="shared" si="53"/>
        <v>984.83810299999993</v>
      </c>
      <c r="M400" s="685">
        <f t="shared" si="53"/>
        <v>984.83810299999993</v>
      </c>
      <c r="N400" s="685">
        <f t="shared" si="53"/>
        <v>984.83810299999993</v>
      </c>
      <c r="O400" s="685">
        <f t="shared" si="53"/>
        <v>984.83810299999993</v>
      </c>
      <c r="P400" s="685">
        <f t="shared" si="53"/>
        <v>984.83810299999993</v>
      </c>
      <c r="Q400" s="685">
        <f t="shared" si="53"/>
        <v>984.83810299999993</v>
      </c>
      <c r="R400" s="685">
        <f t="shared" si="53"/>
        <v>984.83810299999993</v>
      </c>
      <c r="S400" s="685">
        <f t="shared" si="53"/>
        <v>984.83810299999993</v>
      </c>
      <c r="T400" s="685">
        <f t="shared" si="53"/>
        <v>984.83810299999993</v>
      </c>
      <c r="U400" s="685">
        <f t="shared" si="53"/>
        <v>984.83810299999993</v>
      </c>
      <c r="V400" s="685">
        <f t="shared" si="53"/>
        <v>984.83810299999993</v>
      </c>
      <c r="W400" s="685">
        <f t="shared" si="53"/>
        <v>984.83810299999993</v>
      </c>
      <c r="X400" s="685">
        <f t="shared" si="53"/>
        <v>984.83810299999993</v>
      </c>
      <c r="Y400" s="685">
        <f t="shared" si="52"/>
        <v>984.83810299999993</v>
      </c>
      <c r="Z400" s="685">
        <f t="shared" si="52"/>
        <v>984.83810299999993</v>
      </c>
      <c r="AA400" s="685">
        <f t="shared" si="52"/>
        <v>984.83810299999993</v>
      </c>
      <c r="AB400" s="685">
        <f t="shared" si="52"/>
        <v>984.83810299999993</v>
      </c>
      <c r="AC400" s="685">
        <f t="shared" si="52"/>
        <v>984.83810299999993</v>
      </c>
      <c r="AD400" s="685">
        <f t="shared" si="52"/>
        <v>984.83810299999993</v>
      </c>
      <c r="AE400" s="685">
        <f t="shared" si="52"/>
        <v>984.83810299999993</v>
      </c>
      <c r="AF400" s="685">
        <f t="shared" si="52"/>
        <v>984.83810299999993</v>
      </c>
      <c r="AG400" s="685">
        <f t="shared" si="52"/>
        <v>984.83810299999993</v>
      </c>
      <c r="AH400" s="685">
        <f t="shared" si="52"/>
        <v>984.83810299999993</v>
      </c>
      <c r="AI400" s="685">
        <f t="shared" si="52"/>
        <v>984.83810299999993</v>
      </c>
      <c r="AJ400" s="685">
        <f t="shared" si="52"/>
        <v>984.83810299999993</v>
      </c>
      <c r="AK400" s="685">
        <f t="shared" si="52"/>
        <v>984.83810299999993</v>
      </c>
      <c r="AL400" s="685">
        <f t="shared" si="52"/>
        <v>984.83810299999993</v>
      </c>
      <c r="AM400" s="685">
        <f t="shared" si="52"/>
        <v>984.83810299999993</v>
      </c>
      <c r="AN400" s="685">
        <f t="shared" si="52"/>
        <v>984.83810299999993</v>
      </c>
      <c r="AO400" s="685">
        <f t="shared" si="52"/>
        <v>984.83810299999993</v>
      </c>
      <c r="AP400" s="675"/>
    </row>
    <row r="401" spans="1:42" ht="14.25" customHeight="1" x14ac:dyDescent="0.3">
      <c r="A401" s="1217"/>
      <c r="B401" s="644"/>
      <c r="C401" s="678"/>
      <c r="D401" s="676" t="s">
        <v>967</v>
      </c>
      <c r="E401" s="677">
        <v>2.9537</v>
      </c>
      <c r="F401" s="677">
        <v>2.9879176178313904</v>
      </c>
      <c r="G401" s="677">
        <v>2.7373634777989206</v>
      </c>
      <c r="H401" s="677">
        <v>2.0089584872320052</v>
      </c>
      <c r="I401" s="685">
        <f t="shared" si="53"/>
        <v>2267.5286096153945</v>
      </c>
      <c r="J401" s="685">
        <f t="shared" si="52"/>
        <v>2425.8385585967994</v>
      </c>
      <c r="K401" s="685">
        <f t="shared" si="52"/>
        <v>2524.4147370792316</v>
      </c>
      <c r="L401" s="685">
        <f t="shared" si="52"/>
        <v>2484.8330128098569</v>
      </c>
      <c r="M401" s="685">
        <f t="shared" si="52"/>
        <v>2484.8330128098569</v>
      </c>
      <c r="N401" s="685">
        <f t="shared" si="52"/>
        <v>2484.8330128098569</v>
      </c>
      <c r="O401" s="685">
        <f t="shared" si="52"/>
        <v>2484.8330128098569</v>
      </c>
      <c r="P401" s="685">
        <f t="shared" si="52"/>
        <v>2484.8330128098569</v>
      </c>
      <c r="Q401" s="685">
        <f t="shared" si="52"/>
        <v>2484.8330128098569</v>
      </c>
      <c r="R401" s="685">
        <f t="shared" si="52"/>
        <v>2484.8330128098569</v>
      </c>
      <c r="S401" s="685">
        <f t="shared" si="52"/>
        <v>2484.8330128098569</v>
      </c>
      <c r="T401" s="685">
        <f t="shared" si="52"/>
        <v>2484.8330128098569</v>
      </c>
      <c r="U401" s="685">
        <f t="shared" si="52"/>
        <v>2484.8330128098569</v>
      </c>
      <c r="V401" s="685">
        <f t="shared" si="52"/>
        <v>2484.8330128098569</v>
      </c>
      <c r="W401" s="685">
        <f t="shared" si="52"/>
        <v>2484.8330128098569</v>
      </c>
      <c r="X401" s="685">
        <f t="shared" si="52"/>
        <v>2484.8330128098569</v>
      </c>
      <c r="Y401" s="685">
        <f t="shared" si="52"/>
        <v>2484.8330128098569</v>
      </c>
      <c r="Z401" s="685">
        <f t="shared" si="52"/>
        <v>2484.8330128098569</v>
      </c>
      <c r="AA401" s="685">
        <f t="shared" si="52"/>
        <v>2484.8330128098569</v>
      </c>
      <c r="AB401" s="685">
        <f t="shared" si="52"/>
        <v>2484.8330128098569</v>
      </c>
      <c r="AC401" s="685">
        <f t="shared" si="52"/>
        <v>2484.8330128098569</v>
      </c>
      <c r="AD401" s="685">
        <f t="shared" si="52"/>
        <v>2484.8330128098569</v>
      </c>
      <c r="AE401" s="685">
        <f t="shared" si="52"/>
        <v>2484.8330128098569</v>
      </c>
      <c r="AF401" s="685">
        <f t="shared" si="52"/>
        <v>2484.8330128098569</v>
      </c>
      <c r="AG401" s="685">
        <f t="shared" si="52"/>
        <v>2484.8330128098569</v>
      </c>
      <c r="AH401" s="685">
        <f t="shared" si="52"/>
        <v>2484.8330128098569</v>
      </c>
      <c r="AI401" s="685">
        <f t="shared" si="52"/>
        <v>2484.8330128098569</v>
      </c>
      <c r="AJ401" s="685">
        <f t="shared" si="52"/>
        <v>2484.8330128098569</v>
      </c>
      <c r="AK401" s="685">
        <f t="shared" si="52"/>
        <v>2484.8330128098569</v>
      </c>
      <c r="AL401" s="685">
        <f t="shared" si="52"/>
        <v>2484.8330128098569</v>
      </c>
      <c r="AM401" s="685">
        <f t="shared" si="52"/>
        <v>2484.8330128098569</v>
      </c>
      <c r="AN401" s="685">
        <f t="shared" si="52"/>
        <v>2484.8330128098569</v>
      </c>
      <c r="AO401" s="685">
        <f t="shared" si="52"/>
        <v>2484.8330128098569</v>
      </c>
      <c r="AP401" s="675"/>
    </row>
    <row r="402" spans="1:42" ht="14.25" customHeight="1" x14ac:dyDescent="0.3">
      <c r="A402" s="1217"/>
      <c r="B402" s="644"/>
      <c r="C402" s="678"/>
      <c r="D402" s="676" t="s">
        <v>968</v>
      </c>
      <c r="E402" s="677">
        <v>2.7928999999999999</v>
      </c>
      <c r="F402" s="677">
        <v>3.0703628600518442</v>
      </c>
      <c r="G402" s="677">
        <v>3.5945044328095097</v>
      </c>
      <c r="H402" s="677">
        <v>3.4101590277894136</v>
      </c>
      <c r="I402" s="685">
        <f t="shared" si="53"/>
        <v>3017.9870412215732</v>
      </c>
      <c r="J402" s="685">
        <f t="shared" si="52"/>
        <v>4975.996764251081</v>
      </c>
      <c r="K402" s="685">
        <f t="shared" si="52"/>
        <v>5071.3288557344613</v>
      </c>
      <c r="L402" s="685">
        <f t="shared" si="52"/>
        <v>4055.0960690801644</v>
      </c>
      <c r="M402" s="685">
        <f t="shared" si="52"/>
        <v>4055.0960690801644</v>
      </c>
      <c r="N402" s="685">
        <f t="shared" si="52"/>
        <v>4055.0960690801644</v>
      </c>
      <c r="O402" s="685">
        <f t="shared" si="52"/>
        <v>4055.0960690801644</v>
      </c>
      <c r="P402" s="685">
        <f t="shared" si="52"/>
        <v>4055.0960690801644</v>
      </c>
      <c r="Q402" s="685">
        <f t="shared" si="52"/>
        <v>4055.0960690801644</v>
      </c>
      <c r="R402" s="685">
        <f t="shared" si="52"/>
        <v>4055.0960690801644</v>
      </c>
      <c r="S402" s="685">
        <f t="shared" si="52"/>
        <v>4055.0960690801644</v>
      </c>
      <c r="T402" s="685">
        <f t="shared" si="52"/>
        <v>4055.0960690801644</v>
      </c>
      <c r="U402" s="685">
        <f t="shared" si="52"/>
        <v>4055.0960690801644</v>
      </c>
      <c r="V402" s="685">
        <f t="shared" si="52"/>
        <v>4055.0960690801644</v>
      </c>
      <c r="W402" s="685">
        <f t="shared" si="52"/>
        <v>4055.0960690801644</v>
      </c>
      <c r="X402" s="685">
        <f t="shared" si="52"/>
        <v>4055.0960690801644</v>
      </c>
      <c r="Y402" s="685">
        <f t="shared" si="52"/>
        <v>4055.0960690801644</v>
      </c>
      <c r="Z402" s="685">
        <f t="shared" si="52"/>
        <v>4055.0960690801644</v>
      </c>
      <c r="AA402" s="685">
        <f t="shared" si="52"/>
        <v>4055.0960690801644</v>
      </c>
      <c r="AB402" s="685">
        <f t="shared" si="52"/>
        <v>4055.0960690801644</v>
      </c>
      <c r="AC402" s="685">
        <f t="shared" si="52"/>
        <v>4055.0960690801644</v>
      </c>
      <c r="AD402" s="685">
        <f t="shared" si="52"/>
        <v>4055.0960690801644</v>
      </c>
      <c r="AE402" s="685">
        <f t="shared" si="52"/>
        <v>4055.0960690801644</v>
      </c>
      <c r="AF402" s="685">
        <f t="shared" si="52"/>
        <v>4055.0960690801644</v>
      </c>
      <c r="AG402" s="685">
        <f t="shared" si="52"/>
        <v>4055.0960690801644</v>
      </c>
      <c r="AH402" s="685">
        <f t="shared" si="52"/>
        <v>4055.0960690801644</v>
      </c>
      <c r="AI402" s="685">
        <f t="shared" si="52"/>
        <v>4055.0960690801644</v>
      </c>
      <c r="AJ402" s="685">
        <f t="shared" si="52"/>
        <v>4055.0960690801644</v>
      </c>
      <c r="AK402" s="685">
        <f t="shared" si="52"/>
        <v>4055.0960690801644</v>
      </c>
      <c r="AL402" s="685">
        <f t="shared" si="52"/>
        <v>4055.0960690801644</v>
      </c>
      <c r="AM402" s="685">
        <f t="shared" si="52"/>
        <v>4055.0960690801644</v>
      </c>
      <c r="AN402" s="685">
        <f t="shared" si="52"/>
        <v>4055.0960690801644</v>
      </c>
      <c r="AO402" s="685">
        <f t="shared" si="52"/>
        <v>4055.0960690801644</v>
      </c>
      <c r="AP402" s="675"/>
    </row>
    <row r="403" spans="1:42" ht="14.25" customHeight="1" x14ac:dyDescent="0.3">
      <c r="A403" s="1217"/>
      <c r="B403" s="644"/>
      <c r="C403" s="678"/>
      <c r="D403" s="676" t="s">
        <v>969</v>
      </c>
      <c r="E403" s="677">
        <v>0.56540000000000001</v>
      </c>
      <c r="F403" s="677">
        <v>0.88904054314540115</v>
      </c>
      <c r="G403" s="677">
        <v>0.61592292486312405</v>
      </c>
      <c r="H403" s="677">
        <v>0.58764615402730191</v>
      </c>
      <c r="I403" s="685">
        <f t="shared" si="53"/>
        <v>895.86835076288173</v>
      </c>
      <c r="J403" s="685">
        <f t="shared" si="52"/>
        <v>479.44599393399835</v>
      </c>
      <c r="K403" s="685">
        <f t="shared" si="52"/>
        <v>483.83805640920463</v>
      </c>
      <c r="L403" s="685">
        <f t="shared" si="52"/>
        <v>689.05175947220232</v>
      </c>
      <c r="M403" s="685">
        <f t="shared" si="52"/>
        <v>689.05175947220232</v>
      </c>
      <c r="N403" s="685">
        <f t="shared" si="52"/>
        <v>689.05175947220232</v>
      </c>
      <c r="O403" s="685">
        <f t="shared" si="52"/>
        <v>689.05175947220232</v>
      </c>
      <c r="P403" s="685">
        <f t="shared" si="52"/>
        <v>689.05175947220232</v>
      </c>
      <c r="Q403" s="685">
        <f t="shared" si="52"/>
        <v>689.05175947220232</v>
      </c>
      <c r="R403" s="685">
        <f t="shared" si="52"/>
        <v>689.05175947220232</v>
      </c>
      <c r="S403" s="685">
        <f t="shared" si="52"/>
        <v>689.05175947220232</v>
      </c>
      <c r="T403" s="685">
        <f t="shared" si="52"/>
        <v>689.05175947220232</v>
      </c>
      <c r="U403" s="685">
        <f t="shared" si="52"/>
        <v>689.05175947220232</v>
      </c>
      <c r="V403" s="685">
        <f t="shared" si="52"/>
        <v>689.05175947220232</v>
      </c>
      <c r="W403" s="685">
        <f t="shared" si="52"/>
        <v>689.05175947220232</v>
      </c>
      <c r="X403" s="685">
        <f t="shared" si="52"/>
        <v>689.05175947220232</v>
      </c>
      <c r="Y403" s="685">
        <f t="shared" si="52"/>
        <v>689.05175947220232</v>
      </c>
      <c r="Z403" s="685">
        <f t="shared" si="52"/>
        <v>689.05175947220232</v>
      </c>
      <c r="AA403" s="685">
        <f t="shared" si="52"/>
        <v>689.05175947220232</v>
      </c>
      <c r="AB403" s="685">
        <f t="shared" si="52"/>
        <v>689.05175947220232</v>
      </c>
      <c r="AC403" s="685">
        <f t="shared" si="52"/>
        <v>689.05175947220232</v>
      </c>
      <c r="AD403" s="685">
        <f t="shared" si="52"/>
        <v>689.05175947220232</v>
      </c>
      <c r="AE403" s="685">
        <f t="shared" si="52"/>
        <v>689.05175947220232</v>
      </c>
      <c r="AF403" s="685">
        <f t="shared" si="52"/>
        <v>689.05175947220232</v>
      </c>
      <c r="AG403" s="685">
        <f t="shared" si="52"/>
        <v>689.05175947220232</v>
      </c>
      <c r="AH403" s="685">
        <f t="shared" si="52"/>
        <v>689.05175947220232</v>
      </c>
      <c r="AI403" s="685">
        <f t="shared" si="52"/>
        <v>689.05175947220232</v>
      </c>
      <c r="AJ403" s="685">
        <f t="shared" si="52"/>
        <v>689.05175947220232</v>
      </c>
      <c r="AK403" s="685">
        <f t="shared" si="52"/>
        <v>689.05175947220232</v>
      </c>
      <c r="AL403" s="685">
        <f t="shared" si="52"/>
        <v>689.05175947220232</v>
      </c>
      <c r="AM403" s="685">
        <f t="shared" si="52"/>
        <v>689.05175947220232</v>
      </c>
      <c r="AN403" s="685">
        <f t="shared" si="52"/>
        <v>689.05175947220232</v>
      </c>
      <c r="AO403" s="685">
        <f t="shared" si="52"/>
        <v>689.05175947220232</v>
      </c>
      <c r="AP403" s="675"/>
    </row>
    <row r="404" spans="1:42" ht="14.25" customHeight="1" x14ac:dyDescent="0.3">
      <c r="A404" s="1217"/>
      <c r="B404" s="644"/>
      <c r="C404" s="678"/>
      <c r="D404" s="676" t="s">
        <v>970</v>
      </c>
      <c r="E404" s="677">
        <v>1.5027999999999999</v>
      </c>
      <c r="F404" s="677">
        <v>3.0433843870000001</v>
      </c>
      <c r="G404" s="677">
        <v>3.9061560989999999</v>
      </c>
      <c r="H404" s="677">
        <v>2.784547291</v>
      </c>
      <c r="I404" s="685">
        <f t="shared" si="53"/>
        <v>3899.3330379999998</v>
      </c>
      <c r="J404" s="685">
        <f t="shared" si="52"/>
        <v>3264.4</v>
      </c>
      <c r="K404" s="685">
        <f t="shared" si="52"/>
        <v>2826.1756020000003</v>
      </c>
      <c r="L404" s="685">
        <f t="shared" si="52"/>
        <v>4998.2021830000003</v>
      </c>
      <c r="M404" s="685">
        <f t="shared" si="52"/>
        <v>4998.2021830000003</v>
      </c>
      <c r="N404" s="685">
        <f t="shared" si="52"/>
        <v>4998.2021830000003</v>
      </c>
      <c r="O404" s="685">
        <f t="shared" si="52"/>
        <v>4998.2021830000003</v>
      </c>
      <c r="P404" s="685">
        <f t="shared" si="52"/>
        <v>4998.2021830000003</v>
      </c>
      <c r="Q404" s="685">
        <f t="shared" si="52"/>
        <v>4998.2021830000003</v>
      </c>
      <c r="R404" s="685">
        <f t="shared" si="52"/>
        <v>4998.2021830000003</v>
      </c>
      <c r="S404" s="685">
        <f t="shared" si="52"/>
        <v>4998.2021830000003</v>
      </c>
      <c r="T404" s="685">
        <f t="shared" si="52"/>
        <v>4998.2021830000003</v>
      </c>
      <c r="U404" s="685">
        <f t="shared" si="52"/>
        <v>4998.2021830000003</v>
      </c>
      <c r="V404" s="685">
        <f t="shared" si="52"/>
        <v>4998.2021830000003</v>
      </c>
      <c r="W404" s="685">
        <f t="shared" si="52"/>
        <v>4998.2021830000003</v>
      </c>
      <c r="X404" s="685">
        <f t="shared" si="52"/>
        <v>4998.2021830000003</v>
      </c>
      <c r="Y404" s="685">
        <f t="shared" si="52"/>
        <v>4998.2021830000003</v>
      </c>
      <c r="Z404" s="685">
        <f t="shared" si="52"/>
        <v>4998.2021830000003</v>
      </c>
      <c r="AA404" s="685">
        <f t="shared" si="52"/>
        <v>4998.2021830000003</v>
      </c>
      <c r="AB404" s="685">
        <f t="shared" si="52"/>
        <v>4998.2021830000003</v>
      </c>
      <c r="AC404" s="685">
        <f t="shared" si="52"/>
        <v>4998.2021830000003</v>
      </c>
      <c r="AD404" s="685">
        <f t="shared" si="52"/>
        <v>4998.2021830000003</v>
      </c>
      <c r="AE404" s="685">
        <f t="shared" si="52"/>
        <v>4998.2021830000003</v>
      </c>
      <c r="AF404" s="685">
        <f t="shared" si="52"/>
        <v>4998.2021830000003</v>
      </c>
      <c r="AG404" s="685">
        <f t="shared" si="52"/>
        <v>4998.2021830000003</v>
      </c>
      <c r="AH404" s="685">
        <f t="shared" si="52"/>
        <v>4998.2021830000003</v>
      </c>
      <c r="AI404" s="685">
        <f t="shared" si="52"/>
        <v>4998.2021830000003</v>
      </c>
      <c r="AJ404" s="685">
        <f t="shared" si="52"/>
        <v>4998.2021830000003</v>
      </c>
      <c r="AK404" s="685">
        <f t="shared" si="52"/>
        <v>4998.2021830000003</v>
      </c>
      <c r="AL404" s="685">
        <f t="shared" si="52"/>
        <v>4998.2021830000003</v>
      </c>
      <c r="AM404" s="685">
        <f t="shared" si="52"/>
        <v>4998.2021830000003</v>
      </c>
      <c r="AN404" s="685">
        <f t="shared" si="52"/>
        <v>4998.2021830000003</v>
      </c>
      <c r="AO404" s="685">
        <f t="shared" si="52"/>
        <v>4998.2021830000003</v>
      </c>
      <c r="AP404" s="675"/>
    </row>
    <row r="405" spans="1:42" ht="14.25" customHeight="1" x14ac:dyDescent="0.3">
      <c r="A405" s="1217"/>
      <c r="B405" s="644"/>
      <c r="C405" s="678"/>
      <c r="D405" s="676" t="s">
        <v>971</v>
      </c>
      <c r="E405" s="677">
        <v>0.99467446289134853</v>
      </c>
      <c r="F405" s="677">
        <v>0.81923129140946027</v>
      </c>
      <c r="G405" s="677">
        <v>0.72937499675115125</v>
      </c>
      <c r="H405" s="677">
        <v>0.81806685871498974</v>
      </c>
      <c r="I405" s="685">
        <f t="shared" si="53"/>
        <v>680.50340882493595</v>
      </c>
      <c r="J405" s="685">
        <f t="shared" si="52"/>
        <v>676.54520962706579</v>
      </c>
      <c r="K405" s="685">
        <f t="shared" si="52"/>
        <v>739.23368367401406</v>
      </c>
      <c r="L405" s="685">
        <f t="shared" si="52"/>
        <v>1231.3303321334899</v>
      </c>
      <c r="M405" s="685">
        <f t="shared" si="52"/>
        <v>1231.3303321334899</v>
      </c>
      <c r="N405" s="685">
        <f t="shared" si="52"/>
        <v>1231.3303321334899</v>
      </c>
      <c r="O405" s="685">
        <f t="shared" si="52"/>
        <v>1231.3303321334899</v>
      </c>
      <c r="P405" s="685">
        <f t="shared" si="52"/>
        <v>1231.3303321334899</v>
      </c>
      <c r="Q405" s="685">
        <f t="shared" si="52"/>
        <v>1231.3303321334899</v>
      </c>
      <c r="R405" s="685">
        <f t="shared" si="52"/>
        <v>1231.3303321334899</v>
      </c>
      <c r="S405" s="685">
        <f t="shared" si="52"/>
        <v>1231.3303321334899</v>
      </c>
      <c r="T405" s="685">
        <f t="shared" si="52"/>
        <v>1231.3303321334899</v>
      </c>
      <c r="U405" s="685">
        <f t="shared" si="52"/>
        <v>1231.3303321334899</v>
      </c>
      <c r="V405" s="685">
        <f t="shared" si="52"/>
        <v>1231.3303321334899</v>
      </c>
      <c r="W405" s="685">
        <f t="shared" si="52"/>
        <v>1231.3303321334899</v>
      </c>
      <c r="X405" s="685">
        <f t="shared" si="52"/>
        <v>1231.3303321334899</v>
      </c>
      <c r="Y405" s="685">
        <f t="shared" si="52"/>
        <v>1231.3303321334899</v>
      </c>
      <c r="Z405" s="685">
        <f t="shared" si="52"/>
        <v>1231.3303321334899</v>
      </c>
      <c r="AA405" s="685">
        <f t="shared" si="52"/>
        <v>1231.3303321334899</v>
      </c>
      <c r="AB405" s="685">
        <f t="shared" si="52"/>
        <v>1231.3303321334899</v>
      </c>
      <c r="AC405" s="685">
        <f t="shared" si="52"/>
        <v>1231.3303321334899</v>
      </c>
      <c r="AD405" s="685">
        <f t="shared" si="52"/>
        <v>1231.3303321334899</v>
      </c>
      <c r="AE405" s="685">
        <f t="shared" si="52"/>
        <v>1231.3303321334899</v>
      </c>
      <c r="AF405" s="685">
        <f t="shared" si="52"/>
        <v>1231.3303321334899</v>
      </c>
      <c r="AG405" s="685">
        <f t="shared" si="52"/>
        <v>1231.3303321334899</v>
      </c>
      <c r="AH405" s="685">
        <f t="shared" si="52"/>
        <v>1231.3303321334899</v>
      </c>
      <c r="AI405" s="685">
        <f t="shared" si="52"/>
        <v>1231.3303321334899</v>
      </c>
      <c r="AJ405" s="685">
        <f t="shared" si="52"/>
        <v>1231.3303321334899</v>
      </c>
      <c r="AK405" s="685">
        <f t="shared" si="52"/>
        <v>1231.3303321334899</v>
      </c>
      <c r="AL405" s="685">
        <f t="shared" si="52"/>
        <v>1231.3303321334899</v>
      </c>
      <c r="AM405" s="685">
        <f t="shared" si="52"/>
        <v>1231.3303321334899</v>
      </c>
      <c r="AN405" s="685">
        <f t="shared" si="52"/>
        <v>1231.3303321334899</v>
      </c>
      <c r="AO405" s="685">
        <f t="shared" si="52"/>
        <v>1231.3303321334899</v>
      </c>
      <c r="AP405" s="675"/>
    </row>
    <row r="406" spans="1:42" ht="14.25" customHeight="1" x14ac:dyDescent="0.3">
      <c r="A406" s="1217"/>
      <c r="B406" s="644"/>
      <c r="C406" s="678"/>
      <c r="D406" s="676" t="s">
        <v>972</v>
      </c>
      <c r="E406" s="677">
        <v>2.1031033598358553</v>
      </c>
      <c r="F406" s="677">
        <v>6.5505522514868311</v>
      </c>
      <c r="G406" s="677">
        <v>0</v>
      </c>
      <c r="H406" s="677">
        <v>0</v>
      </c>
      <c r="I406" s="685">
        <f t="shared" si="53"/>
        <v>7449.987454093387</v>
      </c>
      <c r="J406" s="685">
        <f t="shared" si="52"/>
        <v>3825.2295860857439</v>
      </c>
      <c r="K406" s="685">
        <f t="shared" si="52"/>
        <v>13524</v>
      </c>
      <c r="L406" s="685">
        <f t="shared" si="52"/>
        <v>4232.9105210860262</v>
      </c>
      <c r="M406" s="685">
        <f t="shared" si="52"/>
        <v>4232.9105210860262</v>
      </c>
      <c r="N406" s="685">
        <f t="shared" si="52"/>
        <v>4232.9105210860262</v>
      </c>
      <c r="O406" s="685">
        <f t="shared" si="52"/>
        <v>4232.9105210860262</v>
      </c>
      <c r="P406" s="685">
        <f t="shared" si="52"/>
        <v>4232.9105210860262</v>
      </c>
      <c r="Q406" s="685">
        <f t="shared" si="52"/>
        <v>4232.9105210860262</v>
      </c>
      <c r="R406" s="685">
        <f t="shared" si="52"/>
        <v>4232.9105210860262</v>
      </c>
      <c r="S406" s="685">
        <f t="shared" si="52"/>
        <v>4232.9105210860262</v>
      </c>
      <c r="T406" s="685">
        <f t="shared" si="52"/>
        <v>4232.9105210860262</v>
      </c>
      <c r="U406" s="685">
        <f t="shared" si="52"/>
        <v>4232.9105210860262</v>
      </c>
      <c r="V406" s="685">
        <f t="shared" si="52"/>
        <v>4232.9105210860262</v>
      </c>
      <c r="W406" s="685">
        <f t="shared" si="52"/>
        <v>4232.9105210860262</v>
      </c>
      <c r="X406" s="685">
        <f t="shared" si="52"/>
        <v>4232.9105210860262</v>
      </c>
      <c r="Y406" s="685">
        <f t="shared" si="52"/>
        <v>4232.9105210860262</v>
      </c>
      <c r="Z406" s="685">
        <f t="shared" si="52"/>
        <v>4232.9105210860262</v>
      </c>
      <c r="AA406" s="685">
        <f t="shared" si="52"/>
        <v>4232.9105210860262</v>
      </c>
      <c r="AB406" s="685">
        <f t="shared" si="52"/>
        <v>4232.9105210860262</v>
      </c>
      <c r="AC406" s="685">
        <f t="shared" si="52"/>
        <v>4232.9105210860262</v>
      </c>
      <c r="AD406" s="685">
        <f t="shared" si="52"/>
        <v>4232.9105210860262</v>
      </c>
      <c r="AE406" s="685">
        <f t="shared" si="52"/>
        <v>4232.9105210860262</v>
      </c>
      <c r="AF406" s="685">
        <f t="shared" si="52"/>
        <v>4232.9105210860262</v>
      </c>
      <c r="AG406" s="685">
        <f t="shared" si="52"/>
        <v>4232.9105210860262</v>
      </c>
      <c r="AH406" s="685">
        <f t="shared" si="52"/>
        <v>4232.9105210860262</v>
      </c>
      <c r="AI406" s="685">
        <f t="shared" si="52"/>
        <v>4232.9105210860262</v>
      </c>
      <c r="AJ406" s="685">
        <f t="shared" si="52"/>
        <v>4232.9105210860262</v>
      </c>
      <c r="AK406" s="685">
        <f t="shared" si="52"/>
        <v>4232.9105210860262</v>
      </c>
      <c r="AL406" s="685">
        <f t="shared" si="52"/>
        <v>4232.9105210860262</v>
      </c>
      <c r="AM406" s="685">
        <f t="shared" si="52"/>
        <v>4232.9105210860262</v>
      </c>
      <c r="AN406" s="685">
        <f t="shared" si="52"/>
        <v>4232.9105210860262</v>
      </c>
      <c r="AO406" s="685">
        <f t="shared" si="52"/>
        <v>4232.9105210860262</v>
      </c>
      <c r="AP406" s="675"/>
    </row>
    <row r="407" spans="1:42" ht="14.25" customHeight="1" x14ac:dyDescent="0.3">
      <c r="A407" s="1217"/>
      <c r="B407" s="644"/>
      <c r="C407" s="678"/>
      <c r="D407" s="676" t="s">
        <v>973</v>
      </c>
      <c r="E407" s="677">
        <v>2.3242525188414822</v>
      </c>
      <c r="F407" s="677">
        <v>2.3287614598970596</v>
      </c>
      <c r="G407" s="677">
        <v>2.0251303291347615</v>
      </c>
      <c r="H407" s="677">
        <v>1.9597545622592736</v>
      </c>
      <c r="I407" s="685">
        <f t="shared" si="53"/>
        <v>2022.135768300993</v>
      </c>
      <c r="J407" s="685">
        <f t="shared" si="52"/>
        <v>1963.3379741023307</v>
      </c>
      <c r="K407" s="685">
        <f t="shared" si="52"/>
        <v>1945.4019240916714</v>
      </c>
      <c r="L407" s="685">
        <f t="shared" si="52"/>
        <v>2269.7210735329777</v>
      </c>
      <c r="M407" s="685">
        <f t="shared" si="52"/>
        <v>2269.7210735329777</v>
      </c>
      <c r="N407" s="685">
        <f t="shared" si="52"/>
        <v>2269.7210735329777</v>
      </c>
      <c r="O407" s="685">
        <f t="shared" si="52"/>
        <v>2269.7210735329777</v>
      </c>
      <c r="P407" s="685">
        <f t="shared" si="52"/>
        <v>2269.7210735329777</v>
      </c>
      <c r="Q407" s="685">
        <f t="shared" si="52"/>
        <v>2269.7210735329777</v>
      </c>
      <c r="R407" s="685">
        <f t="shared" si="52"/>
        <v>2269.7210735329777</v>
      </c>
      <c r="S407" s="685">
        <f t="shared" si="52"/>
        <v>2269.7210735329777</v>
      </c>
      <c r="T407" s="685">
        <f t="shared" si="52"/>
        <v>2269.7210735329777</v>
      </c>
      <c r="U407" s="685">
        <f t="shared" si="52"/>
        <v>2269.7210735329777</v>
      </c>
      <c r="V407" s="685">
        <f t="shared" si="52"/>
        <v>2269.7210735329777</v>
      </c>
      <c r="W407" s="685">
        <f t="shared" si="52"/>
        <v>2269.7210735329777</v>
      </c>
      <c r="X407" s="685">
        <f t="shared" ref="J407:AO413" si="54">X391*1000</f>
        <v>2269.7210735329777</v>
      </c>
      <c r="Y407" s="685">
        <f t="shared" si="54"/>
        <v>2269.7210735329777</v>
      </c>
      <c r="Z407" s="685">
        <f t="shared" si="54"/>
        <v>2269.7210735329777</v>
      </c>
      <c r="AA407" s="685">
        <f t="shared" si="54"/>
        <v>2269.7210735329777</v>
      </c>
      <c r="AB407" s="685">
        <f t="shared" si="54"/>
        <v>2269.7210735329777</v>
      </c>
      <c r="AC407" s="685">
        <f t="shared" si="54"/>
        <v>2269.7210735329777</v>
      </c>
      <c r="AD407" s="685">
        <f t="shared" si="54"/>
        <v>2269.7210735329777</v>
      </c>
      <c r="AE407" s="685">
        <f t="shared" si="54"/>
        <v>2269.7210735329777</v>
      </c>
      <c r="AF407" s="685">
        <f t="shared" si="54"/>
        <v>2269.7210735329777</v>
      </c>
      <c r="AG407" s="685">
        <f t="shared" si="54"/>
        <v>2269.7210735329777</v>
      </c>
      <c r="AH407" s="685">
        <f t="shared" si="54"/>
        <v>2269.7210735329777</v>
      </c>
      <c r="AI407" s="685">
        <f t="shared" si="54"/>
        <v>2269.7210735329777</v>
      </c>
      <c r="AJ407" s="685">
        <f t="shared" si="54"/>
        <v>2269.7210735329777</v>
      </c>
      <c r="AK407" s="685">
        <f t="shared" si="54"/>
        <v>2269.7210735329777</v>
      </c>
      <c r="AL407" s="685">
        <f t="shared" si="54"/>
        <v>2269.7210735329777</v>
      </c>
      <c r="AM407" s="685">
        <f t="shared" si="54"/>
        <v>2269.7210735329777</v>
      </c>
      <c r="AN407" s="685">
        <f t="shared" si="54"/>
        <v>2269.7210735329777</v>
      </c>
      <c r="AO407" s="685">
        <f t="shared" si="54"/>
        <v>2269.7210735329777</v>
      </c>
      <c r="AP407" s="675"/>
    </row>
    <row r="408" spans="1:42" ht="14.25" customHeight="1" x14ac:dyDescent="0.3">
      <c r="A408" s="1217"/>
      <c r="B408" s="644"/>
      <c r="C408" s="678"/>
      <c r="D408" s="676" t="s">
        <v>974</v>
      </c>
      <c r="E408" s="677">
        <v>6.6464167459999999</v>
      </c>
      <c r="F408" s="677">
        <v>3.9019659369999999</v>
      </c>
      <c r="G408" s="677">
        <v>5.8378889660000004</v>
      </c>
      <c r="H408" s="677">
        <v>6.4342377480000001</v>
      </c>
      <c r="I408" s="685">
        <f t="shared" si="53"/>
        <v>4918.8479799999996</v>
      </c>
      <c r="J408" s="685">
        <f t="shared" si="54"/>
        <v>5119.9000000000005</v>
      </c>
      <c r="K408" s="685">
        <f t="shared" si="54"/>
        <v>5066.1227330000002</v>
      </c>
      <c r="L408" s="685">
        <f t="shared" si="54"/>
        <v>6930.4961739999999</v>
      </c>
      <c r="M408" s="685">
        <f t="shared" si="54"/>
        <v>6930.4961739999999</v>
      </c>
      <c r="N408" s="685">
        <f t="shared" si="54"/>
        <v>6930.4961739999999</v>
      </c>
      <c r="O408" s="685">
        <f t="shared" si="54"/>
        <v>6930.4961739999999</v>
      </c>
      <c r="P408" s="685">
        <f t="shared" si="54"/>
        <v>6930.4961739999999</v>
      </c>
      <c r="Q408" s="685">
        <f t="shared" si="54"/>
        <v>6930.4961739999999</v>
      </c>
      <c r="R408" s="685">
        <f t="shared" si="54"/>
        <v>6930.4961739999999</v>
      </c>
      <c r="S408" s="685">
        <f t="shared" si="54"/>
        <v>6930.4961739999999</v>
      </c>
      <c r="T408" s="685">
        <f t="shared" si="54"/>
        <v>6930.4961739999999</v>
      </c>
      <c r="U408" s="685">
        <f t="shared" si="54"/>
        <v>6930.4961739999999</v>
      </c>
      <c r="V408" s="685">
        <f t="shared" si="54"/>
        <v>6930.4961739999999</v>
      </c>
      <c r="W408" s="685">
        <f t="shared" si="54"/>
        <v>6930.4961739999999</v>
      </c>
      <c r="X408" s="685">
        <f t="shared" si="54"/>
        <v>6930.4961739999999</v>
      </c>
      <c r="Y408" s="685">
        <f t="shared" si="54"/>
        <v>6930.4961739999999</v>
      </c>
      <c r="Z408" s="685">
        <f t="shared" si="54"/>
        <v>6930.4961739999999</v>
      </c>
      <c r="AA408" s="685">
        <f t="shared" si="54"/>
        <v>6930.4961739999999</v>
      </c>
      <c r="AB408" s="685">
        <f t="shared" si="54"/>
        <v>6930.4961739999999</v>
      </c>
      <c r="AC408" s="685">
        <f t="shared" si="54"/>
        <v>6930.4961739999999</v>
      </c>
      <c r="AD408" s="685">
        <f t="shared" si="54"/>
        <v>6930.4961739999999</v>
      </c>
      <c r="AE408" s="685">
        <f t="shared" si="54"/>
        <v>6930.4961739999999</v>
      </c>
      <c r="AF408" s="685">
        <f t="shared" si="54"/>
        <v>6930.4961739999999</v>
      </c>
      <c r="AG408" s="685">
        <f t="shared" si="54"/>
        <v>6930.4961739999999</v>
      </c>
      <c r="AH408" s="685">
        <f t="shared" si="54"/>
        <v>6930.4961739999999</v>
      </c>
      <c r="AI408" s="685">
        <f t="shared" si="54"/>
        <v>6930.4961739999999</v>
      </c>
      <c r="AJ408" s="685">
        <f t="shared" si="54"/>
        <v>6930.4961739999999</v>
      </c>
      <c r="AK408" s="685">
        <f t="shared" si="54"/>
        <v>6930.4961739999999</v>
      </c>
      <c r="AL408" s="685">
        <f t="shared" si="54"/>
        <v>6930.4961739999999</v>
      </c>
      <c r="AM408" s="685">
        <f t="shared" si="54"/>
        <v>6930.4961739999999</v>
      </c>
      <c r="AN408" s="685">
        <f t="shared" si="54"/>
        <v>6930.4961739999999</v>
      </c>
      <c r="AO408" s="685">
        <f t="shared" si="54"/>
        <v>6930.4961739999999</v>
      </c>
      <c r="AP408" s="675"/>
    </row>
    <row r="409" spans="1:42" ht="14.25" customHeight="1" x14ac:dyDescent="0.3">
      <c r="A409" s="1217"/>
      <c r="B409" s="644"/>
      <c r="C409" s="678"/>
      <c r="D409" s="676" t="s">
        <v>975</v>
      </c>
      <c r="E409" s="677">
        <v>4.6542000000000003</v>
      </c>
      <c r="F409" s="677">
        <v>3.8500169010322818</v>
      </c>
      <c r="G409" s="677">
        <v>2.7070047688558976</v>
      </c>
      <c r="H409" s="677">
        <v>2.4280225085005558</v>
      </c>
      <c r="I409" s="685">
        <f t="shared" si="53"/>
        <v>2483.7224805738515</v>
      </c>
      <c r="J409" s="685">
        <f t="shared" si="54"/>
        <v>2560.4501902489128</v>
      </c>
      <c r="K409" s="685">
        <f t="shared" si="54"/>
        <v>2542.4479834277608</v>
      </c>
      <c r="L409" s="685">
        <f t="shared" si="54"/>
        <v>2348.1886581629142</v>
      </c>
      <c r="M409" s="685">
        <f t="shared" si="54"/>
        <v>2348.1886581629142</v>
      </c>
      <c r="N409" s="685">
        <f t="shared" si="54"/>
        <v>2348.1886581629142</v>
      </c>
      <c r="O409" s="685">
        <f t="shared" si="54"/>
        <v>2348.1886581629142</v>
      </c>
      <c r="P409" s="685">
        <f t="shared" si="54"/>
        <v>2348.1886581629142</v>
      </c>
      <c r="Q409" s="685">
        <f t="shared" si="54"/>
        <v>2348.1886581629142</v>
      </c>
      <c r="R409" s="685">
        <f t="shared" si="54"/>
        <v>2348.1886581629142</v>
      </c>
      <c r="S409" s="685">
        <f t="shared" si="54"/>
        <v>2348.1886581629142</v>
      </c>
      <c r="T409" s="685">
        <f t="shared" si="54"/>
        <v>2348.1886581629142</v>
      </c>
      <c r="U409" s="685">
        <f t="shared" si="54"/>
        <v>2348.1886581629142</v>
      </c>
      <c r="V409" s="685">
        <f t="shared" si="54"/>
        <v>2348.1886581629142</v>
      </c>
      <c r="W409" s="685">
        <f t="shared" si="54"/>
        <v>2348.1886581629142</v>
      </c>
      <c r="X409" s="685">
        <f t="shared" si="54"/>
        <v>2348.1886581629142</v>
      </c>
      <c r="Y409" s="685">
        <f t="shared" si="54"/>
        <v>2348.1886581629142</v>
      </c>
      <c r="Z409" s="685">
        <f t="shared" si="54"/>
        <v>2348.1886581629142</v>
      </c>
      <c r="AA409" s="685">
        <f t="shared" si="54"/>
        <v>2348.1886581629142</v>
      </c>
      <c r="AB409" s="685">
        <f t="shared" si="54"/>
        <v>2348.1886581629142</v>
      </c>
      <c r="AC409" s="685">
        <f t="shared" si="54"/>
        <v>2348.1886581629142</v>
      </c>
      <c r="AD409" s="685">
        <f t="shared" si="54"/>
        <v>2348.1886581629142</v>
      </c>
      <c r="AE409" s="685">
        <f t="shared" si="54"/>
        <v>2348.1886581629142</v>
      </c>
      <c r="AF409" s="685">
        <f t="shared" si="54"/>
        <v>2348.1886581629142</v>
      </c>
      <c r="AG409" s="685">
        <f t="shared" si="54"/>
        <v>2348.1886581629142</v>
      </c>
      <c r="AH409" s="685">
        <f t="shared" si="54"/>
        <v>2348.1886581629142</v>
      </c>
      <c r="AI409" s="685">
        <f t="shared" si="54"/>
        <v>2348.1886581629142</v>
      </c>
      <c r="AJ409" s="685">
        <f t="shared" si="54"/>
        <v>2348.1886581629142</v>
      </c>
      <c r="AK409" s="685">
        <f t="shared" si="54"/>
        <v>2348.1886581629142</v>
      </c>
      <c r="AL409" s="685">
        <f t="shared" si="54"/>
        <v>2348.1886581629142</v>
      </c>
      <c r="AM409" s="685">
        <f t="shared" si="54"/>
        <v>2348.1886581629142</v>
      </c>
      <c r="AN409" s="685">
        <f t="shared" si="54"/>
        <v>2348.1886581629142</v>
      </c>
      <c r="AO409" s="685">
        <f t="shared" si="54"/>
        <v>2348.1886581629142</v>
      </c>
      <c r="AP409" s="675"/>
    </row>
    <row r="410" spans="1:42" ht="14.25" customHeight="1" x14ac:dyDescent="0.3">
      <c r="A410" s="1217"/>
      <c r="B410" s="644"/>
      <c r="C410" s="678"/>
      <c r="D410" s="676" t="s">
        <v>915</v>
      </c>
      <c r="E410" s="677">
        <v>2.8240831690000001</v>
      </c>
      <c r="F410" s="677">
        <v>4.3284580830000001</v>
      </c>
      <c r="G410" s="677">
        <v>7.2324927900000002</v>
      </c>
      <c r="H410" s="677">
        <v>4.8431902899999999</v>
      </c>
      <c r="I410" s="685">
        <f t="shared" si="53"/>
        <v>7226.6281529999997</v>
      </c>
      <c r="J410" s="685">
        <f t="shared" si="54"/>
        <v>4686.8</v>
      </c>
      <c r="K410" s="685">
        <f t="shared" si="54"/>
        <v>1890.546284</v>
      </c>
      <c r="L410" s="685">
        <f t="shared" si="54"/>
        <v>2740.019127</v>
      </c>
      <c r="M410" s="685">
        <f t="shared" si="54"/>
        <v>2740.019127</v>
      </c>
      <c r="N410" s="685">
        <f t="shared" si="54"/>
        <v>2740.019127</v>
      </c>
      <c r="O410" s="685">
        <f t="shared" si="54"/>
        <v>2740.019127</v>
      </c>
      <c r="P410" s="685">
        <f t="shared" si="54"/>
        <v>2740.019127</v>
      </c>
      <c r="Q410" s="685">
        <f t="shared" si="54"/>
        <v>2740.019127</v>
      </c>
      <c r="R410" s="685">
        <f t="shared" si="54"/>
        <v>2740.019127</v>
      </c>
      <c r="S410" s="685">
        <f t="shared" si="54"/>
        <v>2740.019127</v>
      </c>
      <c r="T410" s="685">
        <f t="shared" si="54"/>
        <v>2740.019127</v>
      </c>
      <c r="U410" s="685">
        <f t="shared" si="54"/>
        <v>2740.019127</v>
      </c>
      <c r="V410" s="685">
        <f t="shared" si="54"/>
        <v>2740.019127</v>
      </c>
      <c r="W410" s="685">
        <f t="shared" si="54"/>
        <v>2740.019127</v>
      </c>
      <c r="X410" s="685">
        <f t="shared" si="54"/>
        <v>2740.019127</v>
      </c>
      <c r="Y410" s="685">
        <f t="shared" si="54"/>
        <v>2740.019127</v>
      </c>
      <c r="Z410" s="685">
        <f t="shared" si="54"/>
        <v>2740.019127</v>
      </c>
      <c r="AA410" s="685">
        <f t="shared" si="54"/>
        <v>2740.019127</v>
      </c>
      <c r="AB410" s="685">
        <f t="shared" si="54"/>
        <v>2740.019127</v>
      </c>
      <c r="AC410" s="685">
        <f t="shared" si="54"/>
        <v>2740.019127</v>
      </c>
      <c r="AD410" s="685">
        <f t="shared" si="54"/>
        <v>2740.019127</v>
      </c>
      <c r="AE410" s="685">
        <f t="shared" si="54"/>
        <v>2740.019127</v>
      </c>
      <c r="AF410" s="685">
        <f t="shared" si="54"/>
        <v>2740.019127</v>
      </c>
      <c r="AG410" s="685">
        <f t="shared" si="54"/>
        <v>2740.019127</v>
      </c>
      <c r="AH410" s="685">
        <f t="shared" si="54"/>
        <v>2740.019127</v>
      </c>
      <c r="AI410" s="685">
        <f t="shared" si="54"/>
        <v>2740.019127</v>
      </c>
      <c r="AJ410" s="685">
        <f t="shared" si="54"/>
        <v>2740.019127</v>
      </c>
      <c r="AK410" s="685">
        <f t="shared" si="54"/>
        <v>2740.019127</v>
      </c>
      <c r="AL410" s="685">
        <f t="shared" si="54"/>
        <v>2740.019127</v>
      </c>
      <c r="AM410" s="685">
        <f t="shared" si="54"/>
        <v>2740.019127</v>
      </c>
      <c r="AN410" s="685">
        <f t="shared" si="54"/>
        <v>2740.019127</v>
      </c>
      <c r="AO410" s="685">
        <f t="shared" si="54"/>
        <v>2740.019127</v>
      </c>
      <c r="AP410" s="675"/>
    </row>
    <row r="411" spans="1:42" ht="14.25" customHeight="1" x14ac:dyDescent="0.3">
      <c r="A411" s="1217"/>
      <c r="B411" s="644"/>
      <c r="C411" s="678"/>
      <c r="D411" s="676" t="s">
        <v>976</v>
      </c>
      <c r="E411" s="677">
        <v>3.2084145949999998</v>
      </c>
      <c r="F411" s="677">
        <v>4.6443175009999997</v>
      </c>
      <c r="G411" s="677">
        <v>6.5020326629999996</v>
      </c>
      <c r="H411" s="677">
        <v>7.2817777860000001</v>
      </c>
      <c r="I411" s="685">
        <f t="shared" si="53"/>
        <v>6590.90103</v>
      </c>
      <c r="J411" s="685">
        <f t="shared" si="54"/>
        <v>9486.4</v>
      </c>
      <c r="K411" s="685">
        <f t="shared" si="54"/>
        <v>5568.9461350000001</v>
      </c>
      <c r="L411" s="685">
        <f t="shared" si="54"/>
        <v>3307.6757699999998</v>
      </c>
      <c r="M411" s="685">
        <f t="shared" si="54"/>
        <v>3307.6757699999998</v>
      </c>
      <c r="N411" s="685">
        <f t="shared" si="54"/>
        <v>3307.6757699999998</v>
      </c>
      <c r="O411" s="685">
        <f t="shared" si="54"/>
        <v>3307.6757699999998</v>
      </c>
      <c r="P411" s="685">
        <f t="shared" si="54"/>
        <v>3307.6757699999998</v>
      </c>
      <c r="Q411" s="685">
        <f t="shared" si="54"/>
        <v>3307.6757699999998</v>
      </c>
      <c r="R411" s="685">
        <f t="shared" si="54"/>
        <v>3307.6757699999998</v>
      </c>
      <c r="S411" s="685">
        <f t="shared" si="54"/>
        <v>3307.6757699999998</v>
      </c>
      <c r="T411" s="685">
        <f t="shared" si="54"/>
        <v>3307.6757699999998</v>
      </c>
      <c r="U411" s="685">
        <f t="shared" si="54"/>
        <v>3307.6757699999998</v>
      </c>
      <c r="V411" s="685">
        <f t="shared" si="54"/>
        <v>3307.6757699999998</v>
      </c>
      <c r="W411" s="685">
        <f t="shared" si="54"/>
        <v>3307.6757699999998</v>
      </c>
      <c r="X411" s="685">
        <f t="shared" si="54"/>
        <v>3307.6757699999998</v>
      </c>
      <c r="Y411" s="685">
        <f t="shared" si="54"/>
        <v>3307.6757699999998</v>
      </c>
      <c r="Z411" s="685">
        <f t="shared" si="54"/>
        <v>3307.6757699999998</v>
      </c>
      <c r="AA411" s="685">
        <f t="shared" si="54"/>
        <v>3307.6757699999998</v>
      </c>
      <c r="AB411" s="685">
        <f t="shared" si="54"/>
        <v>3307.6757699999998</v>
      </c>
      <c r="AC411" s="685">
        <f t="shared" si="54"/>
        <v>3307.6757699999998</v>
      </c>
      <c r="AD411" s="685">
        <f t="shared" si="54"/>
        <v>3307.6757699999998</v>
      </c>
      <c r="AE411" s="685">
        <f t="shared" si="54"/>
        <v>3307.6757699999998</v>
      </c>
      <c r="AF411" s="685">
        <f t="shared" si="54"/>
        <v>3307.6757699999998</v>
      </c>
      <c r="AG411" s="685">
        <f t="shared" si="54"/>
        <v>3307.6757699999998</v>
      </c>
      <c r="AH411" s="685">
        <f t="shared" si="54"/>
        <v>3307.6757699999998</v>
      </c>
      <c r="AI411" s="685">
        <f t="shared" si="54"/>
        <v>3307.6757699999998</v>
      </c>
      <c r="AJ411" s="685">
        <f t="shared" si="54"/>
        <v>3307.6757699999998</v>
      </c>
      <c r="AK411" s="685">
        <f t="shared" si="54"/>
        <v>3307.6757699999998</v>
      </c>
      <c r="AL411" s="685">
        <f t="shared" si="54"/>
        <v>3307.6757699999998</v>
      </c>
      <c r="AM411" s="685">
        <f t="shared" si="54"/>
        <v>3307.6757699999998</v>
      </c>
      <c r="AN411" s="685">
        <f t="shared" si="54"/>
        <v>3307.6757699999998</v>
      </c>
      <c r="AO411" s="685">
        <f t="shared" si="54"/>
        <v>3307.6757699999998</v>
      </c>
      <c r="AP411" s="675"/>
    </row>
    <row r="412" spans="1:42" ht="13.5" customHeight="1" x14ac:dyDescent="0.3">
      <c r="A412" s="1217"/>
      <c r="B412" s="644"/>
      <c r="C412" s="678"/>
      <c r="D412" s="676" t="s">
        <v>977</v>
      </c>
      <c r="E412" s="677">
        <v>5.2013395649999996</v>
      </c>
      <c r="F412" s="677">
        <v>1.96168828</v>
      </c>
      <c r="G412" s="677">
        <v>4.682008744</v>
      </c>
      <c r="H412" s="677">
        <v>5.4061178700000001</v>
      </c>
      <c r="I412" s="685">
        <f t="shared" si="53"/>
        <v>6398.2697699999999</v>
      </c>
      <c r="J412" s="685">
        <f t="shared" si="54"/>
        <v>7226.0999999999995</v>
      </c>
      <c r="K412" s="685">
        <f t="shared" si="54"/>
        <v>3616.321766</v>
      </c>
      <c r="L412" s="685">
        <f t="shared" si="54"/>
        <v>2991.5233990000002</v>
      </c>
      <c r="M412" s="685">
        <f t="shared" si="54"/>
        <v>2991.5233990000002</v>
      </c>
      <c r="N412" s="685">
        <f t="shared" si="54"/>
        <v>2991.5233990000002</v>
      </c>
      <c r="O412" s="685">
        <f t="shared" si="54"/>
        <v>2991.5233990000002</v>
      </c>
      <c r="P412" s="685">
        <f t="shared" si="54"/>
        <v>2991.5233990000002</v>
      </c>
      <c r="Q412" s="685">
        <f t="shared" si="54"/>
        <v>2991.5233990000002</v>
      </c>
      <c r="R412" s="685">
        <f t="shared" si="54"/>
        <v>2991.5233990000002</v>
      </c>
      <c r="S412" s="685">
        <f t="shared" si="54"/>
        <v>2991.5233990000002</v>
      </c>
      <c r="T412" s="685">
        <f t="shared" si="54"/>
        <v>2991.5233990000002</v>
      </c>
      <c r="U412" s="685">
        <f t="shared" si="54"/>
        <v>2991.5233990000002</v>
      </c>
      <c r="V412" s="685">
        <f t="shared" si="54"/>
        <v>2991.5233990000002</v>
      </c>
      <c r="W412" s="685">
        <f t="shared" si="54"/>
        <v>2991.5233990000002</v>
      </c>
      <c r="X412" s="685">
        <f t="shared" si="54"/>
        <v>2991.5233990000002</v>
      </c>
      <c r="Y412" s="685">
        <f t="shared" si="54"/>
        <v>2991.5233990000002</v>
      </c>
      <c r="Z412" s="685">
        <f t="shared" si="54"/>
        <v>2991.5233990000002</v>
      </c>
      <c r="AA412" s="685">
        <f t="shared" si="54"/>
        <v>2991.5233990000002</v>
      </c>
      <c r="AB412" s="685">
        <f t="shared" si="54"/>
        <v>2991.5233990000002</v>
      </c>
      <c r="AC412" s="685">
        <f t="shared" si="54"/>
        <v>2991.5233990000002</v>
      </c>
      <c r="AD412" s="685">
        <f t="shared" si="54"/>
        <v>2991.5233990000002</v>
      </c>
      <c r="AE412" s="685">
        <f t="shared" si="54"/>
        <v>2991.5233990000002</v>
      </c>
      <c r="AF412" s="685">
        <f t="shared" si="54"/>
        <v>2991.5233990000002</v>
      </c>
      <c r="AG412" s="685">
        <f t="shared" si="54"/>
        <v>2991.5233990000002</v>
      </c>
      <c r="AH412" s="685">
        <f t="shared" si="54"/>
        <v>2991.5233990000002</v>
      </c>
      <c r="AI412" s="685">
        <f t="shared" si="54"/>
        <v>2991.5233990000002</v>
      </c>
      <c r="AJ412" s="685">
        <f t="shared" si="54"/>
        <v>2991.5233990000002</v>
      </c>
      <c r="AK412" s="685">
        <f t="shared" si="54"/>
        <v>2991.5233990000002</v>
      </c>
      <c r="AL412" s="685">
        <f t="shared" si="54"/>
        <v>2991.5233990000002</v>
      </c>
      <c r="AM412" s="685">
        <f t="shared" si="54"/>
        <v>2991.5233990000002</v>
      </c>
      <c r="AN412" s="685">
        <f t="shared" si="54"/>
        <v>2991.5233990000002</v>
      </c>
      <c r="AO412" s="685">
        <f t="shared" si="54"/>
        <v>2991.5233990000002</v>
      </c>
      <c r="AP412" s="675"/>
    </row>
    <row r="413" spans="1:42" ht="13.5" customHeight="1" x14ac:dyDescent="0.3">
      <c r="A413" s="1217"/>
      <c r="B413" s="644"/>
      <c r="C413" s="678"/>
      <c r="D413" s="676" t="s">
        <v>978</v>
      </c>
      <c r="E413" s="677">
        <v>5.5587148236468549</v>
      </c>
      <c r="F413" s="677">
        <v>5.6227849112886439</v>
      </c>
      <c r="G413" s="677">
        <v>5.6042946114997987</v>
      </c>
      <c r="H413" s="677">
        <v>5.5373043642968858</v>
      </c>
      <c r="I413" s="685">
        <f t="shared" si="53"/>
        <v>5448.0283315859251</v>
      </c>
      <c r="J413" s="685">
        <f t="shared" si="54"/>
        <v>5554.1419788213225</v>
      </c>
      <c r="K413" s="685">
        <f t="shared" si="54"/>
        <v>5409.4394506028711</v>
      </c>
      <c r="L413" s="685">
        <f t="shared" si="54"/>
        <v>5526.2430297077099</v>
      </c>
      <c r="M413" s="685">
        <f t="shared" si="54"/>
        <v>5526.2430297077099</v>
      </c>
      <c r="N413" s="685">
        <f t="shared" si="54"/>
        <v>5526.2430297077099</v>
      </c>
      <c r="O413" s="685">
        <f t="shared" si="54"/>
        <v>5526.2430297077099</v>
      </c>
      <c r="P413" s="685">
        <f t="shared" si="54"/>
        <v>5526.2430297077099</v>
      </c>
      <c r="Q413" s="685">
        <f t="shared" si="54"/>
        <v>5526.2430297077099</v>
      </c>
      <c r="R413" s="685">
        <f t="shared" si="54"/>
        <v>5526.2430297077099</v>
      </c>
      <c r="S413" s="685">
        <f t="shared" si="54"/>
        <v>5526.2430297077099</v>
      </c>
      <c r="T413" s="685">
        <f t="shared" si="54"/>
        <v>5526.2430297077099</v>
      </c>
      <c r="U413" s="685">
        <f t="shared" si="54"/>
        <v>5526.2430297077099</v>
      </c>
      <c r="V413" s="685">
        <f t="shared" si="54"/>
        <v>5526.2430297077099</v>
      </c>
      <c r="W413" s="685">
        <f t="shared" si="54"/>
        <v>5526.2430297077099</v>
      </c>
      <c r="X413" s="685">
        <f t="shared" si="54"/>
        <v>5526.2430297077099</v>
      </c>
      <c r="Y413" s="685">
        <f t="shared" si="54"/>
        <v>5526.2430297077099</v>
      </c>
      <c r="Z413" s="685">
        <f t="shared" si="54"/>
        <v>5526.2430297077099</v>
      </c>
      <c r="AA413" s="685">
        <f t="shared" si="54"/>
        <v>5526.2430297077099</v>
      </c>
      <c r="AB413" s="685">
        <f t="shared" si="54"/>
        <v>5526.2430297077099</v>
      </c>
      <c r="AC413" s="685">
        <f t="shared" si="54"/>
        <v>5526.2430297077099</v>
      </c>
      <c r="AD413" s="685">
        <f t="shared" si="54"/>
        <v>5526.2430297077099</v>
      </c>
      <c r="AE413" s="685">
        <f t="shared" si="54"/>
        <v>5526.2430297077099</v>
      </c>
      <c r="AF413" s="685">
        <f t="shared" si="54"/>
        <v>5526.2430297077099</v>
      </c>
      <c r="AG413" s="685">
        <f t="shared" si="54"/>
        <v>5526.2430297077099</v>
      </c>
      <c r="AH413" s="685">
        <f t="shared" si="54"/>
        <v>5526.2430297077099</v>
      </c>
      <c r="AI413" s="685">
        <f t="shared" si="54"/>
        <v>5526.2430297077099</v>
      </c>
      <c r="AJ413" s="685">
        <f t="shared" si="54"/>
        <v>5526.2430297077099</v>
      </c>
      <c r="AK413" s="685">
        <f t="shared" si="54"/>
        <v>5526.2430297077099</v>
      </c>
      <c r="AL413" s="685">
        <f t="shared" si="54"/>
        <v>5526.2430297077099</v>
      </c>
      <c r="AM413" s="685">
        <f t="shared" si="54"/>
        <v>5526.2430297077099</v>
      </c>
      <c r="AN413" s="685">
        <f t="shared" si="54"/>
        <v>5526.2430297077099</v>
      </c>
      <c r="AO413" s="685">
        <f t="shared" si="54"/>
        <v>5526.2430297077099</v>
      </c>
      <c r="AP413" s="675"/>
    </row>
    <row r="414" spans="1:42" ht="14.25" customHeight="1" x14ac:dyDescent="0.3">
      <c r="A414" s="973"/>
      <c r="B414" s="644"/>
      <c r="C414" s="679"/>
      <c r="D414" s="682"/>
      <c r="E414" s="683"/>
      <c r="F414" s="683"/>
      <c r="G414" s="683"/>
      <c r="H414" s="683"/>
      <c r="I414" s="683"/>
      <c r="J414" s="683"/>
      <c r="K414" s="683"/>
      <c r="L414" s="683"/>
      <c r="M414" s="721"/>
      <c r="N414" s="721"/>
      <c r="O414" s="721"/>
      <c r="P414" s="721"/>
      <c r="Q414" s="721"/>
      <c r="R414" s="721"/>
      <c r="S414" s="721"/>
      <c r="T414" s="721"/>
      <c r="U414" s="721"/>
      <c r="V414" s="721"/>
      <c r="W414" s="721"/>
      <c r="X414" s="721"/>
      <c r="Y414" s="721"/>
      <c r="Z414" s="721"/>
      <c r="AA414" s="721"/>
      <c r="AB414" s="721"/>
      <c r="AC414" s="721"/>
      <c r="AD414" s="721"/>
      <c r="AE414" s="721"/>
      <c r="AF414" s="721"/>
      <c r="AG414" s="721"/>
      <c r="AH414" s="721"/>
      <c r="AI414" s="721"/>
      <c r="AJ414" s="721"/>
      <c r="AK414" s="721"/>
      <c r="AL414" s="721"/>
      <c r="AM414" s="721"/>
      <c r="AN414" s="721"/>
      <c r="AO414" s="721"/>
      <c r="AP414" s="675"/>
    </row>
    <row r="415" spans="1:42" ht="14.25" customHeight="1" x14ac:dyDescent="0.3">
      <c r="A415" s="973"/>
      <c r="B415" s="644"/>
      <c r="C415" s="679"/>
      <c r="D415" s="681" t="s">
        <v>980</v>
      </c>
      <c r="E415" s="672"/>
      <c r="F415" s="672"/>
      <c r="G415" s="672"/>
      <c r="H415" s="672"/>
      <c r="I415" s="676"/>
      <c r="J415" s="676"/>
      <c r="K415" s="676"/>
      <c r="L415" s="676"/>
      <c r="M415" s="677"/>
      <c r="N415" s="677"/>
      <c r="O415" s="677"/>
      <c r="P415" s="677"/>
      <c r="Q415" s="677"/>
      <c r="R415" s="677"/>
      <c r="S415" s="677"/>
      <c r="T415" s="677"/>
      <c r="U415" s="677"/>
      <c r="V415" s="677"/>
      <c r="W415" s="677"/>
      <c r="X415" s="677"/>
      <c r="Y415" s="677"/>
      <c r="Z415" s="677"/>
      <c r="AA415" s="677"/>
      <c r="AB415" s="677"/>
      <c r="AC415" s="677"/>
      <c r="AD415" s="677"/>
      <c r="AE415" s="677"/>
      <c r="AF415" s="677"/>
      <c r="AG415" s="677"/>
      <c r="AH415" s="677"/>
      <c r="AI415" s="677"/>
      <c r="AJ415" s="677"/>
      <c r="AK415" s="677"/>
      <c r="AL415" s="677"/>
      <c r="AM415" s="677"/>
      <c r="AN415" s="677"/>
      <c r="AO415" s="677"/>
      <c r="AP415" s="675"/>
    </row>
    <row r="416" spans="1:42" ht="14.25" customHeight="1" x14ac:dyDescent="0.3">
      <c r="A416" s="973"/>
      <c r="B416" s="644"/>
      <c r="C416" s="679"/>
      <c r="D416" s="680" t="s">
        <v>934</v>
      </c>
      <c r="E416" s="672"/>
      <c r="F416" s="672"/>
      <c r="G416" s="676"/>
      <c r="H416" s="676"/>
      <c r="I416" s="676"/>
      <c r="J416" s="676"/>
      <c r="K416" s="676"/>
      <c r="L416" s="676"/>
      <c r="M416" s="677"/>
      <c r="N416" s="677"/>
      <c r="O416" s="677"/>
      <c r="P416" s="677"/>
      <c r="Q416" s="677"/>
      <c r="R416" s="677"/>
      <c r="S416" s="677"/>
      <c r="T416" s="677"/>
      <c r="U416" s="677"/>
      <c r="V416" s="677"/>
      <c r="W416" s="677"/>
      <c r="X416" s="677"/>
      <c r="Y416" s="677"/>
      <c r="Z416" s="677"/>
      <c r="AA416" s="677"/>
      <c r="AB416" s="677"/>
      <c r="AC416" s="677"/>
      <c r="AD416" s="677"/>
      <c r="AE416" s="677"/>
      <c r="AF416" s="677"/>
      <c r="AG416" s="677"/>
      <c r="AH416" s="677"/>
      <c r="AI416" s="677"/>
      <c r="AJ416" s="677"/>
      <c r="AK416" s="677"/>
      <c r="AL416" s="677"/>
      <c r="AM416" s="677"/>
      <c r="AN416" s="677"/>
      <c r="AO416" s="677"/>
      <c r="AP416" s="675"/>
    </row>
    <row r="417" spans="1:42" ht="14.25" hidden="1" customHeight="1" x14ac:dyDescent="0.3">
      <c r="A417" s="973"/>
      <c r="B417" s="644"/>
      <c r="C417" s="679"/>
      <c r="D417" s="676" t="s">
        <v>965</v>
      </c>
      <c r="E417" s="677">
        <v>1.4360999999999999</v>
      </c>
      <c r="F417" s="677">
        <v>1.4064173610967514</v>
      </c>
      <c r="G417" s="677">
        <v>1.3859056162739278</v>
      </c>
      <c r="H417" s="677">
        <v>1.2578523816854754</v>
      </c>
      <c r="I417" s="677">
        <v>1.3343555461577576</v>
      </c>
      <c r="J417" s="677">
        <v>1.3534257819671853</v>
      </c>
      <c r="K417" s="677">
        <v>0.66412943666120861</v>
      </c>
      <c r="L417" s="677">
        <v>1.0855466246451007</v>
      </c>
      <c r="M417" s="677">
        <v>1.0855466246451007</v>
      </c>
      <c r="N417" s="677">
        <v>1.0855466246451007</v>
      </c>
      <c r="O417" s="677">
        <v>1.0855466246451007</v>
      </c>
      <c r="P417" s="677">
        <v>1.0855466246451007</v>
      </c>
      <c r="Q417" s="677">
        <v>1.0855466246451007</v>
      </c>
      <c r="R417" s="677">
        <v>1.0855466246451007</v>
      </c>
      <c r="S417" s="677">
        <v>1.0855466246451007</v>
      </c>
      <c r="T417" s="677">
        <v>1.0855466246451007</v>
      </c>
      <c r="U417" s="677">
        <v>1.0855466246451007</v>
      </c>
      <c r="V417" s="677">
        <v>1.0855466246451007</v>
      </c>
      <c r="W417" s="677">
        <v>1.0855466246451007</v>
      </c>
      <c r="X417" s="677">
        <v>1.0855466246451007</v>
      </c>
      <c r="Y417" s="677">
        <v>1.0855466246451007</v>
      </c>
      <c r="Z417" s="677">
        <v>1.0855466246451007</v>
      </c>
      <c r="AA417" s="677">
        <v>1.0855466246451007</v>
      </c>
      <c r="AB417" s="677">
        <v>1.0855466246451007</v>
      </c>
      <c r="AC417" s="677">
        <v>1.0855466246451007</v>
      </c>
      <c r="AD417" s="677">
        <v>1.0855466246451007</v>
      </c>
      <c r="AE417" s="677">
        <v>1.0855466246451007</v>
      </c>
      <c r="AF417" s="677">
        <v>1.0855466246451007</v>
      </c>
      <c r="AG417" s="677">
        <v>1.0855466246451007</v>
      </c>
      <c r="AH417" s="677">
        <v>1.0855466246451007</v>
      </c>
      <c r="AI417" s="677">
        <v>1.0855466246451007</v>
      </c>
      <c r="AJ417" s="677">
        <v>1.0855466246451007</v>
      </c>
      <c r="AK417" s="677">
        <v>1.0855466246451007</v>
      </c>
      <c r="AL417" s="677">
        <v>1.0855466246451007</v>
      </c>
      <c r="AM417" s="677">
        <v>1.0855466246451007</v>
      </c>
      <c r="AN417" s="677">
        <v>1.0855466246451007</v>
      </c>
      <c r="AO417" s="677">
        <v>1.0855466246451007</v>
      </c>
      <c r="AP417" s="675"/>
    </row>
    <row r="418" spans="1:42" ht="14.25" hidden="1" customHeight="1" x14ac:dyDescent="0.3">
      <c r="A418" s="1216" t="s">
        <v>521</v>
      </c>
      <c r="B418" s="644"/>
      <c r="C418" s="678"/>
      <c r="D418" s="676" t="s">
        <v>966</v>
      </c>
      <c r="E418" s="677">
        <v>0</v>
      </c>
      <c r="F418" s="677">
        <v>0</v>
      </c>
      <c r="G418" s="677">
        <v>0</v>
      </c>
      <c r="H418" s="677">
        <v>0</v>
      </c>
      <c r="I418" s="677">
        <v>0</v>
      </c>
      <c r="J418" s="677">
        <v>0</v>
      </c>
      <c r="K418" s="677">
        <v>0</v>
      </c>
      <c r="L418" s="677">
        <v>0.33430241381850523</v>
      </c>
      <c r="M418" s="677">
        <v>0.33430241381850523</v>
      </c>
      <c r="N418" s="677">
        <v>0.33430241381850523</v>
      </c>
      <c r="O418" s="677">
        <v>0.33430241381850523</v>
      </c>
      <c r="P418" s="677">
        <v>0.33430241381850523</v>
      </c>
      <c r="Q418" s="677">
        <v>0.33430241381850523</v>
      </c>
      <c r="R418" s="677">
        <v>0.33430241381850523</v>
      </c>
      <c r="S418" s="677">
        <v>0.33430241381850523</v>
      </c>
      <c r="T418" s="677">
        <v>0.33430241381850523</v>
      </c>
      <c r="U418" s="677">
        <v>0.33430241381850523</v>
      </c>
      <c r="V418" s="677">
        <v>0.33430241381850523</v>
      </c>
      <c r="W418" s="677">
        <v>0.33430241381850523</v>
      </c>
      <c r="X418" s="677">
        <v>0.33430241381850523</v>
      </c>
      <c r="Y418" s="677">
        <v>0.33430241381850523</v>
      </c>
      <c r="Z418" s="677">
        <v>0.33430241381850523</v>
      </c>
      <c r="AA418" s="677">
        <v>0.33430241381850523</v>
      </c>
      <c r="AB418" s="677">
        <v>0.33430241381850523</v>
      </c>
      <c r="AC418" s="677">
        <v>0.33430241381850523</v>
      </c>
      <c r="AD418" s="677">
        <v>0.33430241381850523</v>
      </c>
      <c r="AE418" s="677">
        <v>0.33430241381850523</v>
      </c>
      <c r="AF418" s="677">
        <v>0.33430241381850523</v>
      </c>
      <c r="AG418" s="677">
        <v>0.33430241381850523</v>
      </c>
      <c r="AH418" s="677">
        <v>0.33430241381850523</v>
      </c>
      <c r="AI418" s="677">
        <v>0.33430241381850523</v>
      </c>
      <c r="AJ418" s="677">
        <v>0.33430241381850523</v>
      </c>
      <c r="AK418" s="677">
        <v>0.33430241381850523</v>
      </c>
      <c r="AL418" s="677">
        <v>0.33430241381850523</v>
      </c>
      <c r="AM418" s="677">
        <v>0.33430241381850523</v>
      </c>
      <c r="AN418" s="677">
        <v>0.33430241381850523</v>
      </c>
      <c r="AO418" s="677">
        <v>0.33430241381850523</v>
      </c>
      <c r="AP418" s="675"/>
    </row>
    <row r="419" spans="1:42" ht="14.25" hidden="1" customHeight="1" x14ac:dyDescent="0.3">
      <c r="A419" s="1217"/>
      <c r="B419" s="644"/>
      <c r="C419" s="678"/>
      <c r="D419" s="676" t="s">
        <v>967</v>
      </c>
      <c r="E419" s="677">
        <v>0</v>
      </c>
      <c r="F419" s="677">
        <v>4.3568627450980388</v>
      </c>
      <c r="G419" s="677">
        <v>4.1106999999999996</v>
      </c>
      <c r="H419" s="677">
        <v>3.9456966666666671</v>
      </c>
      <c r="I419" s="677">
        <v>3.9794</v>
      </c>
      <c r="J419" s="677">
        <v>3.81898970417673</v>
      </c>
      <c r="K419" s="677">
        <v>1.9825255422570807</v>
      </c>
      <c r="L419" s="677">
        <v>3.4643000000000002</v>
      </c>
      <c r="M419" s="677">
        <v>3.4643000000000002</v>
      </c>
      <c r="N419" s="677">
        <v>3.4643000000000002</v>
      </c>
      <c r="O419" s="677">
        <v>3.4643000000000002</v>
      </c>
      <c r="P419" s="677">
        <v>3.4643000000000002</v>
      </c>
      <c r="Q419" s="677">
        <v>3.4643000000000002</v>
      </c>
      <c r="R419" s="677">
        <v>3.4643000000000002</v>
      </c>
      <c r="S419" s="677">
        <v>3.4643000000000002</v>
      </c>
      <c r="T419" s="677">
        <v>3.4643000000000002</v>
      </c>
      <c r="U419" s="677">
        <v>3.4643000000000002</v>
      </c>
      <c r="V419" s="677">
        <v>3.4643000000000002</v>
      </c>
      <c r="W419" s="677">
        <v>3.4643000000000002</v>
      </c>
      <c r="X419" s="677">
        <v>3.4643000000000002</v>
      </c>
      <c r="Y419" s="677">
        <v>3.4643000000000002</v>
      </c>
      <c r="Z419" s="677">
        <v>3.4643000000000002</v>
      </c>
      <c r="AA419" s="677">
        <v>3.4643000000000002</v>
      </c>
      <c r="AB419" s="677">
        <v>3.4643000000000002</v>
      </c>
      <c r="AC419" s="677">
        <v>3.4643000000000002</v>
      </c>
      <c r="AD419" s="677">
        <v>3.4643000000000002</v>
      </c>
      <c r="AE419" s="677">
        <v>3.4643000000000002</v>
      </c>
      <c r="AF419" s="677">
        <v>3.4643000000000002</v>
      </c>
      <c r="AG419" s="677">
        <v>3.4643000000000002</v>
      </c>
      <c r="AH419" s="677">
        <v>3.4643000000000002</v>
      </c>
      <c r="AI419" s="677">
        <v>3.4643000000000002</v>
      </c>
      <c r="AJ419" s="677">
        <v>3.4643000000000002</v>
      </c>
      <c r="AK419" s="677">
        <v>3.4643000000000002</v>
      </c>
      <c r="AL419" s="677">
        <v>3.4643000000000002</v>
      </c>
      <c r="AM419" s="677">
        <v>3.4643000000000002</v>
      </c>
      <c r="AN419" s="677">
        <v>3.4643000000000002</v>
      </c>
      <c r="AO419" s="677">
        <v>3.4643000000000002</v>
      </c>
      <c r="AP419" s="675"/>
    </row>
    <row r="420" spans="1:42" ht="14.25" hidden="1" customHeight="1" x14ac:dyDescent="0.3">
      <c r="A420" s="1217"/>
      <c r="B420" s="644"/>
      <c r="C420" s="678"/>
      <c r="D420" s="676" t="s">
        <v>968</v>
      </c>
      <c r="E420" s="677">
        <v>8.7569999999999997</v>
      </c>
      <c r="F420" s="677">
        <v>8.048537115745777</v>
      </c>
      <c r="G420" s="677">
        <v>3.576697638516821</v>
      </c>
      <c r="H420" s="677">
        <v>5.1006613098706017</v>
      </c>
      <c r="I420" s="677">
        <v>2.5474903646595997</v>
      </c>
      <c r="J420" s="677">
        <v>7.4025521825606262</v>
      </c>
      <c r="K420" s="677">
        <v>7.5005689354838383</v>
      </c>
      <c r="L420" s="677">
        <v>7.93624481467468</v>
      </c>
      <c r="M420" s="677">
        <v>7.93624481467468</v>
      </c>
      <c r="N420" s="677">
        <v>7.93624481467468</v>
      </c>
      <c r="O420" s="677">
        <v>7.93624481467468</v>
      </c>
      <c r="P420" s="677">
        <v>7.93624481467468</v>
      </c>
      <c r="Q420" s="677">
        <v>7.93624481467468</v>
      </c>
      <c r="R420" s="677">
        <v>7.93624481467468</v>
      </c>
      <c r="S420" s="677">
        <v>7.93624481467468</v>
      </c>
      <c r="T420" s="677">
        <v>7.93624481467468</v>
      </c>
      <c r="U420" s="677">
        <v>7.93624481467468</v>
      </c>
      <c r="V420" s="677">
        <v>7.93624481467468</v>
      </c>
      <c r="W420" s="677">
        <v>7.93624481467468</v>
      </c>
      <c r="X420" s="677">
        <v>7.93624481467468</v>
      </c>
      <c r="Y420" s="677">
        <v>7.93624481467468</v>
      </c>
      <c r="Z420" s="677">
        <v>7.93624481467468</v>
      </c>
      <c r="AA420" s="677">
        <v>7.93624481467468</v>
      </c>
      <c r="AB420" s="677">
        <v>7.93624481467468</v>
      </c>
      <c r="AC420" s="677">
        <v>7.93624481467468</v>
      </c>
      <c r="AD420" s="677">
        <v>7.93624481467468</v>
      </c>
      <c r="AE420" s="677">
        <v>7.93624481467468</v>
      </c>
      <c r="AF420" s="677">
        <v>7.93624481467468</v>
      </c>
      <c r="AG420" s="677">
        <v>7.93624481467468</v>
      </c>
      <c r="AH420" s="677">
        <v>7.93624481467468</v>
      </c>
      <c r="AI420" s="677">
        <v>7.93624481467468</v>
      </c>
      <c r="AJ420" s="677">
        <v>7.93624481467468</v>
      </c>
      <c r="AK420" s="677">
        <v>7.93624481467468</v>
      </c>
      <c r="AL420" s="677">
        <v>7.93624481467468</v>
      </c>
      <c r="AM420" s="677">
        <v>7.93624481467468</v>
      </c>
      <c r="AN420" s="677">
        <v>7.93624481467468</v>
      </c>
      <c r="AO420" s="677">
        <v>7.93624481467468</v>
      </c>
      <c r="AP420" s="675"/>
    </row>
    <row r="421" spans="1:42" ht="14.25" hidden="1" customHeight="1" x14ac:dyDescent="0.3">
      <c r="A421" s="1217"/>
      <c r="B421" s="644"/>
      <c r="C421" s="678"/>
      <c r="D421" s="676" t="s">
        <v>969</v>
      </c>
      <c r="E421" s="677">
        <v>0.54790000000000005</v>
      </c>
      <c r="F421" s="677">
        <v>0.5006466803165911</v>
      </c>
      <c r="G421" s="677">
        <v>0.52937822863068196</v>
      </c>
      <c r="H421" s="677">
        <v>0.54911319302280726</v>
      </c>
      <c r="I421" s="677">
        <v>0.44491299565853548</v>
      </c>
      <c r="J421" s="677">
        <v>0.43846415305939995</v>
      </c>
      <c r="K421" s="677">
        <v>0.4736463832409793</v>
      </c>
      <c r="L421" s="677">
        <v>0.5025246306079616</v>
      </c>
      <c r="M421" s="677">
        <v>0.5025246306079616</v>
      </c>
      <c r="N421" s="677">
        <v>0.5025246306079616</v>
      </c>
      <c r="O421" s="677">
        <v>0.5025246306079616</v>
      </c>
      <c r="P421" s="677">
        <v>0.5025246306079616</v>
      </c>
      <c r="Q421" s="677">
        <v>0.5025246306079616</v>
      </c>
      <c r="R421" s="677">
        <v>0.5025246306079616</v>
      </c>
      <c r="S421" s="677">
        <v>0.5025246306079616</v>
      </c>
      <c r="T421" s="677">
        <v>0.5025246306079616</v>
      </c>
      <c r="U421" s="677">
        <v>0.5025246306079616</v>
      </c>
      <c r="V421" s="677">
        <v>0.5025246306079616</v>
      </c>
      <c r="W421" s="677">
        <v>0.5025246306079616</v>
      </c>
      <c r="X421" s="677">
        <v>0.5025246306079616</v>
      </c>
      <c r="Y421" s="677">
        <v>0.5025246306079616</v>
      </c>
      <c r="Z421" s="677">
        <v>0.5025246306079616</v>
      </c>
      <c r="AA421" s="677">
        <v>0.5025246306079616</v>
      </c>
      <c r="AB421" s="677">
        <v>0.5025246306079616</v>
      </c>
      <c r="AC421" s="677">
        <v>0.5025246306079616</v>
      </c>
      <c r="AD421" s="677">
        <v>0.5025246306079616</v>
      </c>
      <c r="AE421" s="677">
        <v>0.5025246306079616</v>
      </c>
      <c r="AF421" s="677">
        <v>0.5025246306079616</v>
      </c>
      <c r="AG421" s="677">
        <v>0.5025246306079616</v>
      </c>
      <c r="AH421" s="677">
        <v>0.5025246306079616</v>
      </c>
      <c r="AI421" s="677">
        <v>0.5025246306079616</v>
      </c>
      <c r="AJ421" s="677">
        <v>0.5025246306079616</v>
      </c>
      <c r="AK421" s="677">
        <v>0.5025246306079616</v>
      </c>
      <c r="AL421" s="677">
        <v>0.5025246306079616</v>
      </c>
      <c r="AM421" s="677">
        <v>0.5025246306079616</v>
      </c>
      <c r="AN421" s="677">
        <v>0.5025246306079616</v>
      </c>
      <c r="AO421" s="677">
        <v>0.5025246306079616</v>
      </c>
      <c r="AP421" s="675"/>
    </row>
    <row r="422" spans="1:42" ht="14.25" hidden="1" customHeight="1" x14ac:dyDescent="0.3">
      <c r="A422" s="1217"/>
      <c r="B422" s="644"/>
      <c r="C422" s="678"/>
      <c r="D422" s="676" t="s">
        <v>970</v>
      </c>
      <c r="E422" s="677">
        <v>0.79579999999999995</v>
      </c>
      <c r="F422" s="677">
        <v>2.2070449619999999</v>
      </c>
      <c r="G422" s="677">
        <v>2.27872356</v>
      </c>
      <c r="H422" s="677">
        <v>1.4160778169999999</v>
      </c>
      <c r="I422" s="677">
        <v>1.3320100930000001</v>
      </c>
      <c r="J422" s="677">
        <v>1.4330000000000001</v>
      </c>
      <c r="K422" s="677">
        <v>3.0331345409999999</v>
      </c>
      <c r="L422" s="677">
        <v>2.4540451920000002</v>
      </c>
      <c r="M422" s="677">
        <v>2.4540451920000002</v>
      </c>
      <c r="N422" s="677">
        <v>2.4540451920000002</v>
      </c>
      <c r="O422" s="677">
        <v>2.4540451920000002</v>
      </c>
      <c r="P422" s="677">
        <v>2.4540451920000002</v>
      </c>
      <c r="Q422" s="677">
        <v>2.4540451920000002</v>
      </c>
      <c r="R422" s="677">
        <v>2.4540451920000002</v>
      </c>
      <c r="S422" s="677">
        <v>2.4540451920000002</v>
      </c>
      <c r="T422" s="677">
        <v>2.4540451920000002</v>
      </c>
      <c r="U422" s="677">
        <v>2.4540451920000002</v>
      </c>
      <c r="V422" s="677">
        <v>2.4540451920000002</v>
      </c>
      <c r="W422" s="677">
        <v>2.4540451920000002</v>
      </c>
      <c r="X422" s="677">
        <v>2.4540451920000002</v>
      </c>
      <c r="Y422" s="677">
        <v>2.4540451920000002</v>
      </c>
      <c r="Z422" s="677">
        <v>2.4540451920000002</v>
      </c>
      <c r="AA422" s="677">
        <v>2.4540451920000002</v>
      </c>
      <c r="AB422" s="677">
        <v>2.4540451920000002</v>
      </c>
      <c r="AC422" s="677">
        <v>2.4540451920000002</v>
      </c>
      <c r="AD422" s="677">
        <v>2.4540451920000002</v>
      </c>
      <c r="AE422" s="677">
        <v>2.4540451920000002</v>
      </c>
      <c r="AF422" s="677">
        <v>2.4540451920000002</v>
      </c>
      <c r="AG422" s="677">
        <v>2.4540451920000002</v>
      </c>
      <c r="AH422" s="677">
        <v>2.4540451920000002</v>
      </c>
      <c r="AI422" s="677">
        <v>2.4540451920000002</v>
      </c>
      <c r="AJ422" s="677">
        <v>2.4540451920000002</v>
      </c>
      <c r="AK422" s="677">
        <v>2.4540451920000002</v>
      </c>
      <c r="AL422" s="677">
        <v>2.4540451920000002</v>
      </c>
      <c r="AM422" s="677">
        <v>2.4540451920000002</v>
      </c>
      <c r="AN422" s="677">
        <v>2.4540451920000002</v>
      </c>
      <c r="AO422" s="677">
        <v>2.4540451920000002</v>
      </c>
      <c r="AP422" s="675"/>
    </row>
    <row r="423" spans="1:42" ht="14.25" hidden="1" customHeight="1" x14ac:dyDescent="0.3">
      <c r="A423" s="1217"/>
      <c r="B423" s="644"/>
      <c r="C423" s="678"/>
      <c r="D423" s="676" t="s">
        <v>971</v>
      </c>
      <c r="E423" s="677">
        <v>0.83685108954914444</v>
      </c>
      <c r="F423" s="677">
        <v>0.70464884247044002</v>
      </c>
      <c r="G423" s="677">
        <v>1.8424883526629563</v>
      </c>
      <c r="H423" s="677">
        <v>1.8669296488568827</v>
      </c>
      <c r="I423" s="677">
        <v>0.63954057343353576</v>
      </c>
      <c r="J423" s="677">
        <v>0.68130098469517542</v>
      </c>
      <c r="K423" s="677">
        <v>0.80583939520420889</v>
      </c>
      <c r="L423" s="677">
        <v>1.3409295892527899</v>
      </c>
      <c r="M423" s="677">
        <v>1.3409295892527899</v>
      </c>
      <c r="N423" s="677">
        <v>1.3409295892527899</v>
      </c>
      <c r="O423" s="677">
        <v>1.3409295892527899</v>
      </c>
      <c r="P423" s="677">
        <v>1.3409295892527899</v>
      </c>
      <c r="Q423" s="677">
        <v>1.3409295892527899</v>
      </c>
      <c r="R423" s="677">
        <v>1.3409295892527899</v>
      </c>
      <c r="S423" s="677">
        <v>1.3409295892527899</v>
      </c>
      <c r="T423" s="677">
        <v>1.3409295892527899</v>
      </c>
      <c r="U423" s="677">
        <v>1.3409295892527899</v>
      </c>
      <c r="V423" s="677">
        <v>1.3409295892527899</v>
      </c>
      <c r="W423" s="677">
        <v>1.3409295892527899</v>
      </c>
      <c r="X423" s="677">
        <v>1.3409295892527899</v>
      </c>
      <c r="Y423" s="677">
        <v>1.3409295892527899</v>
      </c>
      <c r="Z423" s="677">
        <v>1.3409295892527899</v>
      </c>
      <c r="AA423" s="677">
        <v>1.3409295892527899</v>
      </c>
      <c r="AB423" s="677">
        <v>1.3409295892527899</v>
      </c>
      <c r="AC423" s="677">
        <v>1.3409295892527899</v>
      </c>
      <c r="AD423" s="677">
        <v>1.3409295892527899</v>
      </c>
      <c r="AE423" s="677">
        <v>1.3409295892527899</v>
      </c>
      <c r="AF423" s="677">
        <v>1.3409295892527899</v>
      </c>
      <c r="AG423" s="677">
        <v>1.3409295892527899</v>
      </c>
      <c r="AH423" s="677">
        <v>1.3409295892527899</v>
      </c>
      <c r="AI423" s="677">
        <v>1.3409295892527899</v>
      </c>
      <c r="AJ423" s="677">
        <v>1.3409295892527899</v>
      </c>
      <c r="AK423" s="677">
        <v>1.3409295892527899</v>
      </c>
      <c r="AL423" s="677">
        <v>1.3409295892527899</v>
      </c>
      <c r="AM423" s="677">
        <v>1.3409295892527899</v>
      </c>
      <c r="AN423" s="677">
        <v>1.3409295892527899</v>
      </c>
      <c r="AO423" s="677">
        <v>1.3409295892527899</v>
      </c>
      <c r="AP423" s="675"/>
    </row>
    <row r="424" spans="1:42" ht="14.25" hidden="1" customHeight="1" x14ac:dyDescent="0.3">
      <c r="A424" s="1217"/>
      <c r="B424" s="644"/>
      <c r="C424" s="678"/>
      <c r="D424" s="676" t="s">
        <v>972</v>
      </c>
      <c r="E424" s="677">
        <v>3.280931586608443</v>
      </c>
      <c r="F424" s="677">
        <v>2.9211108380437452</v>
      </c>
      <c r="G424" s="677">
        <v>2.9265072247135024</v>
      </c>
      <c r="H424" s="677">
        <v>2.0683354621206194</v>
      </c>
      <c r="I424" s="677">
        <v>2.8889602647516828</v>
      </c>
      <c r="J424" s="677">
        <v>0</v>
      </c>
      <c r="K424" s="677">
        <v>0</v>
      </c>
      <c r="L424" s="677">
        <v>0</v>
      </c>
      <c r="M424" s="677">
        <v>0</v>
      </c>
      <c r="N424" s="677">
        <v>0</v>
      </c>
      <c r="O424" s="677">
        <v>0</v>
      </c>
      <c r="P424" s="677">
        <v>0</v>
      </c>
      <c r="Q424" s="677">
        <v>0</v>
      </c>
      <c r="R424" s="677">
        <v>0</v>
      </c>
      <c r="S424" s="677">
        <v>0</v>
      </c>
      <c r="T424" s="677">
        <v>0</v>
      </c>
      <c r="U424" s="677">
        <v>0</v>
      </c>
      <c r="V424" s="677">
        <v>0</v>
      </c>
      <c r="W424" s="677">
        <v>0</v>
      </c>
      <c r="X424" s="677">
        <v>0</v>
      </c>
      <c r="Y424" s="677">
        <v>0</v>
      </c>
      <c r="Z424" s="677">
        <v>0</v>
      </c>
      <c r="AA424" s="677">
        <v>0</v>
      </c>
      <c r="AB424" s="677">
        <v>0</v>
      </c>
      <c r="AC424" s="677">
        <v>0</v>
      </c>
      <c r="AD424" s="677">
        <v>0</v>
      </c>
      <c r="AE424" s="677">
        <v>0</v>
      </c>
      <c r="AF424" s="677">
        <v>0</v>
      </c>
      <c r="AG424" s="677">
        <v>0</v>
      </c>
      <c r="AH424" s="677">
        <v>0</v>
      </c>
      <c r="AI424" s="677">
        <v>0</v>
      </c>
      <c r="AJ424" s="677">
        <v>0</v>
      </c>
      <c r="AK424" s="677">
        <v>0</v>
      </c>
      <c r="AL424" s="677">
        <v>0</v>
      </c>
      <c r="AM424" s="677">
        <v>0</v>
      </c>
      <c r="AN424" s="677">
        <v>0</v>
      </c>
      <c r="AO424" s="677">
        <v>0</v>
      </c>
      <c r="AP424" s="675"/>
    </row>
    <row r="425" spans="1:42" ht="14.25" hidden="1" customHeight="1" x14ac:dyDescent="0.3">
      <c r="A425" s="1217"/>
      <c r="B425" s="644"/>
      <c r="C425" s="678"/>
      <c r="D425" s="676" t="s">
        <v>973</v>
      </c>
      <c r="E425" s="677">
        <v>0</v>
      </c>
      <c r="F425" s="677">
        <v>0</v>
      </c>
      <c r="G425" s="677">
        <v>0</v>
      </c>
      <c r="H425" s="677">
        <v>0</v>
      </c>
      <c r="I425" s="677">
        <v>0</v>
      </c>
      <c r="J425" s="677">
        <v>0</v>
      </c>
      <c r="K425" s="677">
        <v>0</v>
      </c>
      <c r="L425" s="677">
        <v>0</v>
      </c>
      <c r="M425" s="677">
        <v>0</v>
      </c>
      <c r="N425" s="677">
        <v>0</v>
      </c>
      <c r="O425" s="677">
        <v>0</v>
      </c>
      <c r="P425" s="677">
        <v>0</v>
      </c>
      <c r="Q425" s="677">
        <v>0</v>
      </c>
      <c r="R425" s="677">
        <v>0</v>
      </c>
      <c r="S425" s="677">
        <v>0</v>
      </c>
      <c r="T425" s="677">
        <v>0</v>
      </c>
      <c r="U425" s="677">
        <v>0</v>
      </c>
      <c r="V425" s="677">
        <v>0</v>
      </c>
      <c r="W425" s="677">
        <v>0</v>
      </c>
      <c r="X425" s="677">
        <v>0</v>
      </c>
      <c r="Y425" s="677">
        <v>0</v>
      </c>
      <c r="Z425" s="677">
        <v>0</v>
      </c>
      <c r="AA425" s="677">
        <v>0</v>
      </c>
      <c r="AB425" s="677">
        <v>0</v>
      </c>
      <c r="AC425" s="677">
        <v>0</v>
      </c>
      <c r="AD425" s="677">
        <v>0</v>
      </c>
      <c r="AE425" s="677">
        <v>0</v>
      </c>
      <c r="AF425" s="677">
        <v>0</v>
      </c>
      <c r="AG425" s="677">
        <v>0</v>
      </c>
      <c r="AH425" s="677">
        <v>0</v>
      </c>
      <c r="AI425" s="677">
        <v>0</v>
      </c>
      <c r="AJ425" s="677">
        <v>0</v>
      </c>
      <c r="AK425" s="677">
        <v>0</v>
      </c>
      <c r="AL425" s="677">
        <v>0</v>
      </c>
      <c r="AM425" s="677">
        <v>0</v>
      </c>
      <c r="AN425" s="677">
        <v>0</v>
      </c>
      <c r="AO425" s="677">
        <v>0</v>
      </c>
      <c r="AP425" s="675"/>
    </row>
    <row r="426" spans="1:42" ht="14.25" hidden="1" customHeight="1" x14ac:dyDescent="0.3">
      <c r="A426" s="1217"/>
      <c r="B426" s="644"/>
      <c r="C426" s="678"/>
      <c r="D426" s="676" t="s">
        <v>974</v>
      </c>
      <c r="E426" s="677">
        <v>6.1802225999999996</v>
      </c>
      <c r="F426" s="677">
        <v>4.8347229780000003</v>
      </c>
      <c r="G426" s="677">
        <v>3.7273078919999998</v>
      </c>
      <c r="H426" s="677">
        <v>3.4294177389999998</v>
      </c>
      <c r="I426" s="677">
        <v>3.834802474</v>
      </c>
      <c r="J426" s="677">
        <v>3.7740999999999998</v>
      </c>
      <c r="K426" s="677">
        <v>4.1011162949999997</v>
      </c>
      <c r="L426" s="677">
        <v>4.8979753150000001</v>
      </c>
      <c r="M426" s="677">
        <v>4.8979753150000001</v>
      </c>
      <c r="N426" s="677">
        <v>4.8979753150000001</v>
      </c>
      <c r="O426" s="677">
        <v>4.8979753150000001</v>
      </c>
      <c r="P426" s="677">
        <v>4.8979753150000001</v>
      </c>
      <c r="Q426" s="677">
        <v>4.8979753150000001</v>
      </c>
      <c r="R426" s="677">
        <v>4.8979753150000001</v>
      </c>
      <c r="S426" s="677">
        <v>4.8979753150000001</v>
      </c>
      <c r="T426" s="677">
        <v>4.8979753150000001</v>
      </c>
      <c r="U426" s="677">
        <v>4.8979753150000001</v>
      </c>
      <c r="V426" s="677">
        <v>4.8979753150000001</v>
      </c>
      <c r="W426" s="677">
        <v>4.8979753150000001</v>
      </c>
      <c r="X426" s="677">
        <v>4.8979753150000001</v>
      </c>
      <c r="Y426" s="677">
        <v>4.8979753150000001</v>
      </c>
      <c r="Z426" s="677">
        <v>4.8979753150000001</v>
      </c>
      <c r="AA426" s="677">
        <v>4.8979753150000001</v>
      </c>
      <c r="AB426" s="677">
        <v>4.8979753150000001</v>
      </c>
      <c r="AC426" s="677">
        <v>4.8979753150000001</v>
      </c>
      <c r="AD426" s="677">
        <v>4.8979753150000001</v>
      </c>
      <c r="AE426" s="677">
        <v>4.8979753150000001</v>
      </c>
      <c r="AF426" s="677">
        <v>4.8979753150000001</v>
      </c>
      <c r="AG426" s="677">
        <v>4.8979753150000001</v>
      </c>
      <c r="AH426" s="677">
        <v>4.8979753150000001</v>
      </c>
      <c r="AI426" s="677">
        <v>4.8979753150000001</v>
      </c>
      <c r="AJ426" s="677">
        <v>4.8979753150000001</v>
      </c>
      <c r="AK426" s="677">
        <v>4.8979753150000001</v>
      </c>
      <c r="AL426" s="677">
        <v>4.8979753150000001</v>
      </c>
      <c r="AM426" s="677">
        <v>4.8979753150000001</v>
      </c>
      <c r="AN426" s="677">
        <v>4.8979753150000001</v>
      </c>
      <c r="AO426" s="677">
        <v>4.8979753150000001</v>
      </c>
      <c r="AP426" s="675"/>
    </row>
    <row r="427" spans="1:42" ht="14.25" hidden="1" customHeight="1" x14ac:dyDescent="0.3">
      <c r="A427" s="1217"/>
      <c r="B427" s="644"/>
      <c r="C427" s="678"/>
      <c r="D427" s="676" t="s">
        <v>975</v>
      </c>
      <c r="E427" s="677">
        <v>2.558127255</v>
      </c>
      <c r="F427" s="677">
        <v>1.0058684170000001</v>
      </c>
      <c r="G427" s="677">
        <v>0.24433251984296597</v>
      </c>
      <c r="H427" s="677">
        <v>0.24830413933019399</v>
      </c>
      <c r="I427" s="677">
        <v>0.26607571983335226</v>
      </c>
      <c r="J427" s="677">
        <v>0.26668664063217651</v>
      </c>
      <c r="K427" s="677">
        <v>1.7346968949999999</v>
      </c>
      <c r="L427" s="677">
        <v>1.5461478559999999</v>
      </c>
      <c r="M427" s="677">
        <v>1.5461478559999999</v>
      </c>
      <c r="N427" s="677">
        <v>1.5461478559999999</v>
      </c>
      <c r="O427" s="677">
        <v>1.5461478559999999</v>
      </c>
      <c r="P427" s="677">
        <v>1.5461478559999999</v>
      </c>
      <c r="Q427" s="677">
        <v>1.5461478559999999</v>
      </c>
      <c r="R427" s="677">
        <v>1.5461478559999999</v>
      </c>
      <c r="S427" s="677">
        <v>1.5461478559999999</v>
      </c>
      <c r="T427" s="677">
        <v>1.5461478559999999</v>
      </c>
      <c r="U427" s="677">
        <v>1.5461478559999999</v>
      </c>
      <c r="V427" s="677">
        <v>1.5461478559999999</v>
      </c>
      <c r="W427" s="677">
        <v>1.5461478559999999</v>
      </c>
      <c r="X427" s="677">
        <v>1.5461478559999999</v>
      </c>
      <c r="Y427" s="677">
        <v>1.5461478559999999</v>
      </c>
      <c r="Z427" s="677">
        <v>1.5461478559999999</v>
      </c>
      <c r="AA427" s="677">
        <v>1.5461478559999999</v>
      </c>
      <c r="AB427" s="677">
        <v>1.5461478559999999</v>
      </c>
      <c r="AC427" s="677">
        <v>1.5461478559999999</v>
      </c>
      <c r="AD427" s="677">
        <v>1.5461478559999999</v>
      </c>
      <c r="AE427" s="677">
        <v>1.5461478559999999</v>
      </c>
      <c r="AF427" s="677">
        <v>1.5461478559999999</v>
      </c>
      <c r="AG427" s="677">
        <v>1.5461478559999999</v>
      </c>
      <c r="AH427" s="677">
        <v>1.5461478559999999</v>
      </c>
      <c r="AI427" s="677">
        <v>1.5461478559999999</v>
      </c>
      <c r="AJ427" s="677">
        <v>1.5461478559999999</v>
      </c>
      <c r="AK427" s="677">
        <v>1.5461478559999999</v>
      </c>
      <c r="AL427" s="677">
        <v>1.5461478559999999</v>
      </c>
      <c r="AM427" s="677">
        <v>1.5461478559999999</v>
      </c>
      <c r="AN427" s="677">
        <v>1.5461478559999999</v>
      </c>
      <c r="AO427" s="677">
        <v>1.5461478559999999</v>
      </c>
      <c r="AP427" s="675"/>
    </row>
    <row r="428" spans="1:42" ht="14.25" hidden="1" customHeight="1" x14ac:dyDescent="0.3">
      <c r="A428" s="1217"/>
      <c r="B428" s="644"/>
      <c r="C428" s="678"/>
      <c r="D428" s="676" t="s">
        <v>915</v>
      </c>
      <c r="E428" s="677">
        <v>1.0120864514645478</v>
      </c>
      <c r="F428" s="677">
        <v>0.885640257779578</v>
      </c>
      <c r="G428" s="677">
        <v>0.86318026576997253</v>
      </c>
      <c r="H428" s="677">
        <v>0.89055882729715696</v>
      </c>
      <c r="I428" s="677">
        <v>0.91178707213991217</v>
      </c>
      <c r="J428" s="677">
        <v>0.95791155362665115</v>
      </c>
      <c r="K428" s="677">
        <v>0.92354826559201753</v>
      </c>
      <c r="L428" s="677">
        <v>0.922254484766873</v>
      </c>
      <c r="M428" s="677">
        <v>0.922254484766873</v>
      </c>
      <c r="N428" s="677">
        <v>0.922254484766873</v>
      </c>
      <c r="O428" s="677">
        <v>0.922254484766873</v>
      </c>
      <c r="P428" s="677">
        <v>0.922254484766873</v>
      </c>
      <c r="Q428" s="677">
        <v>0.922254484766873</v>
      </c>
      <c r="R428" s="677">
        <v>0.922254484766873</v>
      </c>
      <c r="S428" s="677">
        <v>0.922254484766873</v>
      </c>
      <c r="T428" s="677">
        <v>0.922254484766873</v>
      </c>
      <c r="U428" s="677">
        <v>0.922254484766873</v>
      </c>
      <c r="V428" s="677">
        <v>0.922254484766873</v>
      </c>
      <c r="W428" s="677">
        <v>0.922254484766873</v>
      </c>
      <c r="X428" s="677">
        <v>0.922254484766873</v>
      </c>
      <c r="Y428" s="677">
        <v>0.922254484766873</v>
      </c>
      <c r="Z428" s="677">
        <v>0.922254484766873</v>
      </c>
      <c r="AA428" s="677">
        <v>0.922254484766873</v>
      </c>
      <c r="AB428" s="677">
        <v>0.922254484766873</v>
      </c>
      <c r="AC428" s="677">
        <v>0.922254484766873</v>
      </c>
      <c r="AD428" s="677">
        <v>0.922254484766873</v>
      </c>
      <c r="AE428" s="677">
        <v>0.922254484766873</v>
      </c>
      <c r="AF428" s="677">
        <v>0.922254484766873</v>
      </c>
      <c r="AG428" s="677">
        <v>0.922254484766873</v>
      </c>
      <c r="AH428" s="677">
        <v>0.922254484766873</v>
      </c>
      <c r="AI428" s="677">
        <v>0.922254484766873</v>
      </c>
      <c r="AJ428" s="677">
        <v>0.922254484766873</v>
      </c>
      <c r="AK428" s="677">
        <v>0.922254484766873</v>
      </c>
      <c r="AL428" s="677">
        <v>0.922254484766873</v>
      </c>
      <c r="AM428" s="677">
        <v>0.922254484766873</v>
      </c>
      <c r="AN428" s="677">
        <v>0.922254484766873</v>
      </c>
      <c r="AO428" s="677">
        <v>0.922254484766873</v>
      </c>
      <c r="AP428" s="675"/>
    </row>
    <row r="429" spans="1:42" ht="14.25" hidden="1" customHeight="1" x14ac:dyDescent="0.3">
      <c r="A429" s="1217"/>
      <c r="B429" s="644"/>
      <c r="C429" s="678"/>
      <c r="D429" s="676" t="s">
        <v>976</v>
      </c>
      <c r="E429" s="677">
        <v>0</v>
      </c>
      <c r="F429" s="677">
        <v>0.97027123599999998</v>
      </c>
      <c r="G429" s="677">
        <v>4.5234356560000002</v>
      </c>
      <c r="H429" s="677">
        <v>0.12783950617283948</v>
      </c>
      <c r="I429" s="677">
        <v>1.7986755319148937</v>
      </c>
      <c r="J429" s="677">
        <v>6.7745999999999995</v>
      </c>
      <c r="K429" s="677">
        <v>0</v>
      </c>
      <c r="L429" s="677">
        <v>0.79192382588774335</v>
      </c>
      <c r="M429" s="677">
        <v>0.79192382588774335</v>
      </c>
      <c r="N429" s="677">
        <v>0.79192382588774335</v>
      </c>
      <c r="O429" s="677">
        <v>0.79192382588774335</v>
      </c>
      <c r="P429" s="677">
        <v>0.79192382588774335</v>
      </c>
      <c r="Q429" s="677">
        <v>0.79192382588774335</v>
      </c>
      <c r="R429" s="677">
        <v>0.79192382588774335</v>
      </c>
      <c r="S429" s="677">
        <v>0.79192382588774335</v>
      </c>
      <c r="T429" s="677">
        <v>0.79192382588774335</v>
      </c>
      <c r="U429" s="677">
        <v>0.79192382588774335</v>
      </c>
      <c r="V429" s="677">
        <v>0.79192382588774335</v>
      </c>
      <c r="W429" s="677">
        <v>0.79192382588774335</v>
      </c>
      <c r="X429" s="677">
        <v>0.79192382588774335</v>
      </c>
      <c r="Y429" s="677">
        <v>0.79192382588774335</v>
      </c>
      <c r="Z429" s="677">
        <v>0.79192382588774335</v>
      </c>
      <c r="AA429" s="677">
        <v>0.79192382588774335</v>
      </c>
      <c r="AB429" s="677">
        <v>0.79192382588774335</v>
      </c>
      <c r="AC429" s="677">
        <v>0.79192382588774335</v>
      </c>
      <c r="AD429" s="677">
        <v>0.79192382588774335</v>
      </c>
      <c r="AE429" s="677">
        <v>0.79192382588774335</v>
      </c>
      <c r="AF429" s="677">
        <v>0.79192382588774335</v>
      </c>
      <c r="AG429" s="677">
        <v>0.79192382588774335</v>
      </c>
      <c r="AH429" s="677">
        <v>0.79192382588774335</v>
      </c>
      <c r="AI429" s="677">
        <v>0.79192382588774335</v>
      </c>
      <c r="AJ429" s="677">
        <v>0.79192382588774335</v>
      </c>
      <c r="AK429" s="677">
        <v>0.79192382588774335</v>
      </c>
      <c r="AL429" s="677">
        <v>0.79192382588774335</v>
      </c>
      <c r="AM429" s="677">
        <v>0.79192382588774335</v>
      </c>
      <c r="AN429" s="677">
        <v>0.79192382588774335</v>
      </c>
      <c r="AO429" s="677">
        <v>0.79192382588774335</v>
      </c>
      <c r="AP429" s="675"/>
    </row>
    <row r="430" spans="1:42" ht="14.25" hidden="1" customHeight="1" x14ac:dyDescent="0.3">
      <c r="A430" s="1217"/>
      <c r="B430" s="644"/>
      <c r="C430" s="678"/>
      <c r="D430" s="676" t="s">
        <v>977</v>
      </c>
      <c r="E430" s="677">
        <v>2.357790295</v>
      </c>
      <c r="F430" s="677">
        <v>2.4445600070000002</v>
      </c>
      <c r="G430" s="677">
        <v>1.960618996</v>
      </c>
      <c r="H430" s="677">
        <v>1.3175118260000001</v>
      </c>
      <c r="I430" s="677">
        <v>0.88802508499519162</v>
      </c>
      <c r="J430" s="677">
        <v>2.2856999999999998</v>
      </c>
      <c r="K430" s="677">
        <v>2.4210994989999999</v>
      </c>
      <c r="L430" s="677">
        <v>2.6805631519999999</v>
      </c>
      <c r="M430" s="677">
        <v>2.6805631519999999</v>
      </c>
      <c r="N430" s="677">
        <v>2.6805631519999999</v>
      </c>
      <c r="O430" s="677">
        <v>2.6805631519999999</v>
      </c>
      <c r="P430" s="677">
        <v>2.6805631519999999</v>
      </c>
      <c r="Q430" s="677">
        <v>2.6805631519999999</v>
      </c>
      <c r="R430" s="677">
        <v>2.6805631519999999</v>
      </c>
      <c r="S430" s="677">
        <v>2.6805631519999999</v>
      </c>
      <c r="T430" s="677">
        <v>2.6805631519999999</v>
      </c>
      <c r="U430" s="677">
        <v>2.6805631519999999</v>
      </c>
      <c r="V430" s="677">
        <v>2.6805631519999999</v>
      </c>
      <c r="W430" s="677">
        <v>2.6805631519999999</v>
      </c>
      <c r="X430" s="677">
        <v>2.6805631519999999</v>
      </c>
      <c r="Y430" s="677">
        <v>2.6805631519999999</v>
      </c>
      <c r="Z430" s="677">
        <v>2.6805631519999999</v>
      </c>
      <c r="AA430" s="677">
        <v>2.6805631519999999</v>
      </c>
      <c r="AB430" s="677">
        <v>2.6805631519999999</v>
      </c>
      <c r="AC430" s="677">
        <v>2.6805631519999999</v>
      </c>
      <c r="AD430" s="677">
        <v>2.6805631519999999</v>
      </c>
      <c r="AE430" s="677">
        <v>2.6805631519999999</v>
      </c>
      <c r="AF430" s="677">
        <v>2.6805631519999999</v>
      </c>
      <c r="AG430" s="677">
        <v>2.6805631519999999</v>
      </c>
      <c r="AH430" s="677">
        <v>2.6805631519999999</v>
      </c>
      <c r="AI430" s="677">
        <v>2.6805631519999999</v>
      </c>
      <c r="AJ430" s="677">
        <v>2.6805631519999999</v>
      </c>
      <c r="AK430" s="677">
        <v>2.6805631519999999</v>
      </c>
      <c r="AL430" s="677">
        <v>2.6805631519999999</v>
      </c>
      <c r="AM430" s="677">
        <v>2.6805631519999999</v>
      </c>
      <c r="AN430" s="677">
        <v>2.6805631519999999</v>
      </c>
      <c r="AO430" s="677">
        <v>2.6805631519999999</v>
      </c>
      <c r="AP430" s="675"/>
    </row>
    <row r="431" spans="1:42" ht="13.5" hidden="1" customHeight="1" x14ac:dyDescent="0.3">
      <c r="A431" s="1217"/>
      <c r="B431" s="644"/>
      <c r="C431" s="678"/>
      <c r="D431" s="676" t="s">
        <v>978</v>
      </c>
      <c r="E431" s="677">
        <v>18.151691331923892</v>
      </c>
      <c r="F431" s="677">
        <v>0</v>
      </c>
      <c r="G431" s="677">
        <v>6.2207446808510651</v>
      </c>
      <c r="H431" s="677">
        <v>9.1882232312875356</v>
      </c>
      <c r="I431" s="677">
        <v>8.8610601738552113</v>
      </c>
      <c r="J431" s="677">
        <v>4.7793318066864803</v>
      </c>
      <c r="K431" s="677">
        <v>3.9253424786942732</v>
      </c>
      <c r="L431" s="677">
        <v>3.455356977695847</v>
      </c>
      <c r="M431" s="677">
        <v>3.455356977695847</v>
      </c>
      <c r="N431" s="677">
        <v>3.455356977695847</v>
      </c>
      <c r="O431" s="677">
        <v>3.455356977695847</v>
      </c>
      <c r="P431" s="677">
        <v>3.455356977695847</v>
      </c>
      <c r="Q431" s="677">
        <v>3.455356977695847</v>
      </c>
      <c r="R431" s="677">
        <v>3.455356977695847</v>
      </c>
      <c r="S431" s="677">
        <v>3.455356977695847</v>
      </c>
      <c r="T431" s="677">
        <v>3.455356977695847</v>
      </c>
      <c r="U431" s="677">
        <v>3.455356977695847</v>
      </c>
      <c r="V431" s="677">
        <v>3.455356977695847</v>
      </c>
      <c r="W431" s="677">
        <v>3.455356977695847</v>
      </c>
      <c r="X431" s="677">
        <v>3.455356977695847</v>
      </c>
      <c r="Y431" s="677">
        <v>3.455356977695847</v>
      </c>
      <c r="Z431" s="677">
        <v>3.455356977695847</v>
      </c>
      <c r="AA431" s="677">
        <v>3.455356977695847</v>
      </c>
      <c r="AB431" s="677">
        <v>3.455356977695847</v>
      </c>
      <c r="AC431" s="677">
        <v>3.455356977695847</v>
      </c>
      <c r="AD431" s="677">
        <v>3.455356977695847</v>
      </c>
      <c r="AE431" s="677">
        <v>3.455356977695847</v>
      </c>
      <c r="AF431" s="677">
        <v>3.455356977695847</v>
      </c>
      <c r="AG431" s="677">
        <v>3.455356977695847</v>
      </c>
      <c r="AH431" s="677">
        <v>3.455356977695847</v>
      </c>
      <c r="AI431" s="677">
        <v>3.455356977695847</v>
      </c>
      <c r="AJ431" s="677">
        <v>3.455356977695847</v>
      </c>
      <c r="AK431" s="677">
        <v>3.455356977695847</v>
      </c>
      <c r="AL431" s="677">
        <v>3.455356977695847</v>
      </c>
      <c r="AM431" s="677">
        <v>3.455356977695847</v>
      </c>
      <c r="AN431" s="677">
        <v>3.455356977695847</v>
      </c>
      <c r="AO431" s="677">
        <v>3.455356977695847</v>
      </c>
      <c r="AP431" s="675"/>
    </row>
    <row r="432" spans="1:42" ht="13.5" customHeight="1" x14ac:dyDescent="0.3">
      <c r="A432" s="1217"/>
      <c r="B432" s="644"/>
      <c r="C432" s="678"/>
      <c r="D432" s="676"/>
      <c r="E432" s="677"/>
      <c r="F432" s="677"/>
      <c r="G432" s="677"/>
      <c r="H432" s="677"/>
      <c r="I432" s="677"/>
      <c r="J432" s="677"/>
      <c r="K432" s="677"/>
      <c r="L432" s="677"/>
      <c r="M432" s="677"/>
      <c r="N432" s="677"/>
      <c r="O432" s="677"/>
      <c r="P432" s="677"/>
      <c r="Q432" s="677"/>
      <c r="R432" s="677"/>
      <c r="S432" s="677"/>
      <c r="T432" s="677"/>
      <c r="U432" s="677"/>
      <c r="V432" s="677"/>
      <c r="W432" s="677"/>
      <c r="X432" s="677"/>
      <c r="Y432" s="677"/>
      <c r="Z432" s="677"/>
      <c r="AA432" s="677"/>
      <c r="AB432" s="677"/>
      <c r="AC432" s="677"/>
      <c r="AD432" s="677"/>
      <c r="AE432" s="677"/>
      <c r="AF432" s="677"/>
      <c r="AG432" s="677"/>
      <c r="AH432" s="677"/>
      <c r="AI432" s="677"/>
      <c r="AJ432" s="677"/>
      <c r="AK432" s="677"/>
      <c r="AL432" s="677"/>
      <c r="AM432" s="677"/>
      <c r="AN432" s="677"/>
      <c r="AO432" s="677"/>
      <c r="AP432" s="675"/>
    </row>
    <row r="433" spans="1:42" ht="14.25" customHeight="1" x14ac:dyDescent="0.3">
      <c r="A433" s="1217"/>
      <c r="B433" s="644"/>
      <c r="C433" s="679"/>
      <c r="D433" s="676" t="s">
        <v>965</v>
      </c>
      <c r="E433" s="677">
        <v>1.4360999999999999</v>
      </c>
      <c r="F433" s="677">
        <v>1.4064173610967514</v>
      </c>
      <c r="G433" s="677">
        <v>1.3859056162739278</v>
      </c>
      <c r="H433" s="677">
        <v>1.2578523816854754</v>
      </c>
      <c r="I433" s="685">
        <f>I417*1000</f>
        <v>1334.3555461577575</v>
      </c>
      <c r="J433" s="685">
        <f t="shared" ref="J433:AO433" si="55">J417*1000</f>
        <v>1353.4257819671852</v>
      </c>
      <c r="K433" s="685">
        <f t="shared" si="55"/>
        <v>664.12943666120862</v>
      </c>
      <c r="L433" s="685">
        <f t="shared" si="55"/>
        <v>1085.5466246451006</v>
      </c>
      <c r="M433" s="685">
        <f t="shared" si="55"/>
        <v>1085.5466246451006</v>
      </c>
      <c r="N433" s="685">
        <f t="shared" si="55"/>
        <v>1085.5466246451006</v>
      </c>
      <c r="O433" s="685">
        <f t="shared" si="55"/>
        <v>1085.5466246451006</v>
      </c>
      <c r="P433" s="685">
        <f t="shared" si="55"/>
        <v>1085.5466246451006</v>
      </c>
      <c r="Q433" s="685">
        <f t="shared" si="55"/>
        <v>1085.5466246451006</v>
      </c>
      <c r="R433" s="685">
        <f t="shared" si="55"/>
        <v>1085.5466246451006</v>
      </c>
      <c r="S433" s="685">
        <f t="shared" si="55"/>
        <v>1085.5466246451006</v>
      </c>
      <c r="T433" s="685">
        <f t="shared" si="55"/>
        <v>1085.5466246451006</v>
      </c>
      <c r="U433" s="685">
        <f t="shared" si="55"/>
        <v>1085.5466246451006</v>
      </c>
      <c r="V433" s="685">
        <f t="shared" si="55"/>
        <v>1085.5466246451006</v>
      </c>
      <c r="W433" s="685">
        <f t="shared" si="55"/>
        <v>1085.5466246451006</v>
      </c>
      <c r="X433" s="685">
        <f t="shared" si="55"/>
        <v>1085.5466246451006</v>
      </c>
      <c r="Y433" s="685">
        <f t="shared" si="55"/>
        <v>1085.5466246451006</v>
      </c>
      <c r="Z433" s="685">
        <f t="shared" si="55"/>
        <v>1085.5466246451006</v>
      </c>
      <c r="AA433" s="685">
        <f t="shared" si="55"/>
        <v>1085.5466246451006</v>
      </c>
      <c r="AB433" s="685">
        <f t="shared" si="55"/>
        <v>1085.5466246451006</v>
      </c>
      <c r="AC433" s="685">
        <f t="shared" si="55"/>
        <v>1085.5466246451006</v>
      </c>
      <c r="AD433" s="685">
        <f t="shared" si="55"/>
        <v>1085.5466246451006</v>
      </c>
      <c r="AE433" s="685">
        <f t="shared" si="55"/>
        <v>1085.5466246451006</v>
      </c>
      <c r="AF433" s="685">
        <f t="shared" si="55"/>
        <v>1085.5466246451006</v>
      </c>
      <c r="AG433" s="685">
        <f t="shared" si="55"/>
        <v>1085.5466246451006</v>
      </c>
      <c r="AH433" s="685">
        <f t="shared" si="55"/>
        <v>1085.5466246451006</v>
      </c>
      <c r="AI433" s="685">
        <f t="shared" si="55"/>
        <v>1085.5466246451006</v>
      </c>
      <c r="AJ433" s="685">
        <f t="shared" si="55"/>
        <v>1085.5466246451006</v>
      </c>
      <c r="AK433" s="685">
        <f t="shared" si="55"/>
        <v>1085.5466246451006</v>
      </c>
      <c r="AL433" s="685">
        <f t="shared" si="55"/>
        <v>1085.5466246451006</v>
      </c>
      <c r="AM433" s="685">
        <f t="shared" si="55"/>
        <v>1085.5466246451006</v>
      </c>
      <c r="AN433" s="685">
        <f t="shared" si="55"/>
        <v>1085.5466246451006</v>
      </c>
      <c r="AO433" s="685">
        <f t="shared" si="55"/>
        <v>1085.5466246451006</v>
      </c>
      <c r="AP433" s="675"/>
    </row>
    <row r="434" spans="1:42" ht="14.25" customHeight="1" x14ac:dyDescent="0.3">
      <c r="A434" s="1217"/>
      <c r="B434" s="644"/>
      <c r="C434" s="678"/>
      <c r="D434" s="676" t="s">
        <v>979</v>
      </c>
      <c r="E434" s="677">
        <v>0</v>
      </c>
      <c r="F434" s="677">
        <v>0</v>
      </c>
      <c r="G434" s="677">
        <v>0</v>
      </c>
      <c r="H434" s="677">
        <v>0</v>
      </c>
      <c r="I434" s="685">
        <f t="shared" ref="I434:I447" si="56">I418*1000</f>
        <v>0</v>
      </c>
      <c r="J434" s="685">
        <f t="shared" ref="J434:AO434" si="57">J418*1000</f>
        <v>0</v>
      </c>
      <c r="K434" s="685">
        <f t="shared" si="57"/>
        <v>0</v>
      </c>
      <c r="L434" s="685">
        <f t="shared" si="57"/>
        <v>334.30241381850522</v>
      </c>
      <c r="M434" s="685">
        <f t="shared" si="57"/>
        <v>334.30241381850522</v>
      </c>
      <c r="N434" s="685">
        <f t="shared" si="57"/>
        <v>334.30241381850522</v>
      </c>
      <c r="O434" s="685">
        <f t="shared" si="57"/>
        <v>334.30241381850522</v>
      </c>
      <c r="P434" s="685">
        <f t="shared" si="57"/>
        <v>334.30241381850522</v>
      </c>
      <c r="Q434" s="685">
        <f t="shared" si="57"/>
        <v>334.30241381850522</v>
      </c>
      <c r="R434" s="685">
        <f t="shared" si="57"/>
        <v>334.30241381850522</v>
      </c>
      <c r="S434" s="685">
        <f t="shared" si="57"/>
        <v>334.30241381850522</v>
      </c>
      <c r="T434" s="685">
        <f t="shared" si="57"/>
        <v>334.30241381850522</v>
      </c>
      <c r="U434" s="685">
        <f t="shared" si="57"/>
        <v>334.30241381850522</v>
      </c>
      <c r="V434" s="685">
        <f t="shared" si="57"/>
        <v>334.30241381850522</v>
      </c>
      <c r="W434" s="685">
        <f t="shared" si="57"/>
        <v>334.30241381850522</v>
      </c>
      <c r="X434" s="685">
        <f t="shared" si="57"/>
        <v>334.30241381850522</v>
      </c>
      <c r="Y434" s="685">
        <f t="shared" si="57"/>
        <v>334.30241381850522</v>
      </c>
      <c r="Z434" s="685">
        <f t="shared" si="57"/>
        <v>334.30241381850522</v>
      </c>
      <c r="AA434" s="685">
        <f t="shared" si="57"/>
        <v>334.30241381850522</v>
      </c>
      <c r="AB434" s="685">
        <f t="shared" si="57"/>
        <v>334.30241381850522</v>
      </c>
      <c r="AC434" s="685">
        <f t="shared" si="57"/>
        <v>334.30241381850522</v>
      </c>
      <c r="AD434" s="685">
        <f t="shared" si="57"/>
        <v>334.30241381850522</v>
      </c>
      <c r="AE434" s="685">
        <f t="shared" si="57"/>
        <v>334.30241381850522</v>
      </c>
      <c r="AF434" s="685">
        <f t="shared" si="57"/>
        <v>334.30241381850522</v>
      </c>
      <c r="AG434" s="685">
        <f t="shared" si="57"/>
        <v>334.30241381850522</v>
      </c>
      <c r="AH434" s="685">
        <f t="shared" si="57"/>
        <v>334.30241381850522</v>
      </c>
      <c r="AI434" s="685">
        <f t="shared" si="57"/>
        <v>334.30241381850522</v>
      </c>
      <c r="AJ434" s="685">
        <f t="shared" si="57"/>
        <v>334.30241381850522</v>
      </c>
      <c r="AK434" s="685">
        <f t="shared" si="57"/>
        <v>334.30241381850522</v>
      </c>
      <c r="AL434" s="685">
        <f t="shared" si="57"/>
        <v>334.30241381850522</v>
      </c>
      <c r="AM434" s="685">
        <f t="shared" si="57"/>
        <v>334.30241381850522</v>
      </c>
      <c r="AN434" s="685">
        <f t="shared" si="57"/>
        <v>334.30241381850522</v>
      </c>
      <c r="AO434" s="685">
        <f t="shared" si="57"/>
        <v>334.30241381850522</v>
      </c>
      <c r="AP434" s="675"/>
    </row>
    <row r="435" spans="1:42" ht="14.25" customHeight="1" x14ac:dyDescent="0.3">
      <c r="A435" s="1217"/>
      <c r="B435" s="644"/>
      <c r="C435" s="678"/>
      <c r="D435" s="676" t="s">
        <v>967</v>
      </c>
      <c r="E435" s="677">
        <v>0</v>
      </c>
      <c r="F435" s="677">
        <v>4.3568627450980388</v>
      </c>
      <c r="G435" s="677">
        <v>4.1106999999999996</v>
      </c>
      <c r="H435" s="677">
        <v>3.9456966666666671</v>
      </c>
      <c r="I435" s="685">
        <f t="shared" si="56"/>
        <v>3979.4</v>
      </c>
      <c r="J435" s="685">
        <f t="shared" ref="J435:AO435" si="58">J419*1000</f>
        <v>3818.9897041767299</v>
      </c>
      <c r="K435" s="685">
        <f t="shared" si="58"/>
        <v>1982.5255422570806</v>
      </c>
      <c r="L435" s="685">
        <f t="shared" si="58"/>
        <v>3464.3</v>
      </c>
      <c r="M435" s="685">
        <f t="shared" si="58"/>
        <v>3464.3</v>
      </c>
      <c r="N435" s="685">
        <f t="shared" si="58"/>
        <v>3464.3</v>
      </c>
      <c r="O435" s="685">
        <f t="shared" si="58"/>
        <v>3464.3</v>
      </c>
      <c r="P435" s="685">
        <f t="shared" si="58"/>
        <v>3464.3</v>
      </c>
      <c r="Q435" s="685">
        <f t="shared" si="58"/>
        <v>3464.3</v>
      </c>
      <c r="R435" s="685">
        <f t="shared" si="58"/>
        <v>3464.3</v>
      </c>
      <c r="S435" s="685">
        <f t="shared" si="58"/>
        <v>3464.3</v>
      </c>
      <c r="T435" s="685">
        <f t="shared" si="58"/>
        <v>3464.3</v>
      </c>
      <c r="U435" s="685">
        <f t="shared" si="58"/>
        <v>3464.3</v>
      </c>
      <c r="V435" s="685">
        <f t="shared" si="58"/>
        <v>3464.3</v>
      </c>
      <c r="W435" s="685">
        <f t="shared" si="58"/>
        <v>3464.3</v>
      </c>
      <c r="X435" s="685">
        <f t="shared" si="58"/>
        <v>3464.3</v>
      </c>
      <c r="Y435" s="685">
        <f t="shared" si="58"/>
        <v>3464.3</v>
      </c>
      <c r="Z435" s="685">
        <f t="shared" si="58"/>
        <v>3464.3</v>
      </c>
      <c r="AA435" s="685">
        <f t="shared" si="58"/>
        <v>3464.3</v>
      </c>
      <c r="AB435" s="685">
        <f t="shared" si="58"/>
        <v>3464.3</v>
      </c>
      <c r="AC435" s="685">
        <f t="shared" si="58"/>
        <v>3464.3</v>
      </c>
      <c r="AD435" s="685">
        <f t="shared" si="58"/>
        <v>3464.3</v>
      </c>
      <c r="AE435" s="685">
        <f t="shared" si="58"/>
        <v>3464.3</v>
      </c>
      <c r="AF435" s="685">
        <f t="shared" si="58"/>
        <v>3464.3</v>
      </c>
      <c r="AG435" s="685">
        <f t="shared" si="58"/>
        <v>3464.3</v>
      </c>
      <c r="AH435" s="685">
        <f t="shared" si="58"/>
        <v>3464.3</v>
      </c>
      <c r="AI435" s="685">
        <f t="shared" si="58"/>
        <v>3464.3</v>
      </c>
      <c r="AJ435" s="685">
        <f t="shared" si="58"/>
        <v>3464.3</v>
      </c>
      <c r="AK435" s="685">
        <f t="shared" si="58"/>
        <v>3464.3</v>
      </c>
      <c r="AL435" s="685">
        <f t="shared" si="58"/>
        <v>3464.3</v>
      </c>
      <c r="AM435" s="685">
        <f t="shared" si="58"/>
        <v>3464.3</v>
      </c>
      <c r="AN435" s="685">
        <f t="shared" si="58"/>
        <v>3464.3</v>
      </c>
      <c r="AO435" s="685">
        <f t="shared" si="58"/>
        <v>3464.3</v>
      </c>
      <c r="AP435" s="675"/>
    </row>
    <row r="436" spans="1:42" ht="14.25" customHeight="1" x14ac:dyDescent="0.3">
      <c r="A436" s="1217"/>
      <c r="B436" s="644"/>
      <c r="C436" s="678"/>
      <c r="D436" s="676" t="s">
        <v>968</v>
      </c>
      <c r="E436" s="677">
        <v>8.7569999999999997</v>
      </c>
      <c r="F436" s="677">
        <v>8.048537115745777</v>
      </c>
      <c r="G436" s="677">
        <v>3.576697638516821</v>
      </c>
      <c r="H436" s="677">
        <v>5.1006613098706017</v>
      </c>
      <c r="I436" s="685">
        <f t="shared" si="56"/>
        <v>2547.4903646595994</v>
      </c>
      <c r="J436" s="685">
        <f t="shared" ref="J436:AO436" si="59">J420*1000</f>
        <v>7402.5521825606265</v>
      </c>
      <c r="K436" s="685">
        <f t="shared" si="59"/>
        <v>7500.5689354838387</v>
      </c>
      <c r="L436" s="685">
        <f t="shared" si="59"/>
        <v>7936.2448146746801</v>
      </c>
      <c r="M436" s="685">
        <f t="shared" si="59"/>
        <v>7936.2448146746801</v>
      </c>
      <c r="N436" s="685">
        <f t="shared" si="59"/>
        <v>7936.2448146746801</v>
      </c>
      <c r="O436" s="685">
        <f t="shared" si="59"/>
        <v>7936.2448146746801</v>
      </c>
      <c r="P436" s="685">
        <f t="shared" si="59"/>
        <v>7936.2448146746801</v>
      </c>
      <c r="Q436" s="685">
        <f t="shared" si="59"/>
        <v>7936.2448146746801</v>
      </c>
      <c r="R436" s="685">
        <f t="shared" si="59"/>
        <v>7936.2448146746801</v>
      </c>
      <c r="S436" s="685">
        <f t="shared" si="59"/>
        <v>7936.2448146746801</v>
      </c>
      <c r="T436" s="685">
        <f t="shared" si="59"/>
        <v>7936.2448146746801</v>
      </c>
      <c r="U436" s="685">
        <f t="shared" si="59"/>
        <v>7936.2448146746801</v>
      </c>
      <c r="V436" s="685">
        <f t="shared" si="59"/>
        <v>7936.2448146746801</v>
      </c>
      <c r="W436" s="685">
        <f t="shared" si="59"/>
        <v>7936.2448146746801</v>
      </c>
      <c r="X436" s="685">
        <f t="shared" si="59"/>
        <v>7936.2448146746801</v>
      </c>
      <c r="Y436" s="685">
        <f t="shared" si="59"/>
        <v>7936.2448146746801</v>
      </c>
      <c r="Z436" s="685">
        <f t="shared" si="59"/>
        <v>7936.2448146746801</v>
      </c>
      <c r="AA436" s="685">
        <f t="shared" si="59"/>
        <v>7936.2448146746801</v>
      </c>
      <c r="AB436" s="685">
        <f t="shared" si="59"/>
        <v>7936.2448146746801</v>
      </c>
      <c r="AC436" s="685">
        <f t="shared" si="59"/>
        <v>7936.2448146746801</v>
      </c>
      <c r="AD436" s="685">
        <f t="shared" si="59"/>
        <v>7936.2448146746801</v>
      </c>
      <c r="AE436" s="685">
        <f t="shared" si="59"/>
        <v>7936.2448146746801</v>
      </c>
      <c r="AF436" s="685">
        <f t="shared" si="59"/>
        <v>7936.2448146746801</v>
      </c>
      <c r="AG436" s="685">
        <f t="shared" si="59"/>
        <v>7936.2448146746801</v>
      </c>
      <c r="AH436" s="685">
        <f t="shared" si="59"/>
        <v>7936.2448146746801</v>
      </c>
      <c r="AI436" s="685">
        <f t="shared" si="59"/>
        <v>7936.2448146746801</v>
      </c>
      <c r="AJ436" s="685">
        <f t="shared" si="59"/>
        <v>7936.2448146746801</v>
      </c>
      <c r="AK436" s="685">
        <f t="shared" si="59"/>
        <v>7936.2448146746801</v>
      </c>
      <c r="AL436" s="685">
        <f t="shared" si="59"/>
        <v>7936.2448146746801</v>
      </c>
      <c r="AM436" s="685">
        <f t="shared" si="59"/>
        <v>7936.2448146746801</v>
      </c>
      <c r="AN436" s="685">
        <f t="shared" si="59"/>
        <v>7936.2448146746801</v>
      </c>
      <c r="AO436" s="685">
        <f t="shared" si="59"/>
        <v>7936.2448146746801</v>
      </c>
      <c r="AP436" s="675"/>
    </row>
    <row r="437" spans="1:42" ht="14.25" customHeight="1" x14ac:dyDescent="0.3">
      <c r="A437" s="1217"/>
      <c r="B437" s="644"/>
      <c r="C437" s="678"/>
      <c r="D437" s="676" t="s">
        <v>969</v>
      </c>
      <c r="E437" s="677">
        <v>0.54790000000000005</v>
      </c>
      <c r="F437" s="677">
        <v>0.5006466803165911</v>
      </c>
      <c r="G437" s="677">
        <v>0.52937822863068196</v>
      </c>
      <c r="H437" s="677">
        <v>0.54911319302280726</v>
      </c>
      <c r="I437" s="685">
        <f t="shared" si="56"/>
        <v>444.91299565853546</v>
      </c>
      <c r="J437" s="685">
        <f t="shared" ref="J437:AO437" si="60">J421*1000</f>
        <v>438.46415305939996</v>
      </c>
      <c r="K437" s="685">
        <f t="shared" si="60"/>
        <v>473.64638324097928</v>
      </c>
      <c r="L437" s="685">
        <f t="shared" si="60"/>
        <v>502.52463060796163</v>
      </c>
      <c r="M437" s="685">
        <f t="shared" si="60"/>
        <v>502.52463060796163</v>
      </c>
      <c r="N437" s="685">
        <f t="shared" si="60"/>
        <v>502.52463060796163</v>
      </c>
      <c r="O437" s="685">
        <f t="shared" si="60"/>
        <v>502.52463060796163</v>
      </c>
      <c r="P437" s="685">
        <f t="shared" si="60"/>
        <v>502.52463060796163</v>
      </c>
      <c r="Q437" s="685">
        <f t="shared" si="60"/>
        <v>502.52463060796163</v>
      </c>
      <c r="R437" s="685">
        <f t="shared" si="60"/>
        <v>502.52463060796163</v>
      </c>
      <c r="S437" s="685">
        <f t="shared" si="60"/>
        <v>502.52463060796163</v>
      </c>
      <c r="T437" s="685">
        <f t="shared" si="60"/>
        <v>502.52463060796163</v>
      </c>
      <c r="U437" s="685">
        <f t="shared" si="60"/>
        <v>502.52463060796163</v>
      </c>
      <c r="V437" s="685">
        <f t="shared" si="60"/>
        <v>502.52463060796163</v>
      </c>
      <c r="W437" s="685">
        <f t="shared" si="60"/>
        <v>502.52463060796163</v>
      </c>
      <c r="X437" s="685">
        <f t="shared" si="60"/>
        <v>502.52463060796163</v>
      </c>
      <c r="Y437" s="685">
        <f t="shared" si="60"/>
        <v>502.52463060796163</v>
      </c>
      <c r="Z437" s="685">
        <f t="shared" si="60"/>
        <v>502.52463060796163</v>
      </c>
      <c r="AA437" s="685">
        <f t="shared" si="60"/>
        <v>502.52463060796163</v>
      </c>
      <c r="AB437" s="685">
        <f t="shared" si="60"/>
        <v>502.52463060796163</v>
      </c>
      <c r="AC437" s="685">
        <f t="shared" si="60"/>
        <v>502.52463060796163</v>
      </c>
      <c r="AD437" s="685">
        <f t="shared" si="60"/>
        <v>502.52463060796163</v>
      </c>
      <c r="AE437" s="685">
        <f t="shared" si="60"/>
        <v>502.52463060796163</v>
      </c>
      <c r="AF437" s="685">
        <f t="shared" si="60"/>
        <v>502.52463060796163</v>
      </c>
      <c r="AG437" s="685">
        <f t="shared" si="60"/>
        <v>502.52463060796163</v>
      </c>
      <c r="AH437" s="685">
        <f t="shared" si="60"/>
        <v>502.52463060796163</v>
      </c>
      <c r="AI437" s="685">
        <f t="shared" si="60"/>
        <v>502.52463060796163</v>
      </c>
      <c r="AJ437" s="685">
        <f t="shared" si="60"/>
        <v>502.52463060796163</v>
      </c>
      <c r="AK437" s="685">
        <f t="shared" si="60"/>
        <v>502.52463060796163</v>
      </c>
      <c r="AL437" s="685">
        <f t="shared" si="60"/>
        <v>502.52463060796163</v>
      </c>
      <c r="AM437" s="685">
        <f t="shared" si="60"/>
        <v>502.52463060796163</v>
      </c>
      <c r="AN437" s="685">
        <f t="shared" si="60"/>
        <v>502.52463060796163</v>
      </c>
      <c r="AO437" s="685">
        <f t="shared" si="60"/>
        <v>502.52463060796163</v>
      </c>
      <c r="AP437" s="675"/>
    </row>
    <row r="438" spans="1:42" ht="14.25" customHeight="1" x14ac:dyDescent="0.3">
      <c r="A438" s="1217"/>
      <c r="B438" s="644"/>
      <c r="C438" s="678"/>
      <c r="D438" s="676" t="s">
        <v>970</v>
      </c>
      <c r="E438" s="677">
        <v>0.79579999999999995</v>
      </c>
      <c r="F438" s="677">
        <v>2.2070449619999999</v>
      </c>
      <c r="G438" s="677">
        <v>2.27872356</v>
      </c>
      <c r="H438" s="677">
        <v>1.4160778169999999</v>
      </c>
      <c r="I438" s="685">
        <f t="shared" si="56"/>
        <v>1332.0100930000001</v>
      </c>
      <c r="J438" s="685">
        <f t="shared" ref="J438:AO438" si="61">J422*1000</f>
        <v>1433</v>
      </c>
      <c r="K438" s="685">
        <f t="shared" si="61"/>
        <v>3033.1345409999999</v>
      </c>
      <c r="L438" s="685">
        <f t="shared" si="61"/>
        <v>2454.045192</v>
      </c>
      <c r="M438" s="685">
        <f t="shared" si="61"/>
        <v>2454.045192</v>
      </c>
      <c r="N438" s="685">
        <f t="shared" si="61"/>
        <v>2454.045192</v>
      </c>
      <c r="O438" s="685">
        <f t="shared" si="61"/>
        <v>2454.045192</v>
      </c>
      <c r="P438" s="685">
        <f t="shared" si="61"/>
        <v>2454.045192</v>
      </c>
      <c r="Q438" s="685">
        <f t="shared" si="61"/>
        <v>2454.045192</v>
      </c>
      <c r="R438" s="685">
        <f t="shared" si="61"/>
        <v>2454.045192</v>
      </c>
      <c r="S438" s="685">
        <f t="shared" si="61"/>
        <v>2454.045192</v>
      </c>
      <c r="T438" s="685">
        <f t="shared" si="61"/>
        <v>2454.045192</v>
      </c>
      <c r="U438" s="685">
        <f t="shared" si="61"/>
        <v>2454.045192</v>
      </c>
      <c r="V438" s="685">
        <f t="shared" si="61"/>
        <v>2454.045192</v>
      </c>
      <c r="W438" s="685">
        <f t="shared" si="61"/>
        <v>2454.045192</v>
      </c>
      <c r="X438" s="685">
        <f t="shared" si="61"/>
        <v>2454.045192</v>
      </c>
      <c r="Y438" s="685">
        <f t="shared" si="61"/>
        <v>2454.045192</v>
      </c>
      <c r="Z438" s="685">
        <f t="shared" si="61"/>
        <v>2454.045192</v>
      </c>
      <c r="AA438" s="685">
        <f t="shared" si="61"/>
        <v>2454.045192</v>
      </c>
      <c r="AB438" s="685">
        <f t="shared" si="61"/>
        <v>2454.045192</v>
      </c>
      <c r="AC438" s="685">
        <f t="shared" si="61"/>
        <v>2454.045192</v>
      </c>
      <c r="AD438" s="685">
        <f t="shared" si="61"/>
        <v>2454.045192</v>
      </c>
      <c r="AE438" s="685">
        <f t="shared" si="61"/>
        <v>2454.045192</v>
      </c>
      <c r="AF438" s="685">
        <f t="shared" si="61"/>
        <v>2454.045192</v>
      </c>
      <c r="AG438" s="685">
        <f t="shared" si="61"/>
        <v>2454.045192</v>
      </c>
      <c r="AH438" s="685">
        <f t="shared" si="61"/>
        <v>2454.045192</v>
      </c>
      <c r="AI438" s="685">
        <f t="shared" si="61"/>
        <v>2454.045192</v>
      </c>
      <c r="AJ438" s="685">
        <f t="shared" si="61"/>
        <v>2454.045192</v>
      </c>
      <c r="AK438" s="685">
        <f t="shared" si="61"/>
        <v>2454.045192</v>
      </c>
      <c r="AL438" s="685">
        <f t="shared" si="61"/>
        <v>2454.045192</v>
      </c>
      <c r="AM438" s="685">
        <f t="shared" si="61"/>
        <v>2454.045192</v>
      </c>
      <c r="AN438" s="685">
        <f t="shared" si="61"/>
        <v>2454.045192</v>
      </c>
      <c r="AO438" s="685">
        <f t="shared" si="61"/>
        <v>2454.045192</v>
      </c>
      <c r="AP438" s="675"/>
    </row>
    <row r="439" spans="1:42" ht="14.25" customHeight="1" x14ac:dyDescent="0.3">
      <c r="A439" s="1217"/>
      <c r="B439" s="644"/>
      <c r="C439" s="678"/>
      <c r="D439" s="676" t="s">
        <v>971</v>
      </c>
      <c r="E439" s="677">
        <v>0.83685108954914444</v>
      </c>
      <c r="F439" s="677">
        <v>0.70464884247044002</v>
      </c>
      <c r="G439" s="677">
        <v>1.8424883526629563</v>
      </c>
      <c r="H439" s="677">
        <v>1.8669296488568827</v>
      </c>
      <c r="I439" s="685">
        <f t="shared" si="56"/>
        <v>639.54057343353577</v>
      </c>
      <c r="J439" s="685">
        <f t="shared" ref="J439:AO439" si="62">J423*1000</f>
        <v>681.30098469517543</v>
      </c>
      <c r="K439" s="685">
        <f t="shared" si="62"/>
        <v>805.83939520420893</v>
      </c>
      <c r="L439" s="685">
        <f t="shared" si="62"/>
        <v>1340.92958925279</v>
      </c>
      <c r="M439" s="685">
        <f t="shared" si="62"/>
        <v>1340.92958925279</v>
      </c>
      <c r="N439" s="685">
        <f t="shared" si="62"/>
        <v>1340.92958925279</v>
      </c>
      <c r="O439" s="685">
        <f t="shared" si="62"/>
        <v>1340.92958925279</v>
      </c>
      <c r="P439" s="685">
        <f t="shared" si="62"/>
        <v>1340.92958925279</v>
      </c>
      <c r="Q439" s="685">
        <f t="shared" si="62"/>
        <v>1340.92958925279</v>
      </c>
      <c r="R439" s="685">
        <f t="shared" si="62"/>
        <v>1340.92958925279</v>
      </c>
      <c r="S439" s="685">
        <f t="shared" si="62"/>
        <v>1340.92958925279</v>
      </c>
      <c r="T439" s="685">
        <f t="shared" si="62"/>
        <v>1340.92958925279</v>
      </c>
      <c r="U439" s="685">
        <f t="shared" si="62"/>
        <v>1340.92958925279</v>
      </c>
      <c r="V439" s="685">
        <f t="shared" si="62"/>
        <v>1340.92958925279</v>
      </c>
      <c r="W439" s="685">
        <f t="shared" si="62"/>
        <v>1340.92958925279</v>
      </c>
      <c r="X439" s="685">
        <f t="shared" si="62"/>
        <v>1340.92958925279</v>
      </c>
      <c r="Y439" s="685">
        <f t="shared" si="62"/>
        <v>1340.92958925279</v>
      </c>
      <c r="Z439" s="685">
        <f t="shared" si="62"/>
        <v>1340.92958925279</v>
      </c>
      <c r="AA439" s="685">
        <f t="shared" si="62"/>
        <v>1340.92958925279</v>
      </c>
      <c r="AB439" s="685">
        <f t="shared" si="62"/>
        <v>1340.92958925279</v>
      </c>
      <c r="AC439" s="685">
        <f t="shared" si="62"/>
        <v>1340.92958925279</v>
      </c>
      <c r="AD439" s="685">
        <f t="shared" si="62"/>
        <v>1340.92958925279</v>
      </c>
      <c r="AE439" s="685">
        <f t="shared" si="62"/>
        <v>1340.92958925279</v>
      </c>
      <c r="AF439" s="685">
        <f t="shared" si="62"/>
        <v>1340.92958925279</v>
      </c>
      <c r="AG439" s="685">
        <f t="shared" si="62"/>
        <v>1340.92958925279</v>
      </c>
      <c r="AH439" s="685">
        <f t="shared" si="62"/>
        <v>1340.92958925279</v>
      </c>
      <c r="AI439" s="685">
        <f t="shared" si="62"/>
        <v>1340.92958925279</v>
      </c>
      <c r="AJ439" s="685">
        <f t="shared" si="62"/>
        <v>1340.92958925279</v>
      </c>
      <c r="AK439" s="685">
        <f t="shared" si="62"/>
        <v>1340.92958925279</v>
      </c>
      <c r="AL439" s="685">
        <f t="shared" si="62"/>
        <v>1340.92958925279</v>
      </c>
      <c r="AM439" s="685">
        <f t="shared" si="62"/>
        <v>1340.92958925279</v>
      </c>
      <c r="AN439" s="685">
        <f t="shared" si="62"/>
        <v>1340.92958925279</v>
      </c>
      <c r="AO439" s="685">
        <f t="shared" si="62"/>
        <v>1340.92958925279</v>
      </c>
      <c r="AP439" s="675"/>
    </row>
    <row r="440" spans="1:42" ht="14.25" customHeight="1" x14ac:dyDescent="0.3">
      <c r="A440" s="1217"/>
      <c r="B440" s="644"/>
      <c r="C440" s="678"/>
      <c r="D440" s="676" t="s">
        <v>972</v>
      </c>
      <c r="E440" s="677">
        <v>3.280931586608443</v>
      </c>
      <c r="F440" s="677">
        <v>2.9211108380437452</v>
      </c>
      <c r="G440" s="677">
        <v>2.9265072247135024</v>
      </c>
      <c r="H440" s="677">
        <v>2.0683354621206194</v>
      </c>
      <c r="I440" s="685">
        <f t="shared" si="56"/>
        <v>2888.9602647516826</v>
      </c>
      <c r="J440" s="685">
        <f t="shared" ref="J440:AO440" si="63">J424*1000</f>
        <v>0</v>
      </c>
      <c r="K440" s="685">
        <f t="shared" si="63"/>
        <v>0</v>
      </c>
      <c r="L440" s="685">
        <f t="shared" si="63"/>
        <v>0</v>
      </c>
      <c r="M440" s="685">
        <f t="shared" si="63"/>
        <v>0</v>
      </c>
      <c r="N440" s="685">
        <f t="shared" si="63"/>
        <v>0</v>
      </c>
      <c r="O440" s="685">
        <f t="shared" si="63"/>
        <v>0</v>
      </c>
      <c r="P440" s="685">
        <f t="shared" si="63"/>
        <v>0</v>
      </c>
      <c r="Q440" s="685">
        <f t="shared" si="63"/>
        <v>0</v>
      </c>
      <c r="R440" s="685">
        <f t="shared" si="63"/>
        <v>0</v>
      </c>
      <c r="S440" s="685">
        <f t="shared" si="63"/>
        <v>0</v>
      </c>
      <c r="T440" s="685">
        <f t="shared" si="63"/>
        <v>0</v>
      </c>
      <c r="U440" s="685">
        <f t="shared" si="63"/>
        <v>0</v>
      </c>
      <c r="V440" s="685">
        <f t="shared" si="63"/>
        <v>0</v>
      </c>
      <c r="W440" s="685">
        <f t="shared" si="63"/>
        <v>0</v>
      </c>
      <c r="X440" s="685">
        <f t="shared" si="63"/>
        <v>0</v>
      </c>
      <c r="Y440" s="685">
        <f t="shared" si="63"/>
        <v>0</v>
      </c>
      <c r="Z440" s="685">
        <f t="shared" si="63"/>
        <v>0</v>
      </c>
      <c r="AA440" s="685">
        <f t="shared" si="63"/>
        <v>0</v>
      </c>
      <c r="AB440" s="685">
        <f t="shared" si="63"/>
        <v>0</v>
      </c>
      <c r="AC440" s="685">
        <f t="shared" si="63"/>
        <v>0</v>
      </c>
      <c r="AD440" s="685">
        <f t="shared" si="63"/>
        <v>0</v>
      </c>
      <c r="AE440" s="685">
        <f t="shared" si="63"/>
        <v>0</v>
      </c>
      <c r="AF440" s="685">
        <f t="shared" si="63"/>
        <v>0</v>
      </c>
      <c r="AG440" s="685">
        <f t="shared" si="63"/>
        <v>0</v>
      </c>
      <c r="AH440" s="685">
        <f t="shared" si="63"/>
        <v>0</v>
      </c>
      <c r="AI440" s="685">
        <f t="shared" si="63"/>
        <v>0</v>
      </c>
      <c r="AJ440" s="685">
        <f t="shared" si="63"/>
        <v>0</v>
      </c>
      <c r="AK440" s="685">
        <f t="shared" si="63"/>
        <v>0</v>
      </c>
      <c r="AL440" s="685">
        <f t="shared" si="63"/>
        <v>0</v>
      </c>
      <c r="AM440" s="685">
        <f t="shared" si="63"/>
        <v>0</v>
      </c>
      <c r="AN440" s="685">
        <f t="shared" si="63"/>
        <v>0</v>
      </c>
      <c r="AO440" s="685">
        <f t="shared" si="63"/>
        <v>0</v>
      </c>
      <c r="AP440" s="675"/>
    </row>
    <row r="441" spans="1:42" ht="14.25" customHeight="1" x14ac:dyDescent="0.3">
      <c r="A441" s="1217"/>
      <c r="B441" s="644"/>
      <c r="C441" s="678"/>
      <c r="D441" s="676" t="s">
        <v>973</v>
      </c>
      <c r="E441" s="677">
        <v>0</v>
      </c>
      <c r="F441" s="677">
        <v>0</v>
      </c>
      <c r="G441" s="677">
        <v>0</v>
      </c>
      <c r="H441" s="677">
        <v>0</v>
      </c>
      <c r="I441" s="685">
        <f t="shared" si="56"/>
        <v>0</v>
      </c>
      <c r="J441" s="685">
        <f t="shared" ref="J441:AO441" si="64">J425*1000</f>
        <v>0</v>
      </c>
      <c r="K441" s="685">
        <f t="shared" si="64"/>
        <v>0</v>
      </c>
      <c r="L441" s="685">
        <f t="shared" si="64"/>
        <v>0</v>
      </c>
      <c r="M441" s="685">
        <f t="shared" si="64"/>
        <v>0</v>
      </c>
      <c r="N441" s="685">
        <f t="shared" si="64"/>
        <v>0</v>
      </c>
      <c r="O441" s="685">
        <f t="shared" si="64"/>
        <v>0</v>
      </c>
      <c r="P441" s="685">
        <f t="shared" si="64"/>
        <v>0</v>
      </c>
      <c r="Q441" s="685">
        <f t="shared" si="64"/>
        <v>0</v>
      </c>
      <c r="R441" s="685">
        <f t="shared" si="64"/>
        <v>0</v>
      </c>
      <c r="S441" s="685">
        <f t="shared" si="64"/>
        <v>0</v>
      </c>
      <c r="T441" s="685">
        <f t="shared" si="64"/>
        <v>0</v>
      </c>
      <c r="U441" s="685">
        <f t="shared" si="64"/>
        <v>0</v>
      </c>
      <c r="V441" s="685">
        <f t="shared" si="64"/>
        <v>0</v>
      </c>
      <c r="W441" s="685">
        <f t="shared" si="64"/>
        <v>0</v>
      </c>
      <c r="X441" s="685">
        <f t="shared" si="64"/>
        <v>0</v>
      </c>
      <c r="Y441" s="685">
        <f t="shared" si="64"/>
        <v>0</v>
      </c>
      <c r="Z441" s="685">
        <f t="shared" si="64"/>
        <v>0</v>
      </c>
      <c r="AA441" s="685">
        <f t="shared" si="64"/>
        <v>0</v>
      </c>
      <c r="AB441" s="685">
        <f t="shared" si="64"/>
        <v>0</v>
      </c>
      <c r="AC441" s="685">
        <f t="shared" si="64"/>
        <v>0</v>
      </c>
      <c r="AD441" s="685">
        <f t="shared" si="64"/>
        <v>0</v>
      </c>
      <c r="AE441" s="685">
        <f t="shared" si="64"/>
        <v>0</v>
      </c>
      <c r="AF441" s="685">
        <f t="shared" si="64"/>
        <v>0</v>
      </c>
      <c r="AG441" s="685">
        <f t="shared" si="64"/>
        <v>0</v>
      </c>
      <c r="AH441" s="685">
        <f t="shared" si="64"/>
        <v>0</v>
      </c>
      <c r="AI441" s="685">
        <f t="shared" si="64"/>
        <v>0</v>
      </c>
      <c r="AJ441" s="685">
        <f t="shared" si="64"/>
        <v>0</v>
      </c>
      <c r="AK441" s="685">
        <f t="shared" si="64"/>
        <v>0</v>
      </c>
      <c r="AL441" s="685">
        <f t="shared" si="64"/>
        <v>0</v>
      </c>
      <c r="AM441" s="685">
        <f t="shared" si="64"/>
        <v>0</v>
      </c>
      <c r="AN441" s="685">
        <f t="shared" si="64"/>
        <v>0</v>
      </c>
      <c r="AO441" s="685">
        <f t="shared" si="64"/>
        <v>0</v>
      </c>
      <c r="AP441" s="675"/>
    </row>
    <row r="442" spans="1:42" ht="14.25" customHeight="1" x14ac:dyDescent="0.3">
      <c r="A442" s="1217"/>
      <c r="B442" s="644"/>
      <c r="C442" s="678"/>
      <c r="D442" s="676" t="s">
        <v>974</v>
      </c>
      <c r="E442" s="677">
        <v>6.1802225999999996</v>
      </c>
      <c r="F442" s="677">
        <v>4.8347229780000003</v>
      </c>
      <c r="G442" s="677">
        <v>3.7273078919999998</v>
      </c>
      <c r="H442" s="677">
        <v>3.4294177389999998</v>
      </c>
      <c r="I442" s="685">
        <f t="shared" si="56"/>
        <v>3834.8024740000001</v>
      </c>
      <c r="J442" s="685">
        <f t="shared" ref="J442:AO442" si="65">J426*1000</f>
        <v>3774.1</v>
      </c>
      <c r="K442" s="685">
        <f t="shared" si="65"/>
        <v>4101.1162949999998</v>
      </c>
      <c r="L442" s="685">
        <f t="shared" si="65"/>
        <v>4897.9753149999997</v>
      </c>
      <c r="M442" s="685">
        <f t="shared" si="65"/>
        <v>4897.9753149999997</v>
      </c>
      <c r="N442" s="685">
        <f t="shared" si="65"/>
        <v>4897.9753149999997</v>
      </c>
      <c r="O442" s="685">
        <f t="shared" si="65"/>
        <v>4897.9753149999997</v>
      </c>
      <c r="P442" s="685">
        <f t="shared" si="65"/>
        <v>4897.9753149999997</v>
      </c>
      <c r="Q442" s="685">
        <f t="shared" si="65"/>
        <v>4897.9753149999997</v>
      </c>
      <c r="R442" s="685">
        <f t="shared" si="65"/>
        <v>4897.9753149999997</v>
      </c>
      <c r="S442" s="685">
        <f t="shared" si="65"/>
        <v>4897.9753149999997</v>
      </c>
      <c r="T442" s="685">
        <f t="shared" si="65"/>
        <v>4897.9753149999997</v>
      </c>
      <c r="U442" s="685">
        <f t="shared" si="65"/>
        <v>4897.9753149999997</v>
      </c>
      <c r="V442" s="685">
        <f t="shared" si="65"/>
        <v>4897.9753149999997</v>
      </c>
      <c r="W442" s="685">
        <f t="shared" si="65"/>
        <v>4897.9753149999997</v>
      </c>
      <c r="X442" s="685">
        <f t="shared" si="65"/>
        <v>4897.9753149999997</v>
      </c>
      <c r="Y442" s="685">
        <f t="shared" si="65"/>
        <v>4897.9753149999997</v>
      </c>
      <c r="Z442" s="685">
        <f t="shared" si="65"/>
        <v>4897.9753149999997</v>
      </c>
      <c r="AA442" s="685">
        <f t="shared" si="65"/>
        <v>4897.9753149999997</v>
      </c>
      <c r="AB442" s="685">
        <f t="shared" si="65"/>
        <v>4897.9753149999997</v>
      </c>
      <c r="AC442" s="685">
        <f t="shared" si="65"/>
        <v>4897.9753149999997</v>
      </c>
      <c r="AD442" s="685">
        <f t="shared" si="65"/>
        <v>4897.9753149999997</v>
      </c>
      <c r="AE442" s="685">
        <f t="shared" si="65"/>
        <v>4897.9753149999997</v>
      </c>
      <c r="AF442" s="685">
        <f t="shared" si="65"/>
        <v>4897.9753149999997</v>
      </c>
      <c r="AG442" s="685">
        <f t="shared" si="65"/>
        <v>4897.9753149999997</v>
      </c>
      <c r="AH442" s="685">
        <f t="shared" si="65"/>
        <v>4897.9753149999997</v>
      </c>
      <c r="AI442" s="685">
        <f t="shared" si="65"/>
        <v>4897.9753149999997</v>
      </c>
      <c r="AJ442" s="685">
        <f t="shared" si="65"/>
        <v>4897.9753149999997</v>
      </c>
      <c r="AK442" s="685">
        <f t="shared" si="65"/>
        <v>4897.9753149999997</v>
      </c>
      <c r="AL442" s="685">
        <f t="shared" si="65"/>
        <v>4897.9753149999997</v>
      </c>
      <c r="AM442" s="685">
        <f t="shared" si="65"/>
        <v>4897.9753149999997</v>
      </c>
      <c r="AN442" s="685">
        <f t="shared" si="65"/>
        <v>4897.9753149999997</v>
      </c>
      <c r="AO442" s="685">
        <f t="shared" si="65"/>
        <v>4897.9753149999997</v>
      </c>
      <c r="AP442" s="675"/>
    </row>
    <row r="443" spans="1:42" ht="14.25" customHeight="1" x14ac:dyDescent="0.3">
      <c r="A443" s="1217"/>
      <c r="B443" s="644"/>
      <c r="C443" s="678"/>
      <c r="D443" s="676" t="s">
        <v>975</v>
      </c>
      <c r="E443" s="677">
        <v>2.558127255</v>
      </c>
      <c r="F443" s="677">
        <v>1.0058684170000001</v>
      </c>
      <c r="G443" s="677">
        <v>0.24433251984296597</v>
      </c>
      <c r="H443" s="677">
        <v>0.24830413933019399</v>
      </c>
      <c r="I443" s="685">
        <f t="shared" si="56"/>
        <v>266.07571983335225</v>
      </c>
      <c r="J443" s="685">
        <f t="shared" ref="J443:AO443" si="66">J427*1000</f>
        <v>266.68664063217653</v>
      </c>
      <c r="K443" s="685">
        <f t="shared" si="66"/>
        <v>1734.6968949999998</v>
      </c>
      <c r="L443" s="685">
        <f t="shared" si="66"/>
        <v>1546.1478559999998</v>
      </c>
      <c r="M443" s="685">
        <f t="shared" si="66"/>
        <v>1546.1478559999998</v>
      </c>
      <c r="N443" s="685">
        <f t="shared" si="66"/>
        <v>1546.1478559999998</v>
      </c>
      <c r="O443" s="685">
        <f t="shared" si="66"/>
        <v>1546.1478559999998</v>
      </c>
      <c r="P443" s="685">
        <f t="shared" si="66"/>
        <v>1546.1478559999998</v>
      </c>
      <c r="Q443" s="685">
        <f t="shared" si="66"/>
        <v>1546.1478559999998</v>
      </c>
      <c r="R443" s="685">
        <f t="shared" si="66"/>
        <v>1546.1478559999998</v>
      </c>
      <c r="S443" s="685">
        <f t="shared" si="66"/>
        <v>1546.1478559999998</v>
      </c>
      <c r="T443" s="685">
        <f t="shared" si="66"/>
        <v>1546.1478559999998</v>
      </c>
      <c r="U443" s="685">
        <f t="shared" si="66"/>
        <v>1546.1478559999998</v>
      </c>
      <c r="V443" s="685">
        <f t="shared" si="66"/>
        <v>1546.1478559999998</v>
      </c>
      <c r="W443" s="685">
        <f t="shared" si="66"/>
        <v>1546.1478559999998</v>
      </c>
      <c r="X443" s="685">
        <f t="shared" si="66"/>
        <v>1546.1478559999998</v>
      </c>
      <c r="Y443" s="685">
        <f t="shared" si="66"/>
        <v>1546.1478559999998</v>
      </c>
      <c r="Z443" s="685">
        <f t="shared" si="66"/>
        <v>1546.1478559999998</v>
      </c>
      <c r="AA443" s="685">
        <f t="shared" si="66"/>
        <v>1546.1478559999998</v>
      </c>
      <c r="AB443" s="685">
        <f t="shared" si="66"/>
        <v>1546.1478559999998</v>
      </c>
      <c r="AC443" s="685">
        <f t="shared" si="66"/>
        <v>1546.1478559999998</v>
      </c>
      <c r="AD443" s="685">
        <f t="shared" si="66"/>
        <v>1546.1478559999998</v>
      </c>
      <c r="AE443" s="685">
        <f t="shared" si="66"/>
        <v>1546.1478559999998</v>
      </c>
      <c r="AF443" s="685">
        <f t="shared" si="66"/>
        <v>1546.1478559999998</v>
      </c>
      <c r="AG443" s="685">
        <f t="shared" si="66"/>
        <v>1546.1478559999998</v>
      </c>
      <c r="AH443" s="685">
        <f t="shared" si="66"/>
        <v>1546.1478559999998</v>
      </c>
      <c r="AI443" s="685">
        <f t="shared" si="66"/>
        <v>1546.1478559999998</v>
      </c>
      <c r="AJ443" s="685">
        <f t="shared" si="66"/>
        <v>1546.1478559999998</v>
      </c>
      <c r="AK443" s="685">
        <f t="shared" si="66"/>
        <v>1546.1478559999998</v>
      </c>
      <c r="AL443" s="685">
        <f t="shared" si="66"/>
        <v>1546.1478559999998</v>
      </c>
      <c r="AM443" s="685">
        <f t="shared" si="66"/>
        <v>1546.1478559999998</v>
      </c>
      <c r="AN443" s="685">
        <f t="shared" si="66"/>
        <v>1546.1478559999998</v>
      </c>
      <c r="AO443" s="685">
        <f t="shared" si="66"/>
        <v>1546.1478559999998</v>
      </c>
      <c r="AP443" s="675"/>
    </row>
    <row r="444" spans="1:42" ht="14.25" customHeight="1" x14ac:dyDescent="0.3">
      <c r="A444" s="1217"/>
      <c r="B444" s="644"/>
      <c r="C444" s="678"/>
      <c r="D444" s="676" t="s">
        <v>915</v>
      </c>
      <c r="E444" s="677">
        <v>1.0120864514645478</v>
      </c>
      <c r="F444" s="677">
        <v>0.885640257779578</v>
      </c>
      <c r="G444" s="677">
        <v>0.86318026576997253</v>
      </c>
      <c r="H444" s="677">
        <v>0.89055882729715696</v>
      </c>
      <c r="I444" s="685">
        <f t="shared" si="56"/>
        <v>911.7870721399122</v>
      </c>
      <c r="J444" s="685">
        <f t="shared" ref="J444:AO444" si="67">J428*1000</f>
        <v>957.9115536266512</v>
      </c>
      <c r="K444" s="685">
        <f t="shared" si="67"/>
        <v>923.54826559201751</v>
      </c>
      <c r="L444" s="685">
        <f t="shared" si="67"/>
        <v>922.25448476687302</v>
      </c>
      <c r="M444" s="685">
        <f t="shared" si="67"/>
        <v>922.25448476687302</v>
      </c>
      <c r="N444" s="685">
        <f t="shared" si="67"/>
        <v>922.25448476687302</v>
      </c>
      <c r="O444" s="685">
        <f t="shared" si="67"/>
        <v>922.25448476687302</v>
      </c>
      <c r="P444" s="685">
        <f t="shared" si="67"/>
        <v>922.25448476687302</v>
      </c>
      <c r="Q444" s="685">
        <f t="shared" si="67"/>
        <v>922.25448476687302</v>
      </c>
      <c r="R444" s="685">
        <f t="shared" si="67"/>
        <v>922.25448476687302</v>
      </c>
      <c r="S444" s="685">
        <f t="shared" si="67"/>
        <v>922.25448476687302</v>
      </c>
      <c r="T444" s="685">
        <f t="shared" si="67"/>
        <v>922.25448476687302</v>
      </c>
      <c r="U444" s="685">
        <f t="shared" si="67"/>
        <v>922.25448476687302</v>
      </c>
      <c r="V444" s="685">
        <f t="shared" si="67"/>
        <v>922.25448476687302</v>
      </c>
      <c r="W444" s="685">
        <f t="shared" si="67"/>
        <v>922.25448476687302</v>
      </c>
      <c r="X444" s="685">
        <f t="shared" si="67"/>
        <v>922.25448476687302</v>
      </c>
      <c r="Y444" s="685">
        <f t="shared" si="67"/>
        <v>922.25448476687302</v>
      </c>
      <c r="Z444" s="685">
        <f t="shared" si="67"/>
        <v>922.25448476687302</v>
      </c>
      <c r="AA444" s="685">
        <f t="shared" si="67"/>
        <v>922.25448476687302</v>
      </c>
      <c r="AB444" s="685">
        <f t="shared" si="67"/>
        <v>922.25448476687302</v>
      </c>
      <c r="AC444" s="685">
        <f t="shared" si="67"/>
        <v>922.25448476687302</v>
      </c>
      <c r="AD444" s="685">
        <f t="shared" si="67"/>
        <v>922.25448476687302</v>
      </c>
      <c r="AE444" s="685">
        <f t="shared" si="67"/>
        <v>922.25448476687302</v>
      </c>
      <c r="AF444" s="685">
        <f t="shared" si="67"/>
        <v>922.25448476687302</v>
      </c>
      <c r="AG444" s="685">
        <f t="shared" si="67"/>
        <v>922.25448476687302</v>
      </c>
      <c r="AH444" s="685">
        <f t="shared" si="67"/>
        <v>922.25448476687302</v>
      </c>
      <c r="AI444" s="685">
        <f t="shared" si="67"/>
        <v>922.25448476687302</v>
      </c>
      <c r="AJ444" s="685">
        <f t="shared" si="67"/>
        <v>922.25448476687302</v>
      </c>
      <c r="AK444" s="685">
        <f t="shared" si="67"/>
        <v>922.25448476687302</v>
      </c>
      <c r="AL444" s="685">
        <f t="shared" si="67"/>
        <v>922.25448476687302</v>
      </c>
      <c r="AM444" s="685">
        <f t="shared" si="67"/>
        <v>922.25448476687302</v>
      </c>
      <c r="AN444" s="685">
        <f t="shared" si="67"/>
        <v>922.25448476687302</v>
      </c>
      <c r="AO444" s="685">
        <f t="shared" si="67"/>
        <v>922.25448476687302</v>
      </c>
      <c r="AP444" s="675"/>
    </row>
    <row r="445" spans="1:42" ht="14.25" customHeight="1" x14ac:dyDescent="0.3">
      <c r="A445" s="1217"/>
      <c r="B445" s="644"/>
      <c r="C445" s="678"/>
      <c r="D445" s="676" t="s">
        <v>976</v>
      </c>
      <c r="E445" s="677">
        <v>0</v>
      </c>
      <c r="F445" s="677">
        <v>0.97027123599999998</v>
      </c>
      <c r="G445" s="677">
        <v>4.5234356560000002</v>
      </c>
      <c r="H445" s="677">
        <v>0.12783950617283948</v>
      </c>
      <c r="I445" s="685">
        <f t="shared" si="56"/>
        <v>1798.6755319148938</v>
      </c>
      <c r="J445" s="685">
        <f t="shared" ref="J445:AO445" si="68">J429*1000</f>
        <v>6774.5999999999995</v>
      </c>
      <c r="K445" s="685">
        <f t="shared" si="68"/>
        <v>0</v>
      </c>
      <c r="L445" s="685">
        <f t="shared" si="68"/>
        <v>791.92382588774331</v>
      </c>
      <c r="M445" s="685">
        <f t="shared" si="68"/>
        <v>791.92382588774331</v>
      </c>
      <c r="N445" s="685">
        <f t="shared" si="68"/>
        <v>791.92382588774331</v>
      </c>
      <c r="O445" s="685">
        <f t="shared" si="68"/>
        <v>791.92382588774331</v>
      </c>
      <c r="P445" s="685">
        <f t="shared" si="68"/>
        <v>791.92382588774331</v>
      </c>
      <c r="Q445" s="685">
        <f t="shared" si="68"/>
        <v>791.92382588774331</v>
      </c>
      <c r="R445" s="685">
        <f t="shared" si="68"/>
        <v>791.92382588774331</v>
      </c>
      <c r="S445" s="685">
        <f t="shared" si="68"/>
        <v>791.92382588774331</v>
      </c>
      <c r="T445" s="685">
        <f t="shared" si="68"/>
        <v>791.92382588774331</v>
      </c>
      <c r="U445" s="685">
        <f t="shared" si="68"/>
        <v>791.92382588774331</v>
      </c>
      <c r="V445" s="685">
        <f t="shared" si="68"/>
        <v>791.92382588774331</v>
      </c>
      <c r="W445" s="685">
        <f t="shared" si="68"/>
        <v>791.92382588774331</v>
      </c>
      <c r="X445" s="685">
        <f t="shared" si="68"/>
        <v>791.92382588774331</v>
      </c>
      <c r="Y445" s="685">
        <f t="shared" si="68"/>
        <v>791.92382588774331</v>
      </c>
      <c r="Z445" s="685">
        <f t="shared" si="68"/>
        <v>791.92382588774331</v>
      </c>
      <c r="AA445" s="685">
        <f t="shared" si="68"/>
        <v>791.92382588774331</v>
      </c>
      <c r="AB445" s="685">
        <f t="shared" si="68"/>
        <v>791.92382588774331</v>
      </c>
      <c r="AC445" s="685">
        <f t="shared" si="68"/>
        <v>791.92382588774331</v>
      </c>
      <c r="AD445" s="685">
        <f t="shared" si="68"/>
        <v>791.92382588774331</v>
      </c>
      <c r="AE445" s="685">
        <f t="shared" si="68"/>
        <v>791.92382588774331</v>
      </c>
      <c r="AF445" s="685">
        <f t="shared" si="68"/>
        <v>791.92382588774331</v>
      </c>
      <c r="AG445" s="685">
        <f t="shared" si="68"/>
        <v>791.92382588774331</v>
      </c>
      <c r="AH445" s="685">
        <f t="shared" si="68"/>
        <v>791.92382588774331</v>
      </c>
      <c r="AI445" s="685">
        <f t="shared" si="68"/>
        <v>791.92382588774331</v>
      </c>
      <c r="AJ445" s="685">
        <f t="shared" si="68"/>
        <v>791.92382588774331</v>
      </c>
      <c r="AK445" s="685">
        <f t="shared" si="68"/>
        <v>791.92382588774331</v>
      </c>
      <c r="AL445" s="685">
        <f t="shared" si="68"/>
        <v>791.92382588774331</v>
      </c>
      <c r="AM445" s="685">
        <f t="shared" si="68"/>
        <v>791.92382588774331</v>
      </c>
      <c r="AN445" s="685">
        <f t="shared" si="68"/>
        <v>791.92382588774331</v>
      </c>
      <c r="AO445" s="685">
        <f t="shared" si="68"/>
        <v>791.92382588774331</v>
      </c>
      <c r="AP445" s="675"/>
    </row>
    <row r="446" spans="1:42" ht="14.25" customHeight="1" x14ac:dyDescent="0.3">
      <c r="A446" s="1217"/>
      <c r="B446" s="644"/>
      <c r="C446" s="678"/>
      <c r="D446" s="676" t="s">
        <v>977</v>
      </c>
      <c r="E446" s="677">
        <v>2.357790295</v>
      </c>
      <c r="F446" s="677">
        <v>2.4445600070000002</v>
      </c>
      <c r="G446" s="677">
        <v>1.960618996</v>
      </c>
      <c r="H446" s="677">
        <v>1.3175118260000001</v>
      </c>
      <c r="I446" s="685">
        <f t="shared" si="56"/>
        <v>888.02508499519161</v>
      </c>
      <c r="J446" s="685">
        <f t="shared" ref="J446:AO446" si="69">J430*1000</f>
        <v>2285.6999999999998</v>
      </c>
      <c r="K446" s="685">
        <f t="shared" si="69"/>
        <v>2421.0994989999999</v>
      </c>
      <c r="L446" s="685">
        <f t="shared" si="69"/>
        <v>2680.5631520000002</v>
      </c>
      <c r="M446" s="685">
        <f t="shared" si="69"/>
        <v>2680.5631520000002</v>
      </c>
      <c r="N446" s="685">
        <f t="shared" si="69"/>
        <v>2680.5631520000002</v>
      </c>
      <c r="O446" s="685">
        <f t="shared" si="69"/>
        <v>2680.5631520000002</v>
      </c>
      <c r="P446" s="685">
        <f t="shared" si="69"/>
        <v>2680.5631520000002</v>
      </c>
      <c r="Q446" s="685">
        <f t="shared" si="69"/>
        <v>2680.5631520000002</v>
      </c>
      <c r="R446" s="685">
        <f t="shared" si="69"/>
        <v>2680.5631520000002</v>
      </c>
      <c r="S446" s="685">
        <f t="shared" si="69"/>
        <v>2680.5631520000002</v>
      </c>
      <c r="T446" s="685">
        <f t="shared" si="69"/>
        <v>2680.5631520000002</v>
      </c>
      <c r="U446" s="685">
        <f t="shared" si="69"/>
        <v>2680.5631520000002</v>
      </c>
      <c r="V446" s="685">
        <f t="shared" si="69"/>
        <v>2680.5631520000002</v>
      </c>
      <c r="W446" s="685">
        <f t="shared" si="69"/>
        <v>2680.5631520000002</v>
      </c>
      <c r="X446" s="685">
        <f t="shared" si="69"/>
        <v>2680.5631520000002</v>
      </c>
      <c r="Y446" s="685">
        <f t="shared" si="69"/>
        <v>2680.5631520000002</v>
      </c>
      <c r="Z446" s="685">
        <f t="shared" si="69"/>
        <v>2680.5631520000002</v>
      </c>
      <c r="AA446" s="685">
        <f t="shared" si="69"/>
        <v>2680.5631520000002</v>
      </c>
      <c r="AB446" s="685">
        <f t="shared" si="69"/>
        <v>2680.5631520000002</v>
      </c>
      <c r="AC446" s="685">
        <f t="shared" si="69"/>
        <v>2680.5631520000002</v>
      </c>
      <c r="AD446" s="685">
        <f t="shared" si="69"/>
        <v>2680.5631520000002</v>
      </c>
      <c r="AE446" s="685">
        <f t="shared" si="69"/>
        <v>2680.5631520000002</v>
      </c>
      <c r="AF446" s="685">
        <f t="shared" si="69"/>
        <v>2680.5631520000002</v>
      </c>
      <c r="AG446" s="685">
        <f t="shared" si="69"/>
        <v>2680.5631520000002</v>
      </c>
      <c r="AH446" s="685">
        <f t="shared" si="69"/>
        <v>2680.5631520000002</v>
      </c>
      <c r="AI446" s="685">
        <f t="shared" si="69"/>
        <v>2680.5631520000002</v>
      </c>
      <c r="AJ446" s="685">
        <f t="shared" si="69"/>
        <v>2680.5631520000002</v>
      </c>
      <c r="AK446" s="685">
        <f t="shared" si="69"/>
        <v>2680.5631520000002</v>
      </c>
      <c r="AL446" s="685">
        <f t="shared" si="69"/>
        <v>2680.5631520000002</v>
      </c>
      <c r="AM446" s="685">
        <f t="shared" si="69"/>
        <v>2680.5631520000002</v>
      </c>
      <c r="AN446" s="685">
        <f t="shared" si="69"/>
        <v>2680.5631520000002</v>
      </c>
      <c r="AO446" s="685">
        <f t="shared" si="69"/>
        <v>2680.5631520000002</v>
      </c>
      <c r="AP446" s="675"/>
    </row>
    <row r="447" spans="1:42" ht="13.5" customHeight="1" x14ac:dyDescent="0.3">
      <c r="A447" s="1217"/>
      <c r="B447" s="644"/>
      <c r="C447" s="678"/>
      <c r="D447" s="676" t="s">
        <v>978</v>
      </c>
      <c r="E447" s="677">
        <v>18.151691331923892</v>
      </c>
      <c r="F447" s="677">
        <v>0</v>
      </c>
      <c r="G447" s="677">
        <v>6.2207446808510651</v>
      </c>
      <c r="H447" s="677">
        <v>9.1882232312875356</v>
      </c>
      <c r="I447" s="685">
        <f t="shared" si="56"/>
        <v>8861.0601738552105</v>
      </c>
      <c r="J447" s="685">
        <f t="shared" ref="J447:AO447" si="70">J431*1000</f>
        <v>4779.3318066864804</v>
      </c>
      <c r="K447" s="685">
        <f t="shared" si="70"/>
        <v>3925.3424786942733</v>
      </c>
      <c r="L447" s="685">
        <f t="shared" si="70"/>
        <v>3455.356977695847</v>
      </c>
      <c r="M447" s="685">
        <f t="shared" si="70"/>
        <v>3455.356977695847</v>
      </c>
      <c r="N447" s="685">
        <f t="shared" si="70"/>
        <v>3455.356977695847</v>
      </c>
      <c r="O447" s="685">
        <f t="shared" si="70"/>
        <v>3455.356977695847</v>
      </c>
      <c r="P447" s="685">
        <f t="shared" si="70"/>
        <v>3455.356977695847</v>
      </c>
      <c r="Q447" s="685">
        <f t="shared" si="70"/>
        <v>3455.356977695847</v>
      </c>
      <c r="R447" s="685">
        <f t="shared" si="70"/>
        <v>3455.356977695847</v>
      </c>
      <c r="S447" s="685">
        <f t="shared" si="70"/>
        <v>3455.356977695847</v>
      </c>
      <c r="T447" s="685">
        <f t="shared" si="70"/>
        <v>3455.356977695847</v>
      </c>
      <c r="U447" s="685">
        <f t="shared" si="70"/>
        <v>3455.356977695847</v>
      </c>
      <c r="V447" s="685">
        <f t="shared" si="70"/>
        <v>3455.356977695847</v>
      </c>
      <c r="W447" s="685">
        <f t="shared" si="70"/>
        <v>3455.356977695847</v>
      </c>
      <c r="X447" s="685">
        <f t="shared" si="70"/>
        <v>3455.356977695847</v>
      </c>
      <c r="Y447" s="685">
        <f t="shared" si="70"/>
        <v>3455.356977695847</v>
      </c>
      <c r="Z447" s="685">
        <f t="shared" si="70"/>
        <v>3455.356977695847</v>
      </c>
      <c r="AA447" s="685">
        <f t="shared" si="70"/>
        <v>3455.356977695847</v>
      </c>
      <c r="AB447" s="685">
        <f t="shared" si="70"/>
        <v>3455.356977695847</v>
      </c>
      <c r="AC447" s="685">
        <f t="shared" si="70"/>
        <v>3455.356977695847</v>
      </c>
      <c r="AD447" s="685">
        <f t="shared" si="70"/>
        <v>3455.356977695847</v>
      </c>
      <c r="AE447" s="685">
        <f t="shared" si="70"/>
        <v>3455.356977695847</v>
      </c>
      <c r="AF447" s="685">
        <f t="shared" si="70"/>
        <v>3455.356977695847</v>
      </c>
      <c r="AG447" s="685">
        <f t="shared" si="70"/>
        <v>3455.356977695847</v>
      </c>
      <c r="AH447" s="685">
        <f t="shared" si="70"/>
        <v>3455.356977695847</v>
      </c>
      <c r="AI447" s="685">
        <f t="shared" si="70"/>
        <v>3455.356977695847</v>
      </c>
      <c r="AJ447" s="685">
        <f t="shared" si="70"/>
        <v>3455.356977695847</v>
      </c>
      <c r="AK447" s="685">
        <f t="shared" si="70"/>
        <v>3455.356977695847</v>
      </c>
      <c r="AL447" s="685">
        <f t="shared" si="70"/>
        <v>3455.356977695847</v>
      </c>
      <c r="AM447" s="685">
        <f t="shared" si="70"/>
        <v>3455.356977695847</v>
      </c>
      <c r="AN447" s="685">
        <f t="shared" si="70"/>
        <v>3455.356977695847</v>
      </c>
      <c r="AO447" s="685">
        <f t="shared" si="70"/>
        <v>3455.356977695847</v>
      </c>
      <c r="AP447" s="675"/>
    </row>
    <row r="448" spans="1:42" s="658" customFormat="1" ht="13.5" hidden="1" customHeight="1" x14ac:dyDescent="0.3">
      <c r="A448" s="1217"/>
      <c r="B448" s="662"/>
      <c r="C448" s="674"/>
      <c r="D448" s="672" t="s">
        <v>981</v>
      </c>
      <c r="E448" s="673">
        <f t="shared" ref="E448:L448" si="71">SUM(E417:E431)</f>
        <v>45.914500609546025</v>
      </c>
      <c r="F448" s="673">
        <f t="shared" si="71"/>
        <v>30.286331440550917</v>
      </c>
      <c r="G448" s="673">
        <f t="shared" si="71"/>
        <v>34.190020631261895</v>
      </c>
      <c r="H448" s="673">
        <f t="shared" si="71"/>
        <v>31.40652174831078</v>
      </c>
      <c r="I448" s="673">
        <f t="shared" si="71"/>
        <v>29.727095894399671</v>
      </c>
      <c r="J448" s="673">
        <f t="shared" si="71"/>
        <v>33.96606280740442</v>
      </c>
      <c r="K448" s="673">
        <f t="shared" si="71"/>
        <v>27.565647667133607</v>
      </c>
      <c r="L448" s="673">
        <f t="shared" si="71"/>
        <v>31.412114876349506</v>
      </c>
      <c r="M448" s="673">
        <v>31.412114876349506</v>
      </c>
      <c r="N448" s="673">
        <v>31.412114876349506</v>
      </c>
      <c r="O448" s="673">
        <v>31.412114876349506</v>
      </c>
      <c r="P448" s="673">
        <v>31.412114876349506</v>
      </c>
      <c r="Q448" s="673">
        <v>31.412114876349506</v>
      </c>
      <c r="R448" s="673">
        <v>31.412114876349506</v>
      </c>
      <c r="S448" s="673">
        <v>31.412114876349506</v>
      </c>
      <c r="T448" s="673">
        <v>31.412114876349506</v>
      </c>
      <c r="U448" s="673">
        <v>31.412114876349506</v>
      </c>
      <c r="V448" s="673">
        <v>31.412114876349506</v>
      </c>
      <c r="W448" s="673">
        <v>31.412114876349506</v>
      </c>
      <c r="X448" s="673">
        <v>31.412114876349506</v>
      </c>
      <c r="Y448" s="673">
        <v>31.412114876349506</v>
      </c>
      <c r="Z448" s="673">
        <v>31.412114876349506</v>
      </c>
      <c r="AA448" s="673">
        <v>31.412114876349506</v>
      </c>
      <c r="AB448" s="673">
        <v>31.412114876349506</v>
      </c>
      <c r="AC448" s="673">
        <v>31.412114876349506</v>
      </c>
      <c r="AD448" s="673">
        <v>31.412114876349506</v>
      </c>
      <c r="AE448" s="673">
        <v>31.412114876349506</v>
      </c>
      <c r="AF448" s="673">
        <v>31.412114876349506</v>
      </c>
      <c r="AG448" s="673">
        <v>31.412114876349506</v>
      </c>
      <c r="AH448" s="673">
        <v>31.412114876349506</v>
      </c>
      <c r="AI448" s="673">
        <v>31.412114876349506</v>
      </c>
      <c r="AJ448" s="673">
        <v>31.412114876349506</v>
      </c>
      <c r="AK448" s="673">
        <v>31.412114876349506</v>
      </c>
      <c r="AL448" s="673">
        <v>31.412114876349506</v>
      </c>
      <c r="AM448" s="673">
        <v>31.412114876349506</v>
      </c>
      <c r="AN448" s="673">
        <v>31.412114876349506</v>
      </c>
      <c r="AO448" s="673">
        <v>31.412114876349506</v>
      </c>
      <c r="AP448" s="671"/>
    </row>
    <row r="449" spans="1:42" ht="14.25" customHeight="1" thickBot="1" x14ac:dyDescent="0.35">
      <c r="A449" s="973"/>
      <c r="B449" s="644"/>
      <c r="C449" s="670"/>
      <c r="D449" s="668"/>
      <c r="E449" s="669"/>
      <c r="F449" s="669"/>
      <c r="G449" s="669"/>
      <c r="H449" s="669"/>
      <c r="I449" s="669"/>
      <c r="J449" s="669"/>
      <c r="K449" s="669"/>
      <c r="L449" s="669"/>
      <c r="M449" s="668"/>
      <c r="N449" s="668"/>
      <c r="O449" s="668"/>
      <c r="P449" s="668"/>
      <c r="Q449" s="668"/>
      <c r="R449" s="668"/>
      <c r="S449" s="668"/>
      <c r="T449" s="668"/>
      <c r="U449" s="668"/>
      <c r="V449" s="668"/>
      <c r="W449" s="668"/>
      <c r="X449" s="668"/>
      <c r="Y449" s="668"/>
      <c r="Z449" s="668"/>
      <c r="AA449" s="668"/>
      <c r="AB449" s="668"/>
      <c r="AC449" s="668"/>
      <c r="AD449" s="668"/>
      <c r="AE449" s="668"/>
      <c r="AF449" s="668"/>
      <c r="AG449" s="668"/>
      <c r="AH449" s="668"/>
      <c r="AI449" s="668"/>
      <c r="AJ449" s="668"/>
      <c r="AK449" s="668"/>
      <c r="AL449" s="668"/>
      <c r="AM449" s="668"/>
      <c r="AN449" s="668"/>
      <c r="AO449" s="668"/>
      <c r="AP449" s="667"/>
    </row>
    <row r="450" spans="1:42" ht="14.25" customHeight="1" x14ac:dyDescent="0.3">
      <c r="A450" s="973"/>
      <c r="B450" s="644"/>
      <c r="C450" s="642"/>
      <c r="D450" s="642"/>
      <c r="E450" s="642"/>
      <c r="F450" s="642"/>
      <c r="G450" s="642"/>
      <c r="H450" s="642"/>
      <c r="I450" s="642"/>
      <c r="J450" s="642"/>
      <c r="K450" s="642"/>
      <c r="L450" s="642"/>
      <c r="M450" s="642"/>
      <c r="N450" s="642"/>
      <c r="O450" s="642"/>
      <c r="P450" s="642"/>
      <c r="Q450" s="642"/>
      <c r="R450" s="642"/>
      <c r="S450" s="642"/>
      <c r="T450" s="642"/>
      <c r="U450" s="642"/>
      <c r="V450" s="642"/>
      <c r="W450" s="642"/>
      <c r="X450" s="642"/>
      <c r="Y450" s="642"/>
      <c r="Z450" s="642"/>
      <c r="AA450" s="642"/>
      <c r="AB450" s="642"/>
      <c r="AC450" s="642"/>
      <c r="AD450" s="642"/>
      <c r="AE450" s="642"/>
      <c r="AF450" s="642"/>
      <c r="AG450" s="642"/>
      <c r="AH450" s="642"/>
      <c r="AI450" s="642"/>
      <c r="AJ450" s="642"/>
      <c r="AK450" s="642"/>
      <c r="AL450" s="642"/>
      <c r="AM450" s="642"/>
      <c r="AN450" s="642"/>
      <c r="AO450" s="642"/>
      <c r="AP450" s="642"/>
    </row>
    <row r="451" spans="1:42" ht="13.5" customHeight="1" thickBot="1" x14ac:dyDescent="0.35">
      <c r="A451" s="973"/>
      <c r="B451" s="644"/>
      <c r="C451" s="642"/>
      <c r="D451" s="642"/>
      <c r="E451" s="642"/>
      <c r="F451" s="642"/>
      <c r="G451" s="642"/>
      <c r="H451" s="642"/>
      <c r="I451" s="642"/>
      <c r="J451" s="642"/>
      <c r="K451" s="642"/>
      <c r="L451" s="642"/>
      <c r="M451" s="642"/>
      <c r="N451" s="642"/>
      <c r="O451" s="642"/>
      <c r="P451" s="642"/>
      <c r="Q451" s="642"/>
      <c r="R451" s="642"/>
      <c r="S451" s="642"/>
      <c r="T451" s="642"/>
      <c r="U451" s="642"/>
      <c r="V451" s="642"/>
      <c r="W451" s="642"/>
      <c r="X451" s="642"/>
      <c r="Y451" s="642"/>
      <c r="Z451" s="642"/>
      <c r="AA451" s="642"/>
      <c r="AB451" s="642"/>
      <c r="AC451" s="642"/>
      <c r="AD451" s="642"/>
      <c r="AE451" s="642"/>
      <c r="AF451" s="642"/>
      <c r="AG451" s="642"/>
      <c r="AH451" s="642"/>
      <c r="AI451" s="642"/>
      <c r="AJ451" s="642"/>
      <c r="AK451" s="642"/>
      <c r="AL451" s="642"/>
      <c r="AM451" s="642"/>
      <c r="AN451" s="642"/>
      <c r="AO451" s="642"/>
      <c r="AP451" s="642"/>
    </row>
    <row r="452" spans="1:42" ht="13.5" customHeight="1" x14ac:dyDescent="0.3">
      <c r="A452" s="973"/>
      <c r="B452" s="644"/>
      <c r="C452" s="666"/>
      <c r="D452" s="665"/>
      <c r="E452" s="665"/>
      <c r="F452" s="665"/>
      <c r="G452" s="665"/>
      <c r="H452" s="665"/>
      <c r="I452" s="665"/>
      <c r="J452" s="665"/>
      <c r="K452" s="665"/>
      <c r="L452" s="665"/>
      <c r="M452" s="665"/>
      <c r="N452" s="665"/>
      <c r="O452" s="665"/>
      <c r="P452" s="665"/>
      <c r="Q452" s="665"/>
      <c r="R452" s="665"/>
      <c r="S452" s="665"/>
      <c r="T452" s="665"/>
      <c r="U452" s="665"/>
      <c r="V452" s="665"/>
      <c r="W452" s="665"/>
      <c r="X452" s="665"/>
      <c r="Y452" s="665"/>
      <c r="Z452" s="665"/>
      <c r="AA452" s="665"/>
      <c r="AB452" s="665"/>
      <c r="AC452" s="665"/>
      <c r="AD452" s="665"/>
      <c r="AE452" s="665"/>
      <c r="AF452" s="665"/>
      <c r="AG452" s="665"/>
      <c r="AH452" s="665"/>
      <c r="AI452" s="665"/>
      <c r="AJ452" s="665"/>
      <c r="AK452" s="665"/>
      <c r="AL452" s="665"/>
      <c r="AM452" s="665"/>
      <c r="AN452" s="665"/>
      <c r="AO452" s="665"/>
      <c r="AP452" s="664"/>
    </row>
    <row r="453" spans="1:42" ht="13.5" customHeight="1" x14ac:dyDescent="0.3">
      <c r="A453" s="973"/>
      <c r="B453" s="644"/>
      <c r="C453" s="653"/>
      <c r="D453" s="655" t="s">
        <v>982</v>
      </c>
      <c r="E453" s="652"/>
      <c r="F453" s="652"/>
      <c r="G453" s="652"/>
      <c r="H453" s="652"/>
      <c r="I453" s="652"/>
      <c r="J453" s="652"/>
      <c r="K453" s="652"/>
      <c r="L453" s="652"/>
      <c r="M453" s="652"/>
      <c r="N453" s="652"/>
      <c r="O453" s="652"/>
      <c r="P453" s="652"/>
      <c r="Q453" s="652"/>
      <c r="R453" s="652"/>
      <c r="S453" s="652"/>
      <c r="T453" s="652"/>
      <c r="U453" s="652"/>
      <c r="V453" s="652"/>
      <c r="W453" s="652"/>
      <c r="X453" s="652"/>
      <c r="Y453" s="652"/>
      <c r="Z453" s="652"/>
      <c r="AA453" s="652"/>
      <c r="AB453" s="652"/>
      <c r="AC453" s="652"/>
      <c r="AD453" s="652"/>
      <c r="AE453" s="652"/>
      <c r="AF453" s="652"/>
      <c r="AG453" s="652"/>
      <c r="AH453" s="652"/>
      <c r="AI453" s="652"/>
      <c r="AJ453" s="652"/>
      <c r="AK453" s="652"/>
      <c r="AL453" s="652"/>
      <c r="AM453" s="652"/>
      <c r="AN453" s="652"/>
      <c r="AO453" s="652"/>
      <c r="AP453" s="650"/>
    </row>
    <row r="454" spans="1:42" ht="13.5" customHeight="1" x14ac:dyDescent="0.3">
      <c r="A454" s="973"/>
      <c r="B454" s="644"/>
      <c r="C454" s="653"/>
      <c r="D454" s="655"/>
      <c r="E454" s="652"/>
      <c r="F454" s="652"/>
      <c r="G454" s="652"/>
      <c r="H454" s="652"/>
      <c r="I454" s="652"/>
      <c r="J454" s="652"/>
      <c r="K454" s="652"/>
      <c r="L454" s="652"/>
      <c r="M454" s="652"/>
      <c r="N454" s="652"/>
      <c r="O454" s="652"/>
      <c r="P454" s="652"/>
      <c r="Q454" s="652"/>
      <c r="R454" s="652"/>
      <c r="S454" s="652"/>
      <c r="T454" s="652"/>
      <c r="U454" s="652"/>
      <c r="V454" s="652"/>
      <c r="W454" s="652"/>
      <c r="X454" s="652"/>
      <c r="Y454" s="652"/>
      <c r="Z454" s="652"/>
      <c r="AA454" s="652"/>
      <c r="AB454" s="652"/>
      <c r="AC454" s="652"/>
      <c r="AD454" s="652"/>
      <c r="AE454" s="652"/>
      <c r="AF454" s="652"/>
      <c r="AG454" s="652"/>
      <c r="AH454" s="652"/>
      <c r="AI454" s="652"/>
      <c r="AJ454" s="652"/>
      <c r="AK454" s="652"/>
      <c r="AL454" s="652"/>
      <c r="AM454" s="652"/>
      <c r="AN454" s="652"/>
      <c r="AO454" s="652"/>
      <c r="AP454" s="650"/>
    </row>
    <row r="455" spans="1:42" ht="13.5" customHeight="1" x14ac:dyDescent="0.3">
      <c r="A455" s="973"/>
      <c r="B455" s="644"/>
      <c r="C455" s="653"/>
      <c r="D455" s="655" t="s">
        <v>983</v>
      </c>
      <c r="E455" s="654"/>
      <c r="F455" s="654"/>
      <c r="G455" s="654"/>
      <c r="H455" s="654"/>
      <c r="I455" s="844"/>
      <c r="J455" s="844"/>
      <c r="K455" s="844"/>
      <c r="L455" s="844"/>
      <c r="M455" s="844"/>
      <c r="N455" s="652"/>
      <c r="O455" s="652"/>
      <c r="P455" s="652"/>
      <c r="Q455" s="652"/>
      <c r="R455" s="652"/>
      <c r="S455" s="652"/>
      <c r="T455" s="652"/>
      <c r="U455" s="652"/>
      <c r="V455" s="652"/>
      <c r="W455" s="652"/>
      <c r="X455" s="652"/>
      <c r="Y455" s="652"/>
      <c r="Z455" s="652"/>
      <c r="AA455" s="652"/>
      <c r="AB455" s="652"/>
      <c r="AC455" s="652"/>
      <c r="AD455" s="652"/>
      <c r="AE455" s="652"/>
      <c r="AF455" s="652"/>
      <c r="AG455" s="652"/>
      <c r="AH455" s="652"/>
      <c r="AI455" s="652"/>
      <c r="AJ455" s="652"/>
      <c r="AK455" s="652"/>
      <c r="AL455" s="652"/>
      <c r="AM455" s="652"/>
      <c r="AN455" s="652"/>
      <c r="AO455" s="652"/>
      <c r="AP455" s="650"/>
    </row>
    <row r="456" spans="1:42" ht="14.25" customHeight="1" x14ac:dyDescent="0.3">
      <c r="A456" s="1215" t="s">
        <v>984</v>
      </c>
      <c r="B456" s="644"/>
      <c r="C456" s="653"/>
      <c r="D456" s="652" t="s">
        <v>985</v>
      </c>
      <c r="E456" s="651"/>
      <c r="F456" s="651"/>
      <c r="G456" s="651"/>
      <c r="H456" s="651"/>
      <c r="I456" s="845">
        <v>2000</v>
      </c>
      <c r="J456" s="845">
        <v>2000</v>
      </c>
      <c r="K456" s="845">
        <v>2000</v>
      </c>
      <c r="L456" s="845">
        <v>2000</v>
      </c>
      <c r="M456" s="845"/>
      <c r="N456" s="724"/>
      <c r="O456" s="724"/>
      <c r="P456" s="724"/>
      <c r="Q456" s="724"/>
      <c r="R456" s="724"/>
      <c r="S456" s="724"/>
      <c r="T456" s="724"/>
      <c r="U456" s="724"/>
      <c r="V456" s="724"/>
      <c r="W456" s="724"/>
      <c r="X456" s="724"/>
      <c r="Y456" s="724"/>
      <c r="Z456" s="724"/>
      <c r="AA456" s="724"/>
      <c r="AB456" s="724"/>
      <c r="AC456" s="724"/>
      <c r="AD456" s="724"/>
      <c r="AE456" s="724"/>
      <c r="AF456" s="724"/>
      <c r="AG456" s="724"/>
      <c r="AH456" s="724"/>
      <c r="AI456" s="724"/>
      <c r="AJ456" s="724"/>
      <c r="AK456" s="724"/>
      <c r="AL456" s="724"/>
      <c r="AM456" s="724"/>
      <c r="AN456" s="724"/>
      <c r="AO456" s="724"/>
      <c r="AP456" s="650"/>
    </row>
    <row r="457" spans="1:42" ht="14.25" customHeight="1" x14ac:dyDescent="0.3">
      <c r="A457" s="1215"/>
      <c r="B457" s="644"/>
      <c r="C457" s="653"/>
      <c r="D457" s="652" t="s">
        <v>986</v>
      </c>
      <c r="E457" s="651"/>
      <c r="F457" s="651"/>
      <c r="G457" s="651"/>
      <c r="H457" s="651"/>
      <c r="I457" s="845">
        <v>900</v>
      </c>
      <c r="J457" s="845">
        <v>900</v>
      </c>
      <c r="K457" s="845">
        <v>900</v>
      </c>
      <c r="L457" s="845">
        <v>900</v>
      </c>
      <c r="M457" s="845"/>
      <c r="N457" s="724"/>
      <c r="O457" s="724"/>
      <c r="P457" s="724"/>
      <c r="Q457" s="724"/>
      <c r="R457" s="724"/>
      <c r="S457" s="724"/>
      <c r="T457" s="724"/>
      <c r="U457" s="724"/>
      <c r="V457" s="724"/>
      <c r="W457" s="724"/>
      <c r="X457" s="724"/>
      <c r="Y457" s="724"/>
      <c r="Z457" s="724"/>
      <c r="AA457" s="724"/>
      <c r="AB457" s="724"/>
      <c r="AC457" s="724"/>
      <c r="AD457" s="724"/>
      <c r="AE457" s="724"/>
      <c r="AF457" s="724"/>
      <c r="AG457" s="724"/>
      <c r="AH457" s="724"/>
      <c r="AI457" s="724"/>
      <c r="AJ457" s="724"/>
      <c r="AK457" s="724"/>
      <c r="AL457" s="724"/>
      <c r="AM457" s="724"/>
      <c r="AN457" s="724"/>
      <c r="AO457" s="724"/>
      <c r="AP457" s="650"/>
    </row>
    <row r="458" spans="1:42" ht="14.25" customHeight="1" x14ac:dyDescent="0.3">
      <c r="A458" s="1215"/>
      <c r="B458" s="644"/>
      <c r="C458" s="653"/>
      <c r="D458" s="652" t="s">
        <v>987</v>
      </c>
      <c r="E458" s="651"/>
      <c r="F458" s="651"/>
      <c r="G458" s="651"/>
      <c r="H458" s="651"/>
      <c r="I458" s="845">
        <v>100</v>
      </c>
      <c r="J458" s="845">
        <v>100</v>
      </c>
      <c r="K458" s="845">
        <v>100</v>
      </c>
      <c r="L458" s="845">
        <v>100</v>
      </c>
      <c r="M458" s="845"/>
      <c r="N458" s="724"/>
      <c r="O458" s="724"/>
      <c r="P458" s="724"/>
      <c r="Q458" s="724"/>
      <c r="R458" s="724"/>
      <c r="S458" s="724"/>
      <c r="T458" s="724"/>
      <c r="U458" s="724"/>
      <c r="V458" s="724"/>
      <c r="W458" s="724"/>
      <c r="X458" s="724"/>
      <c r="Y458" s="724"/>
      <c r="Z458" s="724"/>
      <c r="AA458" s="724"/>
      <c r="AB458" s="724"/>
      <c r="AC458" s="724"/>
      <c r="AD458" s="724"/>
      <c r="AE458" s="724"/>
      <c r="AF458" s="724"/>
      <c r="AG458" s="724"/>
      <c r="AH458" s="724"/>
      <c r="AI458" s="724"/>
      <c r="AJ458" s="724"/>
      <c r="AK458" s="724"/>
      <c r="AL458" s="724"/>
      <c r="AM458" s="724"/>
      <c r="AN458" s="724"/>
      <c r="AO458" s="724"/>
      <c r="AP458" s="650"/>
    </row>
    <row r="459" spans="1:42" ht="14.25" customHeight="1" x14ac:dyDescent="0.3">
      <c r="A459" s="972"/>
      <c r="B459" s="644"/>
      <c r="C459" s="653"/>
      <c r="D459" s="652"/>
      <c r="E459" s="651"/>
      <c r="F459" s="651"/>
      <c r="G459" s="651"/>
      <c r="H459" s="651"/>
      <c r="I459" s="846"/>
      <c r="J459" s="845"/>
      <c r="K459" s="845"/>
      <c r="L459" s="845"/>
      <c r="M459" s="845"/>
      <c r="N459" s="724"/>
      <c r="O459" s="724"/>
      <c r="P459" s="724"/>
      <c r="Q459" s="724"/>
      <c r="R459" s="724"/>
      <c r="S459" s="724"/>
      <c r="T459" s="724"/>
      <c r="U459" s="724"/>
      <c r="V459" s="724"/>
      <c r="W459" s="724"/>
      <c r="X459" s="724"/>
      <c r="Y459" s="724"/>
      <c r="Z459" s="724"/>
      <c r="AA459" s="724"/>
      <c r="AB459" s="724"/>
      <c r="AC459" s="724"/>
      <c r="AD459" s="724"/>
      <c r="AE459" s="724"/>
      <c r="AF459" s="724"/>
      <c r="AG459" s="724"/>
      <c r="AH459" s="724"/>
      <c r="AI459" s="724"/>
      <c r="AJ459" s="724"/>
      <c r="AK459" s="724"/>
      <c r="AL459" s="724"/>
      <c r="AM459" s="724"/>
      <c r="AN459" s="724"/>
      <c r="AO459" s="724"/>
      <c r="AP459" s="650"/>
    </row>
    <row r="460" spans="1:42" ht="14.25" hidden="1" customHeight="1" x14ac:dyDescent="0.3">
      <c r="A460" s="972"/>
      <c r="B460" s="644"/>
      <c r="C460" s="653"/>
      <c r="D460" s="655" t="s">
        <v>988</v>
      </c>
      <c r="E460" s="651"/>
      <c r="F460" s="651"/>
      <c r="G460" s="651"/>
      <c r="H460" s="651"/>
      <c r="I460" s="846"/>
      <c r="J460" s="845"/>
      <c r="K460" s="845"/>
      <c r="L460" s="845"/>
      <c r="M460" s="845"/>
      <c r="N460" s="724"/>
      <c r="O460" s="724"/>
      <c r="P460" s="724"/>
      <c r="Q460" s="724"/>
      <c r="R460" s="724"/>
      <c r="S460" s="724"/>
      <c r="T460" s="724"/>
      <c r="U460" s="724"/>
      <c r="V460" s="724"/>
      <c r="W460" s="724"/>
      <c r="X460" s="724"/>
      <c r="Y460" s="724"/>
      <c r="Z460" s="724"/>
      <c r="AA460" s="724"/>
      <c r="AB460" s="724"/>
      <c r="AC460" s="724"/>
      <c r="AD460" s="724"/>
      <c r="AE460" s="724"/>
      <c r="AF460" s="724"/>
      <c r="AG460" s="724"/>
      <c r="AH460" s="724"/>
      <c r="AI460" s="724"/>
      <c r="AJ460" s="724"/>
      <c r="AK460" s="724"/>
      <c r="AL460" s="724"/>
      <c r="AM460" s="724"/>
      <c r="AN460" s="724"/>
      <c r="AO460" s="724"/>
      <c r="AP460" s="650"/>
    </row>
    <row r="461" spans="1:42" ht="14.25" hidden="1" customHeight="1" x14ac:dyDescent="0.3">
      <c r="A461" s="1215"/>
      <c r="B461" s="644"/>
      <c r="C461" s="653"/>
      <c r="D461" s="652" t="s">
        <v>989</v>
      </c>
      <c r="E461" s="651"/>
      <c r="F461" s="651"/>
      <c r="G461" s="651"/>
      <c r="H461" s="651"/>
      <c r="I461" s="846"/>
      <c r="J461" s="845">
        <f>0.393*('Calibración-BAU_Agricultura '!P317-'Calibración-BAU_Agricultura '!O317)</f>
        <v>98033.063999999998</v>
      </c>
      <c r="K461" s="845">
        <f>0.393*('Calibración-BAU_Agricultura '!Q317-'Calibración-BAU_Agricultura '!P317)</f>
        <v>11664.24</v>
      </c>
      <c r="L461" s="845">
        <v>0</v>
      </c>
      <c r="M461" s="845">
        <f>0.393*('Calibración-BAU_Agricultura '!S317-'Calibración-BAU_Agricultura '!R317)</f>
        <v>21486.406489862817</v>
      </c>
      <c r="N461" s="724">
        <f>0.393*('Calibración-BAU_Agricultura '!T317-'Calibración-BAU_Agricultura '!S317)</f>
        <v>21303.177553592508</v>
      </c>
      <c r="O461" s="724">
        <f>0.393*('Calibración-BAU_Agricultura '!U317-'Calibración-BAU_Agricultura '!T317)</f>
        <v>21107.253148027557</v>
      </c>
      <c r="P461" s="724">
        <f>0.393*('Calibración-BAU_Agricultura '!V317-'Calibración-BAU_Agricultura '!U317)</f>
        <v>20907.367035732957</v>
      </c>
      <c r="Q461" s="724">
        <f>0.393*('Calibración-BAU_Agricultura '!W317-'Calibración-BAU_Agricultura '!V317)</f>
        <v>20684.070838214087</v>
      </c>
      <c r="R461" s="724">
        <f>0.393*('Calibración-BAU_Agricultura '!X317-'Calibración-BAU_Agricultura '!W317)</f>
        <v>20452.94126602446</v>
      </c>
      <c r="S461" s="724">
        <f>0.393*('Calibración-BAU_Agricultura '!Y317-'Calibración-BAU_Agricultura '!X317)</f>
        <v>20207.135371174998</v>
      </c>
      <c r="T461" s="724">
        <f>0.393*('Calibración-BAU_Agricultura '!Z317-'Calibración-BAU_Agricultura '!Y317)</f>
        <v>19958.448235067943</v>
      </c>
      <c r="U461" s="724">
        <f>0.393*('Calibración-BAU_Agricultura '!AA317-'Calibración-BAU_Agricultura '!Z317)</f>
        <v>19687.341440419212</v>
      </c>
      <c r="V461" s="724">
        <f>0.393*('Calibración-BAU_Agricultura '!AB317-'Calibración-BAU_Agricultura '!AA317)</f>
        <v>19405.700107419954</v>
      </c>
      <c r="W461" s="724">
        <f>0.393*('Calibración-BAU_Agricultura '!AC317-'Calibración-BAU_Agricultura '!AB317)</f>
        <v>19110.462917232915</v>
      </c>
      <c r="X461" s="724">
        <f>0.393*('Calibración-BAU_Agricultura '!AD317-'Calibración-BAU_Agricultura '!AC317)</f>
        <v>18799.46893891436</v>
      </c>
      <c r="Y461" s="724">
        <f>0.393*('Calibración-BAU_Agricultura '!AE317-'Calibración-BAU_Agricultura '!AD317)</f>
        <v>18480.731624714688</v>
      </c>
      <c r="Z461" s="724">
        <f>0.393*('Calibración-BAU_Agricultura '!AF317-'Calibración-BAU_Agricultura '!AE317)</f>
        <v>18148.488492116521</v>
      </c>
      <c r="AA461" s="724">
        <f>0.393*('Calibración-BAU_Agricultura '!AG317-'Calibración-BAU_Agricultura '!AF317)</f>
        <v>17808.321946057953</v>
      </c>
      <c r="AB461" s="724">
        <f>0.393*('Calibración-BAU_Agricultura '!AH317-'Calibración-BAU_Agricultura '!AG317)</f>
        <v>17452.93884460389</v>
      </c>
      <c r="AC461" s="724">
        <f>0.393*('Calibración-BAU_Agricultura '!AI317-'Calibración-BAU_Agricultura '!AH317)</f>
        <v>17091.523144265346</v>
      </c>
      <c r="AD461" s="724">
        <f>0.393*('Calibración-BAU_Agricultura '!AJ317-'Calibración-BAU_Agricultura '!AI317)</f>
        <v>16718.85259526132</v>
      </c>
      <c r="AE461" s="724">
        <f>0.393*('Calibración-BAU_Agricultura '!AK317-'Calibración-BAU_Agricultura '!AJ317)</f>
        <v>16338.348671586176</v>
      </c>
      <c r="AF461" s="724">
        <f>0.393*('Calibración-BAU_Agricultura '!AL317-'Calibración-BAU_Agricultura '!AK317)</f>
        <v>15955.773855756928</v>
      </c>
      <c r="AG461" s="724">
        <f>0.393*('Calibración-BAU_Agricultura '!AM317-'Calibración-BAU_Agricultura '!AL317)</f>
        <v>15567.706673778859</v>
      </c>
      <c r="AH461" s="724">
        <f>0.393*('Calibración-BAU_Agricultura '!AN317-'Calibración-BAU_Agricultura '!AM317)</f>
        <v>15170.005341343394</v>
      </c>
      <c r="AI461" s="724">
        <f>0.393*('Calibración-BAU_Agricultura '!AO317-'Calibración-BAU_Agricultura '!AN317)</f>
        <v>14770.323155543107</v>
      </c>
      <c r="AJ461" s="724">
        <f>0.393*('Calibración-BAU_Agricultura '!AP317-'Calibración-BAU_Agricultura '!AO317)</f>
        <v>14361.006819285058</v>
      </c>
      <c r="AK461" s="724">
        <f>0.393*('Calibración-BAU_Agricultura '!AQ317-'Calibración-BAU_Agricultura '!AP317)</f>
        <v>13949.2594357158</v>
      </c>
      <c r="AL461" s="724">
        <f>0.393*('Calibración-BAU_Agricultura '!AR317-'Calibración-BAU_Agricultura '!AQ317)</f>
        <v>13539.763021879198</v>
      </c>
      <c r="AM461" s="724">
        <f>0.393*('Calibración-BAU_Agricultura '!AS317-'Calibración-BAU_Agricultura '!AR317)</f>
        <v>13118.651604219645</v>
      </c>
      <c r="AN461" s="724">
        <f>0.393*('Calibración-BAU_Agricultura '!AT317-'Calibración-BAU_Agricultura '!AS317)</f>
        <v>12701.051699344091</v>
      </c>
      <c r="AO461" s="724">
        <f>0.393*('Calibración-BAU_Agricultura '!AU317-'Calibración-BAU_Agricultura '!AT317)</f>
        <v>12287.863695145303</v>
      </c>
      <c r="AP461" s="650"/>
    </row>
    <row r="462" spans="1:42" ht="14.25" hidden="1" customHeight="1" x14ac:dyDescent="0.3">
      <c r="A462" s="1215"/>
      <c r="B462" s="644"/>
      <c r="C462" s="653"/>
      <c r="D462" s="652" t="s">
        <v>990</v>
      </c>
      <c r="E462" s="651"/>
      <c r="F462" s="651"/>
      <c r="G462" s="651"/>
      <c r="H462" s="651"/>
      <c r="I462" s="846"/>
      <c r="J462" s="845">
        <f>0.248*('Calibración-BAU_Agricultura '!P317-'Calibración-BAU_Agricultura '!O317)</f>
        <v>61863.103999999999</v>
      </c>
      <c r="K462" s="845">
        <f>0.248*('Calibración-BAU_Agricultura '!Q317-'Calibración-BAU_Agricultura '!P317)</f>
        <v>7360.64</v>
      </c>
      <c r="L462" s="845">
        <v>0</v>
      </c>
      <c r="M462" s="845">
        <f>0.248*('Calibración-BAU_Agricultura '!S317-'Calibración-BAU_Agricultura '!R317)</f>
        <v>13558.851932534297</v>
      </c>
      <c r="N462" s="724">
        <f>0.248*('Calibración-BAU_Agricultura '!T317-'Calibración-BAU_Agricultura '!S317)</f>
        <v>13443.226547814102</v>
      </c>
      <c r="O462" s="724">
        <f>0.248*('Calibración-BAU_Agricultura '!U317-'Calibración-BAU_Agricultura '!T317)</f>
        <v>13319.589772801104</v>
      </c>
      <c r="P462" s="724">
        <f>0.248*('Calibración-BAU_Agricultura '!V317-'Calibración-BAU_Agricultura '!U317)</f>
        <v>13193.452989470161</v>
      </c>
      <c r="Q462" s="724">
        <f>0.248*('Calibración-BAU_Agricultura '!W317-'Calibración-BAU_Agricultura '!V317)</f>
        <v>13052.543429712705</v>
      </c>
      <c r="R462" s="724">
        <f>0.248*('Calibración-BAU_Agricultura '!X317-'Calibración-BAU_Agricultura '!W317)</f>
        <v>12906.690671689734</v>
      </c>
      <c r="S462" s="724">
        <f>0.248*('Calibración-BAU_Agricultura '!Y317-'Calibración-BAU_Agricultura '!X317)</f>
        <v>12751.576519214757</v>
      </c>
      <c r="T462" s="724">
        <f>0.248*('Calibración-BAU_Agricultura '!Z317-'Calibración-BAU_Agricultura '!Y317)</f>
        <v>12594.644178872391</v>
      </c>
      <c r="U462" s="724">
        <f>0.248*('Calibración-BAU_Agricultura '!AA317-'Calibración-BAU_Agricultura '!Z317)</f>
        <v>12423.564064183116</v>
      </c>
      <c r="V462" s="724">
        <f>0.248*('Calibración-BAU_Agricultura '!AB317-'Calibración-BAU_Agricultura '!AA317)</f>
        <v>12245.836200102158</v>
      </c>
      <c r="W462" s="724">
        <f>0.248*('Calibración-BAU_Agricultura '!AC317-'Calibración-BAU_Agricultura '!AB317)</f>
        <v>12059.528762019754</v>
      </c>
      <c r="X462" s="724">
        <f>0.248*('Calibración-BAU_Agricultura '!AD317-'Calibración-BAU_Agricultura '!AC317)</f>
        <v>11863.278109035014</v>
      </c>
      <c r="Y462" s="724">
        <f>0.248*('Calibración-BAU_Agricultura '!AE317-'Calibración-BAU_Agricultura '!AD317)</f>
        <v>11662.141076155835</v>
      </c>
      <c r="Z462" s="724">
        <f>0.248*('Calibración-BAU_Agricultura '!AF317-'Calibración-BAU_Agricultura '!AE317)</f>
        <v>11452.481287646047</v>
      </c>
      <c r="AA462" s="724">
        <f>0.248*('Calibración-BAU_Agricultura '!AG317-'Calibración-BAU_Agricultura '!AF317)</f>
        <v>11237.821482499674</v>
      </c>
      <c r="AB462" s="724">
        <f>0.248*('Calibración-BAU_Agricultura '!AH317-'Calibración-BAU_Agricultura '!AG317)</f>
        <v>11013.559372676245</v>
      </c>
      <c r="AC462" s="724">
        <f>0.248*('Calibración-BAU_Agricultura '!AI317-'Calibración-BAU_Agricultura '!AH317)</f>
        <v>10785.490432004593</v>
      </c>
      <c r="AD462" s="724">
        <f>0.248*('Calibración-BAU_Agricultura '!AJ317-'Calibración-BAU_Agricultura '!AI317)</f>
        <v>10550.319194974065</v>
      </c>
      <c r="AE462" s="724">
        <f>0.248*('Calibración-BAU_Agricultura '!AK317-'Calibración-BAU_Agricultura '!AJ317)</f>
        <v>10310.20475967779</v>
      </c>
      <c r="AF462" s="724">
        <f>0.248*('Calibración-BAU_Agricultura '!AL317-'Calibración-BAU_Agricultura '!AK317)</f>
        <v>10068.7835018517</v>
      </c>
      <c r="AG462" s="724">
        <f>0.248*('Calibración-BAU_Agricultura '!AM317-'Calibración-BAU_Agricultura '!AL317)</f>
        <v>9823.8963234024341</v>
      </c>
      <c r="AH462" s="724">
        <f>0.248*('Calibración-BAU_Agricultura '!AN317-'Calibración-BAU_Agricultura '!AM317)</f>
        <v>9572.9295792701323</v>
      </c>
      <c r="AI462" s="724">
        <f>0.248*('Calibración-BAU_Agricultura '!AO317-'Calibración-BAU_Agricultura '!AN317)</f>
        <v>9320.712830978855</v>
      </c>
      <c r="AJ462" s="724">
        <f>0.248*('Calibración-BAU_Agricultura '!AP317-'Calibración-BAU_Agricultura '!AO317)</f>
        <v>9062.4165170043107</v>
      </c>
      <c r="AK462" s="724">
        <f>0.248*('Calibración-BAU_Agricultura '!AQ317-'Calibración-BAU_Agricultura '!AP317)</f>
        <v>8802.5861070165865</v>
      </c>
      <c r="AL462" s="724">
        <f>0.248*('Calibración-BAU_Agricultura '!AR317-'Calibración-BAU_Agricultura '!AQ317)</f>
        <v>8544.1761563003583</v>
      </c>
      <c r="AM462" s="724">
        <f>0.248*('Calibración-BAU_Agricultura '!AS317-'Calibración-BAU_Agricultura '!AR317)</f>
        <v>8278.4366357416584</v>
      </c>
      <c r="AN462" s="724">
        <f>0.248*('Calibración-BAU_Agricultura '!AT317-'Calibración-BAU_Agricultura '!AS317)</f>
        <v>8014.913031647161</v>
      </c>
      <c r="AO462" s="724">
        <f>0.248*('Calibración-BAU_Agricultura '!AU317-'Calibración-BAU_Agricultura '!AT317)</f>
        <v>7754.1735277252792</v>
      </c>
      <c r="AP462" s="650"/>
    </row>
    <row r="463" spans="1:42" ht="14.25" hidden="1" customHeight="1" x14ac:dyDescent="0.3">
      <c r="A463" s="1215"/>
      <c r="B463" s="644"/>
      <c r="C463" s="653"/>
      <c r="D463" s="652" t="s">
        <v>991</v>
      </c>
      <c r="E463" s="651"/>
      <c r="F463" s="651"/>
      <c r="G463" s="651"/>
      <c r="H463" s="651"/>
      <c r="I463" s="846"/>
      <c r="J463" s="845">
        <f>0.359*('Calibración-BAU_Agricultura '!P317-'Calibración-BAU_Agricultura '!O317)</f>
        <v>89551.831999999995</v>
      </c>
      <c r="K463" s="845">
        <f>0.359*('Calibración-BAU_Agricultura '!Q317-'Calibración-BAU_Agricultura '!P317)</f>
        <v>10655.119999999999</v>
      </c>
      <c r="L463" s="845">
        <v>0</v>
      </c>
      <c r="M463" s="845">
        <f>0.359*('Calibración-BAU_Agricultura '!S317-'Calibración-BAU_Agricultura '!R317)</f>
        <v>19627.531628144403</v>
      </c>
      <c r="N463" s="724">
        <f>0.359*('Calibración-BAU_Agricultura '!T317-'Calibración-BAU_Agricultura '!S317)</f>
        <v>19460.15455913412</v>
      </c>
      <c r="O463" s="724">
        <f>0.359*('Calibración-BAU_Agricultura '!U317-'Calibración-BAU_Agricultura '!T317)</f>
        <v>19281.180356595149</v>
      </c>
      <c r="P463" s="724">
        <f>0.359*('Calibración-BAU_Agricultura '!V317-'Calibración-BAU_Agricultura '!U317)</f>
        <v>19098.58719040237</v>
      </c>
      <c r="Q463" s="724">
        <f>0.359*('Calibración-BAU_Agricultura '!W317-'Calibración-BAU_Agricultura '!V317)</f>
        <v>18894.609238979279</v>
      </c>
      <c r="R463" s="724">
        <f>0.359*('Calibración-BAU_Agricultura '!X317-'Calibración-BAU_Agricultura '!W317)</f>
        <v>18683.475609421832</v>
      </c>
      <c r="S463" s="724">
        <f>0.359*('Calibración-BAU_Agricultura '!Y317-'Calibración-BAU_Agricultura '!X317)</f>
        <v>18458.935364508459</v>
      </c>
      <c r="T463" s="724">
        <f>0.359*('Calibración-BAU_Agricultura '!Z317-'Calibración-BAU_Agricultura '!Y317)</f>
        <v>18231.763146028985</v>
      </c>
      <c r="U463" s="724">
        <f>0.359*('Calibración-BAU_Agricultura '!AA317-'Calibración-BAU_Agricultura '!Z317)</f>
        <v>17984.110883232817</v>
      </c>
      <c r="V463" s="724">
        <f>0.359*('Calibración-BAU_Agricultura '!AB317-'Calibración-BAU_Agricultura '!AA317)</f>
        <v>17726.835467083365</v>
      </c>
      <c r="W463" s="724">
        <f>0.359*('Calibración-BAU_Agricultura '!AC317-'Calibración-BAU_Agricultura '!AB317)</f>
        <v>17457.14042566569</v>
      </c>
      <c r="X463" s="724">
        <f>0.359*('Calibración-BAU_Agricultura '!AD317-'Calibración-BAU_Agricultura '!AC317)</f>
        <v>17173.051778804718</v>
      </c>
      <c r="Y463" s="724">
        <f>0.359*('Calibración-BAU_Agricultura '!AE317-'Calibración-BAU_Agricultura '!AD317)</f>
        <v>16881.889702983644</v>
      </c>
      <c r="Z463" s="724">
        <f>0.359*('Calibración-BAU_Agricultura '!AF317-'Calibración-BAU_Agricultura '!AE317)</f>
        <v>16578.390251068271</v>
      </c>
      <c r="AA463" s="724">
        <f>0.359*('Calibración-BAU_Agricultura '!AG317-'Calibración-BAU_Agricultura '!AF317)</f>
        <v>16267.652871844286</v>
      </c>
      <c r="AB463" s="724">
        <f>0.359*('Calibración-BAU_Agricultura '!AH317-'Calibración-BAU_Agricultura '!AG317)</f>
        <v>15943.015382220856</v>
      </c>
      <c r="AC463" s="724">
        <f>0.359*('Calibración-BAU_Agricultura '!AI317-'Calibración-BAU_Agricultura '!AH317)</f>
        <v>15612.867197942132</v>
      </c>
      <c r="AD463" s="724">
        <f>0.359*('Calibración-BAU_Agricultura '!AJ317-'Calibración-BAU_Agricultura '!AI317)</f>
        <v>15272.437866918101</v>
      </c>
      <c r="AE463" s="724">
        <f>0.359*('Calibración-BAU_Agricultura '!AK317-'Calibración-BAU_Agricultura '!AJ317)</f>
        <v>14924.852857759381</v>
      </c>
      <c r="AF463" s="724">
        <f>0.359*('Calibración-BAU_Agricultura '!AL317-'Calibración-BAU_Agricultura '!AK317)</f>
        <v>14575.376117599839</v>
      </c>
      <c r="AG463" s="724">
        <f>0.359*('Calibración-BAU_Agricultura '!AM317-'Calibración-BAU_Agricultura '!AL317)</f>
        <v>14220.882177828524</v>
      </c>
      <c r="AH463" s="724">
        <f>0.359*('Calibración-BAU_Agricultura '!AN317-'Calibración-BAU_Agricultura '!AM317)</f>
        <v>13857.587576443457</v>
      </c>
      <c r="AI463" s="724">
        <f>0.359*('Calibración-BAU_Agricultura '!AO317-'Calibración-BAU_Agricultura '!AN317)</f>
        <v>13492.483493231488</v>
      </c>
      <c r="AJ463" s="724">
        <f>0.359*('Calibración-BAU_Agricultura '!AP317-'Calibración-BAU_Agricultura '!AO317)</f>
        <v>13118.578748405434</v>
      </c>
      <c r="AK463" s="724">
        <f>0.359*('Calibración-BAU_Agricultura '!AQ317-'Calibración-BAU_Agricultura '!AP317)</f>
        <v>12742.453275882879</v>
      </c>
      <c r="AL463" s="724">
        <f>0.359*('Calibración-BAU_Agricultura '!AR317-'Calibración-BAU_Agricultura '!AQ317)</f>
        <v>12368.384032708986</v>
      </c>
      <c r="AM463" s="724">
        <f>0.359*('Calibración-BAU_Agricultura '!AS317-'Calibración-BAU_Agricultura '!AR317)</f>
        <v>11983.704646093771</v>
      </c>
      <c r="AN463" s="724">
        <f>0.359*('Calibración-BAU_Agricultura '!AT317-'Calibración-BAU_Agricultura '!AS317)</f>
        <v>11602.232977263429</v>
      </c>
      <c r="AO463" s="724">
        <f>0.359*('Calibración-BAU_Agricultura '!AU317-'Calibración-BAU_Agricultura '!AT317)</f>
        <v>11224.791517957157</v>
      </c>
      <c r="AP463" s="650"/>
    </row>
    <row r="464" spans="1:42" ht="14.25" hidden="1" customHeight="1" x14ac:dyDescent="0.3">
      <c r="A464" s="972"/>
      <c r="B464" s="644"/>
      <c r="C464" s="653"/>
      <c r="D464" s="652"/>
      <c r="E464" s="651"/>
      <c r="F464" s="651"/>
      <c r="G464" s="651"/>
      <c r="H464" s="651"/>
      <c r="I464" s="846"/>
      <c r="J464" s="845"/>
      <c r="K464" s="845"/>
      <c r="L464" s="845"/>
      <c r="M464" s="845"/>
      <c r="N464" s="724"/>
      <c r="O464" s="724"/>
      <c r="P464" s="724"/>
      <c r="Q464" s="724"/>
      <c r="R464" s="724"/>
      <c r="S464" s="724"/>
      <c r="T464" s="724"/>
      <c r="U464" s="724"/>
      <c r="V464" s="724"/>
      <c r="W464" s="724"/>
      <c r="X464" s="724"/>
      <c r="Y464" s="724"/>
      <c r="Z464" s="724"/>
      <c r="AA464" s="724"/>
      <c r="AB464" s="724"/>
      <c r="AC464" s="724"/>
      <c r="AD464" s="724"/>
      <c r="AE464" s="724"/>
      <c r="AF464" s="724"/>
      <c r="AG464" s="724"/>
      <c r="AH464" s="724"/>
      <c r="AI464" s="724"/>
      <c r="AJ464" s="724"/>
      <c r="AK464" s="724"/>
      <c r="AL464" s="724"/>
      <c r="AM464" s="724"/>
      <c r="AN464" s="724"/>
      <c r="AO464" s="724"/>
      <c r="AP464" s="650"/>
    </row>
    <row r="465" spans="1:42" ht="13.5" customHeight="1" x14ac:dyDescent="0.3">
      <c r="A465" s="973"/>
      <c r="B465" s="644"/>
      <c r="C465" s="653"/>
      <c r="D465" s="655" t="s">
        <v>992</v>
      </c>
      <c r="E465" s="652"/>
      <c r="F465" s="652"/>
      <c r="G465" s="652"/>
      <c r="H465" s="652"/>
      <c r="I465" s="844"/>
      <c r="J465" s="844"/>
      <c r="K465" s="844"/>
      <c r="L465" s="844"/>
      <c r="M465" s="844"/>
      <c r="N465" s="652"/>
      <c r="O465" s="652"/>
      <c r="P465" s="652"/>
      <c r="Q465" s="652"/>
      <c r="R465" s="652"/>
      <c r="S465" s="652"/>
      <c r="T465" s="652"/>
      <c r="U465" s="652"/>
      <c r="V465" s="652"/>
      <c r="W465" s="652"/>
      <c r="X465" s="652"/>
      <c r="Y465" s="652"/>
      <c r="Z465" s="652"/>
      <c r="AA465" s="652"/>
      <c r="AB465" s="652"/>
      <c r="AC465" s="652"/>
      <c r="AD465" s="652"/>
      <c r="AE465" s="652"/>
      <c r="AF465" s="652"/>
      <c r="AG465" s="652"/>
      <c r="AH465" s="652"/>
      <c r="AI465" s="652"/>
      <c r="AJ465" s="652"/>
      <c r="AK465" s="652"/>
      <c r="AL465" s="652"/>
      <c r="AM465" s="652"/>
      <c r="AN465" s="652"/>
      <c r="AO465" s="652"/>
      <c r="AP465" s="650"/>
    </row>
    <row r="466" spans="1:42" ht="13.5" customHeight="1" x14ac:dyDescent="0.3">
      <c r="A466" s="973"/>
      <c r="B466" s="644"/>
      <c r="C466" s="653"/>
      <c r="D466" s="655"/>
      <c r="E466" s="652"/>
      <c r="F466" s="652"/>
      <c r="G466" s="652"/>
      <c r="H466" s="652"/>
      <c r="I466" s="844"/>
      <c r="J466" s="844"/>
      <c r="K466" s="844"/>
      <c r="L466" s="844"/>
      <c r="M466" s="844"/>
      <c r="N466" s="652"/>
      <c r="O466" s="652"/>
      <c r="P466" s="652"/>
      <c r="Q466" s="652"/>
      <c r="R466" s="652"/>
      <c r="S466" s="652"/>
      <c r="T466" s="652"/>
      <c r="U466" s="652"/>
      <c r="V466" s="652"/>
      <c r="W466" s="652"/>
      <c r="X466" s="652"/>
      <c r="Y466" s="652"/>
      <c r="Z466" s="652"/>
      <c r="AA466" s="652"/>
      <c r="AB466" s="652"/>
      <c r="AC466" s="652"/>
      <c r="AD466" s="652"/>
      <c r="AE466" s="652"/>
      <c r="AF466" s="652"/>
      <c r="AG466" s="652"/>
      <c r="AH466" s="652"/>
      <c r="AI466" s="652"/>
      <c r="AJ466" s="652"/>
      <c r="AK466" s="652"/>
      <c r="AL466" s="652"/>
      <c r="AM466" s="652"/>
      <c r="AN466" s="652"/>
      <c r="AO466" s="652"/>
      <c r="AP466" s="650"/>
    </row>
    <row r="467" spans="1:42" ht="13.5" customHeight="1" x14ac:dyDescent="0.3">
      <c r="A467" s="973"/>
      <c r="B467" s="644"/>
      <c r="C467" s="653"/>
      <c r="D467" s="655" t="s">
        <v>993</v>
      </c>
      <c r="E467" s="652"/>
      <c r="F467" s="652"/>
      <c r="G467" s="652"/>
      <c r="H467" s="652"/>
      <c r="I467" s="844"/>
      <c r="J467" s="844"/>
      <c r="K467" s="844"/>
      <c r="L467" s="844"/>
      <c r="M467" s="844"/>
      <c r="N467" s="652"/>
      <c r="O467" s="652"/>
      <c r="P467" s="652"/>
      <c r="Q467" s="652"/>
      <c r="R467" s="652"/>
      <c r="S467" s="652"/>
      <c r="T467" s="652"/>
      <c r="U467" s="652"/>
      <c r="V467" s="652"/>
      <c r="W467" s="652"/>
      <c r="X467" s="652"/>
      <c r="Y467" s="652"/>
      <c r="Z467" s="652"/>
      <c r="AA467" s="652"/>
      <c r="AB467" s="652"/>
      <c r="AC467" s="652"/>
      <c r="AD467" s="652"/>
      <c r="AE467" s="652"/>
      <c r="AF467" s="652"/>
      <c r="AG467" s="652"/>
      <c r="AH467" s="652"/>
      <c r="AI467" s="652"/>
      <c r="AJ467" s="652"/>
      <c r="AK467" s="652"/>
      <c r="AL467" s="652"/>
      <c r="AM467" s="652"/>
      <c r="AN467" s="652"/>
      <c r="AO467" s="652"/>
      <c r="AP467" s="650"/>
    </row>
    <row r="468" spans="1:42" ht="13.5" hidden="1" customHeight="1" x14ac:dyDescent="0.3">
      <c r="A468" s="1215" t="s">
        <v>984</v>
      </c>
      <c r="B468" s="644"/>
      <c r="C468" s="653"/>
      <c r="D468" s="652" t="s">
        <v>994</v>
      </c>
      <c r="E468" s="652"/>
      <c r="F468" s="652"/>
      <c r="G468" s="652"/>
      <c r="H468" s="652"/>
      <c r="I468" s="844"/>
      <c r="J468" s="847">
        <v>65</v>
      </c>
      <c r="K468" s="844"/>
      <c r="L468" s="844"/>
      <c r="M468" s="844"/>
      <c r="N468" s="652"/>
      <c r="O468" s="652"/>
      <c r="P468" s="652"/>
      <c r="Q468" s="652"/>
      <c r="R468" s="652"/>
      <c r="S468" s="652"/>
      <c r="T468" s="652"/>
      <c r="U468" s="652"/>
      <c r="V468" s="652"/>
      <c r="W468" s="652"/>
      <c r="X468" s="652"/>
      <c r="Y468" s="652"/>
      <c r="Z468" s="652"/>
      <c r="AA468" s="652"/>
      <c r="AB468" s="652"/>
      <c r="AC468" s="652"/>
      <c r="AD468" s="652"/>
      <c r="AE468" s="652"/>
      <c r="AF468" s="652"/>
      <c r="AG468" s="652"/>
      <c r="AH468" s="652"/>
      <c r="AI468" s="652"/>
      <c r="AJ468" s="652"/>
      <c r="AK468" s="652"/>
      <c r="AL468" s="652"/>
      <c r="AM468" s="652"/>
      <c r="AN468" s="652"/>
      <c r="AO468" s="652"/>
      <c r="AP468" s="650"/>
    </row>
    <row r="469" spans="1:42" ht="13.5" hidden="1" customHeight="1" x14ac:dyDescent="0.3">
      <c r="A469" s="1215"/>
      <c r="B469" s="644"/>
      <c r="C469" s="653"/>
      <c r="D469" s="652" t="s">
        <v>995</v>
      </c>
      <c r="E469" s="652"/>
      <c r="F469" s="652"/>
      <c r="G469" s="652"/>
      <c r="H469" s="652"/>
      <c r="I469" s="844"/>
      <c r="J469" s="847">
        <v>85</v>
      </c>
      <c r="K469" s="844"/>
      <c r="L469" s="844"/>
      <c r="M469" s="844"/>
      <c r="N469" s="652"/>
      <c r="O469" s="652"/>
      <c r="P469" s="652"/>
      <c r="Q469" s="652"/>
      <c r="R469" s="652"/>
      <c r="S469" s="652"/>
      <c r="T469" s="652"/>
      <c r="U469" s="652"/>
      <c r="V469" s="652"/>
      <c r="W469" s="652"/>
      <c r="X469" s="652"/>
      <c r="Y469" s="652"/>
      <c r="Z469" s="652"/>
      <c r="AA469" s="652"/>
      <c r="AB469" s="652"/>
      <c r="AC469" s="652"/>
      <c r="AD469" s="652"/>
      <c r="AE469" s="652"/>
      <c r="AF469" s="652"/>
      <c r="AG469" s="652"/>
      <c r="AH469" s="652"/>
      <c r="AI469" s="652"/>
      <c r="AJ469" s="652"/>
      <c r="AK469" s="652"/>
      <c r="AL469" s="652"/>
      <c r="AM469" s="652"/>
      <c r="AN469" s="652"/>
      <c r="AO469" s="652"/>
      <c r="AP469" s="650"/>
    </row>
    <row r="470" spans="1:42" ht="13.5" hidden="1" customHeight="1" x14ac:dyDescent="0.3">
      <c r="A470" s="1215"/>
      <c r="B470" s="644"/>
      <c r="C470" s="653"/>
      <c r="D470" s="652" t="s">
        <v>996</v>
      </c>
      <c r="E470" s="652"/>
      <c r="F470" s="652"/>
      <c r="G470" s="652"/>
      <c r="H470" s="652"/>
      <c r="I470" s="844"/>
      <c r="J470" s="847">
        <v>32</v>
      </c>
      <c r="K470" s="844"/>
      <c r="L470" s="844"/>
      <c r="M470" s="844"/>
      <c r="N470" s="652"/>
      <c r="O470" s="652"/>
      <c r="P470" s="652"/>
      <c r="Q470" s="652"/>
      <c r="R470" s="652"/>
      <c r="S470" s="652"/>
      <c r="T470" s="652"/>
      <c r="U470" s="652"/>
      <c r="V470" s="652"/>
      <c r="W470" s="652"/>
      <c r="X470" s="652"/>
      <c r="Y470" s="652"/>
      <c r="Z470" s="652"/>
      <c r="AA470" s="652"/>
      <c r="AB470" s="652"/>
      <c r="AC470" s="652"/>
      <c r="AD470" s="652"/>
      <c r="AE470" s="652"/>
      <c r="AF470" s="652"/>
      <c r="AG470" s="652"/>
      <c r="AH470" s="652"/>
      <c r="AI470" s="652"/>
      <c r="AJ470" s="652"/>
      <c r="AK470" s="652"/>
      <c r="AL470" s="652"/>
      <c r="AM470" s="652"/>
      <c r="AN470" s="652"/>
      <c r="AO470" s="652"/>
      <c r="AP470" s="650"/>
    </row>
    <row r="471" spans="1:42" ht="13.5" customHeight="1" x14ac:dyDescent="0.3">
      <c r="A471" s="1215"/>
      <c r="B471" s="644"/>
      <c r="C471" s="653"/>
      <c r="D471" s="652" t="s">
        <v>985</v>
      </c>
      <c r="E471" s="652"/>
      <c r="F471" s="652"/>
      <c r="G471" s="652"/>
      <c r="H471" s="652"/>
      <c r="I471" s="847">
        <v>1548.5</v>
      </c>
      <c r="J471" s="847">
        <v>1548.5</v>
      </c>
      <c r="K471" s="847">
        <v>1548.5</v>
      </c>
      <c r="L471" s="847">
        <v>1548.5</v>
      </c>
      <c r="M471" s="847"/>
      <c r="N471" s="663"/>
      <c r="O471" s="663"/>
      <c r="P471" s="663"/>
      <c r="Q471" s="663"/>
      <c r="R471" s="663"/>
      <c r="S471" s="663"/>
      <c r="T471" s="663"/>
      <c r="U471" s="663"/>
      <c r="V471" s="663"/>
      <c r="W471" s="663"/>
      <c r="X471" s="663"/>
      <c r="Y471" s="663"/>
      <c r="Z471" s="663"/>
      <c r="AA471" s="663"/>
      <c r="AB471" s="663"/>
      <c r="AC471" s="663"/>
      <c r="AD471" s="663"/>
      <c r="AE471" s="663"/>
      <c r="AF471" s="663"/>
      <c r="AG471" s="663"/>
      <c r="AH471" s="663"/>
      <c r="AI471" s="663"/>
      <c r="AJ471" s="663"/>
      <c r="AK471" s="663"/>
      <c r="AL471" s="663"/>
      <c r="AM471" s="663"/>
      <c r="AN471" s="663"/>
      <c r="AO471" s="663"/>
      <c r="AP471" s="650"/>
    </row>
    <row r="472" spans="1:42" ht="13.5" customHeight="1" x14ac:dyDescent="0.3">
      <c r="A472" s="1215"/>
      <c r="B472" s="644"/>
      <c r="C472" s="653"/>
      <c r="D472" s="652" t="s">
        <v>986</v>
      </c>
      <c r="E472" s="652"/>
      <c r="F472" s="652"/>
      <c r="G472" s="652"/>
      <c r="H472" s="652"/>
      <c r="I472" s="847">
        <v>1328.62</v>
      </c>
      <c r="J472" s="847">
        <v>1328.62</v>
      </c>
      <c r="K472" s="847">
        <v>1328.62</v>
      </c>
      <c r="L472" s="847">
        <v>1328.62</v>
      </c>
      <c r="M472" s="847"/>
      <c r="N472" s="663"/>
      <c r="O472" s="663"/>
      <c r="P472" s="663"/>
      <c r="Q472" s="663"/>
      <c r="R472" s="663"/>
      <c r="S472" s="663"/>
      <c r="T472" s="663"/>
      <c r="U472" s="663"/>
      <c r="V472" s="663"/>
      <c r="W472" s="663"/>
      <c r="X472" s="663"/>
      <c r="Y472" s="663"/>
      <c r="Z472" s="663"/>
      <c r="AA472" s="663"/>
      <c r="AB472" s="663"/>
      <c r="AC472" s="663"/>
      <c r="AD472" s="663"/>
      <c r="AE472" s="663"/>
      <c r="AF472" s="663"/>
      <c r="AG472" s="663"/>
      <c r="AH472" s="663"/>
      <c r="AI472" s="663"/>
      <c r="AJ472" s="663"/>
      <c r="AK472" s="663"/>
      <c r="AL472" s="663"/>
      <c r="AM472" s="663"/>
      <c r="AN472" s="663"/>
      <c r="AO472" s="663"/>
      <c r="AP472" s="650"/>
    </row>
    <row r="473" spans="1:42" ht="13.5" customHeight="1" x14ac:dyDescent="0.3">
      <c r="A473" s="1215"/>
      <c r="B473" s="644"/>
      <c r="C473" s="653"/>
      <c r="D473" s="652" t="s">
        <v>987</v>
      </c>
      <c r="E473" s="652"/>
      <c r="F473" s="652"/>
      <c r="G473" s="652"/>
      <c r="H473" s="652"/>
      <c r="I473" s="847">
        <v>1387</v>
      </c>
      <c r="J473" s="847">
        <v>1387</v>
      </c>
      <c r="K473" s="847">
        <v>1387</v>
      </c>
      <c r="L473" s="847">
        <v>1387</v>
      </c>
      <c r="M473" s="847"/>
      <c r="N473" s="663"/>
      <c r="O473" s="663"/>
      <c r="P473" s="663"/>
      <c r="Q473" s="663"/>
      <c r="R473" s="663"/>
      <c r="S473" s="663"/>
      <c r="T473" s="663"/>
      <c r="U473" s="663"/>
      <c r="V473" s="663"/>
      <c r="W473" s="663"/>
      <c r="X473" s="663"/>
      <c r="Y473" s="663"/>
      <c r="Z473" s="663"/>
      <c r="AA473" s="663"/>
      <c r="AB473" s="663"/>
      <c r="AC473" s="663"/>
      <c r="AD473" s="663"/>
      <c r="AE473" s="663"/>
      <c r="AF473" s="663"/>
      <c r="AG473" s="663"/>
      <c r="AH473" s="663"/>
      <c r="AI473" s="663"/>
      <c r="AJ473" s="663"/>
      <c r="AK473" s="663"/>
      <c r="AL473" s="663"/>
      <c r="AM473" s="663"/>
      <c r="AN473" s="663"/>
      <c r="AO473" s="663"/>
      <c r="AP473" s="650"/>
    </row>
    <row r="474" spans="1:42" s="658" customFormat="1" ht="13.5" customHeight="1" x14ac:dyDescent="0.3">
      <c r="A474" s="972"/>
      <c r="B474" s="662"/>
      <c r="C474" s="661"/>
      <c r="D474" s="654"/>
      <c r="E474" s="654"/>
      <c r="F474" s="654"/>
      <c r="G474" s="654"/>
      <c r="H474" s="654"/>
      <c r="I474" s="848"/>
      <c r="J474" s="849"/>
      <c r="K474" s="849"/>
      <c r="L474" s="849"/>
      <c r="M474" s="849"/>
      <c r="N474" s="660"/>
      <c r="O474" s="660"/>
      <c r="P474" s="660"/>
      <c r="Q474" s="660"/>
      <c r="R474" s="660"/>
      <c r="S474" s="660"/>
      <c r="T474" s="660"/>
      <c r="U474" s="660"/>
      <c r="V474" s="660"/>
      <c r="W474" s="660"/>
      <c r="X474" s="660"/>
      <c r="Y474" s="660"/>
      <c r="Z474" s="660"/>
      <c r="AA474" s="660"/>
      <c r="AB474" s="660"/>
      <c r="AC474" s="660"/>
      <c r="AD474" s="660"/>
      <c r="AE474" s="660"/>
      <c r="AF474" s="660"/>
      <c r="AG474" s="660"/>
      <c r="AH474" s="660"/>
      <c r="AI474" s="660"/>
      <c r="AJ474" s="660"/>
      <c r="AK474" s="660"/>
      <c r="AL474" s="660"/>
      <c r="AM474" s="660"/>
      <c r="AN474" s="660"/>
      <c r="AO474" s="660"/>
      <c r="AP474" s="659"/>
    </row>
    <row r="475" spans="1:42" ht="13.5" customHeight="1" x14ac:dyDescent="0.3">
      <c r="A475" s="973"/>
      <c r="B475" s="644"/>
      <c r="C475" s="653"/>
      <c r="D475" s="655" t="s">
        <v>997</v>
      </c>
      <c r="E475" s="652"/>
      <c r="F475" s="652"/>
      <c r="G475" s="652"/>
      <c r="H475" s="652"/>
      <c r="I475" s="844"/>
      <c r="J475" s="844"/>
      <c r="K475" s="844"/>
      <c r="L475" s="844"/>
      <c r="M475" s="847"/>
      <c r="N475" s="663"/>
      <c r="O475" s="663"/>
      <c r="P475" s="663"/>
      <c r="Q475" s="663"/>
      <c r="R475" s="663"/>
      <c r="S475" s="663"/>
      <c r="T475" s="663"/>
      <c r="U475" s="663"/>
      <c r="V475" s="663"/>
      <c r="W475" s="663"/>
      <c r="X475" s="663"/>
      <c r="Y475" s="663"/>
      <c r="Z475" s="663"/>
      <c r="AA475" s="663"/>
      <c r="AB475" s="663"/>
      <c r="AC475" s="663"/>
      <c r="AD475" s="663"/>
      <c r="AE475" s="663"/>
      <c r="AF475" s="663"/>
      <c r="AG475" s="663"/>
      <c r="AH475" s="663"/>
      <c r="AI475" s="663"/>
      <c r="AJ475" s="663"/>
      <c r="AK475" s="663"/>
      <c r="AL475" s="663"/>
      <c r="AM475" s="663"/>
      <c r="AN475" s="663"/>
      <c r="AO475" s="663"/>
      <c r="AP475" s="650"/>
    </row>
    <row r="476" spans="1:42" ht="13.5" customHeight="1" x14ac:dyDescent="0.3">
      <c r="A476" s="1215" t="s">
        <v>984</v>
      </c>
      <c r="B476" s="644"/>
      <c r="C476" s="653"/>
      <c r="D476" s="652" t="s">
        <v>985</v>
      </c>
      <c r="E476" s="652"/>
      <c r="F476" s="652"/>
      <c r="G476" s="652"/>
      <c r="H476" s="652"/>
      <c r="I476" s="847">
        <v>2555</v>
      </c>
      <c r="J476" s="847">
        <v>2555</v>
      </c>
      <c r="K476" s="847">
        <v>2555</v>
      </c>
      <c r="L476" s="847">
        <v>2555</v>
      </c>
      <c r="M476" s="847"/>
      <c r="N476" s="663"/>
      <c r="O476" s="663"/>
      <c r="P476" s="663"/>
      <c r="Q476" s="663"/>
      <c r="R476" s="663"/>
      <c r="S476" s="663"/>
      <c r="T476" s="663"/>
      <c r="U476" s="663"/>
      <c r="V476" s="663"/>
      <c r="W476" s="663"/>
      <c r="X476" s="663"/>
      <c r="Y476" s="663"/>
      <c r="Z476" s="663"/>
      <c r="AA476" s="663"/>
      <c r="AB476" s="663"/>
      <c r="AC476" s="663"/>
      <c r="AD476" s="663"/>
      <c r="AE476" s="663"/>
      <c r="AF476" s="663"/>
      <c r="AG476" s="663"/>
      <c r="AH476" s="663"/>
      <c r="AI476" s="663"/>
      <c r="AJ476" s="663"/>
      <c r="AK476" s="663"/>
      <c r="AL476" s="663"/>
      <c r="AM476" s="663"/>
      <c r="AN476" s="663"/>
      <c r="AO476" s="663"/>
      <c r="AP476" s="650"/>
    </row>
    <row r="477" spans="1:42" ht="13.5" customHeight="1" x14ac:dyDescent="0.3">
      <c r="A477" s="1215"/>
      <c r="B477" s="644"/>
      <c r="C477" s="653"/>
      <c r="D477" s="652" t="s">
        <v>986</v>
      </c>
      <c r="E477" s="652"/>
      <c r="F477" s="652"/>
      <c r="G477" s="652"/>
      <c r="H477" s="652"/>
      <c r="I477" s="847">
        <v>1090</v>
      </c>
      <c r="J477" s="847">
        <v>1090</v>
      </c>
      <c r="K477" s="847">
        <v>1090</v>
      </c>
      <c r="L477" s="847">
        <v>1090</v>
      </c>
      <c r="M477" s="847"/>
      <c r="N477" s="663"/>
      <c r="O477" s="663"/>
      <c r="P477" s="663"/>
      <c r="Q477" s="663"/>
      <c r="R477" s="663"/>
      <c r="S477" s="663"/>
      <c r="T477" s="663"/>
      <c r="U477" s="663"/>
      <c r="V477" s="663"/>
      <c r="W477" s="663"/>
      <c r="X477" s="663"/>
      <c r="Y477" s="663"/>
      <c r="Z477" s="663"/>
      <c r="AA477" s="663"/>
      <c r="AB477" s="663"/>
      <c r="AC477" s="663"/>
      <c r="AD477" s="663"/>
      <c r="AE477" s="663"/>
      <c r="AF477" s="663"/>
      <c r="AG477" s="663"/>
      <c r="AH477" s="663"/>
      <c r="AI477" s="663"/>
      <c r="AJ477" s="663"/>
      <c r="AK477" s="663"/>
      <c r="AL477" s="663"/>
      <c r="AM477" s="663"/>
      <c r="AN477" s="663"/>
      <c r="AO477" s="663"/>
      <c r="AP477" s="650"/>
    </row>
    <row r="478" spans="1:42" ht="13.5" customHeight="1" x14ac:dyDescent="0.3">
      <c r="A478" s="1215"/>
      <c r="B478" s="644"/>
      <c r="C478" s="653"/>
      <c r="D478" s="652" t="s">
        <v>987</v>
      </c>
      <c r="E478" s="652"/>
      <c r="F478" s="652"/>
      <c r="G478" s="652"/>
      <c r="H478" s="652"/>
      <c r="I478" s="847">
        <v>365</v>
      </c>
      <c r="J478" s="847">
        <v>365</v>
      </c>
      <c r="K478" s="847">
        <v>365</v>
      </c>
      <c r="L478" s="847">
        <v>365</v>
      </c>
      <c r="M478" s="847"/>
      <c r="N478" s="663"/>
      <c r="O478" s="663"/>
      <c r="P478" s="663"/>
      <c r="Q478" s="663"/>
      <c r="R478" s="663"/>
      <c r="S478" s="663"/>
      <c r="T478" s="663"/>
      <c r="U478" s="663"/>
      <c r="V478" s="663"/>
      <c r="W478" s="663"/>
      <c r="X478" s="663"/>
      <c r="Y478" s="663"/>
      <c r="Z478" s="663"/>
      <c r="AA478" s="663"/>
      <c r="AB478" s="663"/>
      <c r="AC478" s="663"/>
      <c r="AD478" s="663"/>
      <c r="AE478" s="663"/>
      <c r="AF478" s="663"/>
      <c r="AG478" s="663"/>
      <c r="AH478" s="663"/>
      <c r="AI478" s="663"/>
      <c r="AJ478" s="663"/>
      <c r="AK478" s="663"/>
      <c r="AL478" s="663"/>
      <c r="AM478" s="663"/>
      <c r="AN478" s="663"/>
      <c r="AO478" s="663"/>
      <c r="AP478" s="650"/>
    </row>
    <row r="479" spans="1:42" s="658" customFormat="1" ht="13.5" customHeight="1" x14ac:dyDescent="0.3">
      <c r="A479" s="972"/>
      <c r="B479" s="662"/>
      <c r="C479" s="661"/>
      <c r="D479" s="654"/>
      <c r="E479" s="654"/>
      <c r="F479" s="654"/>
      <c r="G479" s="654"/>
      <c r="H479" s="654"/>
      <c r="I479" s="848"/>
      <c r="J479" s="849"/>
      <c r="K479" s="849"/>
      <c r="L479" s="849"/>
      <c r="M479" s="849"/>
      <c r="N479" s="660"/>
      <c r="O479" s="660"/>
      <c r="P479" s="660"/>
      <c r="Q479" s="660"/>
      <c r="R479" s="660"/>
      <c r="S479" s="660"/>
      <c r="T479" s="660"/>
      <c r="U479" s="660"/>
      <c r="V479" s="660"/>
      <c r="W479" s="660"/>
      <c r="X479" s="660"/>
      <c r="Y479" s="660"/>
      <c r="Z479" s="660"/>
      <c r="AA479" s="660"/>
      <c r="AB479" s="660"/>
      <c r="AC479" s="660"/>
      <c r="AD479" s="660"/>
      <c r="AE479" s="660"/>
      <c r="AF479" s="660"/>
      <c r="AG479" s="660"/>
      <c r="AH479" s="660"/>
      <c r="AI479" s="660"/>
      <c r="AJ479" s="660"/>
      <c r="AK479" s="660"/>
      <c r="AL479" s="660"/>
      <c r="AM479" s="660"/>
      <c r="AN479" s="660"/>
      <c r="AO479" s="660"/>
      <c r="AP479" s="659"/>
    </row>
    <row r="480" spans="1:42" ht="13.5" customHeight="1" x14ac:dyDescent="0.3">
      <c r="A480" s="973"/>
      <c r="B480" s="644"/>
      <c r="C480" s="653"/>
      <c r="D480" s="655" t="s">
        <v>998</v>
      </c>
      <c r="E480" s="652"/>
      <c r="F480" s="652"/>
      <c r="G480" s="652"/>
      <c r="H480" s="652"/>
      <c r="I480" s="844"/>
      <c r="J480" s="844"/>
      <c r="K480" s="847"/>
      <c r="L480" s="847"/>
      <c r="M480" s="847"/>
      <c r="N480" s="663"/>
      <c r="O480" s="663"/>
      <c r="P480" s="663"/>
      <c r="Q480" s="663"/>
      <c r="R480" s="663"/>
      <c r="S480" s="663"/>
      <c r="T480" s="663"/>
      <c r="U480" s="663"/>
      <c r="V480" s="663"/>
      <c r="W480" s="663"/>
      <c r="X480" s="663"/>
      <c r="Y480" s="663"/>
      <c r="Z480" s="663"/>
      <c r="AA480" s="663"/>
      <c r="AB480" s="663"/>
      <c r="AC480" s="663"/>
      <c r="AD480" s="663"/>
      <c r="AE480" s="663"/>
      <c r="AF480" s="663"/>
      <c r="AG480" s="663"/>
      <c r="AH480" s="663"/>
      <c r="AI480" s="663"/>
      <c r="AJ480" s="663"/>
      <c r="AK480" s="663"/>
      <c r="AL480" s="663"/>
      <c r="AM480" s="663"/>
      <c r="AN480" s="663"/>
      <c r="AO480" s="663"/>
      <c r="AP480" s="650"/>
    </row>
    <row r="481" spans="1:42" ht="13.5" customHeight="1" x14ac:dyDescent="0.3">
      <c r="A481" s="1215" t="s">
        <v>984</v>
      </c>
      <c r="B481" s="644"/>
      <c r="C481" s="653"/>
      <c r="D481" s="652" t="s">
        <v>985</v>
      </c>
      <c r="E481" s="652"/>
      <c r="F481" s="652"/>
      <c r="G481" s="652"/>
      <c r="H481" s="652"/>
      <c r="I481" s="847">
        <v>711.75</v>
      </c>
      <c r="J481" s="847">
        <v>711.75</v>
      </c>
      <c r="K481" s="847">
        <v>711.75</v>
      </c>
      <c r="L481" s="847">
        <v>711.75</v>
      </c>
      <c r="M481" s="847"/>
      <c r="N481" s="663"/>
      <c r="O481" s="663"/>
      <c r="P481" s="663"/>
      <c r="Q481" s="663"/>
      <c r="R481" s="663"/>
      <c r="S481" s="663"/>
      <c r="T481" s="663"/>
      <c r="U481" s="663"/>
      <c r="V481" s="663"/>
      <c r="W481" s="663"/>
      <c r="X481" s="663"/>
      <c r="Y481" s="663"/>
      <c r="Z481" s="663"/>
      <c r="AA481" s="663"/>
      <c r="AB481" s="663"/>
      <c r="AC481" s="663"/>
      <c r="AD481" s="663"/>
      <c r="AE481" s="663"/>
      <c r="AF481" s="663"/>
      <c r="AG481" s="663"/>
      <c r="AH481" s="663"/>
      <c r="AI481" s="663"/>
      <c r="AJ481" s="663"/>
      <c r="AK481" s="663"/>
      <c r="AL481" s="663"/>
      <c r="AM481" s="663"/>
      <c r="AN481" s="663"/>
      <c r="AO481" s="663"/>
      <c r="AP481" s="650"/>
    </row>
    <row r="482" spans="1:42" ht="13.5" customHeight="1" x14ac:dyDescent="0.3">
      <c r="A482" s="1215"/>
      <c r="B482" s="644"/>
      <c r="C482" s="653"/>
      <c r="D482" s="652" t="s">
        <v>986</v>
      </c>
      <c r="E482" s="652"/>
      <c r="F482" s="652"/>
      <c r="G482" s="652"/>
      <c r="H482" s="652"/>
      <c r="I482" s="847">
        <v>277.39999999999998</v>
      </c>
      <c r="J482" s="847">
        <v>277.39999999999998</v>
      </c>
      <c r="K482" s="847">
        <v>277.39999999999998</v>
      </c>
      <c r="L482" s="847">
        <v>277.39999999999998</v>
      </c>
      <c r="M482" s="847"/>
      <c r="N482" s="663"/>
      <c r="O482" s="663"/>
      <c r="P482" s="663"/>
      <c r="Q482" s="663"/>
      <c r="R482" s="663"/>
      <c r="S482" s="663"/>
      <c r="T482" s="663"/>
      <c r="U482" s="663"/>
      <c r="V482" s="663"/>
      <c r="W482" s="663"/>
      <c r="X482" s="663"/>
      <c r="Y482" s="663"/>
      <c r="Z482" s="663"/>
      <c r="AA482" s="663"/>
      <c r="AB482" s="663"/>
      <c r="AC482" s="663"/>
      <c r="AD482" s="663"/>
      <c r="AE482" s="663"/>
      <c r="AF482" s="663"/>
      <c r="AG482" s="663"/>
      <c r="AH482" s="663"/>
      <c r="AI482" s="663"/>
      <c r="AJ482" s="663"/>
      <c r="AK482" s="663"/>
      <c r="AL482" s="663"/>
      <c r="AM482" s="663"/>
      <c r="AN482" s="663"/>
      <c r="AO482" s="663"/>
      <c r="AP482" s="650"/>
    </row>
    <row r="483" spans="1:42" ht="13.5" customHeight="1" x14ac:dyDescent="0.3">
      <c r="A483" s="1215"/>
      <c r="B483" s="644"/>
      <c r="C483" s="653"/>
      <c r="D483" s="652" t="s">
        <v>987</v>
      </c>
      <c r="E483" s="652"/>
      <c r="F483" s="652"/>
      <c r="G483" s="652"/>
      <c r="H483" s="652"/>
      <c r="I483" s="847">
        <v>0</v>
      </c>
      <c r="J483" s="847">
        <v>0</v>
      </c>
      <c r="K483" s="847">
        <v>0</v>
      </c>
      <c r="L483" s="847">
        <v>0</v>
      </c>
      <c r="M483" s="847"/>
      <c r="N483" s="663"/>
      <c r="O483" s="663"/>
      <c r="P483" s="663"/>
      <c r="Q483" s="663"/>
      <c r="R483" s="663"/>
      <c r="S483" s="663"/>
      <c r="T483" s="663"/>
      <c r="U483" s="663"/>
      <c r="V483" s="663"/>
      <c r="W483" s="663"/>
      <c r="X483" s="663"/>
      <c r="Y483" s="663"/>
      <c r="Z483" s="663"/>
      <c r="AA483" s="663"/>
      <c r="AB483" s="663"/>
      <c r="AC483" s="663"/>
      <c r="AD483" s="663"/>
      <c r="AE483" s="663"/>
      <c r="AF483" s="663"/>
      <c r="AG483" s="663"/>
      <c r="AH483" s="663"/>
      <c r="AI483" s="663"/>
      <c r="AJ483" s="663"/>
      <c r="AK483" s="663"/>
      <c r="AL483" s="663"/>
      <c r="AM483" s="663"/>
      <c r="AN483" s="663"/>
      <c r="AO483" s="663"/>
      <c r="AP483" s="650"/>
    </row>
    <row r="484" spans="1:42" s="658" customFormat="1" ht="13.5" customHeight="1" x14ac:dyDescent="0.3">
      <c r="A484" s="972"/>
      <c r="B484" s="662"/>
      <c r="C484" s="661"/>
      <c r="D484" s="654"/>
      <c r="E484" s="654"/>
      <c r="F484" s="654"/>
      <c r="G484" s="654"/>
      <c r="H484" s="654"/>
      <c r="I484" s="848"/>
      <c r="J484" s="849"/>
      <c r="K484" s="849"/>
      <c r="L484" s="849"/>
      <c r="M484" s="849"/>
      <c r="N484" s="660"/>
      <c r="O484" s="660"/>
      <c r="P484" s="660"/>
      <c r="Q484" s="660"/>
      <c r="R484" s="660"/>
      <c r="S484" s="660"/>
      <c r="T484" s="660"/>
      <c r="U484" s="660"/>
      <c r="V484" s="660"/>
      <c r="W484" s="660"/>
      <c r="X484" s="660"/>
      <c r="Y484" s="660"/>
      <c r="Z484" s="660"/>
      <c r="AA484" s="660"/>
      <c r="AB484" s="660"/>
      <c r="AC484" s="660"/>
      <c r="AD484" s="660"/>
      <c r="AE484" s="660"/>
      <c r="AF484" s="660"/>
      <c r="AG484" s="660"/>
      <c r="AH484" s="660"/>
      <c r="AI484" s="660"/>
      <c r="AJ484" s="660"/>
      <c r="AK484" s="660"/>
      <c r="AL484" s="660"/>
      <c r="AM484" s="660"/>
      <c r="AN484" s="660"/>
      <c r="AO484" s="660"/>
      <c r="AP484" s="659"/>
    </row>
    <row r="485" spans="1:42" ht="13.5" customHeight="1" x14ac:dyDescent="0.3">
      <c r="A485" s="973"/>
      <c r="B485" s="644"/>
      <c r="C485" s="653"/>
      <c r="D485" s="655" t="s">
        <v>999</v>
      </c>
      <c r="E485" s="652"/>
      <c r="F485" s="652"/>
      <c r="G485" s="652"/>
      <c r="H485" s="652"/>
      <c r="I485" s="844"/>
      <c r="J485" s="844"/>
      <c r="K485" s="847"/>
      <c r="L485" s="847"/>
      <c r="M485" s="847"/>
      <c r="N485" s="663"/>
      <c r="O485" s="663"/>
      <c r="P485" s="663"/>
      <c r="Q485" s="663"/>
      <c r="R485" s="663"/>
      <c r="S485" s="663"/>
      <c r="T485" s="663"/>
      <c r="U485" s="663"/>
      <c r="V485" s="663"/>
      <c r="W485" s="663"/>
      <c r="X485" s="663"/>
      <c r="Y485" s="663"/>
      <c r="Z485" s="663"/>
      <c r="AA485" s="663"/>
      <c r="AB485" s="663"/>
      <c r="AC485" s="663"/>
      <c r="AD485" s="663"/>
      <c r="AE485" s="663"/>
      <c r="AF485" s="663"/>
      <c r="AG485" s="663"/>
      <c r="AH485" s="663"/>
      <c r="AI485" s="663"/>
      <c r="AJ485" s="663"/>
      <c r="AK485" s="663"/>
      <c r="AL485" s="663"/>
      <c r="AM485" s="663"/>
      <c r="AN485" s="663"/>
      <c r="AO485" s="663"/>
      <c r="AP485" s="650"/>
    </row>
    <row r="486" spans="1:42" ht="13.5" customHeight="1" x14ac:dyDescent="0.3">
      <c r="A486" s="1215" t="s">
        <v>984</v>
      </c>
      <c r="B486" s="644"/>
      <c r="C486" s="653"/>
      <c r="D486" s="652" t="s">
        <v>1000</v>
      </c>
      <c r="E486" s="652"/>
      <c r="F486" s="652"/>
      <c r="G486" s="652"/>
      <c r="H486" s="652"/>
      <c r="I486" s="844"/>
      <c r="J486" s="847">
        <v>11</v>
      </c>
      <c r="K486" s="847"/>
      <c r="L486" s="847"/>
      <c r="M486" s="847"/>
      <c r="N486" s="663"/>
      <c r="O486" s="663"/>
      <c r="P486" s="663"/>
      <c r="Q486" s="663"/>
      <c r="R486" s="663"/>
      <c r="S486" s="663"/>
      <c r="T486" s="663"/>
      <c r="U486" s="663"/>
      <c r="V486" s="663"/>
      <c r="W486" s="663"/>
      <c r="X486" s="663"/>
      <c r="Y486" s="663"/>
      <c r="Z486" s="663"/>
      <c r="AA486" s="663"/>
      <c r="AB486" s="663"/>
      <c r="AC486" s="663"/>
      <c r="AD486" s="663"/>
      <c r="AE486" s="663"/>
      <c r="AF486" s="663"/>
      <c r="AG486" s="663"/>
      <c r="AH486" s="663"/>
      <c r="AI486" s="663"/>
      <c r="AJ486" s="663"/>
      <c r="AK486" s="663"/>
      <c r="AL486" s="663"/>
      <c r="AM486" s="663"/>
      <c r="AN486" s="663"/>
      <c r="AO486" s="663"/>
      <c r="AP486" s="650"/>
    </row>
    <row r="487" spans="1:42" ht="13.5" customHeight="1" x14ac:dyDescent="0.3">
      <c r="A487" s="1215"/>
      <c r="B487" s="644"/>
      <c r="C487" s="653"/>
      <c r="D487" s="652" t="s">
        <v>1001</v>
      </c>
      <c r="E487" s="652"/>
      <c r="F487" s="652"/>
      <c r="G487" s="652"/>
      <c r="H487" s="652"/>
      <c r="I487" s="844"/>
      <c r="J487" s="847">
        <v>15</v>
      </c>
      <c r="K487" s="847"/>
      <c r="L487" s="847"/>
      <c r="M487" s="847"/>
      <c r="N487" s="663"/>
      <c r="O487" s="663"/>
      <c r="P487" s="663"/>
      <c r="Q487" s="663"/>
      <c r="R487" s="663"/>
      <c r="S487" s="663"/>
      <c r="T487" s="663"/>
      <c r="U487" s="663"/>
      <c r="V487" s="663"/>
      <c r="W487" s="663"/>
      <c r="X487" s="663"/>
      <c r="Y487" s="663"/>
      <c r="Z487" s="663"/>
      <c r="AA487" s="663"/>
      <c r="AB487" s="663"/>
      <c r="AC487" s="663"/>
      <c r="AD487" s="663"/>
      <c r="AE487" s="663"/>
      <c r="AF487" s="663"/>
      <c r="AG487" s="663"/>
      <c r="AH487" s="663"/>
      <c r="AI487" s="663"/>
      <c r="AJ487" s="663"/>
      <c r="AK487" s="663"/>
      <c r="AL487" s="663"/>
      <c r="AM487" s="663"/>
      <c r="AN487" s="663"/>
      <c r="AO487" s="663"/>
      <c r="AP487" s="650"/>
    </row>
    <row r="488" spans="1:42" ht="13.5" customHeight="1" x14ac:dyDescent="0.3">
      <c r="A488" s="1215"/>
      <c r="B488" s="644"/>
      <c r="C488" s="653"/>
      <c r="D488" s="652" t="s">
        <v>1002</v>
      </c>
      <c r="E488" s="652"/>
      <c r="F488" s="652"/>
      <c r="G488" s="652"/>
      <c r="H488" s="652"/>
      <c r="I488" s="844"/>
      <c r="J488" s="847">
        <v>16</v>
      </c>
      <c r="K488" s="847"/>
      <c r="L488" s="847"/>
      <c r="M488" s="847"/>
      <c r="N488" s="663"/>
      <c r="O488" s="663"/>
      <c r="P488" s="663"/>
      <c r="Q488" s="663"/>
      <c r="R488" s="663"/>
      <c r="S488" s="663"/>
      <c r="T488" s="663"/>
      <c r="U488" s="663"/>
      <c r="V488" s="663"/>
      <c r="W488" s="663"/>
      <c r="X488" s="663"/>
      <c r="Y488" s="663"/>
      <c r="Z488" s="663"/>
      <c r="AA488" s="663"/>
      <c r="AB488" s="663"/>
      <c r="AC488" s="663"/>
      <c r="AD488" s="663"/>
      <c r="AE488" s="663"/>
      <c r="AF488" s="663"/>
      <c r="AG488" s="663"/>
      <c r="AH488" s="663"/>
      <c r="AI488" s="663"/>
      <c r="AJ488" s="663"/>
      <c r="AK488" s="663"/>
      <c r="AL488" s="663"/>
      <c r="AM488" s="663"/>
      <c r="AN488" s="663"/>
      <c r="AO488" s="663"/>
      <c r="AP488" s="650"/>
    </row>
    <row r="489" spans="1:42" ht="13.5" customHeight="1" x14ac:dyDescent="0.35">
      <c r="A489" s="973"/>
      <c r="B489" s="644"/>
      <c r="C489" s="653"/>
      <c r="D489" s="657"/>
      <c r="E489" s="657"/>
      <c r="F489" s="657"/>
      <c r="G489" s="657"/>
      <c r="H489" s="657"/>
      <c r="I489" s="656"/>
      <c r="J489" s="656"/>
      <c r="K489" s="656"/>
      <c r="L489" s="656"/>
      <c r="M489" s="656"/>
      <c r="N489" s="656"/>
      <c r="O489" s="656"/>
      <c r="P489" s="656"/>
      <c r="Q489" s="656"/>
      <c r="R489" s="656"/>
      <c r="S489" s="656"/>
      <c r="T489" s="656"/>
      <c r="U489" s="656"/>
      <c r="V489" s="656"/>
      <c r="W489" s="656"/>
      <c r="X489" s="656"/>
      <c r="Y489" s="656"/>
      <c r="Z489" s="656"/>
      <c r="AA489" s="656"/>
      <c r="AB489" s="656"/>
      <c r="AC489" s="656"/>
      <c r="AD489" s="656"/>
      <c r="AE489" s="656"/>
      <c r="AF489" s="656"/>
      <c r="AG489" s="656"/>
      <c r="AH489" s="656"/>
      <c r="AI489" s="656"/>
      <c r="AJ489" s="656"/>
      <c r="AK489" s="656"/>
      <c r="AL489" s="656"/>
      <c r="AM489" s="656"/>
      <c r="AN489" s="656"/>
      <c r="AO489" s="656"/>
      <c r="AP489" s="650"/>
    </row>
    <row r="490" spans="1:42" ht="13.5" customHeight="1" x14ac:dyDescent="0.3">
      <c r="A490" s="973"/>
      <c r="B490" s="644"/>
      <c r="C490" s="653"/>
      <c r="D490" s="655" t="s">
        <v>963</v>
      </c>
      <c r="E490" s="654"/>
      <c r="F490" s="654"/>
      <c r="G490" s="654"/>
      <c r="H490" s="654"/>
      <c r="I490" s="652"/>
      <c r="J490" s="652"/>
      <c r="K490" s="652"/>
      <c r="L490" s="652"/>
      <c r="M490" s="652"/>
      <c r="N490" s="652"/>
      <c r="O490" s="652"/>
      <c r="P490" s="652"/>
      <c r="Q490" s="652"/>
      <c r="R490" s="652"/>
      <c r="S490" s="652"/>
      <c r="T490" s="652"/>
      <c r="U490" s="652"/>
      <c r="V490" s="652"/>
      <c r="W490" s="652"/>
      <c r="X490" s="652"/>
      <c r="Y490" s="652"/>
      <c r="Z490" s="652"/>
      <c r="AA490" s="652"/>
      <c r="AB490" s="652"/>
      <c r="AC490" s="652"/>
      <c r="AD490" s="652"/>
      <c r="AE490" s="652"/>
      <c r="AF490" s="652"/>
      <c r="AG490" s="652"/>
      <c r="AH490" s="652"/>
      <c r="AI490" s="652"/>
      <c r="AJ490" s="652"/>
      <c r="AK490" s="652"/>
      <c r="AL490" s="652"/>
      <c r="AM490" s="652"/>
      <c r="AN490" s="652"/>
      <c r="AO490" s="652"/>
      <c r="AP490" s="650"/>
    </row>
    <row r="491" spans="1:42" ht="14.25" hidden="1" customHeight="1" x14ac:dyDescent="0.3">
      <c r="A491" s="1216" t="s">
        <v>521</v>
      </c>
      <c r="B491" s="644"/>
      <c r="C491" s="653"/>
      <c r="D491" s="652" t="s">
        <v>1003</v>
      </c>
      <c r="E491" s="651">
        <v>6.3492736077481844</v>
      </c>
      <c r="F491" s="651">
        <v>5.5029702970297025</v>
      </c>
      <c r="G491" s="651">
        <v>0</v>
      </c>
      <c r="H491" s="651">
        <v>0.69230769230769229</v>
      </c>
      <c r="I491" s="651">
        <v>1.2</v>
      </c>
      <c r="J491" s="651">
        <v>0</v>
      </c>
      <c r="K491" s="651">
        <v>5.2266666666666666</v>
      </c>
      <c r="L491" s="651">
        <v>0</v>
      </c>
      <c r="M491" s="651">
        <v>0</v>
      </c>
      <c r="N491" s="651">
        <v>0</v>
      </c>
      <c r="O491" s="651">
        <v>0</v>
      </c>
      <c r="P491" s="651">
        <v>0</v>
      </c>
      <c r="Q491" s="651">
        <v>0</v>
      </c>
      <c r="R491" s="651">
        <v>0</v>
      </c>
      <c r="S491" s="651">
        <v>0</v>
      </c>
      <c r="T491" s="651">
        <v>0</v>
      </c>
      <c r="U491" s="651">
        <v>0</v>
      </c>
      <c r="V491" s="651">
        <v>0</v>
      </c>
      <c r="W491" s="651">
        <v>0</v>
      </c>
      <c r="X491" s="651">
        <v>0</v>
      </c>
      <c r="Y491" s="651">
        <v>0</v>
      </c>
      <c r="Z491" s="651">
        <v>0</v>
      </c>
      <c r="AA491" s="651">
        <v>0</v>
      </c>
      <c r="AB491" s="651">
        <v>0</v>
      </c>
      <c r="AC491" s="651">
        <v>0</v>
      </c>
      <c r="AD491" s="651">
        <v>0</v>
      </c>
      <c r="AE491" s="651">
        <v>0</v>
      </c>
      <c r="AF491" s="651">
        <v>0</v>
      </c>
      <c r="AG491" s="651">
        <v>0</v>
      </c>
      <c r="AH491" s="651">
        <v>0</v>
      </c>
      <c r="AI491" s="651">
        <v>0</v>
      </c>
      <c r="AJ491" s="651">
        <v>0</v>
      </c>
      <c r="AK491" s="651">
        <v>0</v>
      </c>
      <c r="AL491" s="651">
        <v>0</v>
      </c>
      <c r="AM491" s="651">
        <v>0</v>
      </c>
      <c r="AN491" s="651">
        <v>0</v>
      </c>
      <c r="AO491" s="651">
        <v>0</v>
      </c>
      <c r="AP491" s="650"/>
    </row>
    <row r="492" spans="1:42" ht="14.25" hidden="1" customHeight="1" x14ac:dyDescent="0.3">
      <c r="A492" s="1216"/>
      <c r="B492" s="644"/>
      <c r="C492" s="653"/>
      <c r="D492" s="652" t="s">
        <v>1004</v>
      </c>
      <c r="E492" s="651">
        <v>8.5809128630705391</v>
      </c>
      <c r="F492" s="651">
        <v>4.397260273972603</v>
      </c>
      <c r="G492" s="651">
        <v>8.0434782608695645</v>
      </c>
      <c r="H492" s="651">
        <v>0</v>
      </c>
      <c r="I492" s="651">
        <v>0</v>
      </c>
      <c r="J492" s="651">
        <v>0</v>
      </c>
      <c r="K492" s="651">
        <v>2.2348409417775494</v>
      </c>
      <c r="L492" s="651">
        <v>8.2023809523809508</v>
      </c>
      <c r="M492" s="651">
        <v>8.2023809523809508</v>
      </c>
      <c r="N492" s="651">
        <v>8.2023809523809508</v>
      </c>
      <c r="O492" s="651">
        <v>8.2023809523809508</v>
      </c>
      <c r="P492" s="651">
        <v>8.2023809523809508</v>
      </c>
      <c r="Q492" s="651">
        <v>8.2023809523809508</v>
      </c>
      <c r="R492" s="651">
        <v>8.2023809523809508</v>
      </c>
      <c r="S492" s="651">
        <v>8.2023809523809508</v>
      </c>
      <c r="T492" s="651">
        <v>8.2023809523809508</v>
      </c>
      <c r="U492" s="651">
        <v>8.2023809523809508</v>
      </c>
      <c r="V492" s="651">
        <v>8.2023809523809508</v>
      </c>
      <c r="W492" s="651">
        <v>8.2023809523809508</v>
      </c>
      <c r="X492" s="651">
        <v>8.2023809523809508</v>
      </c>
      <c r="Y492" s="651">
        <v>8.2023809523809508</v>
      </c>
      <c r="Z492" s="651">
        <v>8.2023809523809508</v>
      </c>
      <c r="AA492" s="651">
        <v>8.2023809523809508</v>
      </c>
      <c r="AB492" s="651">
        <v>8.2023809523809508</v>
      </c>
      <c r="AC492" s="651">
        <v>8.2023809523809508</v>
      </c>
      <c r="AD492" s="651">
        <v>8.2023809523809508</v>
      </c>
      <c r="AE492" s="651">
        <v>8.2023809523809508</v>
      </c>
      <c r="AF492" s="651">
        <v>8.2023809523809508</v>
      </c>
      <c r="AG492" s="651">
        <v>8.2023809523809508</v>
      </c>
      <c r="AH492" s="651">
        <v>8.2023809523809508</v>
      </c>
      <c r="AI492" s="651">
        <v>8.2023809523809508</v>
      </c>
      <c r="AJ492" s="651">
        <v>8.2023809523809508</v>
      </c>
      <c r="AK492" s="651">
        <v>8.2023809523809508</v>
      </c>
      <c r="AL492" s="651">
        <v>8.2023809523809508</v>
      </c>
      <c r="AM492" s="651">
        <v>8.2023809523809508</v>
      </c>
      <c r="AN492" s="651">
        <v>8.2023809523809508</v>
      </c>
      <c r="AO492" s="651">
        <v>8.2023809523809508</v>
      </c>
      <c r="AP492" s="650"/>
    </row>
    <row r="493" spans="1:42" ht="14.25" hidden="1" customHeight="1" x14ac:dyDescent="0.3">
      <c r="A493" s="1216"/>
      <c r="B493" s="644"/>
      <c r="C493" s="653"/>
      <c r="D493" s="652" t="s">
        <v>1005</v>
      </c>
      <c r="E493" s="651">
        <v>0.91039503869861405</v>
      </c>
      <c r="F493" s="651">
        <v>0.94444342989982599</v>
      </c>
      <c r="G493" s="651">
        <v>1.8248517971001508</v>
      </c>
      <c r="H493" s="651">
        <v>2.692844126905384</v>
      </c>
      <c r="I493" s="651">
        <v>34.949999999999996</v>
      </c>
      <c r="J493" s="651">
        <v>1.0667903030730601</v>
      </c>
      <c r="K493" s="651">
        <v>3.7</v>
      </c>
      <c r="L493" s="651">
        <v>0.54479891603414543</v>
      </c>
      <c r="M493" s="651">
        <v>0.54479891603414543</v>
      </c>
      <c r="N493" s="651">
        <v>0.54479891603414543</v>
      </c>
      <c r="O493" s="651">
        <v>0.54479891603414543</v>
      </c>
      <c r="P493" s="651">
        <v>0.54479891603414543</v>
      </c>
      <c r="Q493" s="651">
        <v>0.54479891603414543</v>
      </c>
      <c r="R493" s="651">
        <v>0.54479891603414543</v>
      </c>
      <c r="S493" s="651">
        <v>0.54479891603414543</v>
      </c>
      <c r="T493" s="651">
        <v>0.54479891603414543</v>
      </c>
      <c r="U493" s="651">
        <v>0.54479891603414543</v>
      </c>
      <c r="V493" s="651">
        <v>0.54479891603414543</v>
      </c>
      <c r="W493" s="651">
        <v>0.54479891603414543</v>
      </c>
      <c r="X493" s="651">
        <v>0.54479891603414543</v>
      </c>
      <c r="Y493" s="651">
        <v>0.54479891603414543</v>
      </c>
      <c r="Z493" s="651">
        <v>0.54479891603414543</v>
      </c>
      <c r="AA493" s="651">
        <v>0.54479891603414543</v>
      </c>
      <c r="AB493" s="651">
        <v>0.54479891603414543</v>
      </c>
      <c r="AC493" s="651">
        <v>0.54479891603414543</v>
      </c>
      <c r="AD493" s="651">
        <v>0.54479891603414543</v>
      </c>
      <c r="AE493" s="651">
        <v>0.54479891603414543</v>
      </c>
      <c r="AF493" s="651">
        <v>0.54479891603414543</v>
      </c>
      <c r="AG493" s="651">
        <v>0.54479891603414543</v>
      </c>
      <c r="AH493" s="651">
        <v>0.54479891603414543</v>
      </c>
      <c r="AI493" s="651">
        <v>0.54479891603414543</v>
      </c>
      <c r="AJ493" s="651">
        <v>0.54479891603414543</v>
      </c>
      <c r="AK493" s="651">
        <v>0.54479891603414543</v>
      </c>
      <c r="AL493" s="651">
        <v>0.54479891603414543</v>
      </c>
      <c r="AM493" s="651">
        <v>0.54479891603414543</v>
      </c>
      <c r="AN493" s="651">
        <v>0.54479891603414543</v>
      </c>
      <c r="AO493" s="651">
        <v>0.54479891603414543</v>
      </c>
      <c r="AP493" s="650"/>
    </row>
    <row r="494" spans="1:42" ht="14.25" customHeight="1" x14ac:dyDescent="0.3">
      <c r="A494" s="973"/>
      <c r="B494" s="644"/>
      <c r="C494" s="653"/>
      <c r="D494" s="652"/>
      <c r="E494" s="651"/>
      <c r="F494" s="651"/>
      <c r="G494" s="651"/>
      <c r="H494" s="651"/>
      <c r="I494" s="651"/>
      <c r="J494" s="651"/>
      <c r="K494" s="651"/>
      <c r="L494" s="651"/>
      <c r="M494" s="651"/>
      <c r="N494" s="651"/>
      <c r="O494" s="651"/>
      <c r="P494" s="651"/>
      <c r="Q494" s="651"/>
      <c r="R494" s="651"/>
      <c r="S494" s="651"/>
      <c r="T494" s="651"/>
      <c r="U494" s="651"/>
      <c r="V494" s="651"/>
      <c r="W494" s="651"/>
      <c r="X494" s="651"/>
      <c r="Y494" s="651"/>
      <c r="Z494" s="651"/>
      <c r="AA494" s="651"/>
      <c r="AB494" s="651"/>
      <c r="AC494" s="651"/>
      <c r="AD494" s="651"/>
      <c r="AE494" s="651"/>
      <c r="AF494" s="651"/>
      <c r="AG494" s="651"/>
      <c r="AH494" s="651"/>
      <c r="AI494" s="651"/>
      <c r="AJ494" s="651"/>
      <c r="AK494" s="651"/>
      <c r="AL494" s="651"/>
      <c r="AM494" s="651"/>
      <c r="AN494" s="651"/>
      <c r="AO494" s="651"/>
      <c r="AP494" s="650"/>
    </row>
    <row r="495" spans="1:42" ht="14.25" customHeight="1" x14ac:dyDescent="0.3">
      <c r="A495" s="1216" t="s">
        <v>521</v>
      </c>
      <c r="B495" s="644"/>
      <c r="C495" s="653"/>
      <c r="D495" s="652" t="s">
        <v>1003</v>
      </c>
      <c r="E495" s="651">
        <v>6.3492736077481844</v>
      </c>
      <c r="F495" s="651">
        <v>5.5029702970297025</v>
      </c>
      <c r="G495" s="651">
        <v>0</v>
      </c>
      <c r="H495" s="651">
        <v>0.69230769230769229</v>
      </c>
      <c r="I495" s="663">
        <f>I491*1000</f>
        <v>1200</v>
      </c>
      <c r="J495" s="663">
        <f t="shared" ref="J495:AO495" si="72">J491*1000</f>
        <v>0</v>
      </c>
      <c r="K495" s="663">
        <f t="shared" si="72"/>
        <v>5226.666666666667</v>
      </c>
      <c r="L495" s="663">
        <f t="shared" si="72"/>
        <v>0</v>
      </c>
      <c r="M495" s="663">
        <f t="shared" si="72"/>
        <v>0</v>
      </c>
      <c r="N495" s="663">
        <f t="shared" si="72"/>
        <v>0</v>
      </c>
      <c r="O495" s="663">
        <f t="shared" si="72"/>
        <v>0</v>
      </c>
      <c r="P495" s="663">
        <f t="shared" si="72"/>
        <v>0</v>
      </c>
      <c r="Q495" s="663">
        <f t="shared" si="72"/>
        <v>0</v>
      </c>
      <c r="R495" s="663">
        <f t="shared" si="72"/>
        <v>0</v>
      </c>
      <c r="S495" s="663">
        <f t="shared" si="72"/>
        <v>0</v>
      </c>
      <c r="T495" s="663">
        <f t="shared" si="72"/>
        <v>0</v>
      </c>
      <c r="U495" s="663">
        <f t="shared" si="72"/>
        <v>0</v>
      </c>
      <c r="V495" s="663">
        <f t="shared" si="72"/>
        <v>0</v>
      </c>
      <c r="W495" s="663">
        <f t="shared" si="72"/>
        <v>0</v>
      </c>
      <c r="X495" s="663">
        <f t="shared" si="72"/>
        <v>0</v>
      </c>
      <c r="Y495" s="663">
        <f t="shared" si="72"/>
        <v>0</v>
      </c>
      <c r="Z495" s="663">
        <f t="shared" si="72"/>
        <v>0</v>
      </c>
      <c r="AA495" s="663">
        <f t="shared" si="72"/>
        <v>0</v>
      </c>
      <c r="AB495" s="663">
        <f t="shared" si="72"/>
        <v>0</v>
      </c>
      <c r="AC495" s="663">
        <f t="shared" si="72"/>
        <v>0</v>
      </c>
      <c r="AD495" s="663">
        <f t="shared" si="72"/>
        <v>0</v>
      </c>
      <c r="AE495" s="663">
        <f t="shared" si="72"/>
        <v>0</v>
      </c>
      <c r="AF495" s="663">
        <f t="shared" si="72"/>
        <v>0</v>
      </c>
      <c r="AG495" s="663">
        <f t="shared" si="72"/>
        <v>0</v>
      </c>
      <c r="AH495" s="663">
        <f t="shared" si="72"/>
        <v>0</v>
      </c>
      <c r="AI495" s="663">
        <f t="shared" si="72"/>
        <v>0</v>
      </c>
      <c r="AJ495" s="663">
        <f t="shared" si="72"/>
        <v>0</v>
      </c>
      <c r="AK495" s="663">
        <f t="shared" si="72"/>
        <v>0</v>
      </c>
      <c r="AL495" s="663">
        <f t="shared" si="72"/>
        <v>0</v>
      </c>
      <c r="AM495" s="663">
        <f t="shared" si="72"/>
        <v>0</v>
      </c>
      <c r="AN495" s="663">
        <f t="shared" si="72"/>
        <v>0</v>
      </c>
      <c r="AO495" s="663">
        <f t="shared" si="72"/>
        <v>0</v>
      </c>
      <c r="AP495" s="650"/>
    </row>
    <row r="496" spans="1:42" ht="14.25" customHeight="1" x14ac:dyDescent="0.3">
      <c r="A496" s="1216"/>
      <c r="B496" s="644"/>
      <c r="C496" s="653"/>
      <c r="D496" s="652" t="s">
        <v>1004</v>
      </c>
      <c r="E496" s="651">
        <v>8.5809128630705391</v>
      </c>
      <c r="F496" s="651">
        <v>4.397260273972603</v>
      </c>
      <c r="G496" s="651">
        <v>8.0434782608695645</v>
      </c>
      <c r="H496" s="651">
        <v>0</v>
      </c>
      <c r="I496" s="663">
        <f>I492*1000</f>
        <v>0</v>
      </c>
      <c r="J496" s="663">
        <f t="shared" ref="J496:AO496" si="73">J492*1000</f>
        <v>0</v>
      </c>
      <c r="K496" s="663">
        <f t="shared" si="73"/>
        <v>2234.8409417775492</v>
      </c>
      <c r="L496" s="663">
        <f t="shared" si="73"/>
        <v>8202.3809523809505</v>
      </c>
      <c r="M496" s="663">
        <f t="shared" si="73"/>
        <v>8202.3809523809505</v>
      </c>
      <c r="N496" s="663">
        <f t="shared" si="73"/>
        <v>8202.3809523809505</v>
      </c>
      <c r="O496" s="663">
        <f t="shared" si="73"/>
        <v>8202.3809523809505</v>
      </c>
      <c r="P496" s="663">
        <f t="shared" si="73"/>
        <v>8202.3809523809505</v>
      </c>
      <c r="Q496" s="663">
        <f t="shared" si="73"/>
        <v>8202.3809523809505</v>
      </c>
      <c r="R496" s="663">
        <f t="shared" si="73"/>
        <v>8202.3809523809505</v>
      </c>
      <c r="S496" s="663">
        <f t="shared" si="73"/>
        <v>8202.3809523809505</v>
      </c>
      <c r="T496" s="663">
        <f t="shared" si="73"/>
        <v>8202.3809523809505</v>
      </c>
      <c r="U496" s="663">
        <f t="shared" si="73"/>
        <v>8202.3809523809505</v>
      </c>
      <c r="V496" s="663">
        <f t="shared" si="73"/>
        <v>8202.3809523809505</v>
      </c>
      <c r="W496" s="663">
        <f t="shared" si="73"/>
        <v>8202.3809523809505</v>
      </c>
      <c r="X496" s="663">
        <f t="shared" si="73"/>
        <v>8202.3809523809505</v>
      </c>
      <c r="Y496" s="663">
        <f t="shared" si="73"/>
        <v>8202.3809523809505</v>
      </c>
      <c r="Z496" s="663">
        <f t="shared" si="73"/>
        <v>8202.3809523809505</v>
      </c>
      <c r="AA496" s="663">
        <f t="shared" si="73"/>
        <v>8202.3809523809505</v>
      </c>
      <c r="AB496" s="663">
        <f t="shared" si="73"/>
        <v>8202.3809523809505</v>
      </c>
      <c r="AC496" s="663">
        <f t="shared" si="73"/>
        <v>8202.3809523809505</v>
      </c>
      <c r="AD496" s="663">
        <f t="shared" si="73"/>
        <v>8202.3809523809505</v>
      </c>
      <c r="AE496" s="663">
        <f t="shared" si="73"/>
        <v>8202.3809523809505</v>
      </c>
      <c r="AF496" s="663">
        <f t="shared" si="73"/>
        <v>8202.3809523809505</v>
      </c>
      <c r="AG496" s="663">
        <f t="shared" si="73"/>
        <v>8202.3809523809505</v>
      </c>
      <c r="AH496" s="663">
        <f t="shared" si="73"/>
        <v>8202.3809523809505</v>
      </c>
      <c r="AI496" s="663">
        <f t="shared" si="73"/>
        <v>8202.3809523809505</v>
      </c>
      <c r="AJ496" s="663">
        <f t="shared" si="73"/>
        <v>8202.3809523809505</v>
      </c>
      <c r="AK496" s="663">
        <f t="shared" si="73"/>
        <v>8202.3809523809505</v>
      </c>
      <c r="AL496" s="663">
        <f t="shared" si="73"/>
        <v>8202.3809523809505</v>
      </c>
      <c r="AM496" s="663">
        <f t="shared" si="73"/>
        <v>8202.3809523809505</v>
      </c>
      <c r="AN496" s="663">
        <f t="shared" si="73"/>
        <v>8202.3809523809505</v>
      </c>
      <c r="AO496" s="663">
        <f t="shared" si="73"/>
        <v>8202.3809523809505</v>
      </c>
      <c r="AP496" s="650"/>
    </row>
    <row r="497" spans="1:73" ht="14.25" customHeight="1" x14ac:dyDescent="0.3">
      <c r="A497" s="1216"/>
      <c r="B497" s="644"/>
      <c r="C497" s="653"/>
      <c r="D497" s="652" t="s">
        <v>1005</v>
      </c>
      <c r="E497" s="651">
        <v>0.91039503869861405</v>
      </c>
      <c r="F497" s="651">
        <v>0.94444342989982599</v>
      </c>
      <c r="G497" s="651">
        <v>1.8248517971001508</v>
      </c>
      <c r="H497" s="651">
        <v>2.692844126905384</v>
      </c>
      <c r="I497" s="663">
        <f>I493*1000</f>
        <v>34949.999999999993</v>
      </c>
      <c r="J497" s="663">
        <f t="shared" ref="J497:AO497" si="74">J493*1000</f>
        <v>1066.7903030730602</v>
      </c>
      <c r="K497" s="663">
        <f t="shared" si="74"/>
        <v>3700</v>
      </c>
      <c r="L497" s="663">
        <f t="shared" si="74"/>
        <v>544.79891603414546</v>
      </c>
      <c r="M497" s="663">
        <f t="shared" si="74"/>
        <v>544.79891603414546</v>
      </c>
      <c r="N497" s="663">
        <f t="shared" si="74"/>
        <v>544.79891603414546</v>
      </c>
      <c r="O497" s="663">
        <f t="shared" si="74"/>
        <v>544.79891603414546</v>
      </c>
      <c r="P497" s="663">
        <f t="shared" si="74"/>
        <v>544.79891603414546</v>
      </c>
      <c r="Q497" s="663">
        <f t="shared" si="74"/>
        <v>544.79891603414546</v>
      </c>
      <c r="R497" s="663">
        <f t="shared" si="74"/>
        <v>544.79891603414546</v>
      </c>
      <c r="S497" s="663">
        <f t="shared" si="74"/>
        <v>544.79891603414546</v>
      </c>
      <c r="T497" s="663">
        <f t="shared" si="74"/>
        <v>544.79891603414546</v>
      </c>
      <c r="U497" s="663">
        <f t="shared" si="74"/>
        <v>544.79891603414546</v>
      </c>
      <c r="V497" s="663">
        <f t="shared" si="74"/>
        <v>544.79891603414546</v>
      </c>
      <c r="W497" s="663">
        <f t="shared" si="74"/>
        <v>544.79891603414546</v>
      </c>
      <c r="X497" s="663">
        <f t="shared" si="74"/>
        <v>544.79891603414546</v>
      </c>
      <c r="Y497" s="663">
        <f t="shared" si="74"/>
        <v>544.79891603414546</v>
      </c>
      <c r="Z497" s="663">
        <f t="shared" si="74"/>
        <v>544.79891603414546</v>
      </c>
      <c r="AA497" s="663">
        <f t="shared" si="74"/>
        <v>544.79891603414546</v>
      </c>
      <c r="AB497" s="663">
        <f t="shared" si="74"/>
        <v>544.79891603414546</v>
      </c>
      <c r="AC497" s="663">
        <f t="shared" si="74"/>
        <v>544.79891603414546</v>
      </c>
      <c r="AD497" s="663">
        <f t="shared" si="74"/>
        <v>544.79891603414546</v>
      </c>
      <c r="AE497" s="663">
        <f t="shared" si="74"/>
        <v>544.79891603414546</v>
      </c>
      <c r="AF497" s="663">
        <f t="shared" si="74"/>
        <v>544.79891603414546</v>
      </c>
      <c r="AG497" s="663">
        <f t="shared" si="74"/>
        <v>544.79891603414546</v>
      </c>
      <c r="AH497" s="663">
        <f t="shared" si="74"/>
        <v>544.79891603414546</v>
      </c>
      <c r="AI497" s="663">
        <f t="shared" si="74"/>
        <v>544.79891603414546</v>
      </c>
      <c r="AJ497" s="663">
        <f t="shared" si="74"/>
        <v>544.79891603414546</v>
      </c>
      <c r="AK497" s="663">
        <f t="shared" si="74"/>
        <v>544.79891603414546</v>
      </c>
      <c r="AL497" s="663">
        <f t="shared" si="74"/>
        <v>544.79891603414546</v>
      </c>
      <c r="AM497" s="663">
        <f t="shared" si="74"/>
        <v>544.79891603414546</v>
      </c>
      <c r="AN497" s="663">
        <f t="shared" si="74"/>
        <v>544.79891603414546</v>
      </c>
      <c r="AO497" s="663">
        <f t="shared" si="74"/>
        <v>544.79891603414546</v>
      </c>
      <c r="AP497" s="650"/>
    </row>
    <row r="498" spans="1:73" s="658" customFormat="1" ht="14.25" hidden="1" customHeight="1" x14ac:dyDescent="0.3">
      <c r="A498" s="684"/>
      <c r="B498" s="662"/>
      <c r="C498" s="661"/>
      <c r="D498" s="654" t="s">
        <v>1006</v>
      </c>
      <c r="E498" s="696">
        <f>SUM(E491:E493)</f>
        <v>15.840581509517337</v>
      </c>
      <c r="F498" s="696">
        <f t="shared" ref="F498:L498" si="75">SUM(F491:F493)</f>
        <v>10.844674000902131</v>
      </c>
      <c r="G498" s="696">
        <f t="shared" si="75"/>
        <v>9.8683300579697146</v>
      </c>
      <c r="H498" s="696">
        <f t="shared" si="75"/>
        <v>3.3851518192130765</v>
      </c>
      <c r="I498" s="696">
        <f t="shared" si="75"/>
        <v>36.15</v>
      </c>
      <c r="J498" s="696">
        <f t="shared" si="75"/>
        <v>1.0667903030730601</v>
      </c>
      <c r="K498" s="696">
        <f t="shared" si="75"/>
        <v>11.161507608444216</v>
      </c>
      <c r="L498" s="696">
        <f t="shared" si="75"/>
        <v>8.7471798684150954</v>
      </c>
      <c r="M498" s="696">
        <v>8.7471798684150954</v>
      </c>
      <c r="N498" s="696">
        <v>8.7471798684150954</v>
      </c>
      <c r="O498" s="696">
        <v>8.7471798684150954</v>
      </c>
      <c r="P498" s="696">
        <v>8.7471798684150954</v>
      </c>
      <c r="Q498" s="696">
        <v>8.7471798684150954</v>
      </c>
      <c r="R498" s="696">
        <v>8.7471798684150954</v>
      </c>
      <c r="S498" s="696">
        <v>8.7471798684150954</v>
      </c>
      <c r="T498" s="696">
        <v>8.7471798684150954</v>
      </c>
      <c r="U498" s="696">
        <v>8.7471798684150954</v>
      </c>
      <c r="V498" s="696">
        <v>8.7471798684150954</v>
      </c>
      <c r="W498" s="696">
        <v>8.7471798684150954</v>
      </c>
      <c r="X498" s="696">
        <v>8.7471798684150954</v>
      </c>
      <c r="Y498" s="696">
        <v>8.7471798684150954</v>
      </c>
      <c r="Z498" s="696">
        <v>8.7471798684150954</v>
      </c>
      <c r="AA498" s="696">
        <v>8.7471798684150954</v>
      </c>
      <c r="AB498" s="696">
        <v>8.7471798684150954</v>
      </c>
      <c r="AC498" s="696">
        <v>8.7471798684150954</v>
      </c>
      <c r="AD498" s="696">
        <v>8.7471798684150954</v>
      </c>
      <c r="AE498" s="696">
        <v>8.7471798684150954</v>
      </c>
      <c r="AF498" s="696">
        <v>8.7471798684150954</v>
      </c>
      <c r="AG498" s="696">
        <v>8.7471798684150954</v>
      </c>
      <c r="AH498" s="696">
        <v>8.7471798684150954</v>
      </c>
      <c r="AI498" s="696">
        <v>8.7471798684150954</v>
      </c>
      <c r="AJ498" s="696">
        <v>8.7471798684150954</v>
      </c>
      <c r="AK498" s="696">
        <v>8.7471798684150954</v>
      </c>
      <c r="AL498" s="696">
        <v>8.7471798684150954</v>
      </c>
      <c r="AM498" s="696">
        <v>8.7471798684150954</v>
      </c>
      <c r="AN498" s="696">
        <v>8.7471798684150954</v>
      </c>
      <c r="AO498" s="696">
        <v>8.7471798684150954</v>
      </c>
      <c r="AP498" s="659"/>
    </row>
    <row r="499" spans="1:73" ht="13.5" customHeight="1" x14ac:dyDescent="0.35">
      <c r="A499" s="973"/>
      <c r="B499" s="644"/>
      <c r="C499" s="653"/>
      <c r="D499" s="657"/>
      <c r="E499" s="657"/>
      <c r="F499" s="657"/>
      <c r="G499" s="657"/>
      <c r="H499" s="657"/>
      <c r="I499" s="656"/>
      <c r="J499" s="656"/>
      <c r="K499" s="656"/>
      <c r="L499" s="656"/>
      <c r="M499" s="656"/>
      <c r="N499" s="656"/>
      <c r="O499" s="656"/>
      <c r="P499" s="656"/>
      <c r="Q499" s="656"/>
      <c r="R499" s="656"/>
      <c r="S499" s="656"/>
      <c r="T499" s="656"/>
      <c r="U499" s="656"/>
      <c r="V499" s="656"/>
      <c r="W499" s="656"/>
      <c r="X499" s="656"/>
      <c r="Y499" s="656"/>
      <c r="Z499" s="656"/>
      <c r="AA499" s="656"/>
      <c r="AB499" s="656"/>
      <c r="AC499" s="656"/>
      <c r="AD499" s="656"/>
      <c r="AE499" s="656"/>
      <c r="AF499" s="656"/>
      <c r="AG499" s="656"/>
      <c r="AH499" s="656"/>
      <c r="AI499" s="656"/>
      <c r="AJ499" s="656"/>
      <c r="AK499" s="656"/>
      <c r="AL499" s="656"/>
      <c r="AM499" s="656"/>
      <c r="AN499" s="656"/>
      <c r="AO499" s="656"/>
      <c r="AP499" s="650"/>
    </row>
    <row r="500" spans="1:73" ht="13.5" customHeight="1" x14ac:dyDescent="0.3">
      <c r="A500" s="973"/>
      <c r="B500" s="644"/>
      <c r="C500" s="653"/>
      <c r="D500" s="655" t="s">
        <v>980</v>
      </c>
      <c r="E500" s="654"/>
      <c r="F500" s="654"/>
      <c r="G500" s="654"/>
      <c r="H500" s="654"/>
      <c r="I500" s="652"/>
      <c r="J500" s="652"/>
      <c r="K500" s="652"/>
      <c r="L500" s="652"/>
      <c r="M500" s="652"/>
      <c r="N500" s="652"/>
      <c r="O500" s="652"/>
      <c r="P500" s="652"/>
      <c r="Q500" s="652"/>
      <c r="R500" s="652"/>
      <c r="S500" s="652"/>
      <c r="T500" s="652"/>
      <c r="U500" s="652"/>
      <c r="V500" s="652"/>
      <c r="W500" s="652"/>
      <c r="X500" s="652"/>
      <c r="Y500" s="652"/>
      <c r="Z500" s="652"/>
      <c r="AA500" s="652"/>
      <c r="AB500" s="652"/>
      <c r="AC500" s="652"/>
      <c r="AD500" s="652"/>
      <c r="AE500" s="652"/>
      <c r="AF500" s="652"/>
      <c r="AG500" s="652"/>
      <c r="AH500" s="652"/>
      <c r="AI500" s="652"/>
      <c r="AJ500" s="652"/>
      <c r="AK500" s="652"/>
      <c r="AL500" s="652"/>
      <c r="AM500" s="652"/>
      <c r="AN500" s="652"/>
      <c r="AO500" s="652"/>
      <c r="AP500" s="650"/>
    </row>
    <row r="501" spans="1:73" ht="13.5" hidden="1" customHeight="1" x14ac:dyDescent="0.3">
      <c r="A501" s="1216" t="s">
        <v>521</v>
      </c>
      <c r="B501" s="644"/>
      <c r="C501" s="653"/>
      <c r="D501" s="652" t="s">
        <v>1003</v>
      </c>
      <c r="E501" s="651">
        <v>4.4741830849637338</v>
      </c>
      <c r="F501" s="651">
        <v>4.4319083438889288</v>
      </c>
      <c r="G501" s="651">
        <v>4.2192291929013894</v>
      </c>
      <c r="H501" s="651">
        <v>4.8599591663736348</v>
      </c>
      <c r="I501" s="651">
        <v>4.5769997271082881</v>
      </c>
      <c r="J501" s="651">
        <v>4.8641853781166775</v>
      </c>
      <c r="K501" s="651">
        <v>5.1414522110511616</v>
      </c>
      <c r="L501" s="651">
        <v>6.0538076901983935</v>
      </c>
      <c r="M501" s="651">
        <v>6.0538076901983935</v>
      </c>
      <c r="N501" s="651">
        <v>6.0538076901983935</v>
      </c>
      <c r="O501" s="651">
        <v>6.0538076901983935</v>
      </c>
      <c r="P501" s="651">
        <v>6.0538076901983935</v>
      </c>
      <c r="Q501" s="651">
        <v>6.0538076901983935</v>
      </c>
      <c r="R501" s="651">
        <v>6.0538076901983935</v>
      </c>
      <c r="S501" s="651">
        <v>6.0538076901983935</v>
      </c>
      <c r="T501" s="651">
        <v>6.0538076901983935</v>
      </c>
      <c r="U501" s="651">
        <v>6.0538076901983935</v>
      </c>
      <c r="V501" s="651">
        <v>6.0538076901983935</v>
      </c>
      <c r="W501" s="651">
        <v>6.0538076901983935</v>
      </c>
      <c r="X501" s="651">
        <v>6.0538076901983935</v>
      </c>
      <c r="Y501" s="651">
        <v>6.0538076901983935</v>
      </c>
      <c r="Z501" s="651">
        <v>6.0538076901983935</v>
      </c>
      <c r="AA501" s="651">
        <v>6.0538076901983935</v>
      </c>
      <c r="AB501" s="651">
        <v>6.0538076901983935</v>
      </c>
      <c r="AC501" s="651">
        <v>6.0538076901983935</v>
      </c>
      <c r="AD501" s="651">
        <v>6.0538076901983935</v>
      </c>
      <c r="AE501" s="651">
        <v>6.0538076901983935</v>
      </c>
      <c r="AF501" s="651">
        <v>6.0538076901983935</v>
      </c>
      <c r="AG501" s="651">
        <v>6.0538076901983935</v>
      </c>
      <c r="AH501" s="651">
        <v>6.0538076901983935</v>
      </c>
      <c r="AI501" s="651">
        <v>6.0538076901983935</v>
      </c>
      <c r="AJ501" s="651">
        <v>6.0538076901983935</v>
      </c>
      <c r="AK501" s="651">
        <v>6.0538076901983935</v>
      </c>
      <c r="AL501" s="651">
        <v>6.0538076901983935</v>
      </c>
      <c r="AM501" s="651">
        <v>6.0538076901983935</v>
      </c>
      <c r="AN501" s="651">
        <v>6.0538076901983935</v>
      </c>
      <c r="AO501" s="651">
        <v>6.0538076901983935</v>
      </c>
      <c r="AP501" s="650"/>
      <c r="AR501" s="649" t="str">
        <f t="shared" ref="AR501:BA503" si="76">IF(L501&lt;0,"PROBLEMA","")</f>
        <v/>
      </c>
      <c r="AS501" s="649" t="str">
        <f t="shared" si="76"/>
        <v/>
      </c>
      <c r="AT501" s="649" t="str">
        <f t="shared" si="76"/>
        <v/>
      </c>
      <c r="AU501" s="649" t="str">
        <f t="shared" si="76"/>
        <v/>
      </c>
      <c r="AV501" s="649" t="str">
        <f t="shared" si="76"/>
        <v/>
      </c>
      <c r="AW501" s="649" t="str">
        <f t="shared" si="76"/>
        <v/>
      </c>
      <c r="AX501" s="649" t="str">
        <f t="shared" si="76"/>
        <v/>
      </c>
      <c r="AY501" s="649" t="str">
        <f t="shared" si="76"/>
        <v/>
      </c>
      <c r="AZ501" s="649" t="str">
        <f t="shared" si="76"/>
        <v/>
      </c>
      <c r="BA501" s="649" t="str">
        <f t="shared" si="76"/>
        <v/>
      </c>
      <c r="BB501" s="649" t="str">
        <f t="shared" ref="BB501:BK503" si="77">IF(V501&lt;0,"PROBLEMA","")</f>
        <v/>
      </c>
      <c r="BC501" s="649" t="str">
        <f t="shared" si="77"/>
        <v/>
      </c>
      <c r="BD501" s="649" t="str">
        <f t="shared" si="77"/>
        <v/>
      </c>
      <c r="BE501" s="649" t="str">
        <f t="shared" si="77"/>
        <v/>
      </c>
      <c r="BF501" s="649" t="str">
        <f t="shared" si="77"/>
        <v/>
      </c>
      <c r="BG501" s="649" t="str">
        <f t="shared" si="77"/>
        <v/>
      </c>
      <c r="BH501" s="649" t="str">
        <f t="shared" si="77"/>
        <v/>
      </c>
      <c r="BI501" s="649" t="str">
        <f t="shared" si="77"/>
        <v/>
      </c>
      <c r="BJ501" s="649" t="str">
        <f t="shared" si="77"/>
        <v/>
      </c>
      <c r="BK501" s="649" t="str">
        <f t="shared" si="77"/>
        <v/>
      </c>
      <c r="BL501" s="649" t="str">
        <f t="shared" ref="BL501:BU503" si="78">IF(AF501&lt;0,"PROBLEMA","")</f>
        <v/>
      </c>
      <c r="BM501" s="649" t="str">
        <f t="shared" si="78"/>
        <v/>
      </c>
      <c r="BN501" s="649" t="str">
        <f t="shared" si="78"/>
        <v/>
      </c>
      <c r="BO501" s="649" t="str">
        <f t="shared" si="78"/>
        <v/>
      </c>
      <c r="BP501" s="649" t="str">
        <f t="shared" si="78"/>
        <v/>
      </c>
      <c r="BQ501" s="649" t="str">
        <f t="shared" si="78"/>
        <v/>
      </c>
      <c r="BR501" s="649" t="str">
        <f t="shared" si="78"/>
        <v/>
      </c>
      <c r="BS501" s="649" t="str">
        <f t="shared" si="78"/>
        <v/>
      </c>
      <c r="BT501" s="649" t="str">
        <f t="shared" si="78"/>
        <v/>
      </c>
      <c r="BU501" s="649" t="str">
        <f t="shared" si="78"/>
        <v/>
      </c>
    </row>
    <row r="502" spans="1:73" ht="14.25" hidden="1" customHeight="1" x14ac:dyDescent="0.3">
      <c r="A502" s="1216"/>
      <c r="B502" s="644"/>
      <c r="C502" s="653"/>
      <c r="D502" s="652" t="s">
        <v>1004</v>
      </c>
      <c r="E502" s="651">
        <v>1.8847537059887876</v>
      </c>
      <c r="F502" s="651">
        <v>1.6124341631011063</v>
      </c>
      <c r="G502" s="651">
        <v>1.4611436420561084</v>
      </c>
      <c r="H502" s="651">
        <v>1.63004180844626</v>
      </c>
      <c r="I502" s="651">
        <v>1.7545544947922194</v>
      </c>
      <c r="J502" s="651">
        <v>1.653384372365956</v>
      </c>
      <c r="K502" s="651">
        <v>1.7628372826865986</v>
      </c>
      <c r="L502" s="651">
        <v>2.0605841419565256</v>
      </c>
      <c r="M502" s="651">
        <v>2.0605841419565256</v>
      </c>
      <c r="N502" s="651">
        <v>2.0605841419565256</v>
      </c>
      <c r="O502" s="651">
        <v>2.0605841419565256</v>
      </c>
      <c r="P502" s="651">
        <v>2.0605841419565256</v>
      </c>
      <c r="Q502" s="651">
        <v>2.0605841419565256</v>
      </c>
      <c r="R502" s="651">
        <v>2.0605841419565256</v>
      </c>
      <c r="S502" s="651">
        <v>2.0605841419565256</v>
      </c>
      <c r="T502" s="651">
        <v>2.0605841419565256</v>
      </c>
      <c r="U502" s="651">
        <v>2.0605841419565256</v>
      </c>
      <c r="V502" s="651">
        <v>2.0605841419565256</v>
      </c>
      <c r="W502" s="651">
        <v>2.0605841419565256</v>
      </c>
      <c r="X502" s="651">
        <v>2.0605841419565256</v>
      </c>
      <c r="Y502" s="651">
        <v>2.0605841419565256</v>
      </c>
      <c r="Z502" s="651">
        <v>2.0605841419565256</v>
      </c>
      <c r="AA502" s="651">
        <v>2.0605841419565256</v>
      </c>
      <c r="AB502" s="651">
        <v>2.0605841419565256</v>
      </c>
      <c r="AC502" s="651">
        <v>2.0605841419565256</v>
      </c>
      <c r="AD502" s="651">
        <v>2.0605841419565256</v>
      </c>
      <c r="AE502" s="651">
        <v>2.0605841419565256</v>
      </c>
      <c r="AF502" s="651">
        <v>2.0605841419565256</v>
      </c>
      <c r="AG502" s="651">
        <v>2.0605841419565256</v>
      </c>
      <c r="AH502" s="651">
        <v>2.0605841419565256</v>
      </c>
      <c r="AI502" s="651">
        <v>2.0605841419565256</v>
      </c>
      <c r="AJ502" s="651">
        <v>2.0605841419565256</v>
      </c>
      <c r="AK502" s="651">
        <v>2.0605841419565256</v>
      </c>
      <c r="AL502" s="651">
        <v>2.0605841419565256</v>
      </c>
      <c r="AM502" s="651">
        <v>2.0605841419565256</v>
      </c>
      <c r="AN502" s="651">
        <v>2.0605841419565256</v>
      </c>
      <c r="AO502" s="651">
        <v>2.0605841419565256</v>
      </c>
      <c r="AP502" s="650"/>
      <c r="AR502" s="649" t="str">
        <f t="shared" si="76"/>
        <v/>
      </c>
      <c r="AS502" s="649" t="str">
        <f t="shared" si="76"/>
        <v/>
      </c>
      <c r="AT502" s="649" t="str">
        <f t="shared" si="76"/>
        <v/>
      </c>
      <c r="AU502" s="649" t="str">
        <f t="shared" si="76"/>
        <v/>
      </c>
      <c r="AV502" s="649" t="str">
        <f t="shared" si="76"/>
        <v/>
      </c>
      <c r="AW502" s="649" t="str">
        <f t="shared" si="76"/>
        <v/>
      </c>
      <c r="AX502" s="649" t="str">
        <f t="shared" si="76"/>
        <v/>
      </c>
      <c r="AY502" s="649" t="str">
        <f t="shared" si="76"/>
        <v/>
      </c>
      <c r="AZ502" s="649" t="str">
        <f t="shared" si="76"/>
        <v/>
      </c>
      <c r="BA502" s="649" t="str">
        <f t="shared" si="76"/>
        <v/>
      </c>
      <c r="BB502" s="649" t="str">
        <f t="shared" si="77"/>
        <v/>
      </c>
      <c r="BC502" s="649" t="str">
        <f t="shared" si="77"/>
        <v/>
      </c>
      <c r="BD502" s="649" t="str">
        <f t="shared" si="77"/>
        <v/>
      </c>
      <c r="BE502" s="649" t="str">
        <f t="shared" si="77"/>
        <v/>
      </c>
      <c r="BF502" s="649" t="str">
        <f t="shared" si="77"/>
        <v/>
      </c>
      <c r="BG502" s="649" t="str">
        <f t="shared" si="77"/>
        <v/>
      </c>
      <c r="BH502" s="649" t="str">
        <f t="shared" si="77"/>
        <v/>
      </c>
      <c r="BI502" s="649" t="str">
        <f t="shared" si="77"/>
        <v/>
      </c>
      <c r="BJ502" s="649" t="str">
        <f t="shared" si="77"/>
        <v/>
      </c>
      <c r="BK502" s="649" t="str">
        <f t="shared" si="77"/>
        <v/>
      </c>
      <c r="BL502" s="649" t="str">
        <f t="shared" si="78"/>
        <v/>
      </c>
      <c r="BM502" s="649" t="str">
        <f t="shared" si="78"/>
        <v/>
      </c>
      <c r="BN502" s="649" t="str">
        <f t="shared" si="78"/>
        <v/>
      </c>
      <c r="BO502" s="649" t="str">
        <f t="shared" si="78"/>
        <v/>
      </c>
      <c r="BP502" s="649" t="str">
        <f t="shared" si="78"/>
        <v/>
      </c>
      <c r="BQ502" s="649" t="str">
        <f t="shared" si="78"/>
        <v/>
      </c>
      <c r="BR502" s="649" t="str">
        <f t="shared" si="78"/>
        <v/>
      </c>
      <c r="BS502" s="649" t="str">
        <f t="shared" si="78"/>
        <v/>
      </c>
      <c r="BT502" s="649" t="str">
        <f t="shared" si="78"/>
        <v/>
      </c>
      <c r="BU502" s="649" t="str">
        <f t="shared" si="78"/>
        <v/>
      </c>
    </row>
    <row r="503" spans="1:73" ht="14.25" hidden="1" customHeight="1" x14ac:dyDescent="0.3">
      <c r="A503" s="1216"/>
      <c r="B503" s="644"/>
      <c r="C503" s="653"/>
      <c r="D503" s="652" t="s">
        <v>1005</v>
      </c>
      <c r="E503" s="651">
        <v>0</v>
      </c>
      <c r="F503" s="651">
        <v>0</v>
      </c>
      <c r="G503" s="651">
        <v>0</v>
      </c>
      <c r="H503" s="651">
        <v>0</v>
      </c>
      <c r="I503" s="651">
        <v>0</v>
      </c>
      <c r="J503" s="651">
        <v>0</v>
      </c>
      <c r="K503" s="651">
        <v>0</v>
      </c>
      <c r="L503" s="651">
        <v>0</v>
      </c>
      <c r="M503" s="651">
        <v>0</v>
      </c>
      <c r="N503" s="651">
        <v>0</v>
      </c>
      <c r="O503" s="651">
        <v>0</v>
      </c>
      <c r="P503" s="651">
        <v>0</v>
      </c>
      <c r="Q503" s="651">
        <v>0</v>
      </c>
      <c r="R503" s="651">
        <v>0</v>
      </c>
      <c r="S503" s="651">
        <v>0</v>
      </c>
      <c r="T503" s="651">
        <v>0</v>
      </c>
      <c r="U503" s="651">
        <v>0</v>
      </c>
      <c r="V503" s="651">
        <v>0</v>
      </c>
      <c r="W503" s="651">
        <v>0</v>
      </c>
      <c r="X503" s="651">
        <v>0</v>
      </c>
      <c r="Y503" s="651">
        <v>0</v>
      </c>
      <c r="Z503" s="651">
        <v>0</v>
      </c>
      <c r="AA503" s="651">
        <v>0</v>
      </c>
      <c r="AB503" s="651">
        <v>0</v>
      </c>
      <c r="AC503" s="651">
        <v>0</v>
      </c>
      <c r="AD503" s="651">
        <v>0</v>
      </c>
      <c r="AE503" s="651">
        <v>0</v>
      </c>
      <c r="AF503" s="651">
        <v>0</v>
      </c>
      <c r="AG503" s="651">
        <v>0</v>
      </c>
      <c r="AH503" s="651">
        <v>0</v>
      </c>
      <c r="AI503" s="651">
        <v>0</v>
      </c>
      <c r="AJ503" s="651">
        <v>0</v>
      </c>
      <c r="AK503" s="651">
        <v>0</v>
      </c>
      <c r="AL503" s="651">
        <v>0</v>
      </c>
      <c r="AM503" s="651">
        <v>0</v>
      </c>
      <c r="AN503" s="651">
        <v>0</v>
      </c>
      <c r="AO503" s="651">
        <v>0</v>
      </c>
      <c r="AP503" s="650"/>
      <c r="AR503" s="649" t="str">
        <f t="shared" si="76"/>
        <v/>
      </c>
      <c r="AS503" s="649" t="str">
        <f t="shared" si="76"/>
        <v/>
      </c>
      <c r="AT503" s="649" t="str">
        <f t="shared" si="76"/>
        <v/>
      </c>
      <c r="AU503" s="649" t="str">
        <f t="shared" si="76"/>
        <v/>
      </c>
      <c r="AV503" s="649" t="str">
        <f t="shared" si="76"/>
        <v/>
      </c>
      <c r="AW503" s="649" t="str">
        <f t="shared" si="76"/>
        <v/>
      </c>
      <c r="AX503" s="649" t="str">
        <f t="shared" si="76"/>
        <v/>
      </c>
      <c r="AY503" s="649" t="str">
        <f t="shared" si="76"/>
        <v/>
      </c>
      <c r="AZ503" s="649" t="str">
        <f t="shared" si="76"/>
        <v/>
      </c>
      <c r="BA503" s="649" t="str">
        <f t="shared" si="76"/>
        <v/>
      </c>
      <c r="BB503" s="649" t="str">
        <f t="shared" si="77"/>
        <v/>
      </c>
      <c r="BC503" s="649" t="str">
        <f t="shared" si="77"/>
        <v/>
      </c>
      <c r="BD503" s="649" t="str">
        <f t="shared" si="77"/>
        <v/>
      </c>
      <c r="BE503" s="649" t="str">
        <f t="shared" si="77"/>
        <v/>
      </c>
      <c r="BF503" s="649" t="str">
        <f t="shared" si="77"/>
        <v/>
      </c>
      <c r="BG503" s="649" t="str">
        <f t="shared" si="77"/>
        <v/>
      </c>
      <c r="BH503" s="649" t="str">
        <f t="shared" si="77"/>
        <v/>
      </c>
      <c r="BI503" s="649" t="str">
        <f t="shared" si="77"/>
        <v/>
      </c>
      <c r="BJ503" s="649" t="str">
        <f t="shared" si="77"/>
        <v/>
      </c>
      <c r="BK503" s="649" t="str">
        <f t="shared" si="77"/>
        <v/>
      </c>
      <c r="BL503" s="649" t="str">
        <f t="shared" si="78"/>
        <v/>
      </c>
      <c r="BM503" s="649" t="str">
        <f t="shared" si="78"/>
        <v/>
      </c>
      <c r="BN503" s="649" t="str">
        <f t="shared" si="78"/>
        <v/>
      </c>
      <c r="BO503" s="649" t="str">
        <f t="shared" si="78"/>
        <v/>
      </c>
      <c r="BP503" s="649" t="str">
        <f t="shared" si="78"/>
        <v/>
      </c>
      <c r="BQ503" s="649" t="str">
        <f t="shared" si="78"/>
        <v/>
      </c>
      <c r="BR503" s="649" t="str">
        <f t="shared" si="78"/>
        <v/>
      </c>
      <c r="BS503" s="649" t="str">
        <f t="shared" si="78"/>
        <v/>
      </c>
      <c r="BT503" s="649" t="str">
        <f t="shared" si="78"/>
        <v/>
      </c>
      <c r="BU503" s="649" t="str">
        <f t="shared" si="78"/>
        <v/>
      </c>
    </row>
    <row r="504" spans="1:73" ht="14.25" customHeight="1" x14ac:dyDescent="0.3">
      <c r="A504" s="973"/>
      <c r="B504" s="644"/>
      <c r="C504" s="653"/>
      <c r="D504" s="652"/>
      <c r="E504" s="651"/>
      <c r="F504" s="651"/>
      <c r="G504" s="651"/>
      <c r="H504" s="651"/>
      <c r="I504" s="651"/>
      <c r="J504" s="651"/>
      <c r="K504" s="651"/>
      <c r="L504" s="651"/>
      <c r="M504" s="651"/>
      <c r="N504" s="651"/>
      <c r="O504" s="651"/>
      <c r="P504" s="651"/>
      <c r="Q504" s="651"/>
      <c r="R504" s="651"/>
      <c r="S504" s="651"/>
      <c r="T504" s="651"/>
      <c r="U504" s="651"/>
      <c r="V504" s="651"/>
      <c r="W504" s="651"/>
      <c r="X504" s="651"/>
      <c r="Y504" s="651"/>
      <c r="Z504" s="651"/>
      <c r="AA504" s="651"/>
      <c r="AB504" s="651"/>
      <c r="AC504" s="651"/>
      <c r="AD504" s="651"/>
      <c r="AE504" s="651"/>
      <c r="AF504" s="651"/>
      <c r="AG504" s="651"/>
      <c r="AH504" s="651"/>
      <c r="AI504" s="651"/>
      <c r="AJ504" s="651"/>
      <c r="AK504" s="651"/>
      <c r="AL504" s="651"/>
      <c r="AM504" s="651"/>
      <c r="AN504" s="651"/>
      <c r="AO504" s="651"/>
      <c r="AP504" s="650"/>
      <c r="AR504" s="649"/>
      <c r="AS504" s="649"/>
      <c r="AT504" s="649"/>
      <c r="AU504" s="649"/>
      <c r="AV504" s="649"/>
      <c r="AW504" s="649"/>
      <c r="AX504" s="649"/>
      <c r="AY504" s="649"/>
      <c r="AZ504" s="649"/>
      <c r="BA504" s="649"/>
      <c r="BB504" s="649"/>
      <c r="BC504" s="649"/>
      <c r="BD504" s="649"/>
      <c r="BE504" s="649"/>
      <c r="BF504" s="649"/>
      <c r="BG504" s="649"/>
      <c r="BH504" s="649"/>
      <c r="BI504" s="649"/>
      <c r="BJ504" s="649"/>
      <c r="BK504" s="649"/>
      <c r="BL504" s="649"/>
      <c r="BM504" s="649"/>
      <c r="BN504" s="649"/>
      <c r="BO504" s="649"/>
      <c r="BP504" s="649"/>
      <c r="BQ504" s="649"/>
      <c r="BR504" s="649"/>
      <c r="BS504" s="649"/>
      <c r="BT504" s="649"/>
      <c r="BU504" s="649"/>
    </row>
    <row r="505" spans="1:73" ht="13.5" customHeight="1" x14ac:dyDescent="0.3">
      <c r="A505" s="1216" t="s">
        <v>521</v>
      </c>
      <c r="B505" s="644"/>
      <c r="C505" s="653"/>
      <c r="D505" s="652" t="s">
        <v>1003</v>
      </c>
      <c r="E505" s="651">
        <v>4.4741830849637338</v>
      </c>
      <c r="F505" s="651">
        <v>4.4319083438889288</v>
      </c>
      <c r="G505" s="651">
        <v>4.2192291929013894</v>
      </c>
      <c r="H505" s="651">
        <v>4.8599591663736348</v>
      </c>
      <c r="I505" s="663">
        <f>I501*1000</f>
        <v>4576.9997271082884</v>
      </c>
      <c r="J505" s="663">
        <f t="shared" ref="J505:AO505" si="79">J501*1000</f>
        <v>4864.1853781166774</v>
      </c>
      <c r="K505" s="663">
        <f t="shared" si="79"/>
        <v>5141.4522110511616</v>
      </c>
      <c r="L505" s="663">
        <f t="shared" si="79"/>
        <v>6053.8076901983932</v>
      </c>
      <c r="M505" s="663">
        <f t="shared" si="79"/>
        <v>6053.8076901983932</v>
      </c>
      <c r="N505" s="663">
        <f t="shared" si="79"/>
        <v>6053.8076901983932</v>
      </c>
      <c r="O505" s="663">
        <f t="shared" si="79"/>
        <v>6053.8076901983932</v>
      </c>
      <c r="P505" s="663">
        <f t="shared" si="79"/>
        <v>6053.8076901983932</v>
      </c>
      <c r="Q505" s="663">
        <f t="shared" si="79"/>
        <v>6053.8076901983932</v>
      </c>
      <c r="R505" s="663">
        <f t="shared" si="79"/>
        <v>6053.8076901983932</v>
      </c>
      <c r="S505" s="663">
        <f t="shared" si="79"/>
        <v>6053.8076901983932</v>
      </c>
      <c r="T505" s="663">
        <f t="shared" si="79"/>
        <v>6053.8076901983932</v>
      </c>
      <c r="U505" s="663">
        <f t="shared" si="79"/>
        <v>6053.8076901983932</v>
      </c>
      <c r="V505" s="663">
        <f t="shared" si="79"/>
        <v>6053.8076901983932</v>
      </c>
      <c r="W505" s="663">
        <f t="shared" si="79"/>
        <v>6053.8076901983932</v>
      </c>
      <c r="X505" s="663">
        <f t="shared" si="79"/>
        <v>6053.8076901983932</v>
      </c>
      <c r="Y505" s="663">
        <f t="shared" si="79"/>
        <v>6053.8076901983932</v>
      </c>
      <c r="Z505" s="663">
        <f t="shared" si="79"/>
        <v>6053.8076901983932</v>
      </c>
      <c r="AA505" s="663">
        <f t="shared" si="79"/>
        <v>6053.8076901983932</v>
      </c>
      <c r="AB505" s="663">
        <f t="shared" si="79"/>
        <v>6053.8076901983932</v>
      </c>
      <c r="AC505" s="663">
        <f t="shared" si="79"/>
        <v>6053.8076901983932</v>
      </c>
      <c r="AD505" s="663">
        <f t="shared" si="79"/>
        <v>6053.8076901983932</v>
      </c>
      <c r="AE505" s="663">
        <f t="shared" si="79"/>
        <v>6053.8076901983932</v>
      </c>
      <c r="AF505" s="663">
        <f t="shared" si="79"/>
        <v>6053.8076901983932</v>
      </c>
      <c r="AG505" s="663">
        <f t="shared" si="79"/>
        <v>6053.8076901983932</v>
      </c>
      <c r="AH505" s="663">
        <f t="shared" si="79"/>
        <v>6053.8076901983932</v>
      </c>
      <c r="AI505" s="663">
        <f t="shared" si="79"/>
        <v>6053.8076901983932</v>
      </c>
      <c r="AJ505" s="663">
        <f t="shared" si="79"/>
        <v>6053.8076901983932</v>
      </c>
      <c r="AK505" s="663">
        <f t="shared" si="79"/>
        <v>6053.8076901983932</v>
      </c>
      <c r="AL505" s="663">
        <f t="shared" si="79"/>
        <v>6053.8076901983932</v>
      </c>
      <c r="AM505" s="663">
        <f t="shared" si="79"/>
        <v>6053.8076901983932</v>
      </c>
      <c r="AN505" s="663">
        <f t="shared" si="79"/>
        <v>6053.8076901983932</v>
      </c>
      <c r="AO505" s="663">
        <f t="shared" si="79"/>
        <v>6053.8076901983932</v>
      </c>
      <c r="AP505" s="650"/>
      <c r="AR505" s="649" t="str">
        <f t="shared" ref="AR505:AR507" si="80">IF(L505&lt;0,"PROBLEMA","")</f>
        <v/>
      </c>
      <c r="AS505" s="649" t="str">
        <f t="shared" ref="AS505:AS507" si="81">IF(M505&lt;0,"PROBLEMA","")</f>
        <v/>
      </c>
      <c r="AT505" s="649" t="str">
        <f t="shared" ref="AT505:AT507" si="82">IF(N505&lt;0,"PROBLEMA","")</f>
        <v/>
      </c>
      <c r="AU505" s="649" t="str">
        <f t="shared" ref="AU505:AU507" si="83">IF(O505&lt;0,"PROBLEMA","")</f>
        <v/>
      </c>
      <c r="AV505" s="649" t="str">
        <f t="shared" ref="AV505:AV507" si="84">IF(P505&lt;0,"PROBLEMA","")</f>
        <v/>
      </c>
      <c r="AW505" s="649" t="str">
        <f t="shared" ref="AW505:AW507" si="85">IF(Q505&lt;0,"PROBLEMA","")</f>
        <v/>
      </c>
      <c r="AX505" s="649" t="str">
        <f t="shared" ref="AX505:AX507" si="86">IF(R505&lt;0,"PROBLEMA","")</f>
        <v/>
      </c>
      <c r="AY505" s="649" t="str">
        <f t="shared" ref="AY505:AY507" si="87">IF(S505&lt;0,"PROBLEMA","")</f>
        <v/>
      </c>
      <c r="AZ505" s="649" t="str">
        <f t="shared" ref="AZ505:AZ507" si="88">IF(T505&lt;0,"PROBLEMA","")</f>
        <v/>
      </c>
      <c r="BA505" s="649" t="str">
        <f t="shared" ref="BA505:BA507" si="89">IF(U505&lt;0,"PROBLEMA","")</f>
        <v/>
      </c>
      <c r="BB505" s="649" t="str">
        <f t="shared" ref="BB505:BB507" si="90">IF(V505&lt;0,"PROBLEMA","")</f>
        <v/>
      </c>
      <c r="BC505" s="649" t="str">
        <f t="shared" ref="BC505:BC507" si="91">IF(W505&lt;0,"PROBLEMA","")</f>
        <v/>
      </c>
      <c r="BD505" s="649" t="str">
        <f t="shared" ref="BD505:BD507" si="92">IF(X505&lt;0,"PROBLEMA","")</f>
        <v/>
      </c>
      <c r="BE505" s="649" t="str">
        <f t="shared" ref="BE505:BE507" si="93">IF(Y505&lt;0,"PROBLEMA","")</f>
        <v/>
      </c>
      <c r="BF505" s="649" t="str">
        <f t="shared" ref="BF505:BF507" si="94">IF(Z505&lt;0,"PROBLEMA","")</f>
        <v/>
      </c>
      <c r="BG505" s="649" t="str">
        <f t="shared" ref="BG505:BG507" si="95">IF(AA505&lt;0,"PROBLEMA","")</f>
        <v/>
      </c>
      <c r="BH505" s="649" t="str">
        <f t="shared" ref="BH505:BH507" si="96">IF(AB505&lt;0,"PROBLEMA","")</f>
        <v/>
      </c>
      <c r="BI505" s="649" t="str">
        <f t="shared" ref="BI505:BI507" si="97">IF(AC505&lt;0,"PROBLEMA","")</f>
        <v/>
      </c>
      <c r="BJ505" s="649" t="str">
        <f t="shared" ref="BJ505:BJ507" si="98">IF(AD505&lt;0,"PROBLEMA","")</f>
        <v/>
      </c>
      <c r="BK505" s="649" t="str">
        <f t="shared" ref="BK505:BK507" si="99">IF(AE505&lt;0,"PROBLEMA","")</f>
        <v/>
      </c>
      <c r="BL505" s="649" t="str">
        <f t="shared" ref="BL505:BL507" si="100">IF(AF505&lt;0,"PROBLEMA","")</f>
        <v/>
      </c>
      <c r="BM505" s="649" t="str">
        <f t="shared" ref="BM505:BM507" si="101">IF(AG505&lt;0,"PROBLEMA","")</f>
        <v/>
      </c>
      <c r="BN505" s="649" t="str">
        <f t="shared" ref="BN505:BN507" si="102">IF(AH505&lt;0,"PROBLEMA","")</f>
        <v/>
      </c>
      <c r="BO505" s="649" t="str">
        <f t="shared" ref="BO505:BO507" si="103">IF(AI505&lt;0,"PROBLEMA","")</f>
        <v/>
      </c>
      <c r="BP505" s="649" t="str">
        <f t="shared" ref="BP505:BP507" si="104">IF(AJ505&lt;0,"PROBLEMA","")</f>
        <v/>
      </c>
      <c r="BQ505" s="649" t="str">
        <f t="shared" ref="BQ505:BQ507" si="105">IF(AK505&lt;0,"PROBLEMA","")</f>
        <v/>
      </c>
      <c r="BR505" s="649" t="str">
        <f t="shared" ref="BR505:BR507" si="106">IF(AL505&lt;0,"PROBLEMA","")</f>
        <v/>
      </c>
      <c r="BS505" s="649" t="str">
        <f t="shared" ref="BS505:BS507" si="107">IF(AM505&lt;0,"PROBLEMA","")</f>
        <v/>
      </c>
      <c r="BT505" s="649" t="str">
        <f t="shared" ref="BT505:BT507" si="108">IF(AN505&lt;0,"PROBLEMA","")</f>
        <v/>
      </c>
      <c r="BU505" s="649" t="str">
        <f t="shared" ref="BU505:BU507" si="109">IF(AO505&lt;0,"PROBLEMA","")</f>
        <v/>
      </c>
    </row>
    <row r="506" spans="1:73" ht="14.25" customHeight="1" x14ac:dyDescent="0.3">
      <c r="A506" s="1216"/>
      <c r="B506" s="644"/>
      <c r="C506" s="653"/>
      <c r="D506" s="652" t="s">
        <v>1004</v>
      </c>
      <c r="E506" s="651">
        <v>1.8847537059887876</v>
      </c>
      <c r="F506" s="651">
        <v>1.6124341631011063</v>
      </c>
      <c r="G506" s="651">
        <v>1.4611436420561084</v>
      </c>
      <c r="H506" s="651">
        <v>1.63004180844626</v>
      </c>
      <c r="I506" s="663">
        <f t="shared" ref="I506:I507" si="110">I502*1000</f>
        <v>1754.5544947922194</v>
      </c>
      <c r="J506" s="663">
        <f t="shared" ref="J506:AO506" si="111">J502*1000</f>
        <v>1653.3843723659561</v>
      </c>
      <c r="K506" s="663">
        <f t="shared" si="111"/>
        <v>1762.8372826865987</v>
      </c>
      <c r="L506" s="663">
        <f t="shared" si="111"/>
        <v>2060.5841419565254</v>
      </c>
      <c r="M506" s="663">
        <f t="shared" si="111"/>
        <v>2060.5841419565254</v>
      </c>
      <c r="N506" s="663">
        <f t="shared" si="111"/>
        <v>2060.5841419565254</v>
      </c>
      <c r="O506" s="663">
        <f t="shared" si="111"/>
        <v>2060.5841419565254</v>
      </c>
      <c r="P506" s="663">
        <f t="shared" si="111"/>
        <v>2060.5841419565254</v>
      </c>
      <c r="Q506" s="663">
        <f t="shared" si="111"/>
        <v>2060.5841419565254</v>
      </c>
      <c r="R506" s="663">
        <f t="shared" si="111"/>
        <v>2060.5841419565254</v>
      </c>
      <c r="S506" s="663">
        <f t="shared" si="111"/>
        <v>2060.5841419565254</v>
      </c>
      <c r="T506" s="663">
        <f t="shared" si="111"/>
        <v>2060.5841419565254</v>
      </c>
      <c r="U506" s="663">
        <f t="shared" si="111"/>
        <v>2060.5841419565254</v>
      </c>
      <c r="V506" s="663">
        <f t="shared" si="111"/>
        <v>2060.5841419565254</v>
      </c>
      <c r="W506" s="663">
        <f t="shared" si="111"/>
        <v>2060.5841419565254</v>
      </c>
      <c r="X506" s="663">
        <f t="shared" si="111"/>
        <v>2060.5841419565254</v>
      </c>
      <c r="Y506" s="663">
        <f t="shared" si="111"/>
        <v>2060.5841419565254</v>
      </c>
      <c r="Z506" s="663">
        <f t="shared" si="111"/>
        <v>2060.5841419565254</v>
      </c>
      <c r="AA506" s="663">
        <f t="shared" si="111"/>
        <v>2060.5841419565254</v>
      </c>
      <c r="AB506" s="663">
        <f t="shared" si="111"/>
        <v>2060.5841419565254</v>
      </c>
      <c r="AC506" s="663">
        <f t="shared" si="111"/>
        <v>2060.5841419565254</v>
      </c>
      <c r="AD506" s="663">
        <f t="shared" si="111"/>
        <v>2060.5841419565254</v>
      </c>
      <c r="AE506" s="663">
        <f t="shared" si="111"/>
        <v>2060.5841419565254</v>
      </c>
      <c r="AF506" s="663">
        <f t="shared" si="111"/>
        <v>2060.5841419565254</v>
      </c>
      <c r="AG506" s="663">
        <f t="shared" si="111"/>
        <v>2060.5841419565254</v>
      </c>
      <c r="AH506" s="663">
        <f t="shared" si="111"/>
        <v>2060.5841419565254</v>
      </c>
      <c r="AI506" s="663">
        <f t="shared" si="111"/>
        <v>2060.5841419565254</v>
      </c>
      <c r="AJ506" s="663">
        <f t="shared" si="111"/>
        <v>2060.5841419565254</v>
      </c>
      <c r="AK506" s="663">
        <f t="shared" si="111"/>
        <v>2060.5841419565254</v>
      </c>
      <c r="AL506" s="663">
        <f t="shared" si="111"/>
        <v>2060.5841419565254</v>
      </c>
      <c r="AM506" s="663">
        <f t="shared" si="111"/>
        <v>2060.5841419565254</v>
      </c>
      <c r="AN506" s="663">
        <f t="shared" si="111"/>
        <v>2060.5841419565254</v>
      </c>
      <c r="AO506" s="663">
        <f t="shared" si="111"/>
        <v>2060.5841419565254</v>
      </c>
      <c r="AP506" s="650"/>
      <c r="AR506" s="649" t="str">
        <f t="shared" si="80"/>
        <v/>
      </c>
      <c r="AS506" s="649" t="str">
        <f t="shared" si="81"/>
        <v/>
      </c>
      <c r="AT506" s="649" t="str">
        <f t="shared" si="82"/>
        <v/>
      </c>
      <c r="AU506" s="649" t="str">
        <f t="shared" si="83"/>
        <v/>
      </c>
      <c r="AV506" s="649" t="str">
        <f t="shared" si="84"/>
        <v/>
      </c>
      <c r="AW506" s="649" t="str">
        <f t="shared" si="85"/>
        <v/>
      </c>
      <c r="AX506" s="649" t="str">
        <f t="shared" si="86"/>
        <v/>
      </c>
      <c r="AY506" s="649" t="str">
        <f t="shared" si="87"/>
        <v/>
      </c>
      <c r="AZ506" s="649" t="str">
        <f t="shared" si="88"/>
        <v/>
      </c>
      <c r="BA506" s="649" t="str">
        <f t="shared" si="89"/>
        <v/>
      </c>
      <c r="BB506" s="649" t="str">
        <f t="shared" si="90"/>
        <v/>
      </c>
      <c r="BC506" s="649" t="str">
        <f t="shared" si="91"/>
        <v/>
      </c>
      <c r="BD506" s="649" t="str">
        <f t="shared" si="92"/>
        <v/>
      </c>
      <c r="BE506" s="649" t="str">
        <f t="shared" si="93"/>
        <v/>
      </c>
      <c r="BF506" s="649" t="str">
        <f t="shared" si="94"/>
        <v/>
      </c>
      <c r="BG506" s="649" t="str">
        <f t="shared" si="95"/>
        <v/>
      </c>
      <c r="BH506" s="649" t="str">
        <f t="shared" si="96"/>
        <v/>
      </c>
      <c r="BI506" s="649" t="str">
        <f t="shared" si="97"/>
        <v/>
      </c>
      <c r="BJ506" s="649" t="str">
        <f t="shared" si="98"/>
        <v/>
      </c>
      <c r="BK506" s="649" t="str">
        <f t="shared" si="99"/>
        <v/>
      </c>
      <c r="BL506" s="649" t="str">
        <f t="shared" si="100"/>
        <v/>
      </c>
      <c r="BM506" s="649" t="str">
        <f t="shared" si="101"/>
        <v/>
      </c>
      <c r="BN506" s="649" t="str">
        <f t="shared" si="102"/>
        <v/>
      </c>
      <c r="BO506" s="649" t="str">
        <f t="shared" si="103"/>
        <v/>
      </c>
      <c r="BP506" s="649" t="str">
        <f t="shared" si="104"/>
        <v/>
      </c>
      <c r="BQ506" s="649" t="str">
        <f t="shared" si="105"/>
        <v/>
      </c>
      <c r="BR506" s="649" t="str">
        <f t="shared" si="106"/>
        <v/>
      </c>
      <c r="BS506" s="649" t="str">
        <f t="shared" si="107"/>
        <v/>
      </c>
      <c r="BT506" s="649" t="str">
        <f t="shared" si="108"/>
        <v/>
      </c>
      <c r="BU506" s="649" t="str">
        <f t="shared" si="109"/>
        <v/>
      </c>
    </row>
    <row r="507" spans="1:73" ht="14.25" customHeight="1" x14ac:dyDescent="0.3">
      <c r="A507" s="1216"/>
      <c r="B507" s="644"/>
      <c r="C507" s="653"/>
      <c r="D507" s="652" t="s">
        <v>1005</v>
      </c>
      <c r="E507" s="651">
        <v>0</v>
      </c>
      <c r="F507" s="651">
        <v>0</v>
      </c>
      <c r="G507" s="651">
        <v>0</v>
      </c>
      <c r="H507" s="651">
        <v>0</v>
      </c>
      <c r="I507" s="663">
        <f t="shared" si="110"/>
        <v>0</v>
      </c>
      <c r="J507" s="663">
        <f t="shared" ref="J507:AO507" si="112">J503*1000</f>
        <v>0</v>
      </c>
      <c r="K507" s="663">
        <f t="shared" si="112"/>
        <v>0</v>
      </c>
      <c r="L507" s="663">
        <f t="shared" si="112"/>
        <v>0</v>
      </c>
      <c r="M507" s="663">
        <f t="shared" si="112"/>
        <v>0</v>
      </c>
      <c r="N507" s="663">
        <f t="shared" si="112"/>
        <v>0</v>
      </c>
      <c r="O507" s="663">
        <f t="shared" si="112"/>
        <v>0</v>
      </c>
      <c r="P507" s="663">
        <f t="shared" si="112"/>
        <v>0</v>
      </c>
      <c r="Q507" s="663">
        <f t="shared" si="112"/>
        <v>0</v>
      </c>
      <c r="R507" s="663">
        <f t="shared" si="112"/>
        <v>0</v>
      </c>
      <c r="S507" s="663">
        <f t="shared" si="112"/>
        <v>0</v>
      </c>
      <c r="T507" s="663">
        <f t="shared" si="112"/>
        <v>0</v>
      </c>
      <c r="U507" s="663">
        <f t="shared" si="112"/>
        <v>0</v>
      </c>
      <c r="V507" s="663">
        <f t="shared" si="112"/>
        <v>0</v>
      </c>
      <c r="W507" s="663">
        <f t="shared" si="112"/>
        <v>0</v>
      </c>
      <c r="X507" s="663">
        <f t="shared" si="112"/>
        <v>0</v>
      </c>
      <c r="Y507" s="663">
        <f t="shared" si="112"/>
        <v>0</v>
      </c>
      <c r="Z507" s="663">
        <f t="shared" si="112"/>
        <v>0</v>
      </c>
      <c r="AA507" s="663">
        <f t="shared" si="112"/>
        <v>0</v>
      </c>
      <c r="AB507" s="663">
        <f t="shared" si="112"/>
        <v>0</v>
      </c>
      <c r="AC507" s="663">
        <f t="shared" si="112"/>
        <v>0</v>
      </c>
      <c r="AD507" s="663">
        <f t="shared" si="112"/>
        <v>0</v>
      </c>
      <c r="AE507" s="663">
        <f t="shared" si="112"/>
        <v>0</v>
      </c>
      <c r="AF507" s="663">
        <f t="shared" si="112"/>
        <v>0</v>
      </c>
      <c r="AG507" s="663">
        <f t="shared" si="112"/>
        <v>0</v>
      </c>
      <c r="AH507" s="663">
        <f t="shared" si="112"/>
        <v>0</v>
      </c>
      <c r="AI507" s="663">
        <f t="shared" si="112"/>
        <v>0</v>
      </c>
      <c r="AJ507" s="663">
        <f t="shared" si="112"/>
        <v>0</v>
      </c>
      <c r="AK507" s="663">
        <f t="shared" si="112"/>
        <v>0</v>
      </c>
      <c r="AL507" s="663">
        <f t="shared" si="112"/>
        <v>0</v>
      </c>
      <c r="AM507" s="663">
        <f t="shared" si="112"/>
        <v>0</v>
      </c>
      <c r="AN507" s="663">
        <f t="shared" si="112"/>
        <v>0</v>
      </c>
      <c r="AO507" s="663">
        <f t="shared" si="112"/>
        <v>0</v>
      </c>
      <c r="AP507" s="650"/>
      <c r="AR507" s="649" t="str">
        <f t="shared" si="80"/>
        <v/>
      </c>
      <c r="AS507" s="649" t="str">
        <f t="shared" si="81"/>
        <v/>
      </c>
      <c r="AT507" s="649" t="str">
        <f t="shared" si="82"/>
        <v/>
      </c>
      <c r="AU507" s="649" t="str">
        <f t="shared" si="83"/>
        <v/>
      </c>
      <c r="AV507" s="649" t="str">
        <f t="shared" si="84"/>
        <v/>
      </c>
      <c r="AW507" s="649" t="str">
        <f t="shared" si="85"/>
        <v/>
      </c>
      <c r="AX507" s="649" t="str">
        <f t="shared" si="86"/>
        <v/>
      </c>
      <c r="AY507" s="649" t="str">
        <f t="shared" si="87"/>
        <v/>
      </c>
      <c r="AZ507" s="649" t="str">
        <f t="shared" si="88"/>
        <v/>
      </c>
      <c r="BA507" s="649" t="str">
        <f t="shared" si="89"/>
        <v/>
      </c>
      <c r="BB507" s="649" t="str">
        <f t="shared" si="90"/>
        <v/>
      </c>
      <c r="BC507" s="649" t="str">
        <f t="shared" si="91"/>
        <v/>
      </c>
      <c r="BD507" s="649" t="str">
        <f t="shared" si="92"/>
        <v/>
      </c>
      <c r="BE507" s="649" t="str">
        <f t="shared" si="93"/>
        <v/>
      </c>
      <c r="BF507" s="649" t="str">
        <f t="shared" si="94"/>
        <v/>
      </c>
      <c r="BG507" s="649" t="str">
        <f t="shared" si="95"/>
        <v/>
      </c>
      <c r="BH507" s="649" t="str">
        <f t="shared" si="96"/>
        <v/>
      </c>
      <c r="BI507" s="649" t="str">
        <f t="shared" si="97"/>
        <v/>
      </c>
      <c r="BJ507" s="649" t="str">
        <f t="shared" si="98"/>
        <v/>
      </c>
      <c r="BK507" s="649" t="str">
        <f t="shared" si="99"/>
        <v/>
      </c>
      <c r="BL507" s="649" t="str">
        <f t="shared" si="100"/>
        <v/>
      </c>
      <c r="BM507" s="649" t="str">
        <f t="shared" si="101"/>
        <v/>
      </c>
      <c r="BN507" s="649" t="str">
        <f t="shared" si="102"/>
        <v/>
      </c>
      <c r="BO507" s="649" t="str">
        <f t="shared" si="103"/>
        <v/>
      </c>
      <c r="BP507" s="649" t="str">
        <f t="shared" si="104"/>
        <v/>
      </c>
      <c r="BQ507" s="649" t="str">
        <f t="shared" si="105"/>
        <v/>
      </c>
      <c r="BR507" s="649" t="str">
        <f t="shared" si="106"/>
        <v/>
      </c>
      <c r="BS507" s="649" t="str">
        <f t="shared" si="107"/>
        <v/>
      </c>
      <c r="BT507" s="649" t="str">
        <f t="shared" si="108"/>
        <v/>
      </c>
      <c r="BU507" s="649" t="str">
        <f t="shared" si="109"/>
        <v/>
      </c>
    </row>
    <row r="508" spans="1:73" s="658" customFormat="1" ht="14.25" hidden="1" customHeight="1" x14ac:dyDescent="0.3">
      <c r="A508" s="684"/>
      <c r="B508" s="662"/>
      <c r="C508" s="661"/>
      <c r="D508" s="654" t="s">
        <v>1006</v>
      </c>
      <c r="E508" s="696">
        <f>SUM(E501:E503)</f>
        <v>6.3589367909525212</v>
      </c>
      <c r="F508" s="696">
        <f t="shared" ref="F508:L508" si="113">SUM(F501:F503)</f>
        <v>6.0443425069900352</v>
      </c>
      <c r="G508" s="696">
        <f t="shared" si="113"/>
        <v>5.680372834957498</v>
      </c>
      <c r="H508" s="696">
        <f t="shared" si="113"/>
        <v>6.4900009748198944</v>
      </c>
      <c r="I508" s="696">
        <f t="shared" si="113"/>
        <v>6.3315542219005074</v>
      </c>
      <c r="J508" s="696">
        <f t="shared" si="113"/>
        <v>6.5175697504826333</v>
      </c>
      <c r="K508" s="696">
        <f t="shared" si="113"/>
        <v>6.9042894937377604</v>
      </c>
      <c r="L508" s="696">
        <f t="shared" si="113"/>
        <v>8.1143918321549187</v>
      </c>
      <c r="M508" s="696">
        <v>8.1143918321549187</v>
      </c>
      <c r="N508" s="696">
        <v>8.1143918321549187</v>
      </c>
      <c r="O508" s="696">
        <v>8.1143918321549187</v>
      </c>
      <c r="P508" s="696">
        <v>8.1143918321549187</v>
      </c>
      <c r="Q508" s="696">
        <v>8.1143918321549187</v>
      </c>
      <c r="R508" s="696">
        <v>8.1143918321549187</v>
      </c>
      <c r="S508" s="696">
        <v>8.1143918321549187</v>
      </c>
      <c r="T508" s="696">
        <v>8.1143918321549187</v>
      </c>
      <c r="U508" s="696">
        <v>8.1143918321549187</v>
      </c>
      <c r="V508" s="696">
        <v>8.1143918321549187</v>
      </c>
      <c r="W508" s="696">
        <v>8.1143918321549187</v>
      </c>
      <c r="X508" s="696">
        <v>8.1143918321549187</v>
      </c>
      <c r="Y508" s="696">
        <v>8.1143918321549187</v>
      </c>
      <c r="Z508" s="696">
        <v>8.1143918321549187</v>
      </c>
      <c r="AA508" s="696">
        <v>8.1143918321549187</v>
      </c>
      <c r="AB508" s="696">
        <v>8.1143918321549187</v>
      </c>
      <c r="AC508" s="696">
        <v>8.1143918321549187</v>
      </c>
      <c r="AD508" s="696">
        <v>8.1143918321549187</v>
      </c>
      <c r="AE508" s="696">
        <v>8.1143918321549187</v>
      </c>
      <c r="AF508" s="696">
        <v>8.1143918321549187</v>
      </c>
      <c r="AG508" s="696">
        <v>8.1143918321549187</v>
      </c>
      <c r="AH508" s="696">
        <v>8.1143918321549187</v>
      </c>
      <c r="AI508" s="696">
        <v>8.1143918321549187</v>
      </c>
      <c r="AJ508" s="696">
        <v>8.1143918321549187</v>
      </c>
      <c r="AK508" s="696">
        <v>8.1143918321549187</v>
      </c>
      <c r="AL508" s="696">
        <v>8.1143918321549187</v>
      </c>
      <c r="AM508" s="696">
        <v>8.1143918321549187</v>
      </c>
      <c r="AN508" s="696">
        <v>8.1143918321549187</v>
      </c>
      <c r="AO508" s="696">
        <v>8.1143918321549187</v>
      </c>
      <c r="AP508" s="659"/>
    </row>
    <row r="509" spans="1:73" ht="13.5" customHeight="1" x14ac:dyDescent="0.35">
      <c r="A509" s="973"/>
      <c r="B509" s="644"/>
      <c r="C509" s="653"/>
      <c r="D509" s="657"/>
      <c r="E509" s="657"/>
      <c r="F509" s="657"/>
      <c r="G509" s="657"/>
      <c r="H509" s="657"/>
      <c r="I509" s="656"/>
      <c r="J509" s="656"/>
      <c r="K509" s="656"/>
      <c r="L509" s="656"/>
      <c r="M509" s="656"/>
      <c r="N509" s="656"/>
      <c r="O509" s="656"/>
      <c r="P509" s="656"/>
      <c r="Q509" s="656"/>
      <c r="R509" s="656"/>
      <c r="S509" s="656"/>
      <c r="T509" s="656"/>
      <c r="U509" s="656"/>
      <c r="V509" s="656"/>
      <c r="W509" s="656"/>
      <c r="X509" s="656"/>
      <c r="Y509" s="656"/>
      <c r="Z509" s="656"/>
      <c r="AA509" s="656"/>
      <c r="AB509" s="656"/>
      <c r="AC509" s="656"/>
      <c r="AD509" s="656"/>
      <c r="AE509" s="656"/>
      <c r="AF509" s="656"/>
      <c r="AG509" s="656"/>
      <c r="AH509" s="656"/>
      <c r="AI509" s="656"/>
      <c r="AJ509" s="656"/>
      <c r="AK509" s="656"/>
      <c r="AL509" s="656"/>
      <c r="AM509" s="656"/>
      <c r="AN509" s="656"/>
      <c r="AO509" s="656"/>
      <c r="AP509" s="650"/>
    </row>
    <row r="510" spans="1:73" ht="13.25" customHeight="1" thickBot="1" x14ac:dyDescent="0.4">
      <c r="A510" s="973"/>
      <c r="B510" s="644"/>
      <c r="C510" s="648"/>
      <c r="D510" s="647"/>
      <c r="E510" s="647"/>
      <c r="F510" s="647"/>
      <c r="G510" s="647"/>
      <c r="H510" s="647"/>
      <c r="I510" s="646"/>
      <c r="J510" s="646"/>
      <c r="K510" s="646"/>
      <c r="L510" s="646"/>
      <c r="M510" s="646"/>
      <c r="N510" s="646"/>
      <c r="O510" s="646"/>
      <c r="P510" s="646"/>
      <c r="Q510" s="646"/>
      <c r="R510" s="646"/>
      <c r="S510" s="646"/>
      <c r="T510" s="646"/>
      <c r="U510" s="646"/>
      <c r="V510" s="646"/>
      <c r="W510" s="646"/>
      <c r="X510" s="646"/>
      <c r="Y510" s="646"/>
      <c r="Z510" s="646"/>
      <c r="AA510" s="646"/>
      <c r="AB510" s="646"/>
      <c r="AC510" s="646"/>
      <c r="AD510" s="646"/>
      <c r="AE510" s="646"/>
      <c r="AF510" s="646"/>
      <c r="AG510" s="646"/>
      <c r="AH510" s="646"/>
      <c r="AI510" s="646"/>
      <c r="AJ510" s="646"/>
      <c r="AK510" s="646"/>
      <c r="AL510" s="646"/>
      <c r="AM510" s="646"/>
      <c r="AN510" s="646"/>
      <c r="AO510" s="646"/>
      <c r="AP510" s="645"/>
    </row>
    <row r="511" spans="1:73" ht="14.25" hidden="1" customHeight="1" thickBot="1" x14ac:dyDescent="0.35">
      <c r="A511" s="973"/>
      <c r="B511" s="644"/>
      <c r="I511" s="642"/>
      <c r="J511" s="642"/>
      <c r="K511" s="642"/>
      <c r="L511" s="642"/>
      <c r="M511" s="642"/>
      <c r="N511" s="642"/>
      <c r="O511" s="642"/>
      <c r="P511" s="642"/>
      <c r="Q511" s="642"/>
      <c r="R511" s="642"/>
      <c r="S511" s="642"/>
      <c r="T511" s="642"/>
      <c r="U511" s="642"/>
      <c r="V511" s="642"/>
      <c r="W511" s="642"/>
      <c r="X511" s="642"/>
      <c r="Y511" s="642"/>
      <c r="Z511" s="642"/>
      <c r="AA511" s="642"/>
      <c r="AB511" s="642"/>
      <c r="AC511" s="642"/>
      <c r="AD511" s="642"/>
      <c r="AE511" s="642"/>
      <c r="AF511" s="642"/>
      <c r="AG511" s="642"/>
      <c r="AH511" s="642"/>
      <c r="AI511" s="642"/>
      <c r="AJ511" s="642"/>
      <c r="AK511" s="642"/>
      <c r="AL511" s="642"/>
      <c r="AM511" s="642"/>
      <c r="AN511" s="642"/>
      <c r="AO511" s="642"/>
    </row>
    <row r="512" spans="1:73" ht="13.5" hidden="1" customHeight="1" x14ac:dyDescent="0.3">
      <c r="A512" s="973"/>
      <c r="B512" s="644"/>
      <c r="C512" s="698"/>
      <c r="D512" s="699"/>
      <c r="E512" s="699"/>
      <c r="F512" s="699"/>
      <c r="G512" s="699"/>
      <c r="H512" s="699"/>
      <c r="I512" s="699"/>
      <c r="J512" s="699"/>
      <c r="K512" s="699"/>
      <c r="L512" s="699"/>
      <c r="M512" s="699"/>
      <c r="N512" s="699"/>
      <c r="O512" s="699"/>
      <c r="P512" s="699"/>
      <c r="Q512" s="699"/>
      <c r="R512" s="699"/>
      <c r="S512" s="699"/>
      <c r="T512" s="699"/>
      <c r="U512" s="699"/>
      <c r="V512" s="699"/>
      <c r="W512" s="699"/>
      <c r="X512" s="699"/>
      <c r="Y512" s="699"/>
      <c r="Z512" s="699"/>
      <c r="AA512" s="699"/>
      <c r="AB512" s="699"/>
      <c r="AC512" s="699"/>
      <c r="AD512" s="699"/>
      <c r="AE512" s="699"/>
      <c r="AF512" s="699"/>
      <c r="AG512" s="699"/>
      <c r="AH512" s="699"/>
      <c r="AI512" s="699"/>
      <c r="AJ512" s="699"/>
      <c r="AK512" s="699"/>
      <c r="AL512" s="699"/>
      <c r="AM512" s="699"/>
      <c r="AN512" s="699"/>
      <c r="AO512" s="699"/>
      <c r="AP512" s="700"/>
    </row>
    <row r="513" spans="1:42" ht="13.5" hidden="1" customHeight="1" x14ac:dyDescent="0.3">
      <c r="A513" s="973"/>
      <c r="B513" s="644"/>
      <c r="C513" s="706"/>
      <c r="D513" s="701" t="s">
        <v>1007</v>
      </c>
      <c r="E513" s="702"/>
      <c r="F513" s="702"/>
      <c r="G513" s="702"/>
      <c r="H513" s="702"/>
      <c r="I513" s="702"/>
      <c r="J513" s="702"/>
      <c r="K513" s="702"/>
      <c r="L513" s="702"/>
      <c r="M513" s="702"/>
      <c r="N513" s="702"/>
      <c r="O513" s="702"/>
      <c r="P513" s="702"/>
      <c r="Q513" s="702"/>
      <c r="R513" s="702"/>
      <c r="S513" s="702"/>
      <c r="T513" s="702"/>
      <c r="U513" s="702"/>
      <c r="V513" s="702"/>
      <c r="W513" s="702"/>
      <c r="X513" s="702"/>
      <c r="Y513" s="702"/>
      <c r="Z513" s="702"/>
      <c r="AA513" s="702"/>
      <c r="AB513" s="702"/>
      <c r="AC513" s="702"/>
      <c r="AD513" s="702"/>
      <c r="AE513" s="702"/>
      <c r="AF513" s="702"/>
      <c r="AG513" s="702"/>
      <c r="AH513" s="702"/>
      <c r="AI513" s="702"/>
      <c r="AJ513" s="702"/>
      <c r="AK513" s="702"/>
      <c r="AL513" s="702"/>
      <c r="AM513" s="702"/>
      <c r="AN513" s="702"/>
      <c r="AO513" s="702"/>
      <c r="AP513" s="704"/>
    </row>
    <row r="514" spans="1:42" ht="13.5" hidden="1" customHeight="1" x14ac:dyDescent="0.3">
      <c r="A514" s="973"/>
      <c r="B514" s="644"/>
      <c r="C514" s="706"/>
      <c r="D514" s="701"/>
      <c r="E514" s="702"/>
      <c r="F514" s="702"/>
      <c r="G514" s="702"/>
      <c r="H514" s="702"/>
      <c r="I514" s="702"/>
      <c r="J514" s="702"/>
      <c r="K514" s="702"/>
      <c r="L514" s="702"/>
      <c r="M514" s="702"/>
      <c r="N514" s="702"/>
      <c r="O514" s="702"/>
      <c r="P514" s="702"/>
      <c r="Q514" s="702"/>
      <c r="R514" s="702"/>
      <c r="S514" s="702"/>
      <c r="T514" s="702"/>
      <c r="U514" s="702"/>
      <c r="V514" s="702"/>
      <c r="W514" s="702"/>
      <c r="X514" s="702"/>
      <c r="Y514" s="702"/>
      <c r="Z514" s="702"/>
      <c r="AA514" s="702"/>
      <c r="AB514" s="702"/>
      <c r="AC514" s="702"/>
      <c r="AD514" s="702"/>
      <c r="AE514" s="702"/>
      <c r="AF514" s="702"/>
      <c r="AG514" s="702"/>
      <c r="AH514" s="702"/>
      <c r="AI514" s="702"/>
      <c r="AJ514" s="702"/>
      <c r="AK514" s="702"/>
      <c r="AL514" s="702"/>
      <c r="AM514" s="702"/>
      <c r="AN514" s="702"/>
      <c r="AO514" s="702"/>
      <c r="AP514" s="704"/>
    </row>
    <row r="515" spans="1:42" ht="13.5" hidden="1" customHeight="1" x14ac:dyDescent="0.3">
      <c r="A515" s="1215" t="s">
        <v>1008</v>
      </c>
      <c r="B515" s="644"/>
      <c r="C515" s="706"/>
      <c r="D515" s="702" t="s">
        <v>1009</v>
      </c>
      <c r="E515" s="702"/>
      <c r="F515" s="702"/>
      <c r="G515" s="702"/>
      <c r="H515" s="702"/>
      <c r="I515" s="702"/>
      <c r="J515" s="722">
        <v>90</v>
      </c>
      <c r="K515" s="722">
        <v>90</v>
      </c>
      <c r="L515" s="722">
        <v>90</v>
      </c>
      <c r="M515" s="722">
        <v>90</v>
      </c>
      <c r="N515" s="722">
        <v>90</v>
      </c>
      <c r="O515" s="722">
        <v>90</v>
      </c>
      <c r="P515" s="722">
        <v>90</v>
      </c>
      <c r="Q515" s="722">
        <v>90</v>
      </c>
      <c r="R515" s="722">
        <v>90</v>
      </c>
      <c r="S515" s="722">
        <v>90</v>
      </c>
      <c r="T515" s="722">
        <v>90</v>
      </c>
      <c r="U515" s="722">
        <v>90</v>
      </c>
      <c r="V515" s="722">
        <v>90</v>
      </c>
      <c r="W515" s="722">
        <v>90</v>
      </c>
      <c r="X515" s="722">
        <v>90</v>
      </c>
      <c r="Y515" s="722">
        <v>90</v>
      </c>
      <c r="Z515" s="722">
        <v>90</v>
      </c>
      <c r="AA515" s="722">
        <v>90</v>
      </c>
      <c r="AB515" s="722">
        <v>90</v>
      </c>
      <c r="AC515" s="722">
        <v>90</v>
      </c>
      <c r="AD515" s="722">
        <v>90</v>
      </c>
      <c r="AE515" s="722">
        <v>90</v>
      </c>
      <c r="AF515" s="722">
        <v>90</v>
      </c>
      <c r="AG515" s="722">
        <v>90</v>
      </c>
      <c r="AH515" s="722">
        <v>90</v>
      </c>
      <c r="AI515" s="722">
        <v>90</v>
      </c>
      <c r="AJ515" s="722">
        <v>90</v>
      </c>
      <c r="AK515" s="722">
        <v>90</v>
      </c>
      <c r="AL515" s="722">
        <v>90</v>
      </c>
      <c r="AM515" s="722">
        <v>90</v>
      </c>
      <c r="AN515" s="722">
        <v>90</v>
      </c>
      <c r="AO515" s="722">
        <v>90</v>
      </c>
      <c r="AP515" s="704"/>
    </row>
    <row r="516" spans="1:42" ht="13.5" hidden="1" customHeight="1" x14ac:dyDescent="0.3">
      <c r="A516" s="1215"/>
      <c r="B516" s="644"/>
      <c r="C516" s="706"/>
      <c r="D516" s="702" t="s">
        <v>1010</v>
      </c>
      <c r="E516" s="702"/>
      <c r="F516" s="702"/>
      <c r="G516" s="702"/>
      <c r="H516" s="702"/>
      <c r="I516" s="702"/>
      <c r="J516" s="722">
        <v>2.7</v>
      </c>
      <c r="K516" s="722">
        <v>2.7</v>
      </c>
      <c r="L516" s="722">
        <v>2.7</v>
      </c>
      <c r="M516" s="722">
        <v>2.7</v>
      </c>
      <c r="N516" s="722">
        <v>2.7</v>
      </c>
      <c r="O516" s="722">
        <v>2.7</v>
      </c>
      <c r="P516" s="722">
        <v>2.7</v>
      </c>
      <c r="Q516" s="722">
        <v>2.7</v>
      </c>
      <c r="R516" s="722">
        <v>2.7</v>
      </c>
      <c r="S516" s="722">
        <v>2.7</v>
      </c>
      <c r="T516" s="722">
        <v>2.7</v>
      </c>
      <c r="U516" s="722">
        <v>2.7</v>
      </c>
      <c r="V516" s="722">
        <v>2.7</v>
      </c>
      <c r="W516" s="722">
        <v>2.7</v>
      </c>
      <c r="X516" s="722">
        <v>2.7</v>
      </c>
      <c r="Y516" s="722">
        <v>2.7</v>
      </c>
      <c r="Z516" s="722">
        <v>2.7</v>
      </c>
      <c r="AA516" s="722">
        <v>2.7</v>
      </c>
      <c r="AB516" s="722">
        <v>2.7</v>
      </c>
      <c r="AC516" s="722">
        <v>2.7</v>
      </c>
      <c r="AD516" s="722">
        <v>2.7</v>
      </c>
      <c r="AE516" s="722">
        <v>2.7</v>
      </c>
      <c r="AF516" s="722">
        <v>2.7</v>
      </c>
      <c r="AG516" s="722">
        <v>2.7</v>
      </c>
      <c r="AH516" s="722">
        <v>2.7</v>
      </c>
      <c r="AI516" s="722">
        <v>2.7</v>
      </c>
      <c r="AJ516" s="722">
        <v>2.7</v>
      </c>
      <c r="AK516" s="722">
        <v>2.7</v>
      </c>
      <c r="AL516" s="722">
        <v>2.7</v>
      </c>
      <c r="AM516" s="722">
        <v>2.7</v>
      </c>
      <c r="AN516" s="722">
        <v>2.7</v>
      </c>
      <c r="AO516" s="722">
        <v>2.7</v>
      </c>
      <c r="AP516" s="704"/>
    </row>
    <row r="517" spans="1:42" s="658" customFormat="1" ht="13.5" hidden="1" customHeight="1" x14ac:dyDescent="0.3">
      <c r="A517" s="1215"/>
      <c r="B517" s="662"/>
      <c r="C517" s="707"/>
      <c r="D517" s="703" t="s">
        <v>916</v>
      </c>
      <c r="E517" s="703"/>
      <c r="F517" s="703"/>
      <c r="G517" s="703"/>
      <c r="H517" s="703"/>
      <c r="I517" s="703"/>
      <c r="J517" s="723">
        <f>J515*J516</f>
        <v>243.00000000000003</v>
      </c>
      <c r="K517" s="723">
        <v>243.00000000000003</v>
      </c>
      <c r="L517" s="723">
        <v>243.00000000000003</v>
      </c>
      <c r="M517" s="723">
        <v>243.00000000000003</v>
      </c>
      <c r="N517" s="723">
        <v>243.00000000000003</v>
      </c>
      <c r="O517" s="723">
        <v>243.00000000000003</v>
      </c>
      <c r="P517" s="723">
        <v>243.00000000000003</v>
      </c>
      <c r="Q517" s="723">
        <v>243.00000000000003</v>
      </c>
      <c r="R517" s="723">
        <v>243.00000000000003</v>
      </c>
      <c r="S517" s="723">
        <v>243.00000000000003</v>
      </c>
      <c r="T517" s="723">
        <v>243.00000000000003</v>
      </c>
      <c r="U517" s="723">
        <v>243.00000000000003</v>
      </c>
      <c r="V517" s="723">
        <v>243.00000000000003</v>
      </c>
      <c r="W517" s="723">
        <v>243.00000000000003</v>
      </c>
      <c r="X517" s="723">
        <v>243.00000000000003</v>
      </c>
      <c r="Y517" s="723">
        <v>243.00000000000003</v>
      </c>
      <c r="Z517" s="723">
        <v>243.00000000000003</v>
      </c>
      <c r="AA517" s="723">
        <v>243.00000000000003</v>
      </c>
      <c r="AB517" s="723">
        <v>243.00000000000003</v>
      </c>
      <c r="AC517" s="723">
        <v>243.00000000000003</v>
      </c>
      <c r="AD517" s="723">
        <v>243.00000000000003</v>
      </c>
      <c r="AE517" s="723">
        <v>243.00000000000003</v>
      </c>
      <c r="AF517" s="723">
        <v>243.00000000000003</v>
      </c>
      <c r="AG517" s="723">
        <v>243.00000000000003</v>
      </c>
      <c r="AH517" s="723">
        <v>243.00000000000003</v>
      </c>
      <c r="AI517" s="723">
        <v>243.00000000000003</v>
      </c>
      <c r="AJ517" s="723">
        <v>243.00000000000003</v>
      </c>
      <c r="AK517" s="723">
        <v>243.00000000000003</v>
      </c>
      <c r="AL517" s="723">
        <v>243.00000000000003</v>
      </c>
      <c r="AM517" s="723">
        <v>243.00000000000003</v>
      </c>
      <c r="AN517" s="723">
        <v>243.00000000000003</v>
      </c>
      <c r="AO517" s="723">
        <v>243.00000000000003</v>
      </c>
      <c r="AP517" s="705"/>
    </row>
    <row r="518" spans="1:42" ht="13.25" hidden="1" customHeight="1" thickBot="1" x14ac:dyDescent="0.4">
      <c r="A518" s="973"/>
      <c r="B518" s="644"/>
      <c r="C518" s="708"/>
      <c r="D518" s="709"/>
      <c r="E518" s="709"/>
      <c r="F518" s="709"/>
      <c r="G518" s="709"/>
      <c r="H518" s="709"/>
      <c r="I518" s="710"/>
      <c r="J518" s="710"/>
      <c r="K518" s="710"/>
      <c r="L518" s="710"/>
      <c r="M518" s="710"/>
      <c r="N518" s="710"/>
      <c r="O518" s="710"/>
      <c r="P518" s="710"/>
      <c r="Q518" s="710"/>
      <c r="R518" s="710"/>
      <c r="S518" s="710"/>
      <c r="T518" s="710"/>
      <c r="U518" s="710"/>
      <c r="V518" s="710"/>
      <c r="W518" s="710"/>
      <c r="X518" s="710"/>
      <c r="Y518" s="710"/>
      <c r="Z518" s="710"/>
      <c r="AA518" s="710"/>
      <c r="AB518" s="710"/>
      <c r="AC518" s="710"/>
      <c r="AD518" s="710"/>
      <c r="AE518" s="710"/>
      <c r="AF518" s="710"/>
      <c r="AG518" s="710"/>
      <c r="AH518" s="710"/>
      <c r="AI518" s="710"/>
      <c r="AJ518" s="710"/>
      <c r="AK518" s="710"/>
      <c r="AL518" s="710"/>
      <c r="AM518" s="710"/>
      <c r="AN518" s="710"/>
      <c r="AO518" s="710"/>
      <c r="AP518" s="711"/>
    </row>
    <row r="519" spans="1:42" ht="14.25" hidden="1" customHeight="1" thickBot="1" x14ac:dyDescent="0.35">
      <c r="A519" s="973"/>
      <c r="B519" s="644"/>
      <c r="C519" s="642"/>
      <c r="D519" s="642"/>
      <c r="E519" s="642"/>
      <c r="F519" s="642"/>
      <c r="G519" s="642"/>
      <c r="H519" s="642"/>
      <c r="I519" s="642"/>
      <c r="J519" s="642"/>
      <c r="K519" s="642"/>
      <c r="L519" s="642"/>
      <c r="M519" s="642"/>
      <c r="N519" s="642"/>
      <c r="O519" s="642"/>
      <c r="P519" s="642"/>
      <c r="Q519" s="642"/>
      <c r="R519" s="642"/>
      <c r="S519" s="642"/>
      <c r="T519" s="642"/>
      <c r="U519" s="642"/>
      <c r="V519" s="642"/>
      <c r="W519" s="642"/>
      <c r="X519" s="642"/>
      <c r="Y519" s="642"/>
      <c r="Z519" s="642"/>
      <c r="AA519" s="642"/>
      <c r="AB519" s="642"/>
      <c r="AC519" s="642"/>
      <c r="AD519" s="642"/>
      <c r="AE519" s="642"/>
      <c r="AF519" s="642"/>
      <c r="AG519" s="642"/>
      <c r="AH519" s="642"/>
      <c r="AI519" s="642"/>
      <c r="AJ519" s="642"/>
      <c r="AK519" s="642"/>
      <c r="AL519" s="642"/>
      <c r="AM519" s="642"/>
      <c r="AN519" s="642"/>
      <c r="AO519" s="642"/>
      <c r="AP519" s="642"/>
    </row>
    <row r="520" spans="1:42" ht="13.5" hidden="1" customHeight="1" x14ac:dyDescent="0.3">
      <c r="A520" s="973"/>
      <c r="B520" s="644"/>
      <c r="C520" s="698"/>
      <c r="D520" s="699"/>
      <c r="E520" s="699"/>
      <c r="F520" s="699"/>
      <c r="G520" s="699"/>
      <c r="H520" s="699"/>
      <c r="I520" s="699"/>
      <c r="J520" s="699"/>
      <c r="K520" s="699"/>
      <c r="L520" s="699"/>
      <c r="M520" s="699"/>
      <c r="N520" s="699"/>
      <c r="O520" s="699"/>
      <c r="P520" s="699"/>
      <c r="Q520" s="699"/>
      <c r="R520" s="699"/>
      <c r="S520" s="699"/>
      <c r="T520" s="699"/>
      <c r="U520" s="699"/>
      <c r="V520" s="699"/>
      <c r="W520" s="699"/>
      <c r="X520" s="699"/>
      <c r="Y520" s="699"/>
      <c r="Z520" s="699"/>
      <c r="AA520" s="699"/>
      <c r="AB520" s="699"/>
      <c r="AC520" s="699"/>
      <c r="AD520" s="699"/>
      <c r="AE520" s="699"/>
      <c r="AF520" s="699"/>
      <c r="AG520" s="699"/>
      <c r="AH520" s="699"/>
      <c r="AI520" s="699"/>
      <c r="AJ520" s="699"/>
      <c r="AK520" s="699"/>
      <c r="AL520" s="699"/>
      <c r="AM520" s="699"/>
      <c r="AN520" s="699"/>
      <c r="AO520" s="699"/>
      <c r="AP520" s="700"/>
    </row>
    <row r="521" spans="1:42" ht="13.5" hidden="1" customHeight="1" x14ac:dyDescent="0.3">
      <c r="A521" s="973"/>
      <c r="B521" s="644"/>
      <c r="C521" s="706"/>
      <c r="D521" s="701" t="s">
        <v>1011</v>
      </c>
      <c r="E521" s="702"/>
      <c r="F521" s="702"/>
      <c r="G521" s="702"/>
      <c r="H521" s="702"/>
      <c r="I521" s="702"/>
      <c r="J521" s="702"/>
      <c r="K521" s="702"/>
      <c r="L521" s="702"/>
      <c r="M521" s="702"/>
      <c r="N521" s="702"/>
      <c r="O521" s="702"/>
      <c r="P521" s="702"/>
      <c r="Q521" s="702"/>
      <c r="R521" s="702"/>
      <c r="S521" s="702"/>
      <c r="T521" s="702"/>
      <c r="U521" s="702"/>
      <c r="V521" s="702"/>
      <c r="W521" s="702"/>
      <c r="X521" s="702"/>
      <c r="Y521" s="702"/>
      <c r="Z521" s="702"/>
      <c r="AA521" s="702"/>
      <c r="AB521" s="702"/>
      <c r="AC521" s="702"/>
      <c r="AD521" s="702"/>
      <c r="AE521" s="702"/>
      <c r="AF521" s="702"/>
      <c r="AG521" s="702"/>
      <c r="AH521" s="702"/>
      <c r="AI521" s="702"/>
      <c r="AJ521" s="702"/>
      <c r="AK521" s="702"/>
      <c r="AL521" s="702"/>
      <c r="AM521" s="702"/>
      <c r="AN521" s="702"/>
      <c r="AO521" s="702"/>
      <c r="AP521" s="704"/>
    </row>
    <row r="522" spans="1:42" ht="13.5" hidden="1" customHeight="1" x14ac:dyDescent="0.3">
      <c r="A522" s="973"/>
      <c r="B522" s="644"/>
      <c r="C522" s="706"/>
      <c r="D522" s="701"/>
      <c r="E522" s="702"/>
      <c r="F522" s="702"/>
      <c r="G522" s="702"/>
      <c r="H522" s="702"/>
      <c r="I522" s="702"/>
      <c r="J522" s="702"/>
      <c r="K522" s="702"/>
      <c r="L522" s="702"/>
      <c r="M522" s="702"/>
      <c r="N522" s="702"/>
      <c r="O522" s="702"/>
      <c r="P522" s="702"/>
      <c r="Q522" s="702"/>
      <c r="R522" s="702"/>
      <c r="S522" s="702"/>
      <c r="T522" s="702"/>
      <c r="U522" s="702"/>
      <c r="V522" s="702"/>
      <c r="W522" s="702"/>
      <c r="X522" s="702"/>
      <c r="Y522" s="702"/>
      <c r="Z522" s="702"/>
      <c r="AA522" s="702"/>
      <c r="AB522" s="702"/>
      <c r="AC522" s="702"/>
      <c r="AD522" s="702"/>
      <c r="AE522" s="702"/>
      <c r="AF522" s="702"/>
      <c r="AG522" s="702"/>
      <c r="AH522" s="702"/>
      <c r="AI522" s="702"/>
      <c r="AJ522" s="702"/>
      <c r="AK522" s="702"/>
      <c r="AL522" s="702"/>
      <c r="AM522" s="702"/>
      <c r="AN522" s="702"/>
      <c r="AO522" s="702"/>
      <c r="AP522" s="704"/>
    </row>
    <row r="523" spans="1:42" ht="13.5" hidden="1" customHeight="1" x14ac:dyDescent="0.3">
      <c r="A523" s="1215" t="s">
        <v>1008</v>
      </c>
      <c r="B523" s="644"/>
      <c r="C523" s="706"/>
      <c r="D523" s="702" t="s">
        <v>1012</v>
      </c>
      <c r="E523" s="702">
        <v>1042812</v>
      </c>
      <c r="F523" s="702">
        <v>892145</v>
      </c>
      <c r="G523" s="702">
        <v>844782</v>
      </c>
      <c r="H523" s="702">
        <v>824003</v>
      </c>
      <c r="I523" s="702">
        <v>787343</v>
      </c>
      <c r="J523" s="714">
        <v>1002380</v>
      </c>
      <c r="K523" s="702">
        <v>1066334</v>
      </c>
      <c r="L523" s="714">
        <v>1074239</v>
      </c>
      <c r="M523" s="702"/>
      <c r="N523" s="702"/>
      <c r="O523" s="702"/>
      <c r="P523" s="702"/>
      <c r="Q523" s="702"/>
      <c r="R523" s="702"/>
      <c r="S523" s="702"/>
      <c r="T523" s="702"/>
      <c r="U523" s="702"/>
      <c r="V523" s="702"/>
      <c r="W523" s="702"/>
      <c r="X523" s="702"/>
      <c r="Y523" s="702"/>
      <c r="Z523" s="702"/>
      <c r="AA523" s="702"/>
      <c r="AB523" s="702"/>
      <c r="AC523" s="702"/>
      <c r="AD523" s="702"/>
      <c r="AE523" s="702"/>
      <c r="AF523" s="702"/>
      <c r="AG523" s="702"/>
      <c r="AH523" s="702"/>
      <c r="AI523" s="702"/>
      <c r="AJ523" s="702"/>
      <c r="AK523" s="702"/>
      <c r="AL523" s="702"/>
      <c r="AM523" s="702"/>
      <c r="AN523" s="702"/>
      <c r="AO523" s="702"/>
      <c r="AP523" s="704"/>
    </row>
    <row r="524" spans="1:42" ht="13.5" hidden="1" customHeight="1" x14ac:dyDescent="0.3">
      <c r="A524" s="1215"/>
      <c r="B524" s="644"/>
      <c r="C524" s="706"/>
      <c r="D524" s="702" t="s">
        <v>1013</v>
      </c>
      <c r="E524" s="702">
        <v>804598</v>
      </c>
      <c r="F524" s="702">
        <v>601037</v>
      </c>
      <c r="G524" s="702">
        <v>574077</v>
      </c>
      <c r="H524" s="702">
        <v>569470</v>
      </c>
      <c r="I524" s="702">
        <v>513368</v>
      </c>
      <c r="J524" s="714">
        <v>644741</v>
      </c>
      <c r="K524" s="702">
        <v>658856</v>
      </c>
      <c r="L524" s="702">
        <v>779516</v>
      </c>
      <c r="M524" s="702"/>
      <c r="N524" s="702"/>
      <c r="O524" s="702"/>
      <c r="P524" s="702"/>
      <c r="Q524" s="702"/>
      <c r="R524" s="702"/>
      <c r="S524" s="702"/>
      <c r="T524" s="702"/>
      <c r="U524" s="702"/>
      <c r="V524" s="702"/>
      <c r="W524" s="702"/>
      <c r="X524" s="702"/>
      <c r="Y524" s="702"/>
      <c r="Z524" s="702"/>
      <c r="AA524" s="702"/>
      <c r="AB524" s="702"/>
      <c r="AC524" s="702"/>
      <c r="AD524" s="702"/>
      <c r="AE524" s="702"/>
      <c r="AF524" s="702"/>
      <c r="AG524" s="702"/>
      <c r="AH524" s="702"/>
      <c r="AI524" s="702"/>
      <c r="AJ524" s="702"/>
      <c r="AK524" s="702"/>
      <c r="AL524" s="702"/>
      <c r="AM524" s="702"/>
      <c r="AN524" s="702"/>
      <c r="AO524" s="702"/>
      <c r="AP524" s="704"/>
    </row>
    <row r="525" spans="1:42" s="658" customFormat="1" ht="13.5" hidden="1" customHeight="1" x14ac:dyDescent="0.3">
      <c r="A525" s="1215"/>
      <c r="B525" s="662"/>
      <c r="C525" s="707"/>
      <c r="D525" s="703" t="s">
        <v>1014</v>
      </c>
      <c r="E525" s="703">
        <f>SUM(E523:E524)</f>
        <v>1847410</v>
      </c>
      <c r="F525" s="703">
        <f t="shared" ref="F525:L525" si="114">SUM(F523:F524)</f>
        <v>1493182</v>
      </c>
      <c r="G525" s="703">
        <f t="shared" si="114"/>
        <v>1418859</v>
      </c>
      <c r="H525" s="703">
        <f t="shared" si="114"/>
        <v>1393473</v>
      </c>
      <c r="I525" s="703">
        <f t="shared" si="114"/>
        <v>1300711</v>
      </c>
      <c r="J525" s="715">
        <f t="shared" si="114"/>
        <v>1647121</v>
      </c>
      <c r="K525" s="703">
        <f t="shared" si="114"/>
        <v>1725190</v>
      </c>
      <c r="L525" s="703">
        <f t="shared" si="114"/>
        <v>1853755</v>
      </c>
      <c r="M525" s="703"/>
      <c r="N525" s="703"/>
      <c r="O525" s="703"/>
      <c r="P525" s="703"/>
      <c r="Q525" s="703"/>
      <c r="R525" s="703"/>
      <c r="S525" s="703"/>
      <c r="T525" s="703"/>
      <c r="U525" s="703"/>
      <c r="V525" s="703"/>
      <c r="W525" s="703"/>
      <c r="X525" s="703"/>
      <c r="Y525" s="703"/>
      <c r="Z525" s="703"/>
      <c r="AA525" s="703"/>
      <c r="AB525" s="703"/>
      <c r="AC525" s="703"/>
      <c r="AD525" s="703"/>
      <c r="AE525" s="703"/>
      <c r="AF525" s="703"/>
      <c r="AG525" s="703"/>
      <c r="AH525" s="703"/>
      <c r="AI525" s="703"/>
      <c r="AJ525" s="703"/>
      <c r="AK525" s="703"/>
      <c r="AL525" s="703"/>
      <c r="AM525" s="703"/>
      <c r="AN525" s="703"/>
      <c r="AO525" s="703"/>
      <c r="AP525" s="705"/>
    </row>
    <row r="526" spans="1:42" ht="13.5" hidden="1" customHeight="1" x14ac:dyDescent="0.35">
      <c r="A526" s="1215"/>
      <c r="B526" s="644"/>
      <c r="C526" s="706"/>
      <c r="D526" s="712"/>
      <c r="E526" s="712"/>
      <c r="F526" s="712"/>
      <c r="G526" s="712"/>
      <c r="H526" s="712"/>
      <c r="I526" s="713"/>
      <c r="J526" s="716"/>
      <c r="K526" s="713"/>
      <c r="L526" s="713"/>
      <c r="M526" s="713"/>
      <c r="N526" s="713"/>
      <c r="O526" s="713"/>
      <c r="P526" s="713"/>
      <c r="Q526" s="713"/>
      <c r="R526" s="713"/>
      <c r="S526" s="713"/>
      <c r="T526" s="713"/>
      <c r="U526" s="713"/>
      <c r="V526" s="713"/>
      <c r="W526" s="713"/>
      <c r="X526" s="713"/>
      <c r="Y526" s="713"/>
      <c r="Z526" s="713"/>
      <c r="AA526" s="713"/>
      <c r="AB526" s="713"/>
      <c r="AC526" s="713"/>
      <c r="AD526" s="713"/>
      <c r="AE526" s="713"/>
      <c r="AF526" s="713"/>
      <c r="AG526" s="713"/>
      <c r="AH526" s="713"/>
      <c r="AI526" s="713"/>
      <c r="AJ526" s="713"/>
      <c r="AK526" s="713"/>
      <c r="AL526" s="713"/>
      <c r="AM526" s="713"/>
      <c r="AN526" s="713"/>
      <c r="AO526" s="713"/>
      <c r="AP526" s="704"/>
    </row>
    <row r="527" spans="1:42" ht="13.5" hidden="1" customHeight="1" x14ac:dyDescent="0.3">
      <c r="A527" s="1215"/>
      <c r="B527" s="644"/>
      <c r="C527" s="706"/>
      <c r="D527" s="701" t="s">
        <v>1015</v>
      </c>
      <c r="E527" s="702"/>
      <c r="F527" s="702"/>
      <c r="G527" s="702"/>
      <c r="H527" s="702"/>
      <c r="I527" s="702"/>
      <c r="J527" s="714"/>
      <c r="K527" s="702"/>
      <c r="L527" s="702"/>
      <c r="M527" s="702"/>
      <c r="N527" s="702"/>
      <c r="O527" s="702"/>
      <c r="P527" s="702"/>
      <c r="Q527" s="702"/>
      <c r="R527" s="702"/>
      <c r="S527" s="702"/>
      <c r="T527" s="702"/>
      <c r="U527" s="702"/>
      <c r="V527" s="702"/>
      <c r="W527" s="702"/>
      <c r="X527" s="702"/>
      <c r="Y527" s="702"/>
      <c r="Z527" s="702"/>
      <c r="AA527" s="702"/>
      <c r="AB527" s="702"/>
      <c r="AC527" s="702"/>
      <c r="AD527" s="702"/>
      <c r="AE527" s="702"/>
      <c r="AF527" s="702"/>
      <c r="AG527" s="702"/>
      <c r="AH527" s="702"/>
      <c r="AI527" s="702"/>
      <c r="AJ527" s="702"/>
      <c r="AK527" s="702"/>
      <c r="AL527" s="702"/>
      <c r="AM527" s="702"/>
      <c r="AN527" s="702"/>
      <c r="AO527" s="702"/>
      <c r="AP527" s="704"/>
    </row>
    <row r="528" spans="1:42" ht="13.5" hidden="1" customHeight="1" x14ac:dyDescent="0.3">
      <c r="A528" s="1215"/>
      <c r="B528" s="644"/>
      <c r="C528" s="706"/>
      <c r="D528" s="701"/>
      <c r="E528" s="702"/>
      <c r="F528" s="702"/>
      <c r="G528" s="702"/>
      <c r="H528" s="702"/>
      <c r="I528" s="702"/>
      <c r="J528" s="714"/>
      <c r="K528" s="702"/>
      <c r="L528" s="702"/>
      <c r="M528" s="702"/>
      <c r="N528" s="702"/>
      <c r="O528" s="702"/>
      <c r="P528" s="702"/>
      <c r="Q528" s="702"/>
      <c r="R528" s="702"/>
      <c r="S528" s="702"/>
      <c r="T528" s="702"/>
      <c r="U528" s="702"/>
      <c r="V528" s="702"/>
      <c r="W528" s="702"/>
      <c r="X528" s="702"/>
      <c r="Y528" s="702"/>
      <c r="Z528" s="702"/>
      <c r="AA528" s="702"/>
      <c r="AB528" s="702"/>
      <c r="AC528" s="702"/>
      <c r="AD528" s="702"/>
      <c r="AE528" s="702"/>
      <c r="AF528" s="702"/>
      <c r="AG528" s="702"/>
      <c r="AH528" s="702"/>
      <c r="AI528" s="702"/>
      <c r="AJ528" s="702"/>
      <c r="AK528" s="702"/>
      <c r="AL528" s="702"/>
      <c r="AM528" s="702"/>
      <c r="AN528" s="702"/>
      <c r="AO528" s="702"/>
      <c r="AP528" s="704"/>
    </row>
    <row r="529" spans="1:42" ht="13.5" hidden="1" customHeight="1" x14ac:dyDescent="0.3">
      <c r="A529" s="1215"/>
      <c r="B529" s="644"/>
      <c r="C529" s="706"/>
      <c r="D529" s="702" t="s">
        <v>1012</v>
      </c>
      <c r="E529" s="702">
        <v>319077</v>
      </c>
      <c r="F529" s="702">
        <v>235323</v>
      </c>
      <c r="G529" s="702">
        <v>188873</v>
      </c>
      <c r="H529" s="702">
        <v>194945</v>
      </c>
      <c r="I529" s="702">
        <v>173436</v>
      </c>
      <c r="J529" s="714">
        <v>168814</v>
      </c>
      <c r="K529" s="702">
        <v>169822</v>
      </c>
      <c r="L529" s="702">
        <v>198026</v>
      </c>
      <c r="M529" s="702"/>
      <c r="N529" s="702"/>
      <c r="O529" s="702"/>
      <c r="P529" s="702"/>
      <c r="Q529" s="702"/>
      <c r="R529" s="702"/>
      <c r="S529" s="702"/>
      <c r="T529" s="702"/>
      <c r="U529" s="702"/>
      <c r="V529" s="702"/>
      <c r="W529" s="702"/>
      <c r="X529" s="702"/>
      <c r="Y529" s="702"/>
      <c r="Z529" s="702"/>
      <c r="AA529" s="702"/>
      <c r="AB529" s="702"/>
      <c r="AC529" s="702"/>
      <c r="AD529" s="702"/>
      <c r="AE529" s="702"/>
      <c r="AF529" s="702"/>
      <c r="AG529" s="702"/>
      <c r="AH529" s="702"/>
      <c r="AI529" s="702"/>
      <c r="AJ529" s="702"/>
      <c r="AK529" s="702"/>
      <c r="AL529" s="702"/>
      <c r="AM529" s="702"/>
      <c r="AN529" s="702"/>
      <c r="AO529" s="702"/>
      <c r="AP529" s="704"/>
    </row>
    <row r="530" spans="1:42" ht="13.5" hidden="1" customHeight="1" x14ac:dyDescent="0.3">
      <c r="A530" s="1215"/>
      <c r="B530" s="644"/>
      <c r="C530" s="706"/>
      <c r="D530" s="702" t="s">
        <v>1013</v>
      </c>
      <c r="E530" s="702">
        <v>83928</v>
      </c>
      <c r="F530" s="702">
        <v>66495</v>
      </c>
      <c r="G530" s="702">
        <v>59144</v>
      </c>
      <c r="H530" s="702">
        <v>62162</v>
      </c>
      <c r="I530" s="702">
        <v>46593</v>
      </c>
      <c r="J530" s="714">
        <v>59557</v>
      </c>
      <c r="K530" s="702">
        <v>48104</v>
      </c>
      <c r="L530" s="702">
        <v>57090</v>
      </c>
      <c r="M530" s="702"/>
      <c r="N530" s="702"/>
      <c r="O530" s="702"/>
      <c r="P530" s="702"/>
      <c r="Q530" s="702"/>
      <c r="R530" s="702"/>
      <c r="S530" s="702"/>
      <c r="T530" s="702"/>
      <c r="U530" s="702"/>
      <c r="V530" s="702"/>
      <c r="W530" s="702"/>
      <c r="X530" s="702"/>
      <c r="Y530" s="702"/>
      <c r="Z530" s="702"/>
      <c r="AA530" s="702"/>
      <c r="AB530" s="702"/>
      <c r="AC530" s="702"/>
      <c r="AD530" s="702"/>
      <c r="AE530" s="702"/>
      <c r="AF530" s="702"/>
      <c r="AG530" s="702"/>
      <c r="AH530" s="702"/>
      <c r="AI530" s="702"/>
      <c r="AJ530" s="702"/>
      <c r="AK530" s="702"/>
      <c r="AL530" s="702"/>
      <c r="AM530" s="702"/>
      <c r="AN530" s="702"/>
      <c r="AO530" s="702"/>
      <c r="AP530" s="704"/>
    </row>
    <row r="531" spans="1:42" s="658" customFormat="1" ht="13.5" hidden="1" customHeight="1" x14ac:dyDescent="0.3">
      <c r="A531" s="1215"/>
      <c r="B531" s="662"/>
      <c r="C531" s="707"/>
      <c r="D531" s="703" t="s">
        <v>276</v>
      </c>
      <c r="E531" s="703">
        <f>SUM(E529:E530)</f>
        <v>403005</v>
      </c>
      <c r="F531" s="703">
        <f t="shared" ref="F531:L531" si="115">SUM(F529:F530)</f>
        <v>301818</v>
      </c>
      <c r="G531" s="703">
        <f t="shared" si="115"/>
        <v>248017</v>
      </c>
      <c r="H531" s="703">
        <f t="shared" si="115"/>
        <v>257107</v>
      </c>
      <c r="I531" s="703">
        <f t="shared" si="115"/>
        <v>220029</v>
      </c>
      <c r="J531" s="715">
        <f t="shared" si="115"/>
        <v>228371</v>
      </c>
      <c r="K531" s="703">
        <f t="shared" si="115"/>
        <v>217926</v>
      </c>
      <c r="L531" s="703">
        <f t="shared" si="115"/>
        <v>255116</v>
      </c>
      <c r="M531" s="703"/>
      <c r="N531" s="703"/>
      <c r="O531" s="703"/>
      <c r="P531" s="703"/>
      <c r="Q531" s="703"/>
      <c r="R531" s="703"/>
      <c r="S531" s="703"/>
      <c r="T531" s="703"/>
      <c r="U531" s="703"/>
      <c r="V531" s="703"/>
      <c r="W531" s="703"/>
      <c r="X531" s="703"/>
      <c r="Y531" s="703"/>
      <c r="Z531" s="703"/>
      <c r="AA531" s="703"/>
      <c r="AB531" s="703"/>
      <c r="AC531" s="703"/>
      <c r="AD531" s="703"/>
      <c r="AE531" s="703"/>
      <c r="AF531" s="703"/>
      <c r="AG531" s="703"/>
      <c r="AH531" s="703"/>
      <c r="AI531" s="703"/>
      <c r="AJ531" s="703"/>
      <c r="AK531" s="703"/>
      <c r="AL531" s="703"/>
      <c r="AM531" s="703"/>
      <c r="AN531" s="703"/>
      <c r="AO531" s="703"/>
      <c r="AP531" s="705"/>
    </row>
    <row r="532" spans="1:42" ht="13.5" hidden="1" customHeight="1" x14ac:dyDescent="0.35">
      <c r="A532" s="1215"/>
      <c r="B532" s="644"/>
      <c r="C532" s="706"/>
      <c r="D532" s="712"/>
      <c r="E532" s="712"/>
      <c r="F532" s="712"/>
      <c r="G532" s="712"/>
      <c r="H532" s="712"/>
      <c r="I532" s="713"/>
      <c r="J532" s="716"/>
      <c r="K532" s="713"/>
      <c r="L532" s="713"/>
      <c r="M532" s="713"/>
      <c r="N532" s="713"/>
      <c r="O532" s="713"/>
      <c r="P532" s="713"/>
      <c r="Q532" s="713"/>
      <c r="R532" s="713"/>
      <c r="S532" s="713"/>
      <c r="T532" s="713"/>
      <c r="U532" s="713"/>
      <c r="V532" s="713"/>
      <c r="W532" s="713"/>
      <c r="X532" s="713"/>
      <c r="Y532" s="713"/>
      <c r="Z532" s="713"/>
      <c r="AA532" s="713"/>
      <c r="AB532" s="713"/>
      <c r="AC532" s="713"/>
      <c r="AD532" s="713"/>
      <c r="AE532" s="713"/>
      <c r="AF532" s="713"/>
      <c r="AG532" s="713"/>
      <c r="AH532" s="713"/>
      <c r="AI532" s="713"/>
      <c r="AJ532" s="713"/>
      <c r="AK532" s="713"/>
      <c r="AL532" s="713"/>
      <c r="AM532" s="713"/>
      <c r="AN532" s="713"/>
      <c r="AO532" s="713"/>
      <c r="AP532" s="704"/>
    </row>
    <row r="533" spans="1:42" ht="13.5" hidden="1" customHeight="1" x14ac:dyDescent="0.3">
      <c r="A533" s="1215"/>
      <c r="B533" s="644"/>
      <c r="C533" s="706"/>
      <c r="D533" s="701" t="s">
        <v>1016</v>
      </c>
      <c r="E533" s="702"/>
      <c r="F533" s="702"/>
      <c r="G533" s="702"/>
      <c r="H533" s="702"/>
      <c r="I533" s="702"/>
      <c r="J533" s="714"/>
      <c r="K533" s="702"/>
      <c r="L533" s="702"/>
      <c r="M533" s="702"/>
      <c r="N533" s="702"/>
      <c r="O533" s="702"/>
      <c r="P533" s="702"/>
      <c r="Q533" s="702"/>
      <c r="R533" s="702"/>
      <c r="S533" s="702"/>
      <c r="T533" s="702"/>
      <c r="U533" s="702"/>
      <c r="V533" s="702"/>
      <c r="W533" s="702"/>
      <c r="X533" s="702"/>
      <c r="Y533" s="702"/>
      <c r="Z533" s="702"/>
      <c r="AA533" s="702"/>
      <c r="AB533" s="702"/>
      <c r="AC533" s="702"/>
      <c r="AD533" s="702"/>
      <c r="AE533" s="702"/>
      <c r="AF533" s="702"/>
      <c r="AG533" s="702"/>
      <c r="AH533" s="702"/>
      <c r="AI533" s="702"/>
      <c r="AJ533" s="702"/>
      <c r="AK533" s="702"/>
      <c r="AL533" s="702"/>
      <c r="AM533" s="702"/>
      <c r="AN533" s="702"/>
      <c r="AO533" s="702"/>
      <c r="AP533" s="704"/>
    </row>
    <row r="534" spans="1:42" ht="13.5" hidden="1" customHeight="1" x14ac:dyDescent="0.3">
      <c r="A534" s="1215"/>
      <c r="B534" s="644"/>
      <c r="C534" s="706"/>
      <c r="D534" s="701"/>
      <c r="E534" s="702"/>
      <c r="F534" s="702"/>
      <c r="G534" s="702"/>
      <c r="H534" s="702"/>
      <c r="I534" s="702"/>
      <c r="J534" s="714"/>
      <c r="K534" s="702"/>
      <c r="L534" s="702"/>
      <c r="M534" s="702"/>
      <c r="N534" s="702"/>
      <c r="O534" s="702"/>
      <c r="P534" s="702"/>
      <c r="Q534" s="702"/>
      <c r="R534" s="702"/>
      <c r="S534" s="702"/>
      <c r="T534" s="702"/>
      <c r="U534" s="702"/>
      <c r="V534" s="702"/>
      <c r="W534" s="702"/>
      <c r="X534" s="702"/>
      <c r="Y534" s="702"/>
      <c r="Z534" s="702"/>
      <c r="AA534" s="702"/>
      <c r="AB534" s="702"/>
      <c r="AC534" s="702"/>
      <c r="AD534" s="702"/>
      <c r="AE534" s="702"/>
      <c r="AF534" s="702"/>
      <c r="AG534" s="702"/>
      <c r="AH534" s="702"/>
      <c r="AI534" s="702"/>
      <c r="AJ534" s="702"/>
      <c r="AK534" s="702"/>
      <c r="AL534" s="702"/>
      <c r="AM534" s="702"/>
      <c r="AN534" s="702"/>
      <c r="AO534" s="702"/>
      <c r="AP534" s="704"/>
    </row>
    <row r="535" spans="1:42" ht="13.5" hidden="1" customHeight="1" x14ac:dyDescent="0.3">
      <c r="A535" s="1215"/>
      <c r="B535" s="644"/>
      <c r="C535" s="706"/>
      <c r="D535" s="702" t="s">
        <v>1012</v>
      </c>
      <c r="E535" s="702">
        <v>376599</v>
      </c>
      <c r="F535" s="702">
        <v>226276</v>
      </c>
      <c r="G535" s="702">
        <v>199710</v>
      </c>
      <c r="H535" s="702">
        <v>202706</v>
      </c>
      <c r="I535" s="702">
        <v>215368</v>
      </c>
      <c r="J535" s="714">
        <v>193449</v>
      </c>
      <c r="K535" s="702">
        <v>828528</v>
      </c>
      <c r="L535" s="702">
        <v>323422</v>
      </c>
      <c r="M535" s="702"/>
      <c r="N535" s="702"/>
      <c r="O535" s="702"/>
      <c r="P535" s="702"/>
      <c r="Q535" s="702"/>
      <c r="R535" s="702"/>
      <c r="S535" s="702"/>
      <c r="T535" s="702"/>
      <c r="U535" s="702"/>
      <c r="V535" s="702"/>
      <c r="W535" s="702"/>
      <c r="X535" s="702"/>
      <c r="Y535" s="702"/>
      <c r="Z535" s="702"/>
      <c r="AA535" s="702"/>
      <c r="AB535" s="702"/>
      <c r="AC535" s="702"/>
      <c r="AD535" s="702"/>
      <c r="AE535" s="702"/>
      <c r="AF535" s="702"/>
      <c r="AG535" s="702"/>
      <c r="AH535" s="702"/>
      <c r="AI535" s="702"/>
      <c r="AJ535" s="702"/>
      <c r="AK535" s="702"/>
      <c r="AL535" s="702"/>
      <c r="AM535" s="702"/>
      <c r="AN535" s="702"/>
      <c r="AO535" s="702"/>
      <c r="AP535" s="704"/>
    </row>
    <row r="536" spans="1:42" ht="13.5" hidden="1" customHeight="1" x14ac:dyDescent="0.3">
      <c r="A536" s="1215"/>
      <c r="B536" s="644"/>
      <c r="C536" s="706"/>
      <c r="D536" s="702" t="s">
        <v>1013</v>
      </c>
      <c r="E536" s="702">
        <v>56362</v>
      </c>
      <c r="F536" s="702">
        <v>40100</v>
      </c>
      <c r="G536" s="702">
        <v>30548</v>
      </c>
      <c r="H536" s="702">
        <v>36093</v>
      </c>
      <c r="I536" s="702">
        <v>41107</v>
      </c>
      <c r="J536" s="714">
        <v>42842</v>
      </c>
      <c r="K536" s="702">
        <v>61471</v>
      </c>
      <c r="L536" s="702">
        <v>75157</v>
      </c>
      <c r="M536" s="702"/>
      <c r="N536" s="702"/>
      <c r="O536" s="702"/>
      <c r="P536" s="702"/>
      <c r="Q536" s="702"/>
      <c r="R536" s="702"/>
      <c r="S536" s="702"/>
      <c r="T536" s="702"/>
      <c r="U536" s="702"/>
      <c r="V536" s="702"/>
      <c r="W536" s="702"/>
      <c r="X536" s="702"/>
      <c r="Y536" s="702"/>
      <c r="Z536" s="702"/>
      <c r="AA536" s="702"/>
      <c r="AB536" s="702"/>
      <c r="AC536" s="702"/>
      <c r="AD536" s="702"/>
      <c r="AE536" s="702"/>
      <c r="AF536" s="702"/>
      <c r="AG536" s="702"/>
      <c r="AH536" s="702"/>
      <c r="AI536" s="702"/>
      <c r="AJ536" s="702"/>
      <c r="AK536" s="702"/>
      <c r="AL536" s="702"/>
      <c r="AM536" s="702"/>
      <c r="AN536" s="702"/>
      <c r="AO536" s="702"/>
      <c r="AP536" s="704"/>
    </row>
    <row r="537" spans="1:42" s="658" customFormat="1" ht="13.5" hidden="1" customHeight="1" x14ac:dyDescent="0.3">
      <c r="A537" s="1215"/>
      <c r="B537" s="662"/>
      <c r="C537" s="707"/>
      <c r="D537" s="703" t="s">
        <v>1014</v>
      </c>
      <c r="E537" s="703">
        <f>SUM(E535:E536)</f>
        <v>432961</v>
      </c>
      <c r="F537" s="703">
        <f t="shared" ref="F537:L537" si="116">SUM(F535:F536)</f>
        <v>266376</v>
      </c>
      <c r="G537" s="703">
        <f t="shared" si="116"/>
        <v>230258</v>
      </c>
      <c r="H537" s="703">
        <f t="shared" si="116"/>
        <v>238799</v>
      </c>
      <c r="I537" s="703">
        <f t="shared" si="116"/>
        <v>256475</v>
      </c>
      <c r="J537" s="715">
        <f t="shared" si="116"/>
        <v>236291</v>
      </c>
      <c r="K537" s="703">
        <f t="shared" si="116"/>
        <v>889999</v>
      </c>
      <c r="L537" s="703">
        <f t="shared" si="116"/>
        <v>398579</v>
      </c>
      <c r="M537" s="703"/>
      <c r="N537" s="703"/>
      <c r="O537" s="703"/>
      <c r="P537" s="703"/>
      <c r="Q537" s="703"/>
      <c r="R537" s="703"/>
      <c r="S537" s="703"/>
      <c r="T537" s="703"/>
      <c r="U537" s="703"/>
      <c r="V537" s="703"/>
      <c r="W537" s="703"/>
      <c r="X537" s="703"/>
      <c r="Y537" s="703"/>
      <c r="Z537" s="703"/>
      <c r="AA537" s="703"/>
      <c r="AB537" s="703"/>
      <c r="AC537" s="703"/>
      <c r="AD537" s="703"/>
      <c r="AE537" s="703"/>
      <c r="AF537" s="703"/>
      <c r="AG537" s="703"/>
      <c r="AH537" s="703"/>
      <c r="AI537" s="703"/>
      <c r="AJ537" s="703"/>
      <c r="AK537" s="703"/>
      <c r="AL537" s="703"/>
      <c r="AM537" s="703"/>
      <c r="AN537" s="703"/>
      <c r="AO537" s="703"/>
      <c r="AP537" s="705"/>
    </row>
    <row r="538" spans="1:42" ht="13.25" hidden="1" customHeight="1" thickBot="1" x14ac:dyDescent="0.4">
      <c r="A538" s="973"/>
      <c r="B538" s="644"/>
      <c r="C538" s="708"/>
      <c r="D538" s="709"/>
      <c r="E538" s="709"/>
      <c r="F538" s="709"/>
      <c r="G538" s="709"/>
      <c r="H538" s="709"/>
      <c r="I538" s="710"/>
      <c r="J538" s="710"/>
      <c r="K538" s="710"/>
      <c r="L538" s="710"/>
      <c r="M538" s="710"/>
      <c r="N538" s="710"/>
      <c r="O538" s="710"/>
      <c r="P538" s="710"/>
      <c r="Q538" s="710"/>
      <c r="R538" s="710"/>
      <c r="S538" s="710"/>
      <c r="T538" s="710"/>
      <c r="U538" s="710"/>
      <c r="V538" s="710"/>
      <c r="W538" s="710"/>
      <c r="X538" s="710"/>
      <c r="Y538" s="710"/>
      <c r="Z538" s="710"/>
      <c r="AA538" s="710"/>
      <c r="AB538" s="710"/>
      <c r="AC538" s="710"/>
      <c r="AD538" s="710"/>
      <c r="AE538" s="710"/>
      <c r="AF538" s="710"/>
      <c r="AG538" s="710"/>
      <c r="AH538" s="710"/>
      <c r="AI538" s="710"/>
      <c r="AJ538" s="710"/>
      <c r="AK538" s="710"/>
      <c r="AL538" s="710"/>
      <c r="AM538" s="710"/>
      <c r="AN538" s="710"/>
      <c r="AO538" s="710"/>
      <c r="AP538" s="711"/>
    </row>
    <row r="539" spans="1:42" ht="14.25" customHeight="1" x14ac:dyDescent="0.3">
      <c r="A539" s="973"/>
      <c r="B539" s="644"/>
      <c r="C539" s="642"/>
      <c r="D539" s="642"/>
      <c r="E539" s="642"/>
      <c r="F539" s="642"/>
      <c r="G539" s="642"/>
      <c r="H539" s="642"/>
      <c r="I539" s="642"/>
      <c r="J539" s="642"/>
      <c r="K539" s="642"/>
      <c r="L539" s="642"/>
      <c r="M539" s="642"/>
      <c r="N539" s="642"/>
      <c r="O539" s="642"/>
      <c r="P539" s="642"/>
      <c r="Q539" s="642"/>
      <c r="R539" s="642"/>
      <c r="S539" s="642"/>
      <c r="T539" s="642"/>
      <c r="U539" s="642"/>
      <c r="V539" s="642"/>
      <c r="W539" s="642"/>
      <c r="X539" s="642"/>
      <c r="Y539" s="642"/>
      <c r="Z539" s="642"/>
      <c r="AA539" s="642"/>
      <c r="AB539" s="642"/>
      <c r="AC539" s="642"/>
      <c r="AD539" s="642"/>
      <c r="AE539" s="642"/>
      <c r="AF539" s="642"/>
      <c r="AG539" s="642"/>
      <c r="AH539" s="642"/>
      <c r="AI539" s="642"/>
      <c r="AJ539" s="642"/>
      <c r="AK539" s="642"/>
      <c r="AL539" s="642"/>
      <c r="AM539" s="642"/>
      <c r="AN539" s="642"/>
      <c r="AO539" s="642"/>
      <c r="AP539" s="642"/>
    </row>
    <row r="540" spans="1:42" ht="14.25" customHeight="1" x14ac:dyDescent="0.3">
      <c r="A540" s="973"/>
      <c r="B540" s="644"/>
      <c r="C540" s="642"/>
      <c r="D540" s="642" t="s">
        <v>1017</v>
      </c>
      <c r="E540" s="642"/>
      <c r="F540" s="642"/>
      <c r="G540" s="642"/>
      <c r="H540" s="642"/>
      <c r="I540" s="642"/>
      <c r="J540" s="642"/>
      <c r="K540" s="642"/>
      <c r="L540" s="642"/>
      <c r="M540" s="642"/>
      <c r="N540" s="642"/>
      <c r="O540" s="642"/>
      <c r="P540" s="642"/>
      <c r="Q540" s="642"/>
      <c r="R540" s="642"/>
      <c r="S540" s="642"/>
      <c r="T540" s="642"/>
      <c r="U540" s="642"/>
      <c r="V540" s="642"/>
      <c r="W540" s="642"/>
      <c r="X540" s="642"/>
      <c r="Y540" s="642"/>
      <c r="Z540" s="642"/>
      <c r="AA540" s="642"/>
      <c r="AB540" s="642"/>
      <c r="AC540" s="642"/>
      <c r="AD540" s="642"/>
      <c r="AE540" s="642"/>
      <c r="AF540" s="642"/>
      <c r="AG540" s="642"/>
      <c r="AH540" s="642"/>
      <c r="AI540" s="642"/>
      <c r="AJ540" s="642"/>
      <c r="AK540" s="642"/>
      <c r="AL540" s="642"/>
      <c r="AM540" s="642"/>
      <c r="AN540" s="642"/>
      <c r="AO540" s="642"/>
      <c r="AP540" s="642"/>
    </row>
    <row r="541" spans="1:42" ht="14.25" customHeight="1" x14ac:dyDescent="0.3">
      <c r="A541" s="973"/>
      <c r="B541" s="644"/>
      <c r="C541" s="642"/>
      <c r="D541" s="642" t="s">
        <v>612</v>
      </c>
      <c r="E541" s="642"/>
      <c r="F541" s="642"/>
      <c r="G541" s="642"/>
      <c r="H541" s="642"/>
      <c r="I541" s="642"/>
      <c r="J541" s="642"/>
      <c r="K541" s="642"/>
      <c r="L541" s="642"/>
      <c r="M541" s="642"/>
      <c r="N541" s="642"/>
      <c r="O541" s="642"/>
      <c r="P541" s="642"/>
      <c r="Q541" s="642"/>
      <c r="R541" s="642"/>
      <c r="S541" s="642"/>
      <c r="T541" s="642"/>
      <c r="U541" s="642"/>
      <c r="V541" s="642"/>
      <c r="W541" s="642"/>
      <c r="X541" s="642"/>
      <c r="Y541" s="642"/>
      <c r="Z541" s="642"/>
      <c r="AA541" s="642"/>
      <c r="AB541" s="642"/>
      <c r="AC541" s="642"/>
      <c r="AD541" s="642"/>
      <c r="AE541" s="642"/>
      <c r="AF541" s="642"/>
      <c r="AG541" s="642"/>
      <c r="AH541" s="642"/>
      <c r="AI541" s="642"/>
      <c r="AJ541" s="642"/>
      <c r="AK541" s="642"/>
      <c r="AL541" s="642"/>
      <c r="AM541" s="642"/>
      <c r="AN541" s="642"/>
      <c r="AO541" s="642"/>
      <c r="AP541" s="642"/>
    </row>
    <row r="542" spans="1:42" ht="14.25" customHeight="1" x14ac:dyDescent="0.3">
      <c r="A542" s="973"/>
      <c r="B542" s="644"/>
      <c r="C542" s="642"/>
      <c r="D542" s="642" t="s">
        <v>613</v>
      </c>
      <c r="E542" s="642"/>
      <c r="F542" s="642"/>
      <c r="G542" s="642"/>
      <c r="H542" s="642"/>
      <c r="I542" s="642"/>
      <c r="J542" s="642"/>
      <c r="K542" s="642"/>
      <c r="L542" s="642"/>
      <c r="M542" s="642"/>
      <c r="N542" s="642"/>
      <c r="O542" s="642"/>
      <c r="P542" s="642"/>
      <c r="Q542" s="642"/>
      <c r="R542" s="642"/>
      <c r="S542" s="642"/>
      <c r="T542" s="642"/>
      <c r="U542" s="642"/>
      <c r="V542" s="642"/>
      <c r="W542" s="642"/>
      <c r="X542" s="642"/>
      <c r="Y542" s="642"/>
      <c r="Z542" s="642"/>
      <c r="AA542" s="642"/>
      <c r="AB542" s="642"/>
      <c r="AC542" s="642"/>
      <c r="AD542" s="642"/>
      <c r="AE542" s="642"/>
      <c r="AF542" s="642"/>
      <c r="AG542" s="642"/>
      <c r="AH542" s="642"/>
      <c r="AI542" s="642"/>
      <c r="AJ542" s="642"/>
      <c r="AK542" s="642"/>
      <c r="AL542" s="642"/>
      <c r="AM542" s="642"/>
      <c r="AN542" s="642"/>
      <c r="AO542" s="642"/>
      <c r="AP542" s="642"/>
    </row>
    <row r="543" spans="1:42" ht="14.25" customHeight="1" x14ac:dyDescent="0.3">
      <c r="A543" s="973"/>
      <c r="B543" s="644"/>
      <c r="C543" s="642"/>
      <c r="D543" s="642" t="s">
        <v>614</v>
      </c>
      <c r="E543" s="642"/>
      <c r="F543" s="642"/>
      <c r="G543" s="642"/>
      <c r="H543" s="642"/>
      <c r="I543" s="642"/>
      <c r="J543" s="642"/>
      <c r="K543" s="642"/>
      <c r="L543" s="642"/>
      <c r="M543" s="642"/>
      <c r="N543" s="642"/>
      <c r="O543" s="642"/>
      <c r="P543" s="642"/>
      <c r="Q543" s="642"/>
      <c r="R543" s="642"/>
      <c r="S543" s="642"/>
      <c r="T543" s="642"/>
      <c r="U543" s="642"/>
      <c r="V543" s="642"/>
      <c r="W543" s="642"/>
      <c r="X543" s="642"/>
      <c r="Y543" s="642"/>
      <c r="Z543" s="642"/>
      <c r="AA543" s="642"/>
      <c r="AB543" s="642"/>
      <c r="AC543" s="642"/>
      <c r="AD543" s="642"/>
      <c r="AE543" s="642"/>
      <c r="AF543" s="642"/>
      <c r="AG543" s="642"/>
      <c r="AH543" s="642"/>
      <c r="AI543" s="642"/>
      <c r="AJ543" s="642"/>
      <c r="AK543" s="642"/>
      <c r="AL543" s="642"/>
      <c r="AM543" s="642"/>
      <c r="AN543" s="642"/>
      <c r="AO543" s="642"/>
      <c r="AP543" s="642"/>
    </row>
    <row r="544" spans="1:42" ht="14.25" customHeight="1" x14ac:dyDescent="0.3">
      <c r="A544" s="973"/>
      <c r="B544" s="644"/>
      <c r="C544" s="642"/>
      <c r="D544" s="642" t="s">
        <v>615</v>
      </c>
      <c r="E544" s="642"/>
      <c r="F544" s="642"/>
      <c r="G544" s="642"/>
      <c r="H544" s="642"/>
      <c r="I544" s="642"/>
      <c r="J544" s="642"/>
      <c r="K544" s="642"/>
      <c r="L544" s="642"/>
      <c r="M544" s="642"/>
      <c r="N544" s="642"/>
      <c r="O544" s="642"/>
      <c r="P544" s="642"/>
      <c r="Q544" s="642"/>
      <c r="R544" s="642"/>
      <c r="S544" s="642"/>
      <c r="T544" s="642"/>
      <c r="U544" s="642"/>
      <c r="V544" s="642"/>
      <c r="W544" s="642"/>
      <c r="X544" s="642"/>
      <c r="Y544" s="642"/>
      <c r="Z544" s="642"/>
      <c r="AA544" s="642"/>
      <c r="AB544" s="642"/>
      <c r="AC544" s="642"/>
      <c r="AD544" s="642"/>
      <c r="AE544" s="642"/>
      <c r="AF544" s="642"/>
      <c r="AG544" s="642"/>
      <c r="AH544" s="642"/>
      <c r="AI544" s="642"/>
      <c r="AJ544" s="642"/>
      <c r="AK544" s="642"/>
      <c r="AL544" s="642"/>
      <c r="AM544" s="642"/>
      <c r="AN544" s="642"/>
      <c r="AO544" s="642"/>
      <c r="AP544" s="642"/>
    </row>
    <row r="545" spans="1:42" ht="14.25" customHeight="1" x14ac:dyDescent="0.3">
      <c r="A545" s="973"/>
      <c r="B545" s="644"/>
      <c r="C545" s="642"/>
      <c r="D545" s="642" t="s">
        <v>616</v>
      </c>
      <c r="E545" s="642"/>
      <c r="F545" s="642"/>
      <c r="G545" s="642"/>
      <c r="H545" s="642"/>
      <c r="I545" s="642"/>
      <c r="J545" s="642"/>
      <c r="K545" s="642"/>
      <c r="L545" s="642"/>
      <c r="M545" s="642"/>
      <c r="N545" s="642"/>
      <c r="O545" s="642"/>
      <c r="P545" s="642"/>
      <c r="Q545" s="642"/>
      <c r="R545" s="642"/>
      <c r="S545" s="642"/>
      <c r="T545" s="642"/>
      <c r="U545" s="642"/>
      <c r="V545" s="642"/>
      <c r="W545" s="642"/>
      <c r="X545" s="642"/>
      <c r="Y545" s="642"/>
      <c r="Z545" s="642"/>
      <c r="AA545" s="642"/>
      <c r="AB545" s="642"/>
      <c r="AC545" s="642"/>
      <c r="AD545" s="642"/>
      <c r="AE545" s="642"/>
      <c r="AF545" s="642"/>
      <c r="AG545" s="642"/>
      <c r="AH545" s="642"/>
      <c r="AI545" s="642"/>
      <c r="AJ545" s="642"/>
      <c r="AK545" s="642"/>
      <c r="AL545" s="642"/>
      <c r="AM545" s="642"/>
      <c r="AN545" s="642"/>
      <c r="AO545" s="642"/>
      <c r="AP545" s="642"/>
    </row>
    <row r="546" spans="1:42" ht="14.25" customHeight="1" x14ac:dyDescent="0.3">
      <c r="A546" s="973"/>
      <c r="B546" s="644"/>
      <c r="C546" s="642"/>
      <c r="D546" s="642" t="s">
        <v>617</v>
      </c>
      <c r="E546" s="642"/>
      <c r="F546" s="642"/>
      <c r="G546" s="642"/>
      <c r="H546" s="642"/>
      <c r="I546" s="642"/>
      <c r="J546" s="642"/>
      <c r="K546" s="642"/>
      <c r="L546" s="642"/>
      <c r="M546" s="642"/>
      <c r="N546" s="642"/>
      <c r="O546" s="642"/>
      <c r="P546" s="642"/>
      <c r="Q546" s="642"/>
      <c r="R546" s="642"/>
      <c r="S546" s="642"/>
      <c r="T546" s="642"/>
      <c r="U546" s="642"/>
      <c r="V546" s="642"/>
      <c r="W546" s="642"/>
      <c r="X546" s="642"/>
      <c r="Y546" s="642"/>
      <c r="Z546" s="642"/>
      <c r="AA546" s="642"/>
      <c r="AB546" s="642"/>
      <c r="AC546" s="642"/>
      <c r="AD546" s="642"/>
      <c r="AE546" s="642"/>
      <c r="AF546" s="642"/>
      <c r="AG546" s="642"/>
      <c r="AH546" s="642"/>
      <c r="AI546" s="642"/>
      <c r="AJ546" s="642"/>
      <c r="AK546" s="642"/>
      <c r="AL546" s="642"/>
      <c r="AM546" s="642"/>
      <c r="AN546" s="642"/>
      <c r="AO546" s="642"/>
      <c r="AP546" s="642"/>
    </row>
    <row r="547" spans="1:42" ht="14.25" customHeight="1" x14ac:dyDescent="0.3">
      <c r="A547" s="973"/>
      <c r="B547" s="644"/>
      <c r="C547" s="642"/>
      <c r="D547" s="642"/>
      <c r="E547" s="642"/>
      <c r="F547" s="642"/>
      <c r="G547" s="642"/>
      <c r="H547" s="642"/>
      <c r="I547" s="642"/>
      <c r="J547" s="642"/>
      <c r="K547" s="642"/>
      <c r="L547" s="642"/>
      <c r="M547" s="642"/>
      <c r="N547" s="642"/>
      <c r="O547" s="642"/>
      <c r="P547" s="642"/>
      <c r="Q547" s="642"/>
      <c r="R547" s="642"/>
      <c r="S547" s="642"/>
      <c r="T547" s="642"/>
      <c r="U547" s="642"/>
      <c r="V547" s="642"/>
      <c r="W547" s="642"/>
      <c r="X547" s="642"/>
      <c r="Y547" s="642"/>
      <c r="Z547" s="642"/>
      <c r="AA547" s="642"/>
      <c r="AB547" s="642"/>
      <c r="AC547" s="642"/>
      <c r="AD547" s="642"/>
      <c r="AE547" s="642"/>
      <c r="AF547" s="642"/>
      <c r="AG547" s="642"/>
      <c r="AH547" s="642"/>
      <c r="AI547" s="642"/>
      <c r="AJ547" s="642"/>
      <c r="AK547" s="642"/>
      <c r="AL547" s="642"/>
      <c r="AM547" s="642"/>
      <c r="AN547" s="642"/>
      <c r="AO547" s="642"/>
      <c r="AP547" s="642"/>
    </row>
    <row r="548" spans="1:42" ht="14.25" customHeight="1" x14ac:dyDescent="0.3">
      <c r="A548" s="973"/>
      <c r="B548" s="644"/>
      <c r="C548" s="643"/>
      <c r="D548" s="642"/>
      <c r="E548" s="642"/>
      <c r="F548" s="642"/>
      <c r="G548" s="642"/>
      <c r="H548" s="642"/>
      <c r="I548" s="642"/>
      <c r="J548" s="642"/>
      <c r="K548" s="642"/>
      <c r="L548" s="642"/>
      <c r="M548" s="642"/>
      <c r="N548" s="642"/>
      <c r="O548" s="642"/>
      <c r="P548" s="642"/>
      <c r="Q548" s="642"/>
      <c r="R548" s="642"/>
      <c r="S548" s="642"/>
      <c r="T548" s="642"/>
      <c r="U548" s="642"/>
      <c r="V548" s="642"/>
      <c r="W548" s="642"/>
      <c r="X548" s="642"/>
      <c r="Y548" s="642"/>
      <c r="Z548" s="642"/>
      <c r="AA548" s="642"/>
      <c r="AB548" s="642"/>
      <c r="AC548" s="642"/>
      <c r="AD548" s="642"/>
      <c r="AE548" s="642"/>
      <c r="AF548" s="642"/>
      <c r="AG548" s="642"/>
      <c r="AH548" s="642"/>
      <c r="AI548" s="642"/>
      <c r="AJ548" s="642"/>
      <c r="AK548" s="642"/>
      <c r="AL548" s="642"/>
      <c r="AM548" s="642"/>
      <c r="AN548" s="642"/>
      <c r="AO548" s="642"/>
      <c r="AP548" s="642"/>
    </row>
    <row r="549" spans="1:42" ht="14.25" customHeight="1" x14ac:dyDescent="0.3">
      <c r="A549" s="641"/>
      <c r="B549" s="640"/>
    </row>
    <row r="550" spans="1:42" ht="14.25" customHeight="1" x14ac:dyDescent="0.3">
      <c r="A550" s="641"/>
      <c r="B550" s="640"/>
    </row>
    <row r="551" spans="1:42" ht="14.25" customHeight="1" x14ac:dyDescent="0.3">
      <c r="A551" s="641"/>
      <c r="B551" s="640"/>
    </row>
    <row r="552" spans="1:42" ht="14.25" customHeight="1" x14ac:dyDescent="0.3">
      <c r="A552" s="641"/>
      <c r="B552" s="640"/>
    </row>
    <row r="553" spans="1:42" ht="14.25" customHeight="1" x14ac:dyDescent="0.3">
      <c r="A553" s="641"/>
      <c r="B553" s="640"/>
    </row>
    <row r="554" spans="1:42" ht="14.25" customHeight="1" x14ac:dyDescent="0.3">
      <c r="A554" s="641"/>
      <c r="B554" s="640"/>
    </row>
    <row r="555" spans="1:42" ht="14.25" customHeight="1" x14ac:dyDescent="0.3">
      <c r="A555" s="641"/>
      <c r="B555" s="640"/>
    </row>
    <row r="556" spans="1:42" ht="14.25" customHeight="1" x14ac:dyDescent="0.3">
      <c r="A556" s="641"/>
      <c r="B556" s="640"/>
    </row>
    <row r="557" spans="1:42" ht="14.25" customHeight="1" x14ac:dyDescent="0.3">
      <c r="A557" s="641"/>
      <c r="B557" s="640"/>
    </row>
    <row r="558" spans="1:42" ht="14.25" customHeight="1" x14ac:dyDescent="0.3">
      <c r="A558" s="641"/>
      <c r="B558" s="640"/>
    </row>
    <row r="559" spans="1:42" ht="14.25" customHeight="1" x14ac:dyDescent="0.3">
      <c r="A559" s="641"/>
      <c r="B559" s="640"/>
    </row>
    <row r="560" spans="1:42" ht="14.25" customHeight="1" x14ac:dyDescent="0.3">
      <c r="A560" s="641"/>
      <c r="B560" s="640"/>
    </row>
    <row r="561" spans="1:2" ht="14.25" customHeight="1" x14ac:dyDescent="0.3">
      <c r="A561" s="641"/>
      <c r="B561" s="640"/>
    </row>
    <row r="562" spans="1:2" ht="14.25" customHeight="1" x14ac:dyDescent="0.3">
      <c r="A562" s="641"/>
      <c r="B562" s="640"/>
    </row>
    <row r="563" spans="1:2" ht="14.25" customHeight="1" x14ac:dyDescent="0.3">
      <c r="A563" s="641"/>
      <c r="B563" s="640"/>
    </row>
    <row r="564" spans="1:2" ht="14.25" customHeight="1" x14ac:dyDescent="0.3">
      <c r="A564" s="641"/>
      <c r="B564" s="640"/>
    </row>
    <row r="565" spans="1:2" ht="14.25" customHeight="1" x14ac:dyDescent="0.3">
      <c r="A565" s="641"/>
      <c r="B565" s="640"/>
    </row>
    <row r="566" spans="1:2" ht="14.25" customHeight="1" x14ac:dyDescent="0.3">
      <c r="A566" s="641"/>
      <c r="B566" s="640"/>
    </row>
    <row r="567" spans="1:2" ht="14.25" customHeight="1" x14ac:dyDescent="0.3">
      <c r="A567" s="641"/>
      <c r="B567" s="640"/>
    </row>
    <row r="568" spans="1:2" ht="14.25" customHeight="1" x14ac:dyDescent="0.3">
      <c r="A568" s="641"/>
      <c r="B568" s="640"/>
    </row>
    <row r="569" spans="1:2" ht="14.25" customHeight="1" x14ac:dyDescent="0.3">
      <c r="A569" s="641"/>
      <c r="B569" s="640"/>
    </row>
    <row r="570" spans="1:2" ht="14.25" customHeight="1" x14ac:dyDescent="0.3">
      <c r="A570" s="641"/>
      <c r="B570" s="640"/>
    </row>
    <row r="571" spans="1:2" ht="14.25" customHeight="1" x14ac:dyDescent="0.3">
      <c r="A571" s="641"/>
      <c r="B571" s="640"/>
    </row>
    <row r="572" spans="1:2" ht="14.25" customHeight="1" x14ac:dyDescent="0.3">
      <c r="A572" s="641"/>
      <c r="B572" s="640"/>
    </row>
    <row r="573" spans="1:2" ht="14.25" customHeight="1" x14ac:dyDescent="0.3">
      <c r="A573" s="641"/>
      <c r="B573" s="640"/>
    </row>
    <row r="574" spans="1:2" ht="14.25" customHeight="1" x14ac:dyDescent="0.3">
      <c r="A574" s="641"/>
      <c r="B574" s="640"/>
    </row>
    <row r="575" spans="1:2" ht="14.25" customHeight="1" x14ac:dyDescent="0.3">
      <c r="A575" s="641"/>
      <c r="B575" s="640"/>
    </row>
    <row r="576" spans="1:2" ht="14.25" customHeight="1" x14ac:dyDescent="0.3">
      <c r="A576" s="641"/>
      <c r="B576" s="640"/>
    </row>
    <row r="577" spans="1:2" ht="14.25" customHeight="1" x14ac:dyDescent="0.3">
      <c r="A577" s="641"/>
      <c r="B577" s="640"/>
    </row>
    <row r="578" spans="1:2" ht="14.25" customHeight="1" x14ac:dyDescent="0.3">
      <c r="A578" s="641"/>
      <c r="B578" s="640"/>
    </row>
    <row r="579" spans="1:2" ht="14.25" customHeight="1" x14ac:dyDescent="0.3">
      <c r="A579" s="641"/>
      <c r="B579" s="640"/>
    </row>
    <row r="580" spans="1:2" ht="14.25" customHeight="1" x14ac:dyDescent="0.3">
      <c r="A580" s="641"/>
      <c r="B580" s="640"/>
    </row>
    <row r="581" spans="1:2" ht="14.25" customHeight="1" x14ac:dyDescent="0.3">
      <c r="A581" s="641"/>
      <c r="B581" s="640"/>
    </row>
    <row r="582" spans="1:2" ht="14.25" customHeight="1" x14ac:dyDescent="0.3">
      <c r="A582" s="641"/>
      <c r="B582" s="640"/>
    </row>
    <row r="583" spans="1:2" ht="14.25" customHeight="1" x14ac:dyDescent="0.3">
      <c r="A583" s="641"/>
      <c r="B583" s="640"/>
    </row>
    <row r="584" spans="1:2" ht="14.25" customHeight="1" x14ac:dyDescent="0.3">
      <c r="A584" s="641"/>
      <c r="B584" s="640"/>
    </row>
    <row r="585" spans="1:2" ht="14.25" customHeight="1" x14ac:dyDescent="0.3">
      <c r="A585" s="641"/>
      <c r="B585" s="640"/>
    </row>
    <row r="586" spans="1:2" ht="14.25" customHeight="1" x14ac:dyDescent="0.3">
      <c r="A586" s="641"/>
      <c r="B586" s="640"/>
    </row>
    <row r="587" spans="1:2" ht="14.25" customHeight="1" x14ac:dyDescent="0.3">
      <c r="A587" s="641"/>
      <c r="B587" s="640"/>
    </row>
    <row r="588" spans="1:2" ht="14.25" customHeight="1" x14ac:dyDescent="0.3">
      <c r="A588" s="641"/>
      <c r="B588" s="640"/>
    </row>
    <row r="589" spans="1:2" ht="14.25" customHeight="1" x14ac:dyDescent="0.3">
      <c r="A589" s="641"/>
      <c r="B589" s="640"/>
    </row>
    <row r="590" spans="1:2" ht="14.25" customHeight="1" x14ac:dyDescent="0.3">
      <c r="A590" s="641"/>
      <c r="B590" s="640"/>
    </row>
    <row r="591" spans="1:2" ht="14.25" customHeight="1" x14ac:dyDescent="0.3">
      <c r="A591" s="641"/>
      <c r="B591" s="640"/>
    </row>
    <row r="592" spans="1:2" ht="14.25" customHeight="1" x14ac:dyDescent="0.3">
      <c r="A592" s="641"/>
      <c r="B592" s="640"/>
    </row>
    <row r="593" spans="1:2" ht="14.25" customHeight="1" x14ac:dyDescent="0.3">
      <c r="A593" s="641"/>
      <c r="B593" s="640"/>
    </row>
    <row r="594" spans="1:2" ht="14.25" customHeight="1" x14ac:dyDescent="0.3">
      <c r="A594" s="641"/>
      <c r="B594" s="640"/>
    </row>
    <row r="595" spans="1:2" ht="14.25" customHeight="1" x14ac:dyDescent="0.3">
      <c r="A595" s="641"/>
      <c r="B595" s="640"/>
    </row>
    <row r="596" spans="1:2" ht="14.25" customHeight="1" x14ac:dyDescent="0.3">
      <c r="A596" s="641"/>
      <c r="B596" s="640"/>
    </row>
    <row r="597" spans="1:2" ht="14.25" customHeight="1" x14ac:dyDescent="0.3">
      <c r="A597" s="641"/>
      <c r="B597" s="640"/>
    </row>
    <row r="598" spans="1:2" ht="14.25" customHeight="1" x14ac:dyDescent="0.3">
      <c r="A598" s="641"/>
      <c r="B598" s="640"/>
    </row>
    <row r="599" spans="1:2" ht="14.25" customHeight="1" x14ac:dyDescent="0.3">
      <c r="A599" s="641"/>
      <c r="B599" s="640"/>
    </row>
    <row r="600" spans="1:2" ht="14.25" customHeight="1" x14ac:dyDescent="0.3">
      <c r="A600" s="641"/>
      <c r="B600" s="640"/>
    </row>
    <row r="601" spans="1:2" ht="14.25" customHeight="1" x14ac:dyDescent="0.3">
      <c r="A601" s="641"/>
      <c r="B601" s="640"/>
    </row>
    <row r="602" spans="1:2" ht="14.25" customHeight="1" x14ac:dyDescent="0.3">
      <c r="A602" s="641"/>
      <c r="B602" s="640"/>
    </row>
    <row r="603" spans="1:2" ht="14.25" customHeight="1" x14ac:dyDescent="0.3">
      <c r="A603" s="641"/>
      <c r="B603" s="640"/>
    </row>
    <row r="604" spans="1:2" ht="14.25" customHeight="1" x14ac:dyDescent="0.3">
      <c r="A604" s="641"/>
      <c r="B604" s="640"/>
    </row>
    <row r="605" spans="1:2" ht="14.25" customHeight="1" x14ac:dyDescent="0.3">
      <c r="A605" s="641"/>
      <c r="B605" s="640"/>
    </row>
    <row r="606" spans="1:2" ht="14.25" customHeight="1" x14ac:dyDescent="0.3">
      <c r="A606" s="641"/>
      <c r="B606" s="640"/>
    </row>
    <row r="607" spans="1:2" ht="14.25" customHeight="1" x14ac:dyDescent="0.3">
      <c r="A607" s="641"/>
      <c r="B607" s="640"/>
    </row>
    <row r="608" spans="1:2" ht="14.25" customHeight="1" x14ac:dyDescent="0.3">
      <c r="A608" s="641"/>
      <c r="B608" s="640"/>
    </row>
    <row r="609" spans="1:2" ht="14.25" customHeight="1" x14ac:dyDescent="0.3">
      <c r="A609" s="641"/>
      <c r="B609" s="640"/>
    </row>
    <row r="610" spans="1:2" ht="14.25" customHeight="1" x14ac:dyDescent="0.3">
      <c r="A610" s="641"/>
      <c r="B610" s="640"/>
    </row>
    <row r="611" spans="1:2" ht="14.25" customHeight="1" x14ac:dyDescent="0.3">
      <c r="A611" s="641"/>
      <c r="B611" s="640"/>
    </row>
    <row r="612" spans="1:2" ht="14.25" customHeight="1" x14ac:dyDescent="0.3">
      <c r="A612" s="641"/>
      <c r="B612" s="640"/>
    </row>
    <row r="613" spans="1:2" ht="14.25" customHeight="1" x14ac:dyDescent="0.3">
      <c r="A613" s="641"/>
      <c r="B613" s="640"/>
    </row>
    <row r="614" spans="1:2" ht="14.25" customHeight="1" x14ac:dyDescent="0.3">
      <c r="A614" s="641"/>
      <c r="B614" s="640"/>
    </row>
    <row r="615" spans="1:2" ht="14.25" customHeight="1" x14ac:dyDescent="0.3">
      <c r="A615" s="641"/>
      <c r="B615" s="640"/>
    </row>
    <row r="616" spans="1:2" ht="14.25" customHeight="1" x14ac:dyDescent="0.3">
      <c r="A616" s="641"/>
      <c r="B616" s="640"/>
    </row>
    <row r="617" spans="1:2" ht="14.25" customHeight="1" x14ac:dyDescent="0.3">
      <c r="A617" s="641"/>
      <c r="B617" s="640"/>
    </row>
    <row r="618" spans="1:2" ht="14.25" customHeight="1" x14ac:dyDescent="0.3">
      <c r="A618" s="641"/>
      <c r="B618" s="640"/>
    </row>
    <row r="619" spans="1:2" ht="14.25" customHeight="1" x14ac:dyDescent="0.3">
      <c r="A619" s="641"/>
      <c r="B619" s="640"/>
    </row>
    <row r="620" spans="1:2" ht="14.25" customHeight="1" x14ac:dyDescent="0.3">
      <c r="A620" s="641"/>
      <c r="B620" s="640"/>
    </row>
    <row r="621" spans="1:2" ht="14.25" customHeight="1" x14ac:dyDescent="0.3">
      <c r="A621" s="641"/>
      <c r="B621" s="640"/>
    </row>
    <row r="622" spans="1:2" ht="14.25" customHeight="1" x14ac:dyDescent="0.3">
      <c r="A622" s="641"/>
      <c r="B622" s="640"/>
    </row>
    <row r="623" spans="1:2" ht="14.25" customHeight="1" x14ac:dyDescent="0.3">
      <c r="A623" s="641"/>
      <c r="B623" s="640"/>
    </row>
    <row r="624" spans="1:2" ht="14.25" customHeight="1" x14ac:dyDescent="0.3">
      <c r="A624" s="641"/>
      <c r="B624" s="640"/>
    </row>
    <row r="625" spans="1:2" ht="14.25" customHeight="1" x14ac:dyDescent="0.3">
      <c r="A625" s="641"/>
      <c r="B625" s="640"/>
    </row>
    <row r="626" spans="1:2" ht="14.25" customHeight="1" x14ac:dyDescent="0.3">
      <c r="A626" s="641"/>
      <c r="B626" s="640"/>
    </row>
    <row r="627" spans="1:2" ht="14.25" customHeight="1" x14ac:dyDescent="0.3">
      <c r="A627" s="641"/>
      <c r="B627" s="640"/>
    </row>
    <row r="628" spans="1:2" ht="14.25" customHeight="1" x14ac:dyDescent="0.3">
      <c r="A628" s="641"/>
      <c r="B628" s="640"/>
    </row>
    <row r="629" spans="1:2" ht="14.25" customHeight="1" x14ac:dyDescent="0.3">
      <c r="A629" s="641"/>
      <c r="B629" s="640"/>
    </row>
    <row r="630" spans="1:2" ht="14.25" customHeight="1" x14ac:dyDescent="0.3">
      <c r="A630" s="641"/>
      <c r="B630" s="640"/>
    </row>
    <row r="631" spans="1:2" ht="14.25" customHeight="1" x14ac:dyDescent="0.3">
      <c r="A631" s="641"/>
      <c r="B631" s="640"/>
    </row>
    <row r="632" spans="1:2" ht="14.25" customHeight="1" x14ac:dyDescent="0.3">
      <c r="A632" s="641"/>
      <c r="B632" s="640"/>
    </row>
    <row r="633" spans="1:2" ht="14.25" customHeight="1" x14ac:dyDescent="0.3">
      <c r="A633" s="641"/>
      <c r="B633" s="640"/>
    </row>
    <row r="634" spans="1:2" ht="14.25" customHeight="1" x14ac:dyDescent="0.3">
      <c r="A634" s="641"/>
      <c r="B634" s="640"/>
    </row>
    <row r="635" spans="1:2" ht="14.25" customHeight="1" x14ac:dyDescent="0.3">
      <c r="A635" s="641"/>
      <c r="B635" s="640"/>
    </row>
    <row r="636" spans="1:2" ht="14.25" customHeight="1" x14ac:dyDescent="0.3">
      <c r="A636" s="641"/>
      <c r="B636" s="640"/>
    </row>
    <row r="637" spans="1:2" ht="14.25" customHeight="1" x14ac:dyDescent="0.3">
      <c r="A637" s="641"/>
      <c r="B637" s="640"/>
    </row>
    <row r="638" spans="1:2" ht="14.25" customHeight="1" x14ac:dyDescent="0.3">
      <c r="A638" s="641"/>
      <c r="B638" s="640"/>
    </row>
    <row r="639" spans="1:2" ht="14.25" customHeight="1" x14ac:dyDescent="0.3">
      <c r="A639" s="641"/>
      <c r="B639" s="640"/>
    </row>
    <row r="640" spans="1:2" ht="14.25" customHeight="1" x14ac:dyDescent="0.3">
      <c r="A640" s="641"/>
      <c r="B640" s="640"/>
    </row>
    <row r="641" spans="1:2" ht="14.25" customHeight="1" x14ac:dyDescent="0.3">
      <c r="A641" s="641"/>
      <c r="B641" s="640"/>
    </row>
    <row r="642" spans="1:2" ht="14.25" customHeight="1" x14ac:dyDescent="0.3">
      <c r="A642" s="641"/>
      <c r="B642" s="640"/>
    </row>
    <row r="643" spans="1:2" ht="14.25" customHeight="1" x14ac:dyDescent="0.3">
      <c r="A643" s="641"/>
      <c r="B643" s="640"/>
    </row>
    <row r="644" spans="1:2" ht="14.25" customHeight="1" x14ac:dyDescent="0.3">
      <c r="A644" s="641"/>
      <c r="B644" s="640"/>
    </row>
    <row r="645" spans="1:2" ht="14.25" customHeight="1" x14ac:dyDescent="0.3">
      <c r="A645" s="641"/>
      <c r="B645" s="640"/>
    </row>
    <row r="646" spans="1:2" ht="14.25" customHeight="1" x14ac:dyDescent="0.3">
      <c r="A646" s="641"/>
      <c r="B646" s="640"/>
    </row>
    <row r="647" spans="1:2" ht="14.25" customHeight="1" x14ac:dyDescent="0.3">
      <c r="A647" s="641"/>
      <c r="B647" s="640"/>
    </row>
    <row r="648" spans="1:2" ht="14.25" customHeight="1" x14ac:dyDescent="0.3">
      <c r="A648" s="641"/>
      <c r="B648" s="640"/>
    </row>
    <row r="649" spans="1:2" ht="14.25" customHeight="1" x14ac:dyDescent="0.3">
      <c r="A649" s="641"/>
      <c r="B649" s="640"/>
    </row>
    <row r="650" spans="1:2" ht="14.25" customHeight="1" x14ac:dyDescent="0.3">
      <c r="A650" s="641"/>
      <c r="B650" s="640"/>
    </row>
    <row r="651" spans="1:2" ht="14.25" customHeight="1" x14ac:dyDescent="0.3">
      <c r="A651" s="641"/>
      <c r="B651" s="640"/>
    </row>
    <row r="652" spans="1:2" ht="14.25" customHeight="1" x14ac:dyDescent="0.3">
      <c r="A652" s="641"/>
      <c r="B652" s="640"/>
    </row>
    <row r="653" spans="1:2" ht="14.25" customHeight="1" x14ac:dyDescent="0.3">
      <c r="A653" s="641"/>
      <c r="B653" s="640"/>
    </row>
    <row r="654" spans="1:2" ht="14.25" customHeight="1" x14ac:dyDescent="0.3">
      <c r="A654" s="641"/>
      <c r="B654" s="640"/>
    </row>
    <row r="655" spans="1:2" ht="14.25" customHeight="1" x14ac:dyDescent="0.3">
      <c r="A655" s="641"/>
      <c r="B655" s="640"/>
    </row>
    <row r="656" spans="1:2" ht="14.25" customHeight="1" x14ac:dyDescent="0.3">
      <c r="A656" s="641"/>
      <c r="B656" s="640"/>
    </row>
    <row r="657" spans="1:2" ht="14.25" customHeight="1" x14ac:dyDescent="0.3">
      <c r="A657" s="641"/>
      <c r="B657" s="640"/>
    </row>
    <row r="658" spans="1:2" ht="14.25" customHeight="1" x14ac:dyDescent="0.3">
      <c r="A658" s="641"/>
      <c r="B658" s="640"/>
    </row>
    <row r="659" spans="1:2" ht="14.25" customHeight="1" x14ac:dyDescent="0.3">
      <c r="A659" s="641"/>
      <c r="B659" s="640"/>
    </row>
    <row r="660" spans="1:2" ht="14.25" customHeight="1" x14ac:dyDescent="0.3">
      <c r="A660" s="641"/>
      <c r="B660" s="640"/>
    </row>
    <row r="661" spans="1:2" ht="14.25" customHeight="1" x14ac:dyDescent="0.3">
      <c r="A661" s="641"/>
      <c r="B661" s="640"/>
    </row>
    <row r="662" spans="1:2" ht="14.25" customHeight="1" x14ac:dyDescent="0.3">
      <c r="A662" s="641"/>
      <c r="B662" s="640"/>
    </row>
    <row r="663" spans="1:2" ht="14.25" customHeight="1" x14ac:dyDescent="0.3">
      <c r="A663" s="641"/>
      <c r="B663" s="640"/>
    </row>
    <row r="664" spans="1:2" ht="14.25" customHeight="1" x14ac:dyDescent="0.3">
      <c r="A664" s="641"/>
      <c r="B664" s="640"/>
    </row>
    <row r="665" spans="1:2" ht="14.25" customHeight="1" x14ac:dyDescent="0.3">
      <c r="A665" s="641"/>
      <c r="B665" s="640"/>
    </row>
    <row r="666" spans="1:2" ht="14.25" customHeight="1" x14ac:dyDescent="0.3">
      <c r="A666" s="641"/>
      <c r="B666" s="640"/>
    </row>
    <row r="667" spans="1:2" ht="14.25" customHeight="1" x14ac:dyDescent="0.3">
      <c r="A667" s="641"/>
      <c r="B667" s="640"/>
    </row>
    <row r="668" spans="1:2" ht="14.25" customHeight="1" x14ac:dyDescent="0.3">
      <c r="A668" s="641"/>
      <c r="B668" s="640"/>
    </row>
    <row r="669" spans="1:2" ht="14.25" customHeight="1" x14ac:dyDescent="0.3">
      <c r="A669" s="641"/>
      <c r="B669" s="640"/>
    </row>
    <row r="670" spans="1:2" ht="14.25" customHeight="1" x14ac:dyDescent="0.3">
      <c r="A670" s="641"/>
      <c r="B670" s="640"/>
    </row>
    <row r="671" spans="1:2" ht="14.25" customHeight="1" x14ac:dyDescent="0.3">
      <c r="A671" s="641"/>
      <c r="B671" s="640"/>
    </row>
    <row r="672" spans="1:2" ht="14.25" customHeight="1" x14ac:dyDescent="0.3">
      <c r="A672" s="641"/>
      <c r="B672" s="640"/>
    </row>
    <row r="673" spans="1:2" ht="14.25" customHeight="1" x14ac:dyDescent="0.3">
      <c r="A673" s="641"/>
      <c r="B673" s="640"/>
    </row>
    <row r="674" spans="1:2" ht="14.25" customHeight="1" x14ac:dyDescent="0.3">
      <c r="A674" s="641"/>
      <c r="B674" s="640"/>
    </row>
    <row r="675" spans="1:2" ht="14.25" customHeight="1" x14ac:dyDescent="0.3">
      <c r="A675" s="641"/>
      <c r="B675" s="640"/>
    </row>
    <row r="676" spans="1:2" ht="14.25" customHeight="1" x14ac:dyDescent="0.3">
      <c r="A676" s="641"/>
      <c r="B676" s="640"/>
    </row>
    <row r="677" spans="1:2" ht="14.25" customHeight="1" x14ac:dyDescent="0.3">
      <c r="A677" s="641"/>
      <c r="B677" s="640"/>
    </row>
    <row r="678" spans="1:2" ht="14.25" customHeight="1" x14ac:dyDescent="0.3">
      <c r="A678" s="641"/>
      <c r="B678" s="640"/>
    </row>
    <row r="679" spans="1:2" ht="14.25" customHeight="1" x14ac:dyDescent="0.3">
      <c r="A679" s="641"/>
      <c r="B679" s="640"/>
    </row>
    <row r="680" spans="1:2" ht="14.25" customHeight="1" x14ac:dyDescent="0.3">
      <c r="A680" s="641"/>
      <c r="B680" s="640"/>
    </row>
    <row r="681" spans="1:2" ht="14.25" customHeight="1" x14ac:dyDescent="0.3">
      <c r="A681" s="641"/>
      <c r="B681" s="640"/>
    </row>
    <row r="682" spans="1:2" ht="14.25" customHeight="1" x14ac:dyDescent="0.3">
      <c r="A682" s="641"/>
      <c r="B682" s="640"/>
    </row>
    <row r="683" spans="1:2" ht="14.25" customHeight="1" x14ac:dyDescent="0.3">
      <c r="A683" s="641"/>
      <c r="B683" s="640"/>
    </row>
    <row r="684" spans="1:2" ht="14.25" customHeight="1" x14ac:dyDescent="0.3">
      <c r="A684" s="641"/>
      <c r="B684" s="640"/>
    </row>
    <row r="685" spans="1:2" ht="14.25" customHeight="1" x14ac:dyDescent="0.3">
      <c r="A685" s="641"/>
      <c r="B685" s="640"/>
    </row>
    <row r="686" spans="1:2" ht="14.25" customHeight="1" x14ac:dyDescent="0.3">
      <c r="A686" s="641"/>
      <c r="B686" s="640"/>
    </row>
    <row r="687" spans="1:2" ht="14.25" customHeight="1" x14ac:dyDescent="0.3">
      <c r="A687" s="641"/>
      <c r="B687" s="640"/>
    </row>
    <row r="688" spans="1:2" ht="14.25" customHeight="1" x14ac:dyDescent="0.3">
      <c r="A688" s="641"/>
      <c r="B688" s="640"/>
    </row>
    <row r="689" spans="1:2" ht="14.25" customHeight="1" x14ac:dyDescent="0.3">
      <c r="A689" s="641"/>
      <c r="B689" s="640"/>
    </row>
    <row r="690" spans="1:2" ht="14.25" customHeight="1" x14ac:dyDescent="0.3">
      <c r="A690" s="641"/>
      <c r="B690" s="640"/>
    </row>
    <row r="691" spans="1:2" ht="14.25" customHeight="1" x14ac:dyDescent="0.3">
      <c r="A691" s="641"/>
      <c r="B691" s="640"/>
    </row>
    <row r="692" spans="1:2" ht="14.25" customHeight="1" x14ac:dyDescent="0.3">
      <c r="A692" s="641"/>
      <c r="B692" s="640"/>
    </row>
    <row r="693" spans="1:2" ht="14.25" customHeight="1" x14ac:dyDescent="0.3">
      <c r="A693" s="641"/>
      <c r="B693" s="640"/>
    </row>
    <row r="694" spans="1:2" ht="14.25" customHeight="1" x14ac:dyDescent="0.3">
      <c r="A694" s="641"/>
      <c r="B694" s="640"/>
    </row>
    <row r="695" spans="1:2" ht="14.25" customHeight="1" x14ac:dyDescent="0.3">
      <c r="A695" s="641"/>
      <c r="B695" s="640"/>
    </row>
    <row r="696" spans="1:2" ht="14.25" customHeight="1" x14ac:dyDescent="0.3">
      <c r="A696" s="641"/>
      <c r="B696" s="640"/>
    </row>
    <row r="697" spans="1:2" ht="14.25" customHeight="1" x14ac:dyDescent="0.3">
      <c r="A697" s="641"/>
      <c r="B697" s="640"/>
    </row>
    <row r="698" spans="1:2" ht="14.25" customHeight="1" x14ac:dyDescent="0.3">
      <c r="A698" s="641"/>
      <c r="B698" s="640"/>
    </row>
    <row r="699" spans="1:2" ht="14.25" customHeight="1" x14ac:dyDescent="0.3">
      <c r="A699" s="641"/>
      <c r="B699" s="640"/>
    </row>
    <row r="700" spans="1:2" ht="14.25" customHeight="1" x14ac:dyDescent="0.3">
      <c r="A700" s="641"/>
      <c r="B700" s="640"/>
    </row>
    <row r="701" spans="1:2" ht="14.25" customHeight="1" x14ac:dyDescent="0.3">
      <c r="A701" s="641"/>
      <c r="B701" s="640"/>
    </row>
    <row r="702" spans="1:2" ht="14.25" customHeight="1" x14ac:dyDescent="0.3">
      <c r="A702" s="641"/>
      <c r="B702" s="640"/>
    </row>
    <row r="703" spans="1:2" ht="14.25" customHeight="1" x14ac:dyDescent="0.3">
      <c r="A703" s="641"/>
      <c r="B703" s="640"/>
    </row>
    <row r="704" spans="1:2" ht="14.25" customHeight="1" x14ac:dyDescent="0.3">
      <c r="A704" s="641"/>
      <c r="B704" s="640"/>
    </row>
    <row r="705" spans="1:2" ht="14.25" customHeight="1" x14ac:dyDescent="0.3">
      <c r="A705" s="641"/>
      <c r="B705" s="640"/>
    </row>
    <row r="706" spans="1:2" ht="14.25" customHeight="1" x14ac:dyDescent="0.3">
      <c r="A706" s="641"/>
      <c r="B706" s="640"/>
    </row>
    <row r="707" spans="1:2" ht="14.25" customHeight="1" x14ac:dyDescent="0.3">
      <c r="A707" s="641"/>
      <c r="B707" s="640"/>
    </row>
    <row r="708" spans="1:2" ht="14.25" customHeight="1" x14ac:dyDescent="0.3">
      <c r="A708" s="641"/>
      <c r="B708" s="640"/>
    </row>
    <row r="709" spans="1:2" ht="14.25" customHeight="1" x14ac:dyDescent="0.3">
      <c r="A709" s="641"/>
      <c r="B709" s="640"/>
    </row>
    <row r="710" spans="1:2" ht="14.25" customHeight="1" x14ac:dyDescent="0.3">
      <c r="A710" s="641"/>
      <c r="B710" s="640"/>
    </row>
    <row r="711" spans="1:2" ht="14.25" customHeight="1" x14ac:dyDescent="0.3">
      <c r="A711" s="641"/>
      <c r="B711" s="640"/>
    </row>
    <row r="712" spans="1:2" ht="14.25" customHeight="1" x14ac:dyDescent="0.3">
      <c r="A712" s="641"/>
      <c r="B712" s="640"/>
    </row>
    <row r="713" spans="1:2" ht="14.25" customHeight="1" x14ac:dyDescent="0.3">
      <c r="A713" s="641"/>
      <c r="B713" s="640"/>
    </row>
    <row r="714" spans="1:2" ht="14.25" customHeight="1" x14ac:dyDescent="0.3">
      <c r="A714" s="641"/>
      <c r="B714" s="640"/>
    </row>
    <row r="715" spans="1:2" ht="14.25" customHeight="1" x14ac:dyDescent="0.3">
      <c r="A715" s="641"/>
      <c r="B715" s="640"/>
    </row>
    <row r="716" spans="1:2" ht="14.25" customHeight="1" x14ac:dyDescent="0.3">
      <c r="A716" s="641"/>
      <c r="B716" s="640"/>
    </row>
    <row r="717" spans="1:2" ht="14.25" customHeight="1" x14ac:dyDescent="0.3">
      <c r="A717" s="641"/>
      <c r="B717" s="640"/>
    </row>
    <row r="718" spans="1:2" ht="14.25" customHeight="1" x14ac:dyDescent="0.3">
      <c r="A718" s="641"/>
      <c r="B718" s="640"/>
    </row>
    <row r="719" spans="1:2" ht="14.25" customHeight="1" x14ac:dyDescent="0.3">
      <c r="A719" s="641"/>
      <c r="B719" s="640"/>
    </row>
    <row r="720" spans="1:2" ht="14.25" customHeight="1" x14ac:dyDescent="0.3">
      <c r="A720" s="641"/>
      <c r="B720" s="640"/>
    </row>
    <row r="721" spans="1:2" ht="14.25" customHeight="1" x14ac:dyDescent="0.3">
      <c r="A721" s="641"/>
      <c r="B721" s="640"/>
    </row>
    <row r="722" spans="1:2" ht="14.25" customHeight="1" x14ac:dyDescent="0.3">
      <c r="A722" s="641"/>
      <c r="B722" s="640"/>
    </row>
    <row r="723" spans="1:2" ht="14.25" customHeight="1" x14ac:dyDescent="0.3">
      <c r="A723" s="641"/>
      <c r="B723" s="640"/>
    </row>
    <row r="724" spans="1:2" ht="14.25" customHeight="1" x14ac:dyDescent="0.3">
      <c r="A724" s="641"/>
      <c r="B724" s="640"/>
    </row>
    <row r="725" spans="1:2" ht="14.25" customHeight="1" x14ac:dyDescent="0.3">
      <c r="A725" s="641"/>
      <c r="B725" s="640"/>
    </row>
    <row r="726" spans="1:2" ht="14.25" customHeight="1" x14ac:dyDescent="0.3">
      <c r="A726" s="641"/>
      <c r="B726" s="640"/>
    </row>
    <row r="727" spans="1:2" ht="14.25" customHeight="1" x14ac:dyDescent="0.3">
      <c r="A727" s="641"/>
      <c r="B727" s="640"/>
    </row>
    <row r="728" spans="1:2" ht="14.25" customHeight="1" x14ac:dyDescent="0.3">
      <c r="A728" s="641"/>
      <c r="B728" s="640"/>
    </row>
    <row r="729" spans="1:2" ht="14.25" customHeight="1" x14ac:dyDescent="0.3">
      <c r="A729" s="641"/>
      <c r="B729" s="640"/>
    </row>
    <row r="730" spans="1:2" ht="14.25" customHeight="1" x14ac:dyDescent="0.3">
      <c r="A730" s="641"/>
      <c r="B730" s="640"/>
    </row>
    <row r="731" spans="1:2" ht="14.25" customHeight="1" x14ac:dyDescent="0.3">
      <c r="A731" s="641"/>
      <c r="B731" s="640"/>
    </row>
    <row r="732" spans="1:2" ht="14.25" customHeight="1" x14ac:dyDescent="0.3">
      <c r="A732" s="641"/>
      <c r="B732" s="640"/>
    </row>
    <row r="733" spans="1:2" ht="14.25" customHeight="1" x14ac:dyDescent="0.3">
      <c r="A733" s="641"/>
      <c r="B733" s="640"/>
    </row>
    <row r="734" spans="1:2" ht="14.25" customHeight="1" x14ac:dyDescent="0.3">
      <c r="A734" s="641"/>
      <c r="B734" s="640"/>
    </row>
    <row r="735" spans="1:2" ht="14.25" customHeight="1" x14ac:dyDescent="0.3">
      <c r="A735" s="641"/>
      <c r="B735" s="640"/>
    </row>
    <row r="736" spans="1:2" ht="14.25" customHeight="1" x14ac:dyDescent="0.3">
      <c r="A736" s="641"/>
      <c r="B736" s="640"/>
    </row>
    <row r="737" spans="1:2" ht="14.25" customHeight="1" x14ac:dyDescent="0.3">
      <c r="A737" s="641"/>
      <c r="B737" s="640"/>
    </row>
    <row r="738" spans="1:2" ht="14.25" customHeight="1" x14ac:dyDescent="0.3">
      <c r="A738" s="641"/>
      <c r="B738" s="640"/>
    </row>
    <row r="739" spans="1:2" ht="14.25" customHeight="1" x14ac:dyDescent="0.3">
      <c r="A739" s="641"/>
      <c r="B739" s="640"/>
    </row>
    <row r="740" spans="1:2" ht="14.25" customHeight="1" x14ac:dyDescent="0.3">
      <c r="A740" s="641"/>
      <c r="B740" s="640"/>
    </row>
    <row r="741" spans="1:2" ht="14.25" customHeight="1" x14ac:dyDescent="0.3">
      <c r="A741" s="641"/>
      <c r="B741" s="640"/>
    </row>
    <row r="742" spans="1:2" ht="14.25" customHeight="1" x14ac:dyDescent="0.3">
      <c r="A742" s="641"/>
      <c r="B742" s="640"/>
    </row>
    <row r="743" spans="1:2" ht="14.25" customHeight="1" x14ac:dyDescent="0.3">
      <c r="A743" s="641"/>
      <c r="B743" s="640"/>
    </row>
    <row r="744" spans="1:2" ht="14.25" customHeight="1" x14ac:dyDescent="0.3">
      <c r="A744" s="641"/>
      <c r="B744" s="640"/>
    </row>
    <row r="745" spans="1:2" ht="14.25" customHeight="1" x14ac:dyDescent="0.3">
      <c r="A745" s="641"/>
      <c r="B745" s="640"/>
    </row>
    <row r="746" spans="1:2" ht="14.25" customHeight="1" x14ac:dyDescent="0.3">
      <c r="A746" s="641"/>
      <c r="B746" s="640"/>
    </row>
    <row r="747" spans="1:2" ht="15.75" customHeight="1" x14ac:dyDescent="0.3">
      <c r="A747" s="641"/>
      <c r="B747" s="640"/>
    </row>
    <row r="748" spans="1:2" ht="15.75" customHeight="1" x14ac:dyDescent="0.3">
      <c r="A748" s="641"/>
      <c r="B748" s="640"/>
    </row>
    <row r="749" spans="1:2" ht="15.75" customHeight="1" x14ac:dyDescent="0.3">
      <c r="A749" s="641"/>
      <c r="B749" s="640"/>
    </row>
    <row r="750" spans="1:2" ht="15.75" customHeight="1" x14ac:dyDescent="0.3">
      <c r="A750" s="641"/>
      <c r="B750" s="640"/>
    </row>
    <row r="751" spans="1:2" ht="15.75" customHeight="1" x14ac:dyDescent="0.3">
      <c r="A751" s="641"/>
      <c r="B751" s="640"/>
    </row>
    <row r="752" spans="1:2" ht="15.75" customHeight="1" x14ac:dyDescent="0.3">
      <c r="A752" s="641"/>
      <c r="B752" s="640"/>
    </row>
    <row r="753" spans="1:2" ht="15.75" customHeight="1" x14ac:dyDescent="0.3">
      <c r="A753" s="641"/>
      <c r="B753" s="640"/>
    </row>
    <row r="754" spans="1:2" ht="15.75" customHeight="1" x14ac:dyDescent="0.3">
      <c r="A754" s="641"/>
      <c r="B754" s="640"/>
    </row>
    <row r="755" spans="1:2" ht="15.75" customHeight="1" x14ac:dyDescent="0.3">
      <c r="A755" s="641"/>
      <c r="B755" s="640"/>
    </row>
    <row r="756" spans="1:2" ht="15.75" customHeight="1" x14ac:dyDescent="0.3">
      <c r="A756" s="641"/>
      <c r="B756" s="640"/>
    </row>
    <row r="757" spans="1:2" ht="15.75" customHeight="1" x14ac:dyDescent="0.3">
      <c r="A757" s="641"/>
      <c r="B757" s="640"/>
    </row>
    <row r="758" spans="1:2" ht="15.75" customHeight="1" x14ac:dyDescent="0.3">
      <c r="A758" s="641"/>
      <c r="B758" s="640"/>
    </row>
    <row r="759" spans="1:2" ht="15.75" customHeight="1" x14ac:dyDescent="0.3">
      <c r="A759" s="641"/>
      <c r="B759" s="640"/>
    </row>
    <row r="760" spans="1:2" ht="15.75" customHeight="1" x14ac:dyDescent="0.3">
      <c r="A760" s="641"/>
      <c r="B760" s="640"/>
    </row>
    <row r="761" spans="1:2" ht="15.75" customHeight="1" x14ac:dyDescent="0.3">
      <c r="A761" s="641"/>
      <c r="B761" s="640"/>
    </row>
    <row r="762" spans="1:2" ht="15.75" customHeight="1" x14ac:dyDescent="0.3">
      <c r="A762" s="641"/>
      <c r="B762" s="640"/>
    </row>
    <row r="763" spans="1:2" ht="15.75" customHeight="1" x14ac:dyDescent="0.3">
      <c r="A763" s="641"/>
      <c r="B763" s="640"/>
    </row>
    <row r="764" spans="1:2" ht="15.75" customHeight="1" x14ac:dyDescent="0.3">
      <c r="A764" s="641"/>
      <c r="B764" s="640"/>
    </row>
    <row r="765" spans="1:2" ht="15.75" customHeight="1" x14ac:dyDescent="0.3">
      <c r="A765" s="641"/>
      <c r="B765" s="640"/>
    </row>
    <row r="766" spans="1:2" ht="15.75" customHeight="1" x14ac:dyDescent="0.3">
      <c r="A766" s="641"/>
      <c r="B766" s="640"/>
    </row>
    <row r="767" spans="1:2" ht="15.75" customHeight="1" x14ac:dyDescent="0.3">
      <c r="A767" s="641"/>
      <c r="B767" s="640"/>
    </row>
    <row r="768" spans="1:2" ht="15.75" customHeight="1" x14ac:dyDescent="0.3">
      <c r="A768" s="641"/>
      <c r="B768" s="640"/>
    </row>
    <row r="769" spans="1:2" ht="15.75" customHeight="1" x14ac:dyDescent="0.3">
      <c r="A769" s="641"/>
      <c r="B769" s="640"/>
    </row>
    <row r="770" spans="1:2" ht="15.75" customHeight="1" x14ac:dyDescent="0.3">
      <c r="A770" s="641"/>
      <c r="B770" s="640"/>
    </row>
    <row r="771" spans="1:2" ht="15.75" customHeight="1" x14ac:dyDescent="0.3">
      <c r="A771" s="641"/>
      <c r="B771" s="640"/>
    </row>
    <row r="772" spans="1:2" ht="15.75" customHeight="1" x14ac:dyDescent="0.3">
      <c r="A772" s="641"/>
      <c r="B772" s="640"/>
    </row>
    <row r="773" spans="1:2" ht="15.75" customHeight="1" x14ac:dyDescent="0.3">
      <c r="A773" s="641"/>
      <c r="B773" s="640"/>
    </row>
    <row r="774" spans="1:2" ht="15.75" customHeight="1" x14ac:dyDescent="0.3">
      <c r="A774" s="641"/>
      <c r="B774" s="640"/>
    </row>
    <row r="775" spans="1:2" ht="15.75" customHeight="1" x14ac:dyDescent="0.3">
      <c r="A775" s="641"/>
      <c r="B775" s="640"/>
    </row>
    <row r="776" spans="1:2" ht="15.75" customHeight="1" x14ac:dyDescent="0.3">
      <c r="A776" s="641"/>
      <c r="B776" s="640"/>
    </row>
    <row r="777" spans="1:2" ht="15.75" customHeight="1" x14ac:dyDescent="0.3">
      <c r="A777" s="641"/>
      <c r="B777" s="640"/>
    </row>
    <row r="778" spans="1:2" ht="15.75" customHeight="1" x14ac:dyDescent="0.3">
      <c r="A778" s="641"/>
      <c r="B778" s="640"/>
    </row>
    <row r="779" spans="1:2" ht="15.75" customHeight="1" x14ac:dyDescent="0.3">
      <c r="A779" s="641"/>
      <c r="B779" s="640"/>
    </row>
    <row r="780" spans="1:2" ht="15.75" customHeight="1" x14ac:dyDescent="0.3">
      <c r="A780" s="641"/>
      <c r="B780" s="640"/>
    </row>
    <row r="781" spans="1:2" ht="15.75" customHeight="1" x14ac:dyDescent="0.3">
      <c r="A781" s="641"/>
      <c r="B781" s="640"/>
    </row>
    <row r="782" spans="1:2" ht="15.75" customHeight="1" x14ac:dyDescent="0.3">
      <c r="A782" s="641"/>
      <c r="B782" s="640"/>
    </row>
    <row r="783" spans="1:2" ht="15.75" customHeight="1" x14ac:dyDescent="0.3">
      <c r="A783" s="641"/>
      <c r="B783" s="640"/>
    </row>
    <row r="784" spans="1:2" ht="15.75" customHeight="1" x14ac:dyDescent="0.3">
      <c r="A784" s="641"/>
      <c r="B784" s="640"/>
    </row>
    <row r="785" spans="1:2" ht="15.75" customHeight="1" x14ac:dyDescent="0.3">
      <c r="A785" s="641"/>
      <c r="B785" s="640"/>
    </row>
    <row r="786" spans="1:2" ht="15.75" customHeight="1" x14ac:dyDescent="0.3">
      <c r="A786" s="641"/>
      <c r="B786" s="640"/>
    </row>
    <row r="787" spans="1:2" ht="15.75" customHeight="1" x14ac:dyDescent="0.3">
      <c r="A787" s="641"/>
      <c r="B787" s="640"/>
    </row>
    <row r="788" spans="1:2" ht="15.75" customHeight="1" x14ac:dyDescent="0.3">
      <c r="A788" s="641"/>
      <c r="B788" s="640"/>
    </row>
    <row r="789" spans="1:2" ht="15.75" customHeight="1" x14ac:dyDescent="0.3">
      <c r="A789" s="641"/>
      <c r="B789" s="640"/>
    </row>
    <row r="790" spans="1:2" ht="15.75" customHeight="1" x14ac:dyDescent="0.3">
      <c r="A790" s="641"/>
      <c r="B790" s="640"/>
    </row>
    <row r="791" spans="1:2" ht="15.75" customHeight="1" x14ac:dyDescent="0.3">
      <c r="A791" s="641"/>
      <c r="B791" s="640"/>
    </row>
    <row r="792" spans="1:2" ht="15.75" customHeight="1" x14ac:dyDescent="0.3">
      <c r="A792" s="641"/>
      <c r="B792" s="640"/>
    </row>
    <row r="793" spans="1:2" ht="15.75" customHeight="1" x14ac:dyDescent="0.3">
      <c r="A793" s="641"/>
      <c r="B793" s="640"/>
    </row>
    <row r="794" spans="1:2" ht="15.75" customHeight="1" x14ac:dyDescent="0.3">
      <c r="A794" s="641"/>
      <c r="B794" s="640"/>
    </row>
    <row r="795" spans="1:2" ht="15.75" customHeight="1" x14ac:dyDescent="0.3">
      <c r="A795" s="641"/>
      <c r="B795" s="640"/>
    </row>
    <row r="796" spans="1:2" ht="15.75" customHeight="1" x14ac:dyDescent="0.3">
      <c r="A796" s="641"/>
      <c r="B796" s="640"/>
    </row>
    <row r="797" spans="1:2" ht="15.75" customHeight="1" x14ac:dyDescent="0.3">
      <c r="A797" s="641"/>
      <c r="B797" s="640"/>
    </row>
    <row r="798" spans="1:2" ht="15.75" customHeight="1" x14ac:dyDescent="0.3">
      <c r="A798" s="641"/>
      <c r="B798" s="640"/>
    </row>
    <row r="799" spans="1:2" ht="15.75" customHeight="1" x14ac:dyDescent="0.3">
      <c r="A799" s="641"/>
      <c r="B799" s="640"/>
    </row>
    <row r="800" spans="1:2" ht="15.75" customHeight="1" x14ac:dyDescent="0.3">
      <c r="A800" s="641"/>
      <c r="B800" s="640"/>
    </row>
    <row r="801" spans="1:2" ht="15.75" customHeight="1" x14ac:dyDescent="0.3">
      <c r="A801" s="641"/>
      <c r="B801" s="640"/>
    </row>
    <row r="802" spans="1:2" ht="15.75" customHeight="1" x14ac:dyDescent="0.3">
      <c r="A802" s="641"/>
      <c r="B802" s="640"/>
    </row>
    <row r="803" spans="1:2" ht="15.75" customHeight="1" x14ac:dyDescent="0.3">
      <c r="A803" s="641"/>
      <c r="B803" s="640"/>
    </row>
    <row r="804" spans="1:2" ht="15.75" customHeight="1" x14ac:dyDescent="0.3">
      <c r="A804" s="641"/>
      <c r="B804" s="640"/>
    </row>
    <row r="805" spans="1:2" ht="15.75" customHeight="1" x14ac:dyDescent="0.3">
      <c r="A805" s="641"/>
      <c r="B805" s="640"/>
    </row>
    <row r="806" spans="1:2" ht="15.75" customHeight="1" x14ac:dyDescent="0.3">
      <c r="A806" s="641"/>
      <c r="B806" s="640"/>
    </row>
    <row r="807" spans="1:2" ht="15.75" customHeight="1" x14ac:dyDescent="0.3">
      <c r="A807" s="641"/>
      <c r="B807" s="640"/>
    </row>
    <row r="808" spans="1:2" ht="15.75" customHeight="1" x14ac:dyDescent="0.3">
      <c r="A808" s="641"/>
      <c r="B808" s="640"/>
    </row>
    <row r="809" spans="1:2" ht="15.75" customHeight="1" x14ac:dyDescent="0.3">
      <c r="A809" s="641"/>
      <c r="B809" s="640"/>
    </row>
    <row r="810" spans="1:2" ht="15.75" customHeight="1" x14ac:dyDescent="0.3">
      <c r="A810" s="641"/>
      <c r="B810" s="640"/>
    </row>
    <row r="811" spans="1:2" ht="15.75" customHeight="1" x14ac:dyDescent="0.3">
      <c r="A811" s="641"/>
      <c r="B811" s="640"/>
    </row>
    <row r="812" spans="1:2" ht="15.75" customHeight="1" x14ac:dyDescent="0.3">
      <c r="A812" s="641"/>
      <c r="B812" s="640"/>
    </row>
    <row r="813" spans="1:2" ht="15.75" customHeight="1" x14ac:dyDescent="0.3">
      <c r="A813" s="641"/>
      <c r="B813" s="640"/>
    </row>
    <row r="814" spans="1:2" ht="15.75" customHeight="1" x14ac:dyDescent="0.3">
      <c r="A814" s="641"/>
      <c r="B814" s="640"/>
    </row>
    <row r="815" spans="1:2" ht="15.75" customHeight="1" x14ac:dyDescent="0.3">
      <c r="A815" s="641"/>
      <c r="B815" s="640"/>
    </row>
    <row r="816" spans="1:2" ht="15.75" customHeight="1" x14ac:dyDescent="0.3">
      <c r="A816" s="641"/>
      <c r="B816" s="640"/>
    </row>
    <row r="817" spans="1:2" ht="15.75" customHeight="1" x14ac:dyDescent="0.3">
      <c r="A817" s="641"/>
      <c r="B817" s="640"/>
    </row>
    <row r="818" spans="1:2" ht="15.75" customHeight="1" x14ac:dyDescent="0.3">
      <c r="A818" s="641"/>
      <c r="B818" s="640"/>
    </row>
    <row r="819" spans="1:2" ht="15.75" customHeight="1" x14ac:dyDescent="0.3">
      <c r="A819" s="641"/>
      <c r="B819" s="640"/>
    </row>
    <row r="820" spans="1:2" ht="15.75" customHeight="1" x14ac:dyDescent="0.3">
      <c r="A820" s="641"/>
      <c r="B820" s="640"/>
    </row>
    <row r="821" spans="1:2" ht="15.75" customHeight="1" x14ac:dyDescent="0.3">
      <c r="A821" s="641"/>
      <c r="B821" s="640"/>
    </row>
    <row r="822" spans="1:2" ht="15.75" customHeight="1" x14ac:dyDescent="0.3">
      <c r="A822" s="641"/>
      <c r="B822" s="640"/>
    </row>
    <row r="823" spans="1:2" ht="15.75" customHeight="1" x14ac:dyDescent="0.3">
      <c r="A823" s="641"/>
      <c r="B823" s="640"/>
    </row>
    <row r="824" spans="1:2" ht="15.75" customHeight="1" x14ac:dyDescent="0.3">
      <c r="A824" s="641"/>
      <c r="B824" s="640"/>
    </row>
    <row r="825" spans="1:2" ht="15.75" customHeight="1" x14ac:dyDescent="0.3">
      <c r="A825" s="641"/>
      <c r="B825" s="640"/>
    </row>
    <row r="826" spans="1:2" ht="15.75" customHeight="1" x14ac:dyDescent="0.3">
      <c r="A826" s="641"/>
      <c r="B826" s="640"/>
    </row>
    <row r="827" spans="1:2" ht="15.75" customHeight="1" x14ac:dyDescent="0.3">
      <c r="A827" s="641"/>
      <c r="B827" s="640"/>
    </row>
    <row r="828" spans="1:2" ht="15.75" customHeight="1" x14ac:dyDescent="0.3">
      <c r="A828" s="641"/>
      <c r="B828" s="640"/>
    </row>
    <row r="829" spans="1:2" ht="15.75" customHeight="1" x14ac:dyDescent="0.3">
      <c r="A829" s="641"/>
      <c r="B829" s="640"/>
    </row>
    <row r="830" spans="1:2" ht="15.75" customHeight="1" x14ac:dyDescent="0.3">
      <c r="A830" s="641"/>
      <c r="B830" s="640"/>
    </row>
    <row r="831" spans="1:2" ht="15.75" customHeight="1" x14ac:dyDescent="0.3">
      <c r="A831" s="641"/>
      <c r="B831" s="640"/>
    </row>
    <row r="832" spans="1:2" ht="15.75" customHeight="1" x14ac:dyDescent="0.3">
      <c r="A832" s="641"/>
      <c r="B832" s="640"/>
    </row>
    <row r="833" spans="1:2" ht="15.75" customHeight="1" x14ac:dyDescent="0.3">
      <c r="A833" s="641"/>
      <c r="B833" s="640"/>
    </row>
    <row r="834" spans="1:2" ht="15.75" customHeight="1" x14ac:dyDescent="0.3">
      <c r="A834" s="641"/>
      <c r="B834" s="640"/>
    </row>
    <row r="835" spans="1:2" ht="15.75" customHeight="1" x14ac:dyDescent="0.3">
      <c r="A835" s="641"/>
      <c r="B835" s="640"/>
    </row>
    <row r="836" spans="1:2" ht="15.75" customHeight="1" x14ac:dyDescent="0.3">
      <c r="A836" s="641"/>
      <c r="B836" s="640"/>
    </row>
    <row r="837" spans="1:2" ht="15.75" customHeight="1" x14ac:dyDescent="0.3">
      <c r="A837" s="641"/>
      <c r="B837" s="640"/>
    </row>
    <row r="838" spans="1:2" ht="15.75" customHeight="1" x14ac:dyDescent="0.3">
      <c r="A838" s="641"/>
      <c r="B838" s="640"/>
    </row>
    <row r="839" spans="1:2" ht="15.75" customHeight="1" x14ac:dyDescent="0.3">
      <c r="A839" s="641"/>
      <c r="B839" s="640"/>
    </row>
    <row r="840" spans="1:2" ht="15.75" customHeight="1" x14ac:dyDescent="0.3">
      <c r="A840" s="641"/>
      <c r="B840" s="640"/>
    </row>
    <row r="841" spans="1:2" ht="15.75" customHeight="1" x14ac:dyDescent="0.3">
      <c r="A841" s="641"/>
      <c r="B841" s="640"/>
    </row>
    <row r="842" spans="1:2" ht="15.75" customHeight="1" x14ac:dyDescent="0.3">
      <c r="A842" s="641"/>
      <c r="B842" s="640"/>
    </row>
    <row r="843" spans="1:2" ht="15.75" customHeight="1" x14ac:dyDescent="0.3">
      <c r="A843" s="641"/>
      <c r="B843" s="640"/>
    </row>
    <row r="844" spans="1:2" ht="15.75" customHeight="1" x14ac:dyDescent="0.3">
      <c r="A844" s="641"/>
      <c r="B844" s="640"/>
    </row>
    <row r="845" spans="1:2" ht="15.75" customHeight="1" x14ac:dyDescent="0.3">
      <c r="A845" s="641"/>
      <c r="B845" s="640"/>
    </row>
    <row r="846" spans="1:2" ht="15.75" customHeight="1" x14ac:dyDescent="0.3">
      <c r="A846" s="641"/>
      <c r="B846" s="640"/>
    </row>
    <row r="847" spans="1:2" ht="15.75" customHeight="1" x14ac:dyDescent="0.3">
      <c r="A847" s="641"/>
      <c r="B847" s="640"/>
    </row>
    <row r="848" spans="1:2" ht="15.75" customHeight="1" x14ac:dyDescent="0.3">
      <c r="A848" s="641"/>
      <c r="B848" s="640"/>
    </row>
    <row r="849" spans="1:2" ht="15.75" customHeight="1" x14ac:dyDescent="0.3">
      <c r="A849" s="641"/>
      <c r="B849" s="640"/>
    </row>
    <row r="850" spans="1:2" ht="15.75" customHeight="1" x14ac:dyDescent="0.3">
      <c r="A850" s="641"/>
      <c r="B850" s="640"/>
    </row>
    <row r="851" spans="1:2" ht="15.75" customHeight="1" x14ac:dyDescent="0.3">
      <c r="A851" s="641"/>
      <c r="B851" s="640"/>
    </row>
    <row r="852" spans="1:2" ht="15.75" customHeight="1" x14ac:dyDescent="0.3">
      <c r="A852" s="641"/>
      <c r="B852" s="640"/>
    </row>
    <row r="853" spans="1:2" ht="15.75" customHeight="1" x14ac:dyDescent="0.3">
      <c r="A853" s="641"/>
      <c r="B853" s="640"/>
    </row>
    <row r="854" spans="1:2" ht="15.75" customHeight="1" x14ac:dyDescent="0.3">
      <c r="A854" s="641"/>
      <c r="B854" s="640"/>
    </row>
    <row r="855" spans="1:2" ht="15.75" customHeight="1" x14ac:dyDescent="0.3">
      <c r="A855" s="641"/>
      <c r="B855" s="640"/>
    </row>
    <row r="856" spans="1:2" ht="15.75" customHeight="1" x14ac:dyDescent="0.3">
      <c r="A856" s="641"/>
      <c r="B856" s="640"/>
    </row>
    <row r="857" spans="1:2" ht="15.75" customHeight="1" x14ac:dyDescent="0.3">
      <c r="A857" s="641"/>
      <c r="B857" s="640"/>
    </row>
    <row r="858" spans="1:2" ht="15.75" customHeight="1" x14ac:dyDescent="0.3">
      <c r="A858" s="641"/>
      <c r="B858" s="640"/>
    </row>
    <row r="859" spans="1:2" ht="15.75" customHeight="1" x14ac:dyDescent="0.3">
      <c r="A859" s="641"/>
      <c r="B859" s="640"/>
    </row>
    <row r="860" spans="1:2" ht="15.75" customHeight="1" x14ac:dyDescent="0.3">
      <c r="A860" s="641"/>
      <c r="B860" s="640"/>
    </row>
    <row r="861" spans="1:2" ht="15.75" customHeight="1" x14ac:dyDescent="0.3">
      <c r="A861" s="641"/>
      <c r="B861" s="640"/>
    </row>
    <row r="862" spans="1:2" ht="15.75" customHeight="1" x14ac:dyDescent="0.3">
      <c r="A862" s="641"/>
      <c r="B862" s="640"/>
    </row>
    <row r="863" spans="1:2" ht="15.75" customHeight="1" x14ac:dyDescent="0.3">
      <c r="A863" s="641"/>
      <c r="B863" s="640"/>
    </row>
    <row r="864" spans="1:2" ht="15.75" customHeight="1" x14ac:dyDescent="0.3">
      <c r="A864" s="641"/>
      <c r="B864" s="640"/>
    </row>
    <row r="865" spans="1:2" ht="15.75" customHeight="1" x14ac:dyDescent="0.3">
      <c r="A865" s="641"/>
      <c r="B865" s="640"/>
    </row>
    <row r="866" spans="1:2" ht="15.75" customHeight="1" x14ac:dyDescent="0.3">
      <c r="A866" s="641"/>
      <c r="B866" s="640"/>
    </row>
    <row r="867" spans="1:2" ht="15.75" customHeight="1" x14ac:dyDescent="0.3">
      <c r="A867" s="641"/>
      <c r="B867" s="640"/>
    </row>
    <row r="868" spans="1:2" ht="15.75" customHeight="1" x14ac:dyDescent="0.3">
      <c r="A868" s="641"/>
      <c r="B868" s="640"/>
    </row>
    <row r="869" spans="1:2" ht="15.75" customHeight="1" x14ac:dyDescent="0.3">
      <c r="A869" s="641"/>
      <c r="B869" s="640"/>
    </row>
    <row r="870" spans="1:2" ht="15.75" customHeight="1" x14ac:dyDescent="0.3">
      <c r="A870" s="641"/>
      <c r="B870" s="640"/>
    </row>
    <row r="871" spans="1:2" ht="15.75" customHeight="1" x14ac:dyDescent="0.3">
      <c r="A871" s="641"/>
      <c r="B871" s="640"/>
    </row>
    <row r="872" spans="1:2" ht="15.75" customHeight="1" x14ac:dyDescent="0.3">
      <c r="A872" s="641"/>
      <c r="B872" s="640"/>
    </row>
    <row r="873" spans="1:2" ht="15.75" customHeight="1" x14ac:dyDescent="0.3">
      <c r="A873" s="641"/>
      <c r="B873" s="640"/>
    </row>
    <row r="874" spans="1:2" ht="15.75" customHeight="1" x14ac:dyDescent="0.3">
      <c r="A874" s="641"/>
      <c r="B874" s="640"/>
    </row>
    <row r="875" spans="1:2" ht="15.75" customHeight="1" x14ac:dyDescent="0.3">
      <c r="A875" s="641"/>
      <c r="B875" s="640"/>
    </row>
    <row r="876" spans="1:2" ht="15.75" customHeight="1" x14ac:dyDescent="0.3">
      <c r="A876" s="641"/>
      <c r="B876" s="640"/>
    </row>
    <row r="877" spans="1:2" ht="15.75" customHeight="1" x14ac:dyDescent="0.3">
      <c r="A877" s="641"/>
      <c r="B877" s="640"/>
    </row>
    <row r="878" spans="1:2" ht="15.75" customHeight="1" x14ac:dyDescent="0.3">
      <c r="A878" s="641"/>
      <c r="B878" s="640"/>
    </row>
    <row r="879" spans="1:2" ht="15.75" customHeight="1" x14ac:dyDescent="0.3">
      <c r="A879" s="641"/>
      <c r="B879" s="640"/>
    </row>
    <row r="880" spans="1:2" ht="15.75" customHeight="1" x14ac:dyDescent="0.3">
      <c r="A880" s="641"/>
      <c r="B880" s="640"/>
    </row>
    <row r="881" spans="1:2" ht="15.75" customHeight="1" x14ac:dyDescent="0.3">
      <c r="A881" s="641"/>
      <c r="B881" s="640"/>
    </row>
    <row r="882" spans="1:2" ht="15.75" customHeight="1" x14ac:dyDescent="0.3">
      <c r="A882" s="641"/>
      <c r="B882" s="640"/>
    </row>
    <row r="883" spans="1:2" ht="15.75" customHeight="1" x14ac:dyDescent="0.3">
      <c r="A883" s="641"/>
      <c r="B883" s="640"/>
    </row>
    <row r="884" spans="1:2" ht="15.75" customHeight="1" x14ac:dyDescent="0.3">
      <c r="A884" s="641"/>
      <c r="B884" s="640"/>
    </row>
    <row r="885" spans="1:2" ht="15.75" customHeight="1" x14ac:dyDescent="0.3">
      <c r="A885" s="641"/>
      <c r="B885" s="640"/>
    </row>
    <row r="886" spans="1:2" ht="15.75" customHeight="1" x14ac:dyDescent="0.3">
      <c r="A886" s="641"/>
      <c r="B886" s="640"/>
    </row>
    <row r="887" spans="1:2" ht="15.75" customHeight="1" x14ac:dyDescent="0.3">
      <c r="A887" s="641"/>
      <c r="B887" s="640"/>
    </row>
    <row r="888" spans="1:2" ht="15.75" customHeight="1" x14ac:dyDescent="0.3">
      <c r="A888" s="641"/>
      <c r="B888" s="640"/>
    </row>
    <row r="889" spans="1:2" ht="15.75" customHeight="1" x14ac:dyDescent="0.3">
      <c r="A889" s="641"/>
      <c r="B889" s="640"/>
    </row>
    <row r="890" spans="1:2" ht="15.75" customHeight="1" x14ac:dyDescent="0.3">
      <c r="A890" s="641"/>
      <c r="B890" s="640"/>
    </row>
    <row r="891" spans="1:2" ht="15.75" customHeight="1" x14ac:dyDescent="0.3">
      <c r="A891" s="641"/>
      <c r="B891" s="640"/>
    </row>
    <row r="892" spans="1:2" ht="15.75" customHeight="1" x14ac:dyDescent="0.3">
      <c r="A892" s="641"/>
      <c r="B892" s="640"/>
    </row>
    <row r="893" spans="1:2" ht="15.75" customHeight="1" x14ac:dyDescent="0.3">
      <c r="A893" s="641"/>
      <c r="B893" s="640"/>
    </row>
    <row r="894" spans="1:2" ht="15.75" customHeight="1" x14ac:dyDescent="0.3">
      <c r="A894" s="641"/>
      <c r="B894" s="640"/>
    </row>
    <row r="895" spans="1:2" ht="15.75" customHeight="1" x14ac:dyDescent="0.3">
      <c r="A895" s="641"/>
      <c r="B895" s="640"/>
    </row>
    <row r="896" spans="1:2" ht="15.75" customHeight="1" x14ac:dyDescent="0.3">
      <c r="A896" s="641"/>
      <c r="B896" s="640"/>
    </row>
    <row r="897" spans="1:2" ht="15.75" customHeight="1" x14ac:dyDescent="0.3">
      <c r="A897" s="641"/>
      <c r="B897" s="640"/>
    </row>
    <row r="898" spans="1:2" ht="15.75" customHeight="1" x14ac:dyDescent="0.3">
      <c r="A898" s="641"/>
      <c r="B898" s="640"/>
    </row>
    <row r="899" spans="1:2" ht="15.75" customHeight="1" x14ac:dyDescent="0.3">
      <c r="A899" s="641"/>
      <c r="B899" s="640"/>
    </row>
    <row r="900" spans="1:2" ht="15.75" customHeight="1" x14ac:dyDescent="0.3">
      <c r="A900" s="641"/>
      <c r="B900" s="640"/>
    </row>
    <row r="901" spans="1:2" ht="15.75" customHeight="1" x14ac:dyDescent="0.3">
      <c r="A901" s="641"/>
      <c r="B901" s="640"/>
    </row>
    <row r="902" spans="1:2" ht="15.75" customHeight="1" x14ac:dyDescent="0.3">
      <c r="A902" s="641"/>
      <c r="B902" s="640"/>
    </row>
    <row r="903" spans="1:2" ht="15.75" customHeight="1" x14ac:dyDescent="0.3">
      <c r="A903" s="641"/>
      <c r="B903" s="640"/>
    </row>
    <row r="904" spans="1:2" ht="15.75" customHeight="1" x14ac:dyDescent="0.3">
      <c r="A904" s="641"/>
      <c r="B904" s="640"/>
    </row>
    <row r="905" spans="1:2" ht="15.75" customHeight="1" x14ac:dyDescent="0.3">
      <c r="A905" s="641"/>
      <c r="B905" s="640"/>
    </row>
    <row r="906" spans="1:2" ht="15.75" customHeight="1" x14ac:dyDescent="0.3">
      <c r="A906" s="641"/>
      <c r="B906" s="640"/>
    </row>
    <row r="907" spans="1:2" ht="15.75" customHeight="1" x14ac:dyDescent="0.3">
      <c r="A907" s="641"/>
      <c r="B907" s="640"/>
    </row>
    <row r="908" spans="1:2" ht="15.75" customHeight="1" x14ac:dyDescent="0.3">
      <c r="A908" s="641"/>
      <c r="B908" s="640"/>
    </row>
    <row r="909" spans="1:2" ht="15.75" customHeight="1" x14ac:dyDescent="0.3">
      <c r="A909" s="641"/>
      <c r="B909" s="640"/>
    </row>
    <row r="910" spans="1:2" ht="15.75" customHeight="1" x14ac:dyDescent="0.3">
      <c r="A910" s="641"/>
      <c r="B910" s="640"/>
    </row>
    <row r="911" spans="1:2" ht="15.75" customHeight="1" x14ac:dyDescent="0.3">
      <c r="A911" s="641"/>
      <c r="B911" s="640"/>
    </row>
    <row r="912" spans="1:2" ht="15.75" customHeight="1" x14ac:dyDescent="0.3">
      <c r="A912" s="641"/>
      <c r="B912" s="640"/>
    </row>
    <row r="913" spans="1:2" ht="15.75" customHeight="1" x14ac:dyDescent="0.3">
      <c r="A913" s="641"/>
      <c r="B913" s="640"/>
    </row>
    <row r="914" spans="1:2" ht="15.75" customHeight="1" x14ac:dyDescent="0.3">
      <c r="A914" s="641"/>
      <c r="B914" s="640"/>
    </row>
    <row r="915" spans="1:2" ht="15.75" customHeight="1" x14ac:dyDescent="0.3">
      <c r="A915" s="641"/>
      <c r="B915" s="640"/>
    </row>
    <row r="916" spans="1:2" ht="15.75" customHeight="1" x14ac:dyDescent="0.3">
      <c r="A916" s="641"/>
      <c r="B916" s="640"/>
    </row>
    <row r="917" spans="1:2" ht="15.75" customHeight="1" x14ac:dyDescent="0.3">
      <c r="A917" s="641"/>
      <c r="B917" s="640"/>
    </row>
    <row r="918" spans="1:2" ht="15.75" customHeight="1" x14ac:dyDescent="0.3">
      <c r="A918" s="641"/>
      <c r="B918" s="640"/>
    </row>
    <row r="919" spans="1:2" ht="15.75" customHeight="1" x14ac:dyDescent="0.3">
      <c r="A919" s="641"/>
      <c r="B919" s="640"/>
    </row>
    <row r="920" spans="1:2" ht="15.75" customHeight="1" x14ac:dyDescent="0.3">
      <c r="A920" s="641"/>
      <c r="B920" s="640"/>
    </row>
    <row r="921" spans="1:2" ht="15.75" customHeight="1" x14ac:dyDescent="0.3">
      <c r="A921" s="641"/>
      <c r="B921" s="640"/>
    </row>
    <row r="922" spans="1:2" ht="15.75" customHeight="1" x14ac:dyDescent="0.3">
      <c r="A922" s="641"/>
      <c r="B922" s="640"/>
    </row>
    <row r="923" spans="1:2" ht="15.75" customHeight="1" x14ac:dyDescent="0.3">
      <c r="A923" s="641"/>
      <c r="B923" s="640"/>
    </row>
    <row r="924" spans="1:2" ht="15.75" customHeight="1" x14ac:dyDescent="0.3">
      <c r="A924" s="641"/>
      <c r="B924" s="640"/>
    </row>
    <row r="925" spans="1:2" ht="15.75" customHeight="1" x14ac:dyDescent="0.3">
      <c r="A925" s="641"/>
      <c r="B925" s="640"/>
    </row>
    <row r="926" spans="1:2" ht="15.75" customHeight="1" x14ac:dyDescent="0.3">
      <c r="A926" s="641"/>
      <c r="B926" s="640"/>
    </row>
    <row r="927" spans="1:2" ht="15.75" customHeight="1" x14ac:dyDescent="0.3">
      <c r="A927" s="641"/>
      <c r="B927" s="640"/>
    </row>
    <row r="928" spans="1:2" ht="15.75" customHeight="1" x14ac:dyDescent="0.3">
      <c r="A928" s="641"/>
      <c r="B928" s="640"/>
    </row>
    <row r="929" spans="1:2" ht="15.75" customHeight="1" x14ac:dyDescent="0.3">
      <c r="A929" s="641"/>
      <c r="B929" s="640"/>
    </row>
    <row r="930" spans="1:2" ht="15.75" customHeight="1" x14ac:dyDescent="0.3">
      <c r="A930" s="641"/>
      <c r="B930" s="640"/>
    </row>
    <row r="931" spans="1:2" ht="15.75" customHeight="1" x14ac:dyDescent="0.3">
      <c r="A931" s="641"/>
      <c r="B931" s="640"/>
    </row>
    <row r="932" spans="1:2" ht="15.75" customHeight="1" x14ac:dyDescent="0.3">
      <c r="A932" s="641"/>
      <c r="B932" s="640"/>
    </row>
    <row r="933" spans="1:2" ht="15.75" customHeight="1" x14ac:dyDescent="0.3">
      <c r="A933" s="641"/>
      <c r="B933" s="640"/>
    </row>
    <row r="934" spans="1:2" ht="15.75" customHeight="1" x14ac:dyDescent="0.3">
      <c r="A934" s="641"/>
      <c r="B934" s="640"/>
    </row>
    <row r="935" spans="1:2" ht="15.75" customHeight="1" x14ac:dyDescent="0.3">
      <c r="A935" s="641"/>
      <c r="B935" s="640"/>
    </row>
    <row r="936" spans="1:2" ht="15.75" customHeight="1" x14ac:dyDescent="0.3">
      <c r="A936" s="641"/>
      <c r="B936" s="640"/>
    </row>
    <row r="937" spans="1:2" ht="15.75" customHeight="1" x14ac:dyDescent="0.3">
      <c r="A937" s="641"/>
      <c r="B937" s="640"/>
    </row>
    <row r="938" spans="1:2" ht="15.75" customHeight="1" x14ac:dyDescent="0.3">
      <c r="A938" s="641"/>
      <c r="B938" s="640"/>
    </row>
    <row r="939" spans="1:2" ht="15.75" customHeight="1" x14ac:dyDescent="0.3">
      <c r="A939" s="641"/>
      <c r="B939" s="640"/>
    </row>
    <row r="940" spans="1:2" ht="15.75" customHeight="1" x14ac:dyDescent="0.3">
      <c r="A940" s="641"/>
      <c r="B940" s="640"/>
    </row>
    <row r="941" spans="1:2" ht="15.75" customHeight="1" x14ac:dyDescent="0.3">
      <c r="A941" s="641"/>
      <c r="B941" s="640"/>
    </row>
    <row r="942" spans="1:2" ht="15.75" customHeight="1" x14ac:dyDescent="0.3">
      <c r="A942" s="641"/>
      <c r="B942" s="640"/>
    </row>
    <row r="943" spans="1:2" ht="15.75" customHeight="1" x14ac:dyDescent="0.3">
      <c r="A943" s="641"/>
      <c r="B943" s="640"/>
    </row>
    <row r="944" spans="1:2" ht="15.75" customHeight="1" x14ac:dyDescent="0.3">
      <c r="A944" s="641"/>
      <c r="B944" s="640"/>
    </row>
    <row r="945" spans="1:2" ht="15.75" customHeight="1" x14ac:dyDescent="0.3">
      <c r="A945" s="641"/>
      <c r="B945" s="640"/>
    </row>
    <row r="946" spans="1:2" ht="15.75" customHeight="1" x14ac:dyDescent="0.3">
      <c r="A946" s="641"/>
      <c r="B946" s="640"/>
    </row>
    <row r="947" spans="1:2" ht="15.75" customHeight="1" x14ac:dyDescent="0.3">
      <c r="A947" s="641"/>
      <c r="B947" s="640"/>
    </row>
    <row r="948" spans="1:2" ht="15.75" customHeight="1" x14ac:dyDescent="0.3">
      <c r="A948" s="641"/>
      <c r="B948" s="640"/>
    </row>
    <row r="949" spans="1:2" ht="15.75" customHeight="1" x14ac:dyDescent="0.3">
      <c r="A949" s="641"/>
      <c r="B949" s="640"/>
    </row>
    <row r="950" spans="1:2" ht="15.75" customHeight="1" x14ac:dyDescent="0.3">
      <c r="A950" s="641"/>
      <c r="B950" s="640"/>
    </row>
    <row r="951" spans="1:2" ht="15.75" customHeight="1" x14ac:dyDescent="0.3">
      <c r="A951" s="641"/>
      <c r="B951" s="640"/>
    </row>
    <row r="952" spans="1:2" ht="15.75" customHeight="1" x14ac:dyDescent="0.3">
      <c r="A952" s="641"/>
      <c r="B952" s="640"/>
    </row>
    <row r="953" spans="1:2" ht="15.75" customHeight="1" x14ac:dyDescent="0.3">
      <c r="A953" s="641"/>
      <c r="B953" s="640"/>
    </row>
    <row r="954" spans="1:2" ht="15.75" customHeight="1" x14ac:dyDescent="0.3">
      <c r="A954" s="641"/>
      <c r="B954" s="640"/>
    </row>
    <row r="955" spans="1:2" ht="15.75" customHeight="1" x14ac:dyDescent="0.3">
      <c r="A955" s="641"/>
      <c r="B955" s="640"/>
    </row>
    <row r="956" spans="1:2" ht="15.75" customHeight="1" x14ac:dyDescent="0.3">
      <c r="A956" s="641"/>
      <c r="B956" s="640"/>
    </row>
    <row r="957" spans="1:2" ht="15.75" customHeight="1" x14ac:dyDescent="0.3">
      <c r="A957" s="641"/>
      <c r="B957" s="640"/>
    </row>
    <row r="958" spans="1:2" ht="15.75" customHeight="1" x14ac:dyDescent="0.3">
      <c r="A958" s="641"/>
      <c r="B958" s="640"/>
    </row>
    <row r="959" spans="1:2" ht="15.75" customHeight="1" x14ac:dyDescent="0.3">
      <c r="A959" s="641"/>
      <c r="B959" s="640"/>
    </row>
    <row r="960" spans="1:2" ht="15.75" customHeight="1" x14ac:dyDescent="0.3">
      <c r="A960" s="641"/>
      <c r="B960" s="640"/>
    </row>
    <row r="961" spans="1:2" ht="15.75" customHeight="1" x14ac:dyDescent="0.3">
      <c r="A961" s="641"/>
      <c r="B961" s="640"/>
    </row>
    <row r="962" spans="1:2" ht="15.75" customHeight="1" x14ac:dyDescent="0.3">
      <c r="A962" s="641"/>
      <c r="B962" s="640"/>
    </row>
    <row r="963" spans="1:2" ht="15.75" customHeight="1" x14ac:dyDescent="0.3">
      <c r="A963" s="641"/>
      <c r="B963" s="640"/>
    </row>
    <row r="964" spans="1:2" ht="15.75" customHeight="1" x14ac:dyDescent="0.3">
      <c r="A964" s="641"/>
      <c r="B964" s="640"/>
    </row>
    <row r="965" spans="1:2" ht="15.75" customHeight="1" x14ac:dyDescent="0.3">
      <c r="A965" s="641"/>
      <c r="B965" s="640"/>
    </row>
    <row r="966" spans="1:2" ht="15.75" customHeight="1" x14ac:dyDescent="0.3">
      <c r="A966" s="641"/>
      <c r="B966" s="640"/>
    </row>
    <row r="967" spans="1:2" ht="15.75" customHeight="1" x14ac:dyDescent="0.3">
      <c r="A967" s="641"/>
      <c r="B967" s="640"/>
    </row>
    <row r="968" spans="1:2" ht="15.75" customHeight="1" x14ac:dyDescent="0.3">
      <c r="A968" s="641"/>
      <c r="B968" s="640"/>
    </row>
    <row r="969" spans="1:2" ht="15.75" customHeight="1" x14ac:dyDescent="0.3">
      <c r="A969" s="641"/>
      <c r="B969" s="640"/>
    </row>
    <row r="970" spans="1:2" ht="15.75" customHeight="1" x14ac:dyDescent="0.3">
      <c r="A970" s="641"/>
      <c r="B970" s="640"/>
    </row>
    <row r="971" spans="1:2" ht="15.75" customHeight="1" x14ac:dyDescent="0.3">
      <c r="A971" s="641"/>
      <c r="B971" s="640"/>
    </row>
    <row r="972" spans="1:2" ht="15.75" customHeight="1" x14ac:dyDescent="0.3">
      <c r="A972" s="641"/>
      <c r="B972" s="640"/>
    </row>
    <row r="973" spans="1:2" ht="15.75" customHeight="1" x14ac:dyDescent="0.3">
      <c r="A973" s="641"/>
      <c r="B973" s="640"/>
    </row>
    <row r="974" spans="1:2" ht="15.75" customHeight="1" x14ac:dyDescent="0.3">
      <c r="A974" s="641"/>
      <c r="B974" s="640"/>
    </row>
    <row r="975" spans="1:2" ht="15.75" customHeight="1" x14ac:dyDescent="0.3">
      <c r="A975" s="641"/>
      <c r="B975" s="640"/>
    </row>
    <row r="976" spans="1:2" ht="15.75" customHeight="1" x14ac:dyDescent="0.3">
      <c r="A976" s="641"/>
      <c r="B976" s="640"/>
    </row>
    <row r="977" spans="1:2" ht="15.75" customHeight="1" x14ac:dyDescent="0.3">
      <c r="A977" s="641"/>
      <c r="B977" s="640"/>
    </row>
    <row r="978" spans="1:2" ht="15.75" customHeight="1" x14ac:dyDescent="0.3">
      <c r="A978" s="641"/>
      <c r="B978" s="640"/>
    </row>
    <row r="979" spans="1:2" ht="15.75" customHeight="1" x14ac:dyDescent="0.3">
      <c r="A979" s="641"/>
      <c r="B979" s="640"/>
    </row>
    <row r="980" spans="1:2" ht="15.75" customHeight="1" x14ac:dyDescent="0.3">
      <c r="A980" s="641"/>
      <c r="B980" s="640"/>
    </row>
    <row r="981" spans="1:2" ht="15.75" customHeight="1" x14ac:dyDescent="0.3">
      <c r="A981" s="641"/>
      <c r="B981" s="640"/>
    </row>
    <row r="982" spans="1:2" ht="15.75" customHeight="1" x14ac:dyDescent="0.3">
      <c r="A982" s="641"/>
      <c r="B982" s="640"/>
    </row>
    <row r="983" spans="1:2" ht="15.75" customHeight="1" x14ac:dyDescent="0.3">
      <c r="A983" s="641"/>
      <c r="B983" s="640"/>
    </row>
    <row r="984" spans="1:2" ht="15.75" customHeight="1" x14ac:dyDescent="0.3">
      <c r="A984" s="641"/>
      <c r="B984" s="640"/>
    </row>
    <row r="985" spans="1:2" ht="15.75" customHeight="1" x14ac:dyDescent="0.3">
      <c r="A985" s="641"/>
      <c r="B985" s="640"/>
    </row>
    <row r="986" spans="1:2" ht="15.75" customHeight="1" x14ac:dyDescent="0.3">
      <c r="A986" s="641"/>
      <c r="B986" s="640"/>
    </row>
    <row r="987" spans="1:2" ht="15.75" customHeight="1" x14ac:dyDescent="0.3">
      <c r="A987" s="641"/>
      <c r="B987" s="640"/>
    </row>
    <row r="988" spans="1:2" ht="15.75" customHeight="1" x14ac:dyDescent="0.3">
      <c r="A988" s="641"/>
      <c r="B988" s="640"/>
    </row>
    <row r="989" spans="1:2" ht="15.75" customHeight="1" x14ac:dyDescent="0.3">
      <c r="A989" s="641"/>
      <c r="B989" s="640"/>
    </row>
    <row r="990" spans="1:2" ht="15.75" customHeight="1" x14ac:dyDescent="0.3">
      <c r="A990" s="641"/>
      <c r="B990" s="640"/>
    </row>
    <row r="991" spans="1:2" ht="15.75" customHeight="1" x14ac:dyDescent="0.3">
      <c r="A991" s="641"/>
      <c r="B991" s="640"/>
    </row>
    <row r="992" spans="1:2" ht="15.75" customHeight="1" x14ac:dyDescent="0.3">
      <c r="A992" s="641"/>
      <c r="B992" s="640"/>
    </row>
    <row r="993" spans="1:2" ht="15.75" customHeight="1" x14ac:dyDescent="0.3">
      <c r="A993" s="641"/>
      <c r="B993" s="640"/>
    </row>
    <row r="994" spans="1:2" ht="15.75" customHeight="1" x14ac:dyDescent="0.3">
      <c r="A994" s="641"/>
      <c r="B994" s="640"/>
    </row>
    <row r="995" spans="1:2" ht="15.75" customHeight="1" x14ac:dyDescent="0.3">
      <c r="A995" s="641"/>
      <c r="B995" s="640"/>
    </row>
    <row r="996" spans="1:2" ht="15.75" customHeight="1" x14ac:dyDescent="0.3">
      <c r="A996" s="641"/>
      <c r="B996" s="640"/>
    </row>
    <row r="997" spans="1:2" ht="15.75" customHeight="1" x14ac:dyDescent="0.3">
      <c r="A997" s="641"/>
      <c r="B997" s="640"/>
    </row>
    <row r="998" spans="1:2" ht="15.75" customHeight="1" x14ac:dyDescent="0.3">
      <c r="A998" s="641"/>
      <c r="B998" s="640"/>
    </row>
    <row r="999" spans="1:2" ht="15.75" customHeight="1" x14ac:dyDescent="0.3">
      <c r="A999" s="641"/>
      <c r="B999" s="640"/>
    </row>
    <row r="1000" spans="1:2" ht="15.75" customHeight="1" x14ac:dyDescent="0.3">
      <c r="A1000" s="641"/>
      <c r="B1000" s="640"/>
    </row>
    <row r="1001" spans="1:2" ht="15.75" customHeight="1" x14ac:dyDescent="0.3">
      <c r="A1001" s="641"/>
      <c r="B1001" s="640"/>
    </row>
    <row r="1002" spans="1:2" ht="15.75" customHeight="1" x14ac:dyDescent="0.3">
      <c r="A1002" s="641"/>
      <c r="B1002" s="640"/>
    </row>
    <row r="1003" spans="1:2" ht="15.75" customHeight="1" x14ac:dyDescent="0.3">
      <c r="A1003" s="641"/>
      <c r="B1003" s="640"/>
    </row>
    <row r="1004" spans="1:2" ht="15.75" customHeight="1" x14ac:dyDescent="0.3">
      <c r="A1004" s="641"/>
      <c r="B1004" s="640"/>
    </row>
    <row r="1005" spans="1:2" ht="15.75" customHeight="1" x14ac:dyDescent="0.3">
      <c r="A1005" s="641"/>
      <c r="B1005" s="640"/>
    </row>
    <row r="1006" spans="1:2" ht="15.75" customHeight="1" x14ac:dyDescent="0.3">
      <c r="A1006" s="641"/>
      <c r="B1006" s="640"/>
    </row>
    <row r="1007" spans="1:2" ht="15.75" customHeight="1" x14ac:dyDescent="0.3">
      <c r="A1007" s="641"/>
      <c r="B1007" s="640"/>
    </row>
    <row r="1008" spans="1:2" ht="15.75" customHeight="1" x14ac:dyDescent="0.3">
      <c r="A1008" s="641"/>
      <c r="B1008" s="640"/>
    </row>
    <row r="1009" spans="1:2" ht="15.75" customHeight="1" x14ac:dyDescent="0.3">
      <c r="A1009" s="641"/>
      <c r="B1009" s="640"/>
    </row>
    <row r="1010" spans="1:2" ht="15.75" customHeight="1" x14ac:dyDescent="0.3">
      <c r="A1010" s="641"/>
      <c r="B1010" s="640"/>
    </row>
    <row r="1011" spans="1:2" ht="15.75" customHeight="1" x14ac:dyDescent="0.3">
      <c r="A1011" s="641"/>
      <c r="B1011" s="640"/>
    </row>
    <row r="1012" spans="1:2" ht="15.75" customHeight="1" x14ac:dyDescent="0.3">
      <c r="A1012" s="641"/>
      <c r="B1012" s="640"/>
    </row>
    <row r="1013" spans="1:2" ht="15.75" customHeight="1" x14ac:dyDescent="0.3">
      <c r="A1013" s="641"/>
      <c r="B1013" s="640"/>
    </row>
    <row r="1014" spans="1:2" ht="15.75" customHeight="1" x14ac:dyDescent="0.3">
      <c r="A1014" s="641"/>
      <c r="B1014" s="640"/>
    </row>
    <row r="1015" spans="1:2" ht="15.75" customHeight="1" x14ac:dyDescent="0.3">
      <c r="A1015" s="641"/>
      <c r="B1015" s="640"/>
    </row>
    <row r="1016" spans="1:2" ht="15.75" customHeight="1" x14ac:dyDescent="0.3">
      <c r="A1016" s="641"/>
      <c r="B1016" s="640"/>
    </row>
    <row r="1017" spans="1:2" ht="15.75" customHeight="1" x14ac:dyDescent="0.3">
      <c r="A1017" s="641"/>
      <c r="B1017" s="640"/>
    </row>
    <row r="1018" spans="1:2" ht="15.75" customHeight="1" x14ac:dyDescent="0.3">
      <c r="A1018" s="641"/>
      <c r="B1018" s="640"/>
    </row>
    <row r="1019" spans="1:2" ht="15.75" customHeight="1" x14ac:dyDescent="0.3">
      <c r="A1019" s="641"/>
      <c r="B1019" s="640"/>
    </row>
    <row r="1020" spans="1:2" ht="15.75" customHeight="1" x14ac:dyDescent="0.3">
      <c r="A1020" s="641"/>
      <c r="B1020" s="640"/>
    </row>
    <row r="1021" spans="1:2" ht="15.75" customHeight="1" x14ac:dyDescent="0.3">
      <c r="A1021" s="641"/>
      <c r="B1021" s="640"/>
    </row>
    <row r="1022" spans="1:2" ht="15.75" customHeight="1" x14ac:dyDescent="0.3">
      <c r="A1022" s="641"/>
      <c r="B1022" s="640"/>
    </row>
    <row r="1023" spans="1:2" ht="15.75" customHeight="1" x14ac:dyDescent="0.3">
      <c r="A1023" s="641"/>
      <c r="B1023" s="640"/>
    </row>
    <row r="1024" spans="1:2" ht="15.75" customHeight="1" x14ac:dyDescent="0.3">
      <c r="A1024" s="641"/>
      <c r="B1024" s="640"/>
    </row>
    <row r="1025" spans="1:2" ht="15.75" customHeight="1" x14ac:dyDescent="0.3">
      <c r="A1025" s="641"/>
      <c r="B1025" s="640"/>
    </row>
    <row r="1026" spans="1:2" ht="15.75" customHeight="1" x14ac:dyDescent="0.3">
      <c r="A1026" s="641"/>
      <c r="B1026" s="640"/>
    </row>
    <row r="1027" spans="1:2" ht="15.75" customHeight="1" x14ac:dyDescent="0.3">
      <c r="A1027" s="641"/>
      <c r="B1027" s="640"/>
    </row>
    <row r="1028" spans="1:2" ht="15.75" customHeight="1" x14ac:dyDescent="0.3">
      <c r="A1028" s="641"/>
      <c r="B1028" s="640"/>
    </row>
    <row r="1029" spans="1:2" ht="15.75" customHeight="1" x14ac:dyDescent="0.3">
      <c r="A1029" s="641"/>
      <c r="B1029" s="640"/>
    </row>
    <row r="1030" spans="1:2" ht="15.75" customHeight="1" x14ac:dyDescent="0.3">
      <c r="A1030" s="641"/>
      <c r="B1030" s="640"/>
    </row>
    <row r="1031" spans="1:2" ht="15.75" customHeight="1" x14ac:dyDescent="0.3">
      <c r="A1031" s="641"/>
      <c r="B1031" s="640"/>
    </row>
    <row r="1032" spans="1:2" ht="15.75" customHeight="1" x14ac:dyDescent="0.3">
      <c r="A1032" s="641"/>
      <c r="B1032" s="640"/>
    </row>
    <row r="1033" spans="1:2" ht="15.75" customHeight="1" x14ac:dyDescent="0.3">
      <c r="A1033" s="641"/>
      <c r="B1033" s="640"/>
    </row>
    <row r="1034" spans="1:2" ht="15.75" customHeight="1" x14ac:dyDescent="0.3">
      <c r="A1034" s="641"/>
      <c r="B1034" s="640"/>
    </row>
    <row r="1035" spans="1:2" ht="15.75" customHeight="1" x14ac:dyDescent="0.3">
      <c r="A1035" s="641"/>
      <c r="B1035" s="640"/>
    </row>
    <row r="1036" spans="1:2" ht="15.75" customHeight="1" x14ac:dyDescent="0.3">
      <c r="A1036" s="641"/>
      <c r="B1036" s="640"/>
    </row>
    <row r="1037" spans="1:2" ht="15.75" customHeight="1" x14ac:dyDescent="0.3">
      <c r="A1037" s="641"/>
      <c r="B1037" s="640"/>
    </row>
    <row r="1038" spans="1:2" ht="15.75" customHeight="1" x14ac:dyDescent="0.3">
      <c r="A1038" s="641"/>
      <c r="B1038" s="640"/>
    </row>
    <row r="1039" spans="1:2" ht="15.75" customHeight="1" x14ac:dyDescent="0.3">
      <c r="A1039" s="641"/>
      <c r="B1039" s="640"/>
    </row>
    <row r="1040" spans="1:2" ht="15.75" customHeight="1" x14ac:dyDescent="0.3">
      <c r="A1040" s="641"/>
      <c r="B1040" s="640"/>
    </row>
    <row r="1041" spans="1:2" ht="15.75" customHeight="1" x14ac:dyDescent="0.3">
      <c r="A1041" s="641"/>
      <c r="B1041" s="640"/>
    </row>
    <row r="1042" spans="1:2" ht="15.75" customHeight="1" x14ac:dyDescent="0.3">
      <c r="A1042" s="641"/>
      <c r="B1042" s="640"/>
    </row>
    <row r="1043" spans="1:2" ht="15.75" customHeight="1" x14ac:dyDescent="0.3">
      <c r="A1043" s="641"/>
      <c r="B1043" s="640"/>
    </row>
    <row r="1044" spans="1:2" ht="15.75" customHeight="1" x14ac:dyDescent="0.3">
      <c r="A1044" s="641"/>
      <c r="B1044" s="640"/>
    </row>
    <row r="1045" spans="1:2" ht="15.75" customHeight="1" x14ac:dyDescent="0.3">
      <c r="A1045" s="641"/>
      <c r="B1045" s="640"/>
    </row>
    <row r="1046" spans="1:2" ht="15.75" customHeight="1" x14ac:dyDescent="0.3">
      <c r="A1046" s="641"/>
      <c r="B1046" s="640"/>
    </row>
    <row r="1047" spans="1:2" ht="15.75" customHeight="1" x14ac:dyDescent="0.3">
      <c r="A1047" s="641"/>
      <c r="B1047" s="640"/>
    </row>
    <row r="1048" spans="1:2" ht="15.75" customHeight="1" x14ac:dyDescent="0.3">
      <c r="A1048" s="641"/>
      <c r="B1048" s="640"/>
    </row>
    <row r="1049" spans="1:2" ht="15.75" customHeight="1" x14ac:dyDescent="0.3">
      <c r="A1049" s="641"/>
      <c r="B1049" s="640"/>
    </row>
    <row r="1050" spans="1:2" ht="15.75" customHeight="1" x14ac:dyDescent="0.3">
      <c r="A1050" s="641"/>
      <c r="B1050" s="640"/>
    </row>
    <row r="1051" spans="1:2" ht="15.75" customHeight="1" x14ac:dyDescent="0.3">
      <c r="A1051" s="641"/>
      <c r="B1051" s="640"/>
    </row>
    <row r="1052" spans="1:2" ht="15.75" customHeight="1" x14ac:dyDescent="0.3">
      <c r="A1052" s="641"/>
      <c r="B1052" s="640"/>
    </row>
    <row r="1053" spans="1:2" ht="15.75" customHeight="1" x14ac:dyDescent="0.3">
      <c r="A1053" s="641"/>
      <c r="B1053" s="640"/>
    </row>
    <row r="1054" spans="1:2" ht="15.75" customHeight="1" x14ac:dyDescent="0.3">
      <c r="A1054" s="641"/>
      <c r="B1054" s="640"/>
    </row>
    <row r="1055" spans="1:2" ht="15.75" customHeight="1" x14ac:dyDescent="0.3">
      <c r="A1055" s="641"/>
      <c r="B1055" s="640"/>
    </row>
    <row r="1056" spans="1:2" ht="15.75" customHeight="1" x14ac:dyDescent="0.3">
      <c r="A1056" s="641"/>
      <c r="B1056" s="640"/>
    </row>
    <row r="1057" spans="1:2" ht="15.75" customHeight="1" x14ac:dyDescent="0.3">
      <c r="A1057" s="641"/>
      <c r="B1057" s="640"/>
    </row>
    <row r="1058" spans="1:2" ht="15.75" customHeight="1" x14ac:dyDescent="0.3">
      <c r="A1058" s="641"/>
      <c r="B1058" s="640"/>
    </row>
    <row r="1059" spans="1:2" ht="15.75" customHeight="1" x14ac:dyDescent="0.3">
      <c r="A1059" s="641"/>
      <c r="B1059" s="640"/>
    </row>
    <row r="1060" spans="1:2" ht="15.75" customHeight="1" x14ac:dyDescent="0.3">
      <c r="A1060" s="641"/>
      <c r="B1060" s="640"/>
    </row>
    <row r="1061" spans="1:2" ht="15.75" customHeight="1" x14ac:dyDescent="0.3">
      <c r="A1061" s="641"/>
      <c r="B1061" s="640"/>
    </row>
    <row r="1062" spans="1:2" ht="15.75" customHeight="1" x14ac:dyDescent="0.3">
      <c r="A1062" s="641"/>
      <c r="B1062" s="640"/>
    </row>
    <row r="1063" spans="1:2" ht="15.75" customHeight="1" x14ac:dyDescent="0.3">
      <c r="A1063" s="641"/>
      <c r="B1063" s="640"/>
    </row>
    <row r="1064" spans="1:2" ht="15.75" customHeight="1" x14ac:dyDescent="0.3">
      <c r="A1064" s="641"/>
      <c r="B1064" s="640"/>
    </row>
    <row r="1065" spans="1:2" ht="15.75" customHeight="1" x14ac:dyDescent="0.3">
      <c r="A1065" s="641"/>
      <c r="B1065" s="640"/>
    </row>
    <row r="1066" spans="1:2" ht="15.75" customHeight="1" x14ac:dyDescent="0.3">
      <c r="A1066" s="641"/>
      <c r="B1066" s="640"/>
    </row>
    <row r="1067" spans="1:2" ht="15.75" customHeight="1" x14ac:dyDescent="0.3">
      <c r="A1067" s="641"/>
      <c r="B1067" s="640"/>
    </row>
    <row r="1068" spans="1:2" ht="15.75" customHeight="1" x14ac:dyDescent="0.3">
      <c r="A1068" s="641"/>
      <c r="B1068" s="640"/>
    </row>
    <row r="1069" spans="1:2" ht="15.75" customHeight="1" x14ac:dyDescent="0.3">
      <c r="A1069" s="641"/>
      <c r="B1069" s="640"/>
    </row>
    <row r="1070" spans="1:2" ht="15.75" customHeight="1" x14ac:dyDescent="0.3">
      <c r="A1070" s="641"/>
      <c r="B1070" s="640"/>
    </row>
    <row r="1071" spans="1:2" ht="15.75" customHeight="1" x14ac:dyDescent="0.3">
      <c r="A1071" s="641"/>
      <c r="B1071" s="640"/>
    </row>
    <row r="1072" spans="1:2" ht="15.75" customHeight="1" x14ac:dyDescent="0.3">
      <c r="A1072" s="641"/>
      <c r="B1072" s="640"/>
    </row>
    <row r="1073" spans="1:2" ht="15.75" customHeight="1" x14ac:dyDescent="0.3">
      <c r="A1073" s="641"/>
      <c r="B1073" s="640"/>
    </row>
    <row r="1074" spans="1:2" ht="15.75" customHeight="1" x14ac:dyDescent="0.3">
      <c r="A1074" s="641"/>
      <c r="B1074" s="640"/>
    </row>
    <row r="1075" spans="1:2" ht="15.75" customHeight="1" x14ac:dyDescent="0.3">
      <c r="A1075" s="641"/>
      <c r="B1075" s="640"/>
    </row>
    <row r="1076" spans="1:2" ht="15.75" customHeight="1" x14ac:dyDescent="0.3">
      <c r="A1076" s="641"/>
      <c r="B1076" s="640"/>
    </row>
    <row r="1077" spans="1:2" ht="15.75" customHeight="1" x14ac:dyDescent="0.3">
      <c r="A1077" s="641"/>
      <c r="B1077" s="640"/>
    </row>
    <row r="1078" spans="1:2" ht="15.75" customHeight="1" x14ac:dyDescent="0.3">
      <c r="A1078" s="641"/>
      <c r="B1078" s="640"/>
    </row>
    <row r="1079" spans="1:2" ht="15.75" customHeight="1" x14ac:dyDescent="0.3">
      <c r="A1079" s="641"/>
      <c r="B1079" s="640"/>
    </row>
    <row r="1080" spans="1:2" ht="15.75" customHeight="1" x14ac:dyDescent="0.3">
      <c r="A1080" s="641"/>
      <c r="B1080" s="640"/>
    </row>
    <row r="1081" spans="1:2" ht="15.75" customHeight="1" x14ac:dyDescent="0.3">
      <c r="A1081" s="641"/>
      <c r="B1081" s="640"/>
    </row>
    <row r="1082" spans="1:2" ht="15.75" customHeight="1" x14ac:dyDescent="0.3">
      <c r="A1082" s="641"/>
      <c r="B1082" s="640"/>
    </row>
    <row r="1083" spans="1:2" ht="15.75" customHeight="1" x14ac:dyDescent="0.3">
      <c r="A1083" s="641"/>
      <c r="B1083" s="640"/>
    </row>
    <row r="1084" spans="1:2" ht="15.75" customHeight="1" x14ac:dyDescent="0.3">
      <c r="A1084" s="641"/>
      <c r="B1084" s="640"/>
    </row>
    <row r="1085" spans="1:2" ht="15.75" customHeight="1" x14ac:dyDescent="0.3">
      <c r="A1085" s="641"/>
      <c r="B1085" s="640"/>
    </row>
    <row r="1086" spans="1:2" ht="15.75" customHeight="1" x14ac:dyDescent="0.3">
      <c r="A1086" s="641"/>
      <c r="B1086" s="640"/>
    </row>
    <row r="1087" spans="1:2" ht="15.75" customHeight="1" x14ac:dyDescent="0.3">
      <c r="A1087" s="641"/>
      <c r="B1087" s="640"/>
    </row>
    <row r="1088" spans="1:2" ht="15.75" customHeight="1" x14ac:dyDescent="0.3">
      <c r="A1088" s="641"/>
      <c r="B1088" s="640"/>
    </row>
    <row r="1089" spans="1:2" ht="15.75" customHeight="1" x14ac:dyDescent="0.3">
      <c r="A1089" s="641"/>
      <c r="B1089" s="640"/>
    </row>
    <row r="1090" spans="1:2" ht="15.75" customHeight="1" x14ac:dyDescent="0.3">
      <c r="A1090" s="641"/>
      <c r="B1090" s="640"/>
    </row>
    <row r="1091" spans="1:2" ht="15.75" customHeight="1" x14ac:dyDescent="0.3">
      <c r="A1091" s="641"/>
      <c r="B1091" s="640"/>
    </row>
    <row r="1092" spans="1:2" ht="15.75" customHeight="1" x14ac:dyDescent="0.3">
      <c r="A1092" s="641"/>
      <c r="B1092" s="640"/>
    </row>
    <row r="1093" spans="1:2" ht="15.75" customHeight="1" x14ac:dyDescent="0.3">
      <c r="A1093" s="641"/>
      <c r="B1093" s="640"/>
    </row>
    <row r="1094" spans="1:2" ht="15.75" customHeight="1" x14ac:dyDescent="0.3">
      <c r="A1094" s="641"/>
      <c r="B1094" s="640"/>
    </row>
    <row r="1095" spans="1:2" ht="15.75" customHeight="1" x14ac:dyDescent="0.3">
      <c r="A1095" s="641"/>
      <c r="B1095" s="640"/>
    </row>
    <row r="1096" spans="1:2" ht="15.75" customHeight="1" x14ac:dyDescent="0.3">
      <c r="A1096" s="641"/>
      <c r="B1096" s="640"/>
    </row>
    <row r="1097" spans="1:2" ht="15.75" customHeight="1" x14ac:dyDescent="0.3">
      <c r="A1097" s="641"/>
      <c r="B1097" s="640"/>
    </row>
    <row r="1098" spans="1:2" ht="15.75" customHeight="1" x14ac:dyDescent="0.3">
      <c r="A1098" s="641"/>
      <c r="B1098" s="640"/>
    </row>
    <row r="1099" spans="1:2" ht="15.75" customHeight="1" x14ac:dyDescent="0.3">
      <c r="A1099" s="641"/>
      <c r="B1099" s="640"/>
    </row>
    <row r="1100" spans="1:2" ht="15.75" customHeight="1" x14ac:dyDescent="0.3">
      <c r="A1100" s="641"/>
      <c r="B1100" s="640"/>
    </row>
    <row r="1101" spans="1:2" ht="15.75" customHeight="1" x14ac:dyDescent="0.3">
      <c r="A1101" s="641"/>
      <c r="B1101" s="640"/>
    </row>
    <row r="1102" spans="1:2" ht="15.75" customHeight="1" x14ac:dyDescent="0.3">
      <c r="A1102" s="641"/>
      <c r="B1102" s="640"/>
    </row>
    <row r="1103" spans="1:2" ht="15.75" customHeight="1" x14ac:dyDescent="0.3">
      <c r="A1103" s="641"/>
      <c r="B1103" s="640"/>
    </row>
    <row r="1104" spans="1:2" ht="15.75" customHeight="1" x14ac:dyDescent="0.3">
      <c r="A1104" s="641"/>
      <c r="B1104" s="640"/>
    </row>
    <row r="1105" spans="1:2" ht="15.75" customHeight="1" x14ac:dyDescent="0.3">
      <c r="A1105" s="641"/>
      <c r="B1105" s="640"/>
    </row>
    <row r="1106" spans="1:2" ht="15.75" customHeight="1" x14ac:dyDescent="0.3">
      <c r="A1106" s="641"/>
      <c r="B1106" s="640"/>
    </row>
    <row r="1107" spans="1:2" ht="15.75" customHeight="1" x14ac:dyDescent="0.3">
      <c r="A1107" s="641"/>
      <c r="B1107" s="640"/>
    </row>
    <row r="1108" spans="1:2" ht="15.75" customHeight="1" x14ac:dyDescent="0.3">
      <c r="A1108" s="641"/>
      <c r="B1108" s="640"/>
    </row>
    <row r="1109" spans="1:2" ht="15.75" customHeight="1" x14ac:dyDescent="0.3">
      <c r="A1109" s="641"/>
      <c r="B1109" s="640"/>
    </row>
    <row r="1110" spans="1:2" ht="15.75" customHeight="1" x14ac:dyDescent="0.3">
      <c r="A1110" s="641"/>
      <c r="B1110" s="640"/>
    </row>
    <row r="1111" spans="1:2" ht="15.75" customHeight="1" x14ac:dyDescent="0.3">
      <c r="A1111" s="641"/>
      <c r="B1111" s="640"/>
    </row>
    <row r="1112" spans="1:2" ht="15.75" customHeight="1" x14ac:dyDescent="0.3">
      <c r="A1112" s="641"/>
      <c r="B1112" s="640"/>
    </row>
    <row r="1113" spans="1:2" ht="15.75" customHeight="1" x14ac:dyDescent="0.3">
      <c r="A1113" s="641"/>
      <c r="B1113" s="640"/>
    </row>
    <row r="1114" spans="1:2" ht="15.75" customHeight="1" x14ac:dyDescent="0.3">
      <c r="A1114" s="641"/>
      <c r="B1114" s="640"/>
    </row>
    <row r="1115" spans="1:2" ht="15.75" customHeight="1" x14ac:dyDescent="0.3">
      <c r="A1115" s="641"/>
      <c r="B1115" s="640"/>
    </row>
    <row r="1116" spans="1:2" ht="15.75" customHeight="1" x14ac:dyDescent="0.3">
      <c r="A1116" s="641"/>
      <c r="B1116" s="640"/>
    </row>
    <row r="1117" spans="1:2" ht="15.75" customHeight="1" x14ac:dyDescent="0.3">
      <c r="A1117" s="641"/>
      <c r="B1117" s="640"/>
    </row>
    <row r="1118" spans="1:2" ht="15.75" customHeight="1" x14ac:dyDescent="0.3">
      <c r="A1118" s="641"/>
      <c r="B1118" s="640"/>
    </row>
    <row r="1119" spans="1:2" ht="15.75" customHeight="1" x14ac:dyDescent="0.3">
      <c r="A1119" s="641"/>
      <c r="B1119" s="640"/>
    </row>
    <row r="1120" spans="1:2" ht="15.75" customHeight="1" x14ac:dyDescent="0.3">
      <c r="A1120" s="641"/>
      <c r="B1120" s="640"/>
    </row>
    <row r="1121" spans="1:2" ht="15.75" customHeight="1" x14ac:dyDescent="0.3">
      <c r="A1121" s="641"/>
      <c r="B1121" s="640"/>
    </row>
    <row r="1122" spans="1:2" ht="15.75" customHeight="1" x14ac:dyDescent="0.3">
      <c r="A1122" s="641"/>
      <c r="B1122" s="640"/>
    </row>
    <row r="1123" spans="1:2" ht="15.75" customHeight="1" x14ac:dyDescent="0.3">
      <c r="A1123" s="641"/>
      <c r="B1123" s="640"/>
    </row>
    <row r="1124" spans="1:2" ht="15.75" customHeight="1" x14ac:dyDescent="0.3">
      <c r="A1124" s="641"/>
      <c r="B1124" s="640"/>
    </row>
    <row r="1125" spans="1:2" ht="15.75" customHeight="1" x14ac:dyDescent="0.3">
      <c r="A1125" s="641"/>
      <c r="B1125" s="640"/>
    </row>
    <row r="1126" spans="1:2" ht="15.75" customHeight="1" x14ac:dyDescent="0.3">
      <c r="A1126" s="641"/>
      <c r="B1126" s="640"/>
    </row>
    <row r="1127" spans="1:2" ht="15.75" customHeight="1" x14ac:dyDescent="0.3">
      <c r="A1127" s="641"/>
      <c r="B1127" s="640"/>
    </row>
    <row r="1128" spans="1:2" ht="15.75" customHeight="1" x14ac:dyDescent="0.3">
      <c r="A1128" s="641"/>
      <c r="B1128" s="640"/>
    </row>
    <row r="1129" spans="1:2" ht="15.75" customHeight="1" x14ac:dyDescent="0.3">
      <c r="A1129" s="641"/>
      <c r="B1129" s="640"/>
    </row>
    <row r="1130" spans="1:2" ht="15.75" customHeight="1" x14ac:dyDescent="0.3">
      <c r="A1130" s="641"/>
      <c r="B1130" s="640"/>
    </row>
    <row r="1131" spans="1:2" ht="15.75" customHeight="1" x14ac:dyDescent="0.3">
      <c r="A1131" s="641"/>
      <c r="B1131" s="640"/>
    </row>
    <row r="1132" spans="1:2" ht="15.75" customHeight="1" x14ac:dyDescent="0.3">
      <c r="A1132" s="641"/>
      <c r="B1132" s="640"/>
    </row>
    <row r="1133" spans="1:2" ht="15.75" customHeight="1" x14ac:dyDescent="0.3">
      <c r="A1133" s="641"/>
      <c r="B1133" s="640"/>
    </row>
    <row r="1134" spans="1:2" ht="15.75" customHeight="1" x14ac:dyDescent="0.3">
      <c r="A1134" s="641"/>
      <c r="B1134" s="640"/>
    </row>
    <row r="1135" spans="1:2" ht="15.75" customHeight="1" x14ac:dyDescent="0.3">
      <c r="A1135" s="641"/>
      <c r="B1135" s="640"/>
    </row>
    <row r="1136" spans="1:2" ht="15.75" customHeight="1" x14ac:dyDescent="0.3">
      <c r="A1136" s="641"/>
      <c r="B1136" s="640"/>
    </row>
    <row r="1137" spans="1:2" ht="15.75" customHeight="1" x14ac:dyDescent="0.3">
      <c r="A1137" s="641"/>
      <c r="B1137" s="640"/>
    </row>
    <row r="1138" spans="1:2" ht="15.75" customHeight="1" x14ac:dyDescent="0.3">
      <c r="A1138" s="641"/>
      <c r="B1138" s="640"/>
    </row>
    <row r="1139" spans="1:2" ht="15.75" customHeight="1" x14ac:dyDescent="0.3">
      <c r="A1139" s="641"/>
      <c r="B1139" s="640"/>
    </row>
    <row r="1140" spans="1:2" ht="15.75" customHeight="1" x14ac:dyDescent="0.3">
      <c r="A1140" s="641"/>
      <c r="B1140" s="640"/>
    </row>
    <row r="1141" spans="1:2" ht="15.75" customHeight="1" x14ac:dyDescent="0.3">
      <c r="A1141" s="641"/>
      <c r="B1141" s="640"/>
    </row>
    <row r="1142" spans="1:2" ht="15.75" customHeight="1" x14ac:dyDescent="0.3">
      <c r="A1142" s="641"/>
      <c r="B1142" s="640"/>
    </row>
    <row r="1143" spans="1:2" ht="15.75" customHeight="1" x14ac:dyDescent="0.3">
      <c r="A1143" s="641"/>
      <c r="B1143" s="640"/>
    </row>
    <row r="1144" spans="1:2" ht="15.75" customHeight="1" x14ac:dyDescent="0.3">
      <c r="A1144" s="641"/>
      <c r="B1144" s="640"/>
    </row>
    <row r="1145" spans="1:2" ht="15.75" customHeight="1" x14ac:dyDescent="0.3">
      <c r="A1145" s="641"/>
      <c r="B1145" s="640"/>
    </row>
    <row r="1146" spans="1:2" ht="15.75" customHeight="1" x14ac:dyDescent="0.3">
      <c r="A1146" s="641"/>
      <c r="B1146" s="640"/>
    </row>
    <row r="1147" spans="1:2" ht="15.75" customHeight="1" x14ac:dyDescent="0.3">
      <c r="A1147" s="641"/>
      <c r="B1147" s="640"/>
    </row>
    <row r="1148" spans="1:2" ht="15.75" customHeight="1" x14ac:dyDescent="0.3">
      <c r="A1148" s="641"/>
      <c r="B1148" s="640"/>
    </row>
    <row r="1149" spans="1:2" ht="15.75" customHeight="1" x14ac:dyDescent="0.3">
      <c r="A1149" s="641"/>
      <c r="B1149" s="640"/>
    </row>
    <row r="1150" spans="1:2" ht="15.75" customHeight="1" x14ac:dyDescent="0.3">
      <c r="A1150" s="641"/>
      <c r="B1150" s="640"/>
    </row>
    <row r="1151" spans="1:2" ht="15.75" customHeight="1" x14ac:dyDescent="0.3">
      <c r="A1151" s="641"/>
      <c r="B1151" s="640"/>
    </row>
    <row r="1152" spans="1:2" ht="15.75" customHeight="1" x14ac:dyDescent="0.3">
      <c r="A1152" s="641"/>
      <c r="B1152" s="640"/>
    </row>
    <row r="1153" spans="1:2" ht="15.75" customHeight="1" x14ac:dyDescent="0.3">
      <c r="A1153" s="641"/>
      <c r="B1153" s="640"/>
    </row>
    <row r="1154" spans="1:2" ht="15.75" customHeight="1" x14ac:dyDescent="0.3">
      <c r="A1154" s="641"/>
      <c r="B1154" s="640"/>
    </row>
    <row r="1155" spans="1:2" ht="15.75" customHeight="1" x14ac:dyDescent="0.3">
      <c r="A1155" s="641"/>
      <c r="B1155" s="640"/>
    </row>
    <row r="1156" spans="1:2" ht="15.75" customHeight="1" x14ac:dyDescent="0.3">
      <c r="A1156" s="641"/>
      <c r="B1156" s="640"/>
    </row>
    <row r="1157" spans="1:2" ht="15.75" customHeight="1" x14ac:dyDescent="0.3">
      <c r="A1157" s="641"/>
      <c r="B1157" s="640"/>
    </row>
    <row r="1158" spans="1:2" ht="15.75" customHeight="1" x14ac:dyDescent="0.3">
      <c r="A1158" s="641"/>
      <c r="B1158" s="640"/>
    </row>
    <row r="1159" spans="1:2" ht="15.75" customHeight="1" x14ac:dyDescent="0.3">
      <c r="A1159" s="641"/>
      <c r="B1159" s="640"/>
    </row>
    <row r="1160" spans="1:2" ht="15.75" customHeight="1" x14ac:dyDescent="0.3">
      <c r="A1160" s="641"/>
      <c r="B1160" s="640"/>
    </row>
    <row r="1161" spans="1:2" ht="15.75" customHeight="1" x14ac:dyDescent="0.3">
      <c r="A1161" s="641"/>
      <c r="B1161" s="640"/>
    </row>
    <row r="1162" spans="1:2" ht="15.75" customHeight="1" x14ac:dyDescent="0.3">
      <c r="A1162" s="641"/>
      <c r="B1162" s="640"/>
    </row>
    <row r="1163" spans="1:2" ht="15.75" customHeight="1" x14ac:dyDescent="0.3">
      <c r="A1163" s="641"/>
      <c r="B1163" s="640"/>
    </row>
    <row r="1164" spans="1:2" ht="15.75" customHeight="1" x14ac:dyDescent="0.3">
      <c r="A1164" s="641"/>
      <c r="B1164" s="640"/>
    </row>
    <row r="1165" spans="1:2" ht="15.75" customHeight="1" x14ac:dyDescent="0.3">
      <c r="A1165" s="641"/>
      <c r="B1165" s="640"/>
    </row>
    <row r="1166" spans="1:2" ht="15.75" customHeight="1" x14ac:dyDescent="0.3">
      <c r="A1166" s="641"/>
      <c r="B1166" s="640"/>
    </row>
    <row r="1167" spans="1:2" ht="15.75" customHeight="1" x14ac:dyDescent="0.3">
      <c r="A1167" s="641"/>
      <c r="B1167" s="640"/>
    </row>
    <row r="1168" spans="1:2" ht="15.75" customHeight="1" x14ac:dyDescent="0.3">
      <c r="A1168" s="641"/>
      <c r="B1168" s="640"/>
    </row>
    <row r="1169" spans="1:2" ht="15.75" customHeight="1" x14ac:dyDescent="0.3">
      <c r="A1169" s="641"/>
      <c r="B1169" s="640"/>
    </row>
    <row r="1170" spans="1:2" ht="15.75" customHeight="1" x14ac:dyDescent="0.3">
      <c r="A1170" s="641"/>
      <c r="B1170" s="640"/>
    </row>
    <row r="1171" spans="1:2" ht="15.75" customHeight="1" x14ac:dyDescent="0.3">
      <c r="A1171" s="641"/>
      <c r="B1171" s="640"/>
    </row>
    <row r="1172" spans="1:2" ht="15.75" customHeight="1" x14ac:dyDescent="0.3">
      <c r="A1172" s="641"/>
      <c r="B1172" s="640"/>
    </row>
    <row r="1173" spans="1:2" ht="15.75" customHeight="1" x14ac:dyDescent="0.3">
      <c r="A1173" s="641"/>
      <c r="B1173" s="640"/>
    </row>
    <row r="1174" spans="1:2" ht="15.75" customHeight="1" x14ac:dyDescent="0.3">
      <c r="A1174" s="641"/>
      <c r="B1174" s="640"/>
    </row>
    <row r="1175" spans="1:2" ht="15.75" customHeight="1" x14ac:dyDescent="0.3">
      <c r="A1175" s="641"/>
      <c r="B1175" s="640"/>
    </row>
    <row r="1176" spans="1:2" ht="15.75" customHeight="1" x14ac:dyDescent="0.3">
      <c r="A1176" s="641"/>
      <c r="B1176" s="640"/>
    </row>
    <row r="1177" spans="1:2" ht="15.75" customHeight="1" x14ac:dyDescent="0.3">
      <c r="A1177" s="641"/>
      <c r="B1177" s="640"/>
    </row>
    <row r="1178" spans="1:2" ht="15.75" customHeight="1" x14ac:dyDescent="0.3">
      <c r="A1178" s="641"/>
      <c r="B1178" s="640"/>
    </row>
    <row r="1179" spans="1:2" ht="15.75" customHeight="1" x14ac:dyDescent="0.3">
      <c r="A1179" s="641"/>
      <c r="B1179" s="640"/>
    </row>
    <row r="1180" spans="1:2" ht="15.75" customHeight="1" x14ac:dyDescent="0.3">
      <c r="A1180" s="641"/>
      <c r="B1180" s="640"/>
    </row>
    <row r="1181" spans="1:2" ht="15.75" customHeight="1" x14ac:dyDescent="0.3">
      <c r="A1181" s="641"/>
      <c r="B1181" s="640"/>
    </row>
    <row r="1182" spans="1:2" ht="15.75" customHeight="1" x14ac:dyDescent="0.3">
      <c r="A1182" s="641"/>
      <c r="B1182" s="640"/>
    </row>
    <row r="1183" spans="1:2" ht="15.75" customHeight="1" x14ac:dyDescent="0.3">
      <c r="A1183" s="641"/>
      <c r="B1183" s="640"/>
    </row>
    <row r="1184" spans="1:2" ht="15.75" customHeight="1" x14ac:dyDescent="0.3">
      <c r="A1184" s="641"/>
      <c r="B1184" s="640"/>
    </row>
    <row r="1185" spans="1:2" ht="15.75" customHeight="1" x14ac:dyDescent="0.3">
      <c r="A1185" s="641"/>
      <c r="B1185" s="640"/>
    </row>
    <row r="1186" spans="1:2" ht="15.75" customHeight="1" x14ac:dyDescent="0.3">
      <c r="A1186" s="641"/>
      <c r="B1186" s="640"/>
    </row>
    <row r="1187" spans="1:2" ht="15.75" customHeight="1" x14ac:dyDescent="0.3">
      <c r="A1187" s="641"/>
      <c r="B1187" s="640"/>
    </row>
    <row r="1188" spans="1:2" ht="15.75" customHeight="1" x14ac:dyDescent="0.3">
      <c r="A1188" s="641"/>
      <c r="B1188" s="640"/>
    </row>
    <row r="1189" spans="1:2" ht="15.75" customHeight="1" x14ac:dyDescent="0.3">
      <c r="A1189" s="641"/>
      <c r="B1189" s="640"/>
    </row>
    <row r="1190" spans="1:2" ht="15.75" customHeight="1" x14ac:dyDescent="0.3">
      <c r="A1190" s="641"/>
      <c r="B1190" s="640"/>
    </row>
    <row r="1191" spans="1:2" ht="15.75" customHeight="1" x14ac:dyDescent="0.3">
      <c r="A1191" s="641"/>
      <c r="B1191" s="640"/>
    </row>
    <row r="1192" spans="1:2" ht="15.75" customHeight="1" x14ac:dyDescent="0.3">
      <c r="A1192" s="641"/>
      <c r="B1192" s="640"/>
    </row>
    <row r="1193" spans="1:2" ht="15.75" customHeight="1" x14ac:dyDescent="0.3">
      <c r="A1193" s="641"/>
      <c r="B1193" s="640"/>
    </row>
    <row r="1194" spans="1:2" ht="15.75" customHeight="1" x14ac:dyDescent="0.3">
      <c r="A1194" s="641"/>
      <c r="B1194" s="640"/>
    </row>
    <row r="1195" spans="1:2" ht="15.75" customHeight="1" x14ac:dyDescent="0.3">
      <c r="A1195" s="641"/>
      <c r="B1195" s="640"/>
    </row>
    <row r="1196" spans="1:2" ht="15.75" customHeight="1" x14ac:dyDescent="0.3">
      <c r="A1196" s="641"/>
      <c r="B1196" s="640"/>
    </row>
    <row r="1197" spans="1:2" ht="15.75" customHeight="1" x14ac:dyDescent="0.3">
      <c r="A1197" s="641"/>
      <c r="B1197" s="640"/>
    </row>
    <row r="1198" spans="1:2" ht="15.75" customHeight="1" x14ac:dyDescent="0.3">
      <c r="A1198" s="641"/>
      <c r="B1198" s="640"/>
    </row>
    <row r="1199" spans="1:2" ht="15.75" customHeight="1" x14ac:dyDescent="0.3">
      <c r="A1199" s="641"/>
      <c r="B1199" s="640"/>
    </row>
    <row r="1200" spans="1:2" ht="15.75" customHeight="1" x14ac:dyDescent="0.3">
      <c r="A1200" s="641"/>
      <c r="B1200" s="640"/>
    </row>
    <row r="1201" spans="1:2" ht="15.75" customHeight="1" x14ac:dyDescent="0.3">
      <c r="A1201" s="641"/>
      <c r="B1201" s="640"/>
    </row>
    <row r="1202" spans="1:2" ht="15.75" customHeight="1" x14ac:dyDescent="0.3">
      <c r="A1202" s="641"/>
      <c r="B1202" s="640"/>
    </row>
    <row r="1203" spans="1:2" ht="15.75" customHeight="1" x14ac:dyDescent="0.3">
      <c r="A1203" s="641"/>
      <c r="B1203" s="640"/>
    </row>
    <row r="1204" spans="1:2" ht="15.75" customHeight="1" x14ac:dyDescent="0.3">
      <c r="A1204" s="641"/>
      <c r="B1204" s="640"/>
    </row>
    <row r="1205" spans="1:2" ht="15.75" customHeight="1" x14ac:dyDescent="0.3">
      <c r="A1205" s="641"/>
      <c r="B1205" s="640"/>
    </row>
    <row r="1206" spans="1:2" ht="15.75" customHeight="1" x14ac:dyDescent="0.3">
      <c r="A1206" s="641"/>
      <c r="B1206" s="640"/>
    </row>
    <row r="1207" spans="1:2" ht="15.75" customHeight="1" x14ac:dyDescent="0.3">
      <c r="A1207" s="641"/>
      <c r="B1207" s="640"/>
    </row>
    <row r="1208" spans="1:2" ht="15.75" customHeight="1" x14ac:dyDescent="0.3">
      <c r="A1208" s="641"/>
      <c r="B1208" s="640"/>
    </row>
    <row r="1209" spans="1:2" ht="15.75" customHeight="1" x14ac:dyDescent="0.3">
      <c r="A1209" s="641"/>
      <c r="B1209" s="640"/>
    </row>
    <row r="1210" spans="1:2" ht="15.75" customHeight="1" x14ac:dyDescent="0.3">
      <c r="A1210" s="641"/>
      <c r="B1210" s="640"/>
    </row>
    <row r="1211" spans="1:2" ht="15.75" customHeight="1" x14ac:dyDescent="0.3">
      <c r="A1211" s="641"/>
      <c r="B1211" s="640"/>
    </row>
    <row r="1212" spans="1:2" ht="15.75" customHeight="1" x14ac:dyDescent="0.3">
      <c r="A1212" s="641"/>
      <c r="B1212" s="640"/>
    </row>
    <row r="1213" spans="1:2" ht="15.75" customHeight="1" x14ac:dyDescent="0.3">
      <c r="A1213" s="641"/>
      <c r="B1213" s="640"/>
    </row>
    <row r="1214" spans="1:2" ht="15.75" customHeight="1" x14ac:dyDescent="0.3">
      <c r="A1214" s="641"/>
      <c r="B1214" s="640"/>
    </row>
    <row r="1215" spans="1:2" ht="15.75" customHeight="1" x14ac:dyDescent="0.3">
      <c r="A1215" s="641"/>
      <c r="B1215" s="640"/>
    </row>
    <row r="1216" spans="1:2" ht="15.75" customHeight="1" x14ac:dyDescent="0.3">
      <c r="A1216" s="641"/>
      <c r="B1216" s="640"/>
    </row>
    <row r="1217" spans="1:2" ht="15.75" customHeight="1" x14ac:dyDescent="0.3">
      <c r="A1217" s="641"/>
      <c r="B1217" s="640"/>
    </row>
    <row r="1218" spans="1:2" ht="15.75" customHeight="1" x14ac:dyDescent="0.3">
      <c r="A1218" s="641"/>
      <c r="B1218" s="640"/>
    </row>
    <row r="1219" spans="1:2" ht="15.75" customHeight="1" x14ac:dyDescent="0.3">
      <c r="A1219" s="641"/>
      <c r="B1219" s="640"/>
    </row>
    <row r="1220" spans="1:2" ht="15.75" customHeight="1" x14ac:dyDescent="0.3">
      <c r="A1220" s="641"/>
      <c r="B1220" s="640"/>
    </row>
    <row r="1221" spans="1:2" ht="15.75" customHeight="1" x14ac:dyDescent="0.3">
      <c r="A1221" s="641"/>
      <c r="B1221" s="640"/>
    </row>
    <row r="1222" spans="1:2" ht="15.75" customHeight="1" x14ac:dyDescent="0.3">
      <c r="A1222" s="641"/>
      <c r="B1222" s="640"/>
    </row>
    <row r="1223" spans="1:2" ht="15.75" customHeight="1" x14ac:dyDescent="0.3">
      <c r="A1223" s="641"/>
      <c r="B1223" s="640"/>
    </row>
    <row r="1224" spans="1:2" ht="15.75" customHeight="1" x14ac:dyDescent="0.3">
      <c r="A1224" s="641"/>
      <c r="B1224" s="640"/>
    </row>
    <row r="1225" spans="1:2" ht="15.75" customHeight="1" x14ac:dyDescent="0.3">
      <c r="A1225" s="641"/>
      <c r="B1225" s="640"/>
    </row>
    <row r="1226" spans="1:2" ht="15.75" customHeight="1" x14ac:dyDescent="0.3">
      <c r="A1226" s="641"/>
      <c r="B1226" s="640"/>
    </row>
    <row r="1227" spans="1:2" ht="15.75" customHeight="1" x14ac:dyDescent="0.3">
      <c r="A1227" s="641"/>
      <c r="B1227" s="640"/>
    </row>
    <row r="1228" spans="1:2" ht="15.75" customHeight="1" x14ac:dyDescent="0.3">
      <c r="A1228" s="641"/>
      <c r="B1228" s="640"/>
    </row>
    <row r="1229" spans="1:2" ht="15.75" customHeight="1" x14ac:dyDescent="0.3">
      <c r="A1229" s="641"/>
      <c r="B1229" s="640"/>
    </row>
    <row r="1230" spans="1:2" ht="15.75" customHeight="1" x14ac:dyDescent="0.3">
      <c r="A1230" s="641"/>
      <c r="B1230" s="640"/>
    </row>
    <row r="1231" spans="1:2" ht="15.75" customHeight="1" x14ac:dyDescent="0.3">
      <c r="A1231" s="641"/>
      <c r="B1231" s="640"/>
    </row>
    <row r="1232" spans="1:2" ht="15.75" customHeight="1" x14ac:dyDescent="0.3">
      <c r="A1232" s="641"/>
      <c r="B1232" s="640"/>
    </row>
    <row r="1233" spans="1:2" ht="15.75" customHeight="1" x14ac:dyDescent="0.3">
      <c r="A1233" s="641"/>
      <c r="B1233" s="640"/>
    </row>
    <row r="1234" spans="1:2" ht="15.75" customHeight="1" x14ac:dyDescent="0.3">
      <c r="A1234" s="641"/>
      <c r="B1234" s="640"/>
    </row>
    <row r="1235" spans="1:2" ht="15.75" customHeight="1" x14ac:dyDescent="0.3">
      <c r="A1235" s="641"/>
      <c r="B1235" s="640"/>
    </row>
    <row r="1236" spans="1:2" ht="15.75" customHeight="1" x14ac:dyDescent="0.3">
      <c r="A1236" s="641"/>
      <c r="B1236" s="640"/>
    </row>
    <row r="1237" spans="1:2" ht="15.75" customHeight="1" x14ac:dyDescent="0.3">
      <c r="A1237" s="641"/>
      <c r="B1237" s="640"/>
    </row>
    <row r="1238" spans="1:2" ht="15.75" customHeight="1" x14ac:dyDescent="0.3">
      <c r="A1238" s="641"/>
      <c r="B1238" s="640"/>
    </row>
    <row r="1239" spans="1:2" ht="15.75" customHeight="1" x14ac:dyDescent="0.3">
      <c r="A1239" s="641"/>
      <c r="B1239" s="640"/>
    </row>
    <row r="1240" spans="1:2" ht="15.75" customHeight="1" x14ac:dyDescent="0.3">
      <c r="A1240" s="641"/>
      <c r="B1240" s="640"/>
    </row>
    <row r="1241" spans="1:2" ht="15.75" customHeight="1" x14ac:dyDescent="0.3">
      <c r="A1241" s="641"/>
      <c r="B1241" s="640"/>
    </row>
    <row r="1242" spans="1:2" ht="15.75" customHeight="1" x14ac:dyDescent="0.3">
      <c r="A1242" s="641"/>
      <c r="B1242" s="640"/>
    </row>
    <row r="1243" spans="1:2" ht="15.75" customHeight="1" x14ac:dyDescent="0.3">
      <c r="A1243" s="641"/>
      <c r="B1243" s="640"/>
    </row>
    <row r="1244" spans="1:2" ht="15.75" customHeight="1" x14ac:dyDescent="0.3">
      <c r="A1244" s="641"/>
      <c r="B1244" s="640"/>
    </row>
    <row r="1245" spans="1:2" ht="15.75" customHeight="1" x14ac:dyDescent="0.3">
      <c r="A1245" s="641"/>
      <c r="B1245" s="640"/>
    </row>
    <row r="1246" spans="1:2" ht="15.75" customHeight="1" x14ac:dyDescent="0.3">
      <c r="A1246" s="641"/>
      <c r="B1246" s="640"/>
    </row>
    <row r="1247" spans="1:2" ht="15.75" customHeight="1" x14ac:dyDescent="0.3">
      <c r="A1247" s="641"/>
      <c r="B1247" s="640"/>
    </row>
    <row r="1248" spans="1:2" ht="15.75" customHeight="1" x14ac:dyDescent="0.3">
      <c r="A1248" s="641"/>
      <c r="B1248" s="640"/>
    </row>
    <row r="1249" spans="1:2" ht="15.75" customHeight="1" x14ac:dyDescent="0.3">
      <c r="A1249" s="641"/>
      <c r="B1249" s="640"/>
    </row>
    <row r="1250" spans="1:2" ht="15.75" customHeight="1" x14ac:dyDescent="0.3">
      <c r="A1250" s="641"/>
      <c r="B1250" s="640"/>
    </row>
    <row r="1251" spans="1:2" ht="15.75" customHeight="1" x14ac:dyDescent="0.3">
      <c r="A1251" s="641"/>
      <c r="B1251" s="640"/>
    </row>
    <row r="1252" spans="1:2" ht="15.75" customHeight="1" x14ac:dyDescent="0.3">
      <c r="A1252" s="641"/>
      <c r="B1252" s="640"/>
    </row>
    <row r="1253" spans="1:2" ht="15.75" customHeight="1" x14ac:dyDescent="0.3">
      <c r="A1253" s="641"/>
      <c r="B1253" s="640"/>
    </row>
    <row r="1254" spans="1:2" ht="15.75" customHeight="1" x14ac:dyDescent="0.3">
      <c r="A1254" s="641"/>
      <c r="B1254" s="640"/>
    </row>
    <row r="1255" spans="1:2" ht="15.75" customHeight="1" x14ac:dyDescent="0.3">
      <c r="A1255" s="641"/>
      <c r="B1255" s="640"/>
    </row>
    <row r="1256" spans="1:2" ht="15.75" customHeight="1" x14ac:dyDescent="0.3">
      <c r="A1256" s="641"/>
      <c r="B1256" s="640"/>
    </row>
    <row r="1257" spans="1:2" ht="15.75" customHeight="1" x14ac:dyDescent="0.3">
      <c r="A1257" s="641"/>
      <c r="B1257" s="640"/>
    </row>
    <row r="1258" spans="1:2" ht="15.75" customHeight="1" x14ac:dyDescent="0.3">
      <c r="A1258" s="641"/>
      <c r="B1258" s="640"/>
    </row>
    <row r="1259" spans="1:2" ht="15.75" customHeight="1" x14ac:dyDescent="0.3">
      <c r="A1259" s="641"/>
      <c r="B1259" s="640"/>
    </row>
    <row r="1260" spans="1:2" ht="15.75" customHeight="1" x14ac:dyDescent="0.3">
      <c r="A1260" s="641"/>
      <c r="B1260" s="640"/>
    </row>
    <row r="1261" spans="1:2" ht="15.75" customHeight="1" x14ac:dyDescent="0.3">
      <c r="A1261" s="641"/>
      <c r="B1261" s="640"/>
    </row>
    <row r="1262" spans="1:2" ht="15.75" customHeight="1" x14ac:dyDescent="0.3">
      <c r="A1262" s="641"/>
      <c r="B1262" s="640"/>
    </row>
    <row r="1263" spans="1:2" ht="15.75" customHeight="1" x14ac:dyDescent="0.3">
      <c r="A1263" s="641"/>
      <c r="B1263" s="640"/>
    </row>
    <row r="1264" spans="1:2" ht="15.75" customHeight="1" x14ac:dyDescent="0.3">
      <c r="A1264" s="641"/>
      <c r="B1264" s="640"/>
    </row>
    <row r="1265" spans="1:2" ht="15.75" customHeight="1" x14ac:dyDescent="0.3">
      <c r="A1265" s="641"/>
      <c r="B1265" s="640"/>
    </row>
    <row r="1266" spans="1:2" ht="15.75" customHeight="1" x14ac:dyDescent="0.3">
      <c r="A1266" s="641"/>
      <c r="B1266" s="640"/>
    </row>
    <row r="1267" spans="1:2" ht="15.75" customHeight="1" x14ac:dyDescent="0.3">
      <c r="A1267" s="641"/>
      <c r="B1267" s="640"/>
    </row>
    <row r="1268" spans="1:2" ht="15.75" customHeight="1" x14ac:dyDescent="0.3">
      <c r="A1268" s="641"/>
      <c r="B1268" s="640"/>
    </row>
    <row r="1269" spans="1:2" ht="15.75" customHeight="1" x14ac:dyDescent="0.3">
      <c r="A1269" s="641"/>
      <c r="B1269" s="640"/>
    </row>
    <row r="1270" spans="1:2" ht="15.75" customHeight="1" x14ac:dyDescent="0.3">
      <c r="A1270" s="641"/>
      <c r="B1270" s="640"/>
    </row>
    <row r="1271" spans="1:2" ht="15.75" customHeight="1" x14ac:dyDescent="0.3">
      <c r="A1271" s="641"/>
      <c r="B1271" s="640"/>
    </row>
    <row r="1272" spans="1:2" ht="15.75" customHeight="1" x14ac:dyDescent="0.3">
      <c r="A1272" s="641"/>
      <c r="B1272" s="640"/>
    </row>
    <row r="1273" spans="1:2" ht="15.75" customHeight="1" x14ac:dyDescent="0.3">
      <c r="A1273" s="641"/>
      <c r="B1273" s="640"/>
    </row>
    <row r="1274" spans="1:2" ht="15.75" customHeight="1" x14ac:dyDescent="0.3">
      <c r="A1274" s="641"/>
      <c r="B1274" s="640"/>
    </row>
    <row r="1275" spans="1:2" ht="15.75" customHeight="1" x14ac:dyDescent="0.3">
      <c r="A1275" s="641"/>
      <c r="B1275" s="640"/>
    </row>
    <row r="1276" spans="1:2" ht="15.75" customHeight="1" x14ac:dyDescent="0.3">
      <c r="A1276" s="641"/>
      <c r="B1276" s="640"/>
    </row>
    <row r="1277" spans="1:2" ht="15.75" customHeight="1" x14ac:dyDescent="0.3">
      <c r="A1277" s="641"/>
      <c r="B1277" s="640"/>
    </row>
    <row r="1278" spans="1:2" ht="15.75" customHeight="1" x14ac:dyDescent="0.3">
      <c r="A1278" s="641"/>
      <c r="B1278" s="640"/>
    </row>
    <row r="1279" spans="1:2" ht="15.75" customHeight="1" x14ac:dyDescent="0.3">
      <c r="A1279" s="641"/>
      <c r="B1279" s="640"/>
    </row>
    <row r="1280" spans="1:2" ht="15.75" customHeight="1" x14ac:dyDescent="0.3">
      <c r="A1280" s="641"/>
      <c r="B1280" s="640"/>
    </row>
    <row r="1281" spans="1:2" ht="15.75" customHeight="1" x14ac:dyDescent="0.3">
      <c r="A1281" s="641"/>
      <c r="B1281" s="640"/>
    </row>
    <row r="1282" spans="1:2" ht="15.75" customHeight="1" x14ac:dyDescent="0.3">
      <c r="A1282" s="641"/>
      <c r="B1282" s="640"/>
    </row>
    <row r="1283" spans="1:2" ht="15.75" customHeight="1" x14ac:dyDescent="0.3">
      <c r="A1283" s="641"/>
      <c r="B1283" s="640"/>
    </row>
    <row r="1284" spans="1:2" ht="15.75" customHeight="1" x14ac:dyDescent="0.3">
      <c r="A1284" s="641"/>
      <c r="B1284" s="640"/>
    </row>
    <row r="1285" spans="1:2" ht="15.75" customHeight="1" x14ac:dyDescent="0.3">
      <c r="A1285" s="641"/>
      <c r="B1285" s="640"/>
    </row>
    <row r="1286" spans="1:2" ht="15.75" customHeight="1" x14ac:dyDescent="0.3">
      <c r="A1286" s="641"/>
      <c r="B1286" s="640"/>
    </row>
    <row r="1287" spans="1:2" ht="15.75" customHeight="1" x14ac:dyDescent="0.3">
      <c r="A1287" s="641"/>
      <c r="B1287" s="640"/>
    </row>
    <row r="1288" spans="1:2" ht="15.75" customHeight="1" x14ac:dyDescent="0.3">
      <c r="A1288" s="641"/>
      <c r="B1288" s="640"/>
    </row>
    <row r="1289" spans="1:2" ht="15.75" customHeight="1" x14ac:dyDescent="0.3">
      <c r="A1289" s="641"/>
      <c r="B1289" s="640"/>
    </row>
    <row r="1290" spans="1:2" ht="15.75" customHeight="1" x14ac:dyDescent="0.3">
      <c r="A1290" s="641"/>
      <c r="B1290" s="640"/>
    </row>
    <row r="1291" spans="1:2" ht="15.75" customHeight="1" x14ac:dyDescent="0.3">
      <c r="A1291" s="641"/>
      <c r="B1291" s="640"/>
    </row>
    <row r="1292" spans="1:2" ht="15.75" customHeight="1" x14ac:dyDescent="0.3">
      <c r="A1292" s="641"/>
      <c r="B1292" s="640"/>
    </row>
    <row r="1293" spans="1:2" ht="15.75" customHeight="1" x14ac:dyDescent="0.3">
      <c r="A1293" s="641"/>
      <c r="B1293" s="640"/>
    </row>
    <row r="1294" spans="1:2" ht="15.75" customHeight="1" x14ac:dyDescent="0.3">
      <c r="A1294" s="641"/>
      <c r="B1294" s="640"/>
    </row>
    <row r="1295" spans="1:2" ht="15.75" customHeight="1" x14ac:dyDescent="0.3">
      <c r="A1295" s="641"/>
      <c r="B1295" s="640"/>
    </row>
    <row r="1296" spans="1:2" ht="15.75" customHeight="1" x14ac:dyDescent="0.3">
      <c r="A1296" s="641"/>
      <c r="B1296" s="640"/>
    </row>
    <row r="1297" spans="1:2" ht="15.75" customHeight="1" x14ac:dyDescent="0.3">
      <c r="A1297" s="641"/>
      <c r="B1297" s="640"/>
    </row>
    <row r="1298" spans="1:2" ht="15.75" customHeight="1" x14ac:dyDescent="0.3">
      <c r="A1298" s="641"/>
      <c r="B1298" s="640"/>
    </row>
    <row r="1299" spans="1:2" ht="15.75" customHeight="1" x14ac:dyDescent="0.3">
      <c r="A1299" s="641"/>
      <c r="B1299" s="640"/>
    </row>
    <row r="1300" spans="1:2" ht="15.75" customHeight="1" x14ac:dyDescent="0.3">
      <c r="A1300" s="641"/>
      <c r="B1300" s="640"/>
    </row>
    <row r="1301" spans="1:2" ht="15.75" customHeight="1" x14ac:dyDescent="0.3">
      <c r="A1301" s="641"/>
      <c r="B1301" s="640"/>
    </row>
    <row r="1302" spans="1:2" ht="15.75" customHeight="1" x14ac:dyDescent="0.3">
      <c r="A1302" s="641"/>
      <c r="B1302" s="640"/>
    </row>
    <row r="1303" spans="1:2" ht="15.75" customHeight="1" x14ac:dyDescent="0.3">
      <c r="A1303" s="641"/>
      <c r="B1303" s="640"/>
    </row>
    <row r="1304" spans="1:2" ht="15.75" customHeight="1" x14ac:dyDescent="0.3">
      <c r="A1304" s="641"/>
      <c r="B1304" s="640"/>
    </row>
    <row r="1305" spans="1:2" ht="15.75" customHeight="1" x14ac:dyDescent="0.3">
      <c r="A1305" s="641"/>
      <c r="B1305" s="640"/>
    </row>
    <row r="1306" spans="1:2" ht="15.75" customHeight="1" x14ac:dyDescent="0.3">
      <c r="A1306" s="641"/>
      <c r="B1306" s="640"/>
    </row>
    <row r="1307" spans="1:2" ht="15.75" customHeight="1" x14ac:dyDescent="0.3">
      <c r="A1307" s="641"/>
      <c r="B1307" s="640"/>
    </row>
    <row r="1308" spans="1:2" ht="15.75" customHeight="1" x14ac:dyDescent="0.3">
      <c r="A1308" s="641"/>
      <c r="B1308" s="640"/>
    </row>
    <row r="1309" spans="1:2" ht="15.75" customHeight="1" x14ac:dyDescent="0.3">
      <c r="A1309" s="641"/>
      <c r="B1309" s="640"/>
    </row>
    <row r="1310" spans="1:2" ht="15.75" customHeight="1" x14ac:dyDescent="0.3">
      <c r="A1310" s="641"/>
      <c r="B1310" s="640"/>
    </row>
    <row r="1311" spans="1:2" ht="15.75" customHeight="1" x14ac:dyDescent="0.3">
      <c r="A1311" s="641"/>
      <c r="B1311" s="640"/>
    </row>
    <row r="1312" spans="1:2" ht="15.75" customHeight="1" x14ac:dyDescent="0.3">
      <c r="A1312" s="641"/>
      <c r="B1312" s="640"/>
    </row>
    <row r="1313" spans="1:2" ht="15.75" customHeight="1" x14ac:dyDescent="0.3">
      <c r="A1313" s="641"/>
      <c r="B1313" s="640"/>
    </row>
    <row r="1314" spans="1:2" ht="15.75" customHeight="1" x14ac:dyDescent="0.3">
      <c r="A1314" s="641"/>
      <c r="B1314" s="640"/>
    </row>
    <row r="1315" spans="1:2" ht="15.75" customHeight="1" x14ac:dyDescent="0.3">
      <c r="A1315" s="641"/>
      <c r="B1315" s="640"/>
    </row>
    <row r="1316" spans="1:2" ht="15.75" customHeight="1" x14ac:dyDescent="0.3">
      <c r="A1316" s="641"/>
      <c r="B1316" s="640"/>
    </row>
    <row r="1317" spans="1:2" ht="15.75" customHeight="1" x14ac:dyDescent="0.3">
      <c r="A1317" s="641"/>
      <c r="B1317" s="640"/>
    </row>
    <row r="1318" spans="1:2" ht="15.75" customHeight="1" x14ac:dyDescent="0.3">
      <c r="A1318" s="641"/>
      <c r="B1318" s="640"/>
    </row>
    <row r="1319" spans="1:2" ht="15.75" customHeight="1" x14ac:dyDescent="0.3">
      <c r="A1319" s="641"/>
      <c r="B1319" s="640"/>
    </row>
    <row r="1320" spans="1:2" ht="15.75" customHeight="1" x14ac:dyDescent="0.3">
      <c r="A1320" s="641"/>
      <c r="B1320" s="640"/>
    </row>
    <row r="1321" spans="1:2" ht="15.75" customHeight="1" x14ac:dyDescent="0.3">
      <c r="A1321" s="641"/>
      <c r="B1321" s="640"/>
    </row>
    <row r="1322" spans="1:2" ht="15.75" customHeight="1" x14ac:dyDescent="0.3">
      <c r="A1322" s="641"/>
      <c r="B1322" s="640"/>
    </row>
    <row r="1323" spans="1:2" ht="15.75" customHeight="1" x14ac:dyDescent="0.3">
      <c r="A1323" s="641"/>
      <c r="B1323" s="640"/>
    </row>
    <row r="1324" spans="1:2" ht="15.75" customHeight="1" x14ac:dyDescent="0.3">
      <c r="A1324" s="641"/>
      <c r="B1324" s="640"/>
    </row>
    <row r="1325" spans="1:2" ht="15.75" customHeight="1" x14ac:dyDescent="0.3">
      <c r="A1325" s="641"/>
      <c r="B1325" s="640"/>
    </row>
    <row r="1326" spans="1:2" ht="15.75" customHeight="1" x14ac:dyDescent="0.3">
      <c r="A1326" s="641"/>
      <c r="B1326" s="640"/>
    </row>
    <row r="1327" spans="1:2" ht="15.75" customHeight="1" x14ac:dyDescent="0.3">
      <c r="A1327" s="641"/>
      <c r="B1327" s="640"/>
    </row>
    <row r="1328" spans="1:2" ht="15.75" customHeight="1" x14ac:dyDescent="0.3">
      <c r="A1328" s="641"/>
      <c r="B1328" s="640"/>
    </row>
    <row r="1329" spans="1:2" ht="15.75" customHeight="1" x14ac:dyDescent="0.3">
      <c r="A1329" s="641"/>
      <c r="B1329" s="640"/>
    </row>
    <row r="1330" spans="1:2" ht="15.75" customHeight="1" x14ac:dyDescent="0.3">
      <c r="A1330" s="641"/>
      <c r="B1330" s="640"/>
    </row>
    <row r="1331" spans="1:2" ht="15.75" customHeight="1" x14ac:dyDescent="0.3">
      <c r="A1331" s="641"/>
      <c r="B1331" s="640"/>
    </row>
    <row r="1332" spans="1:2" ht="15.75" customHeight="1" x14ac:dyDescent="0.3">
      <c r="A1332" s="641"/>
      <c r="B1332" s="640"/>
    </row>
    <row r="1333" spans="1:2" ht="15.75" customHeight="1" x14ac:dyDescent="0.3">
      <c r="A1333" s="641"/>
      <c r="B1333" s="640"/>
    </row>
    <row r="1334" spans="1:2" ht="15.75" customHeight="1" x14ac:dyDescent="0.3">
      <c r="A1334" s="641"/>
      <c r="B1334" s="640"/>
    </row>
    <row r="1335" spans="1:2" ht="15.75" customHeight="1" x14ac:dyDescent="0.3">
      <c r="A1335" s="641"/>
      <c r="B1335" s="640"/>
    </row>
    <row r="1336" spans="1:2" ht="15.75" customHeight="1" x14ac:dyDescent="0.3">
      <c r="A1336" s="641"/>
      <c r="B1336" s="640"/>
    </row>
    <row r="1337" spans="1:2" ht="15.75" customHeight="1" x14ac:dyDescent="0.3">
      <c r="A1337" s="641"/>
      <c r="B1337" s="640"/>
    </row>
    <row r="1338" spans="1:2" ht="15.75" customHeight="1" x14ac:dyDescent="0.3">
      <c r="A1338" s="641"/>
      <c r="B1338" s="640"/>
    </row>
    <row r="1339" spans="1:2" ht="15.75" customHeight="1" x14ac:dyDescent="0.3">
      <c r="A1339" s="641"/>
      <c r="B1339" s="640"/>
    </row>
    <row r="1340" spans="1:2" ht="15.75" customHeight="1" x14ac:dyDescent="0.3">
      <c r="A1340" s="641"/>
      <c r="B1340" s="640"/>
    </row>
    <row r="1341" spans="1:2" ht="15.75" customHeight="1" x14ac:dyDescent="0.3">
      <c r="A1341" s="641"/>
      <c r="B1341" s="640"/>
    </row>
    <row r="1342" spans="1:2" ht="15.75" customHeight="1" x14ac:dyDescent="0.3">
      <c r="A1342" s="641"/>
      <c r="B1342" s="640"/>
    </row>
    <row r="1343" spans="1:2" ht="15.75" customHeight="1" x14ac:dyDescent="0.3">
      <c r="A1343" s="641"/>
      <c r="B1343" s="640"/>
    </row>
    <row r="1344" spans="1:2" ht="15.75" customHeight="1" x14ac:dyDescent="0.3">
      <c r="A1344" s="641"/>
      <c r="B1344" s="640"/>
    </row>
    <row r="1345" spans="1:2" ht="15.75" customHeight="1" x14ac:dyDescent="0.3">
      <c r="A1345" s="641"/>
      <c r="B1345" s="640"/>
    </row>
    <row r="1346" spans="1:2" ht="15.75" customHeight="1" x14ac:dyDescent="0.3">
      <c r="A1346" s="641"/>
      <c r="B1346" s="640"/>
    </row>
    <row r="1347" spans="1:2" ht="15.75" customHeight="1" x14ac:dyDescent="0.3">
      <c r="A1347" s="641"/>
      <c r="B1347" s="640"/>
    </row>
    <row r="1348" spans="1:2" ht="15.75" customHeight="1" x14ac:dyDescent="0.3">
      <c r="A1348" s="641"/>
      <c r="B1348" s="640"/>
    </row>
    <row r="1349" spans="1:2" ht="15.75" customHeight="1" x14ac:dyDescent="0.3">
      <c r="A1349" s="641"/>
      <c r="B1349" s="640"/>
    </row>
    <row r="1350" spans="1:2" ht="15.75" customHeight="1" x14ac:dyDescent="0.3">
      <c r="A1350" s="641"/>
      <c r="B1350" s="640"/>
    </row>
    <row r="1351" spans="1:2" ht="15.75" customHeight="1" x14ac:dyDescent="0.3">
      <c r="A1351" s="641"/>
      <c r="B1351" s="640"/>
    </row>
    <row r="1352" spans="1:2" ht="15.75" customHeight="1" x14ac:dyDescent="0.3">
      <c r="A1352" s="641"/>
      <c r="B1352" s="640"/>
    </row>
    <row r="1353" spans="1:2" ht="15.75" customHeight="1" x14ac:dyDescent="0.3">
      <c r="A1353" s="641"/>
      <c r="B1353" s="640"/>
    </row>
    <row r="1354" spans="1:2" ht="15.75" customHeight="1" x14ac:dyDescent="0.3">
      <c r="A1354" s="641"/>
      <c r="B1354" s="640"/>
    </row>
    <row r="1355" spans="1:2" ht="15.75" customHeight="1" x14ac:dyDescent="0.3">
      <c r="A1355" s="641"/>
      <c r="B1355" s="640"/>
    </row>
    <row r="1356" spans="1:2" ht="15.75" customHeight="1" x14ac:dyDescent="0.3">
      <c r="A1356" s="641"/>
      <c r="B1356" s="640"/>
    </row>
    <row r="1357" spans="1:2" ht="15.75" customHeight="1" x14ac:dyDescent="0.3">
      <c r="A1357" s="641"/>
      <c r="B1357" s="640"/>
    </row>
    <row r="1358" spans="1:2" ht="15.75" customHeight="1" x14ac:dyDescent="0.3">
      <c r="A1358" s="641"/>
      <c r="B1358" s="640"/>
    </row>
    <row r="1359" spans="1:2" ht="15.75" customHeight="1" x14ac:dyDescent="0.3">
      <c r="A1359" s="641"/>
      <c r="B1359" s="640"/>
    </row>
    <row r="1360" spans="1:2" ht="15.75" customHeight="1" x14ac:dyDescent="0.3">
      <c r="A1360" s="641"/>
      <c r="B1360" s="640"/>
    </row>
    <row r="1361" spans="1:2" ht="15.75" customHeight="1" x14ac:dyDescent="0.3">
      <c r="A1361" s="641"/>
      <c r="B1361" s="640"/>
    </row>
    <row r="1362" spans="1:2" ht="15.75" customHeight="1" x14ac:dyDescent="0.3">
      <c r="A1362" s="641"/>
      <c r="B1362" s="640"/>
    </row>
    <row r="1363" spans="1:2" ht="15.75" customHeight="1" x14ac:dyDescent="0.3">
      <c r="A1363" s="641"/>
      <c r="B1363" s="640"/>
    </row>
    <row r="1364" spans="1:2" ht="15.75" customHeight="1" x14ac:dyDescent="0.3">
      <c r="A1364" s="641"/>
      <c r="B1364" s="640"/>
    </row>
    <row r="1365" spans="1:2" ht="15.75" customHeight="1" x14ac:dyDescent="0.3">
      <c r="A1365" s="641"/>
      <c r="B1365" s="640"/>
    </row>
    <row r="1366" spans="1:2" ht="15.75" customHeight="1" x14ac:dyDescent="0.3">
      <c r="A1366" s="641"/>
      <c r="B1366" s="640"/>
    </row>
    <row r="1367" spans="1:2" ht="15.75" customHeight="1" x14ac:dyDescent="0.3">
      <c r="A1367" s="641"/>
      <c r="B1367" s="640"/>
    </row>
    <row r="1368" spans="1:2" ht="15.75" customHeight="1" x14ac:dyDescent="0.3">
      <c r="A1368" s="641"/>
      <c r="B1368" s="640"/>
    </row>
    <row r="1369" spans="1:2" ht="15.75" customHeight="1" x14ac:dyDescent="0.3">
      <c r="A1369" s="641"/>
      <c r="B1369" s="640"/>
    </row>
    <row r="1370" spans="1:2" ht="15.75" customHeight="1" x14ac:dyDescent="0.3">
      <c r="A1370" s="641"/>
      <c r="B1370" s="640"/>
    </row>
    <row r="1371" spans="1:2" ht="15.75" customHeight="1" x14ac:dyDescent="0.3">
      <c r="A1371" s="641"/>
      <c r="B1371" s="640"/>
    </row>
    <row r="1372" spans="1:2" ht="15.75" customHeight="1" x14ac:dyDescent="0.3">
      <c r="A1372" s="641"/>
      <c r="B1372" s="640"/>
    </row>
    <row r="1373" spans="1:2" ht="15.75" customHeight="1" x14ac:dyDescent="0.3">
      <c r="A1373" s="641"/>
      <c r="B1373" s="640"/>
    </row>
    <row r="1374" spans="1:2" ht="15.75" customHeight="1" x14ac:dyDescent="0.3">
      <c r="A1374" s="641"/>
      <c r="B1374" s="640"/>
    </row>
    <row r="1375" spans="1:2" ht="15.75" customHeight="1" x14ac:dyDescent="0.3">
      <c r="A1375" s="641"/>
      <c r="B1375" s="640"/>
    </row>
    <row r="1376" spans="1:2" ht="15.75" customHeight="1" x14ac:dyDescent="0.3">
      <c r="A1376" s="641"/>
      <c r="B1376" s="640"/>
    </row>
    <row r="1377" spans="1:2" ht="15.75" customHeight="1" x14ac:dyDescent="0.3">
      <c r="A1377" s="641"/>
      <c r="B1377" s="640"/>
    </row>
    <row r="1378" spans="1:2" ht="15.75" customHeight="1" x14ac:dyDescent="0.3">
      <c r="A1378" s="641"/>
      <c r="B1378" s="640"/>
    </row>
    <row r="1379" spans="1:2" ht="15.75" customHeight="1" x14ac:dyDescent="0.3">
      <c r="A1379" s="641"/>
      <c r="B1379" s="640"/>
    </row>
    <row r="1380" spans="1:2" ht="15.75" customHeight="1" x14ac:dyDescent="0.3">
      <c r="A1380" s="641"/>
      <c r="B1380" s="640"/>
    </row>
    <row r="1381" spans="1:2" ht="15.75" customHeight="1" x14ac:dyDescent="0.3">
      <c r="A1381" s="641"/>
      <c r="B1381" s="640"/>
    </row>
    <row r="1382" spans="1:2" ht="15.75" customHeight="1" x14ac:dyDescent="0.3">
      <c r="A1382" s="641"/>
      <c r="B1382" s="640"/>
    </row>
    <row r="1383" spans="1:2" ht="15.75" customHeight="1" x14ac:dyDescent="0.3">
      <c r="A1383" s="641"/>
      <c r="B1383" s="640"/>
    </row>
    <row r="1384" spans="1:2" ht="15.75" customHeight="1" x14ac:dyDescent="0.3">
      <c r="A1384" s="641"/>
      <c r="B1384" s="640"/>
    </row>
    <row r="1385" spans="1:2" ht="15.75" customHeight="1" x14ac:dyDescent="0.3">
      <c r="A1385" s="641"/>
      <c r="B1385" s="640"/>
    </row>
    <row r="1386" spans="1:2" ht="15.75" customHeight="1" x14ac:dyDescent="0.3">
      <c r="A1386" s="641"/>
      <c r="B1386" s="640"/>
    </row>
    <row r="1387" spans="1:2" ht="15.75" customHeight="1" x14ac:dyDescent="0.3">
      <c r="A1387" s="641"/>
      <c r="B1387" s="640"/>
    </row>
    <row r="1388" spans="1:2" ht="15.75" customHeight="1" x14ac:dyDescent="0.3">
      <c r="A1388" s="641"/>
      <c r="B1388" s="640"/>
    </row>
    <row r="1389" spans="1:2" ht="15.75" customHeight="1" x14ac:dyDescent="0.3">
      <c r="A1389" s="641"/>
      <c r="B1389" s="640"/>
    </row>
    <row r="1390" spans="1:2" ht="15.75" customHeight="1" x14ac:dyDescent="0.3">
      <c r="A1390" s="641"/>
      <c r="B1390" s="640"/>
    </row>
    <row r="1391" spans="1:2" ht="15.75" customHeight="1" x14ac:dyDescent="0.3">
      <c r="A1391" s="641"/>
      <c r="B1391" s="640"/>
    </row>
    <row r="1392" spans="1:2" ht="15.75" customHeight="1" x14ac:dyDescent="0.3">
      <c r="A1392" s="641"/>
      <c r="B1392" s="640"/>
    </row>
    <row r="1393" spans="1:2" ht="15.75" customHeight="1" x14ac:dyDescent="0.3">
      <c r="A1393" s="641"/>
      <c r="B1393" s="640"/>
    </row>
    <row r="1394" spans="1:2" ht="15.75" customHeight="1" x14ac:dyDescent="0.3">
      <c r="A1394" s="641"/>
      <c r="B1394" s="640"/>
    </row>
    <row r="1395" spans="1:2" ht="15.75" customHeight="1" x14ac:dyDescent="0.3">
      <c r="A1395" s="641"/>
      <c r="B1395" s="640"/>
    </row>
    <row r="1396" spans="1:2" ht="15.75" customHeight="1" x14ac:dyDescent="0.3">
      <c r="A1396" s="641"/>
      <c r="B1396" s="640"/>
    </row>
    <row r="1397" spans="1:2" ht="15.75" customHeight="1" x14ac:dyDescent="0.3">
      <c r="A1397" s="641"/>
      <c r="B1397" s="640"/>
    </row>
    <row r="1398" spans="1:2" ht="15.75" customHeight="1" x14ac:dyDescent="0.3">
      <c r="A1398" s="641"/>
      <c r="B1398" s="640"/>
    </row>
    <row r="1399" spans="1:2" ht="15.75" customHeight="1" x14ac:dyDescent="0.3">
      <c r="A1399" s="641"/>
      <c r="B1399" s="640"/>
    </row>
    <row r="1400" spans="1:2" ht="15.75" customHeight="1" x14ac:dyDescent="0.3">
      <c r="A1400" s="641"/>
      <c r="B1400" s="640"/>
    </row>
    <row r="1401" spans="1:2" ht="15.75" customHeight="1" x14ac:dyDescent="0.3">
      <c r="A1401" s="641"/>
      <c r="B1401" s="640"/>
    </row>
    <row r="1402" spans="1:2" ht="15.75" customHeight="1" x14ac:dyDescent="0.3">
      <c r="A1402" s="641"/>
      <c r="B1402" s="640"/>
    </row>
    <row r="1403" spans="1:2" ht="15.75" customHeight="1" x14ac:dyDescent="0.3">
      <c r="A1403" s="641"/>
      <c r="B1403" s="640"/>
    </row>
    <row r="1404" spans="1:2" ht="15.75" customHeight="1" x14ac:dyDescent="0.3">
      <c r="A1404" s="641"/>
      <c r="B1404" s="640"/>
    </row>
    <row r="1405" spans="1:2" ht="15.75" customHeight="1" x14ac:dyDescent="0.3">
      <c r="A1405" s="641"/>
      <c r="B1405" s="640"/>
    </row>
    <row r="1406" spans="1:2" ht="15.75" customHeight="1" x14ac:dyDescent="0.3">
      <c r="A1406" s="641"/>
      <c r="B1406" s="640"/>
    </row>
    <row r="1407" spans="1:2" ht="15.75" customHeight="1" x14ac:dyDescent="0.3">
      <c r="A1407" s="641"/>
      <c r="B1407" s="640"/>
    </row>
    <row r="1408" spans="1:2" ht="15.75" customHeight="1" x14ac:dyDescent="0.3">
      <c r="A1408" s="641"/>
      <c r="B1408" s="640"/>
    </row>
    <row r="1409" spans="1:2" ht="15.75" customHeight="1" x14ac:dyDescent="0.3">
      <c r="A1409" s="641"/>
      <c r="B1409" s="640"/>
    </row>
    <row r="1410" spans="1:2" ht="15.75" customHeight="1" x14ac:dyDescent="0.3">
      <c r="A1410" s="641"/>
      <c r="B1410" s="640"/>
    </row>
    <row r="1411" spans="1:2" ht="15.75" customHeight="1" x14ac:dyDescent="0.3">
      <c r="A1411" s="641"/>
      <c r="B1411" s="640"/>
    </row>
    <row r="1412" spans="1:2" ht="15.75" customHeight="1" x14ac:dyDescent="0.3">
      <c r="A1412" s="641"/>
      <c r="B1412" s="640"/>
    </row>
    <row r="1413" spans="1:2" ht="15.75" customHeight="1" x14ac:dyDescent="0.3">
      <c r="A1413" s="641"/>
      <c r="B1413" s="640"/>
    </row>
    <row r="1414" spans="1:2" ht="15.75" customHeight="1" x14ac:dyDescent="0.3">
      <c r="A1414" s="641"/>
      <c r="B1414" s="640"/>
    </row>
    <row r="1415" spans="1:2" ht="15.75" customHeight="1" x14ac:dyDescent="0.3">
      <c r="A1415" s="641"/>
      <c r="B1415" s="640"/>
    </row>
    <row r="1416" spans="1:2" ht="15.75" customHeight="1" x14ac:dyDescent="0.3">
      <c r="A1416" s="641"/>
      <c r="B1416" s="640"/>
    </row>
    <row r="1417" spans="1:2" ht="15.75" customHeight="1" x14ac:dyDescent="0.3">
      <c r="A1417" s="641"/>
      <c r="B1417" s="640"/>
    </row>
    <row r="1418" spans="1:2" ht="15.75" customHeight="1" x14ac:dyDescent="0.3">
      <c r="A1418" s="641"/>
      <c r="B1418" s="640"/>
    </row>
    <row r="1419" spans="1:2" ht="15.75" customHeight="1" x14ac:dyDescent="0.3">
      <c r="A1419" s="641"/>
      <c r="B1419" s="640"/>
    </row>
    <row r="1420" spans="1:2" ht="15.75" customHeight="1" x14ac:dyDescent="0.3">
      <c r="A1420" s="641"/>
      <c r="B1420" s="640"/>
    </row>
    <row r="1421" spans="1:2" ht="15.75" customHeight="1" x14ac:dyDescent="0.3">
      <c r="A1421" s="641"/>
      <c r="B1421" s="640"/>
    </row>
    <row r="1422" spans="1:2" ht="15.75" customHeight="1" x14ac:dyDescent="0.3">
      <c r="A1422" s="641"/>
      <c r="B1422" s="640"/>
    </row>
    <row r="1423" spans="1:2" ht="15.75" customHeight="1" x14ac:dyDescent="0.3">
      <c r="A1423" s="641"/>
      <c r="B1423" s="640"/>
    </row>
    <row r="1424" spans="1:2" ht="15.75" customHeight="1" x14ac:dyDescent="0.3">
      <c r="A1424" s="641"/>
      <c r="B1424" s="640"/>
    </row>
    <row r="1425" spans="1:2" ht="15.75" customHeight="1" x14ac:dyDescent="0.3">
      <c r="A1425" s="641"/>
      <c r="B1425" s="640"/>
    </row>
    <row r="1426" spans="1:2" ht="15.75" customHeight="1" x14ac:dyDescent="0.3">
      <c r="A1426" s="641"/>
      <c r="B1426" s="640"/>
    </row>
    <row r="1427" spans="1:2" ht="15.75" customHeight="1" x14ac:dyDescent="0.3">
      <c r="A1427" s="641"/>
      <c r="B1427" s="640"/>
    </row>
    <row r="1428" spans="1:2" ht="15.75" customHeight="1" x14ac:dyDescent="0.3">
      <c r="A1428" s="641"/>
      <c r="B1428" s="640"/>
    </row>
    <row r="1429" spans="1:2" ht="15.75" customHeight="1" x14ac:dyDescent="0.3">
      <c r="A1429" s="641"/>
      <c r="B1429" s="640"/>
    </row>
    <row r="1430" spans="1:2" ht="15.75" customHeight="1" x14ac:dyDescent="0.3">
      <c r="A1430" s="641"/>
      <c r="B1430" s="640"/>
    </row>
    <row r="1431" spans="1:2" ht="15.75" customHeight="1" x14ac:dyDescent="0.3">
      <c r="A1431" s="641"/>
      <c r="B1431" s="640"/>
    </row>
    <row r="1432" spans="1:2" ht="15.75" customHeight="1" x14ac:dyDescent="0.3">
      <c r="A1432" s="641"/>
      <c r="B1432" s="640"/>
    </row>
    <row r="1433" spans="1:2" ht="15.75" customHeight="1" x14ac:dyDescent="0.3">
      <c r="A1433" s="641"/>
      <c r="B1433" s="640"/>
    </row>
    <row r="1434" spans="1:2" ht="15.75" customHeight="1" x14ac:dyDescent="0.3">
      <c r="A1434" s="641"/>
      <c r="B1434" s="640"/>
    </row>
    <row r="1435" spans="1:2" ht="15.75" customHeight="1" x14ac:dyDescent="0.3">
      <c r="A1435" s="641"/>
      <c r="B1435" s="640"/>
    </row>
    <row r="1436" spans="1:2" ht="15.75" customHeight="1" x14ac:dyDescent="0.3">
      <c r="A1436" s="641"/>
      <c r="B1436" s="640"/>
    </row>
    <row r="1437" spans="1:2" ht="15.75" customHeight="1" x14ac:dyDescent="0.3">
      <c r="A1437" s="641"/>
      <c r="B1437" s="640"/>
    </row>
    <row r="1438" spans="1:2" ht="15.75" customHeight="1" x14ac:dyDescent="0.3">
      <c r="A1438" s="641"/>
      <c r="B1438" s="640"/>
    </row>
    <row r="1439" spans="1:2" ht="15.75" customHeight="1" x14ac:dyDescent="0.3">
      <c r="A1439" s="641"/>
      <c r="B1439" s="640"/>
    </row>
    <row r="1440" spans="1:2" ht="15.75" customHeight="1" x14ac:dyDescent="0.3">
      <c r="A1440" s="641"/>
      <c r="B1440" s="640"/>
    </row>
    <row r="1441" spans="1:2" ht="15.75" customHeight="1" x14ac:dyDescent="0.3">
      <c r="A1441" s="641"/>
      <c r="B1441" s="640"/>
    </row>
    <row r="1442" spans="1:2" ht="15.75" customHeight="1" x14ac:dyDescent="0.3">
      <c r="A1442" s="641"/>
      <c r="B1442" s="640"/>
    </row>
    <row r="1443" spans="1:2" ht="15.75" customHeight="1" x14ac:dyDescent="0.3">
      <c r="A1443" s="641"/>
      <c r="B1443" s="640"/>
    </row>
    <row r="1444" spans="1:2" ht="15.75" customHeight="1" x14ac:dyDescent="0.3">
      <c r="A1444" s="641"/>
      <c r="B1444" s="640"/>
    </row>
  </sheetData>
  <mergeCells count="40">
    <mergeCell ref="A461:A463"/>
    <mergeCell ref="A269:A283"/>
    <mergeCell ref="A365:A379"/>
    <mergeCell ref="A301:A315"/>
    <mergeCell ref="A333:A347"/>
    <mergeCell ref="A285:A299"/>
    <mergeCell ref="A317:A331"/>
    <mergeCell ref="A349:A363"/>
    <mergeCell ref="A523:A537"/>
    <mergeCell ref="A491:A493"/>
    <mergeCell ref="A501:A503"/>
    <mergeCell ref="A213:A227"/>
    <mergeCell ref="A400:A413"/>
    <mergeCell ref="A418:A448"/>
    <mergeCell ref="A468:A473"/>
    <mergeCell ref="A262:A265"/>
    <mergeCell ref="A232:A238"/>
    <mergeCell ref="A243:A249"/>
    <mergeCell ref="A254:A257"/>
    <mergeCell ref="A476:A478"/>
    <mergeCell ref="A515:A517"/>
    <mergeCell ref="A456:A458"/>
    <mergeCell ref="A384:A397"/>
    <mergeCell ref="A495:A497"/>
    <mergeCell ref="A481:A483"/>
    <mergeCell ref="A486:A488"/>
    <mergeCell ref="A3:A4"/>
    <mergeCell ref="A505:A507"/>
    <mergeCell ref="A45:A59"/>
    <mergeCell ref="A9:A23"/>
    <mergeCell ref="A27:A41"/>
    <mergeCell ref="A137:A151"/>
    <mergeCell ref="A195:A209"/>
    <mergeCell ref="A189:A190"/>
    <mergeCell ref="A155:A169"/>
    <mergeCell ref="A65:A79"/>
    <mergeCell ref="A83:A97"/>
    <mergeCell ref="A101:A115"/>
    <mergeCell ref="A119:A133"/>
    <mergeCell ref="A173:A187"/>
  </mergeCells>
  <conditionalFormatting sqref="J461:AO463">
    <cfRule type="cellIs" dxfId="0" priority="1" operator="lessThan">
      <formula>0</formula>
    </cfRule>
  </conditionalFormatting>
  <pageMargins left="0.7" right="0.7" top="0.75" bottom="0.75" header="0" footer="0"/>
  <pageSetup orientation="landscape" r:id="rId1"/>
  <ignoredErrors>
    <ignoredError sqref="P365:P379 W365:W379 AD365:AD379 AK365:AK379" formula="1"/>
  </ignoredError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2CB"/>
  </sheetPr>
  <dimension ref="A1:AB1000"/>
  <sheetViews>
    <sheetView workbookViewId="0"/>
  </sheetViews>
  <sheetFormatPr defaultColWidth="12.58203125" defaultRowHeight="15" customHeight="1" x14ac:dyDescent="0.3"/>
  <cols>
    <col min="1" max="1" width="4.1640625" customWidth="1"/>
    <col min="2" max="9" width="11" customWidth="1"/>
    <col min="10" max="10" width="4.1640625" customWidth="1"/>
    <col min="11" max="18" width="11" customWidth="1"/>
    <col min="19" max="19" width="4.4140625" customWidth="1"/>
    <col min="20" max="27" width="11" customWidth="1"/>
    <col min="28" max="28" width="4.4140625" customWidth="1"/>
  </cols>
  <sheetData>
    <row r="1" spans="1:28" ht="13.5" customHeight="1" x14ac:dyDescent="0.3"/>
    <row r="2" spans="1:28" ht="13.5" customHeight="1" x14ac:dyDescent="0.5">
      <c r="B2" s="1219" t="s">
        <v>1018</v>
      </c>
      <c r="C2" s="977"/>
      <c r="D2" s="977"/>
      <c r="E2" s="977"/>
    </row>
    <row r="3" spans="1:28" ht="17.25" customHeight="1" x14ac:dyDescent="0.5">
      <c r="B3" s="353"/>
      <c r="C3" s="353"/>
      <c r="D3" s="353"/>
      <c r="E3" s="353"/>
    </row>
    <row r="4" spans="1:28" ht="16.5" customHeight="1" x14ac:dyDescent="0.3">
      <c r="A4" s="338"/>
      <c r="B4" s="338"/>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row>
    <row r="5" spans="1:28" ht="13.5" customHeight="1" x14ac:dyDescent="0.3">
      <c r="A5" s="338"/>
      <c r="B5" s="1218" t="s">
        <v>1019</v>
      </c>
      <c r="C5" s="982"/>
      <c r="D5" s="982"/>
      <c r="E5" s="982"/>
      <c r="F5" s="982"/>
      <c r="G5" s="982"/>
      <c r="H5" s="982"/>
      <c r="I5" s="982"/>
      <c r="J5" s="338"/>
      <c r="K5" s="1218" t="s">
        <v>1020</v>
      </c>
      <c r="L5" s="982"/>
      <c r="M5" s="982"/>
      <c r="N5" s="982"/>
      <c r="O5" s="982"/>
      <c r="P5" s="982"/>
      <c r="Q5" s="982"/>
      <c r="R5" s="982"/>
      <c r="S5" s="338"/>
      <c r="T5" s="1218" t="s">
        <v>1021</v>
      </c>
      <c r="U5" s="982"/>
      <c r="V5" s="982"/>
      <c r="W5" s="982"/>
      <c r="X5" s="982"/>
      <c r="Y5" s="982"/>
      <c r="Z5" s="982"/>
      <c r="AA5" s="982"/>
      <c r="AB5" s="338"/>
    </row>
    <row r="6" spans="1:28" ht="13.5" customHeight="1" x14ac:dyDescent="0.3">
      <c r="A6" s="338"/>
      <c r="J6" s="338"/>
      <c r="S6" s="338"/>
      <c r="AB6" s="338"/>
    </row>
    <row r="7" spans="1:28" ht="13.5" customHeight="1" x14ac:dyDescent="0.3">
      <c r="A7" s="338"/>
      <c r="J7" s="338"/>
      <c r="S7" s="338"/>
      <c r="AB7" s="338"/>
    </row>
    <row r="8" spans="1:28" ht="13.5" customHeight="1" x14ac:dyDescent="0.3">
      <c r="A8" s="338"/>
      <c r="J8" s="338"/>
      <c r="S8" s="338"/>
      <c r="AB8" s="338"/>
    </row>
    <row r="9" spans="1:28" ht="13.5" customHeight="1" x14ac:dyDescent="0.3">
      <c r="A9" s="338"/>
      <c r="J9" s="338"/>
      <c r="S9" s="338"/>
      <c r="AB9" s="338"/>
    </row>
    <row r="10" spans="1:28" ht="13.5" customHeight="1" x14ac:dyDescent="0.3">
      <c r="A10" s="338"/>
      <c r="J10" s="338"/>
      <c r="S10" s="338"/>
      <c r="AB10" s="338"/>
    </row>
    <row r="11" spans="1:28" ht="13.5" customHeight="1" x14ac:dyDescent="0.3">
      <c r="A11" s="338"/>
      <c r="J11" s="338"/>
      <c r="S11" s="338"/>
      <c r="AB11" s="338"/>
    </row>
    <row r="12" spans="1:28" ht="13.5" customHeight="1" x14ac:dyDescent="0.3">
      <c r="A12" s="338"/>
      <c r="J12" s="338"/>
      <c r="S12" s="338"/>
      <c r="AB12" s="338"/>
    </row>
    <row r="13" spans="1:28" ht="13.5" customHeight="1" x14ac:dyDescent="0.3">
      <c r="A13" s="338"/>
      <c r="J13" s="338"/>
      <c r="S13" s="338"/>
      <c r="AB13" s="338"/>
    </row>
    <row r="14" spans="1:28" ht="13.5" customHeight="1" x14ac:dyDescent="0.3">
      <c r="A14" s="338"/>
      <c r="J14" s="338"/>
      <c r="S14" s="338"/>
      <c r="AB14" s="338"/>
    </row>
    <row r="15" spans="1:28" ht="13.5" customHeight="1" x14ac:dyDescent="0.3">
      <c r="A15" s="338"/>
      <c r="J15" s="338"/>
      <c r="S15" s="338"/>
      <c r="AB15" s="338"/>
    </row>
    <row r="16" spans="1:28" ht="13.5" customHeight="1" x14ac:dyDescent="0.3">
      <c r="A16" s="338"/>
      <c r="J16" s="338"/>
      <c r="S16" s="338"/>
      <c r="AB16" s="338"/>
    </row>
    <row r="17" spans="1:28" ht="13.5" customHeight="1" x14ac:dyDescent="0.3">
      <c r="A17" s="338"/>
      <c r="J17" s="338"/>
      <c r="S17" s="338"/>
      <c r="AB17" s="338"/>
    </row>
    <row r="18" spans="1:28" ht="13.5" customHeight="1" x14ac:dyDescent="0.3">
      <c r="A18" s="338"/>
      <c r="J18" s="338"/>
      <c r="S18" s="338"/>
      <c r="AB18" s="338"/>
    </row>
    <row r="19" spans="1:28" ht="13.5" customHeight="1" x14ac:dyDescent="0.3">
      <c r="A19" s="338"/>
      <c r="J19" s="338"/>
      <c r="S19" s="338"/>
      <c r="AB19" s="338"/>
    </row>
    <row r="20" spans="1:28" ht="13.5" customHeight="1" x14ac:dyDescent="0.3">
      <c r="A20" s="338"/>
      <c r="J20" s="338"/>
      <c r="S20" s="338"/>
      <c r="AB20" s="338"/>
    </row>
    <row r="21" spans="1:28" ht="13.5" customHeight="1" x14ac:dyDescent="0.3">
      <c r="A21" s="338"/>
      <c r="J21" s="338"/>
      <c r="S21" s="338"/>
      <c r="AB21" s="338"/>
    </row>
    <row r="22" spans="1:28" ht="13.5" customHeight="1" x14ac:dyDescent="0.3">
      <c r="A22" s="338"/>
      <c r="J22" s="338"/>
      <c r="S22" s="338"/>
      <c r="AB22" s="338"/>
    </row>
    <row r="23" spans="1:28" ht="13.5" customHeight="1" x14ac:dyDescent="0.3">
      <c r="A23" s="338"/>
      <c r="J23" s="338"/>
      <c r="S23" s="338"/>
      <c r="AB23" s="338"/>
    </row>
    <row r="24" spans="1:28" ht="13.5" customHeight="1" x14ac:dyDescent="0.3">
      <c r="A24" s="338"/>
      <c r="J24" s="338"/>
      <c r="S24" s="338"/>
      <c r="AB24" s="338"/>
    </row>
    <row r="25" spans="1:28" ht="13.5" customHeight="1" x14ac:dyDescent="0.3">
      <c r="A25" s="338"/>
      <c r="J25" s="338"/>
      <c r="S25" s="338"/>
      <c r="AB25" s="338"/>
    </row>
    <row r="26" spans="1:28" ht="13.5" customHeight="1" x14ac:dyDescent="0.3">
      <c r="A26" s="338"/>
      <c r="J26" s="338"/>
      <c r="S26" s="338"/>
      <c r="AB26" s="338"/>
    </row>
    <row r="27" spans="1:28" ht="13.5" customHeight="1" x14ac:dyDescent="0.3">
      <c r="A27" s="338"/>
      <c r="J27" s="338"/>
      <c r="S27" s="338"/>
      <c r="AB27" s="338"/>
    </row>
    <row r="28" spans="1:28" ht="16.5" customHeight="1" x14ac:dyDescent="0.3">
      <c r="A28" s="338"/>
      <c r="B28" s="338"/>
      <c r="C28" s="338"/>
      <c r="D28" s="338"/>
      <c r="E28" s="338"/>
      <c r="F28" s="338"/>
      <c r="G28" s="338"/>
      <c r="H28" s="338"/>
      <c r="I28" s="338"/>
      <c r="J28" s="338"/>
      <c r="K28" s="338"/>
      <c r="L28" s="338"/>
      <c r="M28" s="338"/>
      <c r="N28" s="338"/>
      <c r="O28" s="338"/>
      <c r="P28" s="338"/>
      <c r="Q28" s="338"/>
      <c r="R28" s="338"/>
      <c r="S28" s="338"/>
      <c r="T28" s="338"/>
      <c r="U28" s="338"/>
      <c r="V28" s="338"/>
      <c r="W28" s="338"/>
      <c r="X28" s="338"/>
      <c r="Y28" s="338"/>
      <c r="Z28" s="338"/>
      <c r="AA28" s="338"/>
      <c r="AB28" s="338"/>
    </row>
    <row r="29" spans="1:28" ht="13.5" customHeight="1" x14ac:dyDescent="0.3">
      <c r="A29" s="338"/>
      <c r="B29" s="1218" t="s">
        <v>1022</v>
      </c>
      <c r="C29" s="982"/>
      <c r="D29" s="982"/>
      <c r="E29" s="982"/>
      <c r="F29" s="982"/>
      <c r="G29" s="982"/>
      <c r="H29" s="982"/>
      <c r="I29" s="982"/>
      <c r="J29" s="338"/>
      <c r="K29" s="1218" t="s">
        <v>1023</v>
      </c>
      <c r="L29" s="982"/>
      <c r="M29" s="982"/>
      <c r="N29" s="982"/>
      <c r="O29" s="982"/>
      <c r="P29" s="982"/>
      <c r="Q29" s="982"/>
      <c r="R29" s="982"/>
      <c r="S29" s="338"/>
      <c r="T29" s="1218" t="s">
        <v>1024</v>
      </c>
      <c r="U29" s="982"/>
      <c r="V29" s="982"/>
      <c r="W29" s="982"/>
      <c r="X29" s="982"/>
      <c r="Y29" s="982"/>
      <c r="Z29" s="982"/>
      <c r="AA29" s="982"/>
      <c r="AB29" s="338"/>
    </row>
    <row r="30" spans="1:28" ht="13.5" customHeight="1" x14ac:dyDescent="0.3">
      <c r="A30" s="338"/>
      <c r="B30" s="120"/>
      <c r="J30" s="338"/>
      <c r="S30" s="338"/>
      <c r="AB30" s="338"/>
    </row>
    <row r="31" spans="1:28" ht="13.5" customHeight="1" x14ac:dyDescent="0.3">
      <c r="A31" s="338"/>
      <c r="J31" s="338"/>
      <c r="S31" s="338"/>
      <c r="AB31" s="338"/>
    </row>
    <row r="32" spans="1:28" ht="13.5" customHeight="1" x14ac:dyDescent="0.3">
      <c r="A32" s="338"/>
      <c r="J32" s="338"/>
      <c r="S32" s="338"/>
      <c r="AB32" s="338"/>
    </row>
    <row r="33" spans="1:28" ht="13.5" customHeight="1" x14ac:dyDescent="0.3">
      <c r="A33" s="338"/>
      <c r="J33" s="338"/>
      <c r="S33" s="338"/>
      <c r="AB33" s="338"/>
    </row>
    <row r="34" spans="1:28" ht="13.5" customHeight="1" x14ac:dyDescent="0.3">
      <c r="A34" s="338"/>
      <c r="J34" s="338"/>
      <c r="S34" s="338"/>
      <c r="AB34" s="338"/>
    </row>
    <row r="35" spans="1:28" ht="13.5" customHeight="1" x14ac:dyDescent="0.3">
      <c r="A35" s="338"/>
      <c r="J35" s="338"/>
      <c r="S35" s="338"/>
      <c r="AB35" s="338"/>
    </row>
    <row r="36" spans="1:28" ht="13.5" customHeight="1" x14ac:dyDescent="0.3">
      <c r="A36" s="338"/>
      <c r="J36" s="338"/>
      <c r="S36" s="338"/>
      <c r="AB36" s="338"/>
    </row>
    <row r="37" spans="1:28" ht="13.5" customHeight="1" x14ac:dyDescent="0.3">
      <c r="A37" s="338"/>
      <c r="J37" s="338"/>
      <c r="S37" s="338"/>
      <c r="AB37" s="338"/>
    </row>
    <row r="38" spans="1:28" ht="13.5" customHeight="1" x14ac:dyDescent="0.3">
      <c r="A38" s="338"/>
      <c r="J38" s="338"/>
      <c r="S38" s="338"/>
      <c r="AB38" s="338"/>
    </row>
    <row r="39" spans="1:28" ht="13.5" customHeight="1" x14ac:dyDescent="0.3">
      <c r="A39" s="338"/>
      <c r="J39" s="338"/>
      <c r="S39" s="338"/>
      <c r="AB39" s="338"/>
    </row>
    <row r="40" spans="1:28" ht="13.5" customHeight="1" x14ac:dyDescent="0.3">
      <c r="A40" s="338"/>
      <c r="J40" s="338"/>
      <c r="S40" s="338"/>
      <c r="AB40" s="338"/>
    </row>
    <row r="41" spans="1:28" ht="13.5" customHeight="1" x14ac:dyDescent="0.3">
      <c r="A41" s="338"/>
      <c r="J41" s="338"/>
      <c r="S41" s="338"/>
      <c r="AB41" s="338"/>
    </row>
    <row r="42" spans="1:28" ht="13.5" customHeight="1" x14ac:dyDescent="0.3">
      <c r="A42" s="338"/>
      <c r="J42" s="338"/>
      <c r="S42" s="338"/>
      <c r="AB42" s="338"/>
    </row>
    <row r="43" spans="1:28" ht="13.5" customHeight="1" x14ac:dyDescent="0.3">
      <c r="A43" s="338"/>
      <c r="J43" s="338"/>
      <c r="S43" s="338"/>
      <c r="AB43" s="338"/>
    </row>
    <row r="44" spans="1:28" ht="13.5" customHeight="1" x14ac:dyDescent="0.3">
      <c r="A44" s="338"/>
      <c r="J44" s="338"/>
      <c r="S44" s="338"/>
      <c r="AB44" s="338"/>
    </row>
    <row r="45" spans="1:28" ht="13.5" customHeight="1" x14ac:dyDescent="0.3">
      <c r="A45" s="338"/>
      <c r="J45" s="338"/>
      <c r="S45" s="338"/>
      <c r="AB45" s="338"/>
    </row>
    <row r="46" spans="1:28" ht="13.5" customHeight="1" x14ac:dyDescent="0.3">
      <c r="A46" s="338"/>
      <c r="J46" s="338"/>
      <c r="S46" s="338"/>
      <c r="AB46" s="338"/>
    </row>
    <row r="47" spans="1:28" ht="13.5" customHeight="1" x14ac:dyDescent="0.3">
      <c r="A47" s="338"/>
      <c r="J47" s="338"/>
      <c r="S47" s="338"/>
      <c r="AB47" s="338"/>
    </row>
    <row r="48" spans="1:28" ht="13.5" customHeight="1" x14ac:dyDescent="0.3">
      <c r="A48" s="338"/>
      <c r="J48" s="338"/>
      <c r="S48" s="338"/>
      <c r="AB48" s="338"/>
    </row>
    <row r="49" spans="1:28" ht="13.5" customHeight="1" x14ac:dyDescent="0.3">
      <c r="A49" s="338"/>
      <c r="J49" s="338"/>
      <c r="S49" s="338"/>
      <c r="AB49" s="338"/>
    </row>
    <row r="50" spans="1:28" ht="13.5" customHeight="1" x14ac:dyDescent="0.3">
      <c r="A50" s="338"/>
      <c r="J50" s="338"/>
      <c r="S50" s="338"/>
      <c r="AB50" s="338"/>
    </row>
    <row r="51" spans="1:28" ht="13.5" customHeight="1" x14ac:dyDescent="0.3">
      <c r="A51" s="338"/>
      <c r="J51" s="338"/>
      <c r="S51" s="338"/>
      <c r="AB51" s="338"/>
    </row>
    <row r="52" spans="1:28" ht="16.5" customHeight="1" x14ac:dyDescent="0.3">
      <c r="A52" s="338"/>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c r="AA52" s="338"/>
      <c r="AB52" s="338"/>
    </row>
    <row r="53" spans="1:28" ht="13.5" customHeight="1" x14ac:dyDescent="0.3">
      <c r="A53" s="338"/>
      <c r="B53" s="1218" t="s">
        <v>1025</v>
      </c>
      <c r="C53" s="982"/>
      <c r="D53" s="982"/>
      <c r="E53" s="982"/>
      <c r="F53" s="982"/>
      <c r="G53" s="982"/>
      <c r="H53" s="982"/>
      <c r="I53" s="982"/>
      <c r="J53" s="338"/>
      <c r="K53" s="1218" t="s">
        <v>1026</v>
      </c>
      <c r="L53" s="982"/>
      <c r="M53" s="982"/>
      <c r="N53" s="982"/>
      <c r="O53" s="982"/>
      <c r="P53" s="982"/>
      <c r="Q53" s="982"/>
      <c r="R53" s="982"/>
      <c r="S53" s="338"/>
      <c r="T53" s="1218" t="s">
        <v>1027</v>
      </c>
      <c r="U53" s="982"/>
      <c r="V53" s="982"/>
      <c r="W53" s="982"/>
      <c r="X53" s="982"/>
      <c r="Y53" s="982"/>
      <c r="Z53" s="982"/>
      <c r="AA53" s="982"/>
      <c r="AB53" s="338"/>
    </row>
    <row r="54" spans="1:28" ht="13.5" customHeight="1" x14ac:dyDescent="0.3">
      <c r="A54" s="338"/>
      <c r="J54" s="338"/>
      <c r="S54" s="338"/>
      <c r="AB54" s="338"/>
    </row>
    <row r="55" spans="1:28" ht="13.5" customHeight="1" x14ac:dyDescent="0.3">
      <c r="A55" s="338"/>
      <c r="J55" s="338"/>
      <c r="S55" s="338"/>
      <c r="AB55" s="338"/>
    </row>
    <row r="56" spans="1:28" ht="13.5" customHeight="1" x14ac:dyDescent="0.3">
      <c r="A56" s="338"/>
      <c r="J56" s="338"/>
      <c r="S56" s="338"/>
      <c r="AB56" s="338"/>
    </row>
    <row r="57" spans="1:28" ht="13.5" customHeight="1" x14ac:dyDescent="0.3">
      <c r="A57" s="338"/>
      <c r="J57" s="338"/>
      <c r="S57" s="338"/>
      <c r="AB57" s="338"/>
    </row>
    <row r="58" spans="1:28" ht="13.5" customHeight="1" x14ac:dyDescent="0.3">
      <c r="A58" s="338"/>
      <c r="J58" s="338"/>
      <c r="S58" s="338"/>
      <c r="AB58" s="338"/>
    </row>
    <row r="59" spans="1:28" ht="13.5" customHeight="1" x14ac:dyDescent="0.3">
      <c r="A59" s="338"/>
      <c r="J59" s="338"/>
      <c r="S59" s="338"/>
      <c r="AB59" s="338"/>
    </row>
    <row r="60" spans="1:28" ht="13.5" customHeight="1" x14ac:dyDescent="0.3">
      <c r="A60" s="338"/>
      <c r="J60" s="338"/>
      <c r="S60" s="338"/>
      <c r="AB60" s="338"/>
    </row>
    <row r="61" spans="1:28" ht="13.5" customHeight="1" x14ac:dyDescent="0.3">
      <c r="A61" s="338"/>
      <c r="J61" s="338"/>
      <c r="S61" s="338"/>
      <c r="AB61" s="338"/>
    </row>
    <row r="62" spans="1:28" ht="13.5" customHeight="1" x14ac:dyDescent="0.3">
      <c r="A62" s="338"/>
      <c r="J62" s="338"/>
      <c r="S62" s="338"/>
      <c r="AB62" s="338"/>
    </row>
    <row r="63" spans="1:28" ht="13.5" customHeight="1" x14ac:dyDescent="0.3">
      <c r="A63" s="338"/>
      <c r="J63" s="338"/>
      <c r="S63" s="338"/>
      <c r="AB63" s="338"/>
    </row>
    <row r="64" spans="1:28" ht="13.5" customHeight="1" x14ac:dyDescent="0.3">
      <c r="A64" s="338"/>
      <c r="J64" s="338"/>
      <c r="S64" s="338"/>
      <c r="AB64" s="338"/>
    </row>
    <row r="65" spans="1:28" ht="13.5" customHeight="1" x14ac:dyDescent="0.3">
      <c r="A65" s="338"/>
      <c r="J65" s="338"/>
      <c r="S65" s="338"/>
      <c r="AB65" s="338"/>
    </row>
    <row r="66" spans="1:28" ht="13.5" customHeight="1" x14ac:dyDescent="0.3">
      <c r="A66" s="338"/>
      <c r="J66" s="338"/>
      <c r="S66" s="338"/>
      <c r="AB66" s="338"/>
    </row>
    <row r="67" spans="1:28" ht="13.5" customHeight="1" x14ac:dyDescent="0.3">
      <c r="A67" s="338"/>
      <c r="J67" s="338"/>
      <c r="S67" s="338"/>
      <c r="AB67" s="338"/>
    </row>
    <row r="68" spans="1:28" ht="13.5" customHeight="1" x14ac:dyDescent="0.3">
      <c r="A68" s="338"/>
      <c r="J68" s="338"/>
      <c r="S68" s="338"/>
      <c r="AB68" s="338"/>
    </row>
    <row r="69" spans="1:28" ht="13.5" customHeight="1" x14ac:dyDescent="0.3">
      <c r="A69" s="338"/>
      <c r="J69" s="338"/>
      <c r="S69" s="338"/>
      <c r="AB69" s="338"/>
    </row>
    <row r="70" spans="1:28" ht="13.5" customHeight="1" x14ac:dyDescent="0.3">
      <c r="A70" s="338"/>
      <c r="J70" s="338"/>
      <c r="S70" s="338"/>
      <c r="AB70" s="338"/>
    </row>
    <row r="71" spans="1:28" ht="13.5" customHeight="1" x14ac:dyDescent="0.3">
      <c r="A71" s="338"/>
      <c r="J71" s="338"/>
      <c r="S71" s="338"/>
      <c r="AB71" s="338"/>
    </row>
    <row r="72" spans="1:28" ht="13.5" customHeight="1" x14ac:dyDescent="0.3">
      <c r="A72" s="338"/>
      <c r="J72" s="338"/>
      <c r="S72" s="338"/>
      <c r="AB72" s="338"/>
    </row>
    <row r="73" spans="1:28" ht="13.5" customHeight="1" x14ac:dyDescent="0.3">
      <c r="A73" s="338"/>
      <c r="J73" s="338"/>
      <c r="S73" s="338"/>
      <c r="AB73" s="338"/>
    </row>
    <row r="74" spans="1:28" ht="13.5" customHeight="1" x14ac:dyDescent="0.3">
      <c r="A74" s="338"/>
      <c r="J74" s="338"/>
      <c r="S74" s="338"/>
      <c r="AB74" s="338"/>
    </row>
    <row r="75" spans="1:28" ht="13.5" customHeight="1" x14ac:dyDescent="0.3">
      <c r="A75" s="338"/>
      <c r="J75" s="338"/>
      <c r="S75" s="338"/>
      <c r="AB75" s="338"/>
    </row>
    <row r="76" spans="1:28" ht="13.5" customHeight="1" x14ac:dyDescent="0.3">
      <c r="A76" s="338"/>
      <c r="J76" s="338"/>
      <c r="S76" s="338"/>
      <c r="AB76" s="338"/>
    </row>
    <row r="77" spans="1:28" ht="16.5" customHeight="1" x14ac:dyDescent="0.3">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c r="AA77" s="338"/>
      <c r="AB77" s="338"/>
    </row>
    <row r="78" spans="1:28" ht="13.5" customHeight="1" x14ac:dyDescent="0.3">
      <c r="A78" s="338"/>
      <c r="B78" s="1218" t="s">
        <v>1028</v>
      </c>
      <c r="C78" s="982"/>
      <c r="D78" s="982"/>
      <c r="E78" s="982"/>
      <c r="F78" s="982"/>
      <c r="G78" s="982"/>
      <c r="H78" s="982"/>
      <c r="I78" s="982"/>
      <c r="J78" s="338"/>
      <c r="K78" s="1218" t="s">
        <v>1029</v>
      </c>
      <c r="L78" s="982"/>
      <c r="M78" s="982"/>
      <c r="N78" s="982"/>
      <c r="O78" s="982"/>
      <c r="P78" s="982"/>
      <c r="Q78" s="982"/>
      <c r="R78" s="982"/>
      <c r="S78" s="338"/>
      <c r="T78" s="1218" t="s">
        <v>1030</v>
      </c>
      <c r="U78" s="982"/>
      <c r="V78" s="982"/>
      <c r="W78" s="982"/>
      <c r="X78" s="982"/>
      <c r="Y78" s="982"/>
      <c r="Z78" s="982"/>
      <c r="AA78" s="982"/>
      <c r="AB78" s="338"/>
    </row>
    <row r="79" spans="1:28" ht="13.5" customHeight="1" x14ac:dyDescent="0.3">
      <c r="A79" s="338"/>
      <c r="J79" s="338"/>
      <c r="S79" s="338"/>
      <c r="AB79" s="338"/>
    </row>
    <row r="80" spans="1:28" ht="13.5" customHeight="1" x14ac:dyDescent="0.3">
      <c r="A80" s="338"/>
      <c r="J80" s="338"/>
      <c r="S80" s="338"/>
      <c r="AB80" s="338"/>
    </row>
    <row r="81" spans="1:28" ht="13.5" customHeight="1" x14ac:dyDescent="0.3">
      <c r="A81" s="338"/>
      <c r="J81" s="338"/>
      <c r="S81" s="338"/>
      <c r="AB81" s="338"/>
    </row>
    <row r="82" spans="1:28" ht="13.5" customHeight="1" x14ac:dyDescent="0.3">
      <c r="A82" s="338"/>
      <c r="J82" s="338"/>
      <c r="S82" s="338"/>
      <c r="AB82" s="338"/>
    </row>
    <row r="83" spans="1:28" ht="13.5" customHeight="1" x14ac:dyDescent="0.3">
      <c r="A83" s="338"/>
      <c r="J83" s="338"/>
      <c r="S83" s="338"/>
      <c r="AB83" s="338"/>
    </row>
    <row r="84" spans="1:28" ht="13.5" customHeight="1" x14ac:dyDescent="0.3">
      <c r="A84" s="338"/>
      <c r="J84" s="338"/>
      <c r="S84" s="338"/>
      <c r="AB84" s="338"/>
    </row>
    <row r="85" spans="1:28" ht="13.5" customHeight="1" x14ac:dyDescent="0.3">
      <c r="A85" s="338"/>
      <c r="J85" s="338"/>
      <c r="S85" s="338"/>
      <c r="AB85" s="338"/>
    </row>
    <row r="86" spans="1:28" ht="13.5" customHeight="1" x14ac:dyDescent="0.3">
      <c r="A86" s="338"/>
      <c r="J86" s="338"/>
      <c r="S86" s="338"/>
      <c r="AB86" s="338"/>
    </row>
    <row r="87" spans="1:28" ht="13.5" customHeight="1" x14ac:dyDescent="0.3">
      <c r="A87" s="338"/>
      <c r="J87" s="338"/>
      <c r="S87" s="338"/>
      <c r="AB87" s="338"/>
    </row>
    <row r="88" spans="1:28" ht="13.5" customHeight="1" x14ac:dyDescent="0.3">
      <c r="A88" s="338"/>
      <c r="J88" s="338"/>
      <c r="S88" s="338"/>
      <c r="AB88" s="338"/>
    </row>
    <row r="89" spans="1:28" ht="13.5" customHeight="1" x14ac:dyDescent="0.3">
      <c r="A89" s="338"/>
      <c r="J89" s="338"/>
      <c r="S89" s="338"/>
      <c r="AB89" s="338"/>
    </row>
    <row r="90" spans="1:28" ht="13.5" customHeight="1" x14ac:dyDescent="0.3">
      <c r="A90" s="338"/>
      <c r="J90" s="338"/>
      <c r="S90" s="338"/>
      <c r="AB90" s="338"/>
    </row>
    <row r="91" spans="1:28" ht="13.5" customHeight="1" x14ac:dyDescent="0.3">
      <c r="A91" s="338"/>
      <c r="J91" s="338"/>
      <c r="S91" s="338"/>
      <c r="AB91" s="338"/>
    </row>
    <row r="92" spans="1:28" ht="13.5" customHeight="1" x14ac:dyDescent="0.3">
      <c r="A92" s="338"/>
      <c r="J92" s="338"/>
      <c r="S92" s="338"/>
      <c r="AB92" s="338"/>
    </row>
    <row r="93" spans="1:28" ht="13.5" customHeight="1" x14ac:dyDescent="0.3">
      <c r="A93" s="338"/>
      <c r="J93" s="338"/>
      <c r="S93" s="338"/>
      <c r="AB93" s="338"/>
    </row>
    <row r="94" spans="1:28" ht="13.5" customHeight="1" x14ac:dyDescent="0.3">
      <c r="A94" s="338"/>
      <c r="J94" s="338"/>
      <c r="S94" s="338"/>
      <c r="AB94" s="338"/>
    </row>
    <row r="95" spans="1:28" ht="13.5" customHeight="1" x14ac:dyDescent="0.3">
      <c r="A95" s="338"/>
      <c r="J95" s="338"/>
      <c r="S95" s="338"/>
      <c r="AB95" s="338"/>
    </row>
    <row r="96" spans="1:28" ht="13.5" customHeight="1" x14ac:dyDescent="0.3">
      <c r="A96" s="338"/>
      <c r="J96" s="338"/>
      <c r="S96" s="338"/>
      <c r="AB96" s="338"/>
    </row>
    <row r="97" spans="1:28" ht="13.5" customHeight="1" x14ac:dyDescent="0.3">
      <c r="A97" s="338"/>
      <c r="J97" s="338"/>
      <c r="S97" s="338"/>
      <c r="AB97" s="338"/>
    </row>
    <row r="98" spans="1:28" ht="13.5" customHeight="1" x14ac:dyDescent="0.3">
      <c r="A98" s="338"/>
      <c r="J98" s="338"/>
      <c r="S98" s="338"/>
      <c r="AB98" s="338"/>
    </row>
    <row r="99" spans="1:28" ht="13.5" customHeight="1" x14ac:dyDescent="0.3">
      <c r="A99" s="338"/>
      <c r="J99" s="338"/>
      <c r="S99" s="338"/>
      <c r="AB99" s="338"/>
    </row>
    <row r="100" spans="1:28" ht="13.5" customHeight="1" x14ac:dyDescent="0.3">
      <c r="A100" s="338"/>
      <c r="J100" s="338"/>
      <c r="S100" s="338"/>
      <c r="AB100" s="338"/>
    </row>
    <row r="101" spans="1:28" ht="13.5" customHeight="1" x14ac:dyDescent="0.3">
      <c r="A101" s="338"/>
      <c r="J101" s="338"/>
      <c r="S101" s="338"/>
      <c r="AB101" s="338"/>
    </row>
    <row r="102" spans="1:28" ht="16.5" customHeight="1" x14ac:dyDescent="0.3">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c r="AA102" s="338"/>
      <c r="AB102" s="338"/>
    </row>
    <row r="103" spans="1:28" ht="13.5" customHeight="1" x14ac:dyDescent="0.3"/>
    <row r="104" spans="1:28" ht="13.5" customHeight="1" x14ac:dyDescent="0.3"/>
    <row r="105" spans="1:28" ht="13.5" customHeight="1" x14ac:dyDescent="0.3"/>
    <row r="106" spans="1:28" ht="13.5" customHeight="1" x14ac:dyDescent="0.3"/>
    <row r="107" spans="1:28" ht="13.5" customHeight="1" x14ac:dyDescent="0.3"/>
    <row r="108" spans="1:28" ht="13.5" customHeight="1" x14ac:dyDescent="0.3"/>
    <row r="109" spans="1:28" ht="13.5" customHeight="1" x14ac:dyDescent="0.3"/>
    <row r="110" spans="1:28" ht="13.5" customHeight="1" x14ac:dyDescent="0.3"/>
    <row r="111" spans="1:28" ht="13.5" customHeight="1" x14ac:dyDescent="0.3"/>
    <row r="112" spans="1:28"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3">
    <mergeCell ref="B2:E2"/>
    <mergeCell ref="B5:I5"/>
    <mergeCell ref="K5:R5"/>
    <mergeCell ref="T5:AA5"/>
    <mergeCell ref="B29:I29"/>
    <mergeCell ref="K29:R29"/>
    <mergeCell ref="T29:AA29"/>
    <mergeCell ref="B53:I53"/>
    <mergeCell ref="K53:R53"/>
    <mergeCell ref="T53:AA53"/>
    <mergeCell ref="B78:I78"/>
    <mergeCell ref="K78:R78"/>
    <mergeCell ref="T78:AA78"/>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EFD9"/>
  </sheetPr>
  <dimension ref="A1:AB1000"/>
  <sheetViews>
    <sheetView workbookViewId="0"/>
  </sheetViews>
  <sheetFormatPr defaultColWidth="12.58203125" defaultRowHeight="15" customHeight="1" x14ac:dyDescent="0.3"/>
  <cols>
    <col min="1" max="1" width="4.1640625" customWidth="1"/>
    <col min="2" max="9" width="11" customWidth="1"/>
    <col min="10" max="10" width="4.1640625" customWidth="1"/>
    <col min="11" max="18" width="11" customWidth="1"/>
    <col min="19" max="19" width="4.4140625" customWidth="1"/>
    <col min="20" max="27" width="11" customWidth="1"/>
    <col min="28" max="28" width="4.4140625" customWidth="1"/>
  </cols>
  <sheetData>
    <row r="1" spans="1:28" ht="13.5" customHeight="1" x14ac:dyDescent="0.3"/>
    <row r="2" spans="1:28" ht="13.5" customHeight="1" x14ac:dyDescent="0.4">
      <c r="B2" s="1220" t="s">
        <v>1018</v>
      </c>
      <c r="C2" s="977"/>
      <c r="D2" s="977"/>
      <c r="E2" s="977"/>
    </row>
    <row r="3" spans="1:28" ht="13.5" customHeight="1" x14ac:dyDescent="0.5">
      <c r="B3" s="353"/>
      <c r="C3" s="353"/>
      <c r="D3" s="353"/>
      <c r="E3" s="353"/>
    </row>
    <row r="4" spans="1:28" ht="13.5" customHeight="1" x14ac:dyDescent="0.3">
      <c r="A4" s="354"/>
      <c r="B4" s="354"/>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row>
    <row r="5" spans="1:28" ht="13.5" customHeight="1" x14ac:dyDescent="0.3">
      <c r="A5" s="354"/>
      <c r="B5" s="1218" t="s">
        <v>1031</v>
      </c>
      <c r="C5" s="982"/>
      <c r="D5" s="982"/>
      <c r="E5" s="982"/>
      <c r="F5" s="982"/>
      <c r="G5" s="982"/>
      <c r="H5" s="982"/>
      <c r="I5" s="982"/>
      <c r="J5" s="354"/>
      <c r="K5" s="1218" t="s">
        <v>1032</v>
      </c>
      <c r="L5" s="982"/>
      <c r="M5" s="982"/>
      <c r="N5" s="982"/>
      <c r="O5" s="982"/>
      <c r="P5" s="982"/>
      <c r="Q5" s="982"/>
      <c r="R5" s="982"/>
      <c r="S5" s="354"/>
      <c r="T5" s="1218" t="s">
        <v>1033</v>
      </c>
      <c r="U5" s="982"/>
      <c r="V5" s="982"/>
      <c r="W5" s="982"/>
      <c r="X5" s="982"/>
      <c r="Y5" s="982"/>
      <c r="Z5" s="982"/>
      <c r="AA5" s="982"/>
      <c r="AB5" s="354"/>
    </row>
    <row r="6" spans="1:28" ht="13.5" customHeight="1" x14ac:dyDescent="0.3">
      <c r="A6" s="354"/>
      <c r="J6" s="354"/>
      <c r="S6" s="354"/>
      <c r="AB6" s="354"/>
    </row>
    <row r="7" spans="1:28" ht="13.5" customHeight="1" x14ac:dyDescent="0.3">
      <c r="A7" s="354"/>
      <c r="J7" s="354"/>
      <c r="S7" s="354"/>
      <c r="AB7" s="354"/>
    </row>
    <row r="8" spans="1:28" ht="13.5" customHeight="1" x14ac:dyDescent="0.3">
      <c r="A8" s="354"/>
      <c r="J8" s="354"/>
      <c r="S8" s="354"/>
      <c r="AB8" s="354"/>
    </row>
    <row r="9" spans="1:28" ht="13.5" customHeight="1" x14ac:dyDescent="0.3">
      <c r="A9" s="354"/>
      <c r="J9" s="354"/>
      <c r="S9" s="354"/>
      <c r="AB9" s="354"/>
    </row>
    <row r="10" spans="1:28" ht="13.5" customHeight="1" x14ac:dyDescent="0.3">
      <c r="A10" s="354"/>
      <c r="J10" s="354"/>
      <c r="S10" s="354"/>
      <c r="AB10" s="354"/>
    </row>
    <row r="11" spans="1:28" ht="13.5" customHeight="1" x14ac:dyDescent="0.3">
      <c r="A11" s="354"/>
      <c r="J11" s="354"/>
      <c r="S11" s="354"/>
      <c r="AB11" s="354"/>
    </row>
    <row r="12" spans="1:28" ht="13.5" customHeight="1" x14ac:dyDescent="0.3">
      <c r="A12" s="354"/>
      <c r="J12" s="354"/>
      <c r="S12" s="354"/>
      <c r="AB12" s="354"/>
    </row>
    <row r="13" spans="1:28" ht="13.5" customHeight="1" x14ac:dyDescent="0.3">
      <c r="A13" s="354"/>
      <c r="J13" s="354"/>
      <c r="S13" s="354"/>
      <c r="AB13" s="354"/>
    </row>
    <row r="14" spans="1:28" ht="13.5" customHeight="1" x14ac:dyDescent="0.3">
      <c r="A14" s="354"/>
      <c r="J14" s="354"/>
      <c r="S14" s="354"/>
      <c r="AB14" s="354"/>
    </row>
    <row r="15" spans="1:28" ht="13.5" customHeight="1" x14ac:dyDescent="0.3">
      <c r="A15" s="354"/>
      <c r="J15" s="354"/>
      <c r="S15" s="354"/>
      <c r="AB15" s="354"/>
    </row>
    <row r="16" spans="1:28" ht="13.5" customHeight="1" x14ac:dyDescent="0.3">
      <c r="A16" s="354"/>
      <c r="J16" s="354"/>
      <c r="S16" s="354"/>
      <c r="AB16" s="354"/>
    </row>
    <row r="17" spans="1:28" ht="13.5" customHeight="1" x14ac:dyDescent="0.3">
      <c r="A17" s="354"/>
      <c r="J17" s="354"/>
      <c r="S17" s="354"/>
      <c r="AB17" s="354"/>
    </row>
    <row r="18" spans="1:28" ht="13.5" customHeight="1" x14ac:dyDescent="0.3">
      <c r="A18" s="354"/>
      <c r="J18" s="354"/>
      <c r="S18" s="354"/>
      <c r="AB18" s="354"/>
    </row>
    <row r="19" spans="1:28" ht="13.5" customHeight="1" x14ac:dyDescent="0.3">
      <c r="A19" s="354"/>
      <c r="J19" s="354"/>
      <c r="S19" s="354"/>
      <c r="AB19" s="354"/>
    </row>
    <row r="20" spans="1:28" ht="13.5" customHeight="1" x14ac:dyDescent="0.3">
      <c r="A20" s="354"/>
      <c r="J20" s="354"/>
      <c r="S20" s="354"/>
      <c r="AB20" s="354"/>
    </row>
    <row r="21" spans="1:28" ht="13.5" customHeight="1" x14ac:dyDescent="0.3">
      <c r="A21" s="354"/>
      <c r="J21" s="354"/>
      <c r="S21" s="354"/>
      <c r="AB21" s="354"/>
    </row>
    <row r="22" spans="1:28" ht="13.5" customHeight="1" x14ac:dyDescent="0.3">
      <c r="A22" s="354"/>
      <c r="J22" s="354"/>
      <c r="S22" s="354"/>
      <c r="AB22" s="354"/>
    </row>
    <row r="23" spans="1:28" ht="13.5" customHeight="1" x14ac:dyDescent="0.3">
      <c r="A23" s="354"/>
      <c r="J23" s="354"/>
      <c r="S23" s="354"/>
      <c r="AB23" s="354"/>
    </row>
    <row r="24" spans="1:28" ht="13.5" customHeight="1" x14ac:dyDescent="0.3">
      <c r="A24" s="354"/>
      <c r="J24" s="354"/>
      <c r="S24" s="354"/>
      <c r="AB24" s="354"/>
    </row>
    <row r="25" spans="1:28" ht="13.5" customHeight="1" x14ac:dyDescent="0.3">
      <c r="A25" s="354"/>
      <c r="J25" s="354"/>
      <c r="S25" s="354"/>
      <c r="AB25" s="354"/>
    </row>
    <row r="26" spans="1:28" ht="13.5" customHeight="1" x14ac:dyDescent="0.3">
      <c r="A26" s="354"/>
      <c r="J26" s="354"/>
      <c r="S26" s="354"/>
      <c r="AB26" s="354"/>
    </row>
    <row r="27" spans="1:28" ht="13.5" customHeight="1" x14ac:dyDescent="0.3">
      <c r="A27" s="354"/>
      <c r="J27" s="354"/>
      <c r="S27" s="354"/>
      <c r="AB27" s="354"/>
    </row>
    <row r="28" spans="1:28" ht="13.5" customHeight="1" x14ac:dyDescent="0.3">
      <c r="A28" s="354"/>
      <c r="B28" s="354"/>
      <c r="C28" s="354"/>
      <c r="D28" s="354"/>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row>
    <row r="29" spans="1:28" ht="13.5" customHeight="1" x14ac:dyDescent="0.3">
      <c r="A29" s="354"/>
      <c r="B29" s="1218" t="s">
        <v>1034</v>
      </c>
      <c r="C29" s="982"/>
      <c r="D29" s="982"/>
      <c r="E29" s="982"/>
      <c r="F29" s="982"/>
      <c r="G29" s="982"/>
      <c r="H29" s="982"/>
      <c r="I29" s="982"/>
      <c r="J29" s="354"/>
      <c r="K29" s="1218" t="s">
        <v>1035</v>
      </c>
      <c r="L29" s="982"/>
      <c r="M29" s="982"/>
      <c r="N29" s="982"/>
      <c r="O29" s="982"/>
      <c r="P29" s="982"/>
      <c r="Q29" s="982"/>
      <c r="R29" s="982"/>
      <c r="S29" s="354"/>
      <c r="T29" s="1218" t="s">
        <v>1036</v>
      </c>
      <c r="U29" s="982"/>
      <c r="V29" s="982"/>
      <c r="W29" s="982"/>
      <c r="X29" s="982"/>
      <c r="Y29" s="982"/>
      <c r="Z29" s="982"/>
      <c r="AA29" s="982"/>
      <c r="AB29" s="354"/>
    </row>
    <row r="30" spans="1:28" ht="13.5" customHeight="1" x14ac:dyDescent="0.3">
      <c r="A30" s="354"/>
      <c r="B30" s="120"/>
      <c r="J30" s="354"/>
      <c r="S30" s="354"/>
      <c r="AB30" s="354"/>
    </row>
    <row r="31" spans="1:28" ht="13.5" customHeight="1" x14ac:dyDescent="0.3">
      <c r="A31" s="354"/>
      <c r="J31" s="354"/>
      <c r="S31" s="354"/>
      <c r="AB31" s="354"/>
    </row>
    <row r="32" spans="1:28" ht="13.5" customHeight="1" x14ac:dyDescent="0.3">
      <c r="A32" s="354"/>
      <c r="J32" s="354"/>
      <c r="S32" s="354"/>
      <c r="AB32" s="354"/>
    </row>
    <row r="33" spans="1:28" ht="13.5" customHeight="1" x14ac:dyDescent="0.3">
      <c r="A33" s="354"/>
      <c r="J33" s="354"/>
      <c r="S33" s="354"/>
      <c r="AB33" s="354"/>
    </row>
    <row r="34" spans="1:28" ht="13.5" customHeight="1" x14ac:dyDescent="0.3">
      <c r="A34" s="354"/>
      <c r="J34" s="354"/>
      <c r="S34" s="354"/>
      <c r="AB34" s="354"/>
    </row>
    <row r="35" spans="1:28" ht="13.5" customHeight="1" x14ac:dyDescent="0.3">
      <c r="A35" s="354"/>
      <c r="J35" s="354"/>
      <c r="S35" s="354"/>
      <c r="AB35" s="354"/>
    </row>
    <row r="36" spans="1:28" ht="13.5" customHeight="1" x14ac:dyDescent="0.3">
      <c r="A36" s="354"/>
      <c r="J36" s="354"/>
      <c r="S36" s="354"/>
      <c r="AB36" s="354"/>
    </row>
    <row r="37" spans="1:28" ht="13.5" customHeight="1" x14ac:dyDescent="0.3">
      <c r="A37" s="354"/>
      <c r="J37" s="354"/>
      <c r="S37" s="354"/>
      <c r="AB37" s="354"/>
    </row>
    <row r="38" spans="1:28" ht="13.5" customHeight="1" x14ac:dyDescent="0.3">
      <c r="A38" s="354"/>
      <c r="J38" s="354"/>
      <c r="S38" s="354"/>
      <c r="AB38" s="354"/>
    </row>
    <row r="39" spans="1:28" ht="13.5" customHeight="1" x14ac:dyDescent="0.3">
      <c r="A39" s="354"/>
      <c r="J39" s="354"/>
      <c r="S39" s="354"/>
      <c r="AB39" s="354"/>
    </row>
    <row r="40" spans="1:28" ht="13.5" customHeight="1" x14ac:dyDescent="0.3">
      <c r="A40" s="354"/>
      <c r="J40" s="354"/>
      <c r="S40" s="354"/>
      <c r="AB40" s="354"/>
    </row>
    <row r="41" spans="1:28" ht="13.5" customHeight="1" x14ac:dyDescent="0.3">
      <c r="A41" s="354"/>
      <c r="J41" s="354"/>
      <c r="S41" s="354"/>
      <c r="AB41" s="354"/>
    </row>
    <row r="42" spans="1:28" ht="13.5" customHeight="1" x14ac:dyDescent="0.3">
      <c r="A42" s="354"/>
      <c r="J42" s="354"/>
      <c r="S42" s="354"/>
      <c r="AB42" s="354"/>
    </row>
    <row r="43" spans="1:28" ht="13.5" customHeight="1" x14ac:dyDescent="0.3">
      <c r="A43" s="354"/>
      <c r="J43" s="354"/>
      <c r="S43" s="354"/>
      <c r="AB43" s="354"/>
    </row>
    <row r="44" spans="1:28" ht="13.5" customHeight="1" x14ac:dyDescent="0.3">
      <c r="A44" s="354"/>
      <c r="J44" s="354"/>
      <c r="S44" s="354"/>
      <c r="AB44" s="354"/>
    </row>
    <row r="45" spans="1:28" ht="13.5" customHeight="1" x14ac:dyDescent="0.3">
      <c r="A45" s="354"/>
      <c r="J45" s="354"/>
      <c r="S45" s="354"/>
      <c r="AB45" s="354"/>
    </row>
    <row r="46" spans="1:28" ht="13.5" customHeight="1" x14ac:dyDescent="0.3">
      <c r="A46" s="354"/>
      <c r="J46" s="354"/>
      <c r="S46" s="354"/>
      <c r="AB46" s="354"/>
    </row>
    <row r="47" spans="1:28" ht="13.5" customHeight="1" x14ac:dyDescent="0.3">
      <c r="A47" s="354"/>
      <c r="J47" s="354"/>
      <c r="S47" s="354"/>
      <c r="AB47" s="354"/>
    </row>
    <row r="48" spans="1:28" ht="13.5" customHeight="1" x14ac:dyDescent="0.3">
      <c r="A48" s="354"/>
      <c r="J48" s="354"/>
      <c r="S48" s="354"/>
      <c r="AB48" s="354"/>
    </row>
    <row r="49" spans="1:28" ht="13.5" customHeight="1" x14ac:dyDescent="0.3">
      <c r="A49" s="354"/>
      <c r="J49" s="354"/>
      <c r="S49" s="354"/>
      <c r="AB49" s="354"/>
    </row>
    <row r="50" spans="1:28" ht="13.5" customHeight="1" x14ac:dyDescent="0.3">
      <c r="A50" s="354"/>
      <c r="J50" s="354"/>
      <c r="S50" s="354"/>
      <c r="AB50" s="354"/>
    </row>
    <row r="51" spans="1:28" ht="13.5" customHeight="1" x14ac:dyDescent="0.3">
      <c r="A51" s="354"/>
      <c r="J51" s="354"/>
      <c r="S51" s="354"/>
      <c r="AB51" s="354"/>
    </row>
    <row r="52" spans="1:28" ht="13.5" customHeight="1" x14ac:dyDescent="0.3">
      <c r="A52" s="354"/>
      <c r="B52" s="354"/>
      <c r="C52" s="354"/>
      <c r="D52" s="354"/>
      <c r="E52" s="354"/>
      <c r="F52" s="354"/>
      <c r="G52" s="354"/>
      <c r="H52" s="354"/>
      <c r="I52" s="354"/>
      <c r="J52" s="354"/>
      <c r="K52" s="354"/>
      <c r="L52" s="354"/>
      <c r="M52" s="354"/>
      <c r="N52" s="354"/>
      <c r="O52" s="354"/>
      <c r="P52" s="354"/>
      <c r="Q52" s="354"/>
      <c r="R52" s="354"/>
      <c r="S52" s="354"/>
      <c r="T52" s="354"/>
      <c r="U52" s="354"/>
      <c r="V52" s="354"/>
      <c r="W52" s="354"/>
      <c r="X52" s="354"/>
      <c r="Y52" s="354"/>
      <c r="Z52" s="354"/>
      <c r="AA52" s="354"/>
      <c r="AB52" s="354"/>
    </row>
    <row r="53" spans="1:28" ht="13.5" customHeight="1" x14ac:dyDescent="0.3">
      <c r="A53" s="354"/>
      <c r="B53" s="1218" t="s">
        <v>1037</v>
      </c>
      <c r="C53" s="982"/>
      <c r="D53" s="982"/>
      <c r="E53" s="982"/>
      <c r="F53" s="982"/>
      <c r="G53" s="982"/>
      <c r="H53" s="982"/>
      <c r="I53" s="982"/>
      <c r="J53" s="354"/>
      <c r="K53" s="1218" t="s">
        <v>1038</v>
      </c>
      <c r="L53" s="982"/>
      <c r="M53" s="982"/>
      <c r="N53" s="982"/>
      <c r="O53" s="982"/>
      <c r="P53" s="982"/>
      <c r="Q53" s="982"/>
      <c r="R53" s="982"/>
      <c r="S53" s="354"/>
      <c r="T53" s="1218"/>
      <c r="U53" s="982"/>
      <c r="V53" s="982"/>
      <c r="W53" s="982"/>
      <c r="X53" s="982"/>
      <c r="Y53" s="982"/>
      <c r="Z53" s="982"/>
      <c r="AA53" s="982"/>
      <c r="AB53" s="354"/>
    </row>
    <row r="54" spans="1:28" ht="13.5" customHeight="1" x14ac:dyDescent="0.3">
      <c r="A54" s="354"/>
      <c r="J54" s="354"/>
      <c r="S54" s="354"/>
      <c r="AB54" s="354"/>
    </row>
    <row r="55" spans="1:28" ht="13.5" customHeight="1" x14ac:dyDescent="0.3">
      <c r="A55" s="354"/>
      <c r="J55" s="354"/>
      <c r="S55" s="354"/>
      <c r="AB55" s="354"/>
    </row>
    <row r="56" spans="1:28" ht="13.5" customHeight="1" x14ac:dyDescent="0.3">
      <c r="A56" s="354"/>
      <c r="J56" s="354"/>
      <c r="S56" s="354"/>
      <c r="AB56" s="354"/>
    </row>
    <row r="57" spans="1:28" ht="13.5" customHeight="1" x14ac:dyDescent="0.3">
      <c r="A57" s="354"/>
      <c r="J57" s="354"/>
      <c r="S57" s="354"/>
      <c r="AB57" s="354"/>
    </row>
    <row r="58" spans="1:28" ht="13.5" customHeight="1" x14ac:dyDescent="0.3">
      <c r="A58" s="354"/>
      <c r="J58" s="354"/>
      <c r="S58" s="354"/>
      <c r="AB58" s="354"/>
    </row>
    <row r="59" spans="1:28" ht="13.5" customHeight="1" x14ac:dyDescent="0.3">
      <c r="A59" s="354"/>
      <c r="J59" s="354"/>
      <c r="S59" s="354"/>
      <c r="AB59" s="354"/>
    </row>
    <row r="60" spans="1:28" ht="13.5" customHeight="1" x14ac:dyDescent="0.3">
      <c r="A60" s="354"/>
      <c r="J60" s="354"/>
      <c r="S60" s="354"/>
      <c r="AB60" s="354"/>
    </row>
    <row r="61" spans="1:28" ht="13.5" customHeight="1" x14ac:dyDescent="0.3">
      <c r="A61" s="354"/>
      <c r="J61" s="354"/>
      <c r="S61" s="354"/>
      <c r="AB61" s="354"/>
    </row>
    <row r="62" spans="1:28" ht="13.5" customHeight="1" x14ac:dyDescent="0.3">
      <c r="A62" s="354"/>
      <c r="J62" s="354"/>
      <c r="S62" s="354"/>
      <c r="AB62" s="354"/>
    </row>
    <row r="63" spans="1:28" ht="13.5" customHeight="1" x14ac:dyDescent="0.3">
      <c r="A63" s="354"/>
      <c r="J63" s="354"/>
      <c r="S63" s="354"/>
      <c r="AB63" s="354"/>
    </row>
    <row r="64" spans="1:28" ht="13.5" customHeight="1" x14ac:dyDescent="0.3">
      <c r="A64" s="354"/>
      <c r="J64" s="354"/>
      <c r="S64" s="354"/>
      <c r="AB64" s="354"/>
    </row>
    <row r="65" spans="1:28" ht="13.5" customHeight="1" x14ac:dyDescent="0.3">
      <c r="A65" s="354"/>
      <c r="J65" s="354"/>
      <c r="S65" s="354"/>
      <c r="AB65" s="354"/>
    </row>
    <row r="66" spans="1:28" ht="13.5" customHeight="1" x14ac:dyDescent="0.3">
      <c r="A66" s="354"/>
      <c r="J66" s="354"/>
      <c r="S66" s="354"/>
      <c r="AB66" s="354"/>
    </row>
    <row r="67" spans="1:28" ht="13.5" customHeight="1" x14ac:dyDescent="0.3">
      <c r="A67" s="354"/>
      <c r="J67" s="354"/>
      <c r="S67" s="354"/>
      <c r="AB67" s="354"/>
    </row>
    <row r="68" spans="1:28" ht="13.5" customHeight="1" x14ac:dyDescent="0.3">
      <c r="A68" s="354"/>
      <c r="J68" s="354"/>
      <c r="S68" s="354"/>
      <c r="AB68" s="354"/>
    </row>
    <row r="69" spans="1:28" ht="13.5" customHeight="1" x14ac:dyDescent="0.3">
      <c r="A69" s="354"/>
      <c r="J69" s="354"/>
      <c r="S69" s="354"/>
      <c r="AB69" s="354"/>
    </row>
    <row r="70" spans="1:28" ht="13.5" customHeight="1" x14ac:dyDescent="0.3">
      <c r="A70" s="354"/>
      <c r="J70" s="354"/>
      <c r="S70" s="354"/>
      <c r="AB70" s="354"/>
    </row>
    <row r="71" spans="1:28" ht="13.5" customHeight="1" x14ac:dyDescent="0.3">
      <c r="A71" s="354"/>
      <c r="J71" s="354"/>
      <c r="S71" s="354"/>
      <c r="AB71" s="354"/>
    </row>
    <row r="72" spans="1:28" ht="13.5" customHeight="1" x14ac:dyDescent="0.3">
      <c r="A72" s="354"/>
      <c r="J72" s="354"/>
      <c r="S72" s="354"/>
      <c r="AB72" s="354"/>
    </row>
    <row r="73" spans="1:28" ht="13.5" customHeight="1" x14ac:dyDescent="0.3">
      <c r="A73" s="354"/>
      <c r="J73" s="354"/>
      <c r="S73" s="354"/>
      <c r="AB73" s="354"/>
    </row>
    <row r="74" spans="1:28" ht="13.5" customHeight="1" x14ac:dyDescent="0.3">
      <c r="A74" s="354"/>
      <c r="J74" s="354"/>
      <c r="S74" s="354"/>
      <c r="AB74" s="354"/>
    </row>
    <row r="75" spans="1:28" ht="13.5" customHeight="1" x14ac:dyDescent="0.3">
      <c r="A75" s="354"/>
      <c r="J75" s="354"/>
      <c r="S75" s="354"/>
      <c r="AB75" s="354"/>
    </row>
    <row r="76" spans="1:28" ht="13.5" customHeight="1" x14ac:dyDescent="0.3">
      <c r="A76" s="354"/>
      <c r="J76" s="354"/>
      <c r="S76" s="354"/>
      <c r="AB76" s="354"/>
    </row>
    <row r="77" spans="1:28" ht="13.5" customHeight="1" x14ac:dyDescent="0.3">
      <c r="A77" s="354"/>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c r="AA77" s="354"/>
      <c r="AB77" s="354"/>
    </row>
    <row r="78" spans="1:28" ht="13.5" customHeight="1" x14ac:dyDescent="0.3"/>
    <row r="79" spans="1:28" ht="13.5" customHeight="1" x14ac:dyDescent="0.3"/>
    <row r="80" spans="1:28"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0">
    <mergeCell ref="B53:I53"/>
    <mergeCell ref="K53:R53"/>
    <mergeCell ref="T53:AA53"/>
    <mergeCell ref="B2:E2"/>
    <mergeCell ref="B5:I5"/>
    <mergeCell ref="K5:R5"/>
    <mergeCell ref="T5:AA5"/>
    <mergeCell ref="B29:I29"/>
    <mergeCell ref="K29:R29"/>
    <mergeCell ref="T29:AA29"/>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92F4-9CF8-407B-B9E1-D1B260F81C21}">
  <dimension ref="A1:AJ251"/>
  <sheetViews>
    <sheetView workbookViewId="0">
      <selection sqref="A1:AK1048576"/>
    </sheetView>
  </sheetViews>
  <sheetFormatPr defaultColWidth="8.6640625" defaultRowHeight="14" x14ac:dyDescent="0.3"/>
  <cols>
    <col min="1" max="2" width="9"/>
    <col min="3" max="3" width="76.4140625" customWidth="1"/>
    <col min="4" max="37" width="9"/>
  </cols>
  <sheetData>
    <row r="1" spans="1:36" ht="17" x14ac:dyDescent="0.3">
      <c r="A1" s="944"/>
      <c r="B1" s="519"/>
      <c r="C1" s="108" t="s">
        <v>1</v>
      </c>
      <c r="D1" s="520">
        <v>2018</v>
      </c>
      <c r="E1" s="520">
        <v>2019</v>
      </c>
      <c r="F1" s="520">
        <v>2020</v>
      </c>
      <c r="G1" s="520">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row>
    <row r="2" spans="1:36" ht="14.5" x14ac:dyDescent="0.3">
      <c r="A2" s="1094" t="s">
        <v>1039</v>
      </c>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row>
    <row r="3" spans="1:36" ht="14.5" x14ac:dyDescent="0.3">
      <c r="A3" s="1094"/>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row>
    <row r="4" spans="1:36" ht="18.5" x14ac:dyDescent="0.3">
      <c r="A4" s="1094"/>
      <c r="B4" s="125"/>
      <c r="C4" s="355" t="s">
        <v>151</v>
      </c>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row>
    <row r="5" spans="1:36" ht="18.5" x14ac:dyDescent="0.3">
      <c r="A5" s="1094"/>
      <c r="B5" s="125"/>
      <c r="C5" s="355"/>
      <c r="D5" s="392"/>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c r="AJ5" s="392"/>
    </row>
    <row r="6" spans="1:36" ht="14.5" x14ac:dyDescent="0.3">
      <c r="A6" s="49"/>
      <c r="B6" s="523"/>
      <c r="C6" s="524" t="s">
        <v>152</v>
      </c>
      <c r="D6" s="954"/>
      <c r="E6" s="954"/>
      <c r="F6" s="954"/>
      <c r="G6" s="954"/>
      <c r="H6" s="954"/>
      <c r="I6" s="954"/>
      <c r="J6" s="954"/>
      <c r="K6" s="954"/>
      <c r="L6" s="954"/>
      <c r="M6" s="954"/>
      <c r="N6" s="954"/>
      <c r="O6" s="954"/>
      <c r="P6" s="954"/>
      <c r="Q6" s="954"/>
      <c r="R6" s="954"/>
      <c r="S6" s="954"/>
      <c r="T6" s="954"/>
      <c r="U6" s="954"/>
      <c r="V6" s="954"/>
      <c r="W6" s="954"/>
      <c r="X6" s="954"/>
      <c r="Y6" s="954"/>
      <c r="Z6" s="954"/>
      <c r="AA6" s="954"/>
      <c r="AB6" s="954"/>
      <c r="AC6" s="954"/>
      <c r="AD6" s="954"/>
      <c r="AE6" s="954"/>
      <c r="AF6" s="954"/>
      <c r="AG6" s="954"/>
      <c r="AH6" s="954"/>
      <c r="AI6" s="954"/>
      <c r="AJ6" s="954"/>
    </row>
    <row r="7" spans="1:36" ht="14.5" x14ac:dyDescent="0.3">
      <c r="A7" s="49"/>
      <c r="B7" s="523"/>
      <c r="C7" s="525" t="s">
        <v>153</v>
      </c>
      <c r="D7" s="526">
        <v>17023408</v>
      </c>
      <c r="E7" s="526">
        <v>17267986</v>
      </c>
      <c r="F7" s="526">
        <v>17510643</v>
      </c>
      <c r="G7" s="526">
        <v>17751277</v>
      </c>
      <c r="H7" s="526">
        <v>17989912</v>
      </c>
      <c r="I7" s="526">
        <v>18226512</v>
      </c>
      <c r="J7" s="526">
        <v>18460936</v>
      </c>
      <c r="K7" s="526">
        <v>18693140</v>
      </c>
      <c r="L7" s="526">
        <v>18922864</v>
      </c>
      <c r="M7" s="526">
        <v>19150021</v>
      </c>
      <c r="N7" s="526">
        <v>19374448</v>
      </c>
      <c r="O7" s="526">
        <v>19596113</v>
      </c>
      <c r="P7" s="526">
        <v>19814767</v>
      </c>
      <c r="Q7" s="526">
        <v>20030293</v>
      </c>
      <c r="R7" s="526">
        <v>20242540</v>
      </c>
      <c r="S7" s="526">
        <v>20451333</v>
      </c>
      <c r="T7" s="526">
        <v>20656586</v>
      </c>
      <c r="U7" s="526">
        <v>20858149</v>
      </c>
      <c r="V7" s="526">
        <v>21055934</v>
      </c>
      <c r="W7" s="526">
        <v>21249772</v>
      </c>
      <c r="X7" s="526">
        <v>21439596</v>
      </c>
      <c r="Y7" s="526">
        <v>21625281</v>
      </c>
      <c r="Z7" s="526">
        <v>21806740</v>
      </c>
      <c r="AA7" s="526">
        <v>21983950</v>
      </c>
      <c r="AB7" s="526">
        <v>22156850</v>
      </c>
      <c r="AC7" s="526">
        <v>22325333</v>
      </c>
      <c r="AD7" s="526">
        <v>22489377</v>
      </c>
      <c r="AE7" s="526">
        <v>22648875</v>
      </c>
      <c r="AF7" s="526">
        <v>22803800</v>
      </c>
      <c r="AG7" s="526">
        <v>22954177</v>
      </c>
      <c r="AH7" s="526">
        <v>23099877</v>
      </c>
      <c r="AI7" s="526">
        <v>23240939</v>
      </c>
      <c r="AJ7" s="526">
        <v>23377412</v>
      </c>
    </row>
    <row r="8" spans="1:36" ht="14.5" x14ac:dyDescent="0.3">
      <c r="A8" s="49"/>
      <c r="B8" s="523"/>
      <c r="C8" s="525" t="s">
        <v>154</v>
      </c>
      <c r="D8" s="954"/>
      <c r="E8" s="527">
        <f>+(E7-D7)/D7</f>
        <v>1.4367158444419589E-2</v>
      </c>
      <c r="F8" s="527">
        <f>+(F7-E7)/E7</f>
        <v>1.4052420473354565E-2</v>
      </c>
      <c r="G8" s="527">
        <f t="shared" ref="G8:AJ8" si="0">+(G7-F7)/F7</f>
        <v>1.374215669864322E-2</v>
      </c>
      <c r="H8" s="527">
        <f t="shared" si="0"/>
        <v>1.3443258194889302E-2</v>
      </c>
      <c r="I8" s="527">
        <f t="shared" si="0"/>
        <v>1.3151815306267202E-2</v>
      </c>
      <c r="J8" s="527">
        <f t="shared" si="0"/>
        <v>1.2861703874005075E-2</v>
      </c>
      <c r="K8" s="527">
        <f t="shared" si="0"/>
        <v>1.2578127132882103E-2</v>
      </c>
      <c r="L8" s="527">
        <f t="shared" si="0"/>
        <v>1.2289214118120338E-2</v>
      </c>
      <c r="M8" s="527">
        <f t="shared" si="0"/>
        <v>1.2004366780842476E-2</v>
      </c>
      <c r="N8" s="527">
        <f t="shared" si="0"/>
        <v>1.1719412735892039E-2</v>
      </c>
      <c r="O8" s="527">
        <f t="shared" si="0"/>
        <v>1.1441100154182458E-2</v>
      </c>
      <c r="P8" s="527">
        <f t="shared" si="0"/>
        <v>1.1158029145882145E-2</v>
      </c>
      <c r="Q8" s="527">
        <f t="shared" si="0"/>
        <v>1.0877039331322946E-2</v>
      </c>
      <c r="R8" s="527">
        <f t="shared" si="0"/>
        <v>1.0596300313729809E-2</v>
      </c>
      <c r="S8" s="527">
        <f t="shared" si="0"/>
        <v>1.0314565267007006E-2</v>
      </c>
      <c r="T8" s="527">
        <f t="shared" si="0"/>
        <v>1.0036167324643337E-2</v>
      </c>
      <c r="U8" s="527">
        <f t="shared" si="0"/>
        <v>9.7578079940218582E-3</v>
      </c>
      <c r="V8" s="527">
        <f t="shared" si="0"/>
        <v>9.4823850380971013E-3</v>
      </c>
      <c r="W8" s="527">
        <f t="shared" si="0"/>
        <v>9.2058609226263726E-3</v>
      </c>
      <c r="X8" s="527">
        <f t="shared" si="0"/>
        <v>8.9329899633746653E-3</v>
      </c>
      <c r="Y8" s="527">
        <f t="shared" si="0"/>
        <v>8.6608441688919881E-3</v>
      </c>
      <c r="Z8" s="527">
        <f t="shared" si="0"/>
        <v>8.3910585947992999E-3</v>
      </c>
      <c r="AA8" s="527">
        <f t="shared" si="0"/>
        <v>8.1263866125794136E-3</v>
      </c>
      <c r="AB8" s="527">
        <f t="shared" si="0"/>
        <v>7.8648286590899275E-3</v>
      </c>
      <c r="AC8" s="527">
        <f t="shared" si="0"/>
        <v>7.6041043740423392E-3</v>
      </c>
      <c r="AD8" s="527">
        <f t="shared" si="0"/>
        <v>7.3478859195515696E-3</v>
      </c>
      <c r="AE8" s="527">
        <f t="shared" si="0"/>
        <v>7.0921484396833222E-3</v>
      </c>
      <c r="AF8" s="527">
        <f t="shared" si="0"/>
        <v>6.8402955996710651E-3</v>
      </c>
      <c r="AG8" s="527">
        <f t="shared" si="0"/>
        <v>6.5943833922416442E-3</v>
      </c>
      <c r="AH8" s="527">
        <f t="shared" si="0"/>
        <v>6.3474286183294653E-3</v>
      </c>
      <c r="AI8" s="527">
        <f t="shared" si="0"/>
        <v>6.1066126023095278E-3</v>
      </c>
      <c r="AJ8" s="527">
        <f t="shared" si="0"/>
        <v>5.8720949269734759E-3</v>
      </c>
    </row>
    <row r="9" spans="1:36" ht="14.5" x14ac:dyDescent="0.3">
      <c r="A9" s="49"/>
      <c r="B9" s="523"/>
      <c r="C9" s="525" t="s">
        <v>155</v>
      </c>
      <c r="D9" s="526">
        <v>6158899</v>
      </c>
      <c r="E9" s="526">
        <v>6218893</v>
      </c>
      <c r="F9" s="526">
        <v>6274764</v>
      </c>
      <c r="G9" s="526">
        <v>6326377</v>
      </c>
      <c r="H9" s="526">
        <v>6374386</v>
      </c>
      <c r="I9" s="526">
        <v>6417674</v>
      </c>
      <c r="J9" s="526">
        <v>6455500</v>
      </c>
      <c r="K9" s="526">
        <v>6490383</v>
      </c>
      <c r="L9" s="526">
        <v>6519927</v>
      </c>
      <c r="M9" s="526">
        <v>6545488</v>
      </c>
      <c r="N9" s="526">
        <v>6565730</v>
      </c>
      <c r="O9" s="526">
        <v>6581679</v>
      </c>
      <c r="P9" s="526">
        <v>6591592</v>
      </c>
      <c r="Q9" s="526">
        <v>6597755</v>
      </c>
      <c r="R9" s="526">
        <v>6599110</v>
      </c>
      <c r="S9" s="526">
        <v>6594944</v>
      </c>
      <c r="T9" s="526">
        <v>6585882</v>
      </c>
      <c r="U9" s="526">
        <v>6572239</v>
      </c>
      <c r="V9" s="526">
        <v>6553628</v>
      </c>
      <c r="W9" s="526">
        <v>6530686</v>
      </c>
      <c r="X9" s="526">
        <v>6502706</v>
      </c>
      <c r="Y9" s="526">
        <v>6469349</v>
      </c>
      <c r="Z9" s="526">
        <v>6432197</v>
      </c>
      <c r="AA9" s="526">
        <v>6389646</v>
      </c>
      <c r="AB9" s="526">
        <v>6344274</v>
      </c>
      <c r="AC9" s="526">
        <v>6294473</v>
      </c>
      <c r="AD9" s="526">
        <v>6242817</v>
      </c>
      <c r="AE9" s="526">
        <v>6188995</v>
      </c>
      <c r="AF9" s="526">
        <v>6133277</v>
      </c>
      <c r="AG9" s="526">
        <v>6076401</v>
      </c>
      <c r="AH9" s="526">
        <v>6018340</v>
      </c>
      <c r="AI9" s="526">
        <v>5958367</v>
      </c>
      <c r="AJ9" s="526">
        <v>5897493</v>
      </c>
    </row>
    <row r="10" spans="1:36" ht="14.5" x14ac:dyDescent="0.3">
      <c r="A10" s="49"/>
      <c r="B10" s="523"/>
      <c r="C10" s="525" t="s">
        <v>132</v>
      </c>
      <c r="D10" s="528">
        <v>0.36179001290458407</v>
      </c>
      <c r="E10" s="528">
        <v>0.360140030227034</v>
      </c>
      <c r="F10" s="528">
        <v>0.35834001070092059</v>
      </c>
      <c r="G10" s="528">
        <v>0.35638996563458503</v>
      </c>
      <c r="H10" s="528">
        <v>0.35433113847360675</v>
      </c>
      <c r="I10" s="528">
        <v>0.35210653579796286</v>
      </c>
      <c r="J10" s="528">
        <v>0.3496843280319048</v>
      </c>
      <c r="K10" s="528">
        <v>0.34720667581797388</v>
      </c>
      <c r="L10" s="528">
        <v>0.34455286472491692</v>
      </c>
      <c r="M10" s="528">
        <v>0.3418005651273176</v>
      </c>
      <c r="N10" s="528">
        <v>0.33888604206943085</v>
      </c>
      <c r="O10" s="528">
        <v>0.33586655680134114</v>
      </c>
      <c r="P10" s="528">
        <v>0.3326605859155447</v>
      </c>
      <c r="Q10" s="528">
        <v>0.32938884119168899</v>
      </c>
      <c r="R10" s="528">
        <v>0.32600207286239768</v>
      </c>
      <c r="S10" s="528">
        <v>0.32247012945317549</v>
      </c>
      <c r="T10" s="528">
        <v>0.31882722537015556</v>
      </c>
      <c r="U10" s="528">
        <v>0.31509214935611018</v>
      </c>
      <c r="V10" s="528">
        <v>0.31124850600310583</v>
      </c>
      <c r="W10" s="528">
        <v>0.30732969746687167</v>
      </c>
      <c r="X10" s="528">
        <v>0.30330356971278749</v>
      </c>
      <c r="Y10" s="528">
        <v>0.2991567600901926</v>
      </c>
      <c r="Z10" s="528">
        <v>0.29496371305385399</v>
      </c>
      <c r="AA10" s="528">
        <v>0.29065049729461723</v>
      </c>
      <c r="AB10" s="528">
        <v>0.2863346549712617</v>
      </c>
      <c r="AC10" s="528">
        <v>0.28194307336871527</v>
      </c>
      <c r="AD10" s="528">
        <v>0.27758959263300181</v>
      </c>
      <c r="AE10" s="528">
        <v>0.27325838479836195</v>
      </c>
      <c r="AF10" s="528">
        <v>0.26895855076785447</v>
      </c>
      <c r="AG10" s="528">
        <v>0.2647187481389553</v>
      </c>
      <c r="AH10" s="528">
        <v>0.26053558640160723</v>
      </c>
      <c r="AI10" s="528">
        <v>0.25637376355576685</v>
      </c>
      <c r="AJ10" s="528">
        <v>0.25227313442565841</v>
      </c>
    </row>
    <row r="11" spans="1:36" ht="14.5" x14ac:dyDescent="0.3">
      <c r="A11" s="49"/>
      <c r="B11" s="523"/>
      <c r="C11" s="525" t="s">
        <v>156</v>
      </c>
      <c r="D11" s="526">
        <v>10864509</v>
      </c>
      <c r="E11" s="526">
        <v>11049093</v>
      </c>
      <c r="F11" s="526">
        <v>11235879</v>
      </c>
      <c r="G11" s="526">
        <v>11424900</v>
      </c>
      <c r="H11" s="526">
        <v>11615526</v>
      </c>
      <c r="I11" s="526">
        <v>11808838</v>
      </c>
      <c r="J11" s="526">
        <v>12005436</v>
      </c>
      <c r="K11" s="526">
        <v>12202757</v>
      </c>
      <c r="L11" s="526">
        <v>12402937</v>
      </c>
      <c r="M11" s="526">
        <v>12604533</v>
      </c>
      <c r="N11" s="526">
        <v>12808718</v>
      </c>
      <c r="O11" s="526">
        <v>13014434</v>
      </c>
      <c r="P11" s="526">
        <v>13223175</v>
      </c>
      <c r="Q11" s="526">
        <v>13432538</v>
      </c>
      <c r="R11" s="526">
        <v>13643430</v>
      </c>
      <c r="S11" s="526">
        <v>13856389</v>
      </c>
      <c r="T11" s="526">
        <v>14070704</v>
      </c>
      <c r="U11" s="526">
        <v>14285910</v>
      </c>
      <c r="V11" s="526">
        <v>14502306</v>
      </c>
      <c r="W11" s="526">
        <v>14719086</v>
      </c>
      <c r="X11" s="526">
        <v>14936890</v>
      </c>
      <c r="Y11" s="526">
        <v>15155932</v>
      </c>
      <c r="Z11" s="526">
        <v>15374543</v>
      </c>
      <c r="AA11" s="526">
        <v>15594304</v>
      </c>
      <c r="AB11" s="526">
        <v>15812576</v>
      </c>
      <c r="AC11" s="526">
        <v>16030860</v>
      </c>
      <c r="AD11" s="526">
        <v>16246560</v>
      </c>
      <c r="AE11" s="526">
        <v>16459880</v>
      </c>
      <c r="AF11" s="526">
        <v>16670523</v>
      </c>
      <c r="AG11" s="526">
        <v>16877776</v>
      </c>
      <c r="AH11" s="526">
        <v>17081537</v>
      </c>
      <c r="AI11" s="526">
        <v>17282572</v>
      </c>
      <c r="AJ11" s="526">
        <v>17479919</v>
      </c>
    </row>
    <row r="12" spans="1:36" ht="14.5" x14ac:dyDescent="0.3">
      <c r="A12" s="49"/>
      <c r="B12" s="523"/>
      <c r="C12" s="525" t="s">
        <v>157</v>
      </c>
      <c r="D12" s="528">
        <v>0.63820998709541588</v>
      </c>
      <c r="E12" s="528">
        <v>0.639859969772966</v>
      </c>
      <c r="F12" s="528">
        <v>0.64165998929907941</v>
      </c>
      <c r="G12" s="528">
        <v>0.64361003436541497</v>
      </c>
      <c r="H12" s="528">
        <v>0.64566886152639325</v>
      </c>
      <c r="I12" s="528">
        <v>0.64789346420203708</v>
      </c>
      <c r="J12" s="528">
        <v>0.65031567196809514</v>
      </c>
      <c r="K12" s="528">
        <v>0.65279332418202607</v>
      </c>
      <c r="L12" s="528">
        <v>0.65544713527508303</v>
      </c>
      <c r="M12" s="528">
        <v>0.6581994348726824</v>
      </c>
      <c r="N12" s="528">
        <v>0.66111395793056915</v>
      </c>
      <c r="O12" s="528">
        <v>0.66413344319865886</v>
      </c>
      <c r="P12" s="528">
        <v>0.6673394140844553</v>
      </c>
      <c r="Q12" s="528">
        <v>0.67061115880831101</v>
      </c>
      <c r="R12" s="528">
        <v>0.67399792713760232</v>
      </c>
      <c r="S12" s="528">
        <v>0.67752987054682445</v>
      </c>
      <c r="T12" s="528">
        <v>0.68117277462984438</v>
      </c>
      <c r="U12" s="528">
        <v>0.68490785064388982</v>
      </c>
      <c r="V12" s="528">
        <v>0.68875149399689417</v>
      </c>
      <c r="W12" s="528">
        <v>0.69267030253312833</v>
      </c>
      <c r="X12" s="528">
        <v>0.69669643028721251</v>
      </c>
      <c r="Y12" s="528">
        <v>0.70084323990980746</v>
      </c>
      <c r="Z12" s="528">
        <v>0.70503628694614595</v>
      </c>
      <c r="AA12" s="528">
        <v>0.70934950270538277</v>
      </c>
      <c r="AB12" s="528">
        <v>0.71366534502873824</v>
      </c>
      <c r="AC12" s="528">
        <v>0.71805692663128473</v>
      </c>
      <c r="AD12" s="528">
        <v>0.72241040736699813</v>
      </c>
      <c r="AE12" s="528">
        <v>0.72674161520163805</v>
      </c>
      <c r="AF12" s="528">
        <v>0.73104144923214553</v>
      </c>
      <c r="AG12" s="528">
        <v>0.73528125186104476</v>
      </c>
      <c r="AH12" s="528">
        <v>0.73946441359839277</v>
      </c>
      <c r="AI12" s="528">
        <v>0.7436262364442332</v>
      </c>
      <c r="AJ12" s="528">
        <v>0.74772686557434165</v>
      </c>
    </row>
    <row r="13" spans="1:36" ht="14.5" x14ac:dyDescent="0.3">
      <c r="A13" s="944"/>
      <c r="B13" s="125"/>
      <c r="C13" s="525" t="s">
        <v>158</v>
      </c>
      <c r="D13" s="950">
        <v>8164671.8621851122</v>
      </c>
      <c r="E13" s="950">
        <v>8192768.8480260698</v>
      </c>
      <c r="F13" s="950">
        <v>8420741.6679999996</v>
      </c>
      <c r="G13" s="950">
        <v>8582778.65578763</v>
      </c>
      <c r="H13" s="950">
        <v>8570550.2338962201</v>
      </c>
      <c r="I13" s="950">
        <v>8898167.9697915707</v>
      </c>
      <c r="J13" s="950">
        <v>8852383.2536676507</v>
      </c>
      <c r="K13" s="950">
        <v>9072233.5144789498</v>
      </c>
      <c r="L13" s="950">
        <v>9328486.5192372706</v>
      </c>
      <c r="M13" s="950">
        <v>9424636.7415953707</v>
      </c>
      <c r="N13" s="950">
        <v>9694170.0634401999</v>
      </c>
      <c r="O13" s="950">
        <v>9687259.9095606301</v>
      </c>
      <c r="P13" s="950">
        <v>9797759.7514996193</v>
      </c>
      <c r="Q13" s="950">
        <v>10138245.978708901</v>
      </c>
      <c r="R13" s="950">
        <v>10139537.3923772</v>
      </c>
      <c r="S13" s="950">
        <v>10428882.586715201</v>
      </c>
      <c r="T13" s="950">
        <v>10452507.5830494</v>
      </c>
      <c r="U13" s="950">
        <v>10511839.0164556</v>
      </c>
      <c r="V13" s="950">
        <v>10701475.074029</v>
      </c>
      <c r="W13" s="950">
        <v>10758749.5810245</v>
      </c>
      <c r="X13" s="950">
        <v>10892422.780373899</v>
      </c>
      <c r="Y13" s="950">
        <v>11185977.629895899</v>
      </c>
      <c r="Z13" s="950">
        <v>11302978.5787648</v>
      </c>
      <c r="AA13" s="950">
        <v>11485000.173276501</v>
      </c>
      <c r="AB13" s="950">
        <v>11676283.3002498</v>
      </c>
      <c r="AC13" s="950">
        <v>11553196.2283733</v>
      </c>
      <c r="AD13" s="950">
        <v>11744123.1195221</v>
      </c>
      <c r="AE13" s="950">
        <v>11777189.543891</v>
      </c>
      <c r="AF13" s="950">
        <v>12098068.466034099</v>
      </c>
      <c r="AG13" s="950">
        <v>12164230.5557721</v>
      </c>
      <c r="AH13" s="950">
        <v>12237430.9202007</v>
      </c>
      <c r="AI13" s="950">
        <v>12351922.742751701</v>
      </c>
      <c r="AJ13" s="950">
        <v>12488206.693841301</v>
      </c>
    </row>
    <row r="14" spans="1:36" ht="14.5" x14ac:dyDescent="0.3">
      <c r="A14" s="944"/>
      <c r="B14" s="125"/>
      <c r="C14" s="529"/>
      <c r="D14" s="392"/>
      <c r="E14" s="392"/>
      <c r="F14" s="392"/>
      <c r="G14" s="392"/>
      <c r="H14" s="392"/>
      <c r="I14" s="392"/>
      <c r="J14" s="392"/>
      <c r="K14" s="392"/>
      <c r="L14" s="392"/>
      <c r="M14" s="392"/>
      <c r="N14" s="392"/>
      <c r="O14" s="392"/>
      <c r="P14" s="392"/>
      <c r="Q14" s="392"/>
      <c r="R14" s="392"/>
      <c r="S14" s="392"/>
      <c r="T14" s="392"/>
      <c r="U14" s="392"/>
      <c r="V14" s="392"/>
      <c r="W14" s="392"/>
      <c r="X14" s="392"/>
      <c r="Y14" s="392"/>
      <c r="Z14" s="392"/>
      <c r="AA14" s="392"/>
      <c r="AB14" s="392"/>
      <c r="AC14" s="392"/>
      <c r="AD14" s="392"/>
      <c r="AE14" s="392"/>
      <c r="AF14" s="392"/>
      <c r="AG14" s="392"/>
      <c r="AH14" s="392"/>
      <c r="AI14" s="392"/>
      <c r="AJ14" s="392"/>
    </row>
    <row r="15" spans="1:36" ht="14.5" x14ac:dyDescent="0.3">
      <c r="A15" s="49"/>
      <c r="B15" s="523"/>
      <c r="C15" s="524" t="s">
        <v>159</v>
      </c>
      <c r="D15" s="954"/>
      <c r="E15" s="954"/>
      <c r="F15" s="954"/>
      <c r="G15" s="954"/>
      <c r="H15" s="954"/>
      <c r="I15" s="954"/>
      <c r="J15" s="954"/>
      <c r="K15" s="954"/>
      <c r="L15" s="954"/>
      <c r="M15" s="954"/>
      <c r="N15" s="954"/>
      <c r="O15" s="954"/>
      <c r="P15" s="954"/>
      <c r="Q15" s="954"/>
      <c r="R15" s="954"/>
      <c r="S15" s="954"/>
      <c r="T15" s="954"/>
      <c r="U15" s="954"/>
      <c r="V15" s="954"/>
      <c r="W15" s="954"/>
      <c r="X15" s="954"/>
      <c r="Y15" s="954"/>
      <c r="Z15" s="954"/>
      <c r="AA15" s="954"/>
      <c r="AB15" s="954"/>
      <c r="AC15" s="954"/>
      <c r="AD15" s="954"/>
      <c r="AE15" s="954"/>
      <c r="AF15" s="954"/>
      <c r="AG15" s="954"/>
      <c r="AH15" s="954"/>
      <c r="AI15" s="954"/>
      <c r="AJ15" s="954"/>
    </row>
    <row r="16" spans="1:36" ht="14.5" x14ac:dyDescent="0.3">
      <c r="A16" s="49"/>
      <c r="B16" s="125"/>
      <c r="C16" s="525" t="s">
        <v>160</v>
      </c>
      <c r="D16" s="526">
        <v>110440516.34079282</v>
      </c>
      <c r="E16" s="526">
        <v>110453885.27888137</v>
      </c>
      <c r="F16" s="526">
        <v>101852170.67669086</v>
      </c>
      <c r="G16" s="530">
        <v>106165865.99999999</v>
      </c>
      <c r="H16" s="526">
        <v>109032344.38199997</v>
      </c>
      <c r="I16" s="526">
        <v>112412347.05784196</v>
      </c>
      <c r="J16" s="526">
        <v>115784717.46957722</v>
      </c>
      <c r="K16" s="526">
        <v>118910904.8412558</v>
      </c>
      <c r="L16" s="526">
        <v>121645855.65260467</v>
      </c>
      <c r="M16" s="526">
        <v>125520060.34830059</v>
      </c>
      <c r="N16" s="526">
        <v>129092577.74609415</v>
      </c>
      <c r="O16" s="526">
        <v>131927421.3317237</v>
      </c>
      <c r="P16" s="526">
        <v>135069988.46495035</v>
      </c>
      <c r="Q16" s="526">
        <v>139348762.94369256</v>
      </c>
      <c r="R16" s="526">
        <v>142786305.06732506</v>
      </c>
      <c r="S16" s="526">
        <v>146914875.74991554</v>
      </c>
      <c r="T16" s="526">
        <v>150391845.42598927</v>
      </c>
      <c r="U16" s="526">
        <v>153947794.95423308</v>
      </c>
      <c r="V16" s="526">
        <v>157879293.33044419</v>
      </c>
      <c r="W16" s="526">
        <v>161461771.62526488</v>
      </c>
      <c r="X16" s="526">
        <v>165244334.79990754</v>
      </c>
      <c r="Y16" s="526">
        <v>169410299.43580195</v>
      </c>
      <c r="Z16" s="526">
        <v>173258394.43175781</v>
      </c>
      <c r="AA16" s="526">
        <v>177213146.93254572</v>
      </c>
      <c r="AB16" s="526">
        <v>181161616.94748867</v>
      </c>
      <c r="AC16" s="526">
        <v>184330645.72206077</v>
      </c>
      <c r="AD16" s="526">
        <v>188370514.59844753</v>
      </c>
      <c r="AE16" s="526">
        <v>191872449.8690145</v>
      </c>
      <c r="AF16" s="526">
        <v>196258901.06991079</v>
      </c>
      <c r="AG16" s="526">
        <v>199876007.44810826</v>
      </c>
      <c r="AH16" s="526">
        <v>203457749.84588927</v>
      </c>
      <c r="AI16" s="526">
        <v>207171483.02258462</v>
      </c>
      <c r="AJ16" s="526">
        <v>210912968.46042624</v>
      </c>
    </row>
    <row r="17" spans="1:36" ht="14.5" x14ac:dyDescent="0.3">
      <c r="A17" s="49"/>
      <c r="B17" s="125"/>
      <c r="C17" s="525" t="s">
        <v>161</v>
      </c>
      <c r="D17" s="526"/>
      <c r="E17" s="526">
        <f t="shared" ref="E17:F17" si="1">+(E16-D16)/D16</f>
        <v>1.2105102847670362E-4</v>
      </c>
      <c r="F17" s="526">
        <f t="shared" si="1"/>
        <v>-7.7876070909342163E-2</v>
      </c>
      <c r="G17" s="526">
        <f>+(G16-F16)/F16</f>
        <v>4.2352512417256946E-2</v>
      </c>
      <c r="H17" s="526">
        <v>2.6999999999999899E-2</v>
      </c>
      <c r="I17" s="526">
        <v>3.0999999999999878E-2</v>
      </c>
      <c r="J17" s="526">
        <v>3.0000000000000037E-2</v>
      </c>
      <c r="K17" s="526">
        <v>2.6999999999999951E-2</v>
      </c>
      <c r="L17" s="526">
        <v>2.2999999999999916E-2</v>
      </c>
      <c r="M17" s="526">
        <v>3.1848225941702696E-2</v>
      </c>
      <c r="N17" s="526">
        <v>2.8461724666800917E-2</v>
      </c>
      <c r="O17" s="526">
        <v>2.1959772088564766E-2</v>
      </c>
      <c r="P17" s="526">
        <v>2.3820424150676402E-2</v>
      </c>
      <c r="Q17" s="526">
        <v>3.1678202740444431E-2</v>
      </c>
      <c r="R17" s="526">
        <v>2.46686231798234E-2</v>
      </c>
      <c r="S17" s="526">
        <v>2.8914332369927402E-2</v>
      </c>
      <c r="T17" s="526">
        <v>2.3666559688566621E-2</v>
      </c>
      <c r="U17" s="526">
        <v>2.3644563428100032E-2</v>
      </c>
      <c r="V17" s="526">
        <v>2.553786741394963E-2</v>
      </c>
      <c r="W17" s="526">
        <v>2.2691248606760143E-2</v>
      </c>
      <c r="X17" s="526">
        <v>2.3426989166337061E-2</v>
      </c>
      <c r="Y17" s="526">
        <v>2.5210937736164583E-2</v>
      </c>
      <c r="Z17" s="526">
        <v>2.2714646091597963E-2</v>
      </c>
      <c r="AA17" s="526">
        <v>2.2825748292072491E-2</v>
      </c>
      <c r="AB17" s="526">
        <v>2.2280909082021228E-2</v>
      </c>
      <c r="AC17" s="526">
        <v>1.7492826725490636E-2</v>
      </c>
      <c r="AD17" s="526">
        <v>2.1916425565384295E-2</v>
      </c>
      <c r="AE17" s="526">
        <v>1.8590676348854761E-2</v>
      </c>
      <c r="AF17" s="526">
        <v>2.286128729732069E-2</v>
      </c>
      <c r="AG17" s="526">
        <v>1.8430279383399691E-2</v>
      </c>
      <c r="AH17" s="526">
        <v>1.79198216109599E-2</v>
      </c>
      <c r="AI17" s="526">
        <v>1.8253092740425594E-2</v>
      </c>
      <c r="AJ17" s="526">
        <v>1.8059847732198486E-2</v>
      </c>
    </row>
    <row r="18" spans="1:36" ht="14.5" x14ac:dyDescent="0.3">
      <c r="A18" s="944"/>
      <c r="B18" s="125"/>
      <c r="C18" s="529"/>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row>
    <row r="19" spans="1:36" ht="14.5" x14ac:dyDescent="0.3">
      <c r="A19" s="49"/>
      <c r="B19" s="523"/>
      <c r="C19" s="524" t="s">
        <v>162</v>
      </c>
      <c r="D19" s="954"/>
      <c r="E19" s="954"/>
      <c r="F19" s="954"/>
      <c r="G19" s="954"/>
      <c r="H19" s="954"/>
      <c r="I19" s="954"/>
      <c r="J19" s="954"/>
      <c r="K19" s="954"/>
      <c r="L19" s="954"/>
      <c r="M19" s="954"/>
      <c r="N19" s="954"/>
      <c r="O19" s="954"/>
      <c r="P19" s="954"/>
      <c r="Q19" s="954"/>
      <c r="R19" s="954"/>
      <c r="S19" s="954"/>
      <c r="T19" s="954"/>
      <c r="U19" s="954"/>
      <c r="V19" s="954"/>
      <c r="W19" s="954"/>
      <c r="X19" s="954"/>
      <c r="Y19" s="954"/>
      <c r="Z19" s="954"/>
      <c r="AA19" s="954"/>
      <c r="AB19" s="954"/>
      <c r="AC19" s="954"/>
      <c r="AD19" s="954"/>
      <c r="AE19" s="954"/>
      <c r="AF19" s="954"/>
      <c r="AG19" s="954"/>
      <c r="AH19" s="954"/>
      <c r="AI19" s="954"/>
      <c r="AJ19" s="954"/>
    </row>
    <row r="20" spans="1:36" ht="14.5" x14ac:dyDescent="0.3">
      <c r="A20" s="49"/>
      <c r="B20" s="125"/>
      <c r="C20" s="525" t="s">
        <v>160</v>
      </c>
      <c r="D20" s="526">
        <v>110440516.34079282</v>
      </c>
      <c r="E20" s="526">
        <v>110453885.27888137</v>
      </c>
      <c r="F20" s="526">
        <v>101852170.67669086</v>
      </c>
      <c r="G20" s="526">
        <v>106165865.99999999</v>
      </c>
      <c r="H20" s="526">
        <v>109032344.38199997</v>
      </c>
      <c r="I20" s="526">
        <v>112412347.05784196</v>
      </c>
      <c r="J20" s="526">
        <v>115784717.46957722</v>
      </c>
      <c r="K20" s="526">
        <v>118910904.8412558</v>
      </c>
      <c r="L20" s="526">
        <v>121645855.65260467</v>
      </c>
      <c r="M20" s="526">
        <v>126183562.99026848</v>
      </c>
      <c r="N20" s="526">
        <v>131193975.58733518</v>
      </c>
      <c r="O20" s="526">
        <v>135061157.17287022</v>
      </c>
      <c r="P20" s="526">
        <v>139634385.99509183</v>
      </c>
      <c r="Q20" s="526">
        <v>145425877.07259119</v>
      </c>
      <c r="R20" s="526">
        <v>151086930.41669226</v>
      </c>
      <c r="S20" s="526">
        <v>158424262.22969881</v>
      </c>
      <c r="T20" s="526">
        <v>164688548.38544574</v>
      </c>
      <c r="U20" s="526">
        <v>171636873.51237479</v>
      </c>
      <c r="V20" s="526">
        <v>179407921.52259108</v>
      </c>
      <c r="W20" s="526">
        <v>186754640.47394875</v>
      </c>
      <c r="X20" s="526">
        <v>194913399.66525885</v>
      </c>
      <c r="Y20" s="526">
        <v>204019828.20392865</v>
      </c>
      <c r="Z20" s="526">
        <v>212606454.56931537</v>
      </c>
      <c r="AA20" s="526">
        <v>222057325.73941287</v>
      </c>
      <c r="AB20" s="526">
        <v>231842040.63934517</v>
      </c>
      <c r="AC20" s="526">
        <v>240866643.93940598</v>
      </c>
      <c r="AD20" s="526">
        <v>251650930.86432067</v>
      </c>
      <c r="AE20" s="526">
        <v>261819950.96059179</v>
      </c>
      <c r="AF20" s="526">
        <v>274420582.87190092</v>
      </c>
      <c r="AG20" s="526">
        <v>285553660.76379412</v>
      </c>
      <c r="AH20" s="526">
        <v>297589137.54140568</v>
      </c>
      <c r="AI20" s="526">
        <v>310413703.84900421</v>
      </c>
      <c r="AJ20" s="526">
        <v>323832891.48467642</v>
      </c>
    </row>
    <row r="21" spans="1:36" ht="14.5" x14ac:dyDescent="0.3">
      <c r="A21" s="49"/>
      <c r="B21" s="125"/>
      <c r="C21" s="525" t="s">
        <v>161</v>
      </c>
      <c r="D21" s="526"/>
      <c r="E21" s="526">
        <v>1.2105102847670362E-4</v>
      </c>
      <c r="F21" s="526">
        <v>-7.7876070909342163E-2</v>
      </c>
      <c r="G21" s="526">
        <v>4.2352512417256946E-2</v>
      </c>
      <c r="H21" s="526">
        <v>2.6999999999999899E-2</v>
      </c>
      <c r="I21" s="526">
        <v>3.0999999999999878E-2</v>
      </c>
      <c r="J21" s="526">
        <v>3.0000000000000037E-2</v>
      </c>
      <c r="K21" s="526">
        <v>2.6999999999999951E-2</v>
      </c>
      <c r="L21" s="526">
        <v>2.2999999999999916E-2</v>
      </c>
      <c r="M21" s="526">
        <v>3.7302605282522404E-2</v>
      </c>
      <c r="N21" s="526">
        <v>3.9707331750119541E-2</v>
      </c>
      <c r="O21" s="526">
        <v>2.9476822912197581E-2</v>
      </c>
      <c r="P21" s="526">
        <v>3.3860429733829037E-2</v>
      </c>
      <c r="Q21" s="526">
        <v>4.1476109457042519E-2</v>
      </c>
      <c r="R21" s="526">
        <v>3.8927414144287929E-2</v>
      </c>
      <c r="S21" s="526">
        <v>4.856364341224257E-2</v>
      </c>
      <c r="T21" s="526">
        <v>3.9541204532575827E-2</v>
      </c>
      <c r="U21" s="526">
        <v>4.2190699930554985E-2</v>
      </c>
      <c r="V21" s="526">
        <v>4.5276098609754921E-2</v>
      </c>
      <c r="W21" s="526">
        <v>4.0949802489253923E-2</v>
      </c>
      <c r="X21" s="526">
        <v>4.368704933170426E-2</v>
      </c>
      <c r="Y21" s="526">
        <v>4.6720382253395656E-2</v>
      </c>
      <c r="Z21" s="526">
        <v>4.2087214958361444E-2</v>
      </c>
      <c r="AA21" s="526">
        <v>4.4452418856438185E-2</v>
      </c>
      <c r="AB21" s="526">
        <v>4.4063913979648678E-2</v>
      </c>
      <c r="AC21" s="526">
        <v>3.8925655050196656E-2</v>
      </c>
      <c r="AD21" s="526">
        <v>4.4772853345470605E-2</v>
      </c>
      <c r="AE21" s="526">
        <v>4.0409229011570041E-2</v>
      </c>
      <c r="AF21" s="526">
        <v>4.8127088348610028E-2</v>
      </c>
      <c r="AG21" s="526">
        <v>4.056939816752065E-2</v>
      </c>
      <c r="AH21" s="526">
        <v>4.2147863716470217E-2</v>
      </c>
      <c r="AI21" s="526">
        <v>4.3094873736156183E-2</v>
      </c>
      <c r="AJ21" s="526">
        <v>4.3230010367711708E-2</v>
      </c>
    </row>
    <row r="22" spans="1:36" ht="14.5" x14ac:dyDescent="0.3">
      <c r="A22" s="944"/>
      <c r="B22" s="125"/>
      <c r="C22" s="529"/>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row>
    <row r="23" spans="1:36" ht="14.5" x14ac:dyDescent="0.3">
      <c r="A23" s="49"/>
      <c r="B23" s="523"/>
      <c r="C23" s="524" t="s">
        <v>163</v>
      </c>
      <c r="D23" s="954"/>
      <c r="E23" s="954"/>
      <c r="F23" s="954"/>
      <c r="G23" s="954"/>
      <c r="H23" s="954"/>
      <c r="I23" s="954"/>
      <c r="J23" s="954"/>
      <c r="K23" s="954"/>
      <c r="L23" s="954"/>
      <c r="M23" s="954"/>
      <c r="N23" s="954"/>
      <c r="O23" s="954"/>
      <c r="P23" s="954"/>
      <c r="Q23" s="954"/>
      <c r="R23" s="954"/>
      <c r="S23" s="954"/>
      <c r="T23" s="954"/>
      <c r="U23" s="954"/>
      <c r="V23" s="954"/>
      <c r="W23" s="954"/>
      <c r="X23" s="954"/>
      <c r="Y23" s="954"/>
      <c r="Z23" s="954"/>
      <c r="AA23" s="954"/>
      <c r="AB23" s="954"/>
      <c r="AC23" s="954"/>
      <c r="AD23" s="954"/>
      <c r="AE23" s="954"/>
      <c r="AF23" s="954"/>
      <c r="AG23" s="954"/>
      <c r="AH23" s="954"/>
      <c r="AI23" s="954"/>
      <c r="AJ23" s="954"/>
    </row>
    <row r="24" spans="1:36" ht="14.5" x14ac:dyDescent="0.3">
      <c r="A24" s="49"/>
      <c r="B24" s="125"/>
      <c r="C24" s="525" t="s">
        <v>160</v>
      </c>
      <c r="D24" s="526">
        <v>110440516.34079282</v>
      </c>
      <c r="E24" s="526">
        <v>110453885.27888137</v>
      </c>
      <c r="F24" s="526">
        <v>101852170.67669086</v>
      </c>
      <c r="G24" s="526">
        <v>106165865.99999999</v>
      </c>
      <c r="H24" s="526">
        <v>109032344.38199997</v>
      </c>
      <c r="I24" s="526">
        <v>112412347.05784196</v>
      </c>
      <c r="J24" s="526">
        <v>115784717.46957722</v>
      </c>
      <c r="K24" s="526">
        <v>118910904.8412558</v>
      </c>
      <c r="L24" s="526">
        <v>121645855.65260467</v>
      </c>
      <c r="M24" s="526">
        <v>123980215.14809938</v>
      </c>
      <c r="N24" s="526">
        <v>126281672.28276457</v>
      </c>
      <c r="O24" s="526">
        <v>128262388.28510691</v>
      </c>
      <c r="P24" s="526">
        <v>130151862.32447936</v>
      </c>
      <c r="Q24" s="526">
        <v>132936414.88427544</v>
      </c>
      <c r="R24" s="526">
        <v>135473944.75165266</v>
      </c>
      <c r="S24" s="526">
        <v>138003900.19606236</v>
      </c>
      <c r="T24" s="526">
        <v>140438969.01560619</v>
      </c>
      <c r="U24" s="526">
        <v>142623245.28233594</v>
      </c>
      <c r="V24" s="526">
        <v>145021209.7391898</v>
      </c>
      <c r="W24" s="526">
        <v>147340027.16671008</v>
      </c>
      <c r="X24" s="526">
        <v>149601310.48729944</v>
      </c>
      <c r="Y24" s="526">
        <v>152090857.87181428</v>
      </c>
      <c r="Z24" s="526">
        <v>154601760.75108746</v>
      </c>
      <c r="AA24" s="526">
        <v>156945660.91060784</v>
      </c>
      <c r="AB24" s="526">
        <v>159310225.8698099</v>
      </c>
      <c r="AC24" s="526">
        <v>161050219.93043277</v>
      </c>
      <c r="AD24" s="526">
        <v>163393981.78364742</v>
      </c>
      <c r="AE24" s="526">
        <v>165484296.85837981</v>
      </c>
      <c r="AF24" s="526">
        <v>167851044.69485354</v>
      </c>
      <c r="AG24" s="526">
        <v>170101117.32687795</v>
      </c>
      <c r="AH24" s="526">
        <v>172040235.42772919</v>
      </c>
      <c r="AI24" s="526">
        <v>174042103.01801601</v>
      </c>
      <c r="AJ24" s="526">
        <v>176069557.80449656</v>
      </c>
    </row>
    <row r="25" spans="1:36" ht="14.5" x14ac:dyDescent="0.3">
      <c r="A25" s="49"/>
      <c r="B25" s="125"/>
      <c r="C25" s="525" t="s">
        <v>161</v>
      </c>
      <c r="D25" s="526"/>
      <c r="E25" s="526">
        <v>1.2105102847670362E-4</v>
      </c>
      <c r="F25" s="526">
        <v>-7.7876070909342163E-2</v>
      </c>
      <c r="G25" s="526">
        <v>4.2352512417256946E-2</v>
      </c>
      <c r="H25" s="526">
        <v>2.7000000000000003E-2</v>
      </c>
      <c r="I25" s="526">
        <v>3.1E-2</v>
      </c>
      <c r="J25" s="526">
        <v>0.03</v>
      </c>
      <c r="K25" s="526">
        <v>2.7000000000000003E-2</v>
      </c>
      <c r="L25" s="526">
        <v>2.3E-2</v>
      </c>
      <c r="M25" s="526">
        <v>1.9189798805486279E-2</v>
      </c>
      <c r="N25" s="526">
        <v>1.8563100022983555E-2</v>
      </c>
      <c r="O25" s="526">
        <v>1.5684904757257413E-2</v>
      </c>
      <c r="P25" s="526">
        <v>1.4731318078784158E-2</v>
      </c>
      <c r="Q25" s="526">
        <v>2.1394642458929698E-2</v>
      </c>
      <c r="R25" s="526">
        <v>1.9088297736825542E-2</v>
      </c>
      <c r="S25" s="526">
        <v>1.8674848872582545E-2</v>
      </c>
      <c r="T25" s="526">
        <v>1.7644927542513896E-2</v>
      </c>
      <c r="U25" s="526">
        <v>1.5553206364588196E-2</v>
      </c>
      <c r="V25" s="526">
        <v>1.6813279294738137E-2</v>
      </c>
      <c r="W25" s="526">
        <v>1.5989505477788286E-2</v>
      </c>
      <c r="X25" s="526">
        <v>1.5347379555121138E-2</v>
      </c>
      <c r="Y25" s="526">
        <v>1.6641213746093418E-2</v>
      </c>
      <c r="Z25" s="526">
        <v>1.6509229511937215E-2</v>
      </c>
      <c r="AA25" s="526">
        <v>1.5160889165383643E-2</v>
      </c>
      <c r="AB25" s="526">
        <v>1.5066137830652474E-2</v>
      </c>
      <c r="AC25" s="526">
        <v>1.0922048795818052E-2</v>
      </c>
      <c r="AD25" s="526">
        <v>1.455298759745288E-2</v>
      </c>
      <c r="AE25" s="526">
        <v>1.2793097101337761E-2</v>
      </c>
      <c r="AF25" s="526">
        <v>1.4301948169131619E-2</v>
      </c>
      <c r="AG25" s="526">
        <v>1.3405175023574816E-2</v>
      </c>
      <c r="AH25" s="526">
        <v>1.1399796375969166E-2</v>
      </c>
      <c r="AI25" s="526">
        <v>1.1636043076259282E-2</v>
      </c>
      <c r="AJ25" s="526">
        <v>1.1649220225008826E-2</v>
      </c>
    </row>
    <row r="26" spans="1:36" ht="14.5" x14ac:dyDescent="0.3">
      <c r="A26" s="944"/>
      <c r="B26" s="125"/>
      <c r="C26" s="529"/>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c r="AE26" s="392"/>
      <c r="AF26" s="392"/>
      <c r="AG26" s="392"/>
      <c r="AH26" s="392"/>
      <c r="AI26" s="392"/>
      <c r="AJ26" s="392"/>
    </row>
    <row r="27" spans="1:36" ht="14.5" x14ac:dyDescent="0.3">
      <c r="A27" s="49"/>
      <c r="B27" s="523"/>
      <c r="C27" s="524" t="s">
        <v>164</v>
      </c>
      <c r="D27" s="1095"/>
      <c r="E27" s="1095"/>
      <c r="F27" s="1095"/>
      <c r="G27" s="1095"/>
      <c r="H27" s="954"/>
      <c r="I27" s="954"/>
      <c r="J27" s="954"/>
      <c r="K27" s="954"/>
      <c r="L27" s="954"/>
      <c r="M27" s="954"/>
      <c r="N27" s="954"/>
      <c r="O27" s="954"/>
      <c r="P27" s="954"/>
      <c r="Q27" s="954"/>
      <c r="R27" s="954"/>
      <c r="S27" s="954"/>
      <c r="T27" s="954"/>
      <c r="U27" s="954"/>
      <c r="V27" s="954"/>
      <c r="W27" s="954"/>
      <c r="X27" s="954"/>
      <c r="Y27" s="954"/>
      <c r="Z27" s="954"/>
      <c r="AA27" s="954"/>
      <c r="AB27" s="954"/>
      <c r="AC27" s="954"/>
      <c r="AD27" s="954"/>
      <c r="AE27" s="954"/>
      <c r="AF27" s="954"/>
      <c r="AG27" s="954"/>
      <c r="AH27" s="954"/>
      <c r="AI27" s="954"/>
      <c r="AJ27" s="954"/>
    </row>
    <row r="28" spans="1:36" ht="14.5" x14ac:dyDescent="0.3">
      <c r="A28" s="49"/>
      <c r="B28" s="523"/>
      <c r="D28" s="954"/>
      <c r="E28" s="954"/>
      <c r="F28" s="954"/>
      <c r="G28" s="954"/>
      <c r="H28" s="954"/>
      <c r="I28" s="954"/>
      <c r="J28" s="954"/>
      <c r="K28" s="954"/>
      <c r="L28" s="954"/>
      <c r="M28" s="954"/>
      <c r="N28" s="954"/>
      <c r="O28" s="954"/>
      <c r="P28" s="954"/>
      <c r="Q28" s="954"/>
      <c r="R28" s="954"/>
      <c r="S28" s="954"/>
      <c r="T28" s="954"/>
      <c r="U28" s="954"/>
      <c r="V28" s="954"/>
      <c r="W28" s="954"/>
      <c r="X28" s="954"/>
      <c r="Y28" s="954"/>
      <c r="Z28" s="954"/>
      <c r="AA28" s="954"/>
      <c r="AB28" s="954"/>
      <c r="AC28" s="954"/>
      <c r="AD28" s="954"/>
      <c r="AE28" s="954"/>
      <c r="AF28" s="954"/>
      <c r="AG28" s="954"/>
      <c r="AH28" s="954"/>
      <c r="AI28" s="954"/>
      <c r="AJ28" s="954"/>
    </row>
    <row r="29" spans="1:36" ht="14.5" x14ac:dyDescent="0.3">
      <c r="A29" s="49"/>
      <c r="B29" s="125"/>
      <c r="C29" s="524" t="s">
        <v>165</v>
      </c>
      <c r="D29" s="526"/>
      <c r="E29" s="526"/>
      <c r="F29" s="526"/>
      <c r="G29" s="526"/>
      <c r="H29" s="526"/>
      <c r="I29" s="526"/>
      <c r="J29" s="526"/>
      <c r="K29" s="526"/>
      <c r="L29" s="526"/>
      <c r="M29" s="526"/>
      <c r="N29" s="526"/>
      <c r="O29" s="526"/>
      <c r="P29" s="526"/>
      <c r="Q29" s="526"/>
      <c r="R29" s="526"/>
      <c r="S29" s="526"/>
      <c r="T29" s="526"/>
      <c r="U29" s="526"/>
      <c r="V29" s="526"/>
      <c r="W29" s="526"/>
      <c r="X29" s="526"/>
      <c r="Y29" s="526"/>
      <c r="Z29" s="526"/>
      <c r="AA29" s="526"/>
      <c r="AB29" s="526"/>
      <c r="AC29" s="526"/>
      <c r="AD29" s="526"/>
      <c r="AE29" s="526"/>
      <c r="AF29" s="526"/>
      <c r="AG29" s="526"/>
      <c r="AH29" s="526"/>
      <c r="AI29" s="526"/>
      <c r="AJ29" s="526"/>
    </row>
    <row r="30" spans="1:36" ht="14.5" x14ac:dyDescent="0.3">
      <c r="A30" s="49"/>
      <c r="B30" s="125"/>
      <c r="C30" s="525" t="s">
        <v>166</v>
      </c>
      <c r="D30" s="526"/>
      <c r="E30" s="526"/>
      <c r="F30" s="526"/>
      <c r="G30" s="526">
        <v>11028075.445731562</v>
      </c>
      <c r="H30" s="526">
        <v>11407863.837986894</v>
      </c>
      <c r="I30" s="526">
        <v>11743435.490841135</v>
      </c>
      <c r="J30" s="526">
        <v>12109217.097557349</v>
      </c>
      <c r="K30" s="526">
        <v>12395282.315002289</v>
      </c>
      <c r="L30" s="526">
        <v>12636981.938204726</v>
      </c>
      <c r="M30" s="526">
        <v>12958076.974870292</v>
      </c>
      <c r="N30" s="526">
        <v>13237104.710606275</v>
      </c>
      <c r="O30" s="526">
        <v>13402557.503848925</v>
      </c>
      <c r="P30" s="526">
        <v>13597211.405999383</v>
      </c>
      <c r="Q30" s="526">
        <v>13881504.106603147</v>
      </c>
      <c r="R30" s="526">
        <v>14068747.817708187</v>
      </c>
      <c r="S30" s="526">
        <v>14310693.370956618</v>
      </c>
      <c r="T30" s="526">
        <v>14481998.597768158</v>
      </c>
      <c r="U30" s="526">
        <v>14661880.18618246</v>
      </c>
      <c r="V30" s="526">
        <v>14879623.663289385</v>
      </c>
      <c r="W30" s="526">
        <v>15076447.176957149</v>
      </c>
      <c r="X30" s="526">
        <v>15302556.914702144</v>
      </c>
      <c r="Y30" s="526">
        <v>15584161.632784216</v>
      </c>
      <c r="Z30" s="526">
        <v>15852246.439967619</v>
      </c>
      <c r="AA30" s="526">
        <v>16154988.203958189</v>
      </c>
      <c r="AB30" s="526">
        <v>16475218.101647552</v>
      </c>
      <c r="AC30" s="526">
        <v>16750070.176090224</v>
      </c>
      <c r="AD30" s="526">
        <v>17121125.353931632</v>
      </c>
      <c r="AE30" s="526">
        <v>17465868.716215648</v>
      </c>
      <c r="AF30" s="526">
        <v>17904575.66853638</v>
      </c>
      <c r="AG30" s="526">
        <v>18290577.526791025</v>
      </c>
      <c r="AH30" s="526">
        <v>18681161.156369116</v>
      </c>
      <c r="AI30" s="526">
        <v>19094516.078419615</v>
      </c>
      <c r="AJ30" s="526">
        <v>19511992.061041556</v>
      </c>
    </row>
    <row r="31" spans="1:36" ht="14.5" x14ac:dyDescent="0.3">
      <c r="A31" s="944"/>
      <c r="B31" s="125"/>
      <c r="C31" s="525" t="s">
        <v>161</v>
      </c>
      <c r="D31" s="525"/>
      <c r="E31" s="525"/>
      <c r="F31" s="526"/>
      <c r="G31" s="527"/>
      <c r="H31" s="527">
        <v>3.4438320097123581E-2</v>
      </c>
      <c r="I31" s="527">
        <v>2.9415818563404118E-2</v>
      </c>
      <c r="J31" s="527">
        <v>3.1147751184182157E-2</v>
      </c>
      <c r="K31" s="527">
        <v>2.362375826118801E-2</v>
      </c>
      <c r="L31" s="527">
        <v>1.9499323779814441E-2</v>
      </c>
      <c r="M31" s="527">
        <v>2.5409155305889646E-2</v>
      </c>
      <c r="N31" s="527">
        <v>2.1533112997947419E-2</v>
      </c>
      <c r="O31" s="527">
        <v>1.2499167821047793E-2</v>
      </c>
      <c r="P31" s="527">
        <v>1.4523638648411493E-2</v>
      </c>
      <c r="Q31" s="527">
        <v>2.0908162130826944E-2</v>
      </c>
      <c r="R31" s="527">
        <v>1.3488719209899693E-2</v>
      </c>
      <c r="S31" s="527">
        <v>1.7197376510217716E-2</v>
      </c>
      <c r="T31" s="527">
        <v>1.1970435140424522E-2</v>
      </c>
      <c r="U31" s="527">
        <v>1.2421047219409613E-2</v>
      </c>
      <c r="V31" s="527">
        <v>1.4850992801873342E-2</v>
      </c>
      <c r="W31" s="527">
        <v>1.3227721219412418E-2</v>
      </c>
      <c r="X31" s="527">
        <v>1.4997547836772892E-2</v>
      </c>
      <c r="Y31" s="527">
        <v>1.840246173575846E-2</v>
      </c>
      <c r="Z31" s="527">
        <v>1.7202388777811231E-2</v>
      </c>
      <c r="AA31" s="527">
        <v>1.9097720006880505E-2</v>
      </c>
      <c r="AB31" s="527">
        <v>1.9822354163706684E-2</v>
      </c>
      <c r="AC31" s="527">
        <v>1.6682757869844887E-2</v>
      </c>
      <c r="AD31" s="527">
        <v>2.2152455120520536E-2</v>
      </c>
      <c r="AE31" s="527">
        <v>2.0135555061796817E-2</v>
      </c>
      <c r="AF31" s="527">
        <v>2.5117957740826726E-2</v>
      </c>
      <c r="AG31" s="527">
        <v>2.1558838667869919E-2</v>
      </c>
      <c r="AH31" s="527">
        <v>2.1354362868312163E-2</v>
      </c>
      <c r="AI31" s="527">
        <v>2.2126832405681061E-2</v>
      </c>
      <c r="AJ31" s="527">
        <v>2.1863658702184544E-2</v>
      </c>
    </row>
    <row r="32" spans="1:36" ht="14.5" x14ac:dyDescent="0.3">
      <c r="A32" s="944"/>
      <c r="B32" s="125"/>
      <c r="C32" s="524" t="s">
        <v>167</v>
      </c>
      <c r="D32" s="526"/>
      <c r="E32" s="526"/>
      <c r="F32" s="526"/>
      <c r="G32" s="526"/>
      <c r="H32" s="526"/>
      <c r="I32" s="526"/>
      <c r="J32" s="526"/>
      <c r="K32" s="526"/>
      <c r="L32" s="526"/>
      <c r="M32" s="526"/>
      <c r="N32" s="526"/>
      <c r="O32" s="526"/>
      <c r="P32" s="526"/>
      <c r="Q32" s="526"/>
      <c r="R32" s="526"/>
      <c r="S32" s="526"/>
      <c r="T32" s="526"/>
      <c r="U32" s="526"/>
      <c r="V32" s="526"/>
      <c r="W32" s="526"/>
      <c r="X32" s="526"/>
      <c r="Y32" s="526"/>
      <c r="Z32" s="526"/>
      <c r="AA32" s="526"/>
      <c r="AB32" s="526"/>
      <c r="AC32" s="526"/>
      <c r="AD32" s="526"/>
      <c r="AE32" s="526"/>
      <c r="AF32" s="526"/>
      <c r="AG32" s="526"/>
      <c r="AH32" s="526"/>
      <c r="AI32" s="526"/>
      <c r="AJ32" s="526"/>
    </row>
    <row r="33" spans="1:36" ht="14.5" x14ac:dyDescent="0.3">
      <c r="A33" s="944"/>
      <c r="B33" s="125"/>
      <c r="C33" s="525" t="s">
        <v>168</v>
      </c>
      <c r="D33" s="526"/>
      <c r="E33" s="526"/>
      <c r="F33" s="526"/>
      <c r="G33" s="526">
        <v>10102374.829310875</v>
      </c>
      <c r="H33" s="526">
        <v>10441572.744471667</v>
      </c>
      <c r="I33" s="526">
        <v>10665717.048028577</v>
      </c>
      <c r="J33" s="526">
        <v>11062140.685814507</v>
      </c>
      <c r="K33" s="526">
        <v>11260682.006677117</v>
      </c>
      <c r="L33" s="526">
        <v>11593334.517363831</v>
      </c>
      <c r="M33" s="526">
        <v>11868300.946329547</v>
      </c>
      <c r="N33" s="526">
        <v>12269141.518827399</v>
      </c>
      <c r="O33" s="526">
        <v>12454378.174022589</v>
      </c>
      <c r="P33" s="526">
        <v>12809347.408398246</v>
      </c>
      <c r="Q33" s="526">
        <v>13134036.321132589</v>
      </c>
      <c r="R33" s="526">
        <v>13509101.999355322</v>
      </c>
      <c r="S33" s="526">
        <v>13824040.027359495</v>
      </c>
      <c r="T33" s="526">
        <v>14194897.570680602</v>
      </c>
      <c r="U33" s="526">
        <v>14461149.59614272</v>
      </c>
      <c r="V33" s="526">
        <v>14866846.67526816</v>
      </c>
      <c r="W33" s="526">
        <v>15140781.144716945</v>
      </c>
      <c r="X33" s="526">
        <v>15525018.655106148</v>
      </c>
      <c r="Y33" s="526">
        <v>15858302.56847213</v>
      </c>
      <c r="Z33" s="526">
        <v>16241972.166647723</v>
      </c>
      <c r="AA33" s="526">
        <v>16559467.812588839</v>
      </c>
      <c r="AB33" s="526">
        <v>16946242.039641462</v>
      </c>
      <c r="AC33" s="526">
        <v>17193951.217458818</v>
      </c>
      <c r="AD33" s="526">
        <v>17583424.5227792</v>
      </c>
      <c r="AE33" s="526">
        <v>17865440.068096355</v>
      </c>
      <c r="AF33" s="526">
        <v>18281930.183704648</v>
      </c>
      <c r="AG33" s="526">
        <v>18577258.70457096</v>
      </c>
      <c r="AH33" s="526">
        <v>18914141.412051436</v>
      </c>
      <c r="AI33" s="526">
        <v>19220722.672940645</v>
      </c>
      <c r="AJ33" s="526">
        <v>19568240.236587573</v>
      </c>
    </row>
    <row r="34" spans="1:36" ht="14.5" x14ac:dyDescent="0.3">
      <c r="A34" s="944"/>
      <c r="B34" s="125"/>
      <c r="C34" s="525" t="s">
        <v>161</v>
      </c>
      <c r="D34" s="526"/>
      <c r="E34" s="526"/>
      <c r="F34" s="526"/>
      <c r="G34" s="528"/>
      <c r="H34" s="528">
        <v>3.3576057203564484E-2</v>
      </c>
      <c r="I34" s="528">
        <v>2.14665270301913E-2</v>
      </c>
      <c r="J34" s="528">
        <v>3.7168024990800227E-2</v>
      </c>
      <c r="K34" s="528">
        <v>1.7947820996094235E-2</v>
      </c>
      <c r="L34" s="528">
        <v>2.9541062476452586E-2</v>
      </c>
      <c r="M34" s="528">
        <v>2.3717630898503511E-2</v>
      </c>
      <c r="N34" s="528">
        <v>3.3774048560996271E-2</v>
      </c>
      <c r="O34" s="528">
        <v>1.5097768243274228E-2</v>
      </c>
      <c r="P34" s="528">
        <v>2.8501562214969054E-2</v>
      </c>
      <c r="Q34" s="528">
        <v>2.534781065594845E-2</v>
      </c>
      <c r="R34" s="528">
        <v>2.8556771814255918E-2</v>
      </c>
      <c r="S34" s="528">
        <v>2.3313024656946301E-2</v>
      </c>
      <c r="T34" s="528">
        <v>2.6827001555777715E-2</v>
      </c>
      <c r="U34" s="528">
        <v>1.8756882473886915E-2</v>
      </c>
      <c r="V34" s="528">
        <v>2.805427579793884E-2</v>
      </c>
      <c r="W34" s="528">
        <v>1.8425862284871065E-2</v>
      </c>
      <c r="X34" s="528">
        <v>2.5377654344028E-2</v>
      </c>
      <c r="Y34" s="528">
        <v>2.1467537061951682E-2</v>
      </c>
      <c r="Z34" s="528">
        <v>2.4193610666652668E-2</v>
      </c>
      <c r="AA34" s="528">
        <v>1.9547850635594687E-2</v>
      </c>
      <c r="AB34" s="528">
        <v>2.3356682197153093E-2</v>
      </c>
      <c r="AC34" s="528">
        <v>1.4617351577883913E-2</v>
      </c>
      <c r="AD34" s="528">
        <v>2.2651762843488184E-2</v>
      </c>
      <c r="AE34" s="528">
        <v>1.6038715606951609E-2</v>
      </c>
      <c r="AF34" s="528">
        <v>2.3312614412003819E-2</v>
      </c>
      <c r="AG34" s="528">
        <v>1.6154121468506054E-2</v>
      </c>
      <c r="AH34" s="528">
        <v>1.8134145238424486E-2</v>
      </c>
      <c r="AI34" s="528">
        <v>1.6209102713690554E-2</v>
      </c>
      <c r="AJ34" s="528">
        <v>1.808035886892902E-2</v>
      </c>
    </row>
    <row r="35" spans="1:36" ht="14.5" x14ac:dyDescent="0.3">
      <c r="A35" s="944"/>
      <c r="B35" s="125"/>
      <c r="C35" s="525"/>
      <c r="D35" s="526"/>
      <c r="E35" s="526"/>
      <c r="F35" s="526"/>
      <c r="G35" s="526"/>
      <c r="H35" s="526"/>
      <c r="I35" s="526"/>
      <c r="J35" s="526"/>
      <c r="K35" s="526"/>
      <c r="L35" s="526"/>
      <c r="M35" s="526"/>
      <c r="N35" s="526"/>
      <c r="O35" s="526"/>
      <c r="P35" s="526"/>
      <c r="Q35" s="526"/>
      <c r="R35" s="526"/>
      <c r="S35" s="526"/>
      <c r="T35" s="526"/>
      <c r="U35" s="526"/>
      <c r="V35" s="526"/>
      <c r="W35" s="526"/>
      <c r="X35" s="526"/>
      <c r="Y35" s="526"/>
      <c r="Z35" s="526"/>
      <c r="AA35" s="526"/>
      <c r="AB35" s="526"/>
      <c r="AC35" s="526"/>
      <c r="AD35" s="526"/>
      <c r="AE35" s="526"/>
      <c r="AF35" s="526"/>
      <c r="AG35" s="526"/>
      <c r="AH35" s="526"/>
      <c r="AI35" s="526"/>
      <c r="AJ35" s="526"/>
    </row>
    <row r="36" spans="1:36" ht="14.5" x14ac:dyDescent="0.3">
      <c r="A36" s="944"/>
      <c r="B36" s="125"/>
      <c r="C36" s="524" t="s">
        <v>169</v>
      </c>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row>
    <row r="37" spans="1:36" ht="14.5" x14ac:dyDescent="0.3">
      <c r="A37" s="944"/>
      <c r="B37" s="125"/>
      <c r="C37" s="525" t="s">
        <v>170</v>
      </c>
      <c r="D37" s="526"/>
      <c r="E37" s="526"/>
      <c r="F37" s="526"/>
      <c r="G37" s="526">
        <v>3294063.3185506826</v>
      </c>
      <c r="H37" s="526">
        <v>3555861.7435608581</v>
      </c>
      <c r="I37" s="526">
        <v>3617250.8644866813</v>
      </c>
      <c r="J37" s="526">
        <v>3918049.3264679457</v>
      </c>
      <c r="K37" s="526">
        <v>3974907.2970251949</v>
      </c>
      <c r="L37" s="526">
        <v>4258788.7669565016</v>
      </c>
      <c r="M37" s="526">
        <v>4353139.4224606985</v>
      </c>
      <c r="N37" s="526">
        <v>4665919.7094325433</v>
      </c>
      <c r="O37" s="526">
        <v>4736227.3823269727</v>
      </c>
      <c r="P37" s="526">
        <v>5031785.4891453963</v>
      </c>
      <c r="Q37" s="526">
        <v>5167013.6418712297</v>
      </c>
      <c r="R37" s="526">
        <v>5467260.8951922879</v>
      </c>
      <c r="S37" s="526">
        <v>5613108.4741399754</v>
      </c>
      <c r="T37" s="526">
        <v>5908044.8615841754</v>
      </c>
      <c r="U37" s="526">
        <v>6048487.5446166545</v>
      </c>
      <c r="V37" s="526">
        <v>6354658.6481789183</v>
      </c>
      <c r="W37" s="526">
        <v>6512158.2601662902</v>
      </c>
      <c r="X37" s="526">
        <v>6806903.1022416772</v>
      </c>
      <c r="Y37" s="526">
        <v>7003424.8657854218</v>
      </c>
      <c r="Z37" s="526">
        <v>7296765.3878218792</v>
      </c>
      <c r="AA37" s="526">
        <v>7498696.6770708291</v>
      </c>
      <c r="AB37" s="526">
        <v>7792955.9508191161</v>
      </c>
      <c r="AC37" s="526">
        <v>7973698.881480041</v>
      </c>
      <c r="AD37" s="526">
        <v>8269153.207795918</v>
      </c>
      <c r="AE37" s="526">
        <v>8475254.2168411836</v>
      </c>
      <c r="AF37" s="526">
        <v>8784740.5129739996</v>
      </c>
      <c r="AG37" s="526">
        <v>9006042.8843750488</v>
      </c>
      <c r="AH37" s="526">
        <v>9278775.6218601093</v>
      </c>
      <c r="AI37" s="526">
        <v>9513418.0555362608</v>
      </c>
      <c r="AJ37" s="526">
        <v>9793216.7587573119</v>
      </c>
    </row>
    <row r="38" spans="1:36" ht="14.5" x14ac:dyDescent="0.3">
      <c r="A38" s="944"/>
      <c r="B38" s="125"/>
      <c r="C38" s="525" t="s">
        <v>161</v>
      </c>
      <c r="D38" s="526"/>
      <c r="E38" s="526"/>
      <c r="F38" s="526"/>
      <c r="G38" s="528"/>
      <c r="H38" s="528">
        <v>7.9475832639841648E-2</v>
      </c>
      <c r="I38" s="528">
        <v>1.726420354699951E-2</v>
      </c>
      <c r="J38" s="528">
        <v>8.3156649414181633E-2</v>
      </c>
      <c r="K38" s="528">
        <v>1.451180570217722E-2</v>
      </c>
      <c r="L38" s="528">
        <v>7.1418387579444326E-2</v>
      </c>
      <c r="M38" s="528">
        <v>2.215434027539797E-2</v>
      </c>
      <c r="N38" s="528">
        <v>7.1851658450911612E-2</v>
      </c>
      <c r="O38" s="528">
        <v>1.5068341778855866E-2</v>
      </c>
      <c r="P38" s="528">
        <v>6.2403698758485684E-2</v>
      </c>
      <c r="Q38" s="528">
        <v>2.687478490836873E-2</v>
      </c>
      <c r="R38" s="528">
        <v>5.8108469249623235E-2</v>
      </c>
      <c r="S38" s="528">
        <v>2.6676535424885361E-2</v>
      </c>
      <c r="T38" s="528">
        <v>5.254421659638233E-2</v>
      </c>
      <c r="U38" s="528">
        <v>2.3771431382601422E-2</v>
      </c>
      <c r="V38" s="528">
        <v>5.0619448466049294E-2</v>
      </c>
      <c r="W38" s="528">
        <v>2.478490517071397E-2</v>
      </c>
      <c r="X38" s="528">
        <v>4.5260700108946769E-2</v>
      </c>
      <c r="Y38" s="528">
        <v>2.8870950649940236E-2</v>
      </c>
      <c r="Z38" s="528">
        <v>4.1885295788571267E-2</v>
      </c>
      <c r="AA38" s="528">
        <v>2.7674082763571948E-2</v>
      </c>
      <c r="AB38" s="528">
        <v>3.9241389060056198E-2</v>
      </c>
      <c r="AC38" s="528">
        <v>2.3193115911546634E-2</v>
      </c>
      <c r="AD38" s="528">
        <v>3.7053609712063292E-2</v>
      </c>
      <c r="AE38" s="528">
        <v>2.4924076730246037E-2</v>
      </c>
      <c r="AF38" s="528">
        <v>3.651646171483984E-2</v>
      </c>
      <c r="AG38" s="528">
        <v>2.5191679944810249E-2</v>
      </c>
      <c r="AH38" s="528">
        <v>3.0283304330943797E-2</v>
      </c>
      <c r="AI38" s="528">
        <v>2.5288081449383402E-2</v>
      </c>
      <c r="AJ38" s="528">
        <v>2.9410954253001033E-2</v>
      </c>
    </row>
    <row r="39" spans="1:36" ht="14.5" x14ac:dyDescent="0.3">
      <c r="A39" s="944"/>
      <c r="B39" s="125"/>
      <c r="C39" s="525"/>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row>
    <row r="40" spans="1:36" ht="14.5" x14ac:dyDescent="0.3">
      <c r="A40" s="49"/>
      <c r="B40" s="523"/>
      <c r="C40" s="524" t="s">
        <v>171</v>
      </c>
      <c r="D40" s="954"/>
      <c r="E40" s="954"/>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row>
    <row r="41" spans="1:36" ht="14.5" x14ac:dyDescent="0.3">
      <c r="A41" s="49"/>
      <c r="B41" s="125"/>
      <c r="C41" s="525" t="s">
        <v>172</v>
      </c>
      <c r="D41" s="526"/>
      <c r="E41" s="526"/>
      <c r="F41" s="526"/>
      <c r="G41" s="526">
        <v>12568272.386424376</v>
      </c>
      <c r="H41" s="526">
        <v>13043257.626756303</v>
      </c>
      <c r="I41" s="526">
        <v>13325429.131351719</v>
      </c>
      <c r="J41" s="526">
        <v>13855045.892752003</v>
      </c>
      <c r="K41" s="526">
        <v>14089476.662089169</v>
      </c>
      <c r="L41" s="526">
        <v>14536381.653979262</v>
      </c>
      <c r="M41" s="526">
        <v>14855780.696810592</v>
      </c>
      <c r="N41" s="526">
        <v>15395232.866787368</v>
      </c>
      <c r="O41" s="526">
        <v>15576803.261044765</v>
      </c>
      <c r="P41" s="526">
        <v>16060951.449970307</v>
      </c>
      <c r="Q41" s="526">
        <v>16425140.925108433</v>
      </c>
      <c r="R41" s="526">
        <v>16936157.767844144</v>
      </c>
      <c r="S41" s="526">
        <v>17292844.438000303</v>
      </c>
      <c r="T41" s="526">
        <v>17796821.469167229</v>
      </c>
      <c r="U41" s="526">
        <v>18096406.737473037</v>
      </c>
      <c r="V41" s="526">
        <v>18640911.920531403</v>
      </c>
      <c r="W41" s="526">
        <v>18953075.911680669</v>
      </c>
      <c r="X41" s="526">
        <v>19467025.961429454</v>
      </c>
      <c r="Y41" s="526">
        <v>19856301.60947473</v>
      </c>
      <c r="Z41" s="526">
        <v>20365186.486339137</v>
      </c>
      <c r="AA41" s="526">
        <v>20737732.396170344</v>
      </c>
      <c r="AB41" s="526">
        <v>21246519.398233954</v>
      </c>
      <c r="AC41" s="526">
        <v>21534827.82915315</v>
      </c>
      <c r="AD41" s="526">
        <v>22043312.337401599</v>
      </c>
      <c r="AE41" s="526">
        <v>22377587.67777472</v>
      </c>
      <c r="AF41" s="526">
        <v>22916651.751743086</v>
      </c>
      <c r="AG41" s="526">
        <v>23270156.559389796</v>
      </c>
      <c r="AH41" s="526">
        <v>23706470.512411814</v>
      </c>
      <c r="AI41" s="526">
        <v>24076272.401540495</v>
      </c>
      <c r="AJ41" s="526">
        <v>24523161.791912057</v>
      </c>
    </row>
    <row r="42" spans="1:36" ht="14.5" x14ac:dyDescent="0.3">
      <c r="A42" s="49"/>
      <c r="B42" s="125"/>
      <c r="C42" s="525" t="s">
        <v>161</v>
      </c>
      <c r="D42" s="526"/>
      <c r="E42" s="526"/>
      <c r="F42" s="526"/>
      <c r="G42" s="528"/>
      <c r="H42" s="528">
        <v>3.7792405012242E-2</v>
      </c>
      <c r="I42" s="528">
        <v>2.163351462264939E-2</v>
      </c>
      <c r="J42" s="528">
        <v>3.9744818435469058E-2</v>
      </c>
      <c r="K42" s="528">
        <v>1.6920244880589245E-2</v>
      </c>
      <c r="L42" s="528">
        <v>3.1719062574736313E-2</v>
      </c>
      <c r="M42" s="528">
        <v>2.1972389720786929E-2</v>
      </c>
      <c r="N42" s="528">
        <v>3.6312609952070189E-2</v>
      </c>
      <c r="O42" s="528">
        <v>1.1793936202751706E-2</v>
      </c>
      <c r="P42" s="528">
        <v>3.1081357375574201E-2</v>
      </c>
      <c r="Q42" s="528">
        <v>2.2675460807696998E-2</v>
      </c>
      <c r="R42" s="528">
        <v>3.1111869606825791E-2</v>
      </c>
      <c r="S42" s="528">
        <v>2.106066057281198E-2</v>
      </c>
      <c r="T42" s="528">
        <v>2.9143674597538017E-2</v>
      </c>
      <c r="U42" s="528">
        <v>1.6833639019464011E-2</v>
      </c>
      <c r="V42" s="528">
        <v>3.0089132663604152E-2</v>
      </c>
      <c r="W42" s="528">
        <v>1.6746175963926038E-2</v>
      </c>
      <c r="X42" s="528">
        <v>2.71169731047213E-2</v>
      </c>
      <c r="Y42" s="528">
        <v>1.9996667637704791E-2</v>
      </c>
      <c r="Z42" s="528">
        <v>2.5628381703347275E-2</v>
      </c>
      <c r="AA42" s="528">
        <v>1.8293272692646793E-2</v>
      </c>
      <c r="AB42" s="528">
        <v>2.4534360476055127E-2</v>
      </c>
      <c r="AC42" s="528">
        <v>1.3569678191297589E-2</v>
      </c>
      <c r="AD42" s="528">
        <v>2.3612192875769294E-2</v>
      </c>
      <c r="AE42" s="528">
        <v>1.5164478697965254E-2</v>
      </c>
      <c r="AF42" s="528">
        <v>2.4089463159773956E-2</v>
      </c>
      <c r="AG42" s="528">
        <v>1.5425674373213013E-2</v>
      </c>
      <c r="AH42" s="528">
        <v>1.8749936293228762E-2</v>
      </c>
      <c r="AI42" s="528">
        <v>1.5599196385436919E-2</v>
      </c>
      <c r="AJ42" s="528">
        <v>1.8561402816781859E-2</v>
      </c>
    </row>
    <row r="43" spans="1:36" ht="14.5" x14ac:dyDescent="0.3">
      <c r="A43" s="944"/>
      <c r="B43" s="125"/>
      <c r="C43" s="525"/>
      <c r="D43" s="525"/>
      <c r="E43" s="525"/>
      <c r="F43" s="526"/>
      <c r="G43" s="526"/>
      <c r="H43" s="526"/>
      <c r="I43" s="526"/>
      <c r="J43" s="526"/>
      <c r="K43" s="526"/>
      <c r="L43" s="526"/>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526"/>
    </row>
    <row r="44" spans="1:36" ht="14.5" x14ac:dyDescent="0.3">
      <c r="A44" s="944"/>
      <c r="B44" s="125"/>
      <c r="C44" s="524" t="s">
        <v>173</v>
      </c>
      <c r="D44" s="526"/>
      <c r="E44" s="526"/>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row>
    <row r="45" spans="1:36" ht="14.5" x14ac:dyDescent="0.3">
      <c r="A45" s="944"/>
      <c r="B45" s="125"/>
      <c r="C45" s="525" t="s">
        <v>174</v>
      </c>
      <c r="D45" s="526"/>
      <c r="E45" s="526"/>
      <c r="F45" s="526"/>
      <c r="G45" s="526">
        <v>6770880.0207718099</v>
      </c>
      <c r="H45" s="526">
        <v>7367985.3684235234</v>
      </c>
      <c r="I45" s="526">
        <v>7153337.3166907867</v>
      </c>
      <c r="J45" s="526">
        <v>7918553.7947751433</v>
      </c>
      <c r="K45" s="526">
        <v>7599295.1586791221</v>
      </c>
      <c r="L45" s="526">
        <v>8390540.0426488705</v>
      </c>
      <c r="M45" s="526">
        <v>8096840.5815767376</v>
      </c>
      <c r="N45" s="526">
        <v>8952006.0213259067</v>
      </c>
      <c r="O45" s="526">
        <v>8583815.8330434263</v>
      </c>
      <c r="P45" s="526">
        <v>9375631.340818882</v>
      </c>
      <c r="Q45" s="526">
        <v>9128107.368333254</v>
      </c>
      <c r="R45" s="526">
        <v>9874161.4461647626</v>
      </c>
      <c r="S45" s="526">
        <v>9678381.5023107752</v>
      </c>
      <c r="T45" s="526">
        <v>10358050.886387801</v>
      </c>
      <c r="U45" s="526">
        <v>10190293.736612935</v>
      </c>
      <c r="V45" s="526">
        <v>10835160.148113059</v>
      </c>
      <c r="W45" s="526">
        <v>10730473.939791329</v>
      </c>
      <c r="X45" s="526">
        <v>11308632.581532536</v>
      </c>
      <c r="Y45" s="526">
        <v>11296105.449323747</v>
      </c>
      <c r="Z45" s="526">
        <v>11830552.537134595</v>
      </c>
      <c r="AA45" s="526">
        <v>11848397.666963045</v>
      </c>
      <c r="AB45" s="526">
        <v>12347573.217981704</v>
      </c>
      <c r="AC45" s="526">
        <v>12351037.568471681</v>
      </c>
      <c r="AD45" s="526">
        <v>12819650.176903637</v>
      </c>
      <c r="AE45" s="526">
        <v>12878790.603580603</v>
      </c>
      <c r="AF45" s="526">
        <v>13340233.937649688</v>
      </c>
      <c r="AG45" s="526">
        <v>13434922.521694815</v>
      </c>
      <c r="AH45" s="526">
        <v>13816085.019892231</v>
      </c>
      <c r="AI45" s="526">
        <v>13941344.745454706</v>
      </c>
      <c r="AJ45" s="526">
        <v>14311303.953095958</v>
      </c>
    </row>
    <row r="46" spans="1:36" ht="14.5" x14ac:dyDescent="0.3">
      <c r="A46" s="944"/>
      <c r="B46" s="125"/>
      <c r="C46" s="525" t="s">
        <v>161</v>
      </c>
      <c r="D46" s="526"/>
      <c r="E46" s="526"/>
      <c r="F46" s="526"/>
      <c r="G46" s="528"/>
      <c r="H46" s="528">
        <v>8.8187258645834002E-2</v>
      </c>
      <c r="I46" s="528">
        <v>-2.9132529585718138E-2</v>
      </c>
      <c r="J46" s="528">
        <v>0.10697335302487233</v>
      </c>
      <c r="K46" s="528">
        <v>-4.0317795947370574E-2</v>
      </c>
      <c r="L46" s="528">
        <v>0.10412082534602844</v>
      </c>
      <c r="M46" s="528">
        <v>-3.5003642146901999E-2</v>
      </c>
      <c r="N46" s="528">
        <v>0.10561717637061821</v>
      </c>
      <c r="O46" s="528">
        <v>-4.1129349936244432E-2</v>
      </c>
      <c r="P46" s="528">
        <v>9.2245164991466774E-2</v>
      </c>
      <c r="Q46" s="528">
        <v>-2.6400779156916899E-2</v>
      </c>
      <c r="R46" s="528">
        <v>8.1731518673814008E-2</v>
      </c>
      <c r="S46" s="528">
        <v>-1.982750078793076E-2</v>
      </c>
      <c r="T46" s="528">
        <v>7.0225521066177257E-2</v>
      </c>
      <c r="U46" s="528">
        <v>-1.6195822130525245E-2</v>
      </c>
      <c r="V46" s="528">
        <v>6.3282416402107161E-2</v>
      </c>
      <c r="W46" s="528">
        <v>-9.6617130610626694E-3</v>
      </c>
      <c r="X46" s="528">
        <v>5.3880065781367531E-2</v>
      </c>
      <c r="Y46" s="528">
        <v>-1.1077495106920434E-3</v>
      </c>
      <c r="Z46" s="528">
        <v>4.7312508741040753E-2</v>
      </c>
      <c r="AA46" s="528">
        <v>1.5083936081967222E-3</v>
      </c>
      <c r="AB46" s="528">
        <v>4.2130215835894255E-2</v>
      </c>
      <c r="AC46" s="528">
        <v>2.80569341749894E-4</v>
      </c>
      <c r="AD46" s="528">
        <v>3.7941153189281568E-2</v>
      </c>
      <c r="AE46" s="528">
        <v>4.6132636897936469E-3</v>
      </c>
      <c r="AF46" s="528">
        <v>3.5829710123619248E-2</v>
      </c>
      <c r="AG46" s="528">
        <v>7.0979702820570985E-3</v>
      </c>
      <c r="AH46" s="528">
        <v>2.8371023173517508E-2</v>
      </c>
      <c r="AI46" s="528">
        <v>9.066224287280239E-3</v>
      </c>
      <c r="AJ46" s="528">
        <v>2.6536838045115346E-2</v>
      </c>
    </row>
    <row r="47" spans="1:36" ht="14.5" x14ac:dyDescent="0.3">
      <c r="A47" s="944"/>
      <c r="B47" s="125"/>
      <c r="C47" s="525"/>
      <c r="D47" s="526"/>
      <c r="E47" s="526"/>
      <c r="F47" s="526"/>
      <c r="G47" s="526"/>
      <c r="H47" s="526"/>
      <c r="I47" s="526"/>
      <c r="J47" s="526"/>
      <c r="K47" s="526"/>
      <c r="L47" s="526"/>
      <c r="M47" s="526"/>
      <c r="N47" s="526"/>
      <c r="O47" s="526"/>
      <c r="P47" s="526"/>
      <c r="Q47" s="526"/>
      <c r="R47" s="526"/>
      <c r="S47" s="526"/>
      <c r="T47" s="526"/>
      <c r="U47" s="526"/>
      <c r="V47" s="526"/>
      <c r="W47" s="526"/>
      <c r="X47" s="526"/>
      <c r="Y47" s="526"/>
      <c r="Z47" s="526"/>
      <c r="AA47" s="526"/>
      <c r="AB47" s="526"/>
      <c r="AC47" s="526"/>
      <c r="AD47" s="526"/>
      <c r="AE47" s="526"/>
      <c r="AF47" s="526"/>
      <c r="AG47" s="526"/>
      <c r="AH47" s="526"/>
      <c r="AI47" s="526"/>
      <c r="AJ47" s="526"/>
    </row>
    <row r="48" spans="1:36" ht="14.5" x14ac:dyDescent="0.3">
      <c r="A48" s="944"/>
      <c r="B48" s="125"/>
      <c r="C48" s="524" t="s">
        <v>175</v>
      </c>
      <c r="D48" s="526"/>
      <c r="E48" s="526"/>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row>
    <row r="49" spans="1:36" ht="14.5" x14ac:dyDescent="0.3">
      <c r="A49" s="944"/>
      <c r="B49" s="125"/>
      <c r="C49" s="525" t="s">
        <v>176</v>
      </c>
      <c r="D49" s="526"/>
      <c r="E49" s="526"/>
      <c r="F49" s="526"/>
      <c r="G49" s="526">
        <v>11502512.935281703</v>
      </c>
      <c r="H49" s="526">
        <v>11361982.713396629</v>
      </c>
      <c r="I49" s="526">
        <v>12043245.781356076</v>
      </c>
      <c r="J49" s="526">
        <v>11911060.665453589</v>
      </c>
      <c r="K49" s="526">
        <v>12559293.741320055</v>
      </c>
      <c r="L49" s="526">
        <v>12370056.813917076</v>
      </c>
      <c r="M49" s="526">
        <v>13056236.846167313</v>
      </c>
      <c r="N49" s="526">
        <v>12982710.986493219</v>
      </c>
      <c r="O49" s="526">
        <v>13526193.918661058</v>
      </c>
      <c r="P49" s="526">
        <v>13432690.466546355</v>
      </c>
      <c r="Q49" s="526">
        <v>14086371.407761592</v>
      </c>
      <c r="R49" s="526">
        <v>14045427.282414909</v>
      </c>
      <c r="S49" s="526">
        <v>14640449.823072463</v>
      </c>
      <c r="T49" s="526">
        <v>14625271.141225157</v>
      </c>
      <c r="U49" s="526">
        <v>15119889.321809916</v>
      </c>
      <c r="V49" s="526">
        <v>15171018.718097392</v>
      </c>
      <c r="W49" s="526">
        <v>15626828.98373987</v>
      </c>
      <c r="X49" s="526">
        <v>15682984.776761305</v>
      </c>
      <c r="Y49" s="526">
        <v>16156256.113390915</v>
      </c>
      <c r="Z49" s="526">
        <v>16234709.250568816</v>
      </c>
      <c r="AA49" s="526">
        <v>16652527.222321462</v>
      </c>
      <c r="AB49" s="526">
        <v>16754066.906288778</v>
      </c>
      <c r="AC49" s="526">
        <v>17066720.155718286</v>
      </c>
      <c r="AD49" s="526">
        <v>17188337.670690536</v>
      </c>
      <c r="AE49" s="526">
        <v>17502727.929516044</v>
      </c>
      <c r="AF49" s="526">
        <v>17663790.841869395</v>
      </c>
      <c r="AG49" s="526">
        <v>17961988.135676641</v>
      </c>
      <c r="AH49" s="526">
        <v>18056494.89300305</v>
      </c>
      <c r="AI49" s="526">
        <v>18338955.682885591</v>
      </c>
      <c r="AJ49" s="526">
        <v>18451984.735945296</v>
      </c>
    </row>
    <row r="50" spans="1:36" ht="14.5" x14ac:dyDescent="0.3">
      <c r="A50" s="944"/>
      <c r="B50" s="125"/>
      <c r="C50" s="525" t="s">
        <v>161</v>
      </c>
      <c r="D50" s="526"/>
      <c r="E50" s="526"/>
      <c r="F50" s="526"/>
      <c r="G50" s="528"/>
      <c r="H50" s="528">
        <v>-1.221734960662596E-2</v>
      </c>
      <c r="I50" s="528">
        <v>5.9959875414718443E-2</v>
      </c>
      <c r="J50" s="528">
        <v>-1.0975871314286428E-2</v>
      </c>
      <c r="K50" s="528">
        <v>5.4422783501269389E-2</v>
      </c>
      <c r="L50" s="528">
        <v>-1.5067481603713876E-2</v>
      </c>
      <c r="M50" s="528">
        <v>5.5471049371272237E-2</v>
      </c>
      <c r="N50" s="528">
        <v>-5.6314741024078409E-3</v>
      </c>
      <c r="O50" s="528">
        <v>4.186205275102102E-2</v>
      </c>
      <c r="P50" s="528">
        <v>-6.9127688599601956E-3</v>
      </c>
      <c r="Q50" s="528">
        <v>4.8663441091210069E-2</v>
      </c>
      <c r="R50" s="528">
        <v>-2.9066481467415199E-3</v>
      </c>
      <c r="S50" s="528">
        <v>4.2364146614644556E-2</v>
      </c>
      <c r="T50" s="528">
        <v>-1.0367633529528091E-3</v>
      </c>
      <c r="U50" s="528">
        <v>3.381941953818194E-2</v>
      </c>
      <c r="V50" s="528">
        <v>3.3815985817914861E-3</v>
      </c>
      <c r="W50" s="528">
        <v>3.0044802798822243E-2</v>
      </c>
      <c r="X50" s="528">
        <v>3.5935501105097208E-3</v>
      </c>
      <c r="Y50" s="528">
        <v>3.0177376524071705E-2</v>
      </c>
      <c r="Z50" s="528">
        <v>4.8558983360554933E-3</v>
      </c>
      <c r="AA50" s="528">
        <v>2.5736092054620956E-2</v>
      </c>
      <c r="AB50" s="528">
        <v>6.0975539995641141E-3</v>
      </c>
      <c r="AC50" s="528">
        <v>1.8661334658521041E-2</v>
      </c>
      <c r="AD50" s="528">
        <v>7.12600393412453E-3</v>
      </c>
      <c r="AE50" s="528">
        <v>1.8290905429534564E-2</v>
      </c>
      <c r="AF50" s="528">
        <v>9.2021605433139555E-3</v>
      </c>
      <c r="AG50" s="528">
        <v>1.6881840171047165E-2</v>
      </c>
      <c r="AH50" s="528">
        <v>5.2614864575429186E-3</v>
      </c>
      <c r="AI50" s="528">
        <v>1.5643168375496574E-2</v>
      </c>
      <c r="AJ50" s="528">
        <v>6.1633309450213883E-3</v>
      </c>
    </row>
    <row r="51" spans="1:36" ht="14.5" x14ac:dyDescent="0.3">
      <c r="A51" s="944"/>
      <c r="B51" s="125"/>
      <c r="C51" s="525"/>
      <c r="D51" s="526"/>
      <c r="E51" s="526"/>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row>
    <row r="52" spans="1:36" ht="14.5" x14ac:dyDescent="0.3">
      <c r="A52" s="944"/>
      <c r="B52" s="125"/>
      <c r="C52" s="524" t="s">
        <v>177</v>
      </c>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row>
    <row r="53" spans="1:36" ht="14.5" x14ac:dyDescent="0.3">
      <c r="A53" s="944"/>
      <c r="B53" s="125"/>
      <c r="C53" s="525" t="s">
        <v>178</v>
      </c>
      <c r="D53" s="526"/>
      <c r="E53" s="526"/>
      <c r="F53" s="526"/>
      <c r="G53" s="526">
        <v>7835677.5230358457</v>
      </c>
      <c r="H53" s="526">
        <v>7699029.0462169703</v>
      </c>
      <c r="I53" s="526">
        <v>8287017.9116010442</v>
      </c>
      <c r="J53" s="526">
        <v>8193333.5618535122</v>
      </c>
      <c r="K53" s="526">
        <v>8756320.8110029716</v>
      </c>
      <c r="L53" s="526">
        <v>8644358.1216612253</v>
      </c>
      <c r="M53" s="526">
        <v>9240044.1455511749</v>
      </c>
      <c r="N53" s="526">
        <v>9207860.2076341528</v>
      </c>
      <c r="O53" s="526">
        <v>9707414.8216110207</v>
      </c>
      <c r="P53" s="526">
        <v>9663790.1405445207</v>
      </c>
      <c r="Q53" s="526">
        <v>10237035.920771627</v>
      </c>
      <c r="R53" s="526">
        <v>10241449.810219591</v>
      </c>
      <c r="S53" s="526">
        <v>10773068.555737276</v>
      </c>
      <c r="T53" s="526">
        <v>10809776.860513847</v>
      </c>
      <c r="U53" s="526">
        <v>11270024.293425892</v>
      </c>
      <c r="V53" s="526">
        <v>11368569.915049301</v>
      </c>
      <c r="W53" s="526">
        <v>11804026.944514992</v>
      </c>
      <c r="X53" s="526">
        <v>11917571.863140868</v>
      </c>
      <c r="Y53" s="526">
        <v>12371563.691539945</v>
      </c>
      <c r="Z53" s="526">
        <v>12512289.084129119</v>
      </c>
      <c r="AA53" s="526">
        <v>12929805.113642568</v>
      </c>
      <c r="AB53" s="526">
        <v>13097670.627242954</v>
      </c>
      <c r="AC53" s="526">
        <v>13439198.359265607</v>
      </c>
      <c r="AD53" s="526">
        <v>13631463.456596024</v>
      </c>
      <c r="AE53" s="526">
        <v>13980622.83754519</v>
      </c>
      <c r="AF53" s="526">
        <v>14213200.03664311</v>
      </c>
      <c r="AG53" s="526">
        <v>14556718.133710278</v>
      </c>
      <c r="AH53" s="526">
        <v>14743974.454855908</v>
      </c>
      <c r="AI53" s="526">
        <v>15082226.303711738</v>
      </c>
      <c r="AJ53" s="526">
        <v>15292450.01511641</v>
      </c>
    </row>
    <row r="54" spans="1:36" ht="14.5" x14ac:dyDescent="0.3">
      <c r="A54" s="944"/>
      <c r="B54" s="125"/>
      <c r="C54" s="525" t="s">
        <v>161</v>
      </c>
      <c r="D54" s="526"/>
      <c r="E54" s="526"/>
      <c r="F54" s="526"/>
      <c r="G54" s="528"/>
      <c r="H54" s="528">
        <v>-1.743926755754651E-2</v>
      </c>
      <c r="I54" s="528">
        <v>7.6371820635355414E-2</v>
      </c>
      <c r="J54" s="528">
        <v>-1.1304953210778365E-2</v>
      </c>
      <c r="K54" s="528">
        <v>6.87128437893232E-2</v>
      </c>
      <c r="L54" s="528">
        <v>-1.2786499233908467E-2</v>
      </c>
      <c r="M54" s="528">
        <v>6.8910382414313243E-2</v>
      </c>
      <c r="N54" s="528">
        <v>-3.4830935231535349E-3</v>
      </c>
      <c r="O54" s="528">
        <v>5.4253062352390156E-2</v>
      </c>
      <c r="P54" s="528">
        <v>-4.4939545561997699E-3</v>
      </c>
      <c r="Q54" s="528">
        <v>5.9318939245384492E-2</v>
      </c>
      <c r="R54" s="528">
        <v>4.3116869786581998E-4</v>
      </c>
      <c r="S54" s="528">
        <v>5.1908543748093172E-2</v>
      </c>
      <c r="T54" s="528">
        <v>3.4074140145541371E-3</v>
      </c>
      <c r="U54" s="528">
        <v>4.2576959621918244E-2</v>
      </c>
      <c r="V54" s="528">
        <v>8.7440469565708227E-3</v>
      </c>
      <c r="W54" s="528">
        <v>3.8303588993128149E-2</v>
      </c>
      <c r="X54" s="528">
        <v>9.6191680313503121E-3</v>
      </c>
      <c r="Y54" s="528">
        <v>3.8094322703704497E-2</v>
      </c>
      <c r="Z54" s="528">
        <v>1.1374907497376952E-2</v>
      </c>
      <c r="AA54" s="528">
        <v>3.336847691946597E-2</v>
      </c>
      <c r="AB54" s="528">
        <v>1.2982834012189982E-2</v>
      </c>
      <c r="AC54" s="528">
        <v>2.6075455838099941E-2</v>
      </c>
      <c r="AD54" s="528">
        <v>1.4306292100961588E-2</v>
      </c>
      <c r="AE54" s="528">
        <v>2.5614225652361162E-2</v>
      </c>
      <c r="AF54" s="528">
        <v>1.663568224395056E-2</v>
      </c>
      <c r="AG54" s="528">
        <v>2.4168948314351627E-2</v>
      </c>
      <c r="AH54" s="528">
        <v>1.2863910630513859E-2</v>
      </c>
      <c r="AI54" s="528">
        <v>2.2941700685355431E-2</v>
      </c>
      <c r="AJ54" s="528">
        <v>1.3938506634987687E-2</v>
      </c>
    </row>
    <row r="55" spans="1:36" ht="14.5" x14ac:dyDescent="0.3">
      <c r="A55" s="944"/>
      <c r="B55" s="125"/>
      <c r="C55" s="525"/>
      <c r="D55" s="526"/>
      <c r="E55" s="526"/>
      <c r="F55" s="526"/>
      <c r="G55" s="526"/>
      <c r="H55" s="526"/>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row>
    <row r="56" spans="1:36" ht="14.5" x14ac:dyDescent="0.3">
      <c r="A56" s="944"/>
      <c r="B56" s="125"/>
      <c r="C56" s="524" t="s">
        <v>179</v>
      </c>
      <c r="D56" s="526"/>
      <c r="E56" s="526"/>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row>
    <row r="57" spans="1:36" ht="14.5" x14ac:dyDescent="0.3">
      <c r="A57" s="944"/>
      <c r="B57" s="125"/>
      <c r="C57" s="525" t="s">
        <v>180</v>
      </c>
      <c r="D57" s="526"/>
      <c r="E57" s="526"/>
      <c r="F57" s="526"/>
      <c r="G57" s="526">
        <v>43064009.540893123</v>
      </c>
      <c r="H57" s="526">
        <v>44154791.301187113</v>
      </c>
      <c r="I57" s="526">
        <v>45576913.513485946</v>
      </c>
      <c r="J57" s="526">
        <v>46817316.44490318</v>
      </c>
      <c r="K57" s="526">
        <v>48275646.849459879</v>
      </c>
      <c r="L57" s="526">
        <v>49215413.797873177</v>
      </c>
      <c r="M57" s="526">
        <v>51091640.734534234</v>
      </c>
      <c r="N57" s="526">
        <v>52382601.724987283</v>
      </c>
      <c r="O57" s="526">
        <v>53940030.43716494</v>
      </c>
      <c r="P57" s="526">
        <v>55098580.763527267</v>
      </c>
      <c r="Q57" s="526">
        <v>57289553.252110705</v>
      </c>
      <c r="R57" s="526">
        <v>58643998.048425861</v>
      </c>
      <c r="S57" s="526">
        <v>60782289.558338635</v>
      </c>
      <c r="T57" s="526">
        <v>62216984.038662314</v>
      </c>
      <c r="U57" s="526">
        <v>64099663.537969463</v>
      </c>
      <c r="V57" s="526">
        <v>65762503.641916573</v>
      </c>
      <c r="W57" s="526">
        <v>67617979.263697654</v>
      </c>
      <c r="X57" s="526">
        <v>69233640.944993392</v>
      </c>
      <c r="Y57" s="526">
        <v>71284183.505030841</v>
      </c>
      <c r="Z57" s="526">
        <v>72924673.079148903</v>
      </c>
      <c r="AA57" s="526">
        <v>74831531.839830458</v>
      </c>
      <c r="AB57" s="526">
        <v>76501370.705633134</v>
      </c>
      <c r="AC57" s="526">
        <v>78021141.534422949</v>
      </c>
      <c r="AD57" s="526">
        <v>79714047.872348964</v>
      </c>
      <c r="AE57" s="526">
        <v>81326157.819444746</v>
      </c>
      <c r="AF57" s="526">
        <v>83153778.136790484</v>
      </c>
      <c r="AG57" s="526">
        <v>84778342.981899679</v>
      </c>
      <c r="AH57" s="526">
        <v>86260646.775445595</v>
      </c>
      <c r="AI57" s="526">
        <v>87904027.082095563</v>
      </c>
      <c r="AJ57" s="526">
        <v>89460618.907970071</v>
      </c>
    </row>
    <row r="58" spans="1:36" ht="14.5" x14ac:dyDescent="0.3">
      <c r="A58" s="944"/>
      <c r="B58" s="125"/>
      <c r="C58" s="525" t="s">
        <v>161</v>
      </c>
      <c r="D58" s="526"/>
      <c r="E58" s="526"/>
      <c r="F58" s="526"/>
      <c r="G58" s="528"/>
      <c r="H58" s="528">
        <v>2.5329312619118655E-2</v>
      </c>
      <c r="I58" s="528">
        <v>3.2207653357442065E-2</v>
      </c>
      <c r="J58" s="528">
        <v>2.7215597454843143E-2</v>
      </c>
      <c r="K58" s="528">
        <v>3.1149380513360497E-2</v>
      </c>
      <c r="L58" s="528">
        <v>1.9466687859073437E-2</v>
      </c>
      <c r="M58" s="528">
        <v>3.8122750412435576E-2</v>
      </c>
      <c r="N58" s="528">
        <v>2.5267557899749611E-2</v>
      </c>
      <c r="O58" s="528">
        <v>2.9731793780581536E-2</v>
      </c>
      <c r="P58" s="528">
        <v>2.1478488554283054E-2</v>
      </c>
      <c r="Q58" s="528">
        <v>3.9764590271148349E-2</v>
      </c>
      <c r="R58" s="528">
        <v>2.3642090388708948E-2</v>
      </c>
      <c r="S58" s="528">
        <v>3.6462239633577823E-2</v>
      </c>
      <c r="T58" s="528">
        <v>2.3603824251251095E-2</v>
      </c>
      <c r="U58" s="528">
        <v>3.0259896528208929E-2</v>
      </c>
      <c r="V58" s="528">
        <v>2.5941479442589063E-2</v>
      </c>
      <c r="W58" s="528">
        <v>2.8214795955524015E-2</v>
      </c>
      <c r="X58" s="528">
        <v>2.3893965760126531E-2</v>
      </c>
      <c r="Y58" s="528">
        <v>2.9617719537047303E-2</v>
      </c>
      <c r="Z58" s="528">
        <v>2.3013373983617084E-2</v>
      </c>
      <c r="AA58" s="528">
        <v>2.61483347153568E-2</v>
      </c>
      <c r="AB58" s="528">
        <v>2.2314642300478381E-2</v>
      </c>
      <c r="AC58" s="528">
        <v>1.9865929391483541E-2</v>
      </c>
      <c r="AD58" s="528">
        <v>2.169804625556657E-2</v>
      </c>
      <c r="AE58" s="528">
        <v>2.0223661827804214E-2</v>
      </c>
      <c r="AF58" s="528">
        <v>2.2472724229802014E-2</v>
      </c>
      <c r="AG58" s="528">
        <v>1.9536873507259481E-2</v>
      </c>
      <c r="AH58" s="528">
        <v>1.748446291126958E-2</v>
      </c>
      <c r="AI58" s="528">
        <v>1.9051333001571722E-2</v>
      </c>
      <c r="AJ58" s="528">
        <v>1.7707855686984294E-2</v>
      </c>
    </row>
    <row r="59" spans="1:36" ht="14.5" x14ac:dyDescent="0.3">
      <c r="A59" s="944"/>
      <c r="B59" s="125"/>
      <c r="C59" s="529"/>
      <c r="D59" s="392"/>
      <c r="E59" s="392"/>
      <c r="F59" s="392"/>
      <c r="G59" s="392"/>
      <c r="H59" s="392"/>
      <c r="I59" s="392"/>
      <c r="J59" s="392"/>
      <c r="K59" s="392"/>
      <c r="L59" s="392"/>
      <c r="M59" s="392"/>
      <c r="N59" s="392"/>
      <c r="O59" s="392"/>
      <c r="P59" s="392"/>
      <c r="Q59" s="392"/>
      <c r="R59" s="392"/>
      <c r="S59" s="392"/>
      <c r="T59" s="392"/>
      <c r="U59" s="392"/>
      <c r="V59" s="392"/>
      <c r="W59" s="392"/>
      <c r="X59" s="392"/>
      <c r="Y59" s="392"/>
      <c r="Z59" s="392"/>
      <c r="AA59" s="392"/>
      <c r="AB59" s="392"/>
      <c r="AC59" s="392"/>
      <c r="AD59" s="392"/>
      <c r="AE59" s="392"/>
      <c r="AF59" s="392"/>
      <c r="AG59" s="392"/>
      <c r="AH59" s="392"/>
      <c r="AI59" s="392"/>
      <c r="AJ59" s="392"/>
    </row>
    <row r="60" spans="1:36" ht="14.5" x14ac:dyDescent="0.3">
      <c r="A60" s="49"/>
      <c r="B60" s="523"/>
      <c r="C60" s="524" t="s">
        <v>343</v>
      </c>
      <c r="D60" s="1095"/>
      <c r="E60" s="1095"/>
      <c r="F60" s="1095"/>
      <c r="G60" s="1095"/>
      <c r="H60" s="954"/>
      <c r="I60" s="954"/>
      <c r="J60" s="954"/>
      <c r="K60" s="954"/>
      <c r="L60" s="954"/>
      <c r="M60" s="954"/>
      <c r="N60" s="954"/>
      <c r="O60" s="954"/>
      <c r="P60" s="954"/>
      <c r="Q60" s="954"/>
      <c r="R60" s="954"/>
      <c r="S60" s="954"/>
      <c r="T60" s="954"/>
      <c r="U60" s="954"/>
      <c r="V60" s="954"/>
      <c r="W60" s="954"/>
      <c r="X60" s="954"/>
      <c r="Y60" s="954"/>
      <c r="Z60" s="954"/>
      <c r="AA60" s="954"/>
      <c r="AB60" s="954"/>
      <c r="AC60" s="954"/>
      <c r="AD60" s="954"/>
      <c r="AE60" s="954"/>
      <c r="AF60" s="954"/>
      <c r="AG60" s="954"/>
      <c r="AH60" s="954"/>
      <c r="AI60" s="954"/>
      <c r="AJ60" s="954"/>
    </row>
    <row r="61" spans="1:36" ht="14.5" x14ac:dyDescent="0.3">
      <c r="A61" s="49"/>
      <c r="B61" s="523"/>
      <c r="C61" s="524" t="s">
        <v>165</v>
      </c>
      <c r="D61" s="954"/>
      <c r="E61" s="954"/>
      <c r="F61" s="954"/>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row>
    <row r="62" spans="1:36" ht="14.5" x14ac:dyDescent="0.3">
      <c r="A62" s="49"/>
      <c r="B62" s="125"/>
      <c r="C62" s="525" t="s">
        <v>166</v>
      </c>
      <c r="D62" s="526"/>
      <c r="E62" s="526"/>
      <c r="F62" s="526"/>
      <c r="G62" s="526">
        <v>11028075.445731562</v>
      </c>
      <c r="H62" s="526">
        <v>11407863.837986894</v>
      </c>
      <c r="I62" s="526">
        <v>11743435.490841135</v>
      </c>
      <c r="J62" s="526">
        <v>12109217.097557349</v>
      </c>
      <c r="K62" s="526">
        <v>12395282.315002289</v>
      </c>
      <c r="L62" s="526">
        <v>12636981.938204726</v>
      </c>
      <c r="M62" s="526">
        <v>13026573.741712119</v>
      </c>
      <c r="N62" s="526">
        <v>13452581.260449911</v>
      </c>
      <c r="O62" s="526">
        <v>13720914.933933394</v>
      </c>
      <c r="P62" s="526">
        <v>14056699.696949078</v>
      </c>
      <c r="Q62" s="526">
        <v>14486887.914500244</v>
      </c>
      <c r="R62" s="526">
        <v>14886609.199543513</v>
      </c>
      <c r="S62" s="526">
        <v>15431800.406301247</v>
      </c>
      <c r="T62" s="526">
        <v>15858701.115282295</v>
      </c>
      <c r="U62" s="526">
        <v>16346575.640901681</v>
      </c>
      <c r="V62" s="526">
        <v>16908628.726135436</v>
      </c>
      <c r="W62" s="526">
        <v>17438161.639225684</v>
      </c>
      <c r="X62" s="526">
        <v>18050079.571123537</v>
      </c>
      <c r="Y62" s="526">
        <v>18767914.286272515</v>
      </c>
      <c r="Z62" s="526">
        <v>19452390.307634074</v>
      </c>
      <c r="AA62" s="526">
        <v>20243043.701990101</v>
      </c>
      <c r="AB62" s="526">
        <v>21084202.321794283</v>
      </c>
      <c r="AC62" s="526">
        <v>21887479.280834161</v>
      </c>
      <c r="AD62" s="526">
        <v>22872725.81882688</v>
      </c>
      <c r="AE62" s="526">
        <v>23833087.521869369</v>
      </c>
      <c r="AF62" s="526">
        <v>25035216.564692657</v>
      </c>
      <c r="AG62" s="526">
        <v>26130907.04053181</v>
      </c>
      <c r="AH62" s="526">
        <v>27324152.759021662</v>
      </c>
      <c r="AI62" s="526">
        <v>28610112.611205507</v>
      </c>
      <c r="AJ62" s="526">
        <v>29958446.149027139</v>
      </c>
    </row>
    <row r="63" spans="1:36" ht="14.5" x14ac:dyDescent="0.3">
      <c r="A63" s="49"/>
      <c r="B63" s="125"/>
      <c r="C63" s="525" t="s">
        <v>161</v>
      </c>
      <c r="D63" s="526"/>
      <c r="E63" s="526"/>
      <c r="F63" s="526"/>
      <c r="G63" s="526"/>
      <c r="H63" s="527">
        <v>3.4438320097123581E-2</v>
      </c>
      <c r="I63" s="527">
        <v>2.9415818563404118E-2</v>
      </c>
      <c r="J63" s="527">
        <v>3.1147751184182157E-2</v>
      </c>
      <c r="K63" s="527">
        <v>2.362375826118801E-2</v>
      </c>
      <c r="L63" s="527">
        <v>1.9499323779814441E-2</v>
      </c>
      <c r="M63" s="527">
        <v>3.0829497534499175E-2</v>
      </c>
      <c r="N63" s="527">
        <v>3.2702959902163785E-2</v>
      </c>
      <c r="O63" s="527">
        <v>1.9946630931892195E-2</v>
      </c>
      <c r="P63" s="527">
        <v>2.4472476116388534E-2</v>
      </c>
      <c r="Q63" s="527">
        <v>3.0603785157659442E-2</v>
      </c>
      <c r="R63" s="527">
        <v>2.7591936059861388E-2</v>
      </c>
      <c r="S63" s="527">
        <v>3.6622927320108023E-2</v>
      </c>
      <c r="T63" s="527">
        <v>2.7663700782880298E-2</v>
      </c>
      <c r="U63" s="527">
        <v>3.0763838858735012E-2</v>
      </c>
      <c r="V63" s="527">
        <v>3.4383536808003441E-2</v>
      </c>
      <c r="W63" s="527">
        <v>3.1317318610926494E-2</v>
      </c>
      <c r="X63" s="527">
        <v>3.5090736314852961E-2</v>
      </c>
      <c r="Y63" s="527">
        <v>3.9769060979507692E-2</v>
      </c>
      <c r="Z63" s="527">
        <v>3.6470542806251435E-2</v>
      </c>
      <c r="AA63" s="527">
        <v>4.0645564984665969E-2</v>
      </c>
      <c r="AB63" s="527">
        <v>4.1552971588036759E-2</v>
      </c>
      <c r="AC63" s="527">
        <v>3.8098522618024211E-2</v>
      </c>
      <c r="AD63" s="527">
        <v>4.5014161994225338E-2</v>
      </c>
      <c r="AE63" s="527">
        <v>4.198719954278473E-2</v>
      </c>
      <c r="AF63" s="527">
        <v>5.0439501039057928E-2</v>
      </c>
      <c r="AG63" s="527">
        <v>4.3765967552460198E-2</v>
      </c>
      <c r="AH63" s="527">
        <v>4.5664152286753808E-2</v>
      </c>
      <c r="AI63" s="527">
        <v>4.7063118974814591E-2</v>
      </c>
      <c r="AJ63" s="527">
        <v>4.7127865455990563E-2</v>
      </c>
    </row>
    <row r="64" spans="1:36" ht="14.5" x14ac:dyDescent="0.3">
      <c r="A64" s="944"/>
      <c r="B64" s="125"/>
      <c r="C64" s="525"/>
      <c r="D64" s="525"/>
      <c r="E64" s="525"/>
      <c r="F64" s="525"/>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row>
    <row r="65" spans="1:36" ht="14.5" x14ac:dyDescent="0.3">
      <c r="A65" s="944"/>
      <c r="B65" s="125"/>
      <c r="C65" s="524" t="s">
        <v>167</v>
      </c>
      <c r="D65" s="526"/>
      <c r="E65" s="526"/>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row>
    <row r="66" spans="1:36" ht="14.5" x14ac:dyDescent="0.3">
      <c r="A66" s="944"/>
      <c r="B66" s="125"/>
      <c r="C66" s="525" t="s">
        <v>168</v>
      </c>
      <c r="D66" s="526"/>
      <c r="E66" s="526"/>
      <c r="F66" s="526"/>
      <c r="G66" s="526">
        <v>10102374.829310875</v>
      </c>
      <c r="H66" s="526">
        <v>10441572.744471667</v>
      </c>
      <c r="I66" s="526">
        <v>10665717.048028577</v>
      </c>
      <c r="J66" s="526">
        <v>11062140.685814507</v>
      </c>
      <c r="K66" s="526">
        <v>11260682.006677117</v>
      </c>
      <c r="L66" s="526">
        <v>11593334.517363831</v>
      </c>
      <c r="M66" s="526">
        <v>11931037.12580324</v>
      </c>
      <c r="N66" s="526">
        <v>12468861.347431757</v>
      </c>
      <c r="O66" s="526">
        <v>12750213.041930694</v>
      </c>
      <c r="P66" s="526">
        <v>13242211.543044921</v>
      </c>
      <c r="Q66" s="526">
        <v>13706822.444313852</v>
      </c>
      <c r="R66" s="526">
        <v>14294429.376866518</v>
      </c>
      <c r="S66" s="526">
        <v>14907022.390954256</v>
      </c>
      <c r="T66" s="526">
        <v>15544307.397610359</v>
      </c>
      <c r="U66" s="526">
        <v>16122780.484219134</v>
      </c>
      <c r="V66" s="526">
        <v>16894109.451214377</v>
      </c>
      <c r="W66" s="526">
        <v>17512573.476147231</v>
      </c>
      <c r="X66" s="526">
        <v>18312483.569240022</v>
      </c>
      <c r="Y66" s="526">
        <v>19098060.604347508</v>
      </c>
      <c r="Z66" s="526">
        <v>19930625.173400089</v>
      </c>
      <c r="AA66" s="526">
        <v>20749877.770248223</v>
      </c>
      <c r="AB66" s="526">
        <v>21686996.405963566</v>
      </c>
      <c r="AC66" s="526">
        <v>22467502.946047124</v>
      </c>
      <c r="AD66" s="526">
        <v>23490327.869903147</v>
      </c>
      <c r="AE66" s="526">
        <v>24378323.442013621</v>
      </c>
      <c r="AF66" s="526">
        <v>25562855.542783808</v>
      </c>
      <c r="AG66" s="526">
        <v>26540475.256508857</v>
      </c>
      <c r="AH66" s="526">
        <v>27664923.230557859</v>
      </c>
      <c r="AI66" s="526">
        <v>28799213.233954687</v>
      </c>
      <c r="AJ66" s="526">
        <v>30044808.829618879</v>
      </c>
    </row>
    <row r="67" spans="1:36" ht="14.5" x14ac:dyDescent="0.3">
      <c r="A67" s="944"/>
      <c r="B67" s="125"/>
      <c r="C67" s="525" t="s">
        <v>161</v>
      </c>
      <c r="D67" s="526"/>
      <c r="E67" s="526"/>
      <c r="F67" s="526"/>
      <c r="G67" s="526"/>
      <c r="H67" s="527">
        <v>3.3576057203564484E-2</v>
      </c>
      <c r="I67" s="527">
        <v>2.14665270301913E-2</v>
      </c>
      <c r="J67" s="527">
        <v>3.7168024990800227E-2</v>
      </c>
      <c r="K67" s="527">
        <v>1.7947820996094235E-2</v>
      </c>
      <c r="L67" s="527">
        <v>2.9541062476452586E-2</v>
      </c>
      <c r="M67" s="527">
        <v>2.9129031680541664E-2</v>
      </c>
      <c r="N67" s="527">
        <v>4.507774269391595E-2</v>
      </c>
      <c r="O67" s="527">
        <v>2.2564345424924331E-2</v>
      </c>
      <c r="P67" s="527">
        <v>3.858747296976351E-2</v>
      </c>
      <c r="Q67" s="527">
        <v>3.5085597277967832E-2</v>
      </c>
      <c r="R67" s="527">
        <v>4.2869668366969232E-2</v>
      </c>
      <c r="S67" s="527">
        <v>4.285536679618232E-2</v>
      </c>
      <c r="T67" s="527">
        <v>4.2750657370905561E-2</v>
      </c>
      <c r="U67" s="527">
        <v>3.7214465193714852E-2</v>
      </c>
      <c r="V67" s="527">
        <v>4.7840939579262672E-2</v>
      </c>
      <c r="W67" s="527">
        <v>3.6608264360948467E-2</v>
      </c>
      <c r="X67" s="527">
        <v>4.567633044808056E-2</v>
      </c>
      <c r="Y67" s="527">
        <v>4.2898443137829818E-2</v>
      </c>
      <c r="Z67" s="527">
        <v>4.3594194525859588E-2</v>
      </c>
      <c r="AA67" s="527">
        <v>4.1105213194292015E-2</v>
      </c>
      <c r="AB67" s="527">
        <v>4.5162609924334636E-2</v>
      </c>
      <c r="AC67" s="527">
        <v>3.5989609878338477E-2</v>
      </c>
      <c r="AD67" s="527">
        <v>4.5524637353434816E-2</v>
      </c>
      <c r="AE67" s="527">
        <v>3.7802604417804385E-2</v>
      </c>
      <c r="AF67" s="527">
        <v>4.8589563740415516E-2</v>
      </c>
      <c r="AG67" s="527">
        <v>3.824376005602486E-2</v>
      </c>
      <c r="AH67" s="527">
        <v>4.2367288572695748E-2</v>
      </c>
      <c r="AI67" s="527">
        <v>4.1001017568121224E-2</v>
      </c>
      <c r="AJ67" s="527">
        <v>4.325102861475455E-2</v>
      </c>
    </row>
    <row r="68" spans="1:36" ht="14.5" x14ac:dyDescent="0.3">
      <c r="A68" s="944"/>
      <c r="B68" s="125"/>
      <c r="C68" s="525"/>
      <c r="D68" s="526"/>
      <c r="E68" s="526"/>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row>
    <row r="69" spans="1:36" ht="14.5" x14ac:dyDescent="0.3">
      <c r="A69" s="944"/>
      <c r="B69" s="125"/>
      <c r="C69" s="524" t="s">
        <v>169</v>
      </c>
      <c r="D69" s="526"/>
      <c r="E69" s="526"/>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row>
    <row r="70" spans="1:36" ht="14.5" x14ac:dyDescent="0.3">
      <c r="A70" s="944"/>
      <c r="B70" s="125"/>
      <c r="C70" s="525" t="s">
        <v>170</v>
      </c>
      <c r="D70" s="526"/>
      <c r="E70" s="526"/>
      <c r="F70" s="526"/>
      <c r="G70" s="526">
        <v>3294063.3185506826</v>
      </c>
      <c r="H70" s="526">
        <v>3555861.7435608581</v>
      </c>
      <c r="I70" s="526">
        <v>3617250.8644866813</v>
      </c>
      <c r="J70" s="526">
        <v>3918049.3264679457</v>
      </c>
      <c r="K70" s="526">
        <v>3974907.2970251949</v>
      </c>
      <c r="L70" s="526">
        <v>4258788.7669565016</v>
      </c>
      <c r="M70" s="526">
        <v>4376150.2424016912</v>
      </c>
      <c r="N70" s="526">
        <v>4741872.5936029283</v>
      </c>
      <c r="O70" s="526">
        <v>4848729.2818562444</v>
      </c>
      <c r="P70" s="526">
        <v>5201823.7746289009</v>
      </c>
      <c r="Q70" s="526">
        <v>5392351.3552739369</v>
      </c>
      <c r="R70" s="526">
        <v>5785090.2861611154</v>
      </c>
      <c r="S70" s="526">
        <v>6052842.2618320677</v>
      </c>
      <c r="T70" s="526">
        <v>6469681.4464532612</v>
      </c>
      <c r="U70" s="526">
        <v>6743477.5012215748</v>
      </c>
      <c r="V70" s="526">
        <v>7221188.2635497898</v>
      </c>
      <c r="W70" s="526">
        <v>7532283.1054363884</v>
      </c>
      <c r="X70" s="526">
        <v>8029059.6737036509</v>
      </c>
      <c r="Y70" s="526">
        <v>8434183.4157380853</v>
      </c>
      <c r="Z70" s="526">
        <v>8953906.2393882424</v>
      </c>
      <c r="AA70" s="526">
        <v>9396258.4574788231</v>
      </c>
      <c r="AB70" s="526">
        <v>9973055.2238012478</v>
      </c>
      <c r="AC70" s="526">
        <v>10419309.723796159</v>
      </c>
      <c r="AD70" s="526">
        <v>11047058.541181456</v>
      </c>
      <c r="AE70" s="526">
        <v>11564925.787661256</v>
      </c>
      <c r="AF70" s="526">
        <v>12283333.896229193</v>
      </c>
      <c r="AG70" s="526">
        <v>12866519.335977236</v>
      </c>
      <c r="AH70" s="526">
        <v>13571676.855962042</v>
      </c>
      <c r="AI70" s="526">
        <v>14254352.441745436</v>
      </c>
      <c r="AJ70" s="526">
        <v>15036371.27235074</v>
      </c>
    </row>
    <row r="71" spans="1:36" ht="14.5" x14ac:dyDescent="0.3">
      <c r="A71" s="944"/>
      <c r="B71" s="125"/>
      <c r="C71" s="525" t="s">
        <v>161</v>
      </c>
      <c r="D71" s="526"/>
      <c r="E71" s="526"/>
      <c r="F71" s="526"/>
      <c r="G71" s="526"/>
      <c r="H71" s="527">
        <v>7.9475832639841648E-2</v>
      </c>
      <c r="I71" s="527">
        <v>1.726420354699951E-2</v>
      </c>
      <c r="J71" s="527">
        <v>8.3156649414181633E-2</v>
      </c>
      <c r="K71" s="527">
        <v>1.451180570217722E-2</v>
      </c>
      <c r="L71" s="527">
        <v>7.1418387579444326E-2</v>
      </c>
      <c r="M71" s="527">
        <v>2.7557477458329226E-2</v>
      </c>
      <c r="N71" s="527">
        <v>8.3571708223738619E-2</v>
      </c>
      <c r="O71" s="527">
        <v>2.2534702513406245E-2</v>
      </c>
      <c r="P71" s="527">
        <v>7.2822067854751607E-2</v>
      </c>
      <c r="Q71" s="527">
        <v>3.6627073291929851E-2</v>
      </c>
      <c r="R71" s="527">
        <v>7.2832592873063443E-2</v>
      </c>
      <c r="S71" s="527">
        <v>4.6283110967422408E-2</v>
      </c>
      <c r="T71" s="527">
        <v>6.8866685532132974E-2</v>
      </c>
      <c r="U71" s="527">
        <v>4.2319866446965664E-2</v>
      </c>
      <c r="V71" s="527">
        <v>7.0840417609709244E-2</v>
      </c>
      <c r="W71" s="527">
        <v>4.3080838018987017E-2</v>
      </c>
      <c r="X71" s="527">
        <v>6.5952986805383945E-2</v>
      </c>
      <c r="Y71" s="527">
        <v>5.0457184091092767E-2</v>
      </c>
      <c r="Z71" s="527">
        <v>6.1621000876073022E-2</v>
      </c>
      <c r="AA71" s="527">
        <v>4.9403266715556268E-2</v>
      </c>
      <c r="AB71" s="527">
        <v>6.138579190138508E-2</v>
      </c>
      <c r="AC71" s="527">
        <v>4.4746017141256797E-2</v>
      </c>
      <c r="AD71" s="527">
        <v>6.0248599381935254E-2</v>
      </c>
      <c r="AE71" s="527">
        <v>4.6878292945518811E-2</v>
      </c>
      <c r="AF71" s="527">
        <v>6.2119560623070634E-2</v>
      </c>
      <c r="AG71" s="527">
        <v>4.7477781250176126E-2</v>
      </c>
      <c r="AH71" s="527">
        <v>5.4805616155493689E-2</v>
      </c>
      <c r="AI71" s="527">
        <v>5.0301491335869412E-2</v>
      </c>
      <c r="AJ71" s="527">
        <v>5.4861757754429863E-2</v>
      </c>
    </row>
    <row r="72" spans="1:36" ht="14.5" x14ac:dyDescent="0.3">
      <c r="A72" s="944"/>
      <c r="B72" s="125"/>
      <c r="C72" s="525"/>
      <c r="D72" s="526"/>
      <c r="E72" s="526"/>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row>
    <row r="73" spans="1:36" ht="14.5" x14ac:dyDescent="0.3">
      <c r="A73" s="49"/>
      <c r="B73" s="523"/>
      <c r="C73" s="524" t="s">
        <v>171</v>
      </c>
      <c r="D73" s="954"/>
      <c r="E73" s="954"/>
      <c r="F73" s="954"/>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row>
    <row r="74" spans="1:36" ht="14.5" x14ac:dyDescent="0.3">
      <c r="A74" s="49"/>
      <c r="B74" s="125"/>
      <c r="C74" s="525" t="s">
        <v>172</v>
      </c>
      <c r="D74" s="526"/>
      <c r="E74" s="526"/>
      <c r="F74" s="526"/>
      <c r="G74" s="526">
        <v>12568272.386424376</v>
      </c>
      <c r="H74" s="526">
        <v>13043257.626756303</v>
      </c>
      <c r="I74" s="526">
        <v>13325429.131351719</v>
      </c>
      <c r="J74" s="526">
        <v>13855045.892752003</v>
      </c>
      <c r="K74" s="526">
        <v>14089476.662089169</v>
      </c>
      <c r="L74" s="526">
        <v>14536381.653979262</v>
      </c>
      <c r="M74" s="526">
        <v>14934308.779998872</v>
      </c>
      <c r="N74" s="526">
        <v>15645839.909241045</v>
      </c>
      <c r="O74" s="526">
        <v>15946806.602100641</v>
      </c>
      <c r="P74" s="526">
        <v>16603696.496172702</v>
      </c>
      <c r="Q74" s="526">
        <v>17141454.826118529</v>
      </c>
      <c r="R74" s="526">
        <v>17920710.876227785</v>
      </c>
      <c r="S74" s="526">
        <v>18647574.712628946</v>
      </c>
      <c r="T74" s="526">
        <v>19488641.05849712</v>
      </c>
      <c r="U74" s="526">
        <v>20175739.932822865</v>
      </c>
      <c r="V74" s="526">
        <v>21182811.199620042</v>
      </c>
      <c r="W74" s="526">
        <v>21922061.439882796</v>
      </c>
      <c r="X74" s="526">
        <v>22962265.036853734</v>
      </c>
      <c r="Y74" s="526">
        <v>23912827.35832471</v>
      </c>
      <c r="Z74" s="526">
        <v>24990247.137542799</v>
      </c>
      <c r="AA74" s="526">
        <v>25985461.44855722</v>
      </c>
      <c r="AB74" s="526">
        <v>27190287.306818362</v>
      </c>
      <c r="AC74" s="526">
        <v>28139768.548536353</v>
      </c>
      <c r="AD74" s="526">
        <v>29448452.061965086</v>
      </c>
      <c r="AE74" s="526">
        <v>30535383.857406382</v>
      </c>
      <c r="AF74" s="526">
        <v>32043392.156493977</v>
      </c>
      <c r="AG74" s="526">
        <v>33245002.623966828</v>
      </c>
      <c r="AH74" s="526">
        <v>34674462.483159795</v>
      </c>
      <c r="AI74" s="526">
        <v>36074486.613705501</v>
      </c>
      <c r="AJ74" s="526">
        <v>37652527.719799608</v>
      </c>
    </row>
    <row r="75" spans="1:36" ht="14.5" x14ac:dyDescent="0.3">
      <c r="A75" s="49"/>
      <c r="B75" s="125"/>
      <c r="C75" s="525" t="s">
        <v>161</v>
      </c>
      <c r="D75" s="526"/>
      <c r="E75" s="526"/>
      <c r="F75" s="526"/>
      <c r="G75" s="526"/>
      <c r="H75" s="527">
        <v>3.7792405012242E-2</v>
      </c>
      <c r="I75" s="527">
        <v>2.163351462264939E-2</v>
      </c>
      <c r="J75" s="527">
        <v>3.9744818435469058E-2</v>
      </c>
      <c r="K75" s="527">
        <v>1.6920244880589245E-2</v>
      </c>
      <c r="L75" s="527">
        <v>3.1719062574736313E-2</v>
      </c>
      <c r="M75" s="527">
        <v>2.7374565107863656E-2</v>
      </c>
      <c r="N75" s="527">
        <v>4.764406171881938E-2</v>
      </c>
      <c r="O75" s="527">
        <v>1.9236211964679055E-2</v>
      </c>
      <c r="P75" s="527">
        <v>4.1192566666327451E-2</v>
      </c>
      <c r="Q75" s="527">
        <v>3.2387867970833178E-2</v>
      </c>
      <c r="R75" s="527">
        <v>4.5460321659623625E-2</v>
      </c>
      <c r="S75" s="527">
        <v>4.0559989021716855E-2</v>
      </c>
      <c r="T75" s="527">
        <v>4.5103256526896625E-2</v>
      </c>
      <c r="U75" s="527">
        <v>3.5256376894794682E-2</v>
      </c>
      <c r="V75" s="527">
        <v>4.9914960747428426E-2</v>
      </c>
      <c r="W75" s="527">
        <v>3.4898589865919885E-2</v>
      </c>
      <c r="X75" s="527">
        <v>4.745008127194171E-2</v>
      </c>
      <c r="Y75" s="527">
        <v>4.1396714128390751E-2</v>
      </c>
      <c r="Z75" s="527">
        <v>4.5056143427682528E-2</v>
      </c>
      <c r="AA75" s="527">
        <v>3.9824108402646115E-2</v>
      </c>
      <c r="AB75" s="527">
        <v>4.6365382452272633E-2</v>
      </c>
      <c r="AC75" s="527">
        <v>3.4919867929453403E-2</v>
      </c>
      <c r="AD75" s="527">
        <v>4.650654859408223E-2</v>
      </c>
      <c r="AE75" s="527">
        <v>3.6909641062090014E-2</v>
      </c>
      <c r="AF75" s="527">
        <v>4.9385601508389963E-2</v>
      </c>
      <c r="AG75" s="527">
        <v>3.7499477633466796E-2</v>
      </c>
      <c r="AH75" s="527">
        <v>4.2997736392490105E-2</v>
      </c>
      <c r="AI75" s="527">
        <v>4.0376231678447776E-2</v>
      </c>
      <c r="AJ75" s="527">
        <v>4.3743965728248894E-2</v>
      </c>
    </row>
    <row r="76" spans="1:36" ht="14.5" x14ac:dyDescent="0.3">
      <c r="A76" s="944"/>
      <c r="B76" s="125"/>
      <c r="C76" s="525"/>
      <c r="D76" s="525"/>
      <c r="E76" s="525"/>
      <c r="F76" s="525"/>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row>
    <row r="77" spans="1:36" ht="14.5" x14ac:dyDescent="0.3">
      <c r="A77" s="944"/>
      <c r="B77" s="125"/>
      <c r="C77" s="524" t="s">
        <v>173</v>
      </c>
      <c r="D77" s="526"/>
      <c r="E77" s="526"/>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row>
    <row r="78" spans="1:36" ht="14.5" x14ac:dyDescent="0.3">
      <c r="A78" s="944"/>
      <c r="B78" s="125"/>
      <c r="C78" s="525" t="s">
        <v>174</v>
      </c>
      <c r="D78" s="526"/>
      <c r="E78" s="526"/>
      <c r="F78" s="526"/>
      <c r="G78" s="526">
        <v>6770880.0207718099</v>
      </c>
      <c r="H78" s="526">
        <v>7367985.3684235234</v>
      </c>
      <c r="I78" s="526">
        <v>7153337.3166907867</v>
      </c>
      <c r="J78" s="526">
        <v>7918553.7947751433</v>
      </c>
      <c r="K78" s="526">
        <v>7599295.1586791221</v>
      </c>
      <c r="L78" s="526">
        <v>8390540.0426488705</v>
      </c>
      <c r="M78" s="526">
        <v>8139640.7133051781</v>
      </c>
      <c r="N78" s="526">
        <v>9097728.7767037638</v>
      </c>
      <c r="O78" s="526">
        <v>8787711.3617991358</v>
      </c>
      <c r="P78" s="526">
        <v>9692460.4826726653</v>
      </c>
      <c r="Q78" s="526">
        <v>9526191.636082489</v>
      </c>
      <c r="R78" s="526">
        <v>10448178.084280958</v>
      </c>
      <c r="S78" s="526">
        <v>10436590.857492048</v>
      </c>
      <c r="T78" s="526">
        <v>11342718.481510153</v>
      </c>
      <c r="U78" s="526">
        <v>11361190.055661051</v>
      </c>
      <c r="V78" s="526">
        <v>12312656.843913838</v>
      </c>
      <c r="W78" s="526">
        <v>12411394.861885892</v>
      </c>
      <c r="X78" s="526">
        <v>13339059.549005808</v>
      </c>
      <c r="Y78" s="526">
        <v>13603833.419926353</v>
      </c>
      <c r="Z78" s="526">
        <v>14517344.679116834</v>
      </c>
      <c r="AA78" s="526">
        <v>14846660.903913541</v>
      </c>
      <c r="AB78" s="526">
        <v>15801838.270357123</v>
      </c>
      <c r="AC78" s="526">
        <v>16139220.67398938</v>
      </c>
      <c r="AD78" s="526">
        <v>17126230.754584037</v>
      </c>
      <c r="AE78" s="526">
        <v>17573780.532656536</v>
      </c>
      <c r="AF78" s="526">
        <v>18653089.122889202</v>
      </c>
      <c r="AG78" s="526">
        <v>19193856.016680248</v>
      </c>
      <c r="AH78" s="526">
        <v>20208209.460601848</v>
      </c>
      <c r="AI78" s="526">
        <v>20888900.325150833</v>
      </c>
      <c r="AJ78" s="526">
        <v>21973380.650212191</v>
      </c>
    </row>
    <row r="79" spans="1:36" ht="14.5" x14ac:dyDescent="0.3">
      <c r="A79" s="944"/>
      <c r="B79" s="125"/>
      <c r="C79" s="525" t="s">
        <v>161</v>
      </c>
      <c r="D79" s="526"/>
      <c r="E79" s="526"/>
      <c r="F79" s="526"/>
      <c r="G79" s="526"/>
      <c r="H79" s="528">
        <v>8.8187258645834002E-2</v>
      </c>
      <c r="I79" s="528">
        <v>-2.9132529585718138E-2</v>
      </c>
      <c r="J79" s="528">
        <v>0.10697335302487233</v>
      </c>
      <c r="K79" s="528">
        <v>-4.0317795947370574E-2</v>
      </c>
      <c r="L79" s="528">
        <v>0.10412082534602844</v>
      </c>
      <c r="M79" s="528">
        <v>-2.9902643699735467E-2</v>
      </c>
      <c r="N79" s="528">
        <v>0.11770643166503414</v>
      </c>
      <c r="O79" s="528">
        <v>-3.4076352737452312E-2</v>
      </c>
      <c r="P79" s="528">
        <v>0.10295617182040641</v>
      </c>
      <c r="Q79" s="528">
        <v>-1.7154451842998707E-2</v>
      </c>
      <c r="R79" s="528">
        <v>9.6784369181305188E-2</v>
      </c>
      <c r="S79" s="528">
        <v>-1.1090188830474492E-3</v>
      </c>
      <c r="T79" s="528">
        <v>8.6822185174350183E-2</v>
      </c>
      <c r="U79" s="528">
        <v>1.6284962181692341E-3</v>
      </c>
      <c r="V79" s="528">
        <v>8.3747106033024335E-2</v>
      </c>
      <c r="W79" s="528">
        <v>8.0192292552082531E-3</v>
      </c>
      <c r="X79" s="528">
        <v>7.4742983962961182E-2</v>
      </c>
      <c r="Y79" s="528">
        <v>1.9849515623481771E-2</v>
      </c>
      <c r="Z79" s="528">
        <v>6.7151017730958565E-2</v>
      </c>
      <c r="AA79" s="528">
        <v>2.2684329130135447E-2</v>
      </c>
      <c r="AB79" s="528">
        <v>6.4336174485658232E-2</v>
      </c>
      <c r="AC79" s="528">
        <v>2.1350832596809779E-2</v>
      </c>
      <c r="AD79" s="528">
        <v>6.1155993869354691E-2</v>
      </c>
      <c r="AE79" s="528">
        <v>2.6132415502617631E-2</v>
      </c>
      <c r="AF79" s="528">
        <v>6.1415845510704871E-2</v>
      </c>
      <c r="AG79" s="528">
        <v>2.8990741974607898E-2</v>
      </c>
      <c r="AH79" s="528">
        <v>5.2847819794005164E-2</v>
      </c>
      <c r="AI79" s="528">
        <v>3.3683878122703917E-2</v>
      </c>
      <c r="AJ79" s="528">
        <v>5.1916582882805623E-2</v>
      </c>
    </row>
    <row r="80" spans="1:36" ht="14.5" x14ac:dyDescent="0.3">
      <c r="A80" s="944"/>
      <c r="B80" s="125"/>
      <c r="C80" s="525"/>
      <c r="D80" s="526"/>
      <c r="E80" s="526"/>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row>
    <row r="81" spans="1:36" ht="14.5" x14ac:dyDescent="0.3">
      <c r="A81" s="944"/>
      <c r="B81" s="125"/>
      <c r="C81" s="524" t="s">
        <v>175</v>
      </c>
      <c r="D81" s="526"/>
      <c r="E81" s="526"/>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row>
    <row r="82" spans="1:36" ht="14.5" x14ac:dyDescent="0.3">
      <c r="A82" s="944"/>
      <c r="B82" s="125"/>
      <c r="C82" s="525" t="s">
        <v>176</v>
      </c>
      <c r="D82" s="526"/>
      <c r="E82" s="526"/>
      <c r="F82" s="526"/>
      <c r="G82" s="526">
        <v>11502512.935281703</v>
      </c>
      <c r="H82" s="526">
        <v>11361982.713396629</v>
      </c>
      <c r="I82" s="526">
        <v>12043245.781356076</v>
      </c>
      <c r="J82" s="526">
        <v>11911060.665453589</v>
      </c>
      <c r="K82" s="526">
        <v>12559293.741320055</v>
      </c>
      <c r="L82" s="526">
        <v>12370056.813917076</v>
      </c>
      <c r="M82" s="526">
        <v>13125252.488906428</v>
      </c>
      <c r="N82" s="526">
        <v>13194046.458421996</v>
      </c>
      <c r="O82" s="526">
        <v>13847488.144299148</v>
      </c>
      <c r="P82" s="526">
        <v>13886619.128904752</v>
      </c>
      <c r="Q82" s="526">
        <v>14700689.647110527</v>
      </c>
      <c r="R82" s="526">
        <v>14861932.966823058</v>
      </c>
      <c r="S82" s="526">
        <v>15787390.147471251</v>
      </c>
      <c r="T82" s="526">
        <v>16015593.579355661</v>
      </c>
      <c r="U82" s="526">
        <v>16857211.445088234</v>
      </c>
      <c r="V82" s="526">
        <v>17239758.794064268</v>
      </c>
      <c r="W82" s="526">
        <v>18074760.354912173</v>
      </c>
      <c r="X82" s="526">
        <v>18498811.977055188</v>
      </c>
      <c r="Y82" s="526">
        <v>19456884.307803143</v>
      </c>
      <c r="Z82" s="526">
        <v>19921712.803858425</v>
      </c>
      <c r="AA82" s="526">
        <v>20866486.069450654</v>
      </c>
      <c r="AB82" s="526">
        <v>21441059.789657373</v>
      </c>
      <c r="AC82" s="526">
        <v>22301248.882723883</v>
      </c>
      <c r="AD82" s="526">
        <v>22962517.164961822</v>
      </c>
      <c r="AE82" s="526">
        <v>23883383.838121876</v>
      </c>
      <c r="AF82" s="526">
        <v>24698537.24915361</v>
      </c>
      <c r="AG82" s="526">
        <v>25661466.487266716</v>
      </c>
      <c r="AH82" s="526">
        <v>26410479.55312448</v>
      </c>
      <c r="AI82" s="526">
        <v>27478024.847786024</v>
      </c>
      <c r="AJ82" s="526">
        <v>28330925.37784579</v>
      </c>
    </row>
    <row r="83" spans="1:36" ht="14.5" x14ac:dyDescent="0.3">
      <c r="A83" s="944"/>
      <c r="B83" s="125"/>
      <c r="C83" s="525" t="s">
        <v>161</v>
      </c>
      <c r="D83" s="526"/>
      <c r="E83" s="526"/>
      <c r="F83" s="526"/>
      <c r="G83" s="526"/>
      <c r="H83" s="528">
        <v>-1.221734960662596E-2</v>
      </c>
      <c r="I83" s="528">
        <v>5.9959875414718443E-2</v>
      </c>
      <c r="J83" s="528">
        <v>-1.0975871314286428E-2</v>
      </c>
      <c r="K83" s="528">
        <v>5.4422783501269389E-2</v>
      </c>
      <c r="L83" s="528">
        <v>-1.5067481603713876E-2</v>
      </c>
      <c r="M83" s="528">
        <v>6.1050299634817388E-2</v>
      </c>
      <c r="N83" s="528">
        <v>5.2413444673702755E-3</v>
      </c>
      <c r="O83" s="528">
        <v>4.9525495300954341E-2</v>
      </c>
      <c r="P83" s="528">
        <v>2.8258543497446187E-3</v>
      </c>
      <c r="Q83" s="528">
        <v>5.8622657584904994E-2</v>
      </c>
      <c r="R83" s="528">
        <v>1.0968418732941809E-2</v>
      </c>
      <c r="S83" s="528">
        <v>6.227031051170337E-2</v>
      </c>
      <c r="T83" s="528">
        <v>1.4454791434983469E-2</v>
      </c>
      <c r="U83" s="528">
        <v>5.2549901542046557E-2</v>
      </c>
      <c r="V83" s="528">
        <v>2.2693394469314752E-2</v>
      </c>
      <c r="W83" s="528">
        <v>4.8434642898565354E-2</v>
      </c>
      <c r="X83" s="528">
        <v>2.3460981712422585E-2</v>
      </c>
      <c r="Y83" s="528">
        <v>5.1791019441480339E-2</v>
      </c>
      <c r="Z83" s="528">
        <v>2.3890181423798885E-2</v>
      </c>
      <c r="AA83" s="528">
        <v>4.7424299049690422E-2</v>
      </c>
      <c r="AB83" s="528">
        <v>2.7535720115708276E-2</v>
      </c>
      <c r="AC83" s="528">
        <v>4.0118776847096117E-2</v>
      </c>
      <c r="AD83" s="528">
        <v>2.9651625597981845E-2</v>
      </c>
      <c r="AE83" s="528">
        <v>4.0103036898985582E-2</v>
      </c>
      <c r="AF83" s="528">
        <v>3.4130566110594972E-2</v>
      </c>
      <c r="AG83" s="528">
        <v>3.8987298251685079E-2</v>
      </c>
      <c r="AH83" s="528">
        <v>2.9188240907020123E-2</v>
      </c>
      <c r="AI83" s="528">
        <v>4.0421276429842362E-2</v>
      </c>
      <c r="AJ83" s="528">
        <v>3.1039368178185721E-2</v>
      </c>
    </row>
    <row r="84" spans="1:36" ht="14.5" x14ac:dyDescent="0.3">
      <c r="A84" s="944"/>
      <c r="B84" s="125"/>
      <c r="C84" s="525"/>
      <c r="D84" s="526"/>
      <c r="E84" s="526"/>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row>
    <row r="85" spans="1:36" ht="14.5" x14ac:dyDescent="0.3">
      <c r="A85" s="944"/>
      <c r="B85" s="125"/>
      <c r="C85" s="524" t="s">
        <v>177</v>
      </c>
      <c r="D85" s="526"/>
      <c r="E85" s="526"/>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row>
    <row r="86" spans="1:36" ht="14.5" x14ac:dyDescent="0.3">
      <c r="A86" s="944"/>
      <c r="B86" s="125"/>
      <c r="C86" s="525" t="s">
        <v>178</v>
      </c>
      <c r="D86" s="526"/>
      <c r="E86" s="526"/>
      <c r="F86" s="526"/>
      <c r="G86" s="526">
        <v>7835677.5230358457</v>
      </c>
      <c r="H86" s="526">
        <v>7699029.0462169703</v>
      </c>
      <c r="I86" s="526">
        <v>8287017.9116010442</v>
      </c>
      <c r="J86" s="526">
        <v>8193333.5618535122</v>
      </c>
      <c r="K86" s="526">
        <v>8756320.8110029716</v>
      </c>
      <c r="L86" s="526">
        <v>8644358.1216612253</v>
      </c>
      <c r="M86" s="526">
        <v>9288887.2841336541</v>
      </c>
      <c r="N86" s="526">
        <v>9357747.8146569896</v>
      </c>
      <c r="O86" s="526">
        <v>9937999.740532985</v>
      </c>
      <c r="P86" s="526">
        <v>9990356.9845237285</v>
      </c>
      <c r="Q86" s="526">
        <v>10683481.474488541</v>
      </c>
      <c r="R86" s="526">
        <v>10836818.097597694</v>
      </c>
      <c r="S86" s="526">
        <v>11617036.254367359</v>
      </c>
      <c r="T86" s="526">
        <v>11837386.890798546</v>
      </c>
      <c r="U86" s="526">
        <v>12564984.998370335</v>
      </c>
      <c r="V86" s="526">
        <v>12918803.068584248</v>
      </c>
      <c r="W86" s="526">
        <v>13653119.162373643</v>
      </c>
      <c r="X86" s="526">
        <v>14057331.831754388</v>
      </c>
      <c r="Y86" s="526">
        <v>14899001.461941384</v>
      </c>
      <c r="Z86" s="526">
        <v>15353907.840643315</v>
      </c>
      <c r="AA86" s="526">
        <v>16201720.896927187</v>
      </c>
      <c r="AB86" s="526">
        <v>16761777.340076415</v>
      </c>
      <c r="AC86" s="526">
        <v>17561130.941369373</v>
      </c>
      <c r="AD86" s="526">
        <v>18210761.250018008</v>
      </c>
      <c r="AE86" s="526">
        <v>19077288.001604501</v>
      </c>
      <c r="AF86" s="526">
        <v>19873720.974016551</v>
      </c>
      <c r="AG86" s="526">
        <v>20796513.823035225</v>
      </c>
      <c r="AH86" s="526">
        <v>21565394.51201316</v>
      </c>
      <c r="AI86" s="526">
        <v>22598330.913688842</v>
      </c>
      <c r="AJ86" s="526">
        <v>23479818.915019516</v>
      </c>
    </row>
    <row r="87" spans="1:36" ht="14.5" x14ac:dyDescent="0.3">
      <c r="A87" s="944"/>
      <c r="B87" s="125"/>
      <c r="C87" s="525" t="s">
        <v>161</v>
      </c>
      <c r="D87" s="526"/>
      <c r="E87" s="526"/>
      <c r="F87" s="526"/>
      <c r="G87" s="526"/>
      <c r="H87" s="528">
        <v>-1.743926755754651E-2</v>
      </c>
      <c r="I87" s="528">
        <v>7.6371820635355414E-2</v>
      </c>
      <c r="J87" s="528">
        <v>-1.1304953210778365E-2</v>
      </c>
      <c r="K87" s="528">
        <v>6.87128437893232E-2</v>
      </c>
      <c r="L87" s="528">
        <v>-1.2786499233908467E-2</v>
      </c>
      <c r="M87" s="528">
        <v>7.4560673378090761E-2</v>
      </c>
      <c r="N87" s="528">
        <v>7.4132162892057282E-3</v>
      </c>
      <c r="O87" s="528">
        <v>6.2007647285295495E-2</v>
      </c>
      <c r="P87" s="528">
        <v>5.2683885447491023E-3</v>
      </c>
      <c r="Q87" s="528">
        <v>6.9379351612614715E-2</v>
      </c>
      <c r="R87" s="528">
        <v>1.4352683015860552E-2</v>
      </c>
      <c r="S87" s="528">
        <v>7.199697824056156E-2</v>
      </c>
      <c r="T87" s="528">
        <v>1.8967887472017469E-2</v>
      </c>
      <c r="U87" s="528">
        <v>6.1466108549460836E-2</v>
      </c>
      <c r="V87" s="528">
        <v>2.8159052339481801E-2</v>
      </c>
      <c r="W87" s="528">
        <v>5.6840876812736141E-2</v>
      </c>
      <c r="X87" s="528">
        <v>2.9605884528914571E-2</v>
      </c>
      <c r="Y87" s="528">
        <v>5.987406716015134E-2</v>
      </c>
      <c r="Z87" s="528">
        <v>3.0532675620172416E-2</v>
      </c>
      <c r="AA87" s="528">
        <v>5.5218063380556931E-2</v>
      </c>
      <c r="AB87" s="528">
        <v>3.4567713313432509E-2</v>
      </c>
      <c r="AC87" s="528">
        <v>4.7689071694190295E-2</v>
      </c>
      <c r="AD87" s="528">
        <v>3.6992509811442593E-2</v>
      </c>
      <c r="AE87" s="528">
        <v>4.7583225088167924E-2</v>
      </c>
      <c r="AF87" s="528">
        <v>4.1747703989427926E-2</v>
      </c>
      <c r="AG87" s="528">
        <v>4.6432816996130673E-2</v>
      </c>
      <c r="AH87" s="528">
        <v>3.6971614354242628E-2</v>
      </c>
      <c r="AI87" s="528">
        <v>4.7897867164001004E-2</v>
      </c>
      <c r="AJ87" s="528">
        <v>3.9006774646206999E-2</v>
      </c>
    </row>
    <row r="88" spans="1:36" ht="14.5" x14ac:dyDescent="0.3">
      <c r="A88" s="944"/>
      <c r="B88" s="125"/>
      <c r="C88" s="525"/>
      <c r="D88" s="526"/>
      <c r="E88" s="526"/>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row>
    <row r="89" spans="1:36" ht="14.5" x14ac:dyDescent="0.3">
      <c r="A89" s="944"/>
      <c r="B89" s="125"/>
      <c r="C89" s="524" t="s">
        <v>179</v>
      </c>
      <c r="D89" s="526"/>
      <c r="E89" s="526"/>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row>
    <row r="90" spans="1:36" ht="14.5" x14ac:dyDescent="0.3">
      <c r="A90" s="944"/>
      <c r="B90" s="125"/>
      <c r="C90" s="525" t="s">
        <v>180</v>
      </c>
      <c r="D90" s="526"/>
      <c r="E90" s="526"/>
      <c r="F90" s="526"/>
      <c r="G90" s="526">
        <v>43064009.540893123</v>
      </c>
      <c r="H90" s="526">
        <v>44154791.301187113</v>
      </c>
      <c r="I90" s="526">
        <v>45576913.513485946</v>
      </c>
      <c r="J90" s="526">
        <v>46817316.44490318</v>
      </c>
      <c r="K90" s="526">
        <v>48275646.849459879</v>
      </c>
      <c r="L90" s="526">
        <v>49215413.797873177</v>
      </c>
      <c r="M90" s="526">
        <v>51361712.614007294</v>
      </c>
      <c r="N90" s="526">
        <v>53235297.42682679</v>
      </c>
      <c r="O90" s="526">
        <v>55221294.06641797</v>
      </c>
      <c r="P90" s="526">
        <v>56960517.888195075</v>
      </c>
      <c r="Q90" s="526">
        <v>59787997.774703078</v>
      </c>
      <c r="R90" s="526">
        <v>62053161.529191628</v>
      </c>
      <c r="S90" s="526">
        <v>65544005.198651642</v>
      </c>
      <c r="T90" s="526">
        <v>68131518.415938362</v>
      </c>
      <c r="U90" s="526">
        <v>71464913.45408991</v>
      </c>
      <c r="V90" s="526">
        <v>74729965.175509095</v>
      </c>
      <c r="W90" s="526">
        <v>78210286.434084952</v>
      </c>
      <c r="X90" s="526">
        <v>81664308.456522509</v>
      </c>
      <c r="Y90" s="526">
        <v>85847123.349574938</v>
      </c>
      <c r="Z90" s="526">
        <v>89486320.387731582</v>
      </c>
      <c r="AA90" s="526">
        <v>93767816.490847141</v>
      </c>
      <c r="AB90" s="526">
        <v>97902823.980876788</v>
      </c>
      <c r="AC90" s="526">
        <v>101950982.94210953</v>
      </c>
      <c r="AD90" s="526">
        <v>106492857.40288021</v>
      </c>
      <c r="AE90" s="526">
        <v>110973777.97925824</v>
      </c>
      <c r="AF90" s="526">
        <v>116270437.36564192</v>
      </c>
      <c r="AG90" s="526">
        <v>121118920.1798272</v>
      </c>
      <c r="AH90" s="526">
        <v>126169838.68696482</v>
      </c>
      <c r="AI90" s="526">
        <v>131710282.86176738</v>
      </c>
      <c r="AJ90" s="526">
        <v>137356612.57080254</v>
      </c>
    </row>
    <row r="91" spans="1:36" ht="14.5" x14ac:dyDescent="0.3">
      <c r="A91" s="944"/>
      <c r="B91" s="125"/>
      <c r="C91" s="525" t="s">
        <v>161</v>
      </c>
      <c r="D91" s="526"/>
      <c r="E91" s="526"/>
      <c r="F91" s="526"/>
      <c r="G91" s="526"/>
      <c r="H91" s="528">
        <v>2.5329312619118655E-2</v>
      </c>
      <c r="I91" s="528">
        <v>3.2207653357442065E-2</v>
      </c>
      <c r="J91" s="528">
        <v>2.7215597454843143E-2</v>
      </c>
      <c r="K91" s="528">
        <v>3.1149380513360497E-2</v>
      </c>
      <c r="L91" s="528">
        <v>1.9466687859073437E-2</v>
      </c>
      <c r="M91" s="528">
        <v>4.3610297069713332E-2</v>
      </c>
      <c r="N91" s="528">
        <v>3.647823870087491E-2</v>
      </c>
      <c r="O91" s="528">
        <v>3.730601190537125E-2</v>
      </c>
      <c r="P91" s="528">
        <v>3.1495528150521722E-2</v>
      </c>
      <c r="Q91" s="528">
        <v>4.9639293871202514E-2</v>
      </c>
      <c r="R91" s="528">
        <v>3.7886596621353401E-2</v>
      </c>
      <c r="S91" s="528">
        <v>5.6255694044175623E-2</v>
      </c>
      <c r="T91" s="528">
        <v>3.9477496217151388E-2</v>
      </c>
      <c r="U91" s="528">
        <v>4.8925887983317699E-2</v>
      </c>
      <c r="V91" s="528">
        <v>4.5687478842560997E-2</v>
      </c>
      <c r="W91" s="528">
        <v>4.6571964143192805E-2</v>
      </c>
      <c r="X91" s="528">
        <v>4.4163270330796985E-2</v>
      </c>
      <c r="Y91" s="528">
        <v>5.1219620567525277E-2</v>
      </c>
      <c r="Z91" s="528">
        <v>4.2391601444088024E-2</v>
      </c>
      <c r="AA91" s="528">
        <v>4.7845258186552324E-2</v>
      </c>
      <c r="AB91" s="528">
        <v>4.4098365993552532E-2</v>
      </c>
      <c r="AC91" s="528">
        <v>4.1348745589028742E-2</v>
      </c>
      <c r="AD91" s="528">
        <v>4.4549589711652689E-2</v>
      </c>
      <c r="AE91" s="528">
        <v>4.2077193585161904E-2</v>
      </c>
      <c r="AF91" s="528">
        <v>4.7728927345103672E-2</v>
      </c>
      <c r="AG91" s="528">
        <v>4.170004795748717E-2</v>
      </c>
      <c r="AH91" s="528">
        <v>4.1702142816650335E-2</v>
      </c>
      <c r="AI91" s="528">
        <v>4.3912588241859778E-2</v>
      </c>
      <c r="AJ91" s="528">
        <v>4.2869315791851242E-2</v>
      </c>
    </row>
    <row r="92" spans="1:36" ht="14.5" x14ac:dyDescent="0.3">
      <c r="A92" s="944"/>
      <c r="B92" s="125"/>
      <c r="C92" s="529"/>
      <c r="D92" s="392"/>
      <c r="E92" s="392"/>
      <c r="F92" s="392"/>
      <c r="G92" s="392"/>
      <c r="H92" s="392"/>
      <c r="I92" s="392"/>
      <c r="J92" s="392"/>
      <c r="K92" s="392"/>
      <c r="L92" s="392"/>
      <c r="M92" s="392"/>
      <c r="N92" s="392"/>
      <c r="O92" s="392"/>
      <c r="P92" s="392"/>
      <c r="Q92" s="392"/>
      <c r="R92" s="392"/>
      <c r="S92" s="392"/>
      <c r="T92" s="392"/>
      <c r="U92" s="392"/>
      <c r="V92" s="392"/>
      <c r="W92" s="392"/>
      <c r="X92" s="392"/>
      <c r="Y92" s="392"/>
      <c r="Z92" s="392"/>
      <c r="AA92" s="392"/>
      <c r="AB92" s="392"/>
      <c r="AC92" s="392"/>
      <c r="AD92" s="392"/>
      <c r="AE92" s="392"/>
      <c r="AF92" s="392"/>
      <c r="AG92" s="392"/>
      <c r="AH92" s="392"/>
      <c r="AI92" s="392"/>
      <c r="AJ92" s="392"/>
    </row>
    <row r="93" spans="1:36" ht="14.5" x14ac:dyDescent="0.3">
      <c r="A93" s="49"/>
      <c r="B93" s="523"/>
      <c r="C93" s="524" t="s">
        <v>344</v>
      </c>
      <c r="D93" s="1095"/>
      <c r="E93" s="1095"/>
      <c r="F93" s="1095"/>
      <c r="G93" s="1095"/>
      <c r="H93" s="954"/>
      <c r="I93" s="954"/>
      <c r="J93" s="954"/>
      <c r="K93" s="954"/>
      <c r="L93" s="954"/>
      <c r="M93" s="954"/>
      <c r="N93" s="954"/>
      <c r="O93" s="954"/>
      <c r="P93" s="954"/>
      <c r="Q93" s="954"/>
      <c r="R93" s="954"/>
      <c r="S93" s="954"/>
      <c r="T93" s="954"/>
      <c r="U93" s="954"/>
      <c r="V93" s="954"/>
      <c r="W93" s="954"/>
      <c r="X93" s="954"/>
      <c r="Y93" s="954"/>
      <c r="Z93" s="954"/>
      <c r="AA93" s="954"/>
      <c r="AB93" s="954"/>
      <c r="AC93" s="954"/>
      <c r="AD93" s="954"/>
      <c r="AE93" s="954"/>
      <c r="AF93" s="954"/>
      <c r="AG93" s="954"/>
      <c r="AH93" s="954"/>
      <c r="AI93" s="954"/>
      <c r="AJ93" s="954"/>
    </row>
    <row r="94" spans="1:36" ht="14.5" x14ac:dyDescent="0.3">
      <c r="A94" s="49"/>
      <c r="B94" s="523"/>
      <c r="C94" s="524" t="s">
        <v>165</v>
      </c>
      <c r="D94" s="954"/>
      <c r="E94" s="954"/>
      <c r="F94" s="954"/>
      <c r="G94" s="954"/>
      <c r="H94" s="954"/>
      <c r="I94" s="954"/>
      <c r="J94" s="954"/>
      <c r="K94" s="954"/>
      <c r="L94" s="954"/>
      <c r="M94" s="954"/>
      <c r="N94" s="954"/>
      <c r="O94" s="954"/>
      <c r="P94" s="954"/>
      <c r="Q94" s="954"/>
      <c r="R94" s="954"/>
      <c r="S94" s="954"/>
      <c r="T94" s="954"/>
      <c r="U94" s="954"/>
      <c r="V94" s="954"/>
      <c r="W94" s="954"/>
      <c r="X94" s="954"/>
      <c r="Y94" s="954"/>
      <c r="Z94" s="954"/>
      <c r="AA94" s="954"/>
      <c r="AB94" s="954"/>
      <c r="AC94" s="954"/>
      <c r="AD94" s="954"/>
      <c r="AE94" s="954"/>
      <c r="AF94" s="954"/>
      <c r="AG94" s="954"/>
      <c r="AH94" s="954"/>
      <c r="AI94" s="954"/>
      <c r="AJ94" s="954"/>
    </row>
    <row r="95" spans="1:36" ht="14.5" x14ac:dyDescent="0.3">
      <c r="A95" s="49"/>
      <c r="B95" s="125"/>
      <c r="C95" s="525" t="s">
        <v>166</v>
      </c>
      <c r="D95" s="526"/>
      <c r="E95" s="526"/>
      <c r="F95" s="526"/>
      <c r="G95" s="526">
        <v>11028075.445731562</v>
      </c>
      <c r="H95" s="526">
        <v>11407863.837986894</v>
      </c>
      <c r="I95" s="526">
        <v>11743435.490841135</v>
      </c>
      <c r="J95" s="526">
        <v>12109217.097557349</v>
      </c>
      <c r="K95" s="526">
        <v>12395282.315002289</v>
      </c>
      <c r="L95" s="526">
        <v>12636981.938204726</v>
      </c>
      <c r="M95" s="526">
        <v>12799110.889463514</v>
      </c>
      <c r="N95" s="526">
        <v>12948875.514169497</v>
      </c>
      <c r="O95" s="526">
        <v>13030225.386197077</v>
      </c>
      <c r="P95" s="526">
        <v>13102114.000473883</v>
      </c>
      <c r="Q95" s="526">
        <v>13242725.304126548</v>
      </c>
      <c r="R95" s="526">
        <v>13348260.280861393</v>
      </c>
      <c r="S95" s="526">
        <v>13442692.508985659</v>
      </c>
      <c r="T95" s="526">
        <v>13523585.315381378</v>
      </c>
      <c r="U95" s="526">
        <v>13583338.005690759</v>
      </c>
      <c r="V95" s="526">
        <v>13667789.984324669</v>
      </c>
      <c r="W95" s="526">
        <v>13757833.28939236</v>
      </c>
      <c r="X95" s="526">
        <v>13853924.680794608</v>
      </c>
      <c r="Y95" s="526">
        <v>13990935.142885786</v>
      </c>
      <c r="Z95" s="526">
        <v>14145261.010394825</v>
      </c>
      <c r="AA95" s="526">
        <v>14307376.989577333</v>
      </c>
      <c r="AB95" s="526">
        <v>14488006.682942318</v>
      </c>
      <c r="AC95" s="526">
        <v>14634584.906608738</v>
      </c>
      <c r="AD95" s="526">
        <v>14850991.144549884</v>
      </c>
      <c r="AE95" s="526">
        <v>15063793.710336518</v>
      </c>
      <c r="AF95" s="526">
        <v>15312944.862110212</v>
      </c>
      <c r="AG95" s="526">
        <v>15565888.640580226</v>
      </c>
      <c r="AH95" s="526">
        <v>15796455.853067754</v>
      </c>
      <c r="AI95" s="526">
        <v>16041057.80348731</v>
      </c>
      <c r="AJ95" s="526">
        <v>16288556.550836436</v>
      </c>
    </row>
    <row r="96" spans="1:36" ht="14.5" x14ac:dyDescent="0.3">
      <c r="A96" s="49"/>
      <c r="B96" s="125"/>
      <c r="C96" s="525" t="s">
        <v>161</v>
      </c>
      <c r="D96" s="526"/>
      <c r="E96" s="526"/>
      <c r="F96" s="526"/>
      <c r="G96" s="526"/>
      <c r="H96" s="527">
        <v>3.4438320097123581E-2</v>
      </c>
      <c r="I96" s="527">
        <v>2.9415818563404118E-2</v>
      </c>
      <c r="J96" s="527">
        <v>3.1147751184182157E-2</v>
      </c>
      <c r="K96" s="527">
        <v>2.362375826118801E-2</v>
      </c>
      <c r="L96" s="527">
        <v>1.9499323779814441E-2</v>
      </c>
      <c r="M96" s="527">
        <v>1.2829720897885586E-2</v>
      </c>
      <c r="N96" s="527">
        <v>1.1701174089309015E-2</v>
      </c>
      <c r="O96" s="527">
        <v>6.2823889177528501E-3</v>
      </c>
      <c r="P96" s="527">
        <v>5.5170660634126503E-3</v>
      </c>
      <c r="Q96" s="527">
        <v>1.0731955442272824E-2</v>
      </c>
      <c r="R96" s="527">
        <v>7.969279307028997E-3</v>
      </c>
      <c r="S96" s="527">
        <v>7.0744970608388955E-3</v>
      </c>
      <c r="T96" s="527">
        <v>6.0176044599433249E-3</v>
      </c>
      <c r="U96" s="527">
        <v>4.4184059859791727E-3</v>
      </c>
      <c r="V96" s="527">
        <v>6.2173214417935519E-3</v>
      </c>
      <c r="W96" s="527">
        <v>6.5879930238143154E-3</v>
      </c>
      <c r="X96" s="527">
        <v>6.9844858111732756E-3</v>
      </c>
      <c r="Y96" s="527">
        <v>9.8896497020163759E-3</v>
      </c>
      <c r="Z96" s="527">
        <v>1.1030418333939021E-2</v>
      </c>
      <c r="AA96" s="527">
        <v>1.1460798006015927E-2</v>
      </c>
      <c r="AB96" s="527">
        <v>1.2624934220756941E-2</v>
      </c>
      <c r="AC96" s="527">
        <v>1.0117211212981864E-2</v>
      </c>
      <c r="AD96" s="527">
        <v>1.4787316437203518E-2</v>
      </c>
      <c r="AE96" s="527">
        <v>1.4329182726954177E-2</v>
      </c>
      <c r="AF96" s="527">
        <v>1.6539734715215307E-2</v>
      </c>
      <c r="AG96" s="527">
        <v>1.6518297476267159E-2</v>
      </c>
      <c r="AH96" s="527">
        <v>1.4812338557173026E-2</v>
      </c>
      <c r="AI96" s="527">
        <v>1.5484609503216722E-2</v>
      </c>
      <c r="AJ96" s="527">
        <v>1.542907895359122E-2</v>
      </c>
    </row>
    <row r="97" spans="1:36" ht="14.5" x14ac:dyDescent="0.3">
      <c r="A97" s="944"/>
      <c r="B97" s="125"/>
      <c r="C97" s="525"/>
      <c r="D97" s="525"/>
      <c r="E97" s="525"/>
      <c r="F97" s="525"/>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row>
    <row r="98" spans="1:36" ht="14.5" x14ac:dyDescent="0.3">
      <c r="A98" s="944"/>
      <c r="B98" s="125"/>
      <c r="C98" s="524" t="s">
        <v>167</v>
      </c>
      <c r="D98" s="526"/>
      <c r="E98" s="526"/>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row>
    <row r="99" spans="1:36" ht="14.5" x14ac:dyDescent="0.3">
      <c r="A99" s="944"/>
      <c r="B99" s="125"/>
      <c r="C99" s="525" t="s">
        <v>168</v>
      </c>
      <c r="D99" s="526"/>
      <c r="E99" s="526"/>
      <c r="F99" s="526"/>
      <c r="G99" s="526">
        <v>10102374.829310875</v>
      </c>
      <c r="H99" s="526">
        <v>10441572.744471667</v>
      </c>
      <c r="I99" s="526">
        <v>10665717.048028577</v>
      </c>
      <c r="J99" s="526">
        <v>11062140.685814507</v>
      </c>
      <c r="K99" s="526">
        <v>11260682.006677117</v>
      </c>
      <c r="L99" s="526">
        <v>11593334.517363831</v>
      </c>
      <c r="M99" s="526">
        <v>11722703.930234769</v>
      </c>
      <c r="N99" s="526">
        <v>12001989.080416361</v>
      </c>
      <c r="O99" s="526">
        <v>12108387.119834678</v>
      </c>
      <c r="P99" s="526">
        <v>12342937.460136754</v>
      </c>
      <c r="Q99" s="526">
        <v>12529653.400631458</v>
      </c>
      <c r="R99" s="526">
        <v>12817274.997361824</v>
      </c>
      <c r="S99" s="526">
        <v>12985556.639543954</v>
      </c>
      <c r="T99" s="526">
        <v>13255484.527514258</v>
      </c>
      <c r="U99" s="526">
        <v>13397373.35327455</v>
      </c>
      <c r="V99" s="526">
        <v>13656053.586089196</v>
      </c>
      <c r="W99" s="526">
        <v>13816540.489629639</v>
      </c>
      <c r="X99" s="526">
        <v>14055326.852542423</v>
      </c>
      <c r="Y99" s="526">
        <v>14237049.636664581</v>
      </c>
      <c r="Z99" s="526">
        <v>14493020.688950965</v>
      </c>
      <c r="AA99" s="526">
        <v>14665597.136334078</v>
      </c>
      <c r="AB99" s="526">
        <v>14902216.553754233</v>
      </c>
      <c r="AC99" s="526">
        <v>15022405.060199216</v>
      </c>
      <c r="AD99" s="526">
        <v>15251992.873160642</v>
      </c>
      <c r="AE99" s="526">
        <v>15408412.149595885</v>
      </c>
      <c r="AF99" s="526">
        <v>15635678.502449671</v>
      </c>
      <c r="AG99" s="526">
        <v>15809863.839402491</v>
      </c>
      <c r="AH99" s="526">
        <v>15993459.791565841</v>
      </c>
      <c r="AI99" s="526">
        <v>16147082.343181258</v>
      </c>
      <c r="AJ99" s="526">
        <v>16335512.370898087</v>
      </c>
    </row>
    <row r="100" spans="1:36" ht="14.5" x14ac:dyDescent="0.3">
      <c r="A100" s="944"/>
      <c r="B100" s="125"/>
      <c r="C100" s="525" t="s">
        <v>161</v>
      </c>
      <c r="D100" s="526"/>
      <c r="E100" s="526"/>
      <c r="F100" s="526"/>
      <c r="G100" s="526"/>
      <c r="H100" s="528">
        <v>3.3576057203564484E-2</v>
      </c>
      <c r="I100" s="528">
        <v>2.14665270301913E-2</v>
      </c>
      <c r="J100" s="528">
        <v>3.7168024990800227E-2</v>
      </c>
      <c r="K100" s="528">
        <v>1.7947820996094235E-2</v>
      </c>
      <c r="L100" s="528">
        <v>2.9541062476452586E-2</v>
      </c>
      <c r="M100" s="528">
        <v>1.1158947641610434E-2</v>
      </c>
      <c r="N100" s="528">
        <v>2.3824294449787259E-2</v>
      </c>
      <c r="O100" s="528">
        <v>8.8650338460919791E-3</v>
      </c>
      <c r="P100" s="528">
        <v>1.9370898698626893E-2</v>
      </c>
      <c r="Q100" s="528">
        <v>1.5127350446174454E-2</v>
      </c>
      <c r="R100" s="528">
        <v>2.2955271589226167E-2</v>
      </c>
      <c r="S100" s="528">
        <v>1.3129283893555201E-2</v>
      </c>
      <c r="T100" s="528">
        <v>2.0786778377163494E-2</v>
      </c>
      <c r="U100" s="528">
        <v>1.070415988685852E-2</v>
      </c>
      <c r="V100" s="528">
        <v>1.930827976451216E-2</v>
      </c>
      <c r="W100" s="528">
        <v>1.175207043006366E-2</v>
      </c>
      <c r="X100" s="528">
        <v>1.7282644891607322E-2</v>
      </c>
      <c r="Y100" s="528">
        <v>1.292910410612661E-2</v>
      </c>
      <c r="Z100" s="528">
        <v>1.79792203313799E-2</v>
      </c>
      <c r="AA100" s="528">
        <v>1.1907555442508972E-2</v>
      </c>
      <c r="AB100" s="528">
        <v>1.6134318652046484E-2</v>
      </c>
      <c r="AC100" s="528">
        <v>8.0651429276609697E-3</v>
      </c>
      <c r="AD100" s="528">
        <v>1.5283026389010244E-2</v>
      </c>
      <c r="AE100" s="528">
        <v>1.0255661521485389E-2</v>
      </c>
      <c r="AF100" s="528">
        <v>1.4749498562689128E-2</v>
      </c>
      <c r="AG100" s="528">
        <v>1.1140248050350387E-2</v>
      </c>
      <c r="AH100" s="528">
        <v>1.1612747208219382E-2</v>
      </c>
      <c r="AI100" s="528">
        <v>9.6053357820944998E-3</v>
      </c>
      <c r="AJ100" s="528">
        <v>1.1669602205032447E-2</v>
      </c>
    </row>
    <row r="101" spans="1:36" ht="14.5" x14ac:dyDescent="0.3">
      <c r="A101" s="944"/>
      <c r="B101" s="125"/>
      <c r="C101" s="525"/>
      <c r="D101" s="526"/>
      <c r="E101" s="526"/>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row>
    <row r="102" spans="1:36" ht="14.5" x14ac:dyDescent="0.3">
      <c r="A102" s="944"/>
      <c r="B102" s="125"/>
      <c r="C102" s="524" t="s">
        <v>169</v>
      </c>
      <c r="D102" s="526"/>
      <c r="E102" s="526"/>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row>
    <row r="103" spans="1:36" ht="14.5" x14ac:dyDescent="0.3">
      <c r="A103" s="944"/>
      <c r="B103" s="125"/>
      <c r="C103" s="525" t="s">
        <v>170</v>
      </c>
      <c r="D103" s="526"/>
      <c r="E103" s="526"/>
      <c r="F103" s="526"/>
      <c r="G103" s="526">
        <v>3294063.3185506826</v>
      </c>
      <c r="H103" s="526">
        <v>3555861.7435608581</v>
      </c>
      <c r="I103" s="526">
        <v>3617250.8644866813</v>
      </c>
      <c r="J103" s="526">
        <v>3918049.3264679457</v>
      </c>
      <c r="K103" s="526">
        <v>3974907.2970251949</v>
      </c>
      <c r="L103" s="526">
        <v>4258788.7669565016</v>
      </c>
      <c r="M103" s="526">
        <v>4299736.3183920542</v>
      </c>
      <c r="N103" s="526">
        <v>4564322.3950734073</v>
      </c>
      <c r="O103" s="526">
        <v>4604651.7803990534</v>
      </c>
      <c r="P103" s="526">
        <v>4848569.6909606624</v>
      </c>
      <c r="Q103" s="526">
        <v>4929245.5469163936</v>
      </c>
      <c r="R103" s="526">
        <v>5187271.9873864492</v>
      </c>
      <c r="S103" s="526">
        <v>5272650.9667645441</v>
      </c>
      <c r="T103" s="526">
        <v>5517052.6494214237</v>
      </c>
      <c r="U103" s="526">
        <v>5603554.9123615082</v>
      </c>
      <c r="V103" s="526">
        <v>5837119.3916460536</v>
      </c>
      <c r="W103" s="526">
        <v>5942592.8831854686</v>
      </c>
      <c r="X103" s="526">
        <v>6162520.6436789073</v>
      </c>
      <c r="Y103" s="526">
        <v>6287438.8359235618</v>
      </c>
      <c r="Z103" s="526">
        <v>6511042.5410826597</v>
      </c>
      <c r="AA103" s="526">
        <v>6641086.8850437487</v>
      </c>
      <c r="AB103" s="526">
        <v>6852983.5052108848</v>
      </c>
      <c r="AC103" s="526">
        <v>6966643.8453088803</v>
      </c>
      <c r="AD103" s="526">
        <v>7172724.8369046571</v>
      </c>
      <c r="AE103" s="526">
        <v>7309655.376409905</v>
      </c>
      <c r="AF103" s="526">
        <v>7513177.0556008434</v>
      </c>
      <c r="AG103" s="526">
        <v>7664441.4549039649</v>
      </c>
      <c r="AH103" s="526">
        <v>7845966.7605438242</v>
      </c>
      <c r="AI103" s="526">
        <v>7992100.3659301745</v>
      </c>
      <c r="AJ103" s="526">
        <v>8175350.03553617</v>
      </c>
    </row>
    <row r="104" spans="1:36" ht="14.5" x14ac:dyDescent="0.3">
      <c r="A104" s="944"/>
      <c r="B104" s="125"/>
      <c r="C104" s="525" t="s">
        <v>161</v>
      </c>
      <c r="D104" s="526"/>
      <c r="E104" s="526"/>
      <c r="F104" s="526"/>
      <c r="G104" s="526"/>
      <c r="H104" s="528">
        <v>7.9475832639841648E-2</v>
      </c>
      <c r="I104" s="528">
        <v>1.726420354699951E-2</v>
      </c>
      <c r="J104" s="528">
        <v>8.3156649414181633E-2</v>
      </c>
      <c r="K104" s="528">
        <v>1.451180570217722E-2</v>
      </c>
      <c r="L104" s="528">
        <v>7.1418387579444326E-2</v>
      </c>
      <c r="M104" s="528">
        <v>9.6148350332048212E-3</v>
      </c>
      <c r="N104" s="528">
        <v>6.1535419172006056E-2</v>
      </c>
      <c r="O104" s="528">
        <v>8.8357880611536904E-3</v>
      </c>
      <c r="P104" s="528">
        <v>5.2972064380614338E-2</v>
      </c>
      <c r="Q104" s="528">
        <v>1.6639104127169214E-2</v>
      </c>
      <c r="R104" s="528">
        <v>5.2346031053671131E-2</v>
      </c>
      <c r="S104" s="528">
        <v>1.6459321891295731E-2</v>
      </c>
      <c r="T104" s="528">
        <v>4.6352714070670167E-2</v>
      </c>
      <c r="U104" s="528">
        <v>1.5679071496473049E-2</v>
      </c>
      <c r="V104" s="528">
        <v>4.1681483083051335E-2</v>
      </c>
      <c r="W104" s="528">
        <v>1.8069442213288652E-2</v>
      </c>
      <c r="X104" s="528">
        <v>3.7008720741365776E-2</v>
      </c>
      <c r="Y104" s="528">
        <v>2.0270632662754171E-2</v>
      </c>
      <c r="Z104" s="528">
        <v>3.556355950240473E-2</v>
      </c>
      <c r="AA104" s="528">
        <v>1.9972891152307704E-2</v>
      </c>
      <c r="AB104" s="528">
        <v>3.1906918827450378E-2</v>
      </c>
      <c r="AC104" s="528">
        <v>1.6585526582921176E-2</v>
      </c>
      <c r="AD104" s="528">
        <v>2.9581100479902561E-2</v>
      </c>
      <c r="AE104" s="528">
        <v>1.9090449253081825E-2</v>
      </c>
      <c r="AF104" s="528">
        <v>2.7842855608180103E-2</v>
      </c>
      <c r="AG104" s="528">
        <v>2.0133213710218437E-2</v>
      </c>
      <c r="AH104" s="528">
        <v>2.3684087967520889E-2</v>
      </c>
      <c r="AI104" s="528">
        <v>1.862531538130317E-2</v>
      </c>
      <c r="AJ104" s="528">
        <v>2.2928849891222267E-2</v>
      </c>
    </row>
    <row r="105" spans="1:36" ht="14.5" x14ac:dyDescent="0.3">
      <c r="A105" s="944"/>
      <c r="B105" s="125"/>
      <c r="C105" s="525"/>
      <c r="D105" s="526"/>
      <c r="E105" s="526"/>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row>
    <row r="106" spans="1:36" ht="14.5" x14ac:dyDescent="0.3">
      <c r="A106" s="49"/>
      <c r="B106" s="523"/>
      <c r="C106" s="524" t="s">
        <v>171</v>
      </c>
      <c r="D106" s="954"/>
      <c r="E106" s="954"/>
      <c r="F106" s="954"/>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row>
    <row r="107" spans="1:36" ht="14.5" x14ac:dyDescent="0.3">
      <c r="A107" s="49"/>
      <c r="B107" s="125"/>
      <c r="C107" s="525" t="s">
        <v>172</v>
      </c>
      <c r="D107" s="526"/>
      <c r="E107" s="526"/>
      <c r="F107" s="526"/>
      <c r="G107" s="526">
        <v>12568272.386424376</v>
      </c>
      <c r="H107" s="526">
        <v>13043257.626756303</v>
      </c>
      <c r="I107" s="526">
        <v>13325429.131351719</v>
      </c>
      <c r="J107" s="526">
        <v>13855045.892752003</v>
      </c>
      <c r="K107" s="526">
        <v>14089476.662089169</v>
      </c>
      <c r="L107" s="526">
        <v>14536381.653979262</v>
      </c>
      <c r="M107" s="526">
        <v>14673534.109788971</v>
      </c>
      <c r="N107" s="526">
        <v>15060011.857725188</v>
      </c>
      <c r="O107" s="526">
        <v>15144069.124834908</v>
      </c>
      <c r="P107" s="526">
        <v>15476145.113161949</v>
      </c>
      <c r="Q107" s="526">
        <v>15669312.75475481</v>
      </c>
      <c r="R107" s="526">
        <v>16068824.672396671</v>
      </c>
      <c r="S107" s="526">
        <v>16243964.171403507</v>
      </c>
      <c r="T107" s="526">
        <v>16619034.441695433</v>
      </c>
      <c r="U107" s="526">
        <v>16765217.440203194</v>
      </c>
      <c r="V107" s="526">
        <v>17122749.540682547</v>
      </c>
      <c r="W107" s="526">
        <v>17295404.922231026</v>
      </c>
      <c r="X107" s="526">
        <v>17624159.997052781</v>
      </c>
      <c r="Y107" s="526">
        <v>17826318.447013389</v>
      </c>
      <c r="Z107" s="526">
        <v>18172243.250542164</v>
      </c>
      <c r="AA107" s="526">
        <v>18366002.596540667</v>
      </c>
      <c r="AB107" s="526">
        <v>18683802.128245849</v>
      </c>
      <c r="AC107" s="526">
        <v>18815041.549187414</v>
      </c>
      <c r="AD107" s="526">
        <v>19120532.649106704</v>
      </c>
      <c r="AE107" s="526">
        <v>19300005.627547439</v>
      </c>
      <c r="AF107" s="526">
        <v>19599538.754514903</v>
      </c>
      <c r="AG107" s="526">
        <v>19803675.697050478</v>
      </c>
      <c r="AH107" s="526">
        <v>20045767.59157671</v>
      </c>
      <c r="AI107" s="526">
        <v>20226167.329901896</v>
      </c>
      <c r="AJ107" s="526">
        <v>20471867.065302007</v>
      </c>
    </row>
    <row r="108" spans="1:36" ht="14.5" x14ac:dyDescent="0.3">
      <c r="A108" s="49"/>
      <c r="B108" s="125"/>
      <c r="C108" s="525" t="s">
        <v>161</v>
      </c>
      <c r="D108" s="526"/>
      <c r="E108" s="526"/>
      <c r="F108" s="526"/>
      <c r="G108" s="526"/>
      <c r="H108" s="528">
        <v>3.7792405012242E-2</v>
      </c>
      <c r="I108" s="528">
        <v>2.163351462264939E-2</v>
      </c>
      <c r="J108" s="528">
        <v>3.9744818435469058E-2</v>
      </c>
      <c r="K108" s="528">
        <v>1.6920244880589245E-2</v>
      </c>
      <c r="L108" s="528">
        <v>3.1719062574736313E-2</v>
      </c>
      <c r="M108" s="528">
        <v>9.4351165974074346E-3</v>
      </c>
      <c r="N108" s="528">
        <v>2.6338422975988523E-2</v>
      </c>
      <c r="O108" s="528">
        <v>5.5814874452839152E-3</v>
      </c>
      <c r="P108" s="528">
        <v>2.1927791374279096E-2</v>
      </c>
      <c r="Q108" s="528">
        <v>1.2481638042316981E-2</v>
      </c>
      <c r="R108" s="528">
        <v>2.5496454368787207E-2</v>
      </c>
      <c r="S108" s="528">
        <v>1.0899334741494422E-2</v>
      </c>
      <c r="T108" s="528">
        <v>2.3089823785268766E-2</v>
      </c>
      <c r="U108" s="528">
        <v>8.7961186325604141E-3</v>
      </c>
      <c r="V108" s="528">
        <v>2.1325825433196405E-2</v>
      </c>
      <c r="W108" s="528">
        <v>1.0083391171392257E-2</v>
      </c>
      <c r="X108" s="528">
        <v>1.9008232319509488E-2</v>
      </c>
      <c r="Y108" s="528">
        <v>1.1470529658968949E-2</v>
      </c>
      <c r="Z108" s="528">
        <v>1.9405285760881859E-2</v>
      </c>
      <c r="AA108" s="528">
        <v>1.0662379064990917E-2</v>
      </c>
      <c r="AB108" s="528">
        <v>1.7303685439151645E-2</v>
      </c>
      <c r="AC108" s="528">
        <v>7.0242352194021416E-3</v>
      </c>
      <c r="AD108" s="528">
        <v>1.6236536024683026E-2</v>
      </c>
      <c r="AE108" s="528">
        <v>9.3864005639571098E-3</v>
      </c>
      <c r="AF108" s="528">
        <v>1.5519846612890704E-2</v>
      </c>
      <c r="AG108" s="528">
        <v>1.0415395234163405E-2</v>
      </c>
      <c r="AH108" s="528">
        <v>1.2224593970819706E-2</v>
      </c>
      <c r="AI108" s="528">
        <v>8.9993928893493981E-3</v>
      </c>
      <c r="AJ108" s="528">
        <v>1.2147617064201467E-2</v>
      </c>
    </row>
    <row r="109" spans="1:36" ht="14.5" x14ac:dyDescent="0.3">
      <c r="A109" s="944"/>
      <c r="B109" s="125"/>
      <c r="C109" s="525"/>
      <c r="D109" s="525"/>
      <c r="E109" s="525"/>
      <c r="F109" s="525"/>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row>
    <row r="110" spans="1:36" ht="14.5" x14ac:dyDescent="0.3">
      <c r="A110" s="944"/>
      <c r="B110" s="125"/>
      <c r="C110" s="524" t="s">
        <v>173</v>
      </c>
      <c r="D110" s="526"/>
      <c r="E110" s="526"/>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row>
    <row r="111" spans="1:36" ht="14.5" x14ac:dyDescent="0.3">
      <c r="A111" s="944"/>
      <c r="B111" s="125"/>
      <c r="C111" s="525" t="s">
        <v>174</v>
      </c>
      <c r="D111" s="526"/>
      <c r="E111" s="526"/>
      <c r="F111" s="526"/>
      <c r="G111" s="526">
        <v>6770880.0207718099</v>
      </c>
      <c r="H111" s="526">
        <v>7367985.3684235234</v>
      </c>
      <c r="I111" s="526">
        <v>7153337.3166907867</v>
      </c>
      <c r="J111" s="526">
        <v>7918553.7947751433</v>
      </c>
      <c r="K111" s="526">
        <v>7599295.1586791221</v>
      </c>
      <c r="L111" s="526">
        <v>8390540.0426488705</v>
      </c>
      <c r="M111" s="526">
        <v>7997510.7926032562</v>
      </c>
      <c r="N111" s="526">
        <v>8757082.0135134924</v>
      </c>
      <c r="O111" s="526">
        <v>8345351.6200950639</v>
      </c>
      <c r="P111" s="526">
        <v>9034248.7871906497</v>
      </c>
      <c r="Q111" s="526">
        <v>8708063.4416201431</v>
      </c>
      <c r="R111" s="526">
        <v>9368486.7158365771</v>
      </c>
      <c r="S111" s="526">
        <v>9091348.9058651719</v>
      </c>
      <c r="T111" s="526">
        <v>9672558.930140676</v>
      </c>
      <c r="U111" s="526">
        <v>9440685.8086409699</v>
      </c>
      <c r="V111" s="526">
        <v>9952717.6696211658</v>
      </c>
      <c r="W111" s="526">
        <v>9791966.890279904</v>
      </c>
      <c r="X111" s="526">
        <v>10238089.287994074</v>
      </c>
      <c r="Y111" s="526">
        <v>10141262.804680739</v>
      </c>
      <c r="Z111" s="526">
        <v>10556627.047699329</v>
      </c>
      <c r="AA111" s="526">
        <v>10493321.938924987</v>
      </c>
      <c r="AB111" s="526">
        <v>10858230.962195821</v>
      </c>
      <c r="AC111" s="526">
        <v>10791137.355264748</v>
      </c>
      <c r="AD111" s="526">
        <v>11119859.665632557</v>
      </c>
      <c r="AE111" s="526">
        <v>11107574.896108203</v>
      </c>
      <c r="AF111" s="526">
        <v>11409277.187945774</v>
      </c>
      <c r="AG111" s="526">
        <v>11433565.045237519</v>
      </c>
      <c r="AH111" s="526">
        <v>11682634.46003999</v>
      </c>
      <c r="AI111" s="526">
        <v>11711944.728095587</v>
      </c>
      <c r="AJ111" s="526">
        <v>11947036.623782277</v>
      </c>
    </row>
    <row r="112" spans="1:36" ht="14.5" x14ac:dyDescent="0.3">
      <c r="A112" s="944"/>
      <c r="B112" s="125"/>
      <c r="C112" s="525" t="s">
        <v>161</v>
      </c>
      <c r="D112" s="526"/>
      <c r="E112" s="526"/>
      <c r="F112" s="526"/>
      <c r="G112" s="526"/>
      <c r="H112" s="528">
        <v>8.8187258645834002E-2</v>
      </c>
      <c r="I112" s="528">
        <v>-2.9132529585718138E-2</v>
      </c>
      <c r="J112" s="528">
        <v>0.10697335302487233</v>
      </c>
      <c r="K112" s="528">
        <v>-4.0317795947370574E-2</v>
      </c>
      <c r="L112" s="528">
        <v>0.10412082534602844</v>
      </c>
      <c r="M112" s="528">
        <v>-4.6841949153196109E-2</v>
      </c>
      <c r="N112" s="528">
        <v>9.4975954469826915E-2</v>
      </c>
      <c r="O112" s="528">
        <v>-4.7016847938967189E-2</v>
      </c>
      <c r="P112" s="528">
        <v>8.2548608909032206E-2</v>
      </c>
      <c r="Q112" s="528">
        <v>-3.6105419858814769E-2</v>
      </c>
      <c r="R112" s="528">
        <v>7.5840429808991111E-2</v>
      </c>
      <c r="S112" s="528">
        <v>-2.9581918443981871E-2</v>
      </c>
      <c r="T112" s="528">
        <v>6.3930009759117654E-2</v>
      </c>
      <c r="U112" s="528">
        <v>-2.3972262477219536E-2</v>
      </c>
      <c r="V112" s="528">
        <v>5.4236722983783452E-2</v>
      </c>
      <c r="W112" s="528">
        <v>-1.6151445733452674E-2</v>
      </c>
      <c r="X112" s="528">
        <v>4.556003943977973E-2</v>
      </c>
      <c r="Y112" s="528">
        <v>-9.4574759595895362E-3</v>
      </c>
      <c r="Z112" s="528">
        <v>4.0957842333686191E-2</v>
      </c>
      <c r="AA112" s="528">
        <v>-5.9967173689382276E-3</v>
      </c>
      <c r="AB112" s="528">
        <v>3.4775357641244564E-2</v>
      </c>
      <c r="AC112" s="528">
        <v>-6.1790550564514322E-3</v>
      </c>
      <c r="AD112" s="528">
        <v>3.0462248745952027E-2</v>
      </c>
      <c r="AE112" s="528">
        <v>-1.1047594028836751E-3</v>
      </c>
      <c r="AF112" s="528">
        <v>2.7161850778362036E-2</v>
      </c>
      <c r="AG112" s="528">
        <v>2.1287814198611842E-3</v>
      </c>
      <c r="AH112" s="528">
        <v>2.1784055438265715E-2</v>
      </c>
      <c r="AI112" s="528">
        <v>2.5088748737155122E-3</v>
      </c>
      <c r="AJ112" s="528">
        <v>2.0072831723900793E-2</v>
      </c>
    </row>
    <row r="113" spans="1:36" ht="14.5" x14ac:dyDescent="0.3">
      <c r="A113" s="944"/>
      <c r="B113" s="125"/>
      <c r="C113" s="525"/>
      <c r="D113" s="526"/>
      <c r="E113" s="526"/>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row>
    <row r="114" spans="1:36" ht="14.5" x14ac:dyDescent="0.3">
      <c r="A114" s="944"/>
      <c r="B114" s="125"/>
      <c r="C114" s="524" t="s">
        <v>175</v>
      </c>
      <c r="D114" s="526"/>
      <c r="E114" s="526"/>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row>
    <row r="115" spans="1:36" ht="14.5" x14ac:dyDescent="0.3">
      <c r="A115" s="944"/>
      <c r="B115" s="125"/>
      <c r="C115" s="525" t="s">
        <v>176</v>
      </c>
      <c r="D115" s="526"/>
      <c r="E115" s="526"/>
      <c r="F115" s="526"/>
      <c r="G115" s="526">
        <v>11502512.935281703</v>
      </c>
      <c r="H115" s="526">
        <v>11361982.713396629</v>
      </c>
      <c r="I115" s="526">
        <v>12043245.781356076</v>
      </c>
      <c r="J115" s="526">
        <v>11911060.665453589</v>
      </c>
      <c r="K115" s="526">
        <v>12559293.741320055</v>
      </c>
      <c r="L115" s="526">
        <v>12370056.813917076</v>
      </c>
      <c r="M115" s="526">
        <v>12896066.562752265</v>
      </c>
      <c r="N115" s="526">
        <v>12700021.045073509</v>
      </c>
      <c r="O115" s="526">
        <v>13150427.097734654</v>
      </c>
      <c r="P115" s="526">
        <v>12943583.545969987</v>
      </c>
      <c r="Q115" s="526">
        <v>13438165.32072738</v>
      </c>
      <c r="R115" s="526">
        <v>13326134.034871548</v>
      </c>
      <c r="S115" s="526">
        <v>13752447.911728317</v>
      </c>
      <c r="T115" s="526">
        <v>13657376.135185147</v>
      </c>
      <c r="U115" s="526">
        <v>14007655.543409081</v>
      </c>
      <c r="V115" s="526">
        <v>13935453.098776462</v>
      </c>
      <c r="W115" s="526">
        <v>14260077.687847478</v>
      </c>
      <c r="X115" s="526">
        <v>14198338.949391754</v>
      </c>
      <c r="Y115" s="526">
        <v>14504542.288549177</v>
      </c>
      <c r="Z115" s="526">
        <v>14486539.850792047</v>
      </c>
      <c r="AA115" s="526">
        <v>14748013.541760234</v>
      </c>
      <c r="AB115" s="526">
        <v>14733221.242181966</v>
      </c>
      <c r="AC115" s="526">
        <v>14911242.912445491</v>
      </c>
      <c r="AD115" s="526">
        <v>14909291.606719093</v>
      </c>
      <c r="AE115" s="526">
        <v>15095583.688522199</v>
      </c>
      <c r="AF115" s="526">
        <v>15107012.878987951</v>
      </c>
      <c r="AG115" s="526">
        <v>15286248.161045304</v>
      </c>
      <c r="AH115" s="526">
        <v>15268249.229851583</v>
      </c>
      <c r="AI115" s="526">
        <v>15406321.215819351</v>
      </c>
      <c r="AJ115" s="526">
        <v>15403665.392357271</v>
      </c>
    </row>
    <row r="116" spans="1:36" ht="14.5" x14ac:dyDescent="0.3">
      <c r="A116" s="944"/>
      <c r="B116" s="125"/>
      <c r="C116" s="525" t="s">
        <v>161</v>
      </c>
      <c r="D116" s="526"/>
      <c r="E116" s="526"/>
      <c r="F116" s="526"/>
      <c r="G116" s="526"/>
      <c r="H116" s="528">
        <v>-1.221734960662596E-2</v>
      </c>
      <c r="I116" s="528">
        <v>5.9959875414718443E-2</v>
      </c>
      <c r="J116" s="528">
        <v>-1.0975871314286428E-2</v>
      </c>
      <c r="K116" s="528">
        <v>5.4422783501269389E-2</v>
      </c>
      <c r="L116" s="528">
        <v>-1.5067481603713876E-2</v>
      </c>
      <c r="M116" s="528">
        <v>4.252282400541571E-2</v>
      </c>
      <c r="N116" s="528">
        <v>-1.5201962297945555E-2</v>
      </c>
      <c r="O116" s="528">
        <v>3.5464984747868827E-2</v>
      </c>
      <c r="P116" s="528">
        <v>-1.5729036800660165E-2</v>
      </c>
      <c r="Q116" s="528">
        <v>3.8210575378978553E-2</v>
      </c>
      <c r="R116" s="528">
        <v>-8.3367991970623827E-3</v>
      </c>
      <c r="S116" s="528">
        <v>3.1990814120674407E-2</v>
      </c>
      <c r="T116" s="528">
        <v>-6.9130802860261275E-3</v>
      </c>
      <c r="U116" s="528">
        <v>2.5647635735938958E-2</v>
      </c>
      <c r="V116" s="528">
        <v>-5.1544988673420441E-3</v>
      </c>
      <c r="W116" s="528">
        <v>2.3294871488571758E-2</v>
      </c>
      <c r="X116" s="528">
        <v>-4.3294812137200404E-3</v>
      </c>
      <c r="Y116" s="528">
        <v>2.1566138141147877E-2</v>
      </c>
      <c r="Z116" s="528">
        <v>-1.2411586245877611E-3</v>
      </c>
      <c r="AA116" s="528">
        <v>1.8049423372406732E-2</v>
      </c>
      <c r="AB116" s="528">
        <v>-1.0030028475619748E-3</v>
      </c>
      <c r="AC116" s="528">
        <v>1.2083010723672563E-2</v>
      </c>
      <c r="AD116" s="528">
        <v>-1.3086137338485368E-4</v>
      </c>
      <c r="AE116" s="528">
        <v>1.2495032407787267E-2</v>
      </c>
      <c r="AF116" s="528">
        <v>7.5712146688584989E-4</v>
      </c>
      <c r="AG116" s="528">
        <v>1.1864376067796117E-2</v>
      </c>
      <c r="AH116" s="528">
        <v>-1.1774590471184492E-3</v>
      </c>
      <c r="AI116" s="528">
        <v>9.0430791303706334E-3</v>
      </c>
      <c r="AJ116" s="528">
        <v>-1.7238531021624985E-4</v>
      </c>
    </row>
    <row r="117" spans="1:36" ht="14.5" x14ac:dyDescent="0.3">
      <c r="A117" s="944"/>
      <c r="B117" s="125"/>
      <c r="C117" s="525"/>
      <c r="D117" s="526"/>
      <c r="E117" s="526"/>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row>
    <row r="118" spans="1:36" ht="14.5" x14ac:dyDescent="0.3">
      <c r="A118" s="944"/>
      <c r="B118" s="125"/>
      <c r="C118" s="524" t="s">
        <v>177</v>
      </c>
      <c r="D118" s="526"/>
      <c r="E118" s="526"/>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row>
    <row r="119" spans="1:36" ht="14.5" x14ac:dyDescent="0.3">
      <c r="A119" s="944"/>
      <c r="B119" s="125"/>
      <c r="C119" s="525" t="s">
        <v>178</v>
      </c>
      <c r="D119" s="526"/>
      <c r="E119" s="526"/>
      <c r="F119" s="526"/>
      <c r="G119" s="526">
        <v>7835677.5230358457</v>
      </c>
      <c r="H119" s="526">
        <v>7699029.0462169703</v>
      </c>
      <c r="I119" s="526">
        <v>8287017.9116010442</v>
      </c>
      <c r="J119" s="526">
        <v>8193333.5618535122</v>
      </c>
      <c r="K119" s="526">
        <v>8756320.8110029716</v>
      </c>
      <c r="L119" s="526">
        <v>8644358.1216612253</v>
      </c>
      <c r="M119" s="526">
        <v>9126689.8531162199</v>
      </c>
      <c r="N119" s="526">
        <v>9007365.1442067213</v>
      </c>
      <c r="O119" s="526">
        <v>9437736.2683634497</v>
      </c>
      <c r="P119" s="526">
        <v>9311915.2388999481</v>
      </c>
      <c r="Q119" s="526">
        <v>9765962.9378900472</v>
      </c>
      <c r="R119" s="526">
        <v>9716965.5389031675</v>
      </c>
      <c r="S119" s="526">
        <v>10119638.805685472</v>
      </c>
      <c r="T119" s="526">
        <v>10094389.847263455</v>
      </c>
      <c r="U119" s="526">
        <v>10440990.334528778</v>
      </c>
      <c r="V119" s="526">
        <v>10442685.214167276</v>
      </c>
      <c r="W119" s="526">
        <v>10771624.968403807</v>
      </c>
      <c r="X119" s="526">
        <v>10789382.708407613</v>
      </c>
      <c r="Y119" s="526">
        <v>11106772.972649947</v>
      </c>
      <c r="Z119" s="526">
        <v>11164953.535309911</v>
      </c>
      <c r="AA119" s="526">
        <v>11451051.144520402</v>
      </c>
      <c r="AB119" s="526">
        <v>11517852.959985821</v>
      </c>
      <c r="AC119" s="526">
        <v>11741866.595053121</v>
      </c>
      <c r="AD119" s="526">
        <v>11824032.526849946</v>
      </c>
      <c r="AE119" s="526">
        <v>12057872.516313722</v>
      </c>
      <c r="AF119" s="526">
        <v>12155884.199910246</v>
      </c>
      <c r="AG119" s="526">
        <v>12388250.349654356</v>
      </c>
      <c r="AH119" s="526">
        <v>12467241.17550288</v>
      </c>
      <c r="AI119" s="526">
        <v>12670384.677438803</v>
      </c>
      <c r="AJ119" s="526">
        <v>12766094.619801037</v>
      </c>
    </row>
    <row r="120" spans="1:36" ht="14.5" x14ac:dyDescent="0.3">
      <c r="A120" s="944"/>
      <c r="B120" s="125"/>
      <c r="C120" s="525" t="s">
        <v>161</v>
      </c>
      <c r="D120" s="526"/>
      <c r="E120" s="526"/>
      <c r="F120" s="526"/>
      <c r="G120" s="526"/>
      <c r="H120" s="528">
        <v>-1.743926755754651E-2</v>
      </c>
      <c r="I120" s="528">
        <v>7.6371820635355414E-2</v>
      </c>
      <c r="J120" s="528">
        <v>-1.1304953210778365E-2</v>
      </c>
      <c r="K120" s="528">
        <v>6.87128437893232E-2</v>
      </c>
      <c r="L120" s="528">
        <v>-1.2786499233908467E-2</v>
      </c>
      <c r="M120" s="528">
        <v>5.5797287047416155E-2</v>
      </c>
      <c r="N120" s="528">
        <v>-1.3074259214446327E-2</v>
      </c>
      <c r="O120" s="528">
        <v>4.7779913134034624E-2</v>
      </c>
      <c r="P120" s="528">
        <v>-1.3331695852242715E-2</v>
      </c>
      <c r="Q120" s="528">
        <v>4.8759861676290074E-2</v>
      </c>
      <c r="R120" s="528">
        <v>-5.0171600382364042E-3</v>
      </c>
      <c r="S120" s="528">
        <v>4.1440227936401355E-2</v>
      </c>
      <c r="T120" s="528">
        <v>-2.4950454168216796E-3</v>
      </c>
      <c r="U120" s="528">
        <v>3.4335952198169185E-2</v>
      </c>
      <c r="V120" s="528">
        <v>1.6232939445347567E-4</v>
      </c>
      <c r="W120" s="528">
        <v>3.1499537474352655E-2</v>
      </c>
      <c r="X120" s="528">
        <v>1.6485664935322231E-3</v>
      </c>
      <c r="Y120" s="528">
        <v>2.9416906677618204E-2</v>
      </c>
      <c r="Z120" s="528">
        <v>5.2382958401357115E-3</v>
      </c>
      <c r="AA120" s="528">
        <v>2.5624612615331395E-2</v>
      </c>
      <c r="AB120" s="528">
        <v>5.8336841415108746E-3</v>
      </c>
      <c r="AC120" s="528">
        <v>1.9449252898569445E-2</v>
      </c>
      <c r="AD120" s="528">
        <v>6.9976890924174934E-3</v>
      </c>
      <c r="AE120" s="528">
        <v>1.977667000938756E-2</v>
      </c>
      <c r="AF120" s="528">
        <v>8.1284391972065041E-3</v>
      </c>
      <c r="AG120" s="528">
        <v>1.9115528407701175E-2</v>
      </c>
      <c r="AH120" s="528">
        <v>6.3762697410072481E-3</v>
      </c>
      <c r="AI120" s="528">
        <v>1.6294182415840644E-2</v>
      </c>
      <c r="AJ120" s="528">
        <v>7.5538308266723314E-3</v>
      </c>
    </row>
    <row r="121" spans="1:36" ht="14.5" x14ac:dyDescent="0.3">
      <c r="A121" s="944"/>
      <c r="B121" s="125"/>
      <c r="C121" s="525"/>
      <c r="D121" s="526"/>
      <c r="E121" s="526"/>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row>
    <row r="122" spans="1:36" ht="14.5" x14ac:dyDescent="0.3">
      <c r="A122" s="944"/>
      <c r="B122" s="125"/>
      <c r="C122" s="524" t="s">
        <v>179</v>
      </c>
      <c r="D122" s="526"/>
      <c r="E122" s="526"/>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row>
    <row r="123" spans="1:36" ht="14.5" x14ac:dyDescent="0.3">
      <c r="A123" s="944"/>
      <c r="B123" s="125"/>
      <c r="C123" s="525" t="s">
        <v>180</v>
      </c>
      <c r="D123" s="526"/>
      <c r="E123" s="526"/>
      <c r="F123" s="526"/>
      <c r="G123" s="526">
        <v>43064009.540893123</v>
      </c>
      <c r="H123" s="526">
        <v>44154791.301187113</v>
      </c>
      <c r="I123" s="526">
        <v>45576913.513485946</v>
      </c>
      <c r="J123" s="526">
        <v>46817316.44490318</v>
      </c>
      <c r="K123" s="526">
        <v>48275646.849459879</v>
      </c>
      <c r="L123" s="526">
        <v>49215413.797873177</v>
      </c>
      <c r="M123" s="526">
        <v>50464862.691748321</v>
      </c>
      <c r="N123" s="526">
        <v>51242005.232586391</v>
      </c>
      <c r="O123" s="526">
        <v>52441539.887648016</v>
      </c>
      <c r="P123" s="526">
        <v>53092348.487685516</v>
      </c>
      <c r="Q123" s="526">
        <v>54653286.177608669</v>
      </c>
      <c r="R123" s="526">
        <v>55640726.524035037</v>
      </c>
      <c r="S123" s="526">
        <v>57095600.28608574</v>
      </c>
      <c r="T123" s="526">
        <v>58099487.169004433</v>
      </c>
      <c r="U123" s="526">
        <v>59384429.88422709</v>
      </c>
      <c r="V123" s="526">
        <v>60406641.253882438</v>
      </c>
      <c r="W123" s="526">
        <v>61703986.035740405</v>
      </c>
      <c r="X123" s="526">
        <v>62679567.367437273</v>
      </c>
      <c r="Y123" s="526">
        <v>63996537.743447095</v>
      </c>
      <c r="Z123" s="526">
        <v>65072072.826315545</v>
      </c>
      <c r="AA123" s="526">
        <v>66273210.677906401</v>
      </c>
      <c r="AB123" s="526">
        <v>67273911.835292995</v>
      </c>
      <c r="AC123" s="526">
        <v>68167297.706365153</v>
      </c>
      <c r="AD123" s="526">
        <v>69144556.480723917</v>
      </c>
      <c r="AE123" s="526">
        <v>70141398.893545926</v>
      </c>
      <c r="AF123" s="526">
        <v>71117531.253333941</v>
      </c>
      <c r="AG123" s="526">
        <v>72149184.139003605</v>
      </c>
      <c r="AH123" s="526">
        <v>72940460.565580606</v>
      </c>
      <c r="AI123" s="526">
        <v>73847044.554161638</v>
      </c>
      <c r="AJ123" s="526">
        <v>74681475.145983264</v>
      </c>
    </row>
    <row r="124" spans="1:36" ht="14.5" x14ac:dyDescent="0.3">
      <c r="A124" s="944"/>
      <c r="B124" s="125"/>
      <c r="C124" s="525" t="s">
        <v>161</v>
      </c>
      <c r="D124" s="526"/>
      <c r="E124" s="526"/>
      <c r="F124" s="526"/>
      <c r="G124" s="526"/>
      <c r="H124" s="528">
        <v>2.5329312619118655E-2</v>
      </c>
      <c r="I124" s="528">
        <v>3.2207653357442065E-2</v>
      </c>
      <c r="J124" s="528">
        <v>2.7215597454843143E-2</v>
      </c>
      <c r="K124" s="528">
        <v>3.1149380513360497E-2</v>
      </c>
      <c r="L124" s="528">
        <v>1.9466687859073437E-2</v>
      </c>
      <c r="M124" s="528">
        <v>2.5387349154608527E-2</v>
      </c>
      <c r="N124" s="528">
        <v>1.5399676118907649E-2</v>
      </c>
      <c r="O124" s="528">
        <v>2.3409205974999656E-2</v>
      </c>
      <c r="P124" s="528">
        <v>1.2410173336477301E-2</v>
      </c>
      <c r="Q124" s="528">
        <v>2.9400426509390582E-2</v>
      </c>
      <c r="R124" s="528">
        <v>1.8067355423376535E-2</v>
      </c>
      <c r="S124" s="528">
        <v>2.614764135803014E-2</v>
      </c>
      <c r="T124" s="528">
        <v>1.7582561141113732E-2</v>
      </c>
      <c r="U124" s="528">
        <v>2.2116248831679231E-2</v>
      </c>
      <c r="V124" s="528">
        <v>1.7213457663030535E-2</v>
      </c>
      <c r="W124" s="528">
        <v>2.1476856764893956E-2</v>
      </c>
      <c r="X124" s="528">
        <v>1.5810669526791804E-2</v>
      </c>
      <c r="Y124" s="528">
        <v>2.1011159319105362E-2</v>
      </c>
      <c r="Z124" s="528">
        <v>1.6806144844586979E-2</v>
      </c>
      <c r="AA124" s="528">
        <v>1.8458576766054845E-2</v>
      </c>
      <c r="AB124" s="528">
        <v>1.509963297613705E-2</v>
      </c>
      <c r="AC124" s="528">
        <v>1.3279826409670344E-2</v>
      </c>
      <c r="AD124" s="528">
        <v>1.4336181823847072E-2</v>
      </c>
      <c r="AE124" s="528">
        <v>1.4416788009912354E-2</v>
      </c>
      <c r="AF124" s="528">
        <v>1.3916636610990581E-2</v>
      </c>
      <c r="AG124" s="528">
        <v>1.4506309028004967E-2</v>
      </c>
      <c r="AH124" s="528">
        <v>1.0967226255150963E-2</v>
      </c>
      <c r="AI124" s="528">
        <v>1.2429096026421768E-2</v>
      </c>
      <c r="AJ124" s="528">
        <v>1.1299444640734801E-2</v>
      </c>
    </row>
    <row r="125" spans="1:36" ht="14.5" x14ac:dyDescent="0.3">
      <c r="A125" s="944"/>
      <c r="B125" s="125"/>
      <c r="C125" s="529"/>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row>
    <row r="126" spans="1:36" ht="14.5" x14ac:dyDescent="0.3">
      <c r="A126" s="49"/>
      <c r="B126" s="523"/>
      <c r="C126" s="524" t="s">
        <v>345</v>
      </c>
      <c r="D126" s="1095"/>
      <c r="E126" s="1095"/>
      <c r="F126" s="1095"/>
      <c r="G126" s="1095"/>
      <c r="H126" s="954"/>
      <c r="I126" s="954"/>
      <c r="J126" s="954"/>
      <c r="K126" s="954"/>
      <c r="L126" s="954"/>
      <c r="M126" s="954"/>
      <c r="N126" s="954"/>
      <c r="O126" s="954"/>
      <c r="P126" s="954"/>
      <c r="Q126" s="954"/>
      <c r="R126" s="954"/>
      <c r="S126" s="954"/>
      <c r="T126" s="954"/>
      <c r="U126" s="954"/>
      <c r="V126" s="954"/>
      <c r="W126" s="954"/>
      <c r="X126" s="954"/>
      <c r="Y126" s="954"/>
      <c r="Z126" s="954"/>
      <c r="AA126" s="954"/>
      <c r="AB126" s="954"/>
      <c r="AC126" s="954"/>
      <c r="AD126" s="954"/>
      <c r="AE126" s="954"/>
      <c r="AF126" s="954"/>
      <c r="AG126" s="954"/>
      <c r="AH126" s="954"/>
      <c r="AI126" s="954"/>
      <c r="AJ126" s="954"/>
    </row>
    <row r="127" spans="1:36" ht="14.5" x14ac:dyDescent="0.3">
      <c r="A127" s="49"/>
      <c r="B127" s="523"/>
      <c r="C127" s="524" t="s">
        <v>346</v>
      </c>
      <c r="D127" s="526"/>
      <c r="E127" s="526"/>
      <c r="F127" s="526"/>
      <c r="G127" s="526"/>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4"/>
      <c r="AG127" s="954"/>
      <c r="AH127" s="954"/>
      <c r="AI127" s="954"/>
      <c r="AJ127" s="954"/>
    </row>
    <row r="128" spans="1:36" ht="14.5" x14ac:dyDescent="0.3">
      <c r="A128" s="49"/>
      <c r="B128" s="125"/>
      <c r="C128" s="525" t="s">
        <v>347</v>
      </c>
      <c r="D128" s="530">
        <v>5883128.515625</v>
      </c>
      <c r="E128" s="530">
        <v>6149980.078125</v>
      </c>
      <c r="F128" s="530">
        <v>7356140.625</v>
      </c>
      <c r="G128" s="530">
        <v>5691562.890625</v>
      </c>
      <c r="H128" s="526">
        <v>5663629.7211033553</v>
      </c>
      <c r="I128" s="526">
        <v>5384523.8421693873</v>
      </c>
      <c r="J128" s="526">
        <v>6346366.2488586977</v>
      </c>
      <c r="K128" s="526">
        <v>6188711.6780048301</v>
      </c>
      <c r="L128" s="526">
        <v>7283331.3158435822</v>
      </c>
      <c r="M128" s="526">
        <v>7693726.3449925976</v>
      </c>
      <c r="N128" s="526">
        <v>8145637.1992682917</v>
      </c>
      <c r="O128" s="526">
        <v>8535947.1214069054</v>
      </c>
      <c r="P128" s="526">
        <v>9044256.2658249848</v>
      </c>
      <c r="Q128" s="526">
        <v>9525917.4506086409</v>
      </c>
      <c r="R128" s="526">
        <v>10064984.779160034</v>
      </c>
      <c r="S128" s="526">
        <v>10710964.084023252</v>
      </c>
      <c r="T128" s="526">
        <v>11372752.982085992</v>
      </c>
      <c r="U128" s="526">
        <v>12094391.939353408</v>
      </c>
      <c r="V128" s="526">
        <v>12738443.318678543</v>
      </c>
      <c r="W128" s="526">
        <v>13404334.913435986</v>
      </c>
      <c r="X128" s="526">
        <v>14182389.113469761</v>
      </c>
      <c r="Y128" s="526">
        <v>14986662.52522306</v>
      </c>
      <c r="Z128" s="526">
        <v>15932328.636927959</v>
      </c>
      <c r="AA128" s="526">
        <v>16836286.823929287</v>
      </c>
      <c r="AB128" s="526">
        <v>17822612.547649845</v>
      </c>
      <c r="AC128" s="526">
        <v>18792026.792789333</v>
      </c>
      <c r="AD128" s="526">
        <v>19818728.913443506</v>
      </c>
      <c r="AE128" s="526">
        <v>20826725.016240701</v>
      </c>
      <c r="AF128" s="526">
        <v>21992030.891987178</v>
      </c>
      <c r="AG128" s="526">
        <v>23135475.394717988</v>
      </c>
      <c r="AH128" s="526">
        <v>24423078.783083092</v>
      </c>
      <c r="AI128" s="526">
        <v>25701252.886358622</v>
      </c>
      <c r="AJ128" s="526">
        <v>27037912.193828475</v>
      </c>
    </row>
    <row r="129" spans="1:36" ht="14.5" x14ac:dyDescent="0.3">
      <c r="A129" s="49"/>
      <c r="B129" s="125"/>
      <c r="C129" s="525" t="s">
        <v>348</v>
      </c>
      <c r="D129" s="531"/>
      <c r="E129" s="531">
        <v>4.5358785175484265E-2</v>
      </c>
      <c r="F129" s="531">
        <v>0.19612430146972656</v>
      </c>
      <c r="G129" s="531">
        <v>-0.22628411000163554</v>
      </c>
      <c r="H129" s="526">
        <v>-4.90782058609158E-3</v>
      </c>
      <c r="I129" s="526">
        <v>-4.92803895519488E-2</v>
      </c>
      <c r="J129" s="526">
        <v>0.178630912385707</v>
      </c>
      <c r="K129" s="526">
        <v>-2.4841706997641301E-2</v>
      </c>
      <c r="L129" s="526">
        <v>0.176873587717637</v>
      </c>
      <c r="M129" s="526">
        <v>5.6347159198466501E-2</v>
      </c>
      <c r="N129" s="526">
        <v>5.8737578386813399E-2</v>
      </c>
      <c r="O129" s="526">
        <v>4.7916438283511401E-2</v>
      </c>
      <c r="P129" s="526">
        <v>5.9549237734066202E-2</v>
      </c>
      <c r="Q129" s="526">
        <v>5.3256030194951703E-2</v>
      </c>
      <c r="R129" s="526">
        <v>5.6589544403090601E-2</v>
      </c>
      <c r="S129" s="526">
        <v>6.4180852632856902E-2</v>
      </c>
      <c r="T129" s="526">
        <v>6.1786118679072098E-2</v>
      </c>
      <c r="U129" s="526">
        <v>6.3453322023622596E-2</v>
      </c>
      <c r="V129" s="526">
        <v>5.3252067781058302E-2</v>
      </c>
      <c r="W129" s="526">
        <v>5.22741733898551E-2</v>
      </c>
      <c r="X129" s="526">
        <v>5.8044968665613102E-2</v>
      </c>
      <c r="Y129" s="526">
        <v>5.6709303722983898E-2</v>
      </c>
      <c r="Z129" s="526">
        <v>6.3100514214776707E-2</v>
      </c>
      <c r="AA129" s="526">
        <v>5.6737355072260798E-2</v>
      </c>
      <c r="AB129" s="526">
        <v>5.8583328618439803E-2</v>
      </c>
      <c r="AC129" s="526">
        <v>5.4392376120375098E-2</v>
      </c>
      <c r="AD129" s="526">
        <v>5.4634985995663098E-2</v>
      </c>
      <c r="AE129" s="526">
        <v>5.0860784624459199E-2</v>
      </c>
      <c r="AF129" s="526">
        <v>5.59524301030416E-2</v>
      </c>
      <c r="AG129" s="526">
        <v>5.1993583873485003E-2</v>
      </c>
      <c r="AH129" s="526">
        <v>5.5654935392383399E-2</v>
      </c>
      <c r="AI129" s="526">
        <v>5.2334683707480498E-2</v>
      </c>
      <c r="AJ129" s="526">
        <v>5.2007554393556699E-2</v>
      </c>
    </row>
    <row r="130" spans="1:36" ht="14.5" x14ac:dyDescent="0.3">
      <c r="A130" s="944"/>
      <c r="B130" s="125"/>
      <c r="C130" s="525"/>
      <c r="D130" s="525"/>
      <c r="E130" s="525"/>
      <c r="F130" s="525"/>
      <c r="G130" s="525"/>
      <c r="H130" s="525"/>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row>
    <row r="131" spans="1:36" ht="14.5" x14ac:dyDescent="0.3">
      <c r="A131" s="944"/>
      <c r="B131" s="125"/>
      <c r="C131" s="524" t="s">
        <v>349</v>
      </c>
      <c r="D131" s="526"/>
      <c r="E131" s="526"/>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row>
    <row r="132" spans="1:36" ht="14.5" x14ac:dyDescent="0.3">
      <c r="A132" s="944"/>
      <c r="B132" s="125"/>
      <c r="C132" s="525" t="s">
        <v>347</v>
      </c>
      <c r="D132" s="530">
        <v>4414281.640625</v>
      </c>
      <c r="E132" s="530">
        <v>5379687.890625</v>
      </c>
      <c r="F132" s="530">
        <v>6091101.171875</v>
      </c>
      <c r="G132" s="530">
        <v>6105758.984375</v>
      </c>
      <c r="H132" s="526">
        <v>5763317.5296293283</v>
      </c>
      <c r="I132" s="526">
        <v>6149142.5116684418</v>
      </c>
      <c r="J132" s="526">
        <v>6777650.2200398687</v>
      </c>
      <c r="K132" s="526">
        <v>7470398.0950252125</v>
      </c>
      <c r="L132" s="526">
        <v>9082811.3496180288</v>
      </c>
      <c r="M132" s="526">
        <v>11043248.427106971</v>
      </c>
      <c r="N132" s="526">
        <v>12171985.767106289</v>
      </c>
      <c r="O132" s="526">
        <v>14799191.296978531</v>
      </c>
      <c r="P132" s="526">
        <v>17993453.758090694</v>
      </c>
      <c r="Q132" s="526">
        <v>21877166.91050877</v>
      </c>
      <c r="R132" s="526">
        <v>24113245.845822357</v>
      </c>
      <c r="S132" s="526">
        <v>29317856.994852152</v>
      </c>
      <c r="T132" s="526">
        <v>32314453.52505618</v>
      </c>
      <c r="U132" s="526">
        <v>35617334.063890427</v>
      </c>
      <c r="V132" s="526">
        <v>43304991.509632394</v>
      </c>
      <c r="W132" s="526">
        <v>47731221.821113378</v>
      </c>
      <c r="X132" s="526">
        <v>58033544.902600154</v>
      </c>
      <c r="Y132" s="526">
        <v>63965189.883374378</v>
      </c>
      <c r="Z132" s="526">
        <v>70503112.013631642</v>
      </c>
      <c r="AA132" s="526">
        <v>77709279.260635093</v>
      </c>
      <c r="AB132" s="526">
        <v>85651993.376402929</v>
      </c>
      <c r="AC132" s="526">
        <v>94406537.277816132</v>
      </c>
      <c r="AD132" s="526">
        <v>104055888.59585258</v>
      </c>
      <c r="AE132" s="526">
        <v>114691506.15713543</v>
      </c>
      <c r="AF132" s="526">
        <v>126414196.85225317</v>
      </c>
      <c r="AG132" s="526">
        <v>139335071.10723385</v>
      </c>
      <c r="AH132" s="526">
        <v>153576596.01435724</v>
      </c>
      <c r="AI132" s="526">
        <v>169273756.10412693</v>
      </c>
      <c r="AJ132" s="526">
        <v>186575332.7604731</v>
      </c>
    </row>
    <row r="133" spans="1:36" ht="14.5" x14ac:dyDescent="0.3">
      <c r="A133" s="944"/>
      <c r="B133" s="125"/>
      <c r="C133" s="525" t="s">
        <v>348</v>
      </c>
      <c r="D133" s="531"/>
      <c r="E133" s="531">
        <f t="shared" ref="E133:F133" si="2">+(E132-D132)/D132</f>
        <v>0.21870064680859649</v>
      </c>
      <c r="F133" s="531">
        <f t="shared" si="2"/>
        <v>0.1322406235666117</v>
      </c>
      <c r="G133" s="531">
        <f>+(G132-F132)/F132</f>
        <v>2.4064306414217614E-3</v>
      </c>
      <c r="H133" s="526">
        <v>-5.6084993793892E-2</v>
      </c>
      <c r="I133" s="526">
        <v>6.6944946214672202E-2</v>
      </c>
      <c r="J133" s="526">
        <v>0.102210626470079</v>
      </c>
      <c r="K133" s="526">
        <v>0.102210626470079</v>
      </c>
      <c r="L133" s="526">
        <v>0.215840338638255</v>
      </c>
      <c r="M133" s="526">
        <v>0.215840338638255</v>
      </c>
      <c r="N133" s="526">
        <v>0.102210626470079</v>
      </c>
      <c r="O133" s="526">
        <v>0.215840338638255</v>
      </c>
      <c r="P133" s="526">
        <v>0.215840338638255</v>
      </c>
      <c r="Q133" s="526">
        <v>0.215840338638255</v>
      </c>
      <c r="R133" s="526">
        <v>0.102210626470079</v>
      </c>
      <c r="S133" s="526">
        <v>0.215840338638255</v>
      </c>
      <c r="T133" s="526">
        <v>0.102210626470079</v>
      </c>
      <c r="U133" s="526">
        <v>0.102210626470079</v>
      </c>
      <c r="V133" s="526">
        <v>0.215840338638255</v>
      </c>
      <c r="W133" s="526">
        <v>0.102210626470079</v>
      </c>
      <c r="X133" s="526">
        <v>0.215840338638255</v>
      </c>
      <c r="Y133" s="526">
        <v>0.102210626470079</v>
      </c>
      <c r="Z133" s="526">
        <v>0.102210626470079</v>
      </c>
      <c r="AA133" s="526">
        <v>0.102210626470079</v>
      </c>
      <c r="AB133" s="526">
        <v>0.102210626470079</v>
      </c>
      <c r="AC133" s="526">
        <v>0.102210626470079</v>
      </c>
      <c r="AD133" s="526">
        <v>0.102210626470079</v>
      </c>
      <c r="AE133" s="526">
        <v>0.102210626470079</v>
      </c>
      <c r="AF133" s="526">
        <v>0.102210626470079</v>
      </c>
      <c r="AG133" s="526">
        <v>0.102210626470079</v>
      </c>
      <c r="AH133" s="526">
        <v>0.102210626470079</v>
      </c>
      <c r="AI133" s="526">
        <v>0.102210626470079</v>
      </c>
      <c r="AJ133" s="526">
        <v>0.102210626470079</v>
      </c>
    </row>
    <row r="134" spans="1:36" ht="14.5" x14ac:dyDescent="0.3">
      <c r="A134" s="944"/>
      <c r="B134" s="125"/>
      <c r="C134" s="525"/>
      <c r="D134" s="526"/>
      <c r="E134" s="526"/>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row>
    <row r="135" spans="1:36" ht="14.5" x14ac:dyDescent="0.3">
      <c r="A135" s="944"/>
      <c r="B135" s="125"/>
      <c r="C135" s="524" t="s">
        <v>350</v>
      </c>
      <c r="D135" s="526"/>
      <c r="E135" s="526"/>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row>
    <row r="136" spans="1:36" ht="14.5" x14ac:dyDescent="0.3">
      <c r="A136" s="944"/>
      <c r="B136" s="125"/>
      <c r="C136" s="525" t="s">
        <v>347</v>
      </c>
      <c r="D136" s="526">
        <v>2688449.4140625</v>
      </c>
      <c r="E136" s="526">
        <v>2707870.703125</v>
      </c>
      <c r="F136" s="526">
        <v>2429575.1953125</v>
      </c>
      <c r="G136" s="526">
        <v>2950407.03125</v>
      </c>
      <c r="H136" s="526">
        <v>3143587.5745756482</v>
      </c>
      <c r="I136" s="526">
        <v>3339162.574264463</v>
      </c>
      <c r="J136" s="526">
        <v>3508217.7025748887</v>
      </c>
      <c r="K136" s="526">
        <v>3607528.4275293658</v>
      </c>
      <c r="L136" s="526">
        <v>3706802.8403459471</v>
      </c>
      <c r="M136" s="526">
        <v>3772132.6747219171</v>
      </c>
      <c r="N136" s="526">
        <v>3823552.356855494</v>
      </c>
      <c r="O136" s="526">
        <v>3879715.9066898632</v>
      </c>
      <c r="P136" s="526">
        <v>3931722.0020376421</v>
      </c>
      <c r="Q136" s="526">
        <v>3976980.1209915713</v>
      </c>
      <c r="R136" s="526">
        <v>4042766.981027191</v>
      </c>
      <c r="S136" s="526">
        <v>4120644.7112997961</v>
      </c>
      <c r="T136" s="526">
        <v>4176092.3006631369</v>
      </c>
      <c r="U136" s="526">
        <v>4229824.4150362033</v>
      </c>
      <c r="V136" s="526">
        <v>4271109.6374026928</v>
      </c>
      <c r="W136" s="526">
        <v>4325458.9188022763</v>
      </c>
      <c r="X136" s="526">
        <v>4386638.7911329279</v>
      </c>
      <c r="Y136" s="526">
        <v>4445133.4456282314</v>
      </c>
      <c r="Z136" s="526">
        <v>4503719.6517386464</v>
      </c>
      <c r="AA136" s="526">
        <v>4563313.5541331274</v>
      </c>
      <c r="AB136" s="526">
        <v>4606172.2163882777</v>
      </c>
      <c r="AC136" s="526">
        <v>4661353.9129675822</v>
      </c>
      <c r="AD136" s="526">
        <v>4704673.6122665871</v>
      </c>
      <c r="AE136" s="526">
        <v>4752388.8597650835</v>
      </c>
      <c r="AF136" s="526">
        <v>4811775.5734867975</v>
      </c>
      <c r="AG136" s="526">
        <v>4869403.3070347793</v>
      </c>
      <c r="AH136" s="526">
        <v>4926559.1104939673</v>
      </c>
      <c r="AI136" s="526">
        <v>4967808.6843801485</v>
      </c>
      <c r="AJ136" s="526">
        <v>5022181.6620174991</v>
      </c>
    </row>
    <row r="137" spans="1:36" ht="14.5" x14ac:dyDescent="0.3">
      <c r="A137" s="944"/>
      <c r="B137" s="125"/>
      <c r="C137" s="525" t="s">
        <v>348</v>
      </c>
      <c r="D137" s="526">
        <v>-5.9852401804941897E-2</v>
      </c>
      <c r="E137" s="526">
        <v>-6.1558945507035204E-3</v>
      </c>
      <c r="F137" s="526">
        <v>8.36707379395802E-2</v>
      </c>
      <c r="G137" s="526">
        <v>8.36707379395802E-2</v>
      </c>
      <c r="H137" s="526">
        <v>6.5475895793199596E-2</v>
      </c>
      <c r="I137" s="526">
        <v>6.2213949842073603E-2</v>
      </c>
      <c r="J137" s="526">
        <v>5.0628001647288701E-2</v>
      </c>
      <c r="K137" s="526">
        <v>2.8308027999968999E-2</v>
      </c>
      <c r="L137" s="526">
        <v>2.7518677901193899E-2</v>
      </c>
      <c r="M137" s="526">
        <v>1.76243078441886E-2</v>
      </c>
      <c r="N137" s="526">
        <v>1.36314617134636E-2</v>
      </c>
      <c r="O137" s="526">
        <v>1.46888402701404E-2</v>
      </c>
      <c r="P137" s="526">
        <v>1.34046143064506E-2</v>
      </c>
      <c r="Q137" s="526">
        <v>1.15110170379478E-2</v>
      </c>
      <c r="R137" s="526">
        <v>1.6541913219122899E-2</v>
      </c>
      <c r="S137" s="526">
        <v>1.9263472428187701E-2</v>
      </c>
      <c r="T137" s="526">
        <v>1.3456047111096501E-2</v>
      </c>
      <c r="U137" s="526">
        <v>1.2866601239760401E-2</v>
      </c>
      <c r="V137" s="526">
        <v>9.7605050034058997E-3</v>
      </c>
      <c r="W137" s="526">
        <v>1.27248621584517E-2</v>
      </c>
      <c r="X137" s="526">
        <v>1.4144134409578899E-2</v>
      </c>
      <c r="Y137" s="526">
        <v>1.3334732418256799E-2</v>
      </c>
      <c r="Z137" s="526">
        <v>1.3179853164596101E-2</v>
      </c>
      <c r="AA137" s="526">
        <v>1.3232151866174701E-2</v>
      </c>
      <c r="AB137" s="526">
        <v>9.3920046796546995E-3</v>
      </c>
      <c r="AC137" s="526">
        <v>1.19799464689951E-2</v>
      </c>
      <c r="AD137" s="526">
        <v>9.2933727212800906E-3</v>
      </c>
      <c r="AE137" s="526">
        <v>1.01420951655578E-2</v>
      </c>
      <c r="AF137" s="526">
        <v>1.2496181494005399E-2</v>
      </c>
      <c r="AG137" s="526">
        <v>1.1976396793215899E-2</v>
      </c>
      <c r="AH137" s="526">
        <v>1.17377427695536E-2</v>
      </c>
      <c r="AI137" s="526">
        <v>8.3728973835543001E-3</v>
      </c>
      <c r="AJ137" s="526">
        <v>1.0945062721177401E-2</v>
      </c>
    </row>
    <row r="138" spans="1:36" ht="14.5" x14ac:dyDescent="0.3">
      <c r="A138" s="944"/>
      <c r="B138" s="125"/>
      <c r="C138" s="525"/>
      <c r="D138" s="526"/>
      <c r="E138" s="526"/>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row>
    <row r="139" spans="1:36" ht="14.5" x14ac:dyDescent="0.3">
      <c r="A139" s="49"/>
      <c r="B139" s="523"/>
      <c r="C139" s="524" t="s">
        <v>1040</v>
      </c>
      <c r="D139" s="954"/>
      <c r="E139" s="954"/>
      <c r="F139" s="954"/>
      <c r="G139" s="954"/>
      <c r="H139" s="954"/>
      <c r="I139" s="954"/>
      <c r="J139" s="954"/>
      <c r="K139" s="954"/>
      <c r="L139" s="954"/>
      <c r="M139" s="954"/>
      <c r="N139" s="954"/>
      <c r="O139" s="954"/>
      <c r="P139" s="954"/>
      <c r="Q139" s="954"/>
      <c r="R139" s="954"/>
      <c r="S139" s="954"/>
      <c r="T139" s="954"/>
      <c r="U139" s="954"/>
      <c r="V139" s="954"/>
      <c r="W139" s="954"/>
      <c r="X139" s="954"/>
      <c r="Y139" s="954"/>
      <c r="Z139" s="954"/>
      <c r="AA139" s="954"/>
      <c r="AB139" s="954"/>
      <c r="AC139" s="954"/>
      <c r="AD139" s="954"/>
      <c r="AE139" s="954"/>
      <c r="AF139" s="954"/>
      <c r="AG139" s="954"/>
      <c r="AH139" s="954"/>
      <c r="AI139" s="954"/>
      <c r="AJ139" s="954"/>
    </row>
    <row r="140" spans="1:36" ht="14.5" x14ac:dyDescent="0.3">
      <c r="A140" s="49"/>
      <c r="B140" s="125"/>
      <c r="C140" s="525" t="s">
        <v>347</v>
      </c>
      <c r="D140" s="526">
        <v>26748.703125</v>
      </c>
      <c r="E140" s="526">
        <v>25197.8828125</v>
      </c>
      <c r="F140" s="526">
        <v>27706.87109375</v>
      </c>
      <c r="G140" s="526">
        <v>24418.158203125</v>
      </c>
      <c r="H140" s="526">
        <v>26016.958985094672</v>
      </c>
      <c r="I140" s="526">
        <v>27635.576766436636</v>
      </c>
      <c r="J140" s="526">
        <v>29034.710792491562</v>
      </c>
      <c r="K140" s="526">
        <v>29856.626198576414</v>
      </c>
      <c r="L140" s="526">
        <v>30678.24107815139</v>
      </c>
      <c r="M140" s="526">
        <v>31218.923843030963</v>
      </c>
      <c r="N140" s="526">
        <v>31644.483408132775</v>
      </c>
      <c r="O140" s="526">
        <v>32109.304170345946</v>
      </c>
      <c r="P140" s="526">
        <v>32539.717008397936</v>
      </c>
      <c r="Q140" s="526">
        <v>32914.282245291601</v>
      </c>
      <c r="R140" s="526">
        <v>33458.747445862929</v>
      </c>
      <c r="S140" s="526">
        <v>34103.279104768008</v>
      </c>
      <c r="T140" s="526">
        <v>34562.174435044639</v>
      </c>
      <c r="U140" s="526">
        <v>35006.872151479402</v>
      </c>
      <c r="V140" s="526">
        <v>35348.556902267512</v>
      </c>
      <c r="W140" s="526">
        <v>35798.362416349053</v>
      </c>
      <c r="X140" s="526">
        <v>36304.699266008713</v>
      </c>
      <c r="Y140" s="526">
        <v>36788.812716246226</v>
      </c>
      <c r="Z140" s="526">
        <v>37273.683865946179</v>
      </c>
      <c r="AA140" s="526">
        <v>37766.894911472162</v>
      </c>
      <c r="AB140" s="526">
        <v>38121.601765216736</v>
      </c>
      <c r="AC140" s="526">
        <v>38578.296513676381</v>
      </c>
      <c r="AD140" s="526">
        <v>38936.819002130032</v>
      </c>
      <c r="AE140" s="526">
        <v>39331.719925893733</v>
      </c>
      <c r="AF140" s="526">
        <v>39823.216236559092</v>
      </c>
      <c r="AG140" s="526">
        <v>40300.154875790162</v>
      </c>
      <c r="AH140" s="526">
        <v>40773.187727295357</v>
      </c>
      <c r="AI140" s="526">
        <v>41114.577444136397</v>
      </c>
      <c r="AJ140" s="526">
        <v>41564.579073017172</v>
      </c>
    </row>
    <row r="141" spans="1:36" ht="14.5" x14ac:dyDescent="0.3">
      <c r="A141" s="49"/>
      <c r="B141" s="125"/>
      <c r="C141" s="525" t="s">
        <v>348</v>
      </c>
      <c r="D141" s="526">
        <v>-5.9852401804941897E-2</v>
      </c>
      <c r="E141" s="526">
        <v>-6.1558945507035204E-3</v>
      </c>
      <c r="F141" s="526">
        <v>8.36707379395802E-2</v>
      </c>
      <c r="G141" s="526">
        <v>8.36707379395802E-2</v>
      </c>
      <c r="H141" s="526">
        <v>6.5475895793199596E-2</v>
      </c>
      <c r="I141" s="526">
        <v>6.2213949842073603E-2</v>
      </c>
      <c r="J141" s="526">
        <v>5.0628001647288701E-2</v>
      </c>
      <c r="K141" s="526">
        <v>2.8308027999968999E-2</v>
      </c>
      <c r="L141" s="526">
        <v>2.7518677901193899E-2</v>
      </c>
      <c r="M141" s="526">
        <v>1.76243078441886E-2</v>
      </c>
      <c r="N141" s="526">
        <v>1.36314617134636E-2</v>
      </c>
      <c r="O141" s="526">
        <v>1.46888402701404E-2</v>
      </c>
      <c r="P141" s="526">
        <v>1.34046143064506E-2</v>
      </c>
      <c r="Q141" s="526">
        <v>1.15110170379478E-2</v>
      </c>
      <c r="R141" s="526">
        <v>1.6541913219122899E-2</v>
      </c>
      <c r="S141" s="526">
        <v>1.9263472428187701E-2</v>
      </c>
      <c r="T141" s="526">
        <v>1.3456047111096501E-2</v>
      </c>
      <c r="U141" s="526">
        <v>1.2866601239760401E-2</v>
      </c>
      <c r="V141" s="526">
        <v>9.7605050034058997E-3</v>
      </c>
      <c r="W141" s="526">
        <v>1.27248621584517E-2</v>
      </c>
      <c r="X141" s="526">
        <v>1.4144134409578899E-2</v>
      </c>
      <c r="Y141" s="526">
        <v>1.3334732418256799E-2</v>
      </c>
      <c r="Z141" s="526">
        <v>1.3179853164596101E-2</v>
      </c>
      <c r="AA141" s="526">
        <v>1.3232151866174701E-2</v>
      </c>
      <c r="AB141" s="526">
        <v>9.3920046796546995E-3</v>
      </c>
      <c r="AC141" s="526">
        <v>1.19799464689951E-2</v>
      </c>
      <c r="AD141" s="526">
        <v>9.2933727212800906E-3</v>
      </c>
      <c r="AE141" s="526">
        <v>1.01420951655578E-2</v>
      </c>
      <c r="AF141" s="526">
        <v>1.2496181494005399E-2</v>
      </c>
      <c r="AG141" s="526">
        <v>1.1976396793215899E-2</v>
      </c>
      <c r="AH141" s="526">
        <v>1.17377427695536E-2</v>
      </c>
      <c r="AI141" s="526">
        <v>8.3728973835543001E-3</v>
      </c>
      <c r="AJ141" s="526">
        <v>1.0945062721177401E-2</v>
      </c>
    </row>
    <row r="142" spans="1:36" ht="14.5" x14ac:dyDescent="0.3">
      <c r="A142" s="944"/>
      <c r="B142" s="125"/>
      <c r="C142" s="529"/>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c r="AE142" s="392"/>
      <c r="AF142" s="392"/>
      <c r="AG142" s="392"/>
      <c r="AH142" s="392"/>
      <c r="AI142" s="392"/>
      <c r="AJ142" s="392"/>
    </row>
    <row r="143" spans="1:36" ht="14.5" x14ac:dyDescent="0.3">
      <c r="A143" s="49"/>
      <c r="B143" s="523"/>
      <c r="C143" s="524" t="s">
        <v>351</v>
      </c>
      <c r="D143" s="1095"/>
      <c r="E143" s="1095"/>
      <c r="F143" s="1095"/>
      <c r="G143" s="1095"/>
      <c r="H143" s="954"/>
      <c r="I143" s="954"/>
      <c r="J143" s="954"/>
      <c r="K143" s="954"/>
      <c r="L143" s="954"/>
      <c r="M143" s="954"/>
      <c r="N143" s="954"/>
      <c r="O143" s="954"/>
      <c r="P143" s="954"/>
      <c r="Q143" s="954"/>
      <c r="R143" s="954"/>
      <c r="S143" s="954"/>
      <c r="T143" s="954"/>
      <c r="U143" s="954"/>
      <c r="V143" s="954"/>
      <c r="W143" s="954"/>
      <c r="X143" s="954"/>
      <c r="Y143" s="954"/>
      <c r="Z143" s="954"/>
      <c r="AA143" s="954"/>
      <c r="AB143" s="954"/>
      <c r="AC143" s="954"/>
      <c r="AD143" s="954"/>
      <c r="AE143" s="954"/>
      <c r="AF143" s="954"/>
      <c r="AG143" s="954"/>
      <c r="AH143" s="954"/>
      <c r="AI143" s="954"/>
      <c r="AJ143" s="954"/>
    </row>
    <row r="144" spans="1:36" ht="14.5" x14ac:dyDescent="0.3">
      <c r="A144" s="49"/>
      <c r="B144" s="523"/>
      <c r="C144" s="524" t="s">
        <v>346</v>
      </c>
      <c r="D144" s="526"/>
      <c r="E144" s="526"/>
      <c r="F144" s="526"/>
      <c r="G144" s="526"/>
      <c r="H144" s="954"/>
      <c r="I144" s="954"/>
      <c r="J144" s="954"/>
      <c r="K144" s="954"/>
      <c r="L144" s="954"/>
      <c r="M144" s="954"/>
      <c r="N144" s="954"/>
      <c r="O144" s="954"/>
      <c r="P144" s="954"/>
      <c r="Q144" s="954"/>
      <c r="R144" s="954"/>
      <c r="S144" s="954"/>
      <c r="T144" s="954"/>
      <c r="U144" s="954"/>
      <c r="V144" s="954"/>
      <c r="W144" s="954"/>
      <c r="X144" s="954"/>
      <c r="Y144" s="954"/>
      <c r="Z144" s="954"/>
      <c r="AA144" s="954"/>
      <c r="AB144" s="954"/>
      <c r="AC144" s="954"/>
      <c r="AD144" s="954"/>
      <c r="AE144" s="954"/>
      <c r="AF144" s="954"/>
      <c r="AG144" s="954"/>
      <c r="AH144" s="954"/>
      <c r="AI144" s="954"/>
      <c r="AJ144" s="954"/>
    </row>
    <row r="145" spans="1:36" ht="14.5" x14ac:dyDescent="0.3">
      <c r="A145" s="49"/>
      <c r="B145" s="125"/>
      <c r="C145" s="525" t="s">
        <v>347</v>
      </c>
      <c r="D145" s="530">
        <v>5883128.515625</v>
      </c>
      <c r="E145" s="530">
        <v>6149980.078125</v>
      </c>
      <c r="F145" s="530">
        <v>7356140.625</v>
      </c>
      <c r="G145" s="530">
        <v>5691562.890625</v>
      </c>
      <c r="H145" s="526">
        <v>5663629.7211033553</v>
      </c>
      <c r="I145" s="526">
        <v>5384523.8421693873</v>
      </c>
      <c r="J145" s="526">
        <v>6346366.2488586977</v>
      </c>
      <c r="K145" s="526">
        <v>6188711.6780048301</v>
      </c>
      <c r="L145" s="526">
        <v>7283331.3158435822</v>
      </c>
      <c r="M145" s="526">
        <v>7854441.0621564547</v>
      </c>
      <c r="N145" s="526">
        <v>8523718.9813859407</v>
      </c>
      <c r="O145" s="526">
        <v>9100472.142997006</v>
      </c>
      <c r="P145" s="526">
        <v>9905061.1031817812</v>
      </c>
      <c r="Q145" s="526">
        <v>10620896.037984652</v>
      </c>
      <c r="R145" s="526">
        <v>11387082.132535269</v>
      </c>
      <c r="S145" s="526">
        <v>12407882.941670235</v>
      </c>
      <c r="T145" s="526">
        <v>13406649.310852105</v>
      </c>
      <c r="U145" s="526">
        <v>14588475.434241725</v>
      </c>
      <c r="V145" s="526">
        <v>15662391.941114832</v>
      </c>
      <c r="W145" s="526">
        <v>16760502.362786472</v>
      </c>
      <c r="X145" s="526">
        <v>18112306.810424931</v>
      </c>
      <c r="Y145" s="526">
        <v>19536684.833762705</v>
      </c>
      <c r="Z145" s="526">
        <v>21155078.872121267</v>
      </c>
      <c r="AA145" s="526">
        <v>22815789.403676629</v>
      </c>
      <c r="AB145" s="526">
        <v>24653800.459945641</v>
      </c>
      <c r="AC145" s="526">
        <v>26573459.621658858</v>
      </c>
      <c r="AD145" s="526">
        <v>28578285.345831141</v>
      </c>
      <c r="AE145" s="526">
        <v>30568256.752909541</v>
      </c>
      <c r="AF145" s="526">
        <v>32999276.504751902</v>
      </c>
      <c r="AG145" s="526">
        <v>35286146.141558342</v>
      </c>
      <c r="AH145" s="526">
        <v>38093264.057689942</v>
      </c>
      <c r="AI145" s="526">
        <v>40938336.669039682</v>
      </c>
      <c r="AJ145" s="526">
        <v>43967172.592646115</v>
      </c>
    </row>
    <row r="146" spans="1:36" ht="14.5" x14ac:dyDescent="0.3">
      <c r="A146" s="49"/>
      <c r="B146" s="125"/>
      <c r="C146" s="525" t="s">
        <v>348</v>
      </c>
      <c r="D146" s="531"/>
      <c r="E146" s="531">
        <v>4.5358785175484265E-2</v>
      </c>
      <c r="F146" s="531">
        <v>0.19612430146972656</v>
      </c>
      <c r="G146" s="531">
        <v>-0.22628411000163554</v>
      </c>
      <c r="H146" s="526">
        <v>-4.90782058609158E-3</v>
      </c>
      <c r="I146" s="526">
        <v>-4.92803895519488E-2</v>
      </c>
      <c r="J146" s="526">
        <v>0.178630912385707</v>
      </c>
      <c r="K146" s="526">
        <v>-2.4841706997641301E-2</v>
      </c>
      <c r="L146" s="526">
        <v>0.176873587717637</v>
      </c>
      <c r="M146" s="526">
        <v>7.8413259200570268E-2</v>
      </c>
      <c r="N146" s="526">
        <v>8.5210126848381418E-2</v>
      </c>
      <c r="O146" s="526">
        <v>6.76644974887812E-2</v>
      </c>
      <c r="P146" s="526">
        <v>8.8411782107802289E-2</v>
      </c>
      <c r="Q146" s="526">
        <v>7.2269613215502904E-2</v>
      </c>
      <c r="R146" s="526">
        <v>7.2139496687513238E-2</v>
      </c>
      <c r="S146" s="526">
        <v>8.964551210343219E-2</v>
      </c>
      <c r="T146" s="526">
        <v>8.0494502879910723E-2</v>
      </c>
      <c r="U146" s="526">
        <v>8.8152236698917988E-2</v>
      </c>
      <c r="V146" s="526">
        <v>7.3614032646100447E-2</v>
      </c>
      <c r="W146" s="526">
        <v>7.0111284776945573E-2</v>
      </c>
      <c r="X146" s="526">
        <v>8.0654172433392152E-2</v>
      </c>
      <c r="Y146" s="526">
        <v>7.864144740072225E-2</v>
      </c>
      <c r="Z146" s="526">
        <v>8.2838723771686398E-2</v>
      </c>
      <c r="AA146" s="526">
        <v>7.8501741430228811E-2</v>
      </c>
      <c r="AB146" s="526">
        <v>8.0558731663819841E-2</v>
      </c>
      <c r="AC146" s="526">
        <v>7.7864634494468093E-2</v>
      </c>
      <c r="AD146" s="526">
        <v>7.5444663687608091E-2</v>
      </c>
      <c r="AE146" s="526">
        <v>6.9632288396500638E-2</v>
      </c>
      <c r="AF146" s="526">
        <v>7.9527588749756614E-2</v>
      </c>
      <c r="AG146" s="526">
        <v>6.9300599256384557E-2</v>
      </c>
      <c r="AH146" s="526">
        <v>7.9552975404857618E-2</v>
      </c>
      <c r="AI146" s="526">
        <v>7.4687026216525995E-2</v>
      </c>
      <c r="AJ146" s="526">
        <v>7.3985319630658936E-2</v>
      </c>
    </row>
    <row r="147" spans="1:36" ht="14.5" x14ac:dyDescent="0.3">
      <c r="A147" s="944"/>
      <c r="B147" s="125"/>
      <c r="C147" s="525"/>
      <c r="D147" s="525"/>
      <c r="E147" s="525"/>
      <c r="F147" s="525"/>
      <c r="G147" s="525"/>
      <c r="H147" s="525"/>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row>
    <row r="148" spans="1:36" ht="14.5" x14ac:dyDescent="0.3">
      <c r="A148" s="944"/>
      <c r="B148" s="125"/>
      <c r="C148" s="524" t="s">
        <v>349</v>
      </c>
      <c r="D148" s="526"/>
      <c r="E148" s="526"/>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row>
    <row r="149" spans="1:36" ht="14.5" x14ac:dyDescent="0.3">
      <c r="A149" s="944"/>
      <c r="B149" s="125"/>
      <c r="C149" s="525" t="s">
        <v>347</v>
      </c>
      <c r="D149" s="530">
        <v>5883128.515625</v>
      </c>
      <c r="E149" s="530">
        <v>6149980.078125</v>
      </c>
      <c r="F149" s="530">
        <v>7356140.625</v>
      </c>
      <c r="G149" s="530">
        <v>5691562.890625</v>
      </c>
      <c r="H149" s="526">
        <v>5763317.5296293283</v>
      </c>
      <c r="I149" s="526">
        <v>6149142.5116684418</v>
      </c>
      <c r="J149" s="526">
        <v>6777650.2200398687</v>
      </c>
      <c r="K149" s="526">
        <v>7470398.0950252125</v>
      </c>
      <c r="L149" s="526">
        <v>9082811.3496180288</v>
      </c>
      <c r="M149" s="526">
        <v>12161897.468217505</v>
      </c>
      <c r="N149" s="526">
        <v>16284798.212136783</v>
      </c>
      <c r="O149" s="526">
        <v>19799714.572900034</v>
      </c>
      <c r="P149" s="526">
        <v>24073291.67125557</v>
      </c>
      <c r="Q149" s="526">
        <v>30399367.520070393</v>
      </c>
      <c r="R149" s="526">
        <v>38387834.876929075</v>
      </c>
      <c r="S149" s="526">
        <v>48475543.629828781</v>
      </c>
      <c r="T149" s="526">
        <v>61214140.827194728</v>
      </c>
      <c r="U149" s="526">
        <v>77300237.534744352</v>
      </c>
      <c r="V149" s="526">
        <v>97613503.059628457</v>
      </c>
      <c r="W149" s="526">
        <v>123264769.72712198</v>
      </c>
      <c r="X149" s="526">
        <v>155656778.82289332</v>
      </c>
      <c r="Y149" s="526">
        <v>196560889.59689194</v>
      </c>
      <c r="Z149" s="526">
        <v>263195314.04112601</v>
      </c>
      <c r="AA149" s="526">
        <v>332358831.12112993</v>
      </c>
      <c r="AB149" s="526">
        <v>419697413.78808624</v>
      </c>
      <c r="AC149" s="526">
        <v>529987178.45475501</v>
      </c>
      <c r="AD149" s="526">
        <v>669259328.50340986</v>
      </c>
      <c r="AE149" s="526">
        <v>845129971.05848467</v>
      </c>
      <c r="AF149" s="526">
        <v>1067216604.3295966</v>
      </c>
      <c r="AG149" s="526">
        <v>1347664051.1640041</v>
      </c>
      <c r="AH149" s="526">
        <v>1701808599.5210631</v>
      </c>
      <c r="AI149" s="526">
        <v>2149016668.436305</v>
      </c>
      <c r="AJ149" s="526">
        <v>2713743861.9811816</v>
      </c>
    </row>
    <row r="150" spans="1:36" ht="14.5" x14ac:dyDescent="0.3">
      <c r="A150" s="944"/>
      <c r="B150" s="125"/>
      <c r="C150" s="525" t="s">
        <v>348</v>
      </c>
      <c r="D150" s="531"/>
      <c r="E150" s="531">
        <v>4.5358785175484265E-2</v>
      </c>
      <c r="F150" s="531">
        <v>0.19612430146972656</v>
      </c>
      <c r="G150" s="531">
        <v>-0.22628411000163554</v>
      </c>
      <c r="H150" s="526">
        <v>-5.6084993793892E-2</v>
      </c>
      <c r="I150" s="526">
        <v>6.6944946214672202E-2</v>
      </c>
      <c r="J150" s="526">
        <v>0.102210626470079</v>
      </c>
      <c r="K150" s="526">
        <v>0.102210626470079</v>
      </c>
      <c r="L150" s="526">
        <v>0.215840338638255</v>
      </c>
      <c r="M150" s="526">
        <v>0.33900143910056701</v>
      </c>
      <c r="N150" s="526">
        <v>0.33900143910056701</v>
      </c>
      <c r="O150" s="526">
        <v>0.215840338638255</v>
      </c>
      <c r="P150" s="526">
        <v>0.215840338638255</v>
      </c>
      <c r="Q150" s="526">
        <v>0.26278399876525399</v>
      </c>
      <c r="R150" s="526">
        <v>0.26278399876525399</v>
      </c>
      <c r="S150" s="526">
        <v>0.26278399876525399</v>
      </c>
      <c r="T150" s="526">
        <v>0.26278399876525399</v>
      </c>
      <c r="U150" s="526">
        <v>0.26278399876525399</v>
      </c>
      <c r="V150" s="526">
        <v>0.26278399876525399</v>
      </c>
      <c r="W150" s="526">
        <v>0.26278399876525399</v>
      </c>
      <c r="X150" s="526">
        <v>0.26278399876525399</v>
      </c>
      <c r="Y150" s="526">
        <v>0.26278399876525399</v>
      </c>
      <c r="Z150" s="526">
        <v>0.33900143910056701</v>
      </c>
      <c r="AA150" s="526">
        <v>0.26278399876525399</v>
      </c>
      <c r="AB150" s="526">
        <v>0.26278399876525399</v>
      </c>
      <c r="AC150" s="526">
        <v>0.26278399876525399</v>
      </c>
      <c r="AD150" s="526">
        <v>0.26278399876525399</v>
      </c>
      <c r="AE150" s="526">
        <v>0.26278399876525399</v>
      </c>
      <c r="AF150" s="526">
        <v>0.26278399876525399</v>
      </c>
      <c r="AG150" s="526">
        <v>0.26278399876525399</v>
      </c>
      <c r="AH150" s="526">
        <v>0.26278399876525399</v>
      </c>
      <c r="AI150" s="526">
        <v>0.26278399876525399</v>
      </c>
      <c r="AJ150" s="526">
        <v>0.26278399876525399</v>
      </c>
    </row>
    <row r="151" spans="1:36" ht="14.5" x14ac:dyDescent="0.3">
      <c r="A151" s="944"/>
      <c r="B151" s="125"/>
      <c r="C151" s="525"/>
      <c r="D151" s="526"/>
      <c r="E151" s="526"/>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row>
    <row r="152" spans="1:36" ht="14.5" x14ac:dyDescent="0.3">
      <c r="A152" s="944"/>
      <c r="B152" s="125"/>
      <c r="C152" s="524" t="s">
        <v>350</v>
      </c>
      <c r="D152" s="526"/>
      <c r="E152" s="526"/>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row>
    <row r="153" spans="1:36" ht="14.5" x14ac:dyDescent="0.3">
      <c r="A153" s="944"/>
      <c r="B153" s="125"/>
      <c r="C153" s="525" t="s">
        <v>347</v>
      </c>
      <c r="D153" s="526">
        <v>2688449.4140625</v>
      </c>
      <c r="E153" s="526">
        <v>2707870.703125</v>
      </c>
      <c r="F153" s="526">
        <v>2429575.1953125</v>
      </c>
      <c r="G153" s="526">
        <v>2950407.03125</v>
      </c>
      <c r="H153" s="526">
        <v>3143587.5745756482</v>
      </c>
      <c r="I153" s="526">
        <v>3339162.574264463</v>
      </c>
      <c r="J153" s="526">
        <v>3508217.7025748887</v>
      </c>
      <c r="K153" s="526">
        <v>3607528.4275293658</v>
      </c>
      <c r="L153" s="526">
        <v>3706802.8403459471</v>
      </c>
      <c r="M153" s="526">
        <v>3815989.0295948181</v>
      </c>
      <c r="N153" s="526">
        <v>3861328.5828547645</v>
      </c>
      <c r="O153" s="526">
        <v>3937826.8166421517</v>
      </c>
      <c r="P153" s="526">
        <v>4043330.4206190421</v>
      </c>
      <c r="Q153" s="526">
        <v>4131745.4331561234</v>
      </c>
      <c r="R153" s="526">
        <v>4188947.2998034661</v>
      </c>
      <c r="S153" s="526">
        <v>4274403.221070623</v>
      </c>
      <c r="T153" s="526">
        <v>4398739.7778481459</v>
      </c>
      <c r="U153" s="526">
        <v>4531689.6783324163</v>
      </c>
      <c r="V153" s="526">
        <v>4642145.6502116732</v>
      </c>
      <c r="W153" s="526">
        <v>4758201.8637848478</v>
      </c>
      <c r="X153" s="526">
        <v>4878636.6815838953</v>
      </c>
      <c r="Y153" s="526">
        <v>5008194.3383686952</v>
      </c>
      <c r="Z153" s="526">
        <v>5156882.4938112786</v>
      </c>
      <c r="AA153" s="526">
        <v>5301983.1184650976</v>
      </c>
      <c r="AB153" s="526">
        <v>5451509.7497772612</v>
      </c>
      <c r="AC153" s="526">
        <v>5587330.6799778966</v>
      </c>
      <c r="AD153" s="526">
        <v>5730685.237178742</v>
      </c>
      <c r="AE153" s="526">
        <v>5863139.5244602729</v>
      </c>
      <c r="AF153" s="526">
        <v>6005027.0258413637</v>
      </c>
      <c r="AG153" s="526">
        <v>6166088.4517457541</v>
      </c>
      <c r="AH153" s="526">
        <v>6352875.3291867794</v>
      </c>
      <c r="AI153" s="526">
        <v>6518317.520060325</v>
      </c>
      <c r="AJ153" s="526">
        <v>6685053.3974163234</v>
      </c>
    </row>
    <row r="154" spans="1:36" ht="14.5" x14ac:dyDescent="0.3">
      <c r="A154" s="944"/>
      <c r="B154" s="125"/>
      <c r="C154" s="525" t="s">
        <v>348</v>
      </c>
      <c r="D154" s="526">
        <v>-5.9852401804941897E-2</v>
      </c>
      <c r="E154" s="526">
        <v>-6.1558945507035204E-3</v>
      </c>
      <c r="F154" s="526">
        <v>8.36707379395802E-2</v>
      </c>
      <c r="G154" s="526">
        <v>8.36707379395802E-2</v>
      </c>
      <c r="H154" s="526">
        <v>6.5475895793199596E-2</v>
      </c>
      <c r="I154" s="526">
        <v>6.2213949842073603E-2</v>
      </c>
      <c r="J154" s="526">
        <v>5.0628001647288701E-2</v>
      </c>
      <c r="K154" s="526">
        <v>2.8308027999968999E-2</v>
      </c>
      <c r="L154" s="526">
        <v>2.7518677901193899E-2</v>
      </c>
      <c r="M154" s="526">
        <v>2.9455623606536599E-2</v>
      </c>
      <c r="N154" s="526">
        <v>1.18814684498085E-2</v>
      </c>
      <c r="O154" s="526">
        <v>1.9811376355552201E-2</v>
      </c>
      <c r="P154" s="526">
        <v>2.6792342296773498E-2</v>
      </c>
      <c r="Q154" s="526">
        <v>2.1866877880226399E-2</v>
      </c>
      <c r="R154" s="526">
        <v>1.38444799111566E-2</v>
      </c>
      <c r="S154" s="526">
        <v>2.0400333341784101E-2</v>
      </c>
      <c r="T154" s="526">
        <v>2.90886353829715E-2</v>
      </c>
      <c r="U154" s="526">
        <v>3.0224543209807601E-2</v>
      </c>
      <c r="V154" s="526">
        <v>2.43741252644427E-2</v>
      </c>
      <c r="W154" s="526">
        <v>2.5000554122614101E-2</v>
      </c>
      <c r="X154" s="526">
        <v>2.5310993784372501E-2</v>
      </c>
      <c r="Y154" s="526">
        <v>2.6556119104720399E-2</v>
      </c>
      <c r="Z154" s="526">
        <v>2.9688974787471099E-2</v>
      </c>
      <c r="AA154" s="526">
        <v>2.8137275733537099E-2</v>
      </c>
      <c r="AB154" s="526">
        <v>2.82020195031197E-2</v>
      </c>
      <c r="AC154" s="526">
        <v>2.49143698598694E-2</v>
      </c>
      <c r="AD154" s="526">
        <v>2.5657074086299098E-2</v>
      </c>
      <c r="AE154" s="526">
        <v>2.31131674135952E-2</v>
      </c>
      <c r="AF154" s="526">
        <v>2.4199918966477701E-2</v>
      </c>
      <c r="AG154" s="526">
        <v>2.6821099257554899E-2</v>
      </c>
      <c r="AH154" s="526">
        <v>3.0292604282726801E-2</v>
      </c>
      <c r="AI154" s="526">
        <v>2.6042096263633598E-2</v>
      </c>
      <c r="AJ154" s="526">
        <v>2.55795881134761E-2</v>
      </c>
    </row>
    <row r="155" spans="1:36" ht="14.5" x14ac:dyDescent="0.3">
      <c r="A155" s="944"/>
      <c r="B155" s="125"/>
      <c r="C155" s="525"/>
      <c r="D155" s="526"/>
      <c r="E155" s="526"/>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row>
    <row r="156" spans="1:36" ht="14.5" x14ac:dyDescent="0.3">
      <c r="A156" s="49"/>
      <c r="B156" s="523"/>
      <c r="C156" s="524" t="s">
        <v>1040</v>
      </c>
      <c r="D156" s="954"/>
      <c r="E156" s="954"/>
      <c r="F156" s="954"/>
      <c r="G156" s="954"/>
      <c r="H156" s="954"/>
      <c r="I156" s="954"/>
      <c r="J156" s="954"/>
      <c r="K156" s="954"/>
      <c r="L156" s="954"/>
      <c r="M156" s="954"/>
      <c r="N156" s="954"/>
      <c r="O156" s="954"/>
      <c r="P156" s="954"/>
      <c r="Q156" s="954"/>
      <c r="R156" s="954"/>
      <c r="S156" s="954"/>
      <c r="T156" s="954"/>
      <c r="U156" s="954"/>
      <c r="V156" s="954"/>
      <c r="W156" s="954"/>
      <c r="X156" s="954"/>
      <c r="Y156" s="954"/>
      <c r="Z156" s="954"/>
      <c r="AA156" s="954"/>
      <c r="AB156" s="954"/>
      <c r="AC156" s="954"/>
      <c r="AD156" s="954"/>
      <c r="AE156" s="954"/>
      <c r="AF156" s="954"/>
      <c r="AG156" s="954"/>
      <c r="AH156" s="954"/>
      <c r="AI156" s="954"/>
      <c r="AJ156" s="954"/>
    </row>
    <row r="157" spans="1:36" ht="14.5" x14ac:dyDescent="0.3">
      <c r="A157" s="49"/>
      <c r="B157" s="125"/>
      <c r="C157" s="525" t="s">
        <v>347</v>
      </c>
      <c r="D157" s="526">
        <v>26748.703125</v>
      </c>
      <c r="E157" s="526">
        <v>25197.8828125</v>
      </c>
      <c r="F157" s="526">
        <v>27706.87109375</v>
      </c>
      <c r="G157" s="526">
        <v>24418.158203125</v>
      </c>
      <c r="H157" s="526">
        <v>26016.958985094672</v>
      </c>
      <c r="I157" s="526">
        <v>27635.576766436636</v>
      </c>
      <c r="J157" s="526">
        <v>29034.710792491562</v>
      </c>
      <c r="K157" s="526">
        <v>29856.626198576414</v>
      </c>
      <c r="L157" s="526">
        <v>30678.24107815139</v>
      </c>
      <c r="M157" s="526">
        <v>31581.887800260007</v>
      </c>
      <c r="N157" s="526">
        <v>31957.12700374419</v>
      </c>
      <c r="O157" s="526">
        <v>32590.24167405755</v>
      </c>
      <c r="P157" s="526">
        <v>33463.410584523474</v>
      </c>
      <c r="Q157" s="526">
        <v>34195.150897231128</v>
      </c>
      <c r="R157" s="526">
        <v>34668.56497688681</v>
      </c>
      <c r="S157" s="526">
        <v>35375.815258896604</v>
      </c>
      <c r="T157" s="526">
        <v>36404.849450338006</v>
      </c>
      <c r="U157" s="526">
        <v>37505.169395596291</v>
      </c>
      <c r="V157" s="526">
        <v>38419.325092508698</v>
      </c>
      <c r="W157" s="526">
        <v>39379.829508838273</v>
      </c>
      <c r="X157" s="526">
        <v>40376.572128766129</v>
      </c>
      <c r="Y157" s="526">
        <v>41448.817187257977</v>
      </c>
      <c r="Z157" s="526">
        <v>42679.390075700976</v>
      </c>
      <c r="AA157" s="526">
        <v>43880.271842400165</v>
      </c>
      <c r="AB157" s="526">
        <v>45117.784124701728</v>
      </c>
      <c r="AC157" s="526">
        <v>46241.865285642292</v>
      </c>
      <c r="AD157" s="526">
        <v>47428.296249164683</v>
      </c>
      <c r="AE157" s="526">
        <v>48524.51440051321</v>
      </c>
      <c r="AF157" s="526">
        <v>49698.803716893308</v>
      </c>
      <c r="AG157" s="526">
        <v>51031.780264365836</v>
      </c>
      <c r="AH157" s="526">
        <v>52577.665789757331</v>
      </c>
      <c r="AI157" s="526">
        <v>53946.898423571351</v>
      </c>
      <c r="AJ157" s="526">
        <v>55326.837865245841</v>
      </c>
    </row>
    <row r="158" spans="1:36" ht="14.5" x14ac:dyDescent="0.3">
      <c r="A158" s="49"/>
      <c r="B158" s="125"/>
      <c r="C158" s="525" t="s">
        <v>348</v>
      </c>
      <c r="D158" s="526">
        <v>-5.9852401804941897E-2</v>
      </c>
      <c r="E158" s="526">
        <v>-6.1558945507035204E-3</v>
      </c>
      <c r="F158" s="526">
        <v>8.36707379395802E-2</v>
      </c>
      <c r="G158" s="526">
        <v>8.36707379395802E-2</v>
      </c>
      <c r="H158" s="526">
        <v>6.5475895793199596E-2</v>
      </c>
      <c r="I158" s="526">
        <v>6.2213949842073603E-2</v>
      </c>
      <c r="J158" s="526">
        <v>5.0628001647288701E-2</v>
      </c>
      <c r="K158" s="526">
        <v>2.8308027999968999E-2</v>
      </c>
      <c r="L158" s="526">
        <v>2.7518677901193899E-2</v>
      </c>
      <c r="M158" s="526">
        <v>2.9455623606536599E-2</v>
      </c>
      <c r="N158" s="526">
        <v>1.18814684498085E-2</v>
      </c>
      <c r="O158" s="526">
        <v>1.9811376355552201E-2</v>
      </c>
      <c r="P158" s="526">
        <v>2.6792342296773498E-2</v>
      </c>
      <c r="Q158" s="526">
        <v>2.1866877880226399E-2</v>
      </c>
      <c r="R158" s="526">
        <v>1.38444799111566E-2</v>
      </c>
      <c r="S158" s="526">
        <v>2.0400333341784101E-2</v>
      </c>
      <c r="T158" s="526">
        <v>2.90886353829715E-2</v>
      </c>
      <c r="U158" s="526">
        <v>3.0224543209807601E-2</v>
      </c>
      <c r="V158" s="526">
        <v>2.43741252644427E-2</v>
      </c>
      <c r="W158" s="526">
        <v>2.5000554122614101E-2</v>
      </c>
      <c r="X158" s="526">
        <v>2.5310993784372501E-2</v>
      </c>
      <c r="Y158" s="526">
        <v>2.6556119104720399E-2</v>
      </c>
      <c r="Z158" s="526">
        <v>2.9688974787471099E-2</v>
      </c>
      <c r="AA158" s="526">
        <v>2.8137275733537099E-2</v>
      </c>
      <c r="AB158" s="526">
        <v>2.82020195031197E-2</v>
      </c>
      <c r="AC158" s="526">
        <v>2.49143698598694E-2</v>
      </c>
      <c r="AD158" s="526">
        <v>2.5657074086299098E-2</v>
      </c>
      <c r="AE158" s="526">
        <v>2.31131674135952E-2</v>
      </c>
      <c r="AF158" s="526">
        <v>2.4199918966477701E-2</v>
      </c>
      <c r="AG158" s="526">
        <v>2.6821099257554899E-2</v>
      </c>
      <c r="AH158" s="526">
        <v>3.0292604282726801E-2</v>
      </c>
      <c r="AI158" s="526">
        <v>2.6042096263633598E-2</v>
      </c>
      <c r="AJ158" s="526">
        <v>2.55795881134761E-2</v>
      </c>
    </row>
    <row r="159" spans="1:36" ht="14.5" x14ac:dyDescent="0.3">
      <c r="A159" s="944"/>
      <c r="B159" s="125"/>
      <c r="C159" s="529"/>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c r="AA159" s="392"/>
      <c r="AB159" s="392"/>
      <c r="AC159" s="392"/>
      <c r="AD159" s="392"/>
      <c r="AE159" s="392"/>
      <c r="AF159" s="392"/>
      <c r="AG159" s="392"/>
      <c r="AH159" s="392"/>
      <c r="AI159" s="392"/>
      <c r="AJ159" s="392"/>
    </row>
    <row r="160" spans="1:36" ht="14.5" x14ac:dyDescent="0.3">
      <c r="A160" s="49"/>
      <c r="B160" s="523"/>
      <c r="C160" s="524" t="s">
        <v>352</v>
      </c>
      <c r="D160" s="1095"/>
      <c r="E160" s="1095"/>
      <c r="F160" s="1095"/>
      <c r="G160" s="1095"/>
      <c r="H160" s="954"/>
      <c r="I160" s="954"/>
      <c r="J160" s="954"/>
      <c r="K160" s="954"/>
      <c r="L160" s="954"/>
      <c r="M160" s="954"/>
      <c r="N160" s="954"/>
      <c r="O160" s="954"/>
      <c r="P160" s="954"/>
      <c r="Q160" s="954"/>
      <c r="R160" s="954"/>
      <c r="S160" s="954"/>
      <c r="T160" s="954"/>
      <c r="U160" s="954"/>
      <c r="V160" s="954"/>
      <c r="W160" s="954"/>
      <c r="X160" s="954"/>
      <c r="Y160" s="954"/>
      <c r="Z160" s="954"/>
      <c r="AA160" s="954"/>
      <c r="AB160" s="954"/>
      <c r="AC160" s="954"/>
      <c r="AD160" s="954"/>
      <c r="AE160" s="954"/>
      <c r="AF160" s="954"/>
      <c r="AG160" s="954"/>
      <c r="AH160" s="954"/>
      <c r="AI160" s="954"/>
      <c r="AJ160" s="954"/>
    </row>
    <row r="161" spans="1:36" ht="14.5" x14ac:dyDescent="0.3">
      <c r="A161" s="49"/>
      <c r="B161" s="523"/>
      <c r="C161" s="524" t="s">
        <v>346</v>
      </c>
      <c r="D161" s="526"/>
      <c r="E161" s="526"/>
      <c r="F161" s="526"/>
      <c r="G161" s="526"/>
      <c r="H161" s="954"/>
      <c r="I161" s="954"/>
      <c r="J161" s="954"/>
      <c r="K161" s="954"/>
      <c r="L161" s="954"/>
      <c r="M161" s="954"/>
      <c r="N161" s="954"/>
      <c r="O161" s="954"/>
      <c r="P161" s="954"/>
      <c r="Q161" s="954"/>
      <c r="R161" s="954"/>
      <c r="S161" s="954"/>
      <c r="T161" s="954"/>
      <c r="U161" s="954"/>
      <c r="V161" s="954"/>
      <c r="W161" s="954"/>
      <c r="X161" s="954"/>
      <c r="Y161" s="954"/>
      <c r="Z161" s="954"/>
      <c r="AA161" s="954"/>
      <c r="AB161" s="954"/>
      <c r="AC161" s="954"/>
      <c r="AD161" s="954"/>
      <c r="AE161" s="954"/>
      <c r="AF161" s="954"/>
      <c r="AG161" s="954"/>
      <c r="AH161" s="954"/>
      <c r="AI161" s="954"/>
      <c r="AJ161" s="954"/>
    </row>
    <row r="162" spans="1:36" ht="14.5" x14ac:dyDescent="0.3">
      <c r="A162" s="49"/>
      <c r="B162" s="125"/>
      <c r="C162" s="525" t="s">
        <v>347</v>
      </c>
      <c r="D162" s="530">
        <v>5883128.515625</v>
      </c>
      <c r="E162" s="530">
        <v>6149980.078125</v>
      </c>
      <c r="F162" s="530">
        <v>7356140.625</v>
      </c>
      <c r="G162" s="530">
        <v>5691562.890625</v>
      </c>
      <c r="H162" s="526">
        <v>5663629.7211033553</v>
      </c>
      <c r="I162" s="526">
        <v>5384523.8421693873</v>
      </c>
      <c r="J162" s="526">
        <v>6346366.2488586977</v>
      </c>
      <c r="K162" s="526">
        <v>6188711.6780048301</v>
      </c>
      <c r="L162" s="526">
        <v>7283331.3158435822</v>
      </c>
      <c r="M162" s="526">
        <v>7579759.0758834984</v>
      </c>
      <c r="N162" s="526">
        <v>7869137.5331123797</v>
      </c>
      <c r="O162" s="526">
        <v>8137284.9098151047</v>
      </c>
      <c r="P162" s="526">
        <v>8435771.8635964189</v>
      </c>
      <c r="Q162" s="526">
        <v>8738283.077590704</v>
      </c>
      <c r="R162" s="526">
        <v>9119484.9407555778</v>
      </c>
      <c r="S162" s="526">
        <v>9496308.0314237047</v>
      </c>
      <c r="T162" s="526">
        <v>9932097.6860815361</v>
      </c>
      <c r="U162" s="526">
        <v>10345101.804860255</v>
      </c>
      <c r="V162" s="526">
        <v>10706551.306345284</v>
      </c>
      <c r="W162" s="526">
        <v>11099437.747988477</v>
      </c>
      <c r="X162" s="526">
        <v>11519982.180017078</v>
      </c>
      <c r="Y162" s="526">
        <v>11949774.801788531</v>
      </c>
      <c r="Z162" s="526">
        <v>12495836.028135477</v>
      </c>
      <c r="AA162" s="526">
        <v>12965074.852154462</v>
      </c>
      <c r="AB162" s="526">
        <v>13476835.094969768</v>
      </c>
      <c r="AC162" s="526">
        <v>13932498.483356019</v>
      </c>
      <c r="AD162" s="526">
        <v>14436186.888266906</v>
      </c>
      <c r="AE162" s="526">
        <v>14939413.409346845</v>
      </c>
      <c r="AF162" s="526">
        <v>15460651.039003175</v>
      </c>
      <c r="AG162" s="526">
        <v>16043032.941215258</v>
      </c>
      <c r="AH162" s="526">
        <v>16608787.612663163</v>
      </c>
      <c r="AI162" s="526">
        <v>17160778.671581395</v>
      </c>
      <c r="AJ162" s="526">
        <v>17734279.544100549</v>
      </c>
    </row>
    <row r="163" spans="1:36" ht="14.5" x14ac:dyDescent="0.3">
      <c r="A163" s="49"/>
      <c r="B163" s="125"/>
      <c r="C163" s="525" t="s">
        <v>348</v>
      </c>
      <c r="D163" s="531"/>
      <c r="E163" s="531">
        <v>4.5358785175484265E-2</v>
      </c>
      <c r="F163" s="531">
        <v>0.19612430146972656</v>
      </c>
      <c r="G163" s="531">
        <v>-0.22628411000163554</v>
      </c>
      <c r="H163" s="526">
        <v>-4.90782058609158E-3</v>
      </c>
      <c r="I163" s="526">
        <v>-4.92803895519488E-2</v>
      </c>
      <c r="J163" s="526">
        <v>0.178630912385707</v>
      </c>
      <c r="K163" s="526">
        <v>-2.4841706997641301E-2</v>
      </c>
      <c r="L163" s="526">
        <v>0.176873587717637</v>
      </c>
      <c r="M163" s="526">
        <v>4.069947489483159E-2</v>
      </c>
      <c r="N163" s="526">
        <v>3.8177790920768971E-2</v>
      </c>
      <c r="O163" s="526">
        <v>3.4075827951207303E-2</v>
      </c>
      <c r="P163" s="526">
        <v>3.6681393989447503E-2</v>
      </c>
      <c r="Q163" s="526">
        <v>3.5860525733245267E-2</v>
      </c>
      <c r="R163" s="526">
        <v>4.3624343567269429E-2</v>
      </c>
      <c r="S163" s="526">
        <v>4.1320654962001005E-2</v>
      </c>
      <c r="T163" s="526">
        <v>4.5890429545438462E-2</v>
      </c>
      <c r="U163" s="526">
        <v>4.1582768497886058E-2</v>
      </c>
      <c r="V163" s="526">
        <v>3.4939192315653574E-2</v>
      </c>
      <c r="W163" s="526">
        <v>3.669589117929585E-2</v>
      </c>
      <c r="X163" s="526">
        <v>3.7888804962649077E-2</v>
      </c>
      <c r="Y163" s="526">
        <v>3.730844501799533E-2</v>
      </c>
      <c r="Z163" s="526">
        <v>4.5696361262407732E-2</v>
      </c>
      <c r="AA163" s="526">
        <v>3.7551615030995258E-2</v>
      </c>
      <c r="AB163" s="526">
        <v>3.9472216601222743E-2</v>
      </c>
      <c r="AC163" s="526">
        <v>3.3810860278043156E-2</v>
      </c>
      <c r="AD163" s="526">
        <v>3.6152051659119097E-2</v>
      </c>
      <c r="AE163" s="526">
        <v>3.4858687060150058E-2</v>
      </c>
      <c r="AF163" s="526">
        <v>3.4890100124695442E-2</v>
      </c>
      <c r="AG163" s="526">
        <v>3.7668653198554683E-2</v>
      </c>
      <c r="AH163" s="526">
        <v>3.5264820157194669E-2</v>
      </c>
      <c r="AI163" s="526">
        <v>3.3234879739046964E-2</v>
      </c>
      <c r="AJ163" s="526">
        <v>3.3419280295764513E-2</v>
      </c>
    </row>
    <row r="164" spans="1:36" ht="14.5" x14ac:dyDescent="0.3">
      <c r="A164" s="944"/>
      <c r="B164" s="125"/>
      <c r="C164" s="525"/>
      <c r="D164" s="525"/>
      <c r="E164" s="525"/>
      <c r="F164" s="525"/>
      <c r="G164" s="525"/>
      <c r="H164" s="525"/>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row>
    <row r="165" spans="1:36" ht="14.5" x14ac:dyDescent="0.3">
      <c r="A165" s="944"/>
      <c r="B165" s="125"/>
      <c r="C165" s="524" t="s">
        <v>349</v>
      </c>
      <c r="D165" s="526"/>
      <c r="E165" s="526"/>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row>
    <row r="166" spans="1:36" ht="14.5" x14ac:dyDescent="0.3">
      <c r="A166" s="944"/>
      <c r="B166" s="125"/>
      <c r="C166" s="525" t="s">
        <v>347</v>
      </c>
      <c r="D166" s="530">
        <v>5883128.515625</v>
      </c>
      <c r="E166" s="530">
        <v>6149980.078125</v>
      </c>
      <c r="F166" s="530">
        <v>7356140.625</v>
      </c>
      <c r="G166" s="530">
        <v>5691562.890625</v>
      </c>
      <c r="H166" s="526">
        <v>5763317.5296293283</v>
      </c>
      <c r="I166" s="526">
        <v>6149142.5116684418</v>
      </c>
      <c r="J166" s="526">
        <v>6777650.2200398687</v>
      </c>
      <c r="K166" s="526">
        <v>7470398.0950252125</v>
      </c>
      <c r="L166" s="526">
        <v>9082811.3496180288</v>
      </c>
      <c r="M166" s="526">
        <v>10498832.330145644</v>
      </c>
      <c r="N166" s="526">
        <v>11196312.408626091</v>
      </c>
      <c r="O166" s="526">
        <v>12914891.44496543</v>
      </c>
      <c r="P166" s="526">
        <v>14631981.207120499</v>
      </c>
      <c r="Q166" s="526">
        <v>16758570.438898835</v>
      </c>
      <c r="R166" s="526">
        <v>18079031.889040224</v>
      </c>
      <c r="S166" s="526">
        <v>20591320.323009465</v>
      </c>
      <c r="T166" s="526">
        <v>22154509.190002758</v>
      </c>
      <c r="U166" s="526">
        <v>23638452.190786988</v>
      </c>
      <c r="V166" s="526">
        <v>26986009.610165272</v>
      </c>
      <c r="W166" s="526">
        <v>28922275.460993383</v>
      </c>
      <c r="X166" s="526">
        <v>32997123.319863722</v>
      </c>
      <c r="Y166" s="526">
        <v>35215958.092818089</v>
      </c>
      <c r="Z166" s="526">
        <v>37822617.44315549</v>
      </c>
      <c r="AA166" s="526">
        <v>40381245.535297066</v>
      </c>
      <c r="AB166" s="526">
        <v>43162195.863714285</v>
      </c>
      <c r="AC166" s="526">
        <v>45904513.590844244</v>
      </c>
      <c r="AD166" s="526">
        <v>49009170.06363333</v>
      </c>
      <c r="AE166" s="526">
        <v>52442387.963097386</v>
      </c>
      <c r="AF166" s="526">
        <v>55784813.737460338</v>
      </c>
      <c r="AG166" s="526">
        <v>59915691.807802498</v>
      </c>
      <c r="AH166" s="526">
        <v>63796075.03614182</v>
      </c>
      <c r="AI166" s="526">
        <v>67936972.895407021</v>
      </c>
      <c r="AJ166" s="526">
        <v>72399007.180328563</v>
      </c>
    </row>
    <row r="167" spans="1:36" ht="14.5" x14ac:dyDescent="0.3">
      <c r="A167" s="944"/>
      <c r="B167" s="125"/>
      <c r="C167" s="525" t="s">
        <v>348</v>
      </c>
      <c r="D167" s="531"/>
      <c r="E167" s="531">
        <v>4.5358785175484265E-2</v>
      </c>
      <c r="F167" s="531">
        <v>0.19612430146972656</v>
      </c>
      <c r="G167" s="531">
        <v>-0.22628411000163554</v>
      </c>
      <c r="H167" s="526">
        <v>-5.6084993793892E-2</v>
      </c>
      <c r="I167" s="526">
        <v>6.6944946214672202E-2</v>
      </c>
      <c r="J167" s="526">
        <v>0.102210626470079</v>
      </c>
      <c r="K167" s="526">
        <v>0.102210626470079</v>
      </c>
      <c r="L167" s="526">
        <v>0.215840338638255</v>
      </c>
      <c r="M167" s="526">
        <v>0.15590117707191675</v>
      </c>
      <c r="N167" s="526">
        <v>6.6434062050667209E-2</v>
      </c>
      <c r="O167" s="526">
        <v>0.15349509495780739</v>
      </c>
      <c r="P167" s="526">
        <v>0.13295425435607808</v>
      </c>
      <c r="Q167" s="526">
        <v>0.14533843378253208</v>
      </c>
      <c r="R167" s="526">
        <v>7.8793203451078694E-2</v>
      </c>
      <c r="S167" s="526">
        <v>0.13896144712772085</v>
      </c>
      <c r="T167" s="526">
        <v>7.5914940978628401E-2</v>
      </c>
      <c r="U167" s="526">
        <v>6.6981533558588505E-2</v>
      </c>
      <c r="V167" s="526">
        <v>0.14161491591581374</v>
      </c>
      <c r="W167" s="526">
        <v>7.1750728573769837E-2</v>
      </c>
      <c r="X167" s="526">
        <v>0.14088960131667244</v>
      </c>
      <c r="Y167" s="526">
        <v>6.7243279101807912E-2</v>
      </c>
      <c r="Z167" s="526">
        <v>7.4019265455367453E-2</v>
      </c>
      <c r="AA167" s="526">
        <v>6.7648096961745133E-2</v>
      </c>
      <c r="AB167" s="526">
        <v>6.8867373741268237E-2</v>
      </c>
      <c r="AC167" s="526">
        <v>6.3535176379554512E-2</v>
      </c>
      <c r="AD167" s="526">
        <v>6.7632923865863892E-2</v>
      </c>
      <c r="AE167" s="526">
        <v>7.0052561490153348E-2</v>
      </c>
      <c r="AF167" s="526">
        <v>6.373519407077631E-2</v>
      </c>
      <c r="AG167" s="526">
        <v>7.4050226102453015E-2</v>
      </c>
      <c r="AH167" s="526">
        <v>6.4764056147207733E-2</v>
      </c>
      <c r="AI167" s="526">
        <v>6.4908348310131828E-2</v>
      </c>
      <c r="AJ167" s="526">
        <v>6.5679027115192481E-2</v>
      </c>
    </row>
    <row r="168" spans="1:36" ht="14.5" x14ac:dyDescent="0.3">
      <c r="A168" s="944"/>
      <c r="B168" s="125"/>
      <c r="C168" s="525"/>
      <c r="D168" s="526"/>
      <c r="E168" s="526"/>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row>
    <row r="169" spans="1:36" ht="14.5" x14ac:dyDescent="0.3">
      <c r="A169" s="944"/>
      <c r="B169" s="125"/>
      <c r="C169" s="524" t="s">
        <v>350</v>
      </c>
      <c r="D169" s="526"/>
      <c r="E169" s="526"/>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row>
    <row r="170" spans="1:36" ht="14.5" x14ac:dyDescent="0.3">
      <c r="A170" s="944"/>
      <c r="B170" s="125"/>
      <c r="C170" s="525" t="s">
        <v>347</v>
      </c>
      <c r="D170" s="526">
        <v>2688449.4140625</v>
      </c>
      <c r="E170" s="526">
        <v>2707870.703125</v>
      </c>
      <c r="F170" s="526">
        <v>2429575.1953125</v>
      </c>
      <c r="G170" s="526">
        <v>2950407.03125</v>
      </c>
      <c r="H170" s="526">
        <v>3143587.5745756482</v>
      </c>
      <c r="I170" s="526">
        <v>3339162.574264463</v>
      </c>
      <c r="J170" s="526">
        <v>3508217.7025748887</v>
      </c>
      <c r="K170" s="526">
        <v>3607528.4275293658</v>
      </c>
      <c r="L170" s="526">
        <v>3706802.8403459471</v>
      </c>
      <c r="M170" s="526">
        <v>3780481.8589631575</v>
      </c>
      <c r="N170" s="526">
        <v>3823788.4487358467</v>
      </c>
      <c r="O170" s="526">
        <v>3860856.3649893552</v>
      </c>
      <c r="P170" s="526">
        <v>3895789.7586700437</v>
      </c>
      <c r="Q170" s="526">
        <v>3930953.712090895</v>
      </c>
      <c r="R170" s="526">
        <v>3965835.9495495036</v>
      </c>
      <c r="S170" s="526">
        <v>4008071.8928151107</v>
      </c>
      <c r="T170" s="526">
        <v>4065417.6494171773</v>
      </c>
      <c r="U170" s="526">
        <v>4101267.0339178578</v>
      </c>
      <c r="V170" s="526">
        <v>4135889.5219524987</v>
      </c>
      <c r="W170" s="526">
        <v>4164227.671180204</v>
      </c>
      <c r="X170" s="526">
        <v>4198816.3424427491</v>
      </c>
      <c r="Y170" s="526">
        <v>4237887.4827946629</v>
      </c>
      <c r="Z170" s="526">
        <v>4278811.8947758758</v>
      </c>
      <c r="AA170" s="526">
        <v>4316136.3347258857</v>
      </c>
      <c r="AB170" s="526">
        <v>4354617.0470131924</v>
      </c>
      <c r="AC170" s="526">
        <v>4380040.0271646297</v>
      </c>
      <c r="AD170" s="526">
        <v>4414761.2546022916</v>
      </c>
      <c r="AE170" s="526">
        <v>4442880.8163370974</v>
      </c>
      <c r="AF170" s="526">
        <v>4470978.8291888805</v>
      </c>
      <c r="AG170" s="526">
        <v>4511456.0118303243</v>
      </c>
      <c r="AH170" s="526">
        <v>4545691.8444131603</v>
      </c>
      <c r="AI170" s="526">
        <v>4579575.4085775949</v>
      </c>
      <c r="AJ170" s="526">
        <v>4604214.8945948686</v>
      </c>
    </row>
    <row r="171" spans="1:36" ht="14.5" x14ac:dyDescent="0.3">
      <c r="A171" s="944"/>
      <c r="B171" s="125"/>
      <c r="C171" s="525" t="s">
        <v>348</v>
      </c>
      <c r="D171" s="526">
        <v>-5.9852401804941897E-2</v>
      </c>
      <c r="E171" s="526">
        <v>-6.1558945507035204E-3</v>
      </c>
      <c r="F171" s="526">
        <v>8.36707379395802E-2</v>
      </c>
      <c r="G171" s="526">
        <v>8.36707379395802E-2</v>
      </c>
      <c r="H171" s="526">
        <v>6.5475895793199596E-2</v>
      </c>
      <c r="I171" s="526">
        <v>6.2213949842073603E-2</v>
      </c>
      <c r="J171" s="526">
        <v>5.0628001647288701E-2</v>
      </c>
      <c r="K171" s="526">
        <v>2.8308027999968999E-2</v>
      </c>
      <c r="L171" s="526">
        <v>2.7518677901193899E-2</v>
      </c>
      <c r="M171" s="526">
        <v>1.9876702859743797E-2</v>
      </c>
      <c r="N171" s="526">
        <v>1.145530950506052E-2</v>
      </c>
      <c r="O171" s="526">
        <v>9.6940290370308279E-3</v>
      </c>
      <c r="P171" s="526">
        <v>9.0480946137929865E-3</v>
      </c>
      <c r="Q171" s="526">
        <v>9.0261424766554625E-3</v>
      </c>
      <c r="R171" s="526">
        <v>8.8737339621469315E-3</v>
      </c>
      <c r="S171" s="526">
        <v>1.064994714932809E-2</v>
      </c>
      <c r="T171" s="526">
        <v>1.4307566863973791E-2</v>
      </c>
      <c r="U171" s="526">
        <v>8.8181307782288706E-3</v>
      </c>
      <c r="V171" s="526">
        <v>8.4419004537645264E-3</v>
      </c>
      <c r="W171" s="526">
        <v>6.8517664887545807E-3</v>
      </c>
      <c r="X171" s="526">
        <v>8.3061431779838778E-3</v>
      </c>
      <c r="Y171" s="526">
        <v>9.3052749073524385E-3</v>
      </c>
      <c r="Z171" s="526">
        <v>9.6567953130801409E-3</v>
      </c>
      <c r="AA171" s="526">
        <v>8.7230850217043122E-3</v>
      </c>
      <c r="AB171" s="526">
        <v>8.9155460585679421E-3</v>
      </c>
      <c r="AC171" s="526">
        <v>5.8381666807819288E-3</v>
      </c>
      <c r="AD171" s="526">
        <v>7.9271484329651257E-3</v>
      </c>
      <c r="AE171" s="526">
        <v>6.369441089366254E-3</v>
      </c>
      <c r="AF171" s="526">
        <v>6.324277875846278E-3</v>
      </c>
      <c r="AG171" s="526">
        <v>9.0533156581255603E-3</v>
      </c>
      <c r="AH171" s="526">
        <v>7.5886437755484544E-3</v>
      </c>
      <c r="AI171" s="526">
        <v>7.4539949746218175E-3</v>
      </c>
      <c r="AJ171" s="526">
        <v>5.3802992240554459E-3</v>
      </c>
    </row>
    <row r="172" spans="1:36" ht="14.5" x14ac:dyDescent="0.3">
      <c r="A172" s="944"/>
      <c r="B172" s="125"/>
      <c r="C172" s="525"/>
      <c r="D172" s="526"/>
      <c r="E172" s="526"/>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row>
    <row r="173" spans="1:36" ht="14.5" x14ac:dyDescent="0.3">
      <c r="A173" s="49"/>
      <c r="B173" s="523"/>
      <c r="C173" s="524" t="s">
        <v>1040</v>
      </c>
      <c r="D173" s="954"/>
      <c r="E173" s="954"/>
      <c r="F173" s="954"/>
      <c r="G173" s="954"/>
      <c r="H173" s="954"/>
      <c r="I173" s="954"/>
      <c r="J173" s="954"/>
      <c r="K173" s="954"/>
      <c r="L173" s="954"/>
      <c r="M173" s="954"/>
      <c r="N173" s="954"/>
      <c r="O173" s="954"/>
      <c r="P173" s="954"/>
      <c r="Q173" s="954"/>
      <c r="R173" s="954"/>
      <c r="S173" s="954"/>
      <c r="T173" s="954"/>
      <c r="U173" s="954"/>
      <c r="V173" s="954"/>
      <c r="W173" s="954"/>
      <c r="X173" s="954"/>
      <c r="Y173" s="954"/>
      <c r="Z173" s="954"/>
      <c r="AA173" s="954"/>
      <c r="AB173" s="954"/>
      <c r="AC173" s="954"/>
      <c r="AD173" s="954"/>
      <c r="AE173" s="954"/>
      <c r="AF173" s="954"/>
      <c r="AG173" s="954"/>
      <c r="AH173" s="954"/>
      <c r="AI173" s="954"/>
      <c r="AJ173" s="954"/>
    </row>
    <row r="174" spans="1:36" ht="14.5" x14ac:dyDescent="0.3">
      <c r="A174" s="49"/>
      <c r="B174" s="125"/>
      <c r="C174" s="525" t="s">
        <v>347</v>
      </c>
      <c r="D174" s="526">
        <v>26748.703125</v>
      </c>
      <c r="E174" s="526">
        <v>25197.8828125</v>
      </c>
      <c r="F174" s="526">
        <v>27706.87109375</v>
      </c>
      <c r="G174" s="526">
        <v>24418.158203125</v>
      </c>
      <c r="H174" s="526">
        <v>26016.958985094672</v>
      </c>
      <c r="I174" s="526">
        <v>27635.576766436636</v>
      </c>
      <c r="J174" s="526">
        <v>29034.710792491562</v>
      </c>
      <c r="K174" s="526">
        <v>29856.626198576414</v>
      </c>
      <c r="L174" s="526">
        <v>30678.24107815139</v>
      </c>
      <c r="M174" s="526">
        <v>31288.023360321389</v>
      </c>
      <c r="N174" s="526">
        <v>31646.437351715431</v>
      </c>
      <c r="O174" s="526">
        <v>31953.218834321538</v>
      </c>
      <c r="P174" s="526">
        <v>32242.334581549712</v>
      </c>
      <c r="Q174" s="526">
        <v>32533.35848726278</v>
      </c>
      <c r="R174" s="526">
        <v>32822.050855373906</v>
      </c>
      <c r="S174" s="526">
        <v>33171.603962316192</v>
      </c>
      <c r="T174" s="526">
        <v>33646.208903992294</v>
      </c>
      <c r="U174" s="526">
        <v>33942.905574299308</v>
      </c>
      <c r="V174" s="526">
        <v>34229.448204269072</v>
      </c>
      <c r="W174" s="526">
        <v>34463.980390403645</v>
      </c>
      <c r="X174" s="526">
        <v>34750.243146009569</v>
      </c>
      <c r="Y174" s="526">
        <v>35073.603711580523</v>
      </c>
      <c r="Z174" s="526">
        <v>35412.302323515345</v>
      </c>
      <c r="AA174" s="526">
        <v>35721.20684749767</v>
      </c>
      <c r="AB174" s="526">
        <v>36039.680912414166</v>
      </c>
      <c r="AC174" s="526">
        <v>36250.086576703034</v>
      </c>
      <c r="AD174" s="526">
        <v>36537.446393704391</v>
      </c>
      <c r="AE174" s="526">
        <v>36770.169506064965</v>
      </c>
      <c r="AF174" s="526">
        <v>37002.714275563289</v>
      </c>
      <c r="AG174" s="526">
        <v>37337.711528107393</v>
      </c>
      <c r="AH174" s="526">
        <v>37621.054120288383</v>
      </c>
      <c r="AI174" s="526">
        <v>37901.481268640986</v>
      </c>
      <c r="AJ174" s="526">
        <v>38105.402578901208</v>
      </c>
    </row>
    <row r="175" spans="1:36" ht="14.5" x14ac:dyDescent="0.3">
      <c r="A175" s="49"/>
      <c r="B175" s="125"/>
      <c r="C175" s="525" t="s">
        <v>348</v>
      </c>
      <c r="D175" s="526">
        <v>-5.9852401804941897E-2</v>
      </c>
      <c r="E175" s="526">
        <v>-6.1558945507035204E-3</v>
      </c>
      <c r="F175" s="526">
        <v>8.36707379395802E-2</v>
      </c>
      <c r="G175" s="526">
        <v>8.36707379395802E-2</v>
      </c>
      <c r="H175" s="526">
        <v>6.5475895793199596E-2</v>
      </c>
      <c r="I175" s="526">
        <v>6.2213949842073603E-2</v>
      </c>
      <c r="J175" s="526">
        <v>5.0628001647288701E-2</v>
      </c>
      <c r="K175" s="526">
        <v>2.8308027999968999E-2</v>
      </c>
      <c r="L175" s="526">
        <v>2.7518677901193899E-2</v>
      </c>
      <c r="M175" s="526">
        <v>1.9876702859743797E-2</v>
      </c>
      <c r="N175" s="526">
        <v>1.145530950506052E-2</v>
      </c>
      <c r="O175" s="526">
        <v>9.6940290370308279E-3</v>
      </c>
      <c r="P175" s="526">
        <v>9.0480946137929865E-3</v>
      </c>
      <c r="Q175" s="526">
        <v>9.0261424766554625E-3</v>
      </c>
      <c r="R175" s="526">
        <v>8.8737339621469315E-3</v>
      </c>
      <c r="S175" s="526">
        <v>1.064994714932809E-2</v>
      </c>
      <c r="T175" s="526">
        <v>1.4307566863973791E-2</v>
      </c>
      <c r="U175" s="526">
        <v>8.8181307782288706E-3</v>
      </c>
      <c r="V175" s="526">
        <v>8.4419004537645264E-3</v>
      </c>
      <c r="W175" s="526">
        <v>6.8517664887545807E-3</v>
      </c>
      <c r="X175" s="526">
        <v>8.3061431779838778E-3</v>
      </c>
      <c r="Y175" s="526">
        <v>9.3052749073524385E-3</v>
      </c>
      <c r="Z175" s="526">
        <v>9.6567953130801409E-3</v>
      </c>
      <c r="AA175" s="526">
        <v>8.7230850217043122E-3</v>
      </c>
      <c r="AB175" s="526">
        <v>8.9155460585679421E-3</v>
      </c>
      <c r="AC175" s="526">
        <v>5.8381666807819288E-3</v>
      </c>
      <c r="AD175" s="526">
        <v>7.9271484329651257E-3</v>
      </c>
      <c r="AE175" s="526">
        <v>6.369441089366254E-3</v>
      </c>
      <c r="AF175" s="526">
        <v>6.324277875846278E-3</v>
      </c>
      <c r="AG175" s="526">
        <v>9.0533156581255603E-3</v>
      </c>
      <c r="AH175" s="526">
        <v>7.5886437755484544E-3</v>
      </c>
      <c r="AI175" s="526">
        <v>7.4539949746218175E-3</v>
      </c>
      <c r="AJ175" s="526">
        <v>5.3802992240554459E-3</v>
      </c>
    </row>
    <row r="176" spans="1:36" ht="14.5" x14ac:dyDescent="0.3">
      <c r="A176" s="944"/>
      <c r="B176" s="125"/>
      <c r="C176" s="529"/>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c r="AA176" s="392"/>
      <c r="AB176" s="392"/>
      <c r="AC176" s="392"/>
      <c r="AD176" s="392"/>
      <c r="AE176" s="392"/>
      <c r="AF176" s="392"/>
      <c r="AG176" s="392"/>
      <c r="AH176" s="392"/>
      <c r="AI176" s="392"/>
      <c r="AJ176" s="392"/>
    </row>
    <row r="177" spans="1:36" ht="14.5" x14ac:dyDescent="0.3">
      <c r="A177" s="49"/>
      <c r="B177" s="523"/>
      <c r="C177" s="524" t="s">
        <v>353</v>
      </c>
      <c r="D177" s="1095"/>
      <c r="E177" s="1095"/>
      <c r="F177" s="1095"/>
      <c r="G177" s="1095"/>
      <c r="H177" s="954"/>
      <c r="I177" s="954"/>
      <c r="J177" s="954"/>
      <c r="K177" s="954"/>
      <c r="L177" s="954"/>
      <c r="M177" s="954"/>
      <c r="N177" s="954"/>
      <c r="O177" s="954"/>
      <c r="P177" s="954"/>
      <c r="Q177" s="954"/>
      <c r="R177" s="954"/>
      <c r="S177" s="954"/>
      <c r="T177" s="954"/>
      <c r="U177" s="954"/>
      <c r="V177" s="954"/>
      <c r="W177" s="954"/>
      <c r="X177" s="954"/>
      <c r="Y177" s="954"/>
      <c r="Z177" s="954"/>
      <c r="AA177" s="954"/>
      <c r="AB177" s="954"/>
      <c r="AC177" s="954"/>
      <c r="AD177" s="954"/>
      <c r="AE177" s="954"/>
      <c r="AF177" s="954"/>
      <c r="AG177" s="954"/>
      <c r="AH177" s="954"/>
      <c r="AI177" s="954"/>
      <c r="AJ177" s="954"/>
    </row>
    <row r="178" spans="1:36" ht="14.5" x14ac:dyDescent="0.3">
      <c r="A178" s="49"/>
      <c r="B178" s="523"/>
      <c r="C178" s="524" t="s">
        <v>1041</v>
      </c>
      <c r="D178" s="526"/>
      <c r="E178" s="526"/>
      <c r="F178" s="526"/>
      <c r="G178" s="526"/>
      <c r="H178" s="954"/>
      <c r="I178" s="954"/>
      <c r="J178" s="954"/>
      <c r="K178" s="954"/>
      <c r="L178" s="954"/>
      <c r="M178" s="954"/>
      <c r="N178" s="954"/>
      <c r="O178" s="954"/>
      <c r="P178" s="954"/>
      <c r="Q178" s="954"/>
      <c r="R178" s="954"/>
      <c r="S178" s="954"/>
      <c r="T178" s="954"/>
      <c r="U178" s="954"/>
      <c r="V178" s="954"/>
      <c r="W178" s="954"/>
      <c r="X178" s="954"/>
      <c r="Y178" s="954"/>
      <c r="Z178" s="954"/>
      <c r="AA178" s="954"/>
      <c r="AB178" s="954"/>
      <c r="AC178" s="954"/>
      <c r="AD178" s="954"/>
      <c r="AE178" s="954"/>
      <c r="AF178" s="954"/>
      <c r="AG178" s="954"/>
      <c r="AH178" s="954"/>
      <c r="AI178" s="954"/>
      <c r="AJ178" s="954"/>
    </row>
    <row r="179" spans="1:36" ht="14.5" x14ac:dyDescent="0.3">
      <c r="A179" s="49"/>
      <c r="B179" s="125"/>
      <c r="C179" s="525" t="s">
        <v>347</v>
      </c>
      <c r="D179" s="530">
        <v>559109.52465252904</v>
      </c>
      <c r="E179" s="530">
        <v>449120.8695696746</v>
      </c>
      <c r="F179" s="530">
        <v>390254.98173063231</v>
      </c>
      <c r="G179" s="530">
        <v>453346.08939600002</v>
      </c>
      <c r="H179" s="526">
        <v>678891.78032987181</v>
      </c>
      <c r="I179" s="526">
        <v>847449.50429877196</v>
      </c>
      <c r="J179" s="526">
        <v>1546528.9485755886</v>
      </c>
      <c r="K179" s="526">
        <v>1912301.209746419</v>
      </c>
      <c r="L179" s="526">
        <v>2348641.2990424875</v>
      </c>
      <c r="M179" s="526">
        <v>2256191.3199528069</v>
      </c>
      <c r="N179" s="526">
        <v>2574304.549597417</v>
      </c>
      <c r="O179" s="526">
        <v>2895990.5216238056</v>
      </c>
      <c r="P179" s="526">
        <v>3962542.7966261199</v>
      </c>
      <c r="Q179" s="526">
        <v>4535339.5788971959</v>
      </c>
      <c r="R179" s="526">
        <v>5220457.6760769123</v>
      </c>
      <c r="S179" s="526">
        <v>6116272.4375592005</v>
      </c>
      <c r="T179" s="526">
        <v>7045973.2882164903</v>
      </c>
      <c r="U179" s="526">
        <v>8214996.9269082239</v>
      </c>
      <c r="V179" s="526">
        <v>9612575.6485053506</v>
      </c>
      <c r="W179" s="526">
        <v>11173240.443022614</v>
      </c>
      <c r="X179" s="526">
        <v>15660332.667430725</v>
      </c>
      <c r="Y179" s="526">
        <v>18356673.639114488</v>
      </c>
      <c r="Z179" s="526">
        <v>21337000.175994709</v>
      </c>
      <c r="AA179" s="526">
        <v>29284977.248764511</v>
      </c>
      <c r="AB179" s="526">
        <v>40985542.31996543</v>
      </c>
      <c r="AC179" s="526">
        <v>57360969.243455574</v>
      </c>
      <c r="AD179" s="526">
        <v>80402844.461437538</v>
      </c>
      <c r="AE179" s="526">
        <v>112527121.20371795</v>
      </c>
      <c r="AF179" s="526">
        <v>152706644.52125216</v>
      </c>
      <c r="AG179" s="526">
        <v>213719293.28815666</v>
      </c>
      <c r="AH179" s="526">
        <v>298984066.49826866</v>
      </c>
      <c r="AI179" s="526">
        <v>419085829.82758909</v>
      </c>
      <c r="AJ179" s="526">
        <v>583099655.00282454</v>
      </c>
    </row>
    <row r="180" spans="1:36" ht="14.5" x14ac:dyDescent="0.3">
      <c r="A180" s="49"/>
      <c r="B180" s="125"/>
      <c r="C180" s="525" t="s">
        <v>348</v>
      </c>
      <c r="D180" s="531"/>
      <c r="E180" s="531">
        <f>+(E179-D179)/D179</f>
        <v>-0.19672112570646927</v>
      </c>
      <c r="F180" s="531">
        <f>+(F179-E179)/E179</f>
        <v>-0.13106914380408258</v>
      </c>
      <c r="G180" s="531">
        <v>0.44314578063635801</v>
      </c>
      <c r="H180" s="526">
        <v>0.497513260199001</v>
      </c>
      <c r="I180" s="526">
        <v>0.24828364233103301</v>
      </c>
      <c r="J180" s="526">
        <v>0.82492165106082005</v>
      </c>
      <c r="K180" s="526">
        <v>0.23651174554974899</v>
      </c>
      <c r="L180" s="526">
        <v>0.22817539782549701</v>
      </c>
      <c r="M180" s="526">
        <v>-3.9363175265363599E-2</v>
      </c>
      <c r="N180" s="526">
        <v>0.140995680123113</v>
      </c>
      <c r="O180" s="526">
        <v>0.12496034009522899</v>
      </c>
      <c r="P180" s="526">
        <v>0.36828583071614801</v>
      </c>
      <c r="Q180" s="526">
        <v>0.14455283177226</v>
      </c>
      <c r="R180" s="526">
        <v>0.151062138845689</v>
      </c>
      <c r="S180" s="526">
        <v>0.17159697809397401</v>
      </c>
      <c r="T180" s="526">
        <v>0.152004486416943</v>
      </c>
      <c r="U180" s="526">
        <v>0.16591371991812401</v>
      </c>
      <c r="V180" s="526">
        <v>0.17012528842455901</v>
      </c>
      <c r="W180" s="526">
        <v>0.16235656826897699</v>
      </c>
      <c r="X180" s="526">
        <v>0.40159273822932701</v>
      </c>
      <c r="Y180" s="526">
        <v>0.172176481109589</v>
      </c>
      <c r="Z180" s="526">
        <v>0.16235656826897699</v>
      </c>
      <c r="AA180" s="526">
        <v>0.37249739922258202</v>
      </c>
      <c r="AB180" s="526">
        <v>0.399541545544296</v>
      </c>
      <c r="AC180" s="526">
        <v>0.399541545544296</v>
      </c>
      <c r="AD180" s="526">
        <v>0.40169954451407502</v>
      </c>
      <c r="AE180" s="526">
        <v>0.399541545544296</v>
      </c>
      <c r="AF180" s="526">
        <v>0.35706523803087098</v>
      </c>
      <c r="AG180" s="526">
        <v>0.399541545544296</v>
      </c>
      <c r="AH180" s="526">
        <v>0.39895683678473498</v>
      </c>
      <c r="AI180" s="526">
        <v>0.40169954451407502</v>
      </c>
      <c r="AJ180" s="526">
        <v>0.39136094208365457</v>
      </c>
    </row>
    <row r="181" spans="1:36" ht="14.5" x14ac:dyDescent="0.3">
      <c r="A181" s="944"/>
      <c r="B181" s="125"/>
      <c r="C181" s="525"/>
      <c r="D181" s="525"/>
      <c r="E181" s="525"/>
      <c r="F181" s="525"/>
      <c r="G181" s="525"/>
      <c r="H181" s="525"/>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row>
    <row r="182" spans="1:36" ht="14.5" x14ac:dyDescent="0.3">
      <c r="A182" s="944"/>
      <c r="B182" s="125"/>
      <c r="C182" s="524" t="s">
        <v>1042</v>
      </c>
      <c r="D182" s="526"/>
      <c r="E182" s="526"/>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row>
    <row r="183" spans="1:36" ht="14.5" x14ac:dyDescent="0.3">
      <c r="A183" s="944"/>
      <c r="B183" s="125"/>
      <c r="C183" s="525" t="s">
        <v>347</v>
      </c>
      <c r="D183" s="530">
        <v>1208574.3662646939</v>
      </c>
      <c r="E183" s="530">
        <v>1129098.4277240785</v>
      </c>
      <c r="F183" s="530">
        <v>709670.62977902661</v>
      </c>
      <c r="G183" s="530">
        <v>938239.8125</v>
      </c>
      <c r="H183" s="526">
        <v>1035172.4123869333</v>
      </c>
      <c r="I183" s="526">
        <v>1040597.9915912872</v>
      </c>
      <c r="J183" s="526">
        <v>1087303.6174258194</v>
      </c>
      <c r="K183" s="526">
        <v>1309868.0663260913</v>
      </c>
      <c r="L183" s="526">
        <v>1911548.3064710055</v>
      </c>
      <c r="M183" s="526">
        <v>2780025.028430264</v>
      </c>
      <c r="N183" s="526">
        <v>3421540.789052289</v>
      </c>
      <c r="O183" s="526">
        <v>3829924.4269482186</v>
      </c>
      <c r="P183" s="526">
        <v>4377778.3596187532</v>
      </c>
      <c r="Q183" s="526">
        <v>5283812.3487071395</v>
      </c>
      <c r="R183" s="526">
        <v>5882218.3054115456</v>
      </c>
      <c r="S183" s="526">
        <v>6543625.6075156648</v>
      </c>
      <c r="T183" s="526">
        <v>7844497.2968981089</v>
      </c>
      <c r="U183" s="526">
        <v>9001004.1772042383</v>
      </c>
      <c r="V183" s="526">
        <v>10794687.15932277</v>
      </c>
      <c r="W183" s="526">
        <v>12624863.172551861</v>
      </c>
      <c r="X183" s="526">
        <v>14133636.334373927</v>
      </c>
      <c r="Y183" s="526">
        <v>16682486.7003992</v>
      </c>
      <c r="Z183" s="526">
        <v>18865139.245922375</v>
      </c>
      <c r="AA183" s="526">
        <v>21287405.291365508</v>
      </c>
      <c r="AB183" s="526">
        <v>24570455.438253287</v>
      </c>
      <c r="AC183" s="526">
        <v>27078411.948888291</v>
      </c>
      <c r="AD183" s="526">
        <v>30391485.863791995</v>
      </c>
      <c r="AE183" s="526">
        <v>33566480.523171417</v>
      </c>
      <c r="AF183" s="526">
        <v>36397959.825385951</v>
      </c>
      <c r="AG183" s="526">
        <v>38892793.103156805</v>
      </c>
      <c r="AH183" s="526">
        <v>41261713.906553008</v>
      </c>
      <c r="AI183" s="526">
        <v>44629214.591813564</v>
      </c>
      <c r="AJ183" s="526">
        <v>48198566.841473512</v>
      </c>
    </row>
    <row r="184" spans="1:36" ht="14.5" x14ac:dyDescent="0.3">
      <c r="A184" s="944"/>
      <c r="B184" s="125"/>
      <c r="C184" s="525" t="s">
        <v>348</v>
      </c>
      <c r="D184" s="531"/>
      <c r="E184" s="531">
        <f t="shared" ref="E184" si="3">+(E183-D183)/D183</f>
        <v>-6.5760072990997967E-2</v>
      </c>
      <c r="F184" s="531">
        <f>+(F183-E183)/E183</f>
        <v>-0.37147142148669154</v>
      </c>
      <c r="G184" s="531">
        <f>+(G183-F183)/F183</f>
        <v>0.32207783883087288</v>
      </c>
      <c r="H184" s="532">
        <f>+(H183-G183)/G183</f>
        <v>0.10331324528709801</v>
      </c>
      <c r="I184" s="532">
        <f>+(I183-H183)/H183</f>
        <v>5.2412324163888611E-3</v>
      </c>
      <c r="J184" s="532">
        <f>+(J183-I183)/I183</f>
        <v>4.4883447990428794E-2</v>
      </c>
      <c r="K184" s="526">
        <v>0.20469392847895701</v>
      </c>
      <c r="L184" s="526">
        <v>0.45934415504341802</v>
      </c>
      <c r="M184" s="526">
        <v>0.45433155888306698</v>
      </c>
      <c r="N184" s="526">
        <v>0.230758987441295</v>
      </c>
      <c r="O184" s="526">
        <v>0.11935664750881</v>
      </c>
      <c r="P184" s="526">
        <v>0.143045624821135</v>
      </c>
      <c r="Q184" s="526">
        <v>0.20696205121889499</v>
      </c>
      <c r="R184" s="526">
        <v>0.11325268900793301</v>
      </c>
      <c r="S184" s="526">
        <v>0.11244181493496</v>
      </c>
      <c r="T184" s="526">
        <v>0.19879983474120699</v>
      </c>
      <c r="U184" s="526">
        <v>0.14742906225022701</v>
      </c>
      <c r="V184" s="526">
        <v>0.199275874869737</v>
      </c>
      <c r="W184" s="526">
        <v>0.16954414576512</v>
      </c>
      <c r="X184" s="526">
        <v>0.119508080301602</v>
      </c>
      <c r="Y184" s="526">
        <v>0.18033932002525799</v>
      </c>
      <c r="Z184" s="526">
        <v>0.13083496391883501</v>
      </c>
      <c r="AA184" s="526">
        <v>0.128399054672586</v>
      </c>
      <c r="AB184" s="526">
        <v>0.154225003092295</v>
      </c>
      <c r="AC184" s="526">
        <v>0.102072040013162</v>
      </c>
      <c r="AD184" s="526">
        <v>0.122351115758091</v>
      </c>
      <c r="AE184" s="526">
        <v>0.10446987270083</v>
      </c>
      <c r="AF184" s="526">
        <v>8.4354369540170296E-2</v>
      </c>
      <c r="AG184" s="526">
        <v>6.8543217524813502E-2</v>
      </c>
      <c r="AH184" s="526">
        <v>6.0908991470811101E-2</v>
      </c>
      <c r="AI184" s="526">
        <v>8.1613204262117406E-2</v>
      </c>
      <c r="AJ184" s="526">
        <v>7.9977931099748462E-2</v>
      </c>
    </row>
    <row r="185" spans="1:36" ht="14.5" x14ac:dyDescent="0.3">
      <c r="A185" s="944"/>
      <c r="B185" s="125"/>
      <c r="C185" s="525"/>
      <c r="D185" s="526"/>
      <c r="E185" s="526"/>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row>
    <row r="186" spans="1:36" ht="14.5" x14ac:dyDescent="0.3">
      <c r="A186" s="944"/>
      <c r="B186" s="125"/>
      <c r="C186" s="524" t="s">
        <v>354</v>
      </c>
      <c r="D186" s="526"/>
      <c r="E186" s="526"/>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row>
    <row r="187" spans="1:36" ht="14.5" x14ac:dyDescent="0.3">
      <c r="A187" s="944"/>
      <c r="B187" s="125"/>
      <c r="C187" s="525" t="s">
        <v>347</v>
      </c>
      <c r="D187" s="530">
        <v>790705.76447759371</v>
      </c>
      <c r="E187" s="526">
        <v>889438.39959305874</v>
      </c>
      <c r="F187" s="526">
        <v>987993.29843976919</v>
      </c>
      <c r="G187" s="526">
        <v>941721.5625</v>
      </c>
      <c r="H187" s="526">
        <v>1093434.5588050794</v>
      </c>
      <c r="I187" s="526">
        <v>1098322.827130697</v>
      </c>
      <c r="J187" s="526">
        <v>1146286.6097463218</v>
      </c>
      <c r="K187" s="526">
        <v>1324043.0240314533</v>
      </c>
      <c r="L187" s="526">
        <v>1457120.081384365</v>
      </c>
      <c r="M187" s="526">
        <v>1678994.8906578724</v>
      </c>
      <c r="N187" s="526">
        <v>1897921.1726259184</v>
      </c>
      <c r="O187" s="526">
        <v>2111850.0156789282</v>
      </c>
      <c r="P187" s="526">
        <v>2343327.2019639662</v>
      </c>
      <c r="Q187" s="526">
        <v>2595475.535210073</v>
      </c>
      <c r="R187" s="526">
        <v>2858506.1887145052</v>
      </c>
      <c r="S187" s="526">
        <v>3130667.2986696591</v>
      </c>
      <c r="T187" s="526">
        <v>3432049.5476554101</v>
      </c>
      <c r="U187" s="526">
        <v>3781523.0765534053</v>
      </c>
      <c r="V187" s="526">
        <v>4139274.8369644051</v>
      </c>
      <c r="W187" s="526">
        <v>4544553.7961019212</v>
      </c>
      <c r="X187" s="526">
        <v>4980535.0684702517</v>
      </c>
      <c r="Y187" s="526">
        <v>5463081.5033718115</v>
      </c>
      <c r="Z187" s="526">
        <v>5994566.095933551</v>
      </c>
      <c r="AA187" s="526">
        <v>6555376.8615792273</v>
      </c>
      <c r="AB187" s="526">
        <v>7180444.0468739886</v>
      </c>
      <c r="AC187" s="526">
        <v>7849714.4633527203</v>
      </c>
      <c r="AD187" s="526">
        <v>8620565.4569594134</v>
      </c>
      <c r="AE187" s="526">
        <v>9455355.5367289037</v>
      </c>
      <c r="AF187" s="526">
        <v>10389117.754243145</v>
      </c>
      <c r="AG187" s="526">
        <v>11375507.251269683</v>
      </c>
      <c r="AH187" s="526">
        <v>12501567.10417803</v>
      </c>
      <c r="AI187" s="526">
        <v>13699000.480086923</v>
      </c>
      <c r="AJ187" s="526">
        <v>15042870.00321449</v>
      </c>
    </row>
    <row r="188" spans="1:36" ht="14.5" x14ac:dyDescent="0.3">
      <c r="A188" s="944"/>
      <c r="B188" s="125"/>
      <c r="C188" s="525" t="s">
        <v>348</v>
      </c>
      <c r="D188" s="526"/>
      <c r="E188" s="532">
        <f t="shared" ref="E188:H188" si="4">+(E187-D187)/D187</f>
        <v>0.12486646683383681</v>
      </c>
      <c r="F188" s="532">
        <f t="shared" si="4"/>
        <v>0.11080576113174548</v>
      </c>
      <c r="G188" s="532">
        <f t="shared" si="4"/>
        <v>-4.6834058503069945E-2</v>
      </c>
      <c r="H188" s="532">
        <f t="shared" si="4"/>
        <v>0.16110175485663197</v>
      </c>
      <c r="I188" s="526">
        <v>4.4705632232435498E-3</v>
      </c>
      <c r="J188" s="526">
        <v>4.3670022538753503E-2</v>
      </c>
      <c r="K188" s="526">
        <v>0.15507152641735</v>
      </c>
      <c r="L188" s="526">
        <v>0.10050810656266899</v>
      </c>
      <c r="M188" s="526">
        <v>0.15226940600716399</v>
      </c>
      <c r="N188" s="526">
        <v>0.13039127348521301</v>
      </c>
      <c r="O188" s="526">
        <v>0.11271745430661</v>
      </c>
      <c r="P188" s="526">
        <v>0.109608724372702</v>
      </c>
      <c r="Q188" s="526">
        <v>0.107602699714653</v>
      </c>
      <c r="R188" s="526">
        <v>0.101341989140785</v>
      </c>
      <c r="S188" s="526">
        <v>9.5210957048005404E-2</v>
      </c>
      <c r="T188" s="526">
        <v>9.6267734713880296E-2</v>
      </c>
      <c r="U188" s="526">
        <v>0.10182648124551</v>
      </c>
      <c r="V188" s="526">
        <v>9.4605203556516498E-2</v>
      </c>
      <c r="W188" s="526">
        <v>9.7910618429660298E-2</v>
      </c>
      <c r="X188" s="526">
        <v>9.5934890845013707E-2</v>
      </c>
      <c r="Y188" s="526">
        <v>9.6886464660467103E-2</v>
      </c>
      <c r="Z188" s="526">
        <v>9.7286594064852905E-2</v>
      </c>
      <c r="AA188" s="526">
        <v>9.3553187448563696E-2</v>
      </c>
      <c r="AB188" s="526">
        <v>9.5351830793779804E-2</v>
      </c>
      <c r="AC188" s="526">
        <v>9.3207385519576497E-2</v>
      </c>
      <c r="AD188" s="526">
        <v>9.8201150781407107E-2</v>
      </c>
      <c r="AE188" s="526">
        <v>9.6837044383853196E-2</v>
      </c>
      <c r="AF188" s="526">
        <v>9.8754849977569198E-2</v>
      </c>
      <c r="AG188" s="526">
        <v>9.4944490991419994E-2</v>
      </c>
      <c r="AH188" s="526">
        <v>9.8989858477094406E-2</v>
      </c>
      <c r="AI188" s="526">
        <v>9.5782661959932194E-2</v>
      </c>
      <c r="AJ188" s="526">
        <v>9.8099823055049606E-2</v>
      </c>
    </row>
    <row r="189" spans="1:36" ht="14.5" x14ac:dyDescent="0.3">
      <c r="A189" s="944"/>
      <c r="B189" s="125"/>
      <c r="C189" s="525"/>
      <c r="D189" s="526"/>
      <c r="E189" s="526"/>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row>
    <row r="190" spans="1:36" ht="14.5" x14ac:dyDescent="0.3">
      <c r="A190" s="49"/>
      <c r="B190" s="523"/>
      <c r="C190" s="524" t="s">
        <v>355</v>
      </c>
      <c r="D190" s="954"/>
      <c r="E190" s="954"/>
      <c r="F190" s="954"/>
      <c r="G190" s="954"/>
      <c r="H190" s="954"/>
      <c r="I190" s="954"/>
      <c r="J190" s="954"/>
      <c r="K190" s="954"/>
      <c r="L190" s="954"/>
      <c r="M190" s="954"/>
      <c r="N190" s="954"/>
      <c r="O190" s="954"/>
      <c r="P190" s="954"/>
      <c r="Q190" s="954"/>
      <c r="R190" s="954"/>
      <c r="S190" s="954"/>
      <c r="T190" s="954"/>
      <c r="U190" s="954"/>
      <c r="V190" s="954"/>
      <c r="W190" s="954"/>
      <c r="X190" s="954"/>
      <c r="Y190" s="954"/>
      <c r="Z190" s="954"/>
      <c r="AA190" s="954"/>
      <c r="AB190" s="954"/>
      <c r="AC190" s="954"/>
      <c r="AD190" s="954"/>
      <c r="AE190" s="954"/>
      <c r="AF190" s="954"/>
      <c r="AG190" s="954"/>
      <c r="AH190" s="954"/>
      <c r="AI190" s="954"/>
      <c r="AJ190" s="954"/>
    </row>
    <row r="191" spans="1:36" ht="14.5" x14ac:dyDescent="0.3">
      <c r="A191" s="533"/>
      <c r="B191" s="534"/>
      <c r="C191" s="535" t="s">
        <v>347</v>
      </c>
      <c r="D191" s="530">
        <v>1498460.7213370022</v>
      </c>
      <c r="E191" s="530">
        <v>1487939.5890042796</v>
      </c>
      <c r="F191" s="530">
        <v>1630352.8697171921</v>
      </c>
      <c r="G191" s="530">
        <v>1851563.25</v>
      </c>
      <c r="H191" s="530">
        <v>2113300.6912892545</v>
      </c>
      <c r="I191" s="530">
        <v>2263283.0127890003</v>
      </c>
      <c r="J191" s="530">
        <v>2478648.5020966362</v>
      </c>
      <c r="K191" s="530">
        <v>2868643.589542788</v>
      </c>
      <c r="L191" s="530">
        <v>2639155.2119954093</v>
      </c>
      <c r="M191" s="530">
        <v>2553054.0754996403</v>
      </c>
      <c r="N191" s="530">
        <v>2684920.5588059812</v>
      </c>
      <c r="O191" s="530">
        <v>2795622.3822670537</v>
      </c>
      <c r="P191" s="530">
        <v>2926119.6119687008</v>
      </c>
      <c r="Q191" s="530">
        <v>3055474.2989292657</v>
      </c>
      <c r="R191" s="530">
        <v>3050542.61884224</v>
      </c>
      <c r="S191" s="530">
        <v>3141996.5921183587</v>
      </c>
      <c r="T191" s="530">
        <v>3171445.1206731275</v>
      </c>
      <c r="U191" s="530">
        <v>3184012.847741886</v>
      </c>
      <c r="V191" s="530">
        <v>3223634.80337452</v>
      </c>
      <c r="W191" s="530">
        <v>3205274.8394249817</v>
      </c>
      <c r="X191" s="530">
        <v>3221109.1046875292</v>
      </c>
      <c r="Y191" s="530">
        <v>3273976.1667450913</v>
      </c>
      <c r="Z191" s="530">
        <v>3270881.7763753515</v>
      </c>
      <c r="AA191" s="530">
        <v>3283564.7969427197</v>
      </c>
      <c r="AB191" s="530">
        <v>3287341.7468238906</v>
      </c>
      <c r="AC191" s="530">
        <v>3237716.4044228191</v>
      </c>
      <c r="AD191" s="530">
        <v>3273393.9473691764</v>
      </c>
      <c r="AE191" s="530">
        <v>3268449.3862376958</v>
      </c>
      <c r="AF191" s="530">
        <v>3325358.9219926796</v>
      </c>
      <c r="AG191" s="530">
        <v>3325732.9966045702</v>
      </c>
      <c r="AH191" s="530">
        <v>3318784.6676511816</v>
      </c>
      <c r="AI191" s="530">
        <v>3342859.1241147104</v>
      </c>
      <c r="AJ191" s="530">
        <v>3356042.9050837583</v>
      </c>
    </row>
    <row r="192" spans="1:36" ht="14.5" x14ac:dyDescent="0.3">
      <c r="A192" s="49"/>
      <c r="B192" s="125"/>
      <c r="C192" s="525" t="s">
        <v>348</v>
      </c>
      <c r="D192" s="526"/>
      <c r="E192" s="532">
        <f t="shared" ref="E192:H192" si="5">+(E191-D191)/D191</f>
        <v>-7.0212933731991127E-3</v>
      </c>
      <c r="F192" s="532">
        <f t="shared" si="5"/>
        <v>9.5711735721888208E-2</v>
      </c>
      <c r="G192" s="532">
        <f t="shared" si="5"/>
        <v>0.13568251658377486</v>
      </c>
      <c r="H192" s="532">
        <f t="shared" si="5"/>
        <v>0.14136024858413801</v>
      </c>
      <c r="I192" s="526">
        <v>7.0970648955897803E-2</v>
      </c>
      <c r="J192" s="526">
        <v>9.5156234589612795E-2</v>
      </c>
      <c r="K192" s="526">
        <v>0.15734182846670799</v>
      </c>
      <c r="L192" s="526">
        <v>-7.99989159977713E-2</v>
      </c>
      <c r="M192" s="526">
        <v>-3.2624506548316903E-2</v>
      </c>
      <c r="N192" s="526">
        <v>5.1650485812970402E-2</v>
      </c>
      <c r="O192" s="526">
        <v>4.1230949309838401E-2</v>
      </c>
      <c r="P192" s="526">
        <v>4.6679133251116299E-2</v>
      </c>
      <c r="Q192" s="526">
        <v>4.4206903378613001E-2</v>
      </c>
      <c r="R192" s="526">
        <v>-1.6140473146031801E-3</v>
      </c>
      <c r="S192" s="526">
        <v>2.9979575669992702E-2</v>
      </c>
      <c r="T192" s="526">
        <v>9.3725526719666101E-3</v>
      </c>
      <c r="U192" s="526">
        <v>3.9627761448039998E-3</v>
      </c>
      <c r="V192" s="526">
        <v>1.24440313300665E-2</v>
      </c>
      <c r="W192" s="526">
        <v>-5.6954230455382397E-3</v>
      </c>
      <c r="X192" s="526">
        <v>4.9400647544432501E-3</v>
      </c>
      <c r="Y192" s="526">
        <v>1.64126890270892E-2</v>
      </c>
      <c r="Z192" s="526">
        <v>-9.4514749409924104E-4</v>
      </c>
      <c r="AA192" s="526">
        <v>3.8775539547084301E-3</v>
      </c>
      <c r="AB192" s="526">
        <v>1.15025897606397E-3</v>
      </c>
      <c r="AC192" s="526">
        <v>-1.5095887870197101E-2</v>
      </c>
      <c r="AD192" s="526">
        <v>1.1019353917971399E-2</v>
      </c>
      <c r="AE192" s="526">
        <v>-1.51053041918603E-3</v>
      </c>
      <c r="AF192" s="526">
        <v>1.7411784314179699E-2</v>
      </c>
      <c r="AG192" s="526">
        <v>1.12491499614231E-4</v>
      </c>
      <c r="AH192" s="526">
        <v>-2.0892624153780702E-3</v>
      </c>
      <c r="AI192" s="526">
        <v>7.25399773543232E-3</v>
      </c>
      <c r="AJ192" s="526">
        <v>3.9438637643874298E-3</v>
      </c>
    </row>
    <row r="193" spans="1:36" ht="14.5" x14ac:dyDescent="0.3">
      <c r="A193" s="49"/>
      <c r="B193" s="125"/>
      <c r="C193" s="525"/>
      <c r="D193" s="526"/>
      <c r="E193" s="526"/>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row>
    <row r="194" spans="1:36" ht="14.5" x14ac:dyDescent="0.3">
      <c r="A194" s="49"/>
      <c r="B194" s="125"/>
      <c r="C194" s="524" t="s">
        <v>1043</v>
      </c>
      <c r="D194" s="526"/>
      <c r="E194" s="526"/>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row>
    <row r="195" spans="1:36" ht="14.5" x14ac:dyDescent="0.3">
      <c r="A195" s="533"/>
      <c r="B195" s="534"/>
      <c r="C195" s="535" t="s">
        <v>347</v>
      </c>
      <c r="D195" s="530">
        <v>5923730.3790653711</v>
      </c>
      <c r="E195" s="530">
        <v>5540529.9462402174</v>
      </c>
      <c r="F195" s="530">
        <v>5225833.5341005623</v>
      </c>
      <c r="G195" s="530">
        <v>6682053</v>
      </c>
      <c r="H195" s="530">
        <v>7157257.7107563065</v>
      </c>
      <c r="I195" s="530">
        <v>6946227.9440922234</v>
      </c>
      <c r="J195" s="530">
        <v>7533993.3010217436</v>
      </c>
      <c r="K195" s="530">
        <v>8259089.611374612</v>
      </c>
      <c r="L195" s="530">
        <v>8147708.4937840523</v>
      </c>
      <c r="M195" s="530">
        <v>8413128.1960844528</v>
      </c>
      <c r="N195" s="530">
        <v>8993996.2189086881</v>
      </c>
      <c r="O195" s="530">
        <v>9230069.4346324187</v>
      </c>
      <c r="P195" s="530">
        <v>9619056.5024291556</v>
      </c>
      <c r="Q195" s="530">
        <v>9942635.403073404</v>
      </c>
      <c r="R195" s="530">
        <v>10053709.8095032</v>
      </c>
      <c r="S195" s="530">
        <v>10332001.872512296</v>
      </c>
      <c r="T195" s="530">
        <v>10440118.664530847</v>
      </c>
      <c r="U195" s="530">
        <v>10706786.994746238</v>
      </c>
      <c r="V195" s="530">
        <v>10948697.367218962</v>
      </c>
      <c r="W195" s="530">
        <v>11193207.953027174</v>
      </c>
      <c r="X195" s="530">
        <v>11440248.318662928</v>
      </c>
      <c r="Y195" s="530">
        <v>11794055.861502547</v>
      </c>
      <c r="Z195" s="530">
        <v>12059277.628657201</v>
      </c>
      <c r="AA195" s="530">
        <v>12250766.614498602</v>
      </c>
      <c r="AB195" s="530">
        <v>12489675.167309217</v>
      </c>
      <c r="AC195" s="530">
        <v>12556524.653877862</v>
      </c>
      <c r="AD195" s="530">
        <v>12935997.983907083</v>
      </c>
      <c r="AE195" s="530">
        <v>13152186.53569412</v>
      </c>
      <c r="AF195" s="530">
        <v>13640663.958275754</v>
      </c>
      <c r="AG195" s="530">
        <v>13747820.301685518</v>
      </c>
      <c r="AH195" s="530">
        <v>14035718.960902333</v>
      </c>
      <c r="AI195" s="530">
        <v>14289078.641401384</v>
      </c>
      <c r="AJ195" s="530">
        <v>14674211.585675566</v>
      </c>
    </row>
    <row r="196" spans="1:36" ht="14.5" x14ac:dyDescent="0.3">
      <c r="A196" s="49"/>
      <c r="B196" s="125"/>
      <c r="C196" s="525" t="s">
        <v>348</v>
      </c>
      <c r="D196" s="526"/>
      <c r="E196" s="532">
        <f t="shared" ref="E196:I196" si="6">+(E195-D195)/D195</f>
        <v>-6.4689040233734257E-2</v>
      </c>
      <c r="F196" s="532">
        <f t="shared" si="6"/>
        <v>-5.6798973237786918E-2</v>
      </c>
      <c r="G196" s="532">
        <f t="shared" si="6"/>
        <v>0.2786578363809426</v>
      </c>
      <c r="H196" s="532">
        <f t="shared" si="6"/>
        <v>7.1116573118517101E-2</v>
      </c>
      <c r="I196" s="532">
        <f t="shared" si="6"/>
        <v>-2.9484723785610848E-2</v>
      </c>
      <c r="J196" s="526">
        <v>8.4616479859319096E-2</v>
      </c>
      <c r="K196" s="526">
        <v>9.62432910916622E-2</v>
      </c>
      <c r="L196" s="526">
        <v>-1.3485883170121201E-2</v>
      </c>
      <c r="M196" s="526">
        <v>3.2575993913244602E-2</v>
      </c>
      <c r="N196" s="526">
        <v>6.9043049064030304E-2</v>
      </c>
      <c r="O196" s="526">
        <v>2.62478669078621E-2</v>
      </c>
      <c r="P196" s="526">
        <v>4.2143460626331598E-2</v>
      </c>
      <c r="Q196" s="526">
        <v>3.3639359594418897E-2</v>
      </c>
      <c r="R196" s="526">
        <v>1.1171525649573801E-2</v>
      </c>
      <c r="S196" s="526">
        <v>2.76805346764676E-2</v>
      </c>
      <c r="T196" s="526">
        <v>1.0464263687968401E-2</v>
      </c>
      <c r="U196" s="526">
        <v>2.55426531808845E-2</v>
      </c>
      <c r="V196" s="526">
        <v>2.2594114610800398E-2</v>
      </c>
      <c r="W196" s="526">
        <v>2.2332390567328199E-2</v>
      </c>
      <c r="X196" s="526">
        <v>2.2070559813815002E-2</v>
      </c>
      <c r="Y196" s="526">
        <v>3.0926561468289E-2</v>
      </c>
      <c r="Z196" s="526">
        <v>2.2487748936341201E-2</v>
      </c>
      <c r="AA196" s="526">
        <v>1.5878976480842799E-2</v>
      </c>
      <c r="AB196" s="526">
        <v>1.9501518584793799E-2</v>
      </c>
      <c r="AC196" s="526">
        <v>5.3523799196650698E-3</v>
      </c>
      <c r="AD196" s="526">
        <v>3.02212069413672E-2</v>
      </c>
      <c r="AE196" s="526">
        <v>1.67121664718861E-2</v>
      </c>
      <c r="AF196" s="526">
        <v>3.7140396485097003E-2</v>
      </c>
      <c r="AG196" s="526">
        <v>7.8556545148779997E-3</v>
      </c>
      <c r="AH196" s="526">
        <v>2.0941404011624899E-2</v>
      </c>
      <c r="AI196" s="526">
        <v>1.8051065371485899E-2</v>
      </c>
      <c r="AJ196" s="526">
        <v>2.6952958545437201E-2</v>
      </c>
    </row>
    <row r="197" spans="1:36" ht="14.5" x14ac:dyDescent="0.3">
      <c r="A197" s="49"/>
      <c r="B197" s="125"/>
      <c r="C197" s="525"/>
      <c r="D197" s="526"/>
      <c r="E197" s="526"/>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row>
    <row r="198" spans="1:36" ht="14.5" x14ac:dyDescent="0.3">
      <c r="A198" s="49"/>
      <c r="B198" s="125"/>
      <c r="C198" s="524" t="s">
        <v>1043</v>
      </c>
      <c r="D198" s="526"/>
      <c r="E198" s="526"/>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row>
    <row r="199" spans="1:36" ht="14.5" x14ac:dyDescent="0.3">
      <c r="A199" s="533"/>
      <c r="B199" s="534"/>
      <c r="C199" s="535" t="s">
        <v>347</v>
      </c>
      <c r="D199" s="530">
        <v>1604460.2895240709</v>
      </c>
      <c r="E199" s="530">
        <v>1867098.4489674682</v>
      </c>
      <c r="F199" s="530">
        <v>1302042.243085803</v>
      </c>
      <c r="G199" s="530">
        <v>1327406.5</v>
      </c>
      <c r="H199" s="530">
        <v>1463045.0729310149</v>
      </c>
      <c r="I199" s="530">
        <v>1612543.6220387039</v>
      </c>
      <c r="J199" s="530">
        <v>1764087.2399603368</v>
      </c>
      <c r="K199" s="530">
        <v>1944557.9062379126</v>
      </c>
      <c r="L199" s="530">
        <v>2284889.5136796427</v>
      </c>
      <c r="M199" s="530">
        <v>2836474.9284855518</v>
      </c>
      <c r="N199" s="530">
        <v>3133333.8554010033</v>
      </c>
      <c r="O199" s="530">
        <v>3406184.2261912129</v>
      </c>
      <c r="P199" s="530">
        <v>3800348.7815423077</v>
      </c>
      <c r="Q199" s="530">
        <v>4277194.1295541339</v>
      </c>
      <c r="R199" s="530">
        <v>4782331.3595876927</v>
      </c>
      <c r="S199" s="530">
        <v>5341034.9097622242</v>
      </c>
      <c r="T199" s="530">
        <v>5922560.2707187673</v>
      </c>
      <c r="U199" s="530">
        <v>6701010.5410061534</v>
      </c>
      <c r="V199" s="530">
        <v>7698760.1632419592</v>
      </c>
      <c r="W199" s="530">
        <v>8804232.576672066</v>
      </c>
      <c r="X199" s="530">
        <v>10014192.516250681</v>
      </c>
      <c r="Y199" s="530">
        <v>11467623.160273874</v>
      </c>
      <c r="Z199" s="530">
        <v>13006602.555567084</v>
      </c>
      <c r="AA199" s="530">
        <v>14731695.673759056</v>
      </c>
      <c r="AB199" s="530">
        <v>16750258.071939565</v>
      </c>
      <c r="AC199" s="530">
        <v>18979326.622214384</v>
      </c>
      <c r="AD199" s="530">
        <v>21702624.833074961</v>
      </c>
      <c r="AE199" s="530">
        <v>24589414.957437672</v>
      </c>
      <c r="AF199" s="530">
        <v>28056251.370159447</v>
      </c>
      <c r="AG199" s="530">
        <v>31534020.844437633</v>
      </c>
      <c r="AH199" s="530">
        <v>35668014.8514634</v>
      </c>
      <c r="AI199" s="530">
        <v>40371063.498793058</v>
      </c>
      <c r="AJ199" s="530">
        <v>45953836.672082774</v>
      </c>
    </row>
    <row r="200" spans="1:36" ht="14.5" x14ac:dyDescent="0.3">
      <c r="A200" s="49"/>
      <c r="B200" s="125"/>
      <c r="C200" s="525" t="s">
        <v>348</v>
      </c>
      <c r="D200" s="526"/>
      <c r="E200" s="532">
        <f t="shared" ref="E200:J200" si="7">+(E199-D199)/D199</f>
        <v>0.16369252711221874</v>
      </c>
      <c r="F200" s="532">
        <f t="shared" si="7"/>
        <v>-0.30263867778056869</v>
      </c>
      <c r="G200" s="532">
        <f t="shared" si="7"/>
        <v>1.9480364057992802E-2</v>
      </c>
      <c r="H200" s="532">
        <f t="shared" si="7"/>
        <v>0.10218314655760306</v>
      </c>
      <c r="I200" s="532">
        <f t="shared" si="7"/>
        <v>0.10218314655760305</v>
      </c>
      <c r="J200" s="532">
        <f t="shared" si="7"/>
        <v>9.3977995913090182E-2</v>
      </c>
      <c r="K200" s="526">
        <v>0.10230257449265</v>
      </c>
      <c r="L200" s="526">
        <v>0.175017471246285</v>
      </c>
      <c r="M200" s="526">
        <v>0.241405727280713</v>
      </c>
      <c r="N200" s="526">
        <v>0.104657694638588</v>
      </c>
      <c r="O200" s="526">
        <v>8.7079891062323694E-2</v>
      </c>
      <c r="P200" s="526">
        <v>0.115720269127031</v>
      </c>
      <c r="Q200" s="526">
        <v>0.125474101305593</v>
      </c>
      <c r="R200" s="526">
        <v>0.118100141058179</v>
      </c>
      <c r="S200" s="526">
        <v>0.116826607812199</v>
      </c>
      <c r="T200" s="526">
        <v>0.108878779259361</v>
      </c>
      <c r="U200" s="526">
        <v>0.13143813396649701</v>
      </c>
      <c r="V200" s="526">
        <v>0.14889539661670101</v>
      </c>
      <c r="W200" s="526">
        <v>0.14359096659592399</v>
      </c>
      <c r="X200" s="526">
        <v>0.137429347650874</v>
      </c>
      <c r="Y200" s="526">
        <v>0.145137078367988</v>
      </c>
      <c r="Z200" s="526">
        <v>0.13420212486791</v>
      </c>
      <c r="AA200" s="526">
        <v>0.13263210825594099</v>
      </c>
      <c r="AB200" s="526">
        <v>0.13702172804018001</v>
      </c>
      <c r="AC200" s="526">
        <v>0.13307666906989399</v>
      </c>
      <c r="AD200" s="526">
        <v>0.14348760970650501</v>
      </c>
      <c r="AE200" s="526">
        <v>0.13301571337874399</v>
      </c>
      <c r="AF200" s="526">
        <v>0.14098897508227001</v>
      </c>
      <c r="AG200" s="526">
        <v>0.12395702577633499</v>
      </c>
      <c r="AH200" s="526">
        <v>0.13109631744773101</v>
      </c>
      <c r="AI200" s="526">
        <v>0.13185619292004699</v>
      </c>
      <c r="AJ200" s="526">
        <v>0.13828650249594299</v>
      </c>
    </row>
    <row r="201" spans="1:36" ht="14.5" x14ac:dyDescent="0.3">
      <c r="A201" s="944"/>
      <c r="B201" s="125"/>
      <c r="C201" s="529"/>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c r="AA201" s="392"/>
      <c r="AB201" s="392"/>
      <c r="AC201" s="392"/>
      <c r="AD201" s="392"/>
      <c r="AE201" s="392"/>
      <c r="AF201" s="392"/>
      <c r="AG201" s="392"/>
      <c r="AH201" s="392"/>
      <c r="AI201" s="392"/>
      <c r="AJ201" s="392"/>
    </row>
    <row r="202" spans="1:36" ht="14.5" x14ac:dyDescent="0.3">
      <c r="A202" s="49"/>
      <c r="B202" s="523"/>
      <c r="C202" s="524" t="s">
        <v>356</v>
      </c>
      <c r="D202" s="1095"/>
      <c r="E202" s="1095"/>
      <c r="F202" s="1095"/>
      <c r="G202" s="1095"/>
      <c r="H202" s="954"/>
      <c r="I202" s="954"/>
      <c r="J202" s="954"/>
      <c r="K202" s="954"/>
      <c r="L202" s="954"/>
      <c r="M202" s="954"/>
      <c r="N202" s="954"/>
      <c r="O202" s="954"/>
      <c r="P202" s="954"/>
      <c r="Q202" s="954"/>
      <c r="R202" s="954"/>
      <c r="S202" s="954"/>
      <c r="T202" s="954"/>
      <c r="U202" s="954"/>
      <c r="V202" s="954"/>
      <c r="W202" s="954"/>
      <c r="X202" s="954"/>
      <c r="Y202" s="954"/>
      <c r="Z202" s="954"/>
      <c r="AA202" s="954"/>
      <c r="AB202" s="954"/>
      <c r="AC202" s="954"/>
      <c r="AD202" s="954"/>
      <c r="AE202" s="954"/>
      <c r="AF202" s="954"/>
      <c r="AG202" s="954"/>
      <c r="AH202" s="954"/>
      <c r="AI202" s="954"/>
      <c r="AJ202" s="954"/>
    </row>
    <row r="203" spans="1:36" ht="14.5" x14ac:dyDescent="0.3">
      <c r="A203" s="49"/>
      <c r="B203" s="523"/>
      <c r="C203" s="524" t="s">
        <v>1041</v>
      </c>
      <c r="D203" s="526"/>
      <c r="E203" s="526"/>
      <c r="F203" s="526"/>
      <c r="G203" s="526"/>
      <c r="H203" s="954"/>
      <c r="I203" s="954"/>
      <c r="J203" s="954"/>
      <c r="K203" s="954"/>
      <c r="L203" s="954"/>
      <c r="M203" s="954"/>
      <c r="N203" s="954"/>
      <c r="O203" s="954"/>
      <c r="P203" s="954"/>
      <c r="Q203" s="954"/>
      <c r="R203" s="954"/>
      <c r="S203" s="954"/>
      <c r="T203" s="954"/>
      <c r="U203" s="954"/>
      <c r="V203" s="954"/>
      <c r="W203" s="954"/>
      <c r="X203" s="954"/>
      <c r="Y203" s="954"/>
      <c r="Z203" s="954"/>
      <c r="AA203" s="954"/>
      <c r="AB203" s="954"/>
      <c r="AC203" s="954"/>
      <c r="AD203" s="954"/>
      <c r="AE203" s="954"/>
      <c r="AF203" s="954"/>
      <c r="AG203" s="954"/>
      <c r="AH203" s="954"/>
      <c r="AI203" s="954"/>
      <c r="AJ203" s="954"/>
    </row>
    <row r="204" spans="1:36" ht="14.5" x14ac:dyDescent="0.3">
      <c r="A204" s="49"/>
      <c r="B204" s="125"/>
      <c r="C204" s="525" t="s">
        <v>347</v>
      </c>
      <c r="D204" s="530">
        <v>559109.52465252904</v>
      </c>
      <c r="E204" s="530">
        <v>449120.8695696746</v>
      </c>
      <c r="F204" s="530">
        <v>390254.98173063231</v>
      </c>
      <c r="G204" s="530">
        <v>453346.08939600002</v>
      </c>
      <c r="H204" s="526">
        <v>678891.78032987181</v>
      </c>
      <c r="I204" s="526">
        <v>847449.50429877196</v>
      </c>
      <c r="J204" s="526">
        <v>1546528.9485755886</v>
      </c>
      <c r="K204" s="526">
        <v>1912301.209746419</v>
      </c>
      <c r="L204" s="526">
        <v>2348641.2990424875</v>
      </c>
      <c r="M204" s="526">
        <v>2256191.3199528069</v>
      </c>
      <c r="N204" s="526">
        <v>2717675.5927918609</v>
      </c>
      <c r="O204" s="526">
        <v>3197239.1188524268</v>
      </c>
      <c r="P204" s="526">
        <v>4945450.9956777841</v>
      </c>
      <c r="Q204" s="526">
        <v>5915557.5680399537</v>
      </c>
      <c r="R204" s="526">
        <v>7054726.7436607294</v>
      </c>
      <c r="S204" s="526">
        <v>8745607.1909227576</v>
      </c>
      <c r="T204" s="526">
        <v>10477502.68289315</v>
      </c>
      <c r="U204" s="526">
        <v>12892513.351068929</v>
      </c>
      <c r="V204" s="526">
        <v>15924523.129880494</v>
      </c>
      <c r="W204" s="526">
        <v>19392187.455166094</v>
      </c>
      <c r="X204" s="526">
        <v>30213374.653054588</v>
      </c>
      <c r="Y204" s="526">
        <v>37427276.795101888</v>
      </c>
      <c r="Z204" s="526">
        <v>45404625.80999127</v>
      </c>
      <c r="AA204" s="526">
        <v>68805579.131004244</v>
      </c>
      <c r="AB204" s="526">
        <v>106608397.16812931</v>
      </c>
      <c r="AC204" s="526">
        <v>167583926.22188082</v>
      </c>
      <c r="AD204" s="526">
        <v>260542915.08070633</v>
      </c>
      <c r="AE204" s="526">
        <v>403060621.8442713</v>
      </c>
      <c r="AF204" s="526">
        <v>607618779.62924349</v>
      </c>
      <c r="AG204" s="526">
        <v>931197810.09951794</v>
      </c>
      <c r="AH204" s="526">
        <v>1462229700.0274539</v>
      </c>
      <c r="AI204" s="526">
        <v>2300477657.681807</v>
      </c>
      <c r="AJ204" s="526">
        <v>3556807936.2037611</v>
      </c>
    </row>
    <row r="205" spans="1:36" ht="14.5" x14ac:dyDescent="0.3">
      <c r="A205" s="49"/>
      <c r="B205" s="125"/>
      <c r="C205" s="525" t="s">
        <v>348</v>
      </c>
      <c r="D205" s="531"/>
      <c r="E205" s="532">
        <f t="shared" ref="E205:G205" si="8">+(E204-D204)/D204</f>
        <v>-0.19672112570646927</v>
      </c>
      <c r="F205" s="532">
        <f t="shared" si="8"/>
        <v>-0.13106914380408258</v>
      </c>
      <c r="G205" s="532">
        <f t="shared" si="8"/>
        <v>0.16166637357345873</v>
      </c>
      <c r="H205" s="526">
        <v>0.497513260199001</v>
      </c>
      <c r="I205" s="526">
        <v>0.24828364233103301</v>
      </c>
      <c r="J205" s="526">
        <v>0.82492165106082005</v>
      </c>
      <c r="K205" s="526">
        <v>0.23651174554974899</v>
      </c>
      <c r="L205" s="526">
        <v>0.22817539782549701</v>
      </c>
      <c r="M205" s="526">
        <v>-3.9363175265363599E-2</v>
      </c>
      <c r="N205" s="526">
        <v>0.20454128546541298</v>
      </c>
      <c r="O205" s="526">
        <v>0.17646091657610663</v>
      </c>
      <c r="P205" s="526">
        <v>0.54678796669197405</v>
      </c>
      <c r="Q205" s="526">
        <v>0.19616139624273327</v>
      </c>
      <c r="R205" s="526">
        <v>0.19257173352100862</v>
      </c>
      <c r="S205" s="526">
        <v>0.23968050198137406</v>
      </c>
      <c r="T205" s="526">
        <v>0.19803033158955052</v>
      </c>
      <c r="U205" s="526">
        <v>0.23049487471082386</v>
      </c>
      <c r="V205" s="526">
        <v>0.23517600457324167</v>
      </c>
      <c r="W205" s="526">
        <v>0.21775624280886222</v>
      </c>
      <c r="X205" s="526">
        <v>0.55801787306907036</v>
      </c>
      <c r="Y205" s="526">
        <v>0.23876519008173674</v>
      </c>
      <c r="Z205" s="526">
        <v>0.21314265150953687</v>
      </c>
      <c r="AA205" s="526">
        <v>0.51538698763736113</v>
      </c>
      <c r="AB205" s="526">
        <v>0.5494150113197851</v>
      </c>
      <c r="AC205" s="526">
        <v>0.5719580321387685</v>
      </c>
      <c r="AD205" s="526">
        <v>0.55470110382631799</v>
      </c>
      <c r="AE205" s="526">
        <v>0.54700281034093134</v>
      </c>
      <c r="AF205" s="526">
        <v>0.5075121376258046</v>
      </c>
      <c r="AG205" s="526">
        <v>0.53253625680844774</v>
      </c>
      <c r="AH205" s="526">
        <v>0.57026754591614026</v>
      </c>
      <c r="AI205" s="526">
        <v>0.57326694816731927</v>
      </c>
      <c r="AJ205" s="526">
        <v>0.5461171397717286</v>
      </c>
    </row>
    <row r="206" spans="1:36" ht="14.5" x14ac:dyDescent="0.3">
      <c r="A206" s="944"/>
      <c r="B206" s="125"/>
      <c r="C206" s="525"/>
      <c r="D206" s="525"/>
      <c r="E206" s="525"/>
      <c r="F206" s="525"/>
      <c r="G206" s="525"/>
      <c r="H206" s="525"/>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row>
    <row r="207" spans="1:36" ht="14.5" x14ac:dyDescent="0.3">
      <c r="A207" s="944"/>
      <c r="B207" s="125"/>
      <c r="C207" s="524" t="s">
        <v>1042</v>
      </c>
      <c r="D207" s="526"/>
      <c r="E207" s="526"/>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row>
    <row r="208" spans="1:36" ht="14.5" x14ac:dyDescent="0.3">
      <c r="A208" s="944"/>
      <c r="B208" s="125"/>
      <c r="C208" s="525" t="s">
        <v>347</v>
      </c>
      <c r="D208" s="530">
        <v>1208574.3662646939</v>
      </c>
      <c r="E208" s="530">
        <v>1129098.4277240785</v>
      </c>
      <c r="F208" s="530">
        <v>709670.62977902661</v>
      </c>
      <c r="G208" s="530">
        <v>938239.8125</v>
      </c>
      <c r="H208" s="526">
        <v>1035172.4123869333</v>
      </c>
      <c r="I208" s="526">
        <v>1040597.9915912872</v>
      </c>
      <c r="J208" s="526">
        <v>1087303.6174258194</v>
      </c>
      <c r="K208" s="526">
        <v>1309868.0663260913</v>
      </c>
      <c r="L208" s="526">
        <v>1911548.3064710055</v>
      </c>
      <c r="M208" s="526">
        <v>2928761.7743610535</v>
      </c>
      <c r="N208" s="526">
        <v>3871632.5251720385</v>
      </c>
      <c r="O208" s="526">
        <v>4491920.8193085464</v>
      </c>
      <c r="P208" s="526">
        <v>5405296.92584561</v>
      </c>
      <c r="Q208" s="526">
        <v>6869993.7968869545</v>
      </c>
      <c r="R208" s="526">
        <v>8097759.5406452762</v>
      </c>
      <c r="S208" s="526">
        <v>9627052.9470720496</v>
      </c>
      <c r="T208" s="526">
        <v>12824653.007631237</v>
      </c>
      <c r="U208" s="526">
        <v>16198412.792399798</v>
      </c>
      <c r="V208" s="526">
        <v>21921252.157392483</v>
      </c>
      <c r="W208" s="526">
        <v>28628457.05311257</v>
      </c>
      <c r="X208" s="526">
        <v>35008615.270393856</v>
      </c>
      <c r="Y208" s="526">
        <v>46708531.397204332</v>
      </c>
      <c r="Z208" s="526">
        <v>58031602.772556871</v>
      </c>
      <c r="AA208" s="526">
        <v>72542583.517083883</v>
      </c>
      <c r="AB208" s="526">
        <v>94668331.954427019</v>
      </c>
      <c r="AC208" s="526">
        <v>116170757.62498637</v>
      </c>
      <c r="AD208" s="526">
        <v>145207627.85194325</v>
      </c>
      <c r="AE208" s="526">
        <v>178181190.2870836</v>
      </c>
      <c r="AF208" s="526">
        <v>209822783.73990133</v>
      </c>
      <c r="AG208" s="526">
        <v>241480805.84665576</v>
      </c>
      <c r="AH208" s="526">
        <v>276075214.40349305</v>
      </c>
      <c r="AI208" s="526">
        <v>329270972.15636671</v>
      </c>
      <c r="AJ208" s="526">
        <v>392307874.94819045</v>
      </c>
    </row>
    <row r="209" spans="1:36" ht="14.5" x14ac:dyDescent="0.3">
      <c r="A209" s="944"/>
      <c r="B209" s="125"/>
      <c r="C209" s="525" t="s">
        <v>348</v>
      </c>
      <c r="D209" s="531"/>
      <c r="E209" s="532">
        <f t="shared" ref="E209:G209" si="9">+(E208-D208)/D208</f>
        <v>-6.5760072990997967E-2</v>
      </c>
      <c r="F209" s="532">
        <f t="shared" si="9"/>
        <v>-0.37147142148669154</v>
      </c>
      <c r="G209" s="532">
        <f t="shared" si="9"/>
        <v>0.32207783883087288</v>
      </c>
      <c r="H209" s="532">
        <v>0.103313245287098</v>
      </c>
      <c r="I209" s="532">
        <v>5.2412324163888203E-3</v>
      </c>
      <c r="J209" s="532">
        <v>4.4883447990428697E-2</v>
      </c>
      <c r="K209" s="526">
        <v>0.20469392847895701</v>
      </c>
      <c r="L209" s="526">
        <v>0.45934415504341802</v>
      </c>
      <c r="M209" s="526">
        <v>0.53214112583321049</v>
      </c>
      <c r="N209" s="526">
        <v>0.32193494160742525</v>
      </c>
      <c r="O209" s="526">
        <v>0.16021362825722865</v>
      </c>
      <c r="P209" s="526">
        <v>0.20333753493848575</v>
      </c>
      <c r="Q209" s="526">
        <v>0.27097435925080199</v>
      </c>
      <c r="R209" s="526">
        <v>0.17871424342692538</v>
      </c>
      <c r="S209" s="526">
        <v>0.1888538920859226</v>
      </c>
      <c r="T209" s="526">
        <v>0.33214734333955204</v>
      </c>
      <c r="U209" s="526">
        <v>0.26306830935394693</v>
      </c>
      <c r="V209" s="526">
        <v>0.35329630367722253</v>
      </c>
      <c r="W209" s="526">
        <v>0.30596814668993366</v>
      </c>
      <c r="X209" s="526">
        <v>0.222860708331035</v>
      </c>
      <c r="Y209" s="526">
        <v>0.33420105412466516</v>
      </c>
      <c r="Z209" s="526">
        <v>0.2424197686513061</v>
      </c>
      <c r="AA209" s="526">
        <v>0.25005307541478489</v>
      </c>
      <c r="AB209" s="526">
        <v>0.3050035905067055</v>
      </c>
      <c r="AC209" s="526">
        <v>0.22713430380193597</v>
      </c>
      <c r="AD209" s="526">
        <v>0.24994990839856196</v>
      </c>
      <c r="AE209" s="526">
        <v>0.22707872115892477</v>
      </c>
      <c r="AF209" s="526">
        <v>0.17758099719637702</v>
      </c>
      <c r="AG209" s="526">
        <v>0.15087981172720527</v>
      </c>
      <c r="AH209" s="526">
        <v>0.14325945466160689</v>
      </c>
      <c r="AI209" s="526">
        <v>0.19268574278865289</v>
      </c>
      <c r="AJ209" s="526">
        <v>0.19144385057389252</v>
      </c>
    </row>
    <row r="210" spans="1:36" ht="14.5" x14ac:dyDescent="0.3">
      <c r="A210" s="944"/>
      <c r="B210" s="125"/>
      <c r="C210" s="525"/>
      <c r="D210" s="526"/>
      <c r="E210" s="526"/>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row>
    <row r="211" spans="1:36" ht="14.5" x14ac:dyDescent="0.3">
      <c r="A211" s="944"/>
      <c r="B211" s="125"/>
      <c r="C211" s="524" t="s">
        <v>354</v>
      </c>
      <c r="D211" s="526"/>
      <c r="E211" s="526"/>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row>
    <row r="212" spans="1:36" ht="14.5" x14ac:dyDescent="0.3">
      <c r="A212" s="944"/>
      <c r="B212" s="125"/>
      <c r="C212" s="525" t="s">
        <v>347</v>
      </c>
      <c r="D212" s="530">
        <v>790705.76447759371</v>
      </c>
      <c r="E212" s="526">
        <v>889438.39959305874</v>
      </c>
      <c r="F212" s="526">
        <v>987993.29843976919</v>
      </c>
      <c r="G212" s="526">
        <v>941721.5625</v>
      </c>
      <c r="H212" s="526">
        <v>1093434.5588050794</v>
      </c>
      <c r="I212" s="526">
        <v>1098322.827130697</v>
      </c>
      <c r="J212" s="526">
        <v>1146286.6097463218</v>
      </c>
      <c r="K212" s="526">
        <v>1324043.0240314533</v>
      </c>
      <c r="L212" s="526">
        <v>1457120.081384365</v>
      </c>
      <c r="M212" s="526">
        <v>1692181.6081011787</v>
      </c>
      <c r="N212" s="526">
        <v>1920507.1806931668</v>
      </c>
      <c r="O212" s="526">
        <v>2142857.6125458707</v>
      </c>
      <c r="P212" s="526">
        <v>2387433.8414046019</v>
      </c>
      <c r="Q212" s="526">
        <v>2654572.8972810348</v>
      </c>
      <c r="R212" s="526">
        <v>2937900.8236546544</v>
      </c>
      <c r="S212" s="526">
        <v>3240931.76921571</v>
      </c>
      <c r="T212" s="526">
        <v>3570902.2909687078</v>
      </c>
      <c r="U212" s="526">
        <v>3972063.6404448366</v>
      </c>
      <c r="V212" s="526">
        <v>4378461.3796639098</v>
      </c>
      <c r="W212" s="526">
        <v>4843778.0055983746</v>
      </c>
      <c r="X212" s="526">
        <v>5350144.0027575176</v>
      </c>
      <c r="Y212" s="526">
        <v>5921780.7678308124</v>
      </c>
      <c r="Z212" s="526">
        <v>6540671.9851772245</v>
      </c>
      <c r="AA212" s="526">
        <v>7203339.1064208774</v>
      </c>
      <c r="AB212" s="526">
        <v>7945554.669075435</v>
      </c>
      <c r="AC212" s="526">
        <v>8737360.9054196924</v>
      </c>
      <c r="AD212" s="526">
        <v>9683750.3231800515</v>
      </c>
      <c r="AE212" s="526">
        <v>10695947.609393729</v>
      </c>
      <c r="AF212" s="526">
        <v>11870185.706636298</v>
      </c>
      <c r="AG212" s="526">
        <v>13075517.591696886</v>
      </c>
      <c r="AH212" s="526">
        <v>14490680.211412665</v>
      </c>
      <c r="AI212" s="526">
        <v>16000414.294224499</v>
      </c>
      <c r="AJ212" s="526">
        <v>17735368.316186421</v>
      </c>
    </row>
    <row r="213" spans="1:36" ht="14.5" x14ac:dyDescent="0.3">
      <c r="A213" s="944"/>
      <c r="B213" s="125"/>
      <c r="C213" s="525" t="s">
        <v>348</v>
      </c>
      <c r="D213" s="526"/>
      <c r="E213" s="532">
        <f t="shared" ref="E213:G213" si="10">+(E212-D212)/D212</f>
        <v>0.12486646683383681</v>
      </c>
      <c r="F213" s="532">
        <f t="shared" si="10"/>
        <v>0.11080576113174548</v>
      </c>
      <c r="G213" s="532">
        <f t="shared" si="10"/>
        <v>-4.6834058503069945E-2</v>
      </c>
      <c r="H213" s="532">
        <v>0.161101754856632</v>
      </c>
      <c r="I213" s="526">
        <v>4.4705632232435498E-3</v>
      </c>
      <c r="J213" s="526">
        <v>4.3670022538753503E-2</v>
      </c>
      <c r="K213" s="526">
        <v>0.15507152641735</v>
      </c>
      <c r="L213" s="526">
        <v>0.10050810656266899</v>
      </c>
      <c r="M213" s="526">
        <v>0.16131925550946299</v>
      </c>
      <c r="N213" s="526">
        <v>0.13492970937569501</v>
      </c>
      <c r="O213" s="526">
        <v>0.115776933347602</v>
      </c>
      <c r="P213" s="526">
        <v>0.114135548450257</v>
      </c>
      <c r="Q213" s="526">
        <v>0.11189380465482</v>
      </c>
      <c r="R213" s="526">
        <v>0.106732019551552</v>
      </c>
      <c r="S213" s="526">
        <v>0.103145396577443</v>
      </c>
      <c r="T213" s="526">
        <v>0.101813473793942</v>
      </c>
      <c r="U213" s="526">
        <v>0.112341732365716</v>
      </c>
      <c r="V213" s="526">
        <v>0.102314005012659</v>
      </c>
      <c r="W213" s="526">
        <v>0.106274004858342</v>
      </c>
      <c r="X213" s="526">
        <v>0.10453947240643401</v>
      </c>
      <c r="Y213" s="526">
        <v>0.10684511758537101</v>
      </c>
      <c r="Z213" s="526">
        <v>0.104510997892466</v>
      </c>
      <c r="AA213" s="526">
        <v>0.101314837794254</v>
      </c>
      <c r="AB213" s="526">
        <v>0.103037709552361</v>
      </c>
      <c r="AC213" s="526">
        <v>9.9653991360227304E-2</v>
      </c>
      <c r="AD213" s="526">
        <v>0.10831524850636801</v>
      </c>
      <c r="AE213" s="526">
        <v>0.104525339092105</v>
      </c>
      <c r="AF213" s="526">
        <v>0.109783456326141</v>
      </c>
      <c r="AG213" s="526">
        <v>0.101542799316671</v>
      </c>
      <c r="AH213" s="526">
        <v>0.10822995034739</v>
      </c>
      <c r="AI213" s="526">
        <v>0.104186557206803</v>
      </c>
      <c r="AJ213" s="526">
        <v>0.108431818705355</v>
      </c>
    </row>
    <row r="214" spans="1:36" ht="14.5" x14ac:dyDescent="0.3">
      <c r="A214" s="944"/>
      <c r="B214" s="125"/>
      <c r="C214" s="525"/>
      <c r="D214" s="526"/>
      <c r="E214" s="526"/>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row>
    <row r="215" spans="1:36" ht="14.5" x14ac:dyDescent="0.3">
      <c r="A215" s="49"/>
      <c r="B215" s="523"/>
      <c r="C215" s="524" t="s">
        <v>355</v>
      </c>
      <c r="D215" s="954"/>
      <c r="E215" s="954"/>
      <c r="F215" s="954"/>
      <c r="G215" s="954"/>
      <c r="H215" s="954"/>
      <c r="I215" s="954"/>
      <c r="J215" s="954"/>
      <c r="K215" s="954"/>
      <c r="L215" s="954"/>
      <c r="M215" s="954"/>
      <c r="N215" s="954"/>
      <c r="O215" s="954"/>
      <c r="P215" s="954"/>
      <c r="Q215" s="954"/>
      <c r="R215" s="954"/>
      <c r="S215" s="954"/>
      <c r="T215" s="954"/>
      <c r="U215" s="954"/>
      <c r="V215" s="954"/>
      <c r="W215" s="954"/>
      <c r="X215" s="954"/>
      <c r="Y215" s="954"/>
      <c r="Z215" s="954"/>
      <c r="AA215" s="954"/>
      <c r="AB215" s="954"/>
      <c r="AC215" s="954"/>
      <c r="AD215" s="954"/>
      <c r="AE215" s="954"/>
      <c r="AF215" s="954"/>
      <c r="AG215" s="954"/>
      <c r="AH215" s="954"/>
      <c r="AI215" s="954"/>
      <c r="AJ215" s="954"/>
    </row>
    <row r="216" spans="1:36" ht="14.5" x14ac:dyDescent="0.3">
      <c r="A216" s="533"/>
      <c r="B216" s="534"/>
      <c r="C216" s="535" t="s">
        <v>347</v>
      </c>
      <c r="D216" s="530">
        <v>1498460.7213370022</v>
      </c>
      <c r="E216" s="530">
        <v>1487939.5890042796</v>
      </c>
      <c r="F216" s="530">
        <v>1630352.8697171921</v>
      </c>
      <c r="G216" s="530">
        <v>1851563.25</v>
      </c>
      <c r="H216" s="530">
        <v>2113300.6912892545</v>
      </c>
      <c r="I216" s="530">
        <v>2263283.0127890003</v>
      </c>
      <c r="J216" s="530">
        <v>2478648.5020966362</v>
      </c>
      <c r="K216" s="530">
        <v>2868643.589542788</v>
      </c>
      <c r="L216" s="530">
        <v>2639155.2119954093</v>
      </c>
      <c r="M216" s="530">
        <v>2688268.2169559365</v>
      </c>
      <c r="N216" s="530">
        <v>2978214.2558666496</v>
      </c>
      <c r="O216" s="530">
        <v>3196846.9271668238</v>
      </c>
      <c r="P216" s="530">
        <v>3512316.6370933927</v>
      </c>
      <c r="Q216" s="530">
        <v>3844073.5444317479</v>
      </c>
      <c r="R216" s="530">
        <v>4073914.3915616968</v>
      </c>
      <c r="S216" s="530">
        <v>4604245.5292227399</v>
      </c>
      <c r="T216" s="530">
        <v>4967646.3998835851</v>
      </c>
      <c r="U216" s="530">
        <v>5421170.357583099</v>
      </c>
      <c r="V216" s="530">
        <v>6021906.826208869</v>
      </c>
      <c r="W216" s="530">
        <v>6488767.1073832158</v>
      </c>
      <c r="X216" s="530">
        <v>7151090.0673969351</v>
      </c>
      <c r="Y216" s="530">
        <v>8011202.4463514928</v>
      </c>
      <c r="Z216" s="530">
        <v>8719013.3374025095</v>
      </c>
      <c r="AA216" s="530">
        <v>9658997.3670658618</v>
      </c>
      <c r="AB216" s="530">
        <v>10672869.564020697</v>
      </c>
      <c r="AC216" s="530">
        <v>11532845.086604416</v>
      </c>
      <c r="AD216" s="530">
        <v>12928954.949625468</v>
      </c>
      <c r="AE216" s="530">
        <v>14166029.601323321</v>
      </c>
      <c r="AF216" s="530">
        <v>16163299.727304177</v>
      </c>
      <c r="AG216" s="530">
        <v>17740906.094502956</v>
      </c>
      <c r="AH216" s="530">
        <v>19636841.748903245</v>
      </c>
      <c r="AI216" s="530">
        <v>22053901.88026939</v>
      </c>
      <c r="AJ216" s="530">
        <v>24652045.513290834</v>
      </c>
    </row>
    <row r="217" spans="1:36" ht="14.5" x14ac:dyDescent="0.3">
      <c r="A217" s="49"/>
      <c r="B217" s="125"/>
      <c r="C217" s="525" t="s">
        <v>348</v>
      </c>
      <c r="D217" s="526"/>
      <c r="E217" s="532">
        <f t="shared" ref="E217:G217" si="11">+(E216-D216)/D216</f>
        <v>-7.0212933731991127E-3</v>
      </c>
      <c r="F217" s="532">
        <f t="shared" si="11"/>
        <v>9.5711735721888208E-2</v>
      </c>
      <c r="G217" s="532">
        <f t="shared" si="11"/>
        <v>0.13568251658377486</v>
      </c>
      <c r="H217" s="532">
        <v>0.14136024858413801</v>
      </c>
      <c r="I217" s="526">
        <v>7.0970648955897803E-2</v>
      </c>
      <c r="J217" s="526">
        <v>9.5156234589612795E-2</v>
      </c>
      <c r="K217" s="526">
        <v>0.15734182846670799</v>
      </c>
      <c r="L217" s="526">
        <v>-7.99989159977713E-2</v>
      </c>
      <c r="M217" s="526">
        <v>1.86093658824233E-2</v>
      </c>
      <c r="N217" s="526">
        <v>0.107856067739786</v>
      </c>
      <c r="O217" s="526">
        <v>7.3410659044929202E-2</v>
      </c>
      <c r="P217" s="526">
        <v>9.8681518732006104E-2</v>
      </c>
      <c r="Q217" s="526">
        <v>9.4455295924828694E-2</v>
      </c>
      <c r="R217" s="526">
        <v>5.9790959895364197E-2</v>
      </c>
      <c r="S217" s="526">
        <v>0.13017729060765701</v>
      </c>
      <c r="T217" s="526">
        <v>7.8927343981629997E-2</v>
      </c>
      <c r="U217" s="526">
        <v>9.1295539414830595E-2</v>
      </c>
      <c r="V217" s="526">
        <v>0.110813058620352</v>
      </c>
      <c r="W217" s="526">
        <v>7.7526985163977005E-2</v>
      </c>
      <c r="X217" s="526">
        <v>0.102072234841053</v>
      </c>
      <c r="Y217" s="526">
        <v>0.12027710053268099</v>
      </c>
      <c r="Z217" s="526">
        <v>8.8352640666741797E-2</v>
      </c>
      <c r="AA217" s="526">
        <v>0.107808532145609</v>
      </c>
      <c r="AB217" s="526">
        <v>0.104966608688788</v>
      </c>
      <c r="AC217" s="526">
        <v>8.0575848643628406E-2</v>
      </c>
      <c r="AD217" s="526">
        <v>0.121055112813633</v>
      </c>
      <c r="AE217" s="526">
        <v>9.5682493791479403E-2</v>
      </c>
      <c r="AF217" s="526">
        <v>0.140990113827962</v>
      </c>
      <c r="AG217" s="526">
        <v>9.7604226476959599E-2</v>
      </c>
      <c r="AH217" s="526">
        <v>0.106868028290153</v>
      </c>
      <c r="AI217" s="526">
        <v>0.123088028221297</v>
      </c>
      <c r="AJ217" s="526">
        <v>0.117808796245071</v>
      </c>
    </row>
    <row r="218" spans="1:36" ht="14.5" x14ac:dyDescent="0.3">
      <c r="A218" s="49"/>
      <c r="B218" s="125"/>
      <c r="C218" s="525"/>
      <c r="D218" s="526"/>
      <c r="E218" s="526"/>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row>
    <row r="219" spans="1:36" ht="14.5" x14ac:dyDescent="0.3">
      <c r="A219" s="49"/>
      <c r="B219" s="125"/>
      <c r="C219" s="524" t="s">
        <v>1043</v>
      </c>
      <c r="D219" s="526"/>
      <c r="E219" s="526"/>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row>
    <row r="220" spans="1:36" ht="14.5" x14ac:dyDescent="0.3">
      <c r="A220" s="533"/>
      <c r="B220" s="534"/>
      <c r="C220" s="535" t="s">
        <v>347</v>
      </c>
      <c r="D220" s="530">
        <v>5923730.3790653711</v>
      </c>
      <c r="E220" s="530">
        <v>5540529.9462402174</v>
      </c>
      <c r="F220" s="530">
        <v>5225833.5341005623</v>
      </c>
      <c r="G220" s="530">
        <v>6682053</v>
      </c>
      <c r="H220" s="530">
        <v>7157257.7107563065</v>
      </c>
      <c r="I220" s="530">
        <v>6946227.9440922234</v>
      </c>
      <c r="J220" s="530">
        <v>7533993.3010217436</v>
      </c>
      <c r="K220" s="530">
        <v>8259089.611374612</v>
      </c>
      <c r="L220" s="530">
        <v>8147708.4937840523</v>
      </c>
      <c r="M220" s="530">
        <v>9142318.2437630463</v>
      </c>
      <c r="N220" s="530">
        <v>10027030.888219522</v>
      </c>
      <c r="O220" s="530">
        <v>10049792.248825675</v>
      </c>
      <c r="P220" s="530">
        <v>10509486.589845195</v>
      </c>
      <c r="Q220" s="530">
        <v>11180970.001044374</v>
      </c>
      <c r="R220" s="530">
        <v>11602940.227406556</v>
      </c>
      <c r="S220" s="530">
        <v>12306654.736674046</v>
      </c>
      <c r="T220" s="530">
        <v>12471254.622640837</v>
      </c>
      <c r="U220" s="530">
        <v>13052769.827629926</v>
      </c>
      <c r="V220" s="530">
        <v>13622615.587959858</v>
      </c>
      <c r="W220" s="530">
        <v>14053460.040682888</v>
      </c>
      <c r="X220" s="530">
        <v>14548391.553621564</v>
      </c>
      <c r="Y220" s="530">
        <v>15280611.4113659</v>
      </c>
      <c r="Z220" s="530">
        <v>15625541.093926189</v>
      </c>
      <c r="AA220" s="530">
        <v>16102449.189976839</v>
      </c>
      <c r="AB220" s="530">
        <v>16698693.636654792</v>
      </c>
      <c r="AC220" s="530">
        <v>16992797.941705253</v>
      </c>
      <c r="AD220" s="530">
        <v>17835175.18114676</v>
      </c>
      <c r="AE220" s="530">
        <v>18262265.03277294</v>
      </c>
      <c r="AF220" s="530">
        <v>19356129.92635528</v>
      </c>
      <c r="AG220" s="530">
        <v>19363757.156253498</v>
      </c>
      <c r="AH220" s="530">
        <v>20202036.897316366</v>
      </c>
      <c r="AI220" s="530">
        <v>20899761.393411357</v>
      </c>
      <c r="AJ220" s="530">
        <v>21408386.492603913</v>
      </c>
    </row>
    <row r="221" spans="1:36" ht="14.5" x14ac:dyDescent="0.3">
      <c r="A221" s="49"/>
      <c r="B221" s="125"/>
      <c r="C221" s="525" t="s">
        <v>348</v>
      </c>
      <c r="D221" s="526"/>
      <c r="E221" s="532">
        <f t="shared" ref="E221:G221" si="12">+(E220-D220)/D220</f>
        <v>-6.4689040233734257E-2</v>
      </c>
      <c r="F221" s="532">
        <f t="shared" si="12"/>
        <v>-5.6798973237786918E-2</v>
      </c>
      <c r="G221" s="532">
        <f t="shared" si="12"/>
        <v>0.2786578363809426</v>
      </c>
      <c r="H221" s="532">
        <v>7.1116573118517004E-2</v>
      </c>
      <c r="I221" s="532">
        <v>-2.94847237856109E-2</v>
      </c>
      <c r="J221" s="526">
        <v>8.4616479859319096E-2</v>
      </c>
      <c r="K221" s="526">
        <v>9.62432910916622E-2</v>
      </c>
      <c r="L221" s="526">
        <v>-1.3485883170121201E-2</v>
      </c>
      <c r="M221" s="526">
        <v>0.12207232877045</v>
      </c>
      <c r="N221" s="526">
        <v>9.6771149381070107E-2</v>
      </c>
      <c r="O221" s="526">
        <v>2.2700000488573699E-3</v>
      </c>
      <c r="P221" s="526">
        <v>4.5741676010589802E-2</v>
      </c>
      <c r="Q221" s="526">
        <v>6.3893074648194506E-2</v>
      </c>
      <c r="R221" s="526">
        <v>3.7740037431704697E-2</v>
      </c>
      <c r="S221" s="526">
        <v>6.0649671158805998E-2</v>
      </c>
      <c r="T221" s="526">
        <v>1.33748682715767E-2</v>
      </c>
      <c r="U221" s="526">
        <v>4.66284445779322E-2</v>
      </c>
      <c r="V221" s="526">
        <v>4.3657075690072197E-2</v>
      </c>
      <c r="W221" s="526">
        <v>3.1627146045567399E-2</v>
      </c>
      <c r="X221" s="526">
        <v>3.52177692543982E-2</v>
      </c>
      <c r="Y221" s="526">
        <v>5.0329952630540901E-2</v>
      </c>
      <c r="Z221" s="526">
        <v>2.2573028871326801E-2</v>
      </c>
      <c r="AA221" s="526">
        <v>3.0521061202548001E-2</v>
      </c>
      <c r="AB221" s="526">
        <v>3.7028183703203002E-2</v>
      </c>
      <c r="AC221" s="526">
        <v>1.7612413967813802E-2</v>
      </c>
      <c r="AD221" s="526">
        <v>4.9572603777866903E-2</v>
      </c>
      <c r="AE221" s="526">
        <v>2.39464904206633E-2</v>
      </c>
      <c r="AF221" s="526">
        <v>5.9897547846300699E-2</v>
      </c>
      <c r="AG221" s="526">
        <v>3.9404725672122199E-4</v>
      </c>
      <c r="AH221" s="526">
        <v>4.3291171971352002E-2</v>
      </c>
      <c r="AI221" s="526">
        <v>3.4537334014456599E-2</v>
      </c>
      <c r="AJ221" s="526">
        <v>2.4336406986584101E-2</v>
      </c>
    </row>
    <row r="222" spans="1:36" ht="14.5" x14ac:dyDescent="0.3">
      <c r="A222" s="49"/>
      <c r="B222" s="125"/>
      <c r="C222" s="525"/>
      <c r="D222" s="526"/>
      <c r="E222" s="526"/>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row>
    <row r="223" spans="1:36" ht="14.5" x14ac:dyDescent="0.3">
      <c r="A223" s="49"/>
      <c r="B223" s="125"/>
      <c r="C223" s="524" t="s">
        <v>1043</v>
      </c>
      <c r="D223" s="526"/>
      <c r="E223" s="526"/>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row>
    <row r="224" spans="1:36" ht="14.5" x14ac:dyDescent="0.3">
      <c r="A224" s="533"/>
      <c r="B224" s="534"/>
      <c r="C224" s="535" t="s">
        <v>347</v>
      </c>
      <c r="D224" s="530">
        <v>1604460.2895240709</v>
      </c>
      <c r="E224" s="530">
        <v>1867098.4489674682</v>
      </c>
      <c r="F224" s="530">
        <v>1302042.243085803</v>
      </c>
      <c r="G224" s="530">
        <v>1327406.5</v>
      </c>
      <c r="H224" s="530">
        <v>1463045.0729310149</v>
      </c>
      <c r="I224" s="530">
        <v>1612543.6220387039</v>
      </c>
      <c r="J224" s="530">
        <v>1764087.2399603368</v>
      </c>
      <c r="K224" s="530">
        <v>1944557.9062379126</v>
      </c>
      <c r="L224" s="530">
        <v>2284889.5136796427</v>
      </c>
      <c r="M224" s="530">
        <v>3052481.1849844651</v>
      </c>
      <c r="N224" s="530">
        <v>3515927.3939550086</v>
      </c>
      <c r="O224" s="530">
        <v>3948276.044022718</v>
      </c>
      <c r="P224" s="530">
        <v>4626621.4401999107</v>
      </c>
      <c r="Q224" s="530">
        <v>5414401.5295137623</v>
      </c>
      <c r="R224" s="530">
        <v>6229552.0055406755</v>
      </c>
      <c r="S224" s="530">
        <v>7246085.4051975543</v>
      </c>
      <c r="T224" s="530">
        <v>8273917.085928943</v>
      </c>
      <c r="U224" s="530">
        <v>9784732.8978184387</v>
      </c>
      <c r="V224" s="530">
        <v>11798709.306913665</v>
      </c>
      <c r="W224" s="530">
        <v>14070992.057968147</v>
      </c>
      <c r="X224" s="530">
        <v>16757984.601255033</v>
      </c>
      <c r="Y224" s="530">
        <v>20130837.079947375</v>
      </c>
      <c r="Z224" s="530">
        <v>23677514.805187043</v>
      </c>
      <c r="AA224" s="530">
        <v>28022566.966339234</v>
      </c>
      <c r="AB224" s="530">
        <v>33302591.395804342</v>
      </c>
      <c r="AC224" s="530">
        <v>39646868.864906959</v>
      </c>
      <c r="AD224" s="530">
        <v>47502498.251722857</v>
      </c>
      <c r="AE224" s="530">
        <v>56153113.789837055</v>
      </c>
      <c r="AF224" s="530">
        <v>67405842.760423422</v>
      </c>
      <c r="AG224" s="530">
        <v>78542527.513632447</v>
      </c>
      <c r="AH224" s="530">
        <v>93260504.17173025</v>
      </c>
      <c r="AI224" s="530">
        <v>110809564.01844092</v>
      </c>
      <c r="AJ224" s="530">
        <v>132608543.43313411</v>
      </c>
    </row>
    <row r="225" spans="1:36" ht="14.5" x14ac:dyDescent="0.3">
      <c r="A225" s="49"/>
      <c r="B225" s="125"/>
      <c r="C225" s="525" t="s">
        <v>348</v>
      </c>
      <c r="D225" s="526"/>
      <c r="E225" s="532">
        <f t="shared" ref="E225:G225" si="13">+(E224-D224)/D224</f>
        <v>0.16369252711221874</v>
      </c>
      <c r="F225" s="532">
        <f t="shared" si="13"/>
        <v>-0.30263867778056869</v>
      </c>
      <c r="G225" s="532">
        <f t="shared" si="13"/>
        <v>1.9480364057992802E-2</v>
      </c>
      <c r="H225" s="532">
        <v>0.10218314655760299</v>
      </c>
      <c r="I225" s="532">
        <v>0.10218314655760299</v>
      </c>
      <c r="J225" s="532">
        <v>9.3977995913090195E-2</v>
      </c>
      <c r="K225" s="526">
        <v>0.10230257449265</v>
      </c>
      <c r="L225" s="526">
        <v>0.175017471246285</v>
      </c>
      <c r="M225" s="526">
        <v>0.33594257696455249</v>
      </c>
      <c r="N225" s="526">
        <v>0.15182606571018123</v>
      </c>
      <c r="O225" s="526">
        <v>0.12296859451962903</v>
      </c>
      <c r="P225" s="526">
        <v>0.17180799635429184</v>
      </c>
      <c r="Q225" s="526">
        <v>0.17027113618351547</v>
      </c>
      <c r="R225" s="526">
        <v>0.15055227647664279</v>
      </c>
      <c r="S225" s="526">
        <v>0.16317921397120622</v>
      </c>
      <c r="T225" s="526">
        <v>0.14184647616686022</v>
      </c>
      <c r="U225" s="526">
        <v>0.18259982499206667</v>
      </c>
      <c r="V225" s="526">
        <v>0.20582845031408609</v>
      </c>
      <c r="W225" s="526">
        <v>0.19258740019325654</v>
      </c>
      <c r="X225" s="526">
        <v>0.1909597086131033</v>
      </c>
      <c r="Y225" s="526">
        <v>0.20126838393441074</v>
      </c>
      <c r="Z225" s="526">
        <v>0.17618133369985728</v>
      </c>
      <c r="AA225" s="526">
        <v>0.18350963759931074</v>
      </c>
      <c r="AB225" s="526">
        <v>0.18842044113258741</v>
      </c>
      <c r="AC225" s="526">
        <v>0.19050401795164534</v>
      </c>
      <c r="AD225" s="526">
        <v>0.19813996947862958</v>
      </c>
      <c r="AE225" s="526">
        <v>0.18210864389222847</v>
      </c>
      <c r="AF225" s="526">
        <v>0.20039367741389547</v>
      </c>
      <c r="AG225" s="526">
        <v>0.16521838904665095</v>
      </c>
      <c r="AH225" s="526">
        <v>0.18738863038935477</v>
      </c>
      <c r="AI225" s="526">
        <v>0.18817247453858663</v>
      </c>
      <c r="AJ225" s="526">
        <v>0.19672471061311458</v>
      </c>
    </row>
    <row r="226" spans="1:36" ht="14.5" x14ac:dyDescent="0.3">
      <c r="A226" s="944"/>
      <c r="B226" s="125"/>
      <c r="C226" s="529"/>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c r="AA226" s="392"/>
      <c r="AB226" s="392"/>
      <c r="AC226" s="392"/>
      <c r="AD226" s="392"/>
      <c r="AE226" s="392"/>
      <c r="AF226" s="392"/>
      <c r="AG226" s="392"/>
      <c r="AH226" s="392"/>
      <c r="AI226" s="392"/>
      <c r="AJ226" s="392"/>
    </row>
    <row r="227" spans="1:36" ht="14.5" x14ac:dyDescent="0.3">
      <c r="A227" s="49"/>
      <c r="B227" s="523"/>
      <c r="C227" s="524" t="s">
        <v>357</v>
      </c>
      <c r="D227" s="1095"/>
      <c r="E227" s="1095"/>
      <c r="F227" s="1095"/>
      <c r="G227" s="1095"/>
      <c r="H227" s="954"/>
      <c r="I227" s="954"/>
      <c r="J227" s="954"/>
      <c r="K227" s="954"/>
      <c r="L227" s="954"/>
      <c r="M227" s="954"/>
      <c r="N227" s="954"/>
      <c r="O227" s="954"/>
      <c r="P227" s="954"/>
      <c r="Q227" s="954"/>
      <c r="R227" s="954"/>
      <c r="S227" s="954"/>
      <c r="T227" s="954"/>
      <c r="U227" s="954"/>
      <c r="V227" s="954"/>
      <c r="W227" s="954"/>
      <c r="X227" s="954"/>
      <c r="Y227" s="954"/>
      <c r="Z227" s="954"/>
      <c r="AA227" s="954"/>
      <c r="AB227" s="954"/>
      <c r="AC227" s="954"/>
      <c r="AD227" s="954"/>
      <c r="AE227" s="954"/>
      <c r="AF227" s="954"/>
      <c r="AG227" s="954"/>
      <c r="AH227" s="954"/>
      <c r="AI227" s="954"/>
      <c r="AJ227" s="954"/>
    </row>
    <row r="228" spans="1:36" ht="14.5" x14ac:dyDescent="0.3">
      <c r="A228" s="49"/>
      <c r="B228" s="523"/>
      <c r="C228" s="524" t="s">
        <v>1041</v>
      </c>
      <c r="D228" s="526"/>
      <c r="E228" s="526"/>
      <c r="F228" s="526"/>
      <c r="G228" s="526"/>
      <c r="H228" s="954"/>
      <c r="I228" s="954"/>
      <c r="J228" s="954"/>
      <c r="K228" s="954"/>
      <c r="L228" s="954"/>
      <c r="M228" s="954"/>
      <c r="N228" s="954"/>
      <c r="O228" s="954"/>
      <c r="P228" s="954"/>
      <c r="Q228" s="954"/>
      <c r="R228" s="954"/>
      <c r="S228" s="954"/>
      <c r="T228" s="954"/>
      <c r="U228" s="954"/>
      <c r="V228" s="954"/>
      <c r="W228" s="954"/>
      <c r="X228" s="954"/>
      <c r="Y228" s="954"/>
      <c r="Z228" s="954"/>
      <c r="AA228" s="954"/>
      <c r="AB228" s="954"/>
      <c r="AC228" s="954"/>
      <c r="AD228" s="954"/>
      <c r="AE228" s="954"/>
      <c r="AF228" s="954"/>
      <c r="AG228" s="954"/>
      <c r="AH228" s="954"/>
      <c r="AI228" s="954"/>
      <c r="AJ228" s="954"/>
    </row>
    <row r="229" spans="1:36" ht="14.5" x14ac:dyDescent="0.3">
      <c r="A229" s="49"/>
      <c r="B229" s="125"/>
      <c r="C229" s="525" t="s">
        <v>347</v>
      </c>
      <c r="D229" s="530">
        <v>559109.52465252904</v>
      </c>
      <c r="E229" s="530">
        <v>449120.8695696746</v>
      </c>
      <c r="F229" s="530">
        <v>390254.98173063231</v>
      </c>
      <c r="G229" s="530">
        <v>453346.08939600002</v>
      </c>
      <c r="H229" s="526">
        <v>678891.78032987181</v>
      </c>
      <c r="I229" s="526">
        <v>847449.50429877196</v>
      </c>
      <c r="J229" s="526">
        <v>1546528.9485755886</v>
      </c>
      <c r="K229" s="526">
        <v>1912301.209746419</v>
      </c>
      <c r="L229" s="526">
        <v>2348641.2990424875</v>
      </c>
      <c r="M229" s="526">
        <v>2230517.8324646861</v>
      </c>
      <c r="N229" s="526">
        <v>2434929.7743956153</v>
      </c>
      <c r="O229" s="526">
        <v>2651311.4736236241</v>
      </c>
      <c r="P229" s="526">
        <v>3252783.4347001691</v>
      </c>
      <c r="Q229" s="526">
        <v>3569397.0709067127</v>
      </c>
      <c r="R229" s="526">
        <v>3985061.8244602261</v>
      </c>
      <c r="S229" s="526">
        <v>4425318.9698810056</v>
      </c>
      <c r="T229" s="526">
        <v>4924930.2029196434</v>
      </c>
      <c r="U229" s="526">
        <v>5460407.9371057516</v>
      </c>
      <c r="V229" s="526">
        <v>6069903.2201115843</v>
      </c>
      <c r="W229" s="526">
        <v>6761705.3501844564</v>
      </c>
      <c r="X229" s="526">
        <v>8534214.2297385279</v>
      </c>
      <c r="Y229" s="526">
        <v>9500910.8527950589</v>
      </c>
      <c r="Z229" s="526">
        <v>10617989.696923358</v>
      </c>
      <c r="AA229" s="526">
        <v>13235721.070397135</v>
      </c>
      <c r="AB229" s="526">
        <v>16798812.961433701</v>
      </c>
      <c r="AC229" s="526">
        <v>20970951.582916118</v>
      </c>
      <c r="AD229" s="526">
        <v>26545139.295891352</v>
      </c>
      <c r="AE229" s="526">
        <v>33814143.561870351</v>
      </c>
      <c r="AF229" s="526">
        <v>41343003.644116029</v>
      </c>
      <c r="AG229" s="526">
        <v>53310252.15702524</v>
      </c>
      <c r="AH229" s="526">
        <v>66786675.305658638</v>
      </c>
      <c r="AI229" s="526">
        <v>83823775.268939599</v>
      </c>
      <c r="AJ229" s="526">
        <v>105514717.55321904</v>
      </c>
    </row>
    <row r="230" spans="1:36" ht="14.5" x14ac:dyDescent="0.3">
      <c r="A230" s="49"/>
      <c r="B230" s="125"/>
      <c r="C230" s="525" t="s">
        <v>348</v>
      </c>
      <c r="D230" s="531"/>
      <c r="E230" s="532">
        <f t="shared" ref="E230:G230" si="14">+(E229-D229)/D229</f>
        <v>-0.19672112570646927</v>
      </c>
      <c r="F230" s="532">
        <f t="shared" si="14"/>
        <v>-0.13106914380408258</v>
      </c>
      <c r="G230" s="532">
        <f t="shared" si="14"/>
        <v>0.16166637357345873</v>
      </c>
      <c r="H230" s="526">
        <v>0.497513260199001</v>
      </c>
      <c r="I230" s="526">
        <v>0.24828364233103301</v>
      </c>
      <c r="J230" s="526">
        <v>0.82492165106082005</v>
      </c>
      <c r="K230" s="526">
        <v>0.23651174554974899</v>
      </c>
      <c r="L230" s="526">
        <v>0.22817539782549701</v>
      </c>
      <c r="M230" s="526">
        <v>0.20869528771577101</v>
      </c>
      <c r="N230" s="526">
        <v>0.13541974942340701</v>
      </c>
      <c r="O230" s="526">
        <v>0.13120818091697201</v>
      </c>
      <c r="P230" s="526">
        <v>0.14942453487451399</v>
      </c>
      <c r="Q230" s="526">
        <v>0.135841764045425</v>
      </c>
      <c r="R230" s="526">
        <v>0.15825232723868601</v>
      </c>
      <c r="S230" s="526">
        <v>0.19567441278336301</v>
      </c>
      <c r="T230" s="526">
        <v>0.15825232723868601</v>
      </c>
      <c r="U230" s="526">
        <v>0.204962718316481</v>
      </c>
      <c r="V230" s="526">
        <v>0.179638647533964</v>
      </c>
      <c r="W230" s="526">
        <v>0.204962718316481</v>
      </c>
      <c r="X230" s="526">
        <v>0.19447028423160001</v>
      </c>
      <c r="Y230" s="526">
        <v>0.203866118813992</v>
      </c>
      <c r="Z230" s="526">
        <v>0.19241909154657</v>
      </c>
      <c r="AA230" s="526">
        <v>0.16537494522485599</v>
      </c>
      <c r="AB230" s="526">
        <v>0.19882220497088199</v>
      </c>
      <c r="AC230" s="526">
        <v>0.18627857820097099</v>
      </c>
      <c r="AD230" s="526">
        <v>0.18627857820097099</v>
      </c>
      <c r="AE230" s="526">
        <v>0.14992026897520899</v>
      </c>
      <c r="AF230" s="526">
        <v>0.18627857820097099</v>
      </c>
      <c r="AG230" s="526">
        <v>0.18313078601345101</v>
      </c>
      <c r="AH230" s="526">
        <v>0.19882220497088199</v>
      </c>
      <c r="AI230" s="526">
        <v>0.18313078601345101</v>
      </c>
      <c r="AJ230" s="526">
        <v>0.18025652483479279</v>
      </c>
    </row>
    <row r="231" spans="1:36" ht="14.5" x14ac:dyDescent="0.3">
      <c r="A231" s="944"/>
      <c r="B231" s="125"/>
      <c r="C231" s="525"/>
      <c r="D231" s="525"/>
      <c r="E231" s="525"/>
      <c r="F231" s="525"/>
      <c r="G231" s="525"/>
      <c r="H231" s="525"/>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row>
    <row r="232" spans="1:36" ht="14.5" x14ac:dyDescent="0.3">
      <c r="A232" s="944"/>
      <c r="B232" s="125"/>
      <c r="C232" s="524" t="s">
        <v>1042</v>
      </c>
      <c r="D232" s="526"/>
      <c r="E232" s="526"/>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row>
    <row r="233" spans="1:36" ht="14.5" x14ac:dyDescent="0.3">
      <c r="A233" s="944"/>
      <c r="B233" s="125"/>
      <c r="C233" s="525" t="s">
        <v>347</v>
      </c>
      <c r="D233" s="530">
        <v>1208574.3662646939</v>
      </c>
      <c r="E233" s="530">
        <v>1129098.4277240785</v>
      </c>
      <c r="F233" s="530">
        <v>709670.62977902661</v>
      </c>
      <c r="G233" s="530">
        <v>938239.8125</v>
      </c>
      <c r="H233" s="526">
        <v>1035172.4123869333</v>
      </c>
      <c r="I233" s="526">
        <v>1040597.9915912872</v>
      </c>
      <c r="J233" s="526">
        <v>1087303.6174258194</v>
      </c>
      <c r="K233" s="526">
        <v>1309868.0663260913</v>
      </c>
      <c r="L233" s="526">
        <v>1911548.3064710055</v>
      </c>
      <c r="M233" s="526">
        <v>2538847.8375374884</v>
      </c>
      <c r="N233" s="526">
        <v>2919641.8009375781</v>
      </c>
      <c r="O233" s="526">
        <v>3167462.7825410566</v>
      </c>
      <c r="P233" s="526">
        <v>3446560.1401281976</v>
      </c>
      <c r="Q233" s="526">
        <v>3926873.252817614</v>
      </c>
      <c r="R233" s="526">
        <v>4269710.5904189125</v>
      </c>
      <c r="S233" s="526">
        <v>4578802.7579656206</v>
      </c>
      <c r="T233" s="526">
        <v>5254884.4308604458</v>
      </c>
      <c r="U233" s="526">
        <v>5762582.2626878321</v>
      </c>
      <c r="V233" s="526">
        <v>6516021.5247120848</v>
      </c>
      <c r="W233" s="526">
        <v>7291546.1167826047</v>
      </c>
      <c r="X233" s="526">
        <v>7860350.8787897285</v>
      </c>
      <c r="Y233" s="526">
        <v>8792928.9392612856</v>
      </c>
      <c r="Z233" s="526">
        <v>9626046.1439260207</v>
      </c>
      <c r="AA233" s="526">
        <v>10444076.272088442</v>
      </c>
      <c r="AB233" s="526">
        <v>11529357.506500114</v>
      </c>
      <c r="AC233" s="526">
        <v>12260884.052348211</v>
      </c>
      <c r="AD233" s="526">
        <v>13253524.190951083</v>
      </c>
      <c r="AE233" s="526">
        <v>14202489.661837112</v>
      </c>
      <c r="AF233" s="526">
        <v>14949549.394475166</v>
      </c>
      <c r="AG233" s="526">
        <v>15691923.693542805</v>
      </c>
      <c r="AH233" s="526">
        <v>16297537.247794852</v>
      </c>
      <c r="AI233" s="526">
        <v>17142206.955451127</v>
      </c>
      <c r="AJ233" s="526">
        <v>18023190.020862147</v>
      </c>
    </row>
    <row r="234" spans="1:36" ht="14.5" x14ac:dyDescent="0.3">
      <c r="A234" s="944"/>
      <c r="B234" s="125"/>
      <c r="C234" s="525" t="s">
        <v>348</v>
      </c>
      <c r="D234" s="531"/>
      <c r="E234" s="532">
        <f t="shared" ref="E234:G234" si="15">+(E233-D233)/D233</f>
        <v>-6.5760072990997967E-2</v>
      </c>
      <c r="F234" s="532">
        <f t="shared" si="15"/>
        <v>-0.37147142148669154</v>
      </c>
      <c r="G234" s="532">
        <f t="shared" si="15"/>
        <v>0.32207783883087288</v>
      </c>
      <c r="H234" s="532">
        <v>0.103313245287098</v>
      </c>
      <c r="I234" s="532">
        <v>5.2412324163888203E-3</v>
      </c>
      <c r="J234" s="532">
        <v>4.4883447990428697E-2</v>
      </c>
      <c r="K234" s="526">
        <v>0.20469392847895701</v>
      </c>
      <c r="L234" s="526">
        <v>0.45934415504341802</v>
      </c>
      <c r="M234" s="526">
        <v>0.32816305449511152</v>
      </c>
      <c r="N234" s="526">
        <v>0.14998691838477174</v>
      </c>
      <c r="O234" s="526">
        <v>8.4880611561286845E-2</v>
      </c>
      <c r="P234" s="526">
        <v>8.811385539413949E-2</v>
      </c>
      <c r="Q234" s="526">
        <v>0.1393601426236975</v>
      </c>
      <c r="R234" s="526">
        <v>8.7305424832672118E-2</v>
      </c>
      <c r="S234" s="526">
        <v>7.2391831015502631E-2</v>
      </c>
      <c r="T234" s="526">
        <v>0.14765468368749099</v>
      </c>
      <c r="U234" s="526">
        <v>9.661446193674994E-2</v>
      </c>
      <c r="V234" s="526">
        <v>0.13074681239740374</v>
      </c>
      <c r="W234" s="526">
        <v>0.11901811391035681</v>
      </c>
      <c r="X234" s="526">
        <v>7.8008799902935994E-2</v>
      </c>
      <c r="Y234" s="526">
        <v>0.11864331183840857</v>
      </c>
      <c r="Z234" s="526">
        <v>9.4748542882541101E-2</v>
      </c>
      <c r="AA234" s="526">
        <v>8.4980906587342225E-2</v>
      </c>
      <c r="AB234" s="526">
        <v>0.10391356843228554</v>
      </c>
      <c r="AC234" s="526">
        <v>6.3449029612940022E-2</v>
      </c>
      <c r="AD234" s="526">
        <v>8.0959915644317759E-2</v>
      </c>
      <c r="AE234" s="526">
        <v>7.1600991344923995E-2</v>
      </c>
      <c r="AF234" s="526">
        <v>5.2600617949784295E-2</v>
      </c>
      <c r="AG234" s="526">
        <v>4.9658640503371695E-2</v>
      </c>
      <c r="AH234" s="526">
        <v>3.859396502809008E-2</v>
      </c>
      <c r="AI234" s="526">
        <v>5.182805811783376E-2</v>
      </c>
      <c r="AJ234" s="526">
        <v>5.1392628014613466E-2</v>
      </c>
    </row>
    <row r="235" spans="1:36" ht="14.5" x14ac:dyDescent="0.3">
      <c r="A235" s="944"/>
      <c r="B235" s="125"/>
      <c r="C235" s="525"/>
      <c r="D235" s="526"/>
      <c r="E235" s="526"/>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row>
    <row r="236" spans="1:36" ht="14.5" x14ac:dyDescent="0.3">
      <c r="A236" s="944"/>
      <c r="B236" s="125"/>
      <c r="C236" s="524" t="s">
        <v>354</v>
      </c>
      <c r="D236" s="526"/>
      <c r="E236" s="526"/>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row>
    <row r="237" spans="1:36" ht="14.5" x14ac:dyDescent="0.3">
      <c r="A237" s="944"/>
      <c r="B237" s="125"/>
      <c r="C237" s="525" t="s">
        <v>347</v>
      </c>
      <c r="D237" s="530">
        <v>790705.76447759371</v>
      </c>
      <c r="E237" s="526">
        <v>889438.39959305874</v>
      </c>
      <c r="F237" s="526">
        <v>987993.29843976919</v>
      </c>
      <c r="G237" s="526">
        <v>941721.5625</v>
      </c>
      <c r="H237" s="526">
        <v>1093434.5588050794</v>
      </c>
      <c r="I237" s="526">
        <v>1098322.827130697</v>
      </c>
      <c r="J237" s="526">
        <v>1146286.6097463218</v>
      </c>
      <c r="K237" s="526">
        <v>1324043.0240314533</v>
      </c>
      <c r="L237" s="526">
        <v>1457120.081384365</v>
      </c>
      <c r="M237" s="526">
        <v>1617379.9482219541</v>
      </c>
      <c r="N237" s="526">
        <v>1754454.0280375476</v>
      </c>
      <c r="O237" s="526">
        <v>1895089.5575869272</v>
      </c>
      <c r="P237" s="526">
        <v>2023040.7940371335</v>
      </c>
      <c r="Q237" s="526">
        <v>2169621.1156063108</v>
      </c>
      <c r="R237" s="526">
        <v>2339119.6825887444</v>
      </c>
      <c r="S237" s="526">
        <v>2482503.8135455064</v>
      </c>
      <c r="T237" s="526">
        <v>2660005.2554646009</v>
      </c>
      <c r="U237" s="526">
        <v>2837506.853561495</v>
      </c>
      <c r="V237" s="526">
        <v>3013634.8232435556</v>
      </c>
      <c r="W237" s="526">
        <v>3220768.4857979435</v>
      </c>
      <c r="X237" s="526">
        <v>3422457.5822384944</v>
      </c>
      <c r="Y237" s="526">
        <v>3640606.9790998651</v>
      </c>
      <c r="Z237" s="526">
        <v>3897099.9792297925</v>
      </c>
      <c r="AA237" s="526">
        <v>4138401.2839707178</v>
      </c>
      <c r="AB237" s="526">
        <v>4404277.266321253</v>
      </c>
      <c r="AC237" s="526">
        <v>4659455.2300528158</v>
      </c>
      <c r="AD237" s="526">
        <v>4962225.9218588714</v>
      </c>
      <c r="AE237" s="526">
        <v>5291567.0952936644</v>
      </c>
      <c r="AF237" s="526">
        <v>5617423.3061898639</v>
      </c>
      <c r="AG237" s="526">
        <v>6003823.4336938458</v>
      </c>
      <c r="AH237" s="526">
        <v>6380402.8738058666</v>
      </c>
      <c r="AI237" s="526">
        <v>6768499.1828488912</v>
      </c>
      <c r="AJ237" s="526">
        <v>7195168.3555452395</v>
      </c>
    </row>
    <row r="238" spans="1:36" ht="14.5" x14ac:dyDescent="0.3">
      <c r="A238" s="944"/>
      <c r="B238" s="125"/>
      <c r="C238" s="525" t="s">
        <v>348</v>
      </c>
      <c r="D238" s="526"/>
      <c r="E238" s="532">
        <f t="shared" ref="E238:G238" si="16">+(E237-D237)/D237</f>
        <v>0.12486646683383681</v>
      </c>
      <c r="F238" s="532">
        <f t="shared" si="16"/>
        <v>0.11080576113174548</v>
      </c>
      <c r="G238" s="532">
        <f t="shared" si="16"/>
        <v>-4.6834058503069945E-2</v>
      </c>
      <c r="H238" s="532">
        <v>0.161101754856632</v>
      </c>
      <c r="I238" s="526">
        <v>4.4705632232435498E-3</v>
      </c>
      <c r="J238" s="526">
        <v>4.3670022538753503E-2</v>
      </c>
      <c r="K238" s="526">
        <v>0.15507152641735</v>
      </c>
      <c r="L238" s="526">
        <v>0.10050810656266899</v>
      </c>
      <c r="M238" s="526">
        <v>0.10998398065129342</v>
      </c>
      <c r="N238" s="526">
        <v>8.4750698168531285E-2</v>
      </c>
      <c r="O238" s="526">
        <v>8.0159141990564536E-2</v>
      </c>
      <c r="P238" s="526">
        <v>6.7517250537294154E-2</v>
      </c>
      <c r="Q238" s="526">
        <v>7.2455445288705608E-2</v>
      </c>
      <c r="R238" s="526">
        <v>7.8123579164681239E-2</v>
      </c>
      <c r="S238" s="526">
        <v>6.1298330318043416E-2</v>
      </c>
      <c r="T238" s="526">
        <v>7.1500974520392543E-2</v>
      </c>
      <c r="U238" s="526">
        <v>6.6729792255952297E-2</v>
      </c>
      <c r="V238" s="526">
        <v>6.2071381241244887E-2</v>
      </c>
      <c r="W238" s="526">
        <v>6.8732170519403266E-2</v>
      </c>
      <c r="X238" s="526">
        <v>6.2621420114455317E-2</v>
      </c>
      <c r="Y238" s="526">
        <v>6.374056993240737E-2</v>
      </c>
      <c r="Z238" s="526">
        <v>7.0453361651618071E-2</v>
      </c>
      <c r="AA238" s="526">
        <v>6.1918171467752504E-2</v>
      </c>
      <c r="AB238" s="526">
        <v>6.4246061246006639E-2</v>
      </c>
      <c r="AC238" s="526">
        <v>5.7938669230219529E-2</v>
      </c>
      <c r="AD238" s="526">
        <v>6.4979847827108153E-2</v>
      </c>
      <c r="AE238" s="526">
        <v>6.6369645119144546E-2</v>
      </c>
      <c r="AF238" s="526">
        <v>6.1580285202471739E-2</v>
      </c>
      <c r="AG238" s="526">
        <v>6.878600853850661E-2</v>
      </c>
      <c r="AH238" s="526">
        <v>6.2723270307822959E-2</v>
      </c>
      <c r="AI238" s="526">
        <v>6.0826301523422097E-2</v>
      </c>
      <c r="AJ238" s="526">
        <v>6.3037486031986431E-2</v>
      </c>
    </row>
    <row r="239" spans="1:36" ht="14.5" x14ac:dyDescent="0.3">
      <c r="A239" s="944"/>
      <c r="B239" s="125"/>
      <c r="C239" s="525"/>
      <c r="D239" s="526"/>
      <c r="E239" s="526"/>
      <c r="F239" s="526"/>
      <c r="G239" s="526"/>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row>
    <row r="240" spans="1:36" ht="14.5" x14ac:dyDescent="0.3">
      <c r="A240" s="49"/>
      <c r="B240" s="523"/>
      <c r="C240" s="524" t="s">
        <v>355</v>
      </c>
      <c r="D240" s="954"/>
      <c r="E240" s="954"/>
      <c r="F240" s="954"/>
      <c r="G240" s="954"/>
      <c r="H240" s="954"/>
      <c r="I240" s="954"/>
      <c r="J240" s="954"/>
      <c r="K240" s="954"/>
      <c r="L240" s="954"/>
      <c r="M240" s="954"/>
      <c r="N240" s="954"/>
      <c r="O240" s="954"/>
      <c r="P240" s="954"/>
      <c r="Q240" s="954"/>
      <c r="R240" s="954"/>
      <c r="S240" s="954"/>
      <c r="T240" s="954"/>
      <c r="U240" s="954"/>
      <c r="V240" s="954"/>
      <c r="W240" s="954"/>
      <c r="X240" s="954"/>
      <c r="Y240" s="954"/>
      <c r="Z240" s="954"/>
      <c r="AA240" s="954"/>
      <c r="AB240" s="954"/>
      <c r="AC240" s="954"/>
      <c r="AD240" s="954"/>
      <c r="AE240" s="954"/>
      <c r="AF240" s="954"/>
      <c r="AG240" s="954"/>
      <c r="AH240" s="954"/>
      <c r="AI240" s="954"/>
      <c r="AJ240" s="954"/>
    </row>
    <row r="241" spans="1:36" ht="14.5" x14ac:dyDescent="0.3">
      <c r="A241" s="533"/>
      <c r="B241" s="534"/>
      <c r="C241" s="535" t="s">
        <v>347</v>
      </c>
      <c r="D241" s="530">
        <v>1498460.7213370022</v>
      </c>
      <c r="E241" s="530">
        <v>1487939.5890042796</v>
      </c>
      <c r="F241" s="530">
        <v>1630352.8697171921</v>
      </c>
      <c r="G241" s="530">
        <v>1851563.25</v>
      </c>
      <c r="H241" s="530">
        <v>2113300.6912892545</v>
      </c>
      <c r="I241" s="530">
        <v>2263283.0127890003</v>
      </c>
      <c r="J241" s="530">
        <v>2478648.5020966362</v>
      </c>
      <c r="K241" s="530">
        <v>2868643.589542788</v>
      </c>
      <c r="L241" s="530">
        <v>2639155.2119954093</v>
      </c>
      <c r="M241" s="530">
        <v>2529143.6704102806</v>
      </c>
      <c r="N241" s="530">
        <v>2614050.5086503201</v>
      </c>
      <c r="O241" s="530">
        <v>2690698.220965676</v>
      </c>
      <c r="P241" s="530">
        <v>2768065.5136732343</v>
      </c>
      <c r="Q241" s="530">
        <v>2850463.0679315156</v>
      </c>
      <c r="R241" s="530">
        <v>2844808.2028609216</v>
      </c>
      <c r="S241" s="530">
        <v>2899716.7797099808</v>
      </c>
      <c r="T241" s="530">
        <v>2919902.5199378575</v>
      </c>
      <c r="U241" s="530">
        <v>2927485.2732823701</v>
      </c>
      <c r="V241" s="530">
        <v>2951387.1608950435</v>
      </c>
      <c r="W241" s="530">
        <v>2929568.3756670202</v>
      </c>
      <c r="X241" s="530">
        <v>2939015.1296850275</v>
      </c>
      <c r="Y241" s="530">
        <v>2970749.8296100642</v>
      </c>
      <c r="Z241" s="530">
        <v>2967167.5966249243</v>
      </c>
      <c r="AA241" s="530">
        <v>2974782.413448771</v>
      </c>
      <c r="AB241" s="530">
        <v>2977087.9303357382</v>
      </c>
      <c r="AC241" s="530">
        <v>2915140.6352049988</v>
      </c>
      <c r="AD241" s="530">
        <v>2936396.449933413</v>
      </c>
      <c r="AE241" s="530">
        <v>2930565.4074776201</v>
      </c>
      <c r="AF241" s="530">
        <v>2962383.7798430384</v>
      </c>
      <c r="AG241" s="530">
        <v>2962625.2099163313</v>
      </c>
      <c r="AH241" s="530">
        <v>2954167.8078770465</v>
      </c>
      <c r="AI241" s="530">
        <v>2967776.5218039695</v>
      </c>
      <c r="AJ241" s="530">
        <v>2975297.6633155802</v>
      </c>
    </row>
    <row r="242" spans="1:36" ht="14.5" x14ac:dyDescent="0.3">
      <c r="A242" s="49"/>
      <c r="B242" s="125"/>
      <c r="C242" s="525" t="s">
        <v>348</v>
      </c>
      <c r="D242" s="526"/>
      <c r="E242" s="532">
        <f t="shared" ref="E242:G242" si="17">+(E241-D241)/D241</f>
        <v>-7.0212933731991127E-3</v>
      </c>
      <c r="F242" s="532">
        <f t="shared" si="17"/>
        <v>9.5711735721888208E-2</v>
      </c>
      <c r="G242" s="532">
        <f t="shared" si="17"/>
        <v>0.13568251658377486</v>
      </c>
      <c r="H242" s="532">
        <v>0.14136024858413801</v>
      </c>
      <c r="I242" s="526">
        <v>7.0970648955897803E-2</v>
      </c>
      <c r="J242" s="526">
        <v>9.5156234589612795E-2</v>
      </c>
      <c r="K242" s="526">
        <v>0.15734182846670799</v>
      </c>
      <c r="L242" s="526">
        <v>-7.99989159977713E-2</v>
      </c>
      <c r="M242" s="526">
        <v>-4.1684377290546373E-2</v>
      </c>
      <c r="N242" s="526">
        <v>3.3571378025458745E-2</v>
      </c>
      <c r="O242" s="526">
        <v>2.932143509152416E-2</v>
      </c>
      <c r="P242" s="526">
        <v>2.8753612019631111E-2</v>
      </c>
      <c r="Q242" s="526">
        <v>2.9767198012932487E-2</v>
      </c>
      <c r="R242" s="526">
        <v>-1.9838408482511587E-3</v>
      </c>
      <c r="S242" s="526">
        <v>1.9301328220946486E-2</v>
      </c>
      <c r="T242" s="526">
        <v>6.9612799322751389E-3</v>
      </c>
      <c r="U242" s="526">
        <v>2.5969200316570368E-3</v>
      </c>
      <c r="V242" s="526">
        <v>8.1646482839087819E-3</v>
      </c>
      <c r="W242" s="526">
        <v>-7.3927221467639404E-3</v>
      </c>
      <c r="X242" s="526">
        <v>3.224623154889254E-3</v>
      </c>
      <c r="Y242" s="526">
        <v>1.0797732752208678E-2</v>
      </c>
      <c r="Z242" s="526">
        <v>-1.2058346177233358E-3</v>
      </c>
      <c r="AA242" s="526">
        <v>2.5663588509488512E-3</v>
      </c>
      <c r="AB242" s="526">
        <v>7.7502034318354676E-4</v>
      </c>
      <c r="AC242" s="526">
        <v>-2.0808016619030031E-2</v>
      </c>
      <c r="AD242" s="526">
        <v>7.2915229103241849E-3</v>
      </c>
      <c r="AE242" s="526">
        <v>-1.9857817414011296E-3</v>
      </c>
      <c r="AF242" s="526">
        <v>1.0857417576905339E-2</v>
      </c>
      <c r="AG242" s="526">
        <v>8.1498580614573684E-5</v>
      </c>
      <c r="AH242" s="526">
        <v>-2.8546986000715416E-3</v>
      </c>
      <c r="AI242" s="526">
        <v>4.606615064532288E-3</v>
      </c>
      <c r="AJ242" s="526">
        <v>2.5342681486807532E-3</v>
      </c>
    </row>
    <row r="243" spans="1:36" ht="14.5" x14ac:dyDescent="0.3">
      <c r="A243" s="49"/>
      <c r="B243" s="125"/>
      <c r="C243" s="525"/>
      <c r="D243" s="526"/>
      <c r="E243" s="526"/>
      <c r="F243" s="526"/>
      <c r="G243" s="526"/>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row>
    <row r="244" spans="1:36" ht="14.5" x14ac:dyDescent="0.3">
      <c r="A244" s="49"/>
      <c r="B244" s="125"/>
      <c r="C244" s="524" t="s">
        <v>1043</v>
      </c>
      <c r="D244" s="526"/>
      <c r="E244" s="526"/>
      <c r="F244" s="526"/>
      <c r="G244" s="526"/>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row>
    <row r="245" spans="1:36" ht="14.5" x14ac:dyDescent="0.3">
      <c r="A245" s="533"/>
      <c r="B245" s="534"/>
      <c r="C245" s="535" t="s">
        <v>347</v>
      </c>
      <c r="D245" s="530">
        <v>5923730.3790653711</v>
      </c>
      <c r="E245" s="530">
        <v>5540529.9462402174</v>
      </c>
      <c r="F245" s="530">
        <v>5225833.5341005623</v>
      </c>
      <c r="G245" s="530">
        <v>6682053</v>
      </c>
      <c r="H245" s="530">
        <v>7157257.7107563065</v>
      </c>
      <c r="I245" s="530">
        <v>6946227.9440922234</v>
      </c>
      <c r="J245" s="530">
        <v>7533993.3010217436</v>
      </c>
      <c r="K245" s="530">
        <v>8259089.611374612</v>
      </c>
      <c r="L245" s="530">
        <v>8147708.4937840523</v>
      </c>
      <c r="M245" s="530">
        <v>8339420.7764267391</v>
      </c>
      <c r="N245" s="530">
        <v>8713661.1235204972</v>
      </c>
      <c r="O245" s="530">
        <v>8876312.0605200939</v>
      </c>
      <c r="P245" s="530">
        <v>9106738.5386886131</v>
      </c>
      <c r="Q245" s="530">
        <v>9313019.1687654052</v>
      </c>
      <c r="R245" s="530">
        <v>9393223.1065392848</v>
      </c>
      <c r="S245" s="530">
        <v>9560621.3231506348</v>
      </c>
      <c r="T245" s="530">
        <v>9634927.6853921171</v>
      </c>
      <c r="U245" s="530">
        <v>9796205.0812921971</v>
      </c>
      <c r="V245" s="530">
        <v>9941426.1341046244</v>
      </c>
      <c r="W245" s="530">
        <v>10097278.77644035</v>
      </c>
      <c r="X245" s="530">
        <v>10242745.622383524</v>
      </c>
      <c r="Y245" s="530">
        <v>10451147.130162939</v>
      </c>
      <c r="Z245" s="530">
        <v>10621346.781664554</v>
      </c>
      <c r="AA245" s="530">
        <v>10732971.821690831</v>
      </c>
      <c r="AB245" s="530">
        <v>10873999.998576632</v>
      </c>
      <c r="AC245" s="530">
        <v>10910178.823002728</v>
      </c>
      <c r="AD245" s="530">
        <v>11128354.225819714</v>
      </c>
      <c r="AE245" s="530">
        <v>11255819.435310204</v>
      </c>
      <c r="AF245" s="530">
        <v>11516498.957091918</v>
      </c>
      <c r="AG245" s="530">
        <v>11582042.994034901</v>
      </c>
      <c r="AH245" s="530">
        <v>11735727.101302698</v>
      </c>
      <c r="AI245" s="530">
        <v>11870256.545781439</v>
      </c>
      <c r="AJ245" s="530">
        <v>12075844.284392189</v>
      </c>
    </row>
    <row r="246" spans="1:36" ht="14.5" x14ac:dyDescent="0.3">
      <c r="A246" s="49"/>
      <c r="B246" s="125"/>
      <c r="C246" s="525" t="s">
        <v>348</v>
      </c>
      <c r="D246" s="526"/>
      <c r="E246" s="532">
        <f t="shared" ref="E246:G246" si="18">+(E245-D245)/D245</f>
        <v>-6.4689040233734257E-2</v>
      </c>
      <c r="F246" s="532">
        <f t="shared" si="18"/>
        <v>-5.6798973237786918E-2</v>
      </c>
      <c r="G246" s="532">
        <f t="shared" si="18"/>
        <v>0.2786578363809426</v>
      </c>
      <c r="H246" s="532">
        <v>7.1116573118517004E-2</v>
      </c>
      <c r="I246" s="532">
        <v>-2.94847237856109E-2</v>
      </c>
      <c r="J246" s="526">
        <v>8.4616479859319096E-2</v>
      </c>
      <c r="K246" s="526">
        <v>9.62432910916622E-2</v>
      </c>
      <c r="L246" s="526">
        <v>-1.3485883170121201E-2</v>
      </c>
      <c r="M246" s="526">
        <v>2.3529595197096787E-2</v>
      </c>
      <c r="N246" s="526">
        <v>4.4876059995873192E-2</v>
      </c>
      <c r="O246" s="526">
        <v>1.8666199510623392E-2</v>
      </c>
      <c r="P246" s="526">
        <v>2.5959709009488942E-2</v>
      </c>
      <c r="Q246" s="526">
        <v>2.2651427753244385E-2</v>
      </c>
      <c r="R246" s="526">
        <v>8.6120232676931384E-3</v>
      </c>
      <c r="S246" s="526">
        <v>1.7821169018631476E-2</v>
      </c>
      <c r="T246" s="526">
        <v>7.7721269078560558E-3</v>
      </c>
      <c r="U246" s="526">
        <v>1.673882785281279E-2</v>
      </c>
      <c r="V246" s="526">
        <v>1.4824215255533594E-2</v>
      </c>
      <c r="W246" s="526">
        <v>1.5677091016254145E-2</v>
      </c>
      <c r="X246" s="526">
        <v>1.4406539540394539E-2</v>
      </c>
      <c r="Y246" s="526">
        <v>2.0346254360158487E-2</v>
      </c>
      <c r="Z246" s="526">
        <v>1.6285260305101131E-2</v>
      </c>
      <c r="AA246" s="526">
        <v>1.0509499625694779E-2</v>
      </c>
      <c r="AB246" s="526">
        <v>1.3139713699870888E-2</v>
      </c>
      <c r="AC246" s="526">
        <v>3.3270943931241435E-3</v>
      </c>
      <c r="AD246" s="526">
        <v>1.999741767357573E-2</v>
      </c>
      <c r="AE246" s="526">
        <v>1.1454093471858311E-2</v>
      </c>
      <c r="AF246" s="526">
        <v>2.3159533011337056E-2</v>
      </c>
      <c r="AG246" s="526">
        <v>5.691316187948047E-3</v>
      </c>
      <c r="AH246" s="526">
        <v>1.3269170848955349E-2</v>
      </c>
      <c r="AI246" s="526">
        <v>1.1463238989581553E-2</v>
      </c>
      <c r="AJ246" s="526">
        <v>1.7319569953508186E-2</v>
      </c>
    </row>
    <row r="247" spans="1:36" ht="14.5" x14ac:dyDescent="0.3">
      <c r="A247" s="49"/>
      <c r="B247" s="125"/>
      <c r="C247" s="525"/>
      <c r="D247" s="526"/>
      <c r="E247" s="526"/>
      <c r="F247" s="526"/>
      <c r="G247" s="526"/>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row>
    <row r="248" spans="1:36" ht="14.5" x14ac:dyDescent="0.3">
      <c r="A248" s="49"/>
      <c r="B248" s="125"/>
      <c r="C248" s="524" t="s">
        <v>1043</v>
      </c>
      <c r="D248" s="526"/>
      <c r="E248" s="526"/>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row>
    <row r="249" spans="1:36" ht="14.5" x14ac:dyDescent="0.3">
      <c r="A249" s="533"/>
      <c r="B249" s="534"/>
      <c r="C249" s="535" t="s">
        <v>347</v>
      </c>
      <c r="D249" s="530">
        <v>1604460.2895240709</v>
      </c>
      <c r="E249" s="530">
        <v>1867098.4489674682</v>
      </c>
      <c r="F249" s="530">
        <v>1302042.243085803</v>
      </c>
      <c r="G249" s="530">
        <v>1327406.5</v>
      </c>
      <c r="H249" s="530">
        <v>1463045.0729310149</v>
      </c>
      <c r="I249" s="530">
        <v>1612543.6220387039</v>
      </c>
      <c r="J249" s="530">
        <v>1764087.2399603368</v>
      </c>
      <c r="K249" s="530">
        <v>1944557.9062379126</v>
      </c>
      <c r="L249" s="530">
        <v>2284889.5136796427</v>
      </c>
      <c r="M249" s="530">
        <v>2683298.8933464587</v>
      </c>
      <c r="N249" s="530">
        <v>2865829.1956996047</v>
      </c>
      <c r="O249" s="530">
        <v>3043301.2873984468</v>
      </c>
      <c r="P249" s="530">
        <v>3260233.4819568302</v>
      </c>
      <c r="Q249" s="530">
        <v>3535688.4813682958</v>
      </c>
      <c r="R249" s="530">
        <v>3857585.6209725649</v>
      </c>
      <c r="S249" s="530">
        <v>4147733.2695730031</v>
      </c>
      <c r="T249" s="530">
        <v>4483150.4251553537</v>
      </c>
      <c r="U249" s="530">
        <v>4869307.2655762173</v>
      </c>
      <c r="V249" s="530">
        <v>5344998.1580350827</v>
      </c>
      <c r="W249" s="530">
        <v>5883770.0671404097</v>
      </c>
      <c r="X249" s="530">
        <v>6411584.7945312597</v>
      </c>
      <c r="Y249" s="530">
        <v>7023789.4108492462</v>
      </c>
      <c r="Z249" s="530">
        <v>7706410.3327152757</v>
      </c>
      <c r="AA249" s="530">
        <v>8382898.7050002739</v>
      </c>
      <c r="AB249" s="530">
        <v>9156827.7219230123</v>
      </c>
      <c r="AC249" s="530">
        <v>9914297.2299383897</v>
      </c>
      <c r="AD249" s="530">
        <v>10855619.749625001</v>
      </c>
      <c r="AE249" s="530">
        <v>11845278.662450757</v>
      </c>
      <c r="AF249" s="530">
        <v>12886669.369447928</v>
      </c>
      <c r="AG249" s="530">
        <v>14043959.293722996</v>
      </c>
      <c r="AH249" s="530">
        <v>15210548.744254341</v>
      </c>
      <c r="AI249" s="530">
        <v>16484198.223086588</v>
      </c>
      <c r="AJ249" s="530">
        <v>17948998.056492306</v>
      </c>
    </row>
    <row r="250" spans="1:36" ht="14.5" x14ac:dyDescent="0.3">
      <c r="A250" s="49"/>
      <c r="B250" s="125"/>
      <c r="C250" s="525" t="s">
        <v>348</v>
      </c>
      <c r="D250" s="526"/>
      <c r="E250" s="532">
        <f t="shared" ref="E250:G250" si="19">+(E249-D249)/D249</f>
        <v>0.16369252711221874</v>
      </c>
      <c r="F250" s="532">
        <f t="shared" si="19"/>
        <v>-0.30263867778056869</v>
      </c>
      <c r="G250" s="532">
        <f t="shared" si="19"/>
        <v>1.9480364057992802E-2</v>
      </c>
      <c r="H250" s="532">
        <v>0.10218314655760299</v>
      </c>
      <c r="I250" s="532">
        <v>0.10218314655760299</v>
      </c>
      <c r="J250" s="532">
        <v>9.3977995913090195E-2</v>
      </c>
      <c r="K250" s="526">
        <v>0.10230257449265</v>
      </c>
      <c r="L250" s="526">
        <v>0.175017471246285</v>
      </c>
      <c r="M250" s="526">
        <v>0.17436702181069907</v>
      </c>
      <c r="N250" s="526">
        <v>6.8024588243132428E-2</v>
      </c>
      <c r="O250" s="526">
        <v>6.1926960603637053E-2</v>
      </c>
      <c r="P250" s="526">
        <v>7.1281865997509145E-2</v>
      </c>
      <c r="Q250" s="526">
        <v>8.4489347445795338E-2</v>
      </c>
      <c r="R250" s="526">
        <v>9.1042279686273778E-2</v>
      </c>
      <c r="S250" s="526">
        <v>7.521483049475039E-2</v>
      </c>
      <c r="T250" s="526">
        <v>8.0867580864687677E-2</v>
      </c>
      <c r="U250" s="526">
        <v>8.6135151355641287E-2</v>
      </c>
      <c r="V250" s="526">
        <v>9.7691697507319666E-2</v>
      </c>
      <c r="W250" s="526">
        <v>0.10079926936839008</v>
      </c>
      <c r="X250" s="526">
        <v>8.970689224220052E-2</v>
      </c>
      <c r="Y250" s="526">
        <v>9.5484133164730825E-2</v>
      </c>
      <c r="Z250" s="526">
        <v>9.7186985818740981E-2</v>
      </c>
      <c r="AA250" s="526">
        <v>8.7782552846059653E-2</v>
      </c>
      <c r="AB250" s="526">
        <v>9.2322362962718632E-2</v>
      </c>
      <c r="AC250" s="526">
        <v>8.2721825835148755E-2</v>
      </c>
      <c r="AD250" s="526">
        <v>9.4945965190964987E-2</v>
      </c>
      <c r="AE250" s="526">
        <v>9.1165583877414566E-2</v>
      </c>
      <c r="AF250" s="526">
        <v>8.791610030233854E-2</v>
      </c>
      <c r="AG250" s="526">
        <v>8.980520032730907E-2</v>
      </c>
      <c r="AH250" s="526">
        <v>8.3066991731651968E-2</v>
      </c>
      <c r="AI250" s="526">
        <v>8.3734617353194415E-2</v>
      </c>
      <c r="AJ250" s="526">
        <v>8.8860848042595433E-2</v>
      </c>
    </row>
    <row r="251" spans="1:36" ht="14.5" x14ac:dyDescent="0.3">
      <c r="A251" s="944"/>
      <c r="B251" s="125"/>
      <c r="C251" s="529"/>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c r="AA251" s="392"/>
      <c r="AB251" s="392"/>
      <c r="AC251" s="392"/>
      <c r="AD251" s="392"/>
      <c r="AE251" s="392"/>
      <c r="AF251" s="392"/>
      <c r="AG251" s="392"/>
      <c r="AH251" s="392"/>
      <c r="AI251" s="392"/>
      <c r="AJ251" s="392"/>
    </row>
  </sheetData>
  <mergeCells count="10">
    <mergeCell ref="D160:G160"/>
    <mergeCell ref="D177:G177"/>
    <mergeCell ref="D202:G202"/>
    <mergeCell ref="D227:G227"/>
    <mergeCell ref="A2:A5"/>
    <mergeCell ref="D27:G27"/>
    <mergeCell ref="D60:G60"/>
    <mergeCell ref="D93:G93"/>
    <mergeCell ref="D126:G126"/>
    <mergeCell ref="D143:G1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219B69-ED7C-4124-92BC-2E00D9DDD51C}"/>
</file>

<file path=customXml/itemProps2.xml><?xml version="1.0" encoding="utf-8"?>
<ds:datastoreItem xmlns:ds="http://schemas.openxmlformats.org/officeDocument/2006/customXml" ds:itemID="{4A5CEF88-F441-4B5B-9197-0F1DCF725C45}"/>
</file>

<file path=customXml/itemProps3.xml><?xml version="1.0" encoding="utf-8"?>
<ds:datastoreItem xmlns:ds="http://schemas.openxmlformats.org/officeDocument/2006/customXml" ds:itemID="{D51852AA-9B59-475C-B741-ED367D99CE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Calibración-UTCUTS_Osemosys</vt:lpstr>
      <vt:lpstr>Calibración-UTCUTS2</vt:lpstr>
      <vt:lpstr>Drivers_macroeconómicos_USCUSS</vt:lpstr>
      <vt:lpstr>Calibración_BAU_USCUSS</vt:lpstr>
      <vt:lpstr>Emisiones_USCUSS</vt:lpstr>
      <vt:lpstr>Costos_USCUSS</vt:lpstr>
      <vt:lpstr>Beneficios_USCUSS</vt:lpstr>
      <vt:lpstr>Driver_macroeconómicos_Agricult</vt:lpstr>
      <vt:lpstr>Calibración-BAU_Agricultura </vt:lpstr>
      <vt:lpstr>Emisiones_Agricultura</vt:lpstr>
      <vt:lpstr>Proyecciones BAU - Agricultura</vt:lpstr>
      <vt:lpstr>Emisiones UTCUTS-OseMOSYS</vt:lpstr>
      <vt:lpstr>Costos_Agricultura</vt:lpstr>
      <vt:lpstr>Gráficos Agricultura-OseMOSYS</vt:lpstr>
      <vt:lpstr>Gráficos UTCUTS-OseMOSYS</vt:lpstr>
      <vt:lpstr>Drivers Económicos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jaman</dc:creator>
  <cp:keywords/>
  <dc:description/>
  <cp:lastModifiedBy>Luis Victor Gallardo</cp:lastModifiedBy>
  <cp:revision/>
  <dcterms:created xsi:type="dcterms:W3CDTF">2021-01-06T16:18:03Z</dcterms:created>
  <dcterms:modified xsi:type="dcterms:W3CDTF">2024-09-30T18:30:42Z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ff77947ed8e64152ac27ca44ab33e500</vt:lpwstr>
  </property>
  <property fmtid="{D5CDD505-2E9C-101B-9397-08002B2CF9AE}" pid="3" name="ContentTypeId">
    <vt:lpwstr>0x010100B8F814574E960A4499025803604D4DF4</vt:lpwstr>
  </property>
</Properties>
</file>